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D:\Sabrina\Jeux de rôles\L5R\Emerald Stars\"/>
    </mc:Choice>
  </mc:AlternateContent>
  <xr:revisionPtr revIDLastSave="0" documentId="13_ncr:1_{2AB75AA2-3929-447A-95A1-80CBC79C7542}" xr6:coauthVersionLast="45" xr6:coauthVersionMax="45" xr10:uidLastSave="{00000000-0000-0000-0000-000000000000}"/>
  <bookViews>
    <workbookView xWindow="-108" yWindow="-108" windowWidth="23256" windowHeight="12576" xr2:uid="{00000000-000D-0000-FFFF-FFFF00000000}"/>
  </bookViews>
  <sheets>
    <sheet name="Recto" sheetId="17" r:id="rId1"/>
    <sheet name="Verso" sheetId="20" r:id="rId2"/>
    <sheet name="Recto2" sheetId="21" r:id="rId3"/>
    <sheet name="Verso2" sheetId="25" r:id="rId4"/>
    <sheet name="Vaisseau" sheetId="27" state="hidden" r:id="rId5"/>
    <sheet name="Systèmes de vaisseau" sheetId="28" state="hidden" r:id="rId6"/>
    <sheet name="Familles" sheetId="1" r:id="rId7"/>
    <sheet name="Ecoles" sheetId="2" r:id="rId8"/>
    <sheet name="Voies" sheetId="4" r:id="rId9"/>
    <sheet name="Avantages" sheetId="5" r:id="rId10"/>
    <sheet name="Désavantages" sheetId="6" r:id="rId11"/>
    <sheet name="Sorts, Kihos, Katas, Bâtons" sheetId="7" r:id="rId12"/>
    <sheet name="Outremonde" sheetId="26" r:id="rId13"/>
    <sheet name="Ancêtres" sheetId="12" r:id="rId14"/>
    <sheet name="Tatouages" sheetId="13" r:id="rId15"/>
    <sheet name="Compétences" sheetId="16" r:id="rId16"/>
    <sheet name="Objets" sheetId="23" r:id="rId17"/>
    <sheet name="Règles" sheetId="24" r:id="rId18"/>
    <sheet name="Tableaux" sheetId="18" state="hidden" r:id="rId19"/>
    <sheet name="Calculs" sheetId="19" state="hidden" r:id="rId20"/>
  </sheets>
  <definedNames>
    <definedName name="_xlnm._FilterDatabase" localSheetId="8" hidden="1">Voies!$A$8:$AZ$1069</definedName>
    <definedName name="A">Objets!$A$60:$A$73</definedName>
    <definedName name="Affreteur">Vaisseau!$E$3</definedName>
    <definedName name="Ages">Tableaux!$U$2:$U$132</definedName>
    <definedName name="Agilité">Recto!$N$16</definedName>
    <definedName name="Air">Recto!$I$16</definedName>
    <definedName name="Ancêtre">Ancêtres!$A$2:$A$69</definedName>
    <definedName name="Anneaux">Tableaux!$D$2:$D$6</definedName>
    <definedName name="Armes">Tableaux!$AD$2:$AD$143</definedName>
    <definedName name="ArmesVaisseau">'Systèmes de vaisseau'!$B$2:$B$16</definedName>
    <definedName name="Ascète">Désavantages!$N$12</definedName>
    <definedName name="Avantages">Avantages!$B$2:$B$313</definedName>
    <definedName name="B">Objets!$A$74:$A$84</definedName>
    <definedName name="Bâtons">'Sorts, Kihos, Katas, Bâtons'!$A$2:$A$33</definedName>
    <definedName name="Boucliers">'Systèmes de vaisseau'!$B$18:$B$26</definedName>
    <definedName name="Chant2">Calculs!$H$506</definedName>
    <definedName name="Chantage">Avantages!$O$81</definedName>
    <definedName name="Cheveu">Tableaux!$X$2:$X$13</definedName>
    <definedName name="Clan">Recto!$C$3</definedName>
    <definedName name="Clans">Tableaux!$B$2:$B$80</definedName>
    <definedName name="Compétences">Compétences!$A$2:$A$61</definedName>
    <definedName name="Constitution">Recto!$F$13</definedName>
    <definedName name="Contexte">Tableaux!$AE$2:$AE$29</definedName>
    <definedName name="Contexte_jeu">Recto!$AA$2</definedName>
    <definedName name="ct">Objets!$A$94:$A$102</definedName>
    <definedName name="d">Objets!$A$122:$A$127</definedName>
    <definedName name="Ddame">'Sorts, Kihos, Katas, Bâtons'!$A$34:$A$56</definedName>
    <definedName name="Désavantages">Désavantages!$B$2:$B$175</definedName>
    <definedName name="Dessin_supérieur">Avantages!$N$113</definedName>
    <definedName name="Eau">Recto!$H$17</definedName>
    <definedName name="Ecole">Ecoles!$B$2:$B$241</definedName>
    <definedName name="Endroit">Tableaux!$AA$2:$AA$4</definedName>
    <definedName name="Estropié_Aveugle_Amputé">Désavantages!$O$3</definedName>
    <definedName name="ex">Objets!$A$110:$A$115</definedName>
    <definedName name="Excellente_mémoire">Avantages!$N$130</definedName>
    <definedName name="f">Objets!$A$21:$A$40</definedName>
    <definedName name="Famille">Recto!$D$4</definedName>
    <definedName name="Familles">Familles!$C$2:$C$267</definedName>
    <definedName name="Faveur_élémentaire">Avantages!$N$135</definedName>
    <definedName name="Feu">Recto!$I$17</definedName>
    <definedName name="Force">Recto!$D$16</definedName>
    <definedName name="g">Objets!$A$103:$A$109</definedName>
    <definedName name="Gauche_Droite">Tableaux!$H$2:$H$3</definedName>
    <definedName name="Gloire">Recto!$I$7</definedName>
    <definedName name="Gouverneur?">Avantages!$O$143</definedName>
    <definedName name="GrandVoyageur">Avantages!$N$150</definedName>
    <definedName name="h">Objets!$A$41:$A$49</definedName>
    <definedName name="Haine_au_coeur">Avantages!$N$152</definedName>
    <definedName name="Héros_populaire">Avantages!$N$160</definedName>
    <definedName name="Honneur">Recto!$E$7</definedName>
    <definedName name="i">Objets!$A$116:$A$121</definedName>
    <definedName name="Impétueux">Désavantages!$N$61</definedName>
    <definedName name="Influence">Recto!$U$7</definedName>
    <definedName name="Ingénieux">Avantages!$N$169</definedName>
    <definedName name="Intelligence">Recto!$M$17</definedName>
    <definedName name="Intuition">Recto!$N$14</definedName>
    <definedName name="Ishiken_do">Avantages!$N$171</definedName>
    <definedName name="Jeune_Prodige">Avantages!$N$172</definedName>
    <definedName name="k">Objets!$A$143:$A$172</definedName>
    <definedName name="Kata">'Sorts, Kihos, Katas, Bâtons'!$A$57:$A$102</definedName>
    <definedName name="Kiho">'Sorts, Kihos, Katas, Bâtons'!$A$103:$A$177</definedName>
    <definedName name="Leader_né">Avantages!$N$191</definedName>
    <definedName name="Loup">Calculs!$J$11:$J$13</definedName>
    <definedName name="m">Objets!$A$182:$A$188</definedName>
    <definedName name="Maho">'Sorts, Kihos, Katas, Bâtons'!$A$179:$A$229</definedName>
    <definedName name="Maitrise">Recto!$F$5</definedName>
    <definedName name="Mariage">Tableaux!$Z$2:$Z$7</definedName>
    <definedName name="MauditYomi">Calculs!$G$837</definedName>
    <definedName name="n">Objets!$A$189:$A$196</definedName>
    <definedName name="Noms">'Sorts, Kihos, Katas, Bâtons'!$A$230:$A$273</definedName>
    <definedName name="Numéros">Tableaux!$A$2:$A$12</definedName>
    <definedName name="o">Objets!$A$197:$A$242</definedName>
    <definedName name="Obligation">Désavantages!$O$123</definedName>
    <definedName name="Omnibilé">Désavantages!$N$125</definedName>
    <definedName name="Origine">Tableaux!$AJ$2:$AJ$241</definedName>
    <definedName name="Outremonde">Outremonde!$A$2:$A$62</definedName>
    <definedName name="p">Objets!$A$128:$A$132</definedName>
    <definedName name="Parangon">Calculs!$H$638</definedName>
    <definedName name="Parangon_du_Bushido?">Avantages!$O$213</definedName>
    <definedName name="Perception">Recto!$E$17</definedName>
    <definedName name="Perle">'Sorts, Kihos, Katas, Bâtons'!$A$274:$A$279</definedName>
    <definedName name="Poids">Tableaux!$V$2:$V$132</definedName>
    <definedName name="Présomptueux">Désavantages!$N$141</definedName>
    <definedName name="q">Objets!$A$3:$A$12</definedName>
    <definedName name="Reflexes">Recto!$M$13</definedName>
    <definedName name="Relations">Avantages!$O$230</definedName>
    <definedName name="Réputation">Recto!$R$5</definedName>
    <definedName name="Riche">Avantages!$O$265</definedName>
    <definedName name="s">Objets!$A$243:$A$276</definedName>
    <definedName name="Sans_Peur">Avantages!$N$275</definedName>
    <definedName name="SavoirInterditGozoku">Avantages!$N$276</definedName>
    <definedName name="Sexe">Tableaux!$A$19:$A$20</definedName>
    <definedName name="Sombre">Calculs!$H$721</definedName>
    <definedName name="Sombre_secret">Désavantages!$N$157</definedName>
    <definedName name="Sort">'Sorts, Kihos, Katas, Bâtons'!$A$280:$A$603</definedName>
    <definedName name="Sorts">'Sorts, Kihos, Katas, Bâtons'!$A$2:$A$603</definedName>
    <definedName name="Souillure">Recto!$H$8</definedName>
    <definedName name="Spécialisations">Compétences!$E$2:$T$61</definedName>
    <definedName name="Statut">Recto!$N$7</definedName>
    <definedName name="Systèmes">'Systèmes de vaisseau'!$B$27:$B$55</definedName>
    <definedName name="t">Objets!$A$277:$A$280</definedName>
    <definedName name="Ta">Tableaux!$W$2:$W$50</definedName>
    <definedName name="Taillevaisseau">Vaisseau!$Z$2</definedName>
    <definedName name="Tatouages">Tatouages!$A$2:$A$85</definedName>
    <definedName name="Terre">Recto!$H$16</definedName>
    <definedName name="Traits">Tableaux!$C$2:$C$12</definedName>
    <definedName name="typ_ar">Tableaux!$Q$2:$Q$15</definedName>
    <definedName name="Type_magie">Tableaux!$P$2:$P$9</definedName>
    <definedName name="Types_de_flèches">Tableaux!$E$2:$E$7</definedName>
    <definedName name="types_eq">Tableaux!$S$2:$S$10</definedName>
    <definedName name="u">Objets!$A$281:$A$299</definedName>
    <definedName name="v">Objets!$A$133:$A$142</definedName>
    <definedName name="Vide">Recto!$H$19</definedName>
    <definedName name="Virtuose">Avantages!$N$311</definedName>
    <definedName name="Voie">Voies!$A$3:$A$1072</definedName>
    <definedName name="Volonté">Recto!$E$14</definedName>
    <definedName name="w">Objets!$A$13:$A$20</definedName>
    <definedName name="x">Objets!$A$85:$A$93</definedName>
    <definedName name="XO">Tableaux!$A$22:$A$23</definedName>
    <definedName name="y">Objets!$A$174:$A$181</definedName>
    <definedName name="Yeux">Tableaux!$Y$2:$Y$17</definedName>
    <definedName name="z">Objets!$A$50:$A$59</definedName>
    <definedName name="_xlnm.Print_Area" localSheetId="13">Ancêtres!$B$2:$H$69</definedName>
    <definedName name="_xlnm.Print_Area" localSheetId="7">Ecoles!$A$1:$S$241</definedName>
    <definedName name="_xlnm.Print_Area" localSheetId="12">Outremonde!$A$1:$E$62</definedName>
    <definedName name="_xlnm.Print_Area" localSheetId="0">Recto!$A$1:$AK$65</definedName>
    <definedName name="_xlnm.Print_Area" localSheetId="2">Recto2!$A$1:$R$20</definedName>
    <definedName name="_xlnm.Print_Area" localSheetId="11">'Sorts, Kihos, Katas, Bâtons'!$A$1:$M$603</definedName>
    <definedName name="_xlnm.Print_Area" localSheetId="1">Verso!$A$1:$P$39</definedName>
    <definedName name="_xlnm.Print_Area" localSheetId="3">Verso2!$A$1:$AO$53</definedName>
    <definedName name="_xlnm.Print_Area" localSheetId="8">Voies!$B$1:$AY$1072</definedName>
  </definedNames>
  <calcPr calcId="181029"/>
</workbook>
</file>

<file path=xl/calcChain.xml><?xml version="1.0" encoding="utf-8"?>
<calcChain xmlns="http://schemas.openxmlformats.org/spreadsheetml/2006/main">
  <c r="I18" i="12" l="1"/>
  <c r="I23" i="12"/>
  <c r="Q3" i="6"/>
  <c r="Q4" i="6"/>
  <c r="Q5" i="6"/>
  <c r="Q7" i="6"/>
  <c r="Q8" i="6"/>
  <c r="Q9" i="6"/>
  <c r="Q10" i="6"/>
  <c r="Q12" i="6"/>
  <c r="Q13" i="6"/>
  <c r="Q14" i="6"/>
  <c r="Q15" i="6"/>
  <c r="Q16" i="6"/>
  <c r="Q17" i="6"/>
  <c r="Q18" i="6"/>
  <c r="Q19" i="6"/>
  <c r="Q20" i="6"/>
  <c r="Q21" i="6"/>
  <c r="Q22" i="6"/>
  <c r="Q23" i="6"/>
  <c r="Q24" i="6"/>
  <c r="Q25" i="6"/>
  <c r="Q26" i="6"/>
  <c r="Q27" i="6"/>
  <c r="Q28" i="6"/>
  <c r="Q29" i="6"/>
  <c r="Q30" i="6"/>
  <c r="Q31" i="6"/>
  <c r="Q32" i="6"/>
  <c r="Q33" i="6"/>
  <c r="Q34" i="6"/>
  <c r="Q37" i="6"/>
  <c r="Q42" i="6"/>
  <c r="Q43" i="6"/>
  <c r="Q44" i="6"/>
  <c r="Q45" i="6"/>
  <c r="Q46" i="6"/>
  <c r="Q47" i="6"/>
  <c r="Q48" i="6"/>
  <c r="Q49" i="6"/>
  <c r="Q50" i="6"/>
  <c r="Q51" i="6"/>
  <c r="Q52" i="6"/>
  <c r="Q55" i="6"/>
  <c r="Q56" i="6"/>
  <c r="Q57" i="6"/>
  <c r="Q58" i="6"/>
  <c r="Q59" i="6"/>
  <c r="Q60" i="6"/>
  <c r="Q61" i="6"/>
  <c r="Q62" i="6"/>
  <c r="Q63" i="6"/>
  <c r="Q64" i="6"/>
  <c r="Q65" i="6"/>
  <c r="Q66" i="6"/>
  <c r="Q67"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20" i="6"/>
  <c r="Q121" i="6"/>
  <c r="Q122" i="6"/>
  <c r="Q123" i="6"/>
  <c r="Q124" i="6"/>
  <c r="Q125" i="6"/>
  <c r="Q126" i="6"/>
  <c r="Q127" i="6"/>
  <c r="Q128" i="6"/>
  <c r="Q129" i="6"/>
  <c r="Q130" i="6"/>
  <c r="Q131" i="6"/>
  <c r="Q132" i="6"/>
  <c r="Q133" i="6"/>
  <c r="Q134" i="6"/>
  <c r="Q135" i="6"/>
  <c r="Q136" i="6"/>
  <c r="Q137" i="6"/>
  <c r="Q138" i="6"/>
  <c r="Q139" i="6"/>
  <c r="Q140" i="6"/>
  <c r="Q141" i="6"/>
  <c r="Q143" i="6"/>
  <c r="Q144" i="6"/>
  <c r="Q145" i="6"/>
  <c r="Q146" i="6"/>
  <c r="Q147" i="6"/>
  <c r="Q148" i="6"/>
  <c r="Q149" i="6"/>
  <c r="Q150" i="6"/>
  <c r="Q151" i="6"/>
  <c r="Q152" i="6"/>
  <c r="Q153" i="6"/>
  <c r="Q154" i="6"/>
  <c r="Q156" i="6"/>
  <c r="Q157" i="6"/>
  <c r="Q158" i="6"/>
  <c r="Q159" i="6"/>
  <c r="Q160" i="6"/>
  <c r="Q161" i="6"/>
  <c r="Q162" i="6"/>
  <c r="Q163" i="6"/>
  <c r="Q164" i="6"/>
  <c r="Q165" i="6"/>
  <c r="Q166" i="6"/>
  <c r="Q167" i="6"/>
  <c r="Q168" i="6"/>
  <c r="Q169" i="6"/>
  <c r="Q171" i="6"/>
  <c r="Q172" i="6"/>
  <c r="Q173" i="6"/>
  <c r="Q174" i="6"/>
  <c r="Q175" i="6"/>
  <c r="Q2" i="6"/>
  <c r="P4" i="5"/>
  <c r="P5" i="5"/>
  <c r="P6" i="5"/>
  <c r="P8" i="5"/>
  <c r="P25" i="5"/>
  <c r="P53"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11" i="5"/>
  <c r="P113" i="5"/>
  <c r="P114" i="5"/>
  <c r="P115" i="5"/>
  <c r="P116" i="5"/>
  <c r="P117" i="5"/>
  <c r="P118" i="5"/>
  <c r="P119" i="5"/>
  <c r="P120" i="5"/>
  <c r="P121" i="5"/>
  <c r="P123" i="5"/>
  <c r="P124" i="5"/>
  <c r="P125" i="5"/>
  <c r="P126" i="5"/>
  <c r="P129" i="5"/>
  <c r="P130" i="5"/>
  <c r="P131" i="5"/>
  <c r="P132" i="5"/>
  <c r="P133" i="5"/>
  <c r="P134" i="5"/>
  <c r="P135" i="5"/>
  <c r="P136" i="5"/>
  <c r="P137" i="5"/>
  <c r="P138" i="5"/>
  <c r="P139" i="5"/>
  <c r="P140" i="5"/>
  <c r="P141" i="5"/>
  <c r="P142" i="5"/>
  <c r="P143" i="5"/>
  <c r="P144" i="5"/>
  <c r="P145" i="5"/>
  <c r="P146" i="5"/>
  <c r="P147" i="5"/>
  <c r="P148" i="5"/>
  <c r="P149" i="5"/>
  <c r="P150" i="5"/>
  <c r="P151" i="5"/>
  <c r="P152" i="5"/>
  <c r="P160" i="5"/>
  <c r="P161" i="5"/>
  <c r="P163" i="5"/>
  <c r="P164" i="5"/>
  <c r="P165" i="5"/>
  <c r="P166" i="5"/>
  <c r="P167" i="5"/>
  <c r="P168" i="5"/>
  <c r="P169" i="5"/>
  <c r="P170" i="5"/>
  <c r="P171" i="5"/>
  <c r="P172" i="5"/>
  <c r="P173" i="5"/>
  <c r="P174" i="5"/>
  <c r="P175" i="5"/>
  <c r="P178" i="5"/>
  <c r="P179" i="5"/>
  <c r="P182" i="5"/>
  <c r="P183" i="5"/>
  <c r="P184" i="5"/>
  <c r="P185" i="5"/>
  <c r="P186" i="5"/>
  <c r="P187" i="5"/>
  <c r="P188" i="5"/>
  <c r="P189" i="5"/>
  <c r="P190" i="5"/>
  <c r="P191" i="5"/>
  <c r="P192" i="5"/>
  <c r="P193" i="5"/>
  <c r="P194" i="5"/>
  <c r="P195" i="5"/>
  <c r="P196" i="5"/>
  <c r="P197" i="5"/>
  <c r="P199" i="5"/>
  <c r="P211" i="5"/>
  <c r="P212" i="5"/>
  <c r="P213" i="5"/>
  <c r="P214" i="5"/>
  <c r="P215" i="5"/>
  <c r="P216" i="5"/>
  <c r="P217" i="5"/>
  <c r="P218" i="5"/>
  <c r="P219" i="5"/>
  <c r="P221" i="5"/>
  <c r="P222" i="5"/>
  <c r="P224" i="5"/>
  <c r="P225"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7" i="5"/>
  <c r="P309" i="5"/>
  <c r="P310" i="5"/>
  <c r="P311" i="5"/>
  <c r="P312" i="5"/>
  <c r="P2" i="5"/>
  <c r="T159" i="2"/>
  <c r="T201" i="2"/>
  <c r="T231" i="2"/>
  <c r="T232" i="2"/>
  <c r="T233" i="2"/>
  <c r="T234" i="2"/>
  <c r="T235" i="2"/>
  <c r="BJ575" i="4"/>
  <c r="C210" i="1" l="1"/>
  <c r="I210" i="1" s="1"/>
  <c r="C101" i="1"/>
  <c r="I101" i="1" s="1"/>
  <c r="BA338" i="4" l="1"/>
  <c r="BB338" i="4"/>
  <c r="BC338" i="4"/>
  <c r="BD338" i="4"/>
  <c r="BE338" i="4"/>
  <c r="BF338" i="4"/>
  <c r="BG338" i="4"/>
  <c r="BH338" i="4"/>
  <c r="AE338" i="4"/>
  <c r="AI338" i="4"/>
  <c r="AM338" i="4"/>
  <c r="AQ338" i="4"/>
  <c r="AS338" i="4"/>
  <c r="AU338" i="4"/>
  <c r="C338" i="4"/>
  <c r="C339" i="4"/>
  <c r="BA698" i="4"/>
  <c r="BB698" i="4"/>
  <c r="BC698" i="4"/>
  <c r="BD698" i="4"/>
  <c r="BE698" i="4"/>
  <c r="BF698" i="4"/>
  <c r="BG698" i="4"/>
  <c r="BH698" i="4"/>
  <c r="AU698" i="4"/>
  <c r="AS698" i="4"/>
  <c r="AQ698" i="4"/>
  <c r="AM698" i="4"/>
  <c r="A213" i="19"/>
  <c r="A171" i="19"/>
  <c r="F51" i="16"/>
  <c r="B22" i="19"/>
  <c r="C22" i="19"/>
  <c r="D22" i="19"/>
  <c r="E22" i="19"/>
  <c r="F22" i="19"/>
  <c r="G22" i="19"/>
  <c r="H22" i="19"/>
  <c r="I22" i="19"/>
  <c r="J22" i="19"/>
  <c r="K22" i="19"/>
  <c r="L22" i="19"/>
  <c r="M22" i="19"/>
  <c r="N22" i="19"/>
  <c r="O22" i="19"/>
  <c r="P22" i="19"/>
  <c r="Q22" i="19"/>
  <c r="R22" i="19"/>
  <c r="F35" i="19"/>
  <c r="C698" i="4"/>
  <c r="F49" i="16"/>
  <c r="F48" i="16"/>
  <c r="R49" i="16"/>
  <c r="Q49" i="16"/>
  <c r="K48" i="16"/>
  <c r="J48" i="16"/>
  <c r="I48" i="16"/>
  <c r="H48" i="16"/>
  <c r="G48" i="16"/>
  <c r="E48" i="16"/>
  <c r="L48" i="16"/>
  <c r="C138" i="1"/>
  <c r="I138" i="1" s="1"/>
  <c r="C139" i="1"/>
  <c r="I139" i="1" s="1"/>
  <c r="C140" i="1"/>
  <c r="I140" i="1" s="1"/>
  <c r="C141" i="1"/>
  <c r="I141" i="1" s="1"/>
  <c r="C142" i="1"/>
  <c r="I142" i="1" s="1"/>
  <c r="C143" i="1"/>
  <c r="I143" i="1" s="1"/>
  <c r="C144" i="1"/>
  <c r="I144" i="1" s="1"/>
  <c r="C145" i="1"/>
  <c r="I145" i="1" s="1"/>
  <c r="C146" i="1"/>
  <c r="I146" i="1" s="1"/>
  <c r="C147" i="1"/>
  <c r="I147" i="1" s="1"/>
  <c r="C148" i="1"/>
  <c r="I148" i="1" s="1"/>
  <c r="C149" i="1"/>
  <c r="I149" i="1" s="1"/>
  <c r="C150" i="1"/>
  <c r="I150" i="1" s="1"/>
  <c r="C151" i="1"/>
  <c r="I151" i="1" s="1"/>
  <c r="C152" i="1"/>
  <c r="I152" i="1" s="1"/>
  <c r="C153" i="1"/>
  <c r="I153" i="1" s="1"/>
  <c r="C154" i="1"/>
  <c r="I154" i="1" s="1"/>
  <c r="C155" i="1"/>
  <c r="I155" i="1" s="1"/>
  <c r="C156" i="1"/>
  <c r="I156" i="1" s="1"/>
  <c r="C157" i="1"/>
  <c r="I157" i="1" s="1"/>
  <c r="C158" i="1"/>
  <c r="I158" i="1" s="1"/>
  <c r="C159" i="1"/>
  <c r="I159" i="1" s="1"/>
  <c r="C160" i="1"/>
  <c r="I160" i="1" s="1"/>
  <c r="C161" i="1"/>
  <c r="I161" i="1" s="1"/>
  <c r="C162" i="1"/>
  <c r="I162" i="1" s="1"/>
  <c r="C163" i="1"/>
  <c r="I163" i="1" s="1"/>
  <c r="C164" i="1"/>
  <c r="I164" i="1" s="1"/>
  <c r="C165" i="1"/>
  <c r="I165" i="1" s="1"/>
  <c r="C166" i="1"/>
  <c r="I166" i="1" s="1"/>
  <c r="C167" i="1"/>
  <c r="I167" i="1" s="1"/>
  <c r="C168" i="1"/>
  <c r="I168" i="1" s="1"/>
  <c r="C169" i="1"/>
  <c r="I169" i="1" s="1"/>
  <c r="C170" i="1"/>
  <c r="I170" i="1" s="1"/>
  <c r="C171" i="1"/>
  <c r="I171" i="1" s="1"/>
  <c r="C172" i="1"/>
  <c r="I172" i="1" s="1"/>
  <c r="C173" i="1"/>
  <c r="I173" i="1" s="1"/>
  <c r="C174" i="1"/>
  <c r="I174" i="1" s="1"/>
  <c r="C175" i="1"/>
  <c r="I175" i="1" s="1"/>
  <c r="C176" i="1"/>
  <c r="I176" i="1" s="1"/>
  <c r="C177" i="1"/>
  <c r="I177" i="1" s="1"/>
  <c r="C178" i="1"/>
  <c r="I178" i="1" s="1"/>
  <c r="C179" i="1"/>
  <c r="I179" i="1" s="1"/>
  <c r="C180" i="1"/>
  <c r="I180" i="1" s="1"/>
  <c r="C181" i="1"/>
  <c r="I181" i="1" s="1"/>
  <c r="C182" i="1"/>
  <c r="I182" i="1" s="1"/>
  <c r="C183" i="1"/>
  <c r="I183" i="1" s="1"/>
  <c r="C184" i="1"/>
  <c r="I184" i="1" s="1"/>
  <c r="C185" i="1"/>
  <c r="I185" i="1" s="1"/>
  <c r="C186" i="1"/>
  <c r="I186" i="1" s="1"/>
  <c r="C187" i="1"/>
  <c r="I187" i="1" s="1"/>
  <c r="C188" i="1"/>
  <c r="I188" i="1" s="1"/>
  <c r="C189" i="1"/>
  <c r="I189" i="1" s="1"/>
  <c r="C190" i="1"/>
  <c r="I190" i="1" s="1"/>
  <c r="C191" i="1"/>
  <c r="I191" i="1" s="1"/>
  <c r="C192" i="1"/>
  <c r="I192" i="1" s="1"/>
  <c r="C193" i="1"/>
  <c r="I193" i="1" s="1"/>
  <c r="C194" i="1"/>
  <c r="I194" i="1" s="1"/>
  <c r="C195" i="1"/>
  <c r="I195" i="1" s="1"/>
  <c r="C196" i="1"/>
  <c r="I196" i="1" s="1"/>
  <c r="C197" i="1"/>
  <c r="I197" i="1" s="1"/>
  <c r="C198" i="1"/>
  <c r="I198" i="1" s="1"/>
  <c r="C199" i="1"/>
  <c r="I199" i="1" s="1"/>
  <c r="C200" i="1"/>
  <c r="I200" i="1" s="1"/>
  <c r="C201" i="1"/>
  <c r="I201" i="1" s="1"/>
  <c r="C202" i="1"/>
  <c r="I202" i="1" s="1"/>
  <c r="C203" i="1"/>
  <c r="I203" i="1" s="1"/>
  <c r="C204" i="1"/>
  <c r="I204" i="1" s="1"/>
  <c r="C205" i="1"/>
  <c r="I205" i="1" s="1"/>
  <c r="C206" i="1"/>
  <c r="I206" i="1" s="1"/>
  <c r="C207" i="1"/>
  <c r="I207" i="1" s="1"/>
  <c r="C208" i="1"/>
  <c r="I208" i="1" s="1"/>
  <c r="C209" i="1"/>
  <c r="I209" i="1" s="1"/>
  <c r="C211" i="1"/>
  <c r="I211" i="1" s="1"/>
  <c r="C212" i="1"/>
  <c r="I212" i="1" s="1"/>
  <c r="C213" i="1"/>
  <c r="I213" i="1" s="1"/>
  <c r="C214" i="1"/>
  <c r="I214" i="1" s="1"/>
  <c r="C215" i="1"/>
  <c r="I215" i="1" s="1"/>
  <c r="C216" i="1"/>
  <c r="I216" i="1" s="1"/>
  <c r="C217" i="1"/>
  <c r="I217" i="1" s="1"/>
  <c r="C218" i="1"/>
  <c r="I218" i="1" s="1"/>
  <c r="C219" i="1"/>
  <c r="I219" i="1" s="1"/>
  <c r="C220" i="1"/>
  <c r="I220" i="1" s="1"/>
  <c r="C221" i="1"/>
  <c r="I221" i="1" s="1"/>
  <c r="C222" i="1"/>
  <c r="I222" i="1" s="1"/>
  <c r="C223" i="1"/>
  <c r="I223" i="1" s="1"/>
  <c r="C224" i="1"/>
  <c r="I224" i="1" s="1"/>
  <c r="C225" i="1"/>
  <c r="I225" i="1" s="1"/>
  <c r="C226" i="1"/>
  <c r="I226" i="1" s="1"/>
  <c r="C227" i="1"/>
  <c r="I227" i="1" s="1"/>
  <c r="C228" i="1"/>
  <c r="I228" i="1" s="1"/>
  <c r="C229" i="1"/>
  <c r="I229" i="1" s="1"/>
  <c r="C230" i="1"/>
  <c r="I230" i="1" s="1"/>
  <c r="C231" i="1"/>
  <c r="I231" i="1" s="1"/>
  <c r="C232" i="1"/>
  <c r="I232" i="1" s="1"/>
  <c r="C233" i="1"/>
  <c r="I233" i="1" s="1"/>
  <c r="C234" i="1"/>
  <c r="I234" i="1" s="1"/>
  <c r="C235" i="1"/>
  <c r="I235" i="1" s="1"/>
  <c r="C236" i="1"/>
  <c r="I236" i="1" s="1"/>
  <c r="C237" i="1"/>
  <c r="I237" i="1" s="1"/>
  <c r="C238" i="1"/>
  <c r="I238" i="1" s="1"/>
  <c r="C239" i="1"/>
  <c r="I239" i="1" s="1"/>
  <c r="C240" i="1"/>
  <c r="I240" i="1" s="1"/>
  <c r="C241" i="1"/>
  <c r="I241" i="1" s="1"/>
  <c r="C242" i="1"/>
  <c r="I242" i="1" s="1"/>
  <c r="C243" i="1"/>
  <c r="I243" i="1" s="1"/>
  <c r="C244" i="1"/>
  <c r="I244" i="1" s="1"/>
  <c r="C245" i="1"/>
  <c r="I245" i="1" s="1"/>
  <c r="C246" i="1"/>
  <c r="I246" i="1" s="1"/>
  <c r="C247" i="1"/>
  <c r="I247" i="1" s="1"/>
  <c r="C248" i="1"/>
  <c r="I248" i="1" s="1"/>
  <c r="C249" i="1"/>
  <c r="I249" i="1" s="1"/>
  <c r="C250" i="1"/>
  <c r="I250" i="1" s="1"/>
  <c r="C251" i="1"/>
  <c r="I251" i="1" s="1"/>
  <c r="C252" i="1"/>
  <c r="I252" i="1" s="1"/>
  <c r="C253" i="1"/>
  <c r="I253" i="1" s="1"/>
  <c r="C254" i="1"/>
  <c r="I254" i="1" s="1"/>
  <c r="C255" i="1"/>
  <c r="I255" i="1" s="1"/>
  <c r="C256" i="1"/>
  <c r="I256" i="1" s="1"/>
  <c r="C257" i="1"/>
  <c r="I257" i="1" s="1"/>
  <c r="C258" i="1"/>
  <c r="I258" i="1" s="1"/>
  <c r="C259" i="1"/>
  <c r="I259" i="1" s="1"/>
  <c r="C260" i="1"/>
  <c r="I260" i="1" s="1"/>
  <c r="C261" i="1"/>
  <c r="I261" i="1" s="1"/>
  <c r="C262" i="1"/>
  <c r="I262" i="1" s="1"/>
  <c r="C263" i="1"/>
  <c r="I263" i="1" s="1"/>
  <c r="C264" i="1"/>
  <c r="I264" i="1" s="1"/>
  <c r="C265" i="1"/>
  <c r="I265" i="1" s="1"/>
  <c r="C266" i="1"/>
  <c r="I266" i="1" s="1"/>
  <c r="C267" i="1"/>
  <c r="I267" i="1" s="1"/>
  <c r="C113" i="1"/>
  <c r="I113" i="1" s="1"/>
  <c r="H113" i="1"/>
  <c r="B457" i="19"/>
  <c r="C457" i="19"/>
  <c r="D457" i="19"/>
  <c r="E457" i="19"/>
  <c r="F457" i="19"/>
  <c r="I33" i="5"/>
  <c r="J33" i="5"/>
  <c r="K33" i="5"/>
  <c r="L33" i="5"/>
  <c r="M33" i="5"/>
  <c r="B33" i="5"/>
  <c r="P33" i="5" s="1"/>
  <c r="B450" i="19"/>
  <c r="C450" i="19"/>
  <c r="D450" i="19"/>
  <c r="E450" i="19"/>
  <c r="F450" i="19"/>
  <c r="A523" i="19"/>
  <c r="I25" i="5"/>
  <c r="J25" i="5"/>
  <c r="K25" i="5"/>
  <c r="L25" i="5"/>
  <c r="M25" i="5"/>
  <c r="I51" i="5"/>
  <c r="J51" i="5"/>
  <c r="K51" i="5"/>
  <c r="L51" i="5"/>
  <c r="M51" i="5"/>
  <c r="B51" i="5"/>
  <c r="P51" i="5" s="1"/>
  <c r="B476" i="19"/>
  <c r="C476" i="19"/>
  <c r="D476" i="19"/>
  <c r="E476" i="19"/>
  <c r="F476" i="19"/>
  <c r="B38" i="5"/>
  <c r="P38" i="5" s="1"/>
  <c r="G98" i="7"/>
  <c r="BA454" i="4"/>
  <c r="BB454" i="4"/>
  <c r="BC454" i="4"/>
  <c r="BD454" i="4"/>
  <c r="BE454" i="4"/>
  <c r="BF454" i="4"/>
  <c r="BG454" i="4"/>
  <c r="BH454" i="4"/>
  <c r="AE459" i="4"/>
  <c r="AI459" i="4"/>
  <c r="AM459" i="4"/>
  <c r="AQ459" i="4"/>
  <c r="AS459" i="4"/>
  <c r="AU459" i="4"/>
  <c r="C454" i="4"/>
  <c r="B98" i="5"/>
  <c r="BI338" i="4" l="1"/>
  <c r="BI698" i="4"/>
  <c r="S22" i="19"/>
  <c r="AV338" i="4"/>
  <c r="G476" i="19"/>
  <c r="G450" i="19"/>
  <c r="G457" i="19"/>
  <c r="BI454" i="4"/>
  <c r="N33" i="5"/>
  <c r="N51" i="5"/>
  <c r="N25" i="5"/>
  <c r="AV459" i="4"/>
  <c r="BA574" i="4"/>
  <c r="BB574" i="4"/>
  <c r="BC574" i="4"/>
  <c r="BD574" i="4"/>
  <c r="BE574" i="4"/>
  <c r="BF574" i="4"/>
  <c r="BG574" i="4"/>
  <c r="BH574" i="4"/>
  <c r="AU574" i="4"/>
  <c r="AS574" i="4"/>
  <c r="AQ574" i="4"/>
  <c r="AM574" i="4"/>
  <c r="AI574" i="4"/>
  <c r="C574" i="4"/>
  <c r="BA371" i="4"/>
  <c r="BB371" i="4"/>
  <c r="BC371" i="4"/>
  <c r="BD371" i="4"/>
  <c r="BE371" i="4"/>
  <c r="BF371" i="4"/>
  <c r="BG371" i="4"/>
  <c r="BH371" i="4"/>
  <c r="AE371" i="4"/>
  <c r="AI371" i="4"/>
  <c r="AM371" i="4"/>
  <c r="AQ371" i="4"/>
  <c r="AS371" i="4"/>
  <c r="AU371" i="4"/>
  <c r="C371" i="4"/>
  <c r="BA206" i="4"/>
  <c r="BB206" i="4"/>
  <c r="BC206" i="4"/>
  <c r="BD206" i="4"/>
  <c r="BE206" i="4"/>
  <c r="BF206" i="4"/>
  <c r="BG206" i="4"/>
  <c r="BH206" i="4"/>
  <c r="AU206" i="4"/>
  <c r="AU205" i="4"/>
  <c r="AE206" i="4"/>
  <c r="AI206" i="4"/>
  <c r="AM206" i="4"/>
  <c r="AQ206" i="4"/>
  <c r="AS206" i="4"/>
  <c r="C206" i="4"/>
  <c r="BI371" i="4" l="1"/>
  <c r="AV371" i="4"/>
  <c r="BI574" i="4"/>
  <c r="AV206" i="4"/>
  <c r="BI206" i="4"/>
  <c r="AJ161" i="18"/>
  <c r="Q82" i="23"/>
  <c r="Q83" i="23"/>
  <c r="F57" i="16"/>
  <c r="K57" i="16"/>
  <c r="C4" i="16"/>
  <c r="B31" i="13"/>
  <c r="O38" i="20" l="1"/>
  <c r="N38" i="20"/>
  <c r="J38" i="20"/>
  <c r="E38" i="20"/>
  <c r="D38" i="20"/>
  <c r="C38" i="20"/>
  <c r="M192" i="2" l="1"/>
  <c r="G364" i="7" l="1"/>
  <c r="A264" i="23"/>
  <c r="BA324" i="4" l="1"/>
  <c r="BB324" i="4"/>
  <c r="BC324" i="4"/>
  <c r="BD324" i="4"/>
  <c r="BE324" i="4"/>
  <c r="BF324" i="4"/>
  <c r="BG324" i="4"/>
  <c r="BH324" i="4"/>
  <c r="AS324" i="4"/>
  <c r="AU324" i="4"/>
  <c r="AE324" i="4"/>
  <c r="AI324" i="4"/>
  <c r="AM324" i="4"/>
  <c r="AQ324" i="4"/>
  <c r="BA321" i="4"/>
  <c r="BB321" i="4"/>
  <c r="BC321" i="4"/>
  <c r="BD321" i="4"/>
  <c r="BE321" i="4"/>
  <c r="BF321" i="4"/>
  <c r="BG321" i="4"/>
  <c r="BH321" i="4"/>
  <c r="BA322" i="4"/>
  <c r="BB322" i="4"/>
  <c r="BC322" i="4"/>
  <c r="BD322" i="4"/>
  <c r="BE322" i="4"/>
  <c r="BF322" i="4"/>
  <c r="BG322" i="4"/>
  <c r="BH322" i="4"/>
  <c r="BA323" i="4"/>
  <c r="BB323" i="4"/>
  <c r="BC323" i="4"/>
  <c r="BD323" i="4"/>
  <c r="BE323" i="4"/>
  <c r="BF323" i="4"/>
  <c r="BG323" i="4"/>
  <c r="BH323" i="4"/>
  <c r="BA325" i="4"/>
  <c r="BB325" i="4"/>
  <c r="BC325" i="4"/>
  <c r="BD325" i="4"/>
  <c r="BE325" i="4"/>
  <c r="BF325" i="4"/>
  <c r="BG325" i="4"/>
  <c r="BH325" i="4"/>
  <c r="BA326" i="4"/>
  <c r="BB326" i="4"/>
  <c r="BC326" i="4"/>
  <c r="BD326" i="4"/>
  <c r="BE326" i="4"/>
  <c r="BF326" i="4"/>
  <c r="BG326" i="4"/>
  <c r="BH326" i="4"/>
  <c r="BA327" i="4"/>
  <c r="BB327" i="4"/>
  <c r="BC327" i="4"/>
  <c r="BD327" i="4"/>
  <c r="BE327" i="4"/>
  <c r="BF327" i="4"/>
  <c r="BG327" i="4"/>
  <c r="BH327" i="4"/>
  <c r="BA328" i="4"/>
  <c r="BB328" i="4"/>
  <c r="BC328" i="4"/>
  <c r="BD328" i="4"/>
  <c r="BE328" i="4"/>
  <c r="BF328" i="4"/>
  <c r="BG328" i="4"/>
  <c r="BH328" i="4"/>
  <c r="AI325" i="4"/>
  <c r="AM325" i="4"/>
  <c r="AQ325" i="4"/>
  <c r="AS325" i="4"/>
  <c r="AU325" i="4"/>
  <c r="B191" i="19"/>
  <c r="C191" i="19"/>
  <c r="D191" i="19"/>
  <c r="E191" i="19"/>
  <c r="F191" i="19"/>
  <c r="G191" i="19"/>
  <c r="H191" i="19"/>
  <c r="I191" i="19"/>
  <c r="J191" i="19"/>
  <c r="K191" i="19"/>
  <c r="L191" i="19"/>
  <c r="M191" i="19"/>
  <c r="N191" i="19"/>
  <c r="O191" i="19"/>
  <c r="P191" i="19"/>
  <c r="Q191" i="19"/>
  <c r="R191" i="19"/>
  <c r="B121" i="19"/>
  <c r="C121" i="19"/>
  <c r="D121" i="19"/>
  <c r="E121" i="19"/>
  <c r="F121" i="19"/>
  <c r="G121" i="19"/>
  <c r="H121" i="19"/>
  <c r="I121" i="19"/>
  <c r="J121" i="19"/>
  <c r="K121" i="19"/>
  <c r="L121" i="19"/>
  <c r="M121" i="19"/>
  <c r="N121" i="19"/>
  <c r="O121" i="19"/>
  <c r="P121" i="19"/>
  <c r="Q121" i="19"/>
  <c r="R121" i="19"/>
  <c r="C325" i="4"/>
  <c r="AE321" i="4"/>
  <c r="AI321" i="4"/>
  <c r="AM321" i="4"/>
  <c r="AQ321" i="4"/>
  <c r="AS321" i="4"/>
  <c r="AU321" i="4"/>
  <c r="AE322" i="4"/>
  <c r="AI322" i="4"/>
  <c r="AM322" i="4"/>
  <c r="AQ322" i="4"/>
  <c r="AS322" i="4"/>
  <c r="AU322" i="4"/>
  <c r="AE323" i="4"/>
  <c r="AI323" i="4"/>
  <c r="AM323" i="4"/>
  <c r="AQ323" i="4"/>
  <c r="AS323" i="4"/>
  <c r="AU323" i="4"/>
  <c r="AE326" i="4"/>
  <c r="AI326" i="4"/>
  <c r="AM326" i="4"/>
  <c r="AQ326" i="4"/>
  <c r="AS326" i="4"/>
  <c r="AU326" i="4"/>
  <c r="AE327" i="4"/>
  <c r="AI327" i="4"/>
  <c r="AM327" i="4"/>
  <c r="AQ327" i="4"/>
  <c r="AS327" i="4"/>
  <c r="AU327" i="4"/>
  <c r="AE328" i="4"/>
  <c r="AI328" i="4"/>
  <c r="AM328" i="4"/>
  <c r="AQ328" i="4"/>
  <c r="AS328" i="4"/>
  <c r="AU328" i="4"/>
  <c r="C322" i="4"/>
  <c r="M87" i="2"/>
  <c r="C321" i="4"/>
  <c r="C323" i="4"/>
  <c r="C326" i="4"/>
  <c r="C327" i="4"/>
  <c r="C328" i="4"/>
  <c r="M88" i="2"/>
  <c r="F88" i="2"/>
  <c r="G88" i="2" s="1"/>
  <c r="Q15" i="23"/>
  <c r="S121" i="19" l="1"/>
  <c r="S191" i="19"/>
  <c r="AV324" i="4"/>
  <c r="BI324" i="4"/>
  <c r="BI325" i="4"/>
  <c r="BI322" i="4"/>
  <c r="AV321" i="4"/>
  <c r="BI328" i="4"/>
  <c r="BI326" i="4"/>
  <c r="BI321" i="4"/>
  <c r="BI327" i="4"/>
  <c r="BI323" i="4"/>
  <c r="AV327" i="4"/>
  <c r="AV323" i="4"/>
  <c r="AV326" i="4"/>
  <c r="AV328" i="4"/>
  <c r="AV322" i="4"/>
  <c r="O61" i="16"/>
  <c r="BA1025" i="4" l="1"/>
  <c r="BB1025" i="4"/>
  <c r="BC1025" i="4"/>
  <c r="BD1025" i="4"/>
  <c r="BE1025" i="4"/>
  <c r="BF1025" i="4"/>
  <c r="BG1025" i="4"/>
  <c r="BH1025" i="4"/>
  <c r="BA1026" i="4"/>
  <c r="BB1026" i="4"/>
  <c r="BC1026" i="4"/>
  <c r="BD1026" i="4"/>
  <c r="BE1026" i="4"/>
  <c r="BF1026" i="4"/>
  <c r="BG1026" i="4"/>
  <c r="BH1026" i="4"/>
  <c r="BA1027" i="4"/>
  <c r="BB1027" i="4"/>
  <c r="BC1027" i="4"/>
  <c r="BD1027" i="4"/>
  <c r="BE1027" i="4"/>
  <c r="BF1027" i="4"/>
  <c r="BG1027" i="4"/>
  <c r="BH1027" i="4"/>
  <c r="AE1033" i="4"/>
  <c r="AI1033" i="4"/>
  <c r="AM1033" i="4"/>
  <c r="AQ1033" i="4"/>
  <c r="AS1033" i="4"/>
  <c r="AE1027" i="4"/>
  <c r="AI1027" i="4"/>
  <c r="AM1027" i="4"/>
  <c r="AQ1027" i="4"/>
  <c r="AS1027" i="4"/>
  <c r="AU1027" i="4"/>
  <c r="AE1026" i="4"/>
  <c r="AI1026" i="4"/>
  <c r="AM1026" i="4"/>
  <c r="AQ1026" i="4"/>
  <c r="AS1026" i="4"/>
  <c r="AU1026" i="4"/>
  <c r="I1033" i="4"/>
  <c r="I1027" i="4"/>
  <c r="I1026" i="4"/>
  <c r="M233" i="2"/>
  <c r="M234" i="2"/>
  <c r="M235" i="2"/>
  <c r="F232" i="2"/>
  <c r="F233" i="2"/>
  <c r="G233" i="2" s="1"/>
  <c r="F234" i="2"/>
  <c r="G234" i="2" s="1"/>
  <c r="F235" i="2"/>
  <c r="G235" i="2" s="1"/>
  <c r="BI1025" i="4" l="1"/>
  <c r="AV1026" i="4"/>
  <c r="BI1027" i="4"/>
  <c r="AV1027" i="4"/>
  <c r="BI1026" i="4"/>
  <c r="BA1033" i="4"/>
  <c r="BB1033" i="4"/>
  <c r="BC1033" i="4"/>
  <c r="BD1033" i="4"/>
  <c r="BE1033" i="4"/>
  <c r="BF1033" i="4"/>
  <c r="BG1033" i="4"/>
  <c r="BH1033" i="4"/>
  <c r="BA1034" i="4"/>
  <c r="BB1034" i="4"/>
  <c r="BC1034" i="4"/>
  <c r="BD1034" i="4"/>
  <c r="BE1034" i="4"/>
  <c r="BF1034" i="4"/>
  <c r="BG1034" i="4"/>
  <c r="BH1034" i="4"/>
  <c r="BA1035" i="4"/>
  <c r="BB1035" i="4"/>
  <c r="BC1035" i="4"/>
  <c r="BD1035" i="4"/>
  <c r="BE1035" i="4"/>
  <c r="BF1035" i="4"/>
  <c r="BG1035" i="4"/>
  <c r="BH1035" i="4"/>
  <c r="BA1036" i="4"/>
  <c r="BB1036" i="4"/>
  <c r="BC1036" i="4"/>
  <c r="BD1036" i="4"/>
  <c r="BE1036" i="4"/>
  <c r="BF1036" i="4"/>
  <c r="BG1036" i="4"/>
  <c r="BH1036" i="4"/>
  <c r="BA1037" i="4"/>
  <c r="BB1037" i="4"/>
  <c r="BC1037" i="4"/>
  <c r="BD1037" i="4"/>
  <c r="BE1037" i="4"/>
  <c r="BF1037" i="4"/>
  <c r="BG1037" i="4"/>
  <c r="BH1037" i="4"/>
  <c r="BA1038" i="4"/>
  <c r="BB1038" i="4"/>
  <c r="BC1038" i="4"/>
  <c r="BD1038" i="4"/>
  <c r="BE1038" i="4"/>
  <c r="BF1038" i="4"/>
  <c r="BG1038" i="4"/>
  <c r="BH1038" i="4"/>
  <c r="BA1039" i="4"/>
  <c r="BB1039" i="4"/>
  <c r="BC1039" i="4"/>
  <c r="BD1039" i="4"/>
  <c r="BE1039" i="4"/>
  <c r="BF1039" i="4"/>
  <c r="BG1039" i="4"/>
  <c r="BH1039" i="4"/>
  <c r="BA1040" i="4"/>
  <c r="BB1040" i="4"/>
  <c r="BC1040" i="4"/>
  <c r="BD1040" i="4"/>
  <c r="BE1040" i="4"/>
  <c r="BF1040" i="4"/>
  <c r="BG1040" i="4"/>
  <c r="BH1040" i="4"/>
  <c r="BA1041" i="4"/>
  <c r="BB1041" i="4"/>
  <c r="BC1041" i="4"/>
  <c r="BD1041" i="4"/>
  <c r="BE1041" i="4"/>
  <c r="BF1041" i="4"/>
  <c r="BG1041" i="4"/>
  <c r="BH1041" i="4"/>
  <c r="BA1042" i="4"/>
  <c r="BB1042" i="4"/>
  <c r="BC1042" i="4"/>
  <c r="BD1042" i="4"/>
  <c r="BE1042" i="4"/>
  <c r="BF1042" i="4"/>
  <c r="BG1042" i="4"/>
  <c r="BH1042" i="4"/>
  <c r="BA1043" i="4"/>
  <c r="BB1043" i="4"/>
  <c r="BC1043" i="4"/>
  <c r="BD1043" i="4"/>
  <c r="BE1043" i="4"/>
  <c r="BF1043" i="4"/>
  <c r="BG1043" i="4"/>
  <c r="BH1043" i="4"/>
  <c r="BA1044" i="4"/>
  <c r="BB1044" i="4"/>
  <c r="BC1044" i="4"/>
  <c r="BD1044" i="4"/>
  <c r="BE1044" i="4"/>
  <c r="BF1044" i="4"/>
  <c r="BG1044" i="4"/>
  <c r="BH1044" i="4"/>
  <c r="BA472" i="4"/>
  <c r="BB472" i="4"/>
  <c r="BC472" i="4"/>
  <c r="BD472" i="4"/>
  <c r="BE472" i="4"/>
  <c r="BF472" i="4"/>
  <c r="BG472" i="4"/>
  <c r="BH472" i="4"/>
  <c r="AI472" i="4"/>
  <c r="AM472" i="4"/>
  <c r="AQ472" i="4"/>
  <c r="AS472" i="4"/>
  <c r="AU472" i="4"/>
  <c r="AI1045" i="4"/>
  <c r="AM1045" i="4"/>
  <c r="AQ1045" i="4"/>
  <c r="AS1045" i="4"/>
  <c r="AU1045" i="4"/>
  <c r="AE1045" i="4"/>
  <c r="G167" i="7"/>
  <c r="AQ1037" i="4"/>
  <c r="AS1037" i="4"/>
  <c r="AU1037" i="4"/>
  <c r="AQ1038" i="4"/>
  <c r="AS1038" i="4"/>
  <c r="AU1038" i="4"/>
  <c r="AU1036" i="4"/>
  <c r="AQ1036" i="4"/>
  <c r="AS1036" i="4"/>
  <c r="AU1031" i="4"/>
  <c r="AU1032" i="4"/>
  <c r="AU1030" i="4"/>
  <c r="M231" i="2"/>
  <c r="M232" i="2"/>
  <c r="F231" i="2"/>
  <c r="G231" i="2" s="1"/>
  <c r="B232" i="2"/>
  <c r="B231" i="2"/>
  <c r="BI472" i="4" l="1"/>
  <c r="BI1038" i="4"/>
  <c r="BI1034" i="4"/>
  <c r="BI1044" i="4"/>
  <c r="BI1041" i="4"/>
  <c r="BI1040" i="4"/>
  <c r="BI1035" i="4"/>
  <c r="BI1042" i="4"/>
  <c r="BI1037" i="4"/>
  <c r="BI1036" i="4"/>
  <c r="BI1033" i="4"/>
  <c r="BI1043" i="4"/>
  <c r="BI1039" i="4"/>
  <c r="AV1045" i="4"/>
  <c r="BA627" i="4"/>
  <c r="BB627" i="4"/>
  <c r="BC627" i="4"/>
  <c r="BD627" i="4"/>
  <c r="BE627" i="4"/>
  <c r="BF627" i="4"/>
  <c r="BG627" i="4"/>
  <c r="BH627" i="4"/>
  <c r="AM627" i="4"/>
  <c r="AQ627" i="4"/>
  <c r="AS627" i="4"/>
  <c r="AU627" i="4"/>
  <c r="C627" i="4"/>
  <c r="I627" i="4"/>
  <c r="C546" i="4"/>
  <c r="BA537" i="4"/>
  <c r="BB537" i="4"/>
  <c r="BC537" i="4"/>
  <c r="BD537" i="4"/>
  <c r="BE537" i="4"/>
  <c r="BF537" i="4"/>
  <c r="BG537" i="4"/>
  <c r="BH537" i="4"/>
  <c r="I546" i="4"/>
  <c r="AE546" i="4"/>
  <c r="AI546" i="4"/>
  <c r="AM546" i="4"/>
  <c r="AQ546" i="4"/>
  <c r="AS546" i="4"/>
  <c r="AU546" i="4"/>
  <c r="M128" i="2"/>
  <c r="Q19" i="23"/>
  <c r="Q4" i="23"/>
  <c r="B772" i="19"/>
  <c r="C772" i="19"/>
  <c r="D772" i="19"/>
  <c r="E772" i="19"/>
  <c r="F772" i="19"/>
  <c r="I34" i="6"/>
  <c r="J34" i="6"/>
  <c r="K34" i="6"/>
  <c r="L34" i="6"/>
  <c r="M34" i="6"/>
  <c r="B730" i="19"/>
  <c r="C730" i="19"/>
  <c r="D730" i="19"/>
  <c r="E730" i="19"/>
  <c r="F730" i="19"/>
  <c r="I305" i="5"/>
  <c r="J305" i="5"/>
  <c r="K305" i="5"/>
  <c r="L305" i="5"/>
  <c r="M305" i="5"/>
  <c r="B305" i="5"/>
  <c r="P305" i="5" s="1"/>
  <c r="BH1009" i="4"/>
  <c r="BG1009" i="4"/>
  <c r="BF1009" i="4"/>
  <c r="BE1009" i="4"/>
  <c r="BD1009" i="4"/>
  <c r="BC1009" i="4"/>
  <c r="BB1009" i="4"/>
  <c r="BA1009" i="4"/>
  <c r="AU1009" i="4"/>
  <c r="AS1009" i="4"/>
  <c r="AQ1009" i="4"/>
  <c r="AM1009" i="4"/>
  <c r="AI1009" i="4"/>
  <c r="AE1009" i="4"/>
  <c r="I1009" i="4"/>
  <c r="C1009" i="4"/>
  <c r="BH1001" i="4"/>
  <c r="BG1001" i="4"/>
  <c r="BF1001" i="4"/>
  <c r="BE1001" i="4"/>
  <c r="BD1001" i="4"/>
  <c r="BC1001" i="4"/>
  <c r="BB1001" i="4"/>
  <c r="BA1001" i="4"/>
  <c r="AU1001" i="4"/>
  <c r="AS1001" i="4"/>
  <c r="AQ1001" i="4"/>
  <c r="AM1001" i="4"/>
  <c r="AI1001" i="4"/>
  <c r="AE1001" i="4"/>
  <c r="I1001" i="4"/>
  <c r="C1001" i="4"/>
  <c r="BH989" i="4"/>
  <c r="BG989" i="4"/>
  <c r="BF989" i="4"/>
  <c r="BE989" i="4"/>
  <c r="BD989" i="4"/>
  <c r="BC989" i="4"/>
  <c r="BB989" i="4"/>
  <c r="BA989" i="4"/>
  <c r="AU989" i="4"/>
  <c r="AS989" i="4"/>
  <c r="AQ989" i="4"/>
  <c r="AM989" i="4"/>
  <c r="AI989" i="4"/>
  <c r="AE989" i="4"/>
  <c r="I989" i="4"/>
  <c r="C989" i="4"/>
  <c r="BH975" i="4"/>
  <c r="BG975" i="4"/>
  <c r="BF975" i="4"/>
  <c r="BE975" i="4"/>
  <c r="BD975" i="4"/>
  <c r="BC975" i="4"/>
  <c r="BB975" i="4"/>
  <c r="BA975" i="4"/>
  <c r="AU975" i="4"/>
  <c r="AS975" i="4"/>
  <c r="AQ975" i="4"/>
  <c r="AM975" i="4"/>
  <c r="AI975" i="4"/>
  <c r="AE975" i="4"/>
  <c r="I975" i="4"/>
  <c r="C975" i="4"/>
  <c r="BA964" i="4"/>
  <c r="BB964" i="4"/>
  <c r="BC964" i="4"/>
  <c r="BD964" i="4"/>
  <c r="BE964" i="4"/>
  <c r="BF964" i="4"/>
  <c r="BG964" i="4"/>
  <c r="BH964" i="4"/>
  <c r="AE964" i="4"/>
  <c r="AI964" i="4"/>
  <c r="AM964" i="4"/>
  <c r="AQ964" i="4"/>
  <c r="AS964" i="4"/>
  <c r="AU964" i="4"/>
  <c r="C964" i="4"/>
  <c r="I964" i="4"/>
  <c r="M221" i="2"/>
  <c r="F221" i="2"/>
  <c r="G221" i="2" s="1"/>
  <c r="B38" i="13"/>
  <c r="B44" i="13"/>
  <c r="G772" i="19" l="1"/>
  <c r="N34" i="6"/>
  <c r="G730" i="19"/>
  <c r="N305" i="5"/>
  <c r="AV1001" i="4"/>
  <c r="BI627" i="4"/>
  <c r="BI1001" i="4"/>
  <c r="BI1009" i="4"/>
  <c r="AV546" i="4"/>
  <c r="BI537" i="4"/>
  <c r="AV1009" i="4"/>
  <c r="BI964" i="4"/>
  <c r="AV989" i="4"/>
  <c r="BI989" i="4"/>
  <c r="AV964" i="4"/>
  <c r="AV975" i="4"/>
  <c r="BI975" i="4"/>
  <c r="AQ42" i="17"/>
  <c r="BA4" i="4"/>
  <c r="BB4" i="4"/>
  <c r="BC4" i="4"/>
  <c r="BD4" i="4"/>
  <c r="BE4" i="4"/>
  <c r="BF4" i="4"/>
  <c r="BG4" i="4"/>
  <c r="BH4" i="4"/>
  <c r="BA5" i="4"/>
  <c r="BB5" i="4"/>
  <c r="BC5" i="4"/>
  <c r="BD5" i="4"/>
  <c r="BE5" i="4"/>
  <c r="BF5" i="4"/>
  <c r="BG5" i="4"/>
  <c r="BH5" i="4"/>
  <c r="BA6" i="4"/>
  <c r="BB6" i="4"/>
  <c r="BC6" i="4"/>
  <c r="BD6" i="4"/>
  <c r="BE6" i="4"/>
  <c r="BF6" i="4"/>
  <c r="BG6" i="4"/>
  <c r="BH6" i="4"/>
  <c r="BA7" i="4"/>
  <c r="BB7" i="4"/>
  <c r="BC7" i="4"/>
  <c r="BD7" i="4"/>
  <c r="BE7" i="4"/>
  <c r="BF7" i="4"/>
  <c r="BG7" i="4"/>
  <c r="BH7" i="4"/>
  <c r="BA8" i="4"/>
  <c r="BB8" i="4"/>
  <c r="BC8" i="4"/>
  <c r="BD8" i="4"/>
  <c r="BE8" i="4"/>
  <c r="BF8" i="4"/>
  <c r="BG8" i="4"/>
  <c r="BH8" i="4"/>
  <c r="BA9" i="4"/>
  <c r="BB9" i="4"/>
  <c r="BC9" i="4"/>
  <c r="BD9" i="4"/>
  <c r="BE9" i="4"/>
  <c r="BF9" i="4"/>
  <c r="BG9" i="4"/>
  <c r="BH9" i="4"/>
  <c r="BA10" i="4"/>
  <c r="BB10" i="4"/>
  <c r="BC10" i="4"/>
  <c r="BD10" i="4"/>
  <c r="BE10" i="4"/>
  <c r="BF10" i="4"/>
  <c r="BG10" i="4"/>
  <c r="BH10" i="4"/>
  <c r="BA11" i="4"/>
  <c r="BB11" i="4"/>
  <c r="BC11" i="4"/>
  <c r="BD11" i="4"/>
  <c r="BE11" i="4"/>
  <c r="BF11" i="4"/>
  <c r="BG11" i="4"/>
  <c r="BH11" i="4"/>
  <c r="BA12" i="4"/>
  <c r="BB12" i="4"/>
  <c r="BC12" i="4"/>
  <c r="BD12" i="4"/>
  <c r="BE12" i="4"/>
  <c r="BF12" i="4"/>
  <c r="BG12" i="4"/>
  <c r="BH12" i="4"/>
  <c r="BA13" i="4"/>
  <c r="BB13" i="4"/>
  <c r="BC13" i="4"/>
  <c r="BD13" i="4"/>
  <c r="BE13" i="4"/>
  <c r="BF13" i="4"/>
  <c r="BG13" i="4"/>
  <c r="BH13" i="4"/>
  <c r="BA14" i="4"/>
  <c r="BB14" i="4"/>
  <c r="BC14" i="4"/>
  <c r="BD14" i="4"/>
  <c r="BE14" i="4"/>
  <c r="BF14" i="4"/>
  <c r="BG14" i="4"/>
  <c r="BH14" i="4"/>
  <c r="BA15" i="4"/>
  <c r="BB15" i="4"/>
  <c r="BC15" i="4"/>
  <c r="BD15" i="4"/>
  <c r="BE15" i="4"/>
  <c r="BF15" i="4"/>
  <c r="BG15" i="4"/>
  <c r="BH15" i="4"/>
  <c r="BA16" i="4"/>
  <c r="BB16" i="4"/>
  <c r="BC16" i="4"/>
  <c r="BD16" i="4"/>
  <c r="BE16" i="4"/>
  <c r="BF16" i="4"/>
  <c r="BG16" i="4"/>
  <c r="BH16" i="4"/>
  <c r="BA17" i="4"/>
  <c r="BB17" i="4"/>
  <c r="BC17" i="4"/>
  <c r="BD17" i="4"/>
  <c r="BE17" i="4"/>
  <c r="BF17" i="4"/>
  <c r="BG17" i="4"/>
  <c r="BH17" i="4"/>
  <c r="BA18" i="4"/>
  <c r="BB18" i="4"/>
  <c r="BC18" i="4"/>
  <c r="BD18" i="4"/>
  <c r="BE18" i="4"/>
  <c r="BF18" i="4"/>
  <c r="BG18" i="4"/>
  <c r="BH18" i="4"/>
  <c r="BA19" i="4"/>
  <c r="BB19" i="4"/>
  <c r="BC19" i="4"/>
  <c r="BD19" i="4"/>
  <c r="BE19" i="4"/>
  <c r="BF19" i="4"/>
  <c r="BG19" i="4"/>
  <c r="BH19" i="4"/>
  <c r="BA20" i="4"/>
  <c r="BB20" i="4"/>
  <c r="BC20" i="4"/>
  <c r="BD20" i="4"/>
  <c r="BE20" i="4"/>
  <c r="BF20" i="4"/>
  <c r="BG20" i="4"/>
  <c r="BH20" i="4"/>
  <c r="BA21" i="4"/>
  <c r="BB21" i="4"/>
  <c r="BC21" i="4"/>
  <c r="BD21" i="4"/>
  <c r="BE21" i="4"/>
  <c r="BF21" i="4"/>
  <c r="BG21" i="4"/>
  <c r="BH21" i="4"/>
  <c r="BA22" i="4"/>
  <c r="BB22" i="4"/>
  <c r="BC22" i="4"/>
  <c r="BD22" i="4"/>
  <c r="BE22" i="4"/>
  <c r="BF22" i="4"/>
  <c r="BG22" i="4"/>
  <c r="BH22" i="4"/>
  <c r="BA23" i="4"/>
  <c r="BB23" i="4"/>
  <c r="BC23" i="4"/>
  <c r="BD23" i="4"/>
  <c r="BE23" i="4"/>
  <c r="BF23" i="4"/>
  <c r="BG23" i="4"/>
  <c r="BH23" i="4"/>
  <c r="BA24" i="4"/>
  <c r="BB24" i="4"/>
  <c r="BC24" i="4"/>
  <c r="BD24" i="4"/>
  <c r="BE24" i="4"/>
  <c r="BF24" i="4"/>
  <c r="BG24" i="4"/>
  <c r="BH24" i="4"/>
  <c r="BA25" i="4"/>
  <c r="BB25" i="4"/>
  <c r="BC25" i="4"/>
  <c r="BD25" i="4"/>
  <c r="BE25" i="4"/>
  <c r="BF25" i="4"/>
  <c r="BG25" i="4"/>
  <c r="BH25" i="4"/>
  <c r="BA26" i="4"/>
  <c r="BB26" i="4"/>
  <c r="BC26" i="4"/>
  <c r="BD26" i="4"/>
  <c r="BE26" i="4"/>
  <c r="BF26" i="4"/>
  <c r="BG26" i="4"/>
  <c r="BH26" i="4"/>
  <c r="BA27" i="4"/>
  <c r="BB27" i="4"/>
  <c r="BC27" i="4"/>
  <c r="BD27" i="4"/>
  <c r="BE27" i="4"/>
  <c r="BF27" i="4"/>
  <c r="BG27" i="4"/>
  <c r="BH27" i="4"/>
  <c r="BA28" i="4"/>
  <c r="BB28" i="4"/>
  <c r="BC28" i="4"/>
  <c r="BD28" i="4"/>
  <c r="BE28" i="4"/>
  <c r="BF28" i="4"/>
  <c r="BG28" i="4"/>
  <c r="BH28" i="4"/>
  <c r="BA29" i="4"/>
  <c r="BB29" i="4"/>
  <c r="BC29" i="4"/>
  <c r="BD29" i="4"/>
  <c r="BE29" i="4"/>
  <c r="BF29" i="4"/>
  <c r="BG29" i="4"/>
  <c r="BH29" i="4"/>
  <c r="BA30" i="4"/>
  <c r="BB30" i="4"/>
  <c r="BC30" i="4"/>
  <c r="BD30" i="4"/>
  <c r="BE30" i="4"/>
  <c r="BF30" i="4"/>
  <c r="BG30" i="4"/>
  <c r="BH30" i="4"/>
  <c r="BA31" i="4"/>
  <c r="BB31" i="4"/>
  <c r="BC31" i="4"/>
  <c r="BD31" i="4"/>
  <c r="BE31" i="4"/>
  <c r="BF31" i="4"/>
  <c r="BG31" i="4"/>
  <c r="BH31" i="4"/>
  <c r="BA32" i="4"/>
  <c r="BB32" i="4"/>
  <c r="BC32" i="4"/>
  <c r="BD32" i="4"/>
  <c r="BE32" i="4"/>
  <c r="BF32" i="4"/>
  <c r="BG32" i="4"/>
  <c r="BH32" i="4"/>
  <c r="BA33" i="4"/>
  <c r="BB33" i="4"/>
  <c r="BC33" i="4"/>
  <c r="BD33" i="4"/>
  <c r="BE33" i="4"/>
  <c r="BF33" i="4"/>
  <c r="BG33" i="4"/>
  <c r="BH33" i="4"/>
  <c r="BA34" i="4"/>
  <c r="BB34" i="4"/>
  <c r="BC34" i="4"/>
  <c r="BD34" i="4"/>
  <c r="BE34" i="4"/>
  <c r="BF34" i="4"/>
  <c r="BG34" i="4"/>
  <c r="BH34" i="4"/>
  <c r="BA35" i="4"/>
  <c r="BB35" i="4"/>
  <c r="BC35" i="4"/>
  <c r="BD35" i="4"/>
  <c r="BE35" i="4"/>
  <c r="BF35" i="4"/>
  <c r="BG35" i="4"/>
  <c r="BH35" i="4"/>
  <c r="BA36" i="4"/>
  <c r="BB36" i="4"/>
  <c r="BC36" i="4"/>
  <c r="BD36" i="4"/>
  <c r="BE36" i="4"/>
  <c r="BF36" i="4"/>
  <c r="BG36" i="4"/>
  <c r="BH36" i="4"/>
  <c r="BA37" i="4"/>
  <c r="BB37" i="4"/>
  <c r="BC37" i="4"/>
  <c r="BD37" i="4"/>
  <c r="BE37" i="4"/>
  <c r="BF37" i="4"/>
  <c r="BG37" i="4"/>
  <c r="BH37" i="4"/>
  <c r="BA38" i="4"/>
  <c r="BB38" i="4"/>
  <c r="BC38" i="4"/>
  <c r="BD38" i="4"/>
  <c r="BE38" i="4"/>
  <c r="BF38" i="4"/>
  <c r="BG38" i="4"/>
  <c r="BH38" i="4"/>
  <c r="BA39" i="4"/>
  <c r="BB39" i="4"/>
  <c r="BC39" i="4"/>
  <c r="BD39" i="4"/>
  <c r="BE39" i="4"/>
  <c r="BF39" i="4"/>
  <c r="BG39" i="4"/>
  <c r="BH39" i="4"/>
  <c r="BA40" i="4"/>
  <c r="BB40" i="4"/>
  <c r="BC40" i="4"/>
  <c r="BD40" i="4"/>
  <c r="BE40" i="4"/>
  <c r="BF40" i="4"/>
  <c r="BG40" i="4"/>
  <c r="BH40" i="4"/>
  <c r="BA41" i="4"/>
  <c r="BB41" i="4"/>
  <c r="BC41" i="4"/>
  <c r="BD41" i="4"/>
  <c r="BE41" i="4"/>
  <c r="BF41" i="4"/>
  <c r="BG41" i="4"/>
  <c r="BH41" i="4"/>
  <c r="BA42" i="4"/>
  <c r="BB42" i="4"/>
  <c r="BC42" i="4"/>
  <c r="BD42" i="4"/>
  <c r="BE42" i="4"/>
  <c r="BF42" i="4"/>
  <c r="BG42" i="4"/>
  <c r="BH42" i="4"/>
  <c r="BA43" i="4"/>
  <c r="BB43" i="4"/>
  <c r="BC43" i="4"/>
  <c r="BD43" i="4"/>
  <c r="BE43" i="4"/>
  <c r="BF43" i="4"/>
  <c r="BG43" i="4"/>
  <c r="BH43" i="4"/>
  <c r="BA44" i="4"/>
  <c r="BB44" i="4"/>
  <c r="BC44" i="4"/>
  <c r="BD44" i="4"/>
  <c r="BE44" i="4"/>
  <c r="BF44" i="4"/>
  <c r="BG44" i="4"/>
  <c r="BH44" i="4"/>
  <c r="BA45" i="4"/>
  <c r="BB45" i="4"/>
  <c r="BC45" i="4"/>
  <c r="BD45" i="4"/>
  <c r="BE45" i="4"/>
  <c r="BF45" i="4"/>
  <c r="BG45" i="4"/>
  <c r="BH45" i="4"/>
  <c r="BA46" i="4"/>
  <c r="BB46" i="4"/>
  <c r="BC46" i="4"/>
  <c r="BD46" i="4"/>
  <c r="BE46" i="4"/>
  <c r="BF46" i="4"/>
  <c r="BG46" i="4"/>
  <c r="BH46" i="4"/>
  <c r="BA47" i="4"/>
  <c r="BB47" i="4"/>
  <c r="BC47" i="4"/>
  <c r="BD47" i="4"/>
  <c r="BE47" i="4"/>
  <c r="BF47" i="4"/>
  <c r="BG47" i="4"/>
  <c r="BH47" i="4"/>
  <c r="BA48" i="4"/>
  <c r="BB48" i="4"/>
  <c r="BC48" i="4"/>
  <c r="BD48" i="4"/>
  <c r="BE48" i="4"/>
  <c r="BF48" i="4"/>
  <c r="BG48" i="4"/>
  <c r="BH48" i="4"/>
  <c r="BA49" i="4"/>
  <c r="BB49" i="4"/>
  <c r="BC49" i="4"/>
  <c r="BD49" i="4"/>
  <c r="BE49" i="4"/>
  <c r="BF49" i="4"/>
  <c r="BG49" i="4"/>
  <c r="BH49" i="4"/>
  <c r="BA50" i="4"/>
  <c r="BB50" i="4"/>
  <c r="BC50" i="4"/>
  <c r="BD50" i="4"/>
  <c r="BE50" i="4"/>
  <c r="BF50" i="4"/>
  <c r="BG50" i="4"/>
  <c r="BH50" i="4"/>
  <c r="BA51" i="4"/>
  <c r="BB51" i="4"/>
  <c r="BC51" i="4"/>
  <c r="BD51" i="4"/>
  <c r="BE51" i="4"/>
  <c r="BF51" i="4"/>
  <c r="BG51" i="4"/>
  <c r="BH51" i="4"/>
  <c r="BA52" i="4"/>
  <c r="BB52" i="4"/>
  <c r="BC52" i="4"/>
  <c r="BD52" i="4"/>
  <c r="BE52" i="4"/>
  <c r="BF52" i="4"/>
  <c r="BG52" i="4"/>
  <c r="BH52" i="4"/>
  <c r="BA53" i="4"/>
  <c r="BB53" i="4"/>
  <c r="BC53" i="4"/>
  <c r="BD53" i="4"/>
  <c r="BE53" i="4"/>
  <c r="BF53" i="4"/>
  <c r="BG53" i="4"/>
  <c r="BH53" i="4"/>
  <c r="BA54" i="4"/>
  <c r="BB54" i="4"/>
  <c r="BC54" i="4"/>
  <c r="BD54" i="4"/>
  <c r="BE54" i="4"/>
  <c r="BF54" i="4"/>
  <c r="BG54" i="4"/>
  <c r="BH54" i="4"/>
  <c r="BA55" i="4"/>
  <c r="BB55" i="4"/>
  <c r="BC55" i="4"/>
  <c r="BD55" i="4"/>
  <c r="BE55" i="4"/>
  <c r="BF55" i="4"/>
  <c r="BG55" i="4"/>
  <c r="BH55" i="4"/>
  <c r="BA56" i="4"/>
  <c r="BB56" i="4"/>
  <c r="BC56" i="4"/>
  <c r="BD56" i="4"/>
  <c r="BE56" i="4"/>
  <c r="BF56" i="4"/>
  <c r="BG56" i="4"/>
  <c r="BH56" i="4"/>
  <c r="BA57" i="4"/>
  <c r="BB57" i="4"/>
  <c r="BC57" i="4"/>
  <c r="BD57" i="4"/>
  <c r="BE57" i="4"/>
  <c r="BF57" i="4"/>
  <c r="BG57" i="4"/>
  <c r="BH57" i="4"/>
  <c r="BA58" i="4"/>
  <c r="BB58" i="4"/>
  <c r="BC58" i="4"/>
  <c r="BD58" i="4"/>
  <c r="BE58" i="4"/>
  <c r="BF58" i="4"/>
  <c r="BG58" i="4"/>
  <c r="BH58" i="4"/>
  <c r="BA59" i="4"/>
  <c r="BB59" i="4"/>
  <c r="BC59" i="4"/>
  <c r="BD59" i="4"/>
  <c r="BE59" i="4"/>
  <c r="BF59" i="4"/>
  <c r="BG59" i="4"/>
  <c r="BH59" i="4"/>
  <c r="BA60" i="4"/>
  <c r="BB60" i="4"/>
  <c r="BC60" i="4"/>
  <c r="BD60" i="4"/>
  <c r="BE60" i="4"/>
  <c r="BF60" i="4"/>
  <c r="BG60" i="4"/>
  <c r="BH60" i="4"/>
  <c r="BA61" i="4"/>
  <c r="BB61" i="4"/>
  <c r="BC61" i="4"/>
  <c r="BD61" i="4"/>
  <c r="BE61" i="4"/>
  <c r="BF61" i="4"/>
  <c r="BG61" i="4"/>
  <c r="BH61" i="4"/>
  <c r="BA62" i="4"/>
  <c r="BB62" i="4"/>
  <c r="BC62" i="4"/>
  <c r="BD62" i="4"/>
  <c r="BE62" i="4"/>
  <c r="BF62" i="4"/>
  <c r="BG62" i="4"/>
  <c r="BH62" i="4"/>
  <c r="BA63" i="4"/>
  <c r="BB63" i="4"/>
  <c r="BC63" i="4"/>
  <c r="BD63" i="4"/>
  <c r="BE63" i="4"/>
  <c r="BF63" i="4"/>
  <c r="BG63" i="4"/>
  <c r="BH63" i="4"/>
  <c r="BA64" i="4"/>
  <c r="BB64" i="4"/>
  <c r="BC64" i="4"/>
  <c r="BD64" i="4"/>
  <c r="BE64" i="4"/>
  <c r="BF64" i="4"/>
  <c r="BG64" i="4"/>
  <c r="BH64" i="4"/>
  <c r="BA65" i="4"/>
  <c r="BB65" i="4"/>
  <c r="BC65" i="4"/>
  <c r="BD65" i="4"/>
  <c r="BE65" i="4"/>
  <c r="BF65" i="4"/>
  <c r="BG65" i="4"/>
  <c r="BH65" i="4"/>
  <c r="BA66" i="4"/>
  <c r="BB66" i="4"/>
  <c r="BC66" i="4"/>
  <c r="BD66" i="4"/>
  <c r="BE66" i="4"/>
  <c r="BF66" i="4"/>
  <c r="BG66" i="4"/>
  <c r="BH66" i="4"/>
  <c r="BA67" i="4"/>
  <c r="BB67" i="4"/>
  <c r="BC67" i="4"/>
  <c r="BD67" i="4"/>
  <c r="BE67" i="4"/>
  <c r="BF67" i="4"/>
  <c r="BG67" i="4"/>
  <c r="BH67" i="4"/>
  <c r="BA68" i="4"/>
  <c r="BB68" i="4"/>
  <c r="BC68" i="4"/>
  <c r="BD68" i="4"/>
  <c r="BE68" i="4"/>
  <c r="BF68" i="4"/>
  <c r="BG68" i="4"/>
  <c r="BH68" i="4"/>
  <c r="BA69" i="4"/>
  <c r="BB69" i="4"/>
  <c r="BC69" i="4"/>
  <c r="BD69" i="4"/>
  <c r="BE69" i="4"/>
  <c r="BF69" i="4"/>
  <c r="BG69" i="4"/>
  <c r="BH69" i="4"/>
  <c r="BA70" i="4"/>
  <c r="BB70" i="4"/>
  <c r="BC70" i="4"/>
  <c r="BD70" i="4"/>
  <c r="BE70" i="4"/>
  <c r="BF70" i="4"/>
  <c r="BG70" i="4"/>
  <c r="BH70" i="4"/>
  <c r="BA71" i="4"/>
  <c r="BB71" i="4"/>
  <c r="BC71" i="4"/>
  <c r="BD71" i="4"/>
  <c r="BE71" i="4"/>
  <c r="BF71" i="4"/>
  <c r="BG71" i="4"/>
  <c r="BH71" i="4"/>
  <c r="BA72" i="4"/>
  <c r="BB72" i="4"/>
  <c r="BC72" i="4"/>
  <c r="BD72" i="4"/>
  <c r="BE72" i="4"/>
  <c r="BF72" i="4"/>
  <c r="BG72" i="4"/>
  <c r="BH72" i="4"/>
  <c r="BA73" i="4"/>
  <c r="BB73" i="4"/>
  <c r="BC73" i="4"/>
  <c r="BD73" i="4"/>
  <c r="BE73" i="4"/>
  <c r="BF73" i="4"/>
  <c r="BG73" i="4"/>
  <c r="BH73" i="4"/>
  <c r="BA74" i="4"/>
  <c r="BB74" i="4"/>
  <c r="BC74" i="4"/>
  <c r="BD74" i="4"/>
  <c r="BE74" i="4"/>
  <c r="BF74" i="4"/>
  <c r="BG74" i="4"/>
  <c r="BH74" i="4"/>
  <c r="BA75" i="4"/>
  <c r="BB75" i="4"/>
  <c r="BC75" i="4"/>
  <c r="BD75" i="4"/>
  <c r="BE75" i="4"/>
  <c r="BF75" i="4"/>
  <c r="BG75" i="4"/>
  <c r="BH75" i="4"/>
  <c r="BA76" i="4"/>
  <c r="BB76" i="4"/>
  <c r="BC76" i="4"/>
  <c r="BD76" i="4"/>
  <c r="BE76" i="4"/>
  <c r="BF76" i="4"/>
  <c r="BG76" i="4"/>
  <c r="BH76" i="4"/>
  <c r="BA77" i="4"/>
  <c r="BB77" i="4"/>
  <c r="BC77" i="4"/>
  <c r="BD77" i="4"/>
  <c r="BE77" i="4"/>
  <c r="BF77" i="4"/>
  <c r="BG77" i="4"/>
  <c r="BH77" i="4"/>
  <c r="BA78" i="4"/>
  <c r="BB78" i="4"/>
  <c r="BC78" i="4"/>
  <c r="BD78" i="4"/>
  <c r="BE78" i="4"/>
  <c r="BF78" i="4"/>
  <c r="BG78" i="4"/>
  <c r="BH78" i="4"/>
  <c r="BA79" i="4"/>
  <c r="BB79" i="4"/>
  <c r="BC79" i="4"/>
  <c r="BD79" i="4"/>
  <c r="BE79" i="4"/>
  <c r="BF79" i="4"/>
  <c r="BG79" i="4"/>
  <c r="BH79" i="4"/>
  <c r="BA80" i="4"/>
  <c r="BB80" i="4"/>
  <c r="BC80" i="4"/>
  <c r="BD80" i="4"/>
  <c r="BE80" i="4"/>
  <c r="BF80" i="4"/>
  <c r="BG80" i="4"/>
  <c r="BH80" i="4"/>
  <c r="BA81" i="4"/>
  <c r="BB81" i="4"/>
  <c r="BC81" i="4"/>
  <c r="BD81" i="4"/>
  <c r="BE81" i="4"/>
  <c r="BF81" i="4"/>
  <c r="BG81" i="4"/>
  <c r="BH81" i="4"/>
  <c r="BA82" i="4"/>
  <c r="BB82" i="4"/>
  <c r="BC82" i="4"/>
  <c r="BD82" i="4"/>
  <c r="BE82" i="4"/>
  <c r="BF82" i="4"/>
  <c r="BG82" i="4"/>
  <c r="BH82" i="4"/>
  <c r="BA83" i="4"/>
  <c r="BB83" i="4"/>
  <c r="BC83" i="4"/>
  <c r="BD83" i="4"/>
  <c r="BE83" i="4"/>
  <c r="BF83" i="4"/>
  <c r="BG83" i="4"/>
  <c r="BH83" i="4"/>
  <c r="BA84" i="4"/>
  <c r="BB84" i="4"/>
  <c r="BC84" i="4"/>
  <c r="BD84" i="4"/>
  <c r="BE84" i="4"/>
  <c r="BF84" i="4"/>
  <c r="BG84" i="4"/>
  <c r="BH84" i="4"/>
  <c r="BA85" i="4"/>
  <c r="BB85" i="4"/>
  <c r="BC85" i="4"/>
  <c r="BD85" i="4"/>
  <c r="BE85" i="4"/>
  <c r="BF85" i="4"/>
  <c r="BG85" i="4"/>
  <c r="BH85" i="4"/>
  <c r="BA86" i="4"/>
  <c r="BB86" i="4"/>
  <c r="BC86" i="4"/>
  <c r="BD86" i="4"/>
  <c r="BE86" i="4"/>
  <c r="BF86" i="4"/>
  <c r="BG86" i="4"/>
  <c r="BH86" i="4"/>
  <c r="BA87" i="4"/>
  <c r="BB87" i="4"/>
  <c r="BC87" i="4"/>
  <c r="BD87" i="4"/>
  <c r="BE87" i="4"/>
  <c r="BF87" i="4"/>
  <c r="BG87" i="4"/>
  <c r="BH87" i="4"/>
  <c r="BA88" i="4"/>
  <c r="BB88" i="4"/>
  <c r="BC88" i="4"/>
  <c r="BD88" i="4"/>
  <c r="BE88" i="4"/>
  <c r="BF88" i="4"/>
  <c r="BG88" i="4"/>
  <c r="BH88" i="4"/>
  <c r="BA89" i="4"/>
  <c r="BB89" i="4"/>
  <c r="BC89" i="4"/>
  <c r="BD89" i="4"/>
  <c r="BE89" i="4"/>
  <c r="BF89" i="4"/>
  <c r="BG89" i="4"/>
  <c r="BH89" i="4"/>
  <c r="BA90" i="4"/>
  <c r="BB90" i="4"/>
  <c r="BC90" i="4"/>
  <c r="BD90" i="4"/>
  <c r="BE90" i="4"/>
  <c r="BF90" i="4"/>
  <c r="BG90" i="4"/>
  <c r="BH90" i="4"/>
  <c r="BA91" i="4"/>
  <c r="BB91" i="4"/>
  <c r="BC91" i="4"/>
  <c r="BD91" i="4"/>
  <c r="BE91" i="4"/>
  <c r="BF91" i="4"/>
  <c r="BG91" i="4"/>
  <c r="BH91" i="4"/>
  <c r="BA92" i="4"/>
  <c r="BB92" i="4"/>
  <c r="BC92" i="4"/>
  <c r="BD92" i="4"/>
  <c r="BE92" i="4"/>
  <c r="BF92" i="4"/>
  <c r="BG92" i="4"/>
  <c r="BH92" i="4"/>
  <c r="BA93" i="4"/>
  <c r="BB93" i="4"/>
  <c r="BC93" i="4"/>
  <c r="BD93" i="4"/>
  <c r="BE93" i="4"/>
  <c r="BF93" i="4"/>
  <c r="BG93" i="4"/>
  <c r="BH93" i="4"/>
  <c r="BA94" i="4"/>
  <c r="BB94" i="4"/>
  <c r="BC94" i="4"/>
  <c r="BD94" i="4"/>
  <c r="BE94" i="4"/>
  <c r="BF94" i="4"/>
  <c r="BG94" i="4"/>
  <c r="BH94" i="4"/>
  <c r="BA95" i="4"/>
  <c r="BB95" i="4"/>
  <c r="BC95" i="4"/>
  <c r="BD95" i="4"/>
  <c r="BE95" i="4"/>
  <c r="BF95" i="4"/>
  <c r="BG95" i="4"/>
  <c r="BH95" i="4"/>
  <c r="BA96" i="4"/>
  <c r="BB96" i="4"/>
  <c r="BC96" i="4"/>
  <c r="BD96" i="4"/>
  <c r="BE96" i="4"/>
  <c r="BF96" i="4"/>
  <c r="BG96" i="4"/>
  <c r="BH96" i="4"/>
  <c r="BA97" i="4"/>
  <c r="BB97" i="4"/>
  <c r="BC97" i="4"/>
  <c r="BD97" i="4"/>
  <c r="BE97" i="4"/>
  <c r="BF97" i="4"/>
  <c r="BG97" i="4"/>
  <c r="BH97" i="4"/>
  <c r="BA98" i="4"/>
  <c r="BB98" i="4"/>
  <c r="BC98" i="4"/>
  <c r="BD98" i="4"/>
  <c r="BE98" i="4"/>
  <c r="BF98" i="4"/>
  <c r="BG98" i="4"/>
  <c r="BH98" i="4"/>
  <c r="BA99" i="4"/>
  <c r="BB99" i="4"/>
  <c r="BC99" i="4"/>
  <c r="BD99" i="4"/>
  <c r="BE99" i="4"/>
  <c r="BF99" i="4"/>
  <c r="BG99" i="4"/>
  <c r="BH99" i="4"/>
  <c r="BA100" i="4"/>
  <c r="BB100" i="4"/>
  <c r="BC100" i="4"/>
  <c r="BD100" i="4"/>
  <c r="BE100" i="4"/>
  <c r="BF100" i="4"/>
  <c r="BG100" i="4"/>
  <c r="BH100" i="4"/>
  <c r="BA101" i="4"/>
  <c r="BB101" i="4"/>
  <c r="BC101" i="4"/>
  <c r="BD101" i="4"/>
  <c r="BE101" i="4"/>
  <c r="BF101" i="4"/>
  <c r="BG101" i="4"/>
  <c r="BH101" i="4"/>
  <c r="BA102" i="4"/>
  <c r="BB102" i="4"/>
  <c r="BC102" i="4"/>
  <c r="BD102" i="4"/>
  <c r="BE102" i="4"/>
  <c r="BF102" i="4"/>
  <c r="BG102" i="4"/>
  <c r="BH102" i="4"/>
  <c r="BA103" i="4"/>
  <c r="BB103" i="4"/>
  <c r="BC103" i="4"/>
  <c r="BD103" i="4"/>
  <c r="BE103" i="4"/>
  <c r="BF103" i="4"/>
  <c r="BG103" i="4"/>
  <c r="BH103" i="4"/>
  <c r="BA104" i="4"/>
  <c r="BB104" i="4"/>
  <c r="BC104" i="4"/>
  <c r="BD104" i="4"/>
  <c r="BE104" i="4"/>
  <c r="BF104" i="4"/>
  <c r="BG104" i="4"/>
  <c r="BH104" i="4"/>
  <c r="BA105" i="4"/>
  <c r="BB105" i="4"/>
  <c r="BC105" i="4"/>
  <c r="BD105" i="4"/>
  <c r="BE105" i="4"/>
  <c r="BF105" i="4"/>
  <c r="BG105" i="4"/>
  <c r="BH105" i="4"/>
  <c r="BA106" i="4"/>
  <c r="BB106" i="4"/>
  <c r="BC106" i="4"/>
  <c r="BD106" i="4"/>
  <c r="BE106" i="4"/>
  <c r="BF106" i="4"/>
  <c r="BG106" i="4"/>
  <c r="BH106" i="4"/>
  <c r="BA107" i="4"/>
  <c r="BB107" i="4"/>
  <c r="BC107" i="4"/>
  <c r="BD107" i="4"/>
  <c r="BE107" i="4"/>
  <c r="BF107" i="4"/>
  <c r="BG107" i="4"/>
  <c r="BH107" i="4"/>
  <c r="BA108" i="4"/>
  <c r="BB108" i="4"/>
  <c r="BC108" i="4"/>
  <c r="BD108" i="4"/>
  <c r="BE108" i="4"/>
  <c r="BF108" i="4"/>
  <c r="BG108" i="4"/>
  <c r="BH108" i="4"/>
  <c r="BA109" i="4"/>
  <c r="BB109" i="4"/>
  <c r="BC109" i="4"/>
  <c r="BD109" i="4"/>
  <c r="BE109" i="4"/>
  <c r="BF109" i="4"/>
  <c r="BG109" i="4"/>
  <c r="BH109" i="4"/>
  <c r="BA110" i="4"/>
  <c r="BB110" i="4"/>
  <c r="BC110" i="4"/>
  <c r="BD110" i="4"/>
  <c r="BE110" i="4"/>
  <c r="BF110" i="4"/>
  <c r="BG110" i="4"/>
  <c r="BH110" i="4"/>
  <c r="BA111" i="4"/>
  <c r="BB111" i="4"/>
  <c r="BC111" i="4"/>
  <c r="BD111" i="4"/>
  <c r="BE111" i="4"/>
  <c r="BF111" i="4"/>
  <c r="BG111" i="4"/>
  <c r="BH111" i="4"/>
  <c r="BA112" i="4"/>
  <c r="BB112" i="4"/>
  <c r="BC112" i="4"/>
  <c r="BD112" i="4"/>
  <c r="BE112" i="4"/>
  <c r="BF112" i="4"/>
  <c r="BG112" i="4"/>
  <c r="BH112" i="4"/>
  <c r="BA113" i="4"/>
  <c r="BB113" i="4"/>
  <c r="BC113" i="4"/>
  <c r="BD113" i="4"/>
  <c r="BE113" i="4"/>
  <c r="BF113" i="4"/>
  <c r="BG113" i="4"/>
  <c r="BH113" i="4"/>
  <c r="BA114" i="4"/>
  <c r="BB114" i="4"/>
  <c r="BC114" i="4"/>
  <c r="BD114" i="4"/>
  <c r="BE114" i="4"/>
  <c r="BF114" i="4"/>
  <c r="BG114" i="4"/>
  <c r="BH114" i="4"/>
  <c r="BA115" i="4"/>
  <c r="BB115" i="4"/>
  <c r="BC115" i="4"/>
  <c r="BD115" i="4"/>
  <c r="BE115" i="4"/>
  <c r="BF115" i="4"/>
  <c r="BG115" i="4"/>
  <c r="BH115" i="4"/>
  <c r="BA116" i="4"/>
  <c r="BB116" i="4"/>
  <c r="BC116" i="4"/>
  <c r="BD116" i="4"/>
  <c r="BE116" i="4"/>
  <c r="BF116" i="4"/>
  <c r="BG116" i="4"/>
  <c r="BH116" i="4"/>
  <c r="BA117" i="4"/>
  <c r="BB117" i="4"/>
  <c r="BC117" i="4"/>
  <c r="BD117" i="4"/>
  <c r="BE117" i="4"/>
  <c r="BF117" i="4"/>
  <c r="BG117" i="4"/>
  <c r="BH117" i="4"/>
  <c r="BA118" i="4"/>
  <c r="BB118" i="4"/>
  <c r="BC118" i="4"/>
  <c r="BD118" i="4"/>
  <c r="BE118" i="4"/>
  <c r="BF118" i="4"/>
  <c r="BG118" i="4"/>
  <c r="BH118" i="4"/>
  <c r="BA119" i="4"/>
  <c r="BB119" i="4"/>
  <c r="BC119" i="4"/>
  <c r="BD119" i="4"/>
  <c r="BE119" i="4"/>
  <c r="BF119" i="4"/>
  <c r="BG119" i="4"/>
  <c r="BH119" i="4"/>
  <c r="BA120" i="4"/>
  <c r="BB120" i="4"/>
  <c r="BC120" i="4"/>
  <c r="BD120" i="4"/>
  <c r="BE120" i="4"/>
  <c r="BF120" i="4"/>
  <c r="BG120" i="4"/>
  <c r="BH120" i="4"/>
  <c r="BA121" i="4"/>
  <c r="BB121" i="4"/>
  <c r="BC121" i="4"/>
  <c r="BD121" i="4"/>
  <c r="BE121" i="4"/>
  <c r="BF121" i="4"/>
  <c r="BG121" i="4"/>
  <c r="BH121" i="4"/>
  <c r="BA122" i="4"/>
  <c r="BB122" i="4"/>
  <c r="BC122" i="4"/>
  <c r="BD122" i="4"/>
  <c r="BE122" i="4"/>
  <c r="BF122" i="4"/>
  <c r="BG122" i="4"/>
  <c r="BH122" i="4"/>
  <c r="BA123" i="4"/>
  <c r="BB123" i="4"/>
  <c r="BC123" i="4"/>
  <c r="BD123" i="4"/>
  <c r="BE123" i="4"/>
  <c r="BF123" i="4"/>
  <c r="BG123" i="4"/>
  <c r="BH123" i="4"/>
  <c r="BA124" i="4"/>
  <c r="BB124" i="4"/>
  <c r="BC124" i="4"/>
  <c r="BD124" i="4"/>
  <c r="BE124" i="4"/>
  <c r="BF124" i="4"/>
  <c r="BG124" i="4"/>
  <c r="BH124" i="4"/>
  <c r="BA125" i="4"/>
  <c r="BB125" i="4"/>
  <c r="BC125" i="4"/>
  <c r="BD125" i="4"/>
  <c r="BE125" i="4"/>
  <c r="BF125" i="4"/>
  <c r="BG125" i="4"/>
  <c r="BH125" i="4"/>
  <c r="BA126" i="4"/>
  <c r="BB126" i="4"/>
  <c r="BC126" i="4"/>
  <c r="BD126" i="4"/>
  <c r="BE126" i="4"/>
  <c r="BF126" i="4"/>
  <c r="BG126" i="4"/>
  <c r="BH126" i="4"/>
  <c r="BA127" i="4"/>
  <c r="BB127" i="4"/>
  <c r="BC127" i="4"/>
  <c r="BD127" i="4"/>
  <c r="BE127" i="4"/>
  <c r="BF127" i="4"/>
  <c r="BG127" i="4"/>
  <c r="BH127" i="4"/>
  <c r="BA128" i="4"/>
  <c r="BB128" i="4"/>
  <c r="BC128" i="4"/>
  <c r="BD128" i="4"/>
  <c r="BE128" i="4"/>
  <c r="BF128" i="4"/>
  <c r="BG128" i="4"/>
  <c r="BH128" i="4"/>
  <c r="BA129" i="4"/>
  <c r="BB129" i="4"/>
  <c r="BC129" i="4"/>
  <c r="BD129" i="4"/>
  <c r="BE129" i="4"/>
  <c r="BF129" i="4"/>
  <c r="BG129" i="4"/>
  <c r="BH129" i="4"/>
  <c r="BA130" i="4"/>
  <c r="BB130" i="4"/>
  <c r="BC130" i="4"/>
  <c r="BD130" i="4"/>
  <c r="BE130" i="4"/>
  <c r="BF130" i="4"/>
  <c r="BG130" i="4"/>
  <c r="BH130" i="4"/>
  <c r="BA131" i="4"/>
  <c r="BB131" i="4"/>
  <c r="BC131" i="4"/>
  <c r="BD131" i="4"/>
  <c r="BE131" i="4"/>
  <c r="BF131" i="4"/>
  <c r="BG131" i="4"/>
  <c r="BH131" i="4"/>
  <c r="BA132" i="4"/>
  <c r="BB132" i="4"/>
  <c r="BC132" i="4"/>
  <c r="BD132" i="4"/>
  <c r="BE132" i="4"/>
  <c r="BF132" i="4"/>
  <c r="BG132" i="4"/>
  <c r="BH132" i="4"/>
  <c r="BA133" i="4"/>
  <c r="BB133" i="4"/>
  <c r="BC133" i="4"/>
  <c r="BD133" i="4"/>
  <c r="BE133" i="4"/>
  <c r="BF133" i="4"/>
  <c r="BG133" i="4"/>
  <c r="BH133" i="4"/>
  <c r="BA134" i="4"/>
  <c r="BB134" i="4"/>
  <c r="BC134" i="4"/>
  <c r="BD134" i="4"/>
  <c r="BE134" i="4"/>
  <c r="BF134" i="4"/>
  <c r="BG134" i="4"/>
  <c r="BH134" i="4"/>
  <c r="BA135" i="4"/>
  <c r="BB135" i="4"/>
  <c r="BC135" i="4"/>
  <c r="BD135" i="4"/>
  <c r="BE135" i="4"/>
  <c r="BF135" i="4"/>
  <c r="BG135" i="4"/>
  <c r="BH135" i="4"/>
  <c r="BA136" i="4"/>
  <c r="BB136" i="4"/>
  <c r="BC136" i="4"/>
  <c r="BD136" i="4"/>
  <c r="BE136" i="4"/>
  <c r="BF136" i="4"/>
  <c r="BG136" i="4"/>
  <c r="BH136" i="4"/>
  <c r="BA137" i="4"/>
  <c r="BB137" i="4"/>
  <c r="BC137" i="4"/>
  <c r="BD137" i="4"/>
  <c r="BE137" i="4"/>
  <c r="BF137" i="4"/>
  <c r="BG137" i="4"/>
  <c r="BH137" i="4"/>
  <c r="BA138" i="4"/>
  <c r="BB138" i="4"/>
  <c r="BC138" i="4"/>
  <c r="BD138" i="4"/>
  <c r="BE138" i="4"/>
  <c r="BF138" i="4"/>
  <c r="BG138" i="4"/>
  <c r="BH138" i="4"/>
  <c r="BA139" i="4"/>
  <c r="BB139" i="4"/>
  <c r="BC139" i="4"/>
  <c r="BD139" i="4"/>
  <c r="BE139" i="4"/>
  <c r="BF139" i="4"/>
  <c r="BG139" i="4"/>
  <c r="BH139" i="4"/>
  <c r="BA140" i="4"/>
  <c r="BB140" i="4"/>
  <c r="BC140" i="4"/>
  <c r="BD140" i="4"/>
  <c r="BE140" i="4"/>
  <c r="BF140" i="4"/>
  <c r="BG140" i="4"/>
  <c r="BH140" i="4"/>
  <c r="BA141" i="4"/>
  <c r="BB141" i="4"/>
  <c r="BC141" i="4"/>
  <c r="BD141" i="4"/>
  <c r="BE141" i="4"/>
  <c r="BF141" i="4"/>
  <c r="BG141" i="4"/>
  <c r="BH141" i="4"/>
  <c r="BA142" i="4"/>
  <c r="BB142" i="4"/>
  <c r="BC142" i="4"/>
  <c r="BD142" i="4"/>
  <c r="BE142" i="4"/>
  <c r="BF142" i="4"/>
  <c r="BG142" i="4"/>
  <c r="BH142" i="4"/>
  <c r="BA143" i="4"/>
  <c r="BB143" i="4"/>
  <c r="BC143" i="4"/>
  <c r="BD143" i="4"/>
  <c r="BE143" i="4"/>
  <c r="BF143" i="4"/>
  <c r="BG143" i="4"/>
  <c r="BH143" i="4"/>
  <c r="BA144" i="4"/>
  <c r="BB144" i="4"/>
  <c r="BC144" i="4"/>
  <c r="BD144" i="4"/>
  <c r="BE144" i="4"/>
  <c r="BF144" i="4"/>
  <c r="BG144" i="4"/>
  <c r="BH144" i="4"/>
  <c r="BA145" i="4"/>
  <c r="BB145" i="4"/>
  <c r="BC145" i="4"/>
  <c r="BD145" i="4"/>
  <c r="BE145" i="4"/>
  <c r="BF145" i="4"/>
  <c r="BG145" i="4"/>
  <c r="BH145" i="4"/>
  <c r="BA146" i="4"/>
  <c r="BB146" i="4"/>
  <c r="BC146" i="4"/>
  <c r="BD146" i="4"/>
  <c r="BE146" i="4"/>
  <c r="BF146" i="4"/>
  <c r="BG146" i="4"/>
  <c r="BH146" i="4"/>
  <c r="BA147" i="4"/>
  <c r="BB147" i="4"/>
  <c r="BC147" i="4"/>
  <c r="BD147" i="4"/>
  <c r="BE147" i="4"/>
  <c r="BF147" i="4"/>
  <c r="BG147" i="4"/>
  <c r="BH147" i="4"/>
  <c r="BA148" i="4"/>
  <c r="BB148" i="4"/>
  <c r="BC148" i="4"/>
  <c r="BD148" i="4"/>
  <c r="BE148" i="4"/>
  <c r="BF148" i="4"/>
  <c r="BG148" i="4"/>
  <c r="BH148" i="4"/>
  <c r="BA149" i="4"/>
  <c r="BB149" i="4"/>
  <c r="BC149" i="4"/>
  <c r="BD149" i="4"/>
  <c r="BE149" i="4"/>
  <c r="BF149" i="4"/>
  <c r="BG149" i="4"/>
  <c r="BH149" i="4"/>
  <c r="BA150" i="4"/>
  <c r="BB150" i="4"/>
  <c r="BC150" i="4"/>
  <c r="BD150" i="4"/>
  <c r="BE150" i="4"/>
  <c r="BF150" i="4"/>
  <c r="BG150" i="4"/>
  <c r="BH150" i="4"/>
  <c r="BA151" i="4"/>
  <c r="BB151" i="4"/>
  <c r="BC151" i="4"/>
  <c r="BD151" i="4"/>
  <c r="BE151" i="4"/>
  <c r="BF151" i="4"/>
  <c r="BG151" i="4"/>
  <c r="BH151" i="4"/>
  <c r="BA152" i="4"/>
  <c r="BB152" i="4"/>
  <c r="BC152" i="4"/>
  <c r="BD152" i="4"/>
  <c r="BE152" i="4"/>
  <c r="BF152" i="4"/>
  <c r="BG152" i="4"/>
  <c r="BH152" i="4"/>
  <c r="BA153" i="4"/>
  <c r="BB153" i="4"/>
  <c r="BC153" i="4"/>
  <c r="BD153" i="4"/>
  <c r="BE153" i="4"/>
  <c r="BF153" i="4"/>
  <c r="BG153" i="4"/>
  <c r="BH153" i="4"/>
  <c r="BA154" i="4"/>
  <c r="BB154" i="4"/>
  <c r="BC154" i="4"/>
  <c r="BD154" i="4"/>
  <c r="BE154" i="4"/>
  <c r="BF154" i="4"/>
  <c r="BG154" i="4"/>
  <c r="BH154" i="4"/>
  <c r="BA155" i="4"/>
  <c r="BB155" i="4"/>
  <c r="BC155" i="4"/>
  <c r="BD155" i="4"/>
  <c r="BE155" i="4"/>
  <c r="BF155" i="4"/>
  <c r="BG155" i="4"/>
  <c r="BH155" i="4"/>
  <c r="BA156" i="4"/>
  <c r="BB156" i="4"/>
  <c r="BC156" i="4"/>
  <c r="BD156" i="4"/>
  <c r="BE156" i="4"/>
  <c r="BF156" i="4"/>
  <c r="BG156" i="4"/>
  <c r="BH156" i="4"/>
  <c r="BA157" i="4"/>
  <c r="BB157" i="4"/>
  <c r="BC157" i="4"/>
  <c r="BD157" i="4"/>
  <c r="BE157" i="4"/>
  <c r="BF157" i="4"/>
  <c r="BG157" i="4"/>
  <c r="BH157" i="4"/>
  <c r="BA158" i="4"/>
  <c r="BB158" i="4"/>
  <c r="BC158" i="4"/>
  <c r="BD158" i="4"/>
  <c r="BE158" i="4"/>
  <c r="BF158" i="4"/>
  <c r="BG158" i="4"/>
  <c r="BH158" i="4"/>
  <c r="BA159" i="4"/>
  <c r="BB159" i="4"/>
  <c r="BC159" i="4"/>
  <c r="BD159" i="4"/>
  <c r="BE159" i="4"/>
  <c r="BF159" i="4"/>
  <c r="BG159" i="4"/>
  <c r="BH159" i="4"/>
  <c r="BA160" i="4"/>
  <c r="BB160" i="4"/>
  <c r="BC160" i="4"/>
  <c r="BD160" i="4"/>
  <c r="BE160" i="4"/>
  <c r="BF160" i="4"/>
  <c r="BG160" i="4"/>
  <c r="BH160" i="4"/>
  <c r="BA161" i="4"/>
  <c r="BB161" i="4"/>
  <c r="BC161" i="4"/>
  <c r="BD161" i="4"/>
  <c r="BE161" i="4"/>
  <c r="BF161" i="4"/>
  <c r="BG161" i="4"/>
  <c r="BH161" i="4"/>
  <c r="BA162" i="4"/>
  <c r="BB162" i="4"/>
  <c r="BC162" i="4"/>
  <c r="BD162" i="4"/>
  <c r="BE162" i="4"/>
  <c r="BF162" i="4"/>
  <c r="BG162" i="4"/>
  <c r="BH162" i="4"/>
  <c r="BA163" i="4"/>
  <c r="BB163" i="4"/>
  <c r="BC163" i="4"/>
  <c r="BD163" i="4"/>
  <c r="BE163" i="4"/>
  <c r="BF163" i="4"/>
  <c r="BG163" i="4"/>
  <c r="BH163" i="4"/>
  <c r="BA164" i="4"/>
  <c r="BB164" i="4"/>
  <c r="BC164" i="4"/>
  <c r="BD164" i="4"/>
  <c r="BE164" i="4"/>
  <c r="BF164" i="4"/>
  <c r="BG164" i="4"/>
  <c r="BH164" i="4"/>
  <c r="BA165" i="4"/>
  <c r="BB165" i="4"/>
  <c r="BC165" i="4"/>
  <c r="BD165" i="4"/>
  <c r="BE165" i="4"/>
  <c r="BF165" i="4"/>
  <c r="BG165" i="4"/>
  <c r="BH165" i="4"/>
  <c r="BA166" i="4"/>
  <c r="BB166" i="4"/>
  <c r="BC166" i="4"/>
  <c r="BD166" i="4"/>
  <c r="BE166" i="4"/>
  <c r="BF166" i="4"/>
  <c r="BG166" i="4"/>
  <c r="BH166" i="4"/>
  <c r="BA167" i="4"/>
  <c r="BB167" i="4"/>
  <c r="BC167" i="4"/>
  <c r="BD167" i="4"/>
  <c r="BE167" i="4"/>
  <c r="BF167" i="4"/>
  <c r="BG167" i="4"/>
  <c r="BH167" i="4"/>
  <c r="BA168" i="4"/>
  <c r="BB168" i="4"/>
  <c r="BC168" i="4"/>
  <c r="BD168" i="4"/>
  <c r="BE168" i="4"/>
  <c r="BF168" i="4"/>
  <c r="BG168" i="4"/>
  <c r="BH168" i="4"/>
  <c r="BA169" i="4"/>
  <c r="BB169" i="4"/>
  <c r="BC169" i="4"/>
  <c r="BD169" i="4"/>
  <c r="BE169" i="4"/>
  <c r="BF169" i="4"/>
  <c r="BG169" i="4"/>
  <c r="BH169" i="4"/>
  <c r="BA170" i="4"/>
  <c r="BB170" i="4"/>
  <c r="BC170" i="4"/>
  <c r="BD170" i="4"/>
  <c r="BE170" i="4"/>
  <c r="BF170" i="4"/>
  <c r="BG170" i="4"/>
  <c r="BH170" i="4"/>
  <c r="BA171" i="4"/>
  <c r="BB171" i="4"/>
  <c r="BC171" i="4"/>
  <c r="BD171" i="4"/>
  <c r="BE171" i="4"/>
  <c r="BF171" i="4"/>
  <c r="BG171" i="4"/>
  <c r="BH171" i="4"/>
  <c r="BA172" i="4"/>
  <c r="BB172" i="4"/>
  <c r="BC172" i="4"/>
  <c r="BD172" i="4"/>
  <c r="BE172" i="4"/>
  <c r="BF172" i="4"/>
  <c r="BG172" i="4"/>
  <c r="BH172" i="4"/>
  <c r="BA173" i="4"/>
  <c r="BB173" i="4"/>
  <c r="BC173" i="4"/>
  <c r="BD173" i="4"/>
  <c r="BE173" i="4"/>
  <c r="BF173" i="4"/>
  <c r="BG173" i="4"/>
  <c r="BH173" i="4"/>
  <c r="BA174" i="4"/>
  <c r="BB174" i="4"/>
  <c r="BC174" i="4"/>
  <c r="BD174" i="4"/>
  <c r="BE174" i="4"/>
  <c r="BF174" i="4"/>
  <c r="BG174" i="4"/>
  <c r="BH174" i="4"/>
  <c r="BA175" i="4"/>
  <c r="BB175" i="4"/>
  <c r="BC175" i="4"/>
  <c r="BD175" i="4"/>
  <c r="BE175" i="4"/>
  <c r="BF175" i="4"/>
  <c r="BG175" i="4"/>
  <c r="BH175" i="4"/>
  <c r="BA176" i="4"/>
  <c r="BB176" i="4"/>
  <c r="BC176" i="4"/>
  <c r="BD176" i="4"/>
  <c r="BE176" i="4"/>
  <c r="BF176" i="4"/>
  <c r="BG176" i="4"/>
  <c r="BH176" i="4"/>
  <c r="BA177" i="4"/>
  <c r="BB177" i="4"/>
  <c r="BC177" i="4"/>
  <c r="BD177" i="4"/>
  <c r="BE177" i="4"/>
  <c r="BF177" i="4"/>
  <c r="BG177" i="4"/>
  <c r="BH177" i="4"/>
  <c r="BA178" i="4"/>
  <c r="BB178" i="4"/>
  <c r="BC178" i="4"/>
  <c r="BD178" i="4"/>
  <c r="BE178" i="4"/>
  <c r="BF178" i="4"/>
  <c r="BG178" i="4"/>
  <c r="BH178" i="4"/>
  <c r="BA179" i="4"/>
  <c r="BB179" i="4"/>
  <c r="BC179" i="4"/>
  <c r="BD179" i="4"/>
  <c r="BE179" i="4"/>
  <c r="BF179" i="4"/>
  <c r="BG179" i="4"/>
  <c r="BH179" i="4"/>
  <c r="BA180" i="4"/>
  <c r="BB180" i="4"/>
  <c r="BC180" i="4"/>
  <c r="BD180" i="4"/>
  <c r="BE180" i="4"/>
  <c r="BF180" i="4"/>
  <c r="BG180" i="4"/>
  <c r="BH180" i="4"/>
  <c r="BA181" i="4"/>
  <c r="BB181" i="4"/>
  <c r="BC181" i="4"/>
  <c r="BD181" i="4"/>
  <c r="BE181" i="4"/>
  <c r="BF181" i="4"/>
  <c r="BG181" i="4"/>
  <c r="BH181" i="4"/>
  <c r="BA182" i="4"/>
  <c r="BB182" i="4"/>
  <c r="BC182" i="4"/>
  <c r="BD182" i="4"/>
  <c r="BE182" i="4"/>
  <c r="BF182" i="4"/>
  <c r="BG182" i="4"/>
  <c r="BH182" i="4"/>
  <c r="BA183" i="4"/>
  <c r="BB183" i="4"/>
  <c r="BC183" i="4"/>
  <c r="BD183" i="4"/>
  <c r="BE183" i="4"/>
  <c r="BF183" i="4"/>
  <c r="BG183" i="4"/>
  <c r="BH183" i="4"/>
  <c r="BA184" i="4"/>
  <c r="BB184" i="4"/>
  <c r="BC184" i="4"/>
  <c r="BD184" i="4"/>
  <c r="BE184" i="4"/>
  <c r="BF184" i="4"/>
  <c r="BG184" i="4"/>
  <c r="BH184" i="4"/>
  <c r="BA185" i="4"/>
  <c r="BB185" i="4"/>
  <c r="BC185" i="4"/>
  <c r="BD185" i="4"/>
  <c r="BE185" i="4"/>
  <c r="BF185" i="4"/>
  <c r="BG185" i="4"/>
  <c r="BH185" i="4"/>
  <c r="BA186" i="4"/>
  <c r="BB186" i="4"/>
  <c r="BC186" i="4"/>
  <c r="BD186" i="4"/>
  <c r="BE186" i="4"/>
  <c r="BF186" i="4"/>
  <c r="BG186" i="4"/>
  <c r="BH186" i="4"/>
  <c r="BA187" i="4"/>
  <c r="BB187" i="4"/>
  <c r="BC187" i="4"/>
  <c r="BD187" i="4"/>
  <c r="BE187" i="4"/>
  <c r="BF187" i="4"/>
  <c r="BG187" i="4"/>
  <c r="BH187" i="4"/>
  <c r="BA188" i="4"/>
  <c r="BB188" i="4"/>
  <c r="BC188" i="4"/>
  <c r="BD188" i="4"/>
  <c r="BE188" i="4"/>
  <c r="BF188" i="4"/>
  <c r="BG188" i="4"/>
  <c r="BH188" i="4"/>
  <c r="BA189" i="4"/>
  <c r="BB189" i="4"/>
  <c r="BC189" i="4"/>
  <c r="BD189" i="4"/>
  <c r="BE189" i="4"/>
  <c r="BF189" i="4"/>
  <c r="BG189" i="4"/>
  <c r="BH189" i="4"/>
  <c r="BA190" i="4"/>
  <c r="BB190" i="4"/>
  <c r="BC190" i="4"/>
  <c r="BD190" i="4"/>
  <c r="BE190" i="4"/>
  <c r="BF190" i="4"/>
  <c r="BG190" i="4"/>
  <c r="BH190" i="4"/>
  <c r="BA191" i="4"/>
  <c r="BB191" i="4"/>
  <c r="BC191" i="4"/>
  <c r="BD191" i="4"/>
  <c r="BE191" i="4"/>
  <c r="BF191" i="4"/>
  <c r="BG191" i="4"/>
  <c r="BH191" i="4"/>
  <c r="BA192" i="4"/>
  <c r="BB192" i="4"/>
  <c r="BC192" i="4"/>
  <c r="BD192" i="4"/>
  <c r="BE192" i="4"/>
  <c r="BF192" i="4"/>
  <c r="BG192" i="4"/>
  <c r="BH192" i="4"/>
  <c r="BA193" i="4"/>
  <c r="BB193" i="4"/>
  <c r="BC193" i="4"/>
  <c r="BD193" i="4"/>
  <c r="BE193" i="4"/>
  <c r="BF193" i="4"/>
  <c r="BG193" i="4"/>
  <c r="BH193" i="4"/>
  <c r="BA194" i="4"/>
  <c r="BB194" i="4"/>
  <c r="BC194" i="4"/>
  <c r="BD194" i="4"/>
  <c r="BE194" i="4"/>
  <c r="BF194" i="4"/>
  <c r="BG194" i="4"/>
  <c r="BH194" i="4"/>
  <c r="BA195" i="4"/>
  <c r="BB195" i="4"/>
  <c r="BC195" i="4"/>
  <c r="BD195" i="4"/>
  <c r="BE195" i="4"/>
  <c r="BF195" i="4"/>
  <c r="BG195" i="4"/>
  <c r="BH195" i="4"/>
  <c r="BA196" i="4"/>
  <c r="BB196" i="4"/>
  <c r="BC196" i="4"/>
  <c r="BD196" i="4"/>
  <c r="BE196" i="4"/>
  <c r="BF196" i="4"/>
  <c r="BG196" i="4"/>
  <c r="BH196" i="4"/>
  <c r="BA197" i="4"/>
  <c r="BB197" i="4"/>
  <c r="BC197" i="4"/>
  <c r="BD197" i="4"/>
  <c r="BE197" i="4"/>
  <c r="BF197" i="4"/>
  <c r="BG197" i="4"/>
  <c r="BH197" i="4"/>
  <c r="BA198" i="4"/>
  <c r="BB198" i="4"/>
  <c r="BC198" i="4"/>
  <c r="BD198" i="4"/>
  <c r="BE198" i="4"/>
  <c r="BF198" i="4"/>
  <c r="BG198" i="4"/>
  <c r="BH198" i="4"/>
  <c r="BA199" i="4"/>
  <c r="BB199" i="4"/>
  <c r="BC199" i="4"/>
  <c r="BD199" i="4"/>
  <c r="BE199" i="4"/>
  <c r="BF199" i="4"/>
  <c r="BG199" i="4"/>
  <c r="BH199" i="4"/>
  <c r="BA200" i="4"/>
  <c r="BB200" i="4"/>
  <c r="BC200" i="4"/>
  <c r="BD200" i="4"/>
  <c r="BE200" i="4"/>
  <c r="BF200" i="4"/>
  <c r="BG200" i="4"/>
  <c r="BH200" i="4"/>
  <c r="BA201" i="4"/>
  <c r="BB201" i="4"/>
  <c r="BC201" i="4"/>
  <c r="BD201" i="4"/>
  <c r="BE201" i="4"/>
  <c r="BF201" i="4"/>
  <c r="BG201" i="4"/>
  <c r="BH201" i="4"/>
  <c r="BA202" i="4"/>
  <c r="BB202" i="4"/>
  <c r="BC202" i="4"/>
  <c r="BD202" i="4"/>
  <c r="BE202" i="4"/>
  <c r="BF202" i="4"/>
  <c r="BG202" i="4"/>
  <c r="BH202" i="4"/>
  <c r="BA203" i="4"/>
  <c r="BB203" i="4"/>
  <c r="BC203" i="4"/>
  <c r="BD203" i="4"/>
  <c r="BE203" i="4"/>
  <c r="BF203" i="4"/>
  <c r="BG203" i="4"/>
  <c r="BH203" i="4"/>
  <c r="BA204" i="4"/>
  <c r="BB204" i="4"/>
  <c r="BC204" i="4"/>
  <c r="BD204" i="4"/>
  <c r="BE204" i="4"/>
  <c r="BF204" i="4"/>
  <c r="BG204" i="4"/>
  <c r="BH204" i="4"/>
  <c r="BA205" i="4"/>
  <c r="BB205" i="4"/>
  <c r="BC205" i="4"/>
  <c r="BD205" i="4"/>
  <c r="BE205" i="4"/>
  <c r="BF205" i="4"/>
  <c r="BG205" i="4"/>
  <c r="BH205" i="4"/>
  <c r="BA207" i="4"/>
  <c r="BB207" i="4"/>
  <c r="BC207" i="4"/>
  <c r="BD207" i="4"/>
  <c r="BE207" i="4"/>
  <c r="BF207" i="4"/>
  <c r="BG207" i="4"/>
  <c r="BH207" i="4"/>
  <c r="BA208" i="4"/>
  <c r="BB208" i="4"/>
  <c r="BC208" i="4"/>
  <c r="BD208" i="4"/>
  <c r="BE208" i="4"/>
  <c r="BF208" i="4"/>
  <c r="BG208" i="4"/>
  <c r="BH208" i="4"/>
  <c r="BA209" i="4"/>
  <c r="BB209" i="4"/>
  <c r="BC209" i="4"/>
  <c r="BD209" i="4"/>
  <c r="BE209" i="4"/>
  <c r="BF209" i="4"/>
  <c r="BG209" i="4"/>
  <c r="BH209" i="4"/>
  <c r="BA210" i="4"/>
  <c r="BB210" i="4"/>
  <c r="BC210" i="4"/>
  <c r="BD210" i="4"/>
  <c r="BE210" i="4"/>
  <c r="BF210" i="4"/>
  <c r="BG210" i="4"/>
  <c r="BH210" i="4"/>
  <c r="BA211" i="4"/>
  <c r="BB211" i="4"/>
  <c r="BC211" i="4"/>
  <c r="BD211" i="4"/>
  <c r="BE211" i="4"/>
  <c r="BF211" i="4"/>
  <c r="BG211" i="4"/>
  <c r="BH211" i="4"/>
  <c r="BA212" i="4"/>
  <c r="BB212" i="4"/>
  <c r="BC212" i="4"/>
  <c r="BD212" i="4"/>
  <c r="BE212" i="4"/>
  <c r="BF212" i="4"/>
  <c r="BG212" i="4"/>
  <c r="BH212" i="4"/>
  <c r="BA213" i="4"/>
  <c r="BB213" i="4"/>
  <c r="BC213" i="4"/>
  <c r="BD213" i="4"/>
  <c r="BE213" i="4"/>
  <c r="BF213" i="4"/>
  <c r="BG213" i="4"/>
  <c r="BH213" i="4"/>
  <c r="BA214" i="4"/>
  <c r="BB214" i="4"/>
  <c r="BC214" i="4"/>
  <c r="BD214" i="4"/>
  <c r="BE214" i="4"/>
  <c r="BF214" i="4"/>
  <c r="BG214" i="4"/>
  <c r="BH214" i="4"/>
  <c r="BA215" i="4"/>
  <c r="BB215" i="4"/>
  <c r="BC215" i="4"/>
  <c r="BD215" i="4"/>
  <c r="BE215" i="4"/>
  <c r="BF215" i="4"/>
  <c r="BG215" i="4"/>
  <c r="BH215" i="4"/>
  <c r="BA216" i="4"/>
  <c r="BB216" i="4"/>
  <c r="BC216" i="4"/>
  <c r="BD216" i="4"/>
  <c r="BE216" i="4"/>
  <c r="BF216" i="4"/>
  <c r="BG216" i="4"/>
  <c r="BH216" i="4"/>
  <c r="BA217" i="4"/>
  <c r="BB217" i="4"/>
  <c r="BC217" i="4"/>
  <c r="BD217" i="4"/>
  <c r="BE217" i="4"/>
  <c r="BF217" i="4"/>
  <c r="BG217" i="4"/>
  <c r="BH217" i="4"/>
  <c r="BA218" i="4"/>
  <c r="BB218" i="4"/>
  <c r="BC218" i="4"/>
  <c r="BD218" i="4"/>
  <c r="BE218" i="4"/>
  <c r="BF218" i="4"/>
  <c r="BG218" i="4"/>
  <c r="BH218" i="4"/>
  <c r="BA219" i="4"/>
  <c r="BB219" i="4"/>
  <c r="BC219" i="4"/>
  <c r="BD219" i="4"/>
  <c r="BE219" i="4"/>
  <c r="BF219" i="4"/>
  <c r="BG219" i="4"/>
  <c r="BH219" i="4"/>
  <c r="BA220" i="4"/>
  <c r="BB220" i="4"/>
  <c r="BC220" i="4"/>
  <c r="BD220" i="4"/>
  <c r="BE220" i="4"/>
  <c r="BF220" i="4"/>
  <c r="BG220" i="4"/>
  <c r="BH220" i="4"/>
  <c r="BA221" i="4"/>
  <c r="BB221" i="4"/>
  <c r="BC221" i="4"/>
  <c r="BD221" i="4"/>
  <c r="BE221" i="4"/>
  <c r="BF221" i="4"/>
  <c r="BG221" i="4"/>
  <c r="BH221" i="4"/>
  <c r="BA222" i="4"/>
  <c r="BB222" i="4"/>
  <c r="BC222" i="4"/>
  <c r="BD222" i="4"/>
  <c r="BE222" i="4"/>
  <c r="BF222" i="4"/>
  <c r="BG222" i="4"/>
  <c r="BH222" i="4"/>
  <c r="BA223" i="4"/>
  <c r="BB223" i="4"/>
  <c r="BC223" i="4"/>
  <c r="BD223" i="4"/>
  <c r="BE223" i="4"/>
  <c r="BF223" i="4"/>
  <c r="BG223" i="4"/>
  <c r="BH223" i="4"/>
  <c r="BA224" i="4"/>
  <c r="BB224" i="4"/>
  <c r="BC224" i="4"/>
  <c r="BD224" i="4"/>
  <c r="BE224" i="4"/>
  <c r="BF224" i="4"/>
  <c r="BG224" i="4"/>
  <c r="BH224" i="4"/>
  <c r="BA225" i="4"/>
  <c r="BB225" i="4"/>
  <c r="BC225" i="4"/>
  <c r="BD225" i="4"/>
  <c r="BE225" i="4"/>
  <c r="BF225" i="4"/>
  <c r="BG225" i="4"/>
  <c r="BH225" i="4"/>
  <c r="BA226" i="4"/>
  <c r="BB226" i="4"/>
  <c r="BC226" i="4"/>
  <c r="BD226" i="4"/>
  <c r="BE226" i="4"/>
  <c r="BF226" i="4"/>
  <c r="BG226" i="4"/>
  <c r="BH226" i="4"/>
  <c r="BA227" i="4"/>
  <c r="BB227" i="4"/>
  <c r="BC227" i="4"/>
  <c r="BD227" i="4"/>
  <c r="BE227" i="4"/>
  <c r="BF227" i="4"/>
  <c r="BG227" i="4"/>
  <c r="BH227" i="4"/>
  <c r="BA228" i="4"/>
  <c r="BB228" i="4"/>
  <c r="BC228" i="4"/>
  <c r="BD228" i="4"/>
  <c r="BE228" i="4"/>
  <c r="BF228" i="4"/>
  <c r="BG228" i="4"/>
  <c r="BH228" i="4"/>
  <c r="BA229" i="4"/>
  <c r="BB229" i="4"/>
  <c r="BC229" i="4"/>
  <c r="BD229" i="4"/>
  <c r="BE229" i="4"/>
  <c r="BF229" i="4"/>
  <c r="BG229" i="4"/>
  <c r="BH229" i="4"/>
  <c r="BA230" i="4"/>
  <c r="BB230" i="4"/>
  <c r="BC230" i="4"/>
  <c r="BD230" i="4"/>
  <c r="BE230" i="4"/>
  <c r="BF230" i="4"/>
  <c r="BG230" i="4"/>
  <c r="BH230" i="4"/>
  <c r="BA231" i="4"/>
  <c r="BB231" i="4"/>
  <c r="BC231" i="4"/>
  <c r="BD231" i="4"/>
  <c r="BE231" i="4"/>
  <c r="BF231" i="4"/>
  <c r="BG231" i="4"/>
  <c r="BH231" i="4"/>
  <c r="BA232" i="4"/>
  <c r="BB232" i="4"/>
  <c r="BC232" i="4"/>
  <c r="BD232" i="4"/>
  <c r="BE232" i="4"/>
  <c r="BF232" i="4"/>
  <c r="BG232" i="4"/>
  <c r="BH232" i="4"/>
  <c r="BA233" i="4"/>
  <c r="BB233" i="4"/>
  <c r="BC233" i="4"/>
  <c r="BD233" i="4"/>
  <c r="BE233" i="4"/>
  <c r="BF233" i="4"/>
  <c r="BG233" i="4"/>
  <c r="BH233" i="4"/>
  <c r="BA234" i="4"/>
  <c r="BB234" i="4"/>
  <c r="BC234" i="4"/>
  <c r="BD234" i="4"/>
  <c r="BE234" i="4"/>
  <c r="BF234" i="4"/>
  <c r="BG234" i="4"/>
  <c r="BH234" i="4"/>
  <c r="BA235" i="4"/>
  <c r="BB235" i="4"/>
  <c r="BC235" i="4"/>
  <c r="BD235" i="4"/>
  <c r="BE235" i="4"/>
  <c r="BF235" i="4"/>
  <c r="BG235" i="4"/>
  <c r="BH235" i="4"/>
  <c r="BA236" i="4"/>
  <c r="BB236" i="4"/>
  <c r="BC236" i="4"/>
  <c r="BD236" i="4"/>
  <c r="BE236" i="4"/>
  <c r="BF236" i="4"/>
  <c r="BG236" i="4"/>
  <c r="BH236" i="4"/>
  <c r="BA237" i="4"/>
  <c r="BB237" i="4"/>
  <c r="BC237" i="4"/>
  <c r="BD237" i="4"/>
  <c r="BE237" i="4"/>
  <c r="BF237" i="4"/>
  <c r="BG237" i="4"/>
  <c r="BH237" i="4"/>
  <c r="BA238" i="4"/>
  <c r="BB238" i="4"/>
  <c r="BC238" i="4"/>
  <c r="BD238" i="4"/>
  <c r="BE238" i="4"/>
  <c r="BF238" i="4"/>
  <c r="BG238" i="4"/>
  <c r="BH238" i="4"/>
  <c r="BA239" i="4"/>
  <c r="BB239" i="4"/>
  <c r="BC239" i="4"/>
  <c r="BD239" i="4"/>
  <c r="BE239" i="4"/>
  <c r="BF239" i="4"/>
  <c r="BG239" i="4"/>
  <c r="BH239" i="4"/>
  <c r="BA240" i="4"/>
  <c r="BB240" i="4"/>
  <c r="BC240" i="4"/>
  <c r="BD240" i="4"/>
  <c r="BE240" i="4"/>
  <c r="BF240" i="4"/>
  <c r="BG240" i="4"/>
  <c r="BH240" i="4"/>
  <c r="BA241" i="4"/>
  <c r="BB241" i="4"/>
  <c r="BC241" i="4"/>
  <c r="BD241" i="4"/>
  <c r="BE241" i="4"/>
  <c r="BF241" i="4"/>
  <c r="BG241" i="4"/>
  <c r="BH241" i="4"/>
  <c r="BA242" i="4"/>
  <c r="BB242" i="4"/>
  <c r="BC242" i="4"/>
  <c r="BD242" i="4"/>
  <c r="BE242" i="4"/>
  <c r="BF242" i="4"/>
  <c r="BG242" i="4"/>
  <c r="BH242" i="4"/>
  <c r="BA243" i="4"/>
  <c r="BB243" i="4"/>
  <c r="BC243" i="4"/>
  <c r="BD243" i="4"/>
  <c r="BE243" i="4"/>
  <c r="BF243" i="4"/>
  <c r="BG243" i="4"/>
  <c r="BH243" i="4"/>
  <c r="BA244" i="4"/>
  <c r="BB244" i="4"/>
  <c r="BC244" i="4"/>
  <c r="BD244" i="4"/>
  <c r="BE244" i="4"/>
  <c r="BF244" i="4"/>
  <c r="BG244" i="4"/>
  <c r="BH244" i="4"/>
  <c r="BA245" i="4"/>
  <c r="BB245" i="4"/>
  <c r="BC245" i="4"/>
  <c r="BD245" i="4"/>
  <c r="BE245" i="4"/>
  <c r="BF245" i="4"/>
  <c r="BG245" i="4"/>
  <c r="BH245" i="4"/>
  <c r="BA246" i="4"/>
  <c r="BB246" i="4"/>
  <c r="BC246" i="4"/>
  <c r="BD246" i="4"/>
  <c r="BE246" i="4"/>
  <c r="BF246" i="4"/>
  <c r="BG246" i="4"/>
  <c r="BH246" i="4"/>
  <c r="BA247" i="4"/>
  <c r="BB247" i="4"/>
  <c r="BC247" i="4"/>
  <c r="BD247" i="4"/>
  <c r="BE247" i="4"/>
  <c r="BF247" i="4"/>
  <c r="BG247" i="4"/>
  <c r="BH247" i="4"/>
  <c r="BA248" i="4"/>
  <c r="BB248" i="4"/>
  <c r="BC248" i="4"/>
  <c r="BD248" i="4"/>
  <c r="BE248" i="4"/>
  <c r="BF248" i="4"/>
  <c r="BG248" i="4"/>
  <c r="BH248" i="4"/>
  <c r="BA249" i="4"/>
  <c r="BB249" i="4"/>
  <c r="BC249" i="4"/>
  <c r="BD249" i="4"/>
  <c r="BE249" i="4"/>
  <c r="BF249" i="4"/>
  <c r="BG249" i="4"/>
  <c r="BH249" i="4"/>
  <c r="BA250" i="4"/>
  <c r="BB250" i="4"/>
  <c r="BC250" i="4"/>
  <c r="BD250" i="4"/>
  <c r="BE250" i="4"/>
  <c r="BF250" i="4"/>
  <c r="BG250" i="4"/>
  <c r="BH250" i="4"/>
  <c r="BA251" i="4"/>
  <c r="BB251" i="4"/>
  <c r="BC251" i="4"/>
  <c r="BD251" i="4"/>
  <c r="BE251" i="4"/>
  <c r="BF251" i="4"/>
  <c r="BG251" i="4"/>
  <c r="BH251" i="4"/>
  <c r="BA252" i="4"/>
  <c r="BB252" i="4"/>
  <c r="BC252" i="4"/>
  <c r="BD252" i="4"/>
  <c r="BE252" i="4"/>
  <c r="BF252" i="4"/>
  <c r="BG252" i="4"/>
  <c r="BH252" i="4"/>
  <c r="BA253" i="4"/>
  <c r="BB253" i="4"/>
  <c r="BC253" i="4"/>
  <c r="BD253" i="4"/>
  <c r="BE253" i="4"/>
  <c r="BF253" i="4"/>
  <c r="BG253" i="4"/>
  <c r="BH253" i="4"/>
  <c r="BA254" i="4"/>
  <c r="BB254" i="4"/>
  <c r="BC254" i="4"/>
  <c r="BD254" i="4"/>
  <c r="BE254" i="4"/>
  <c r="BF254" i="4"/>
  <c r="BG254" i="4"/>
  <c r="BH254" i="4"/>
  <c r="BA255" i="4"/>
  <c r="BB255" i="4"/>
  <c r="BC255" i="4"/>
  <c r="BD255" i="4"/>
  <c r="BE255" i="4"/>
  <c r="BF255" i="4"/>
  <c r="BG255" i="4"/>
  <c r="BH255" i="4"/>
  <c r="BA256" i="4"/>
  <c r="BB256" i="4"/>
  <c r="BC256" i="4"/>
  <c r="BD256" i="4"/>
  <c r="BE256" i="4"/>
  <c r="BF256" i="4"/>
  <c r="BG256" i="4"/>
  <c r="BH256" i="4"/>
  <c r="BA257" i="4"/>
  <c r="BB257" i="4"/>
  <c r="BC257" i="4"/>
  <c r="BD257" i="4"/>
  <c r="BE257" i="4"/>
  <c r="BF257" i="4"/>
  <c r="BG257" i="4"/>
  <c r="BH257" i="4"/>
  <c r="BA258" i="4"/>
  <c r="BB258" i="4"/>
  <c r="BC258" i="4"/>
  <c r="BD258" i="4"/>
  <c r="BE258" i="4"/>
  <c r="BF258" i="4"/>
  <c r="BG258" i="4"/>
  <c r="BH258" i="4"/>
  <c r="BA259" i="4"/>
  <c r="BB259" i="4"/>
  <c r="BC259" i="4"/>
  <c r="BD259" i="4"/>
  <c r="BE259" i="4"/>
  <c r="BF259" i="4"/>
  <c r="BG259" i="4"/>
  <c r="BH259" i="4"/>
  <c r="BA260" i="4"/>
  <c r="BB260" i="4"/>
  <c r="BC260" i="4"/>
  <c r="BD260" i="4"/>
  <c r="BE260" i="4"/>
  <c r="BF260" i="4"/>
  <c r="BG260" i="4"/>
  <c r="BH260" i="4"/>
  <c r="BA261" i="4"/>
  <c r="BB261" i="4"/>
  <c r="BC261" i="4"/>
  <c r="BD261" i="4"/>
  <c r="BE261" i="4"/>
  <c r="BF261" i="4"/>
  <c r="BG261" i="4"/>
  <c r="BH261" i="4"/>
  <c r="BA262" i="4"/>
  <c r="BB262" i="4"/>
  <c r="BC262" i="4"/>
  <c r="BD262" i="4"/>
  <c r="BE262" i="4"/>
  <c r="BF262" i="4"/>
  <c r="BG262" i="4"/>
  <c r="BH262" i="4"/>
  <c r="BA263" i="4"/>
  <c r="BB263" i="4"/>
  <c r="BC263" i="4"/>
  <c r="BD263" i="4"/>
  <c r="BE263" i="4"/>
  <c r="BF263" i="4"/>
  <c r="BG263" i="4"/>
  <c r="BH263" i="4"/>
  <c r="BA264" i="4"/>
  <c r="BB264" i="4"/>
  <c r="BC264" i="4"/>
  <c r="BD264" i="4"/>
  <c r="BE264" i="4"/>
  <c r="BF264" i="4"/>
  <c r="BG264" i="4"/>
  <c r="BH264" i="4"/>
  <c r="BA265" i="4"/>
  <c r="BB265" i="4"/>
  <c r="BC265" i="4"/>
  <c r="BD265" i="4"/>
  <c r="BE265" i="4"/>
  <c r="BF265" i="4"/>
  <c r="BG265" i="4"/>
  <c r="BH265" i="4"/>
  <c r="BA266" i="4"/>
  <c r="BB266" i="4"/>
  <c r="BC266" i="4"/>
  <c r="BD266" i="4"/>
  <c r="BE266" i="4"/>
  <c r="BF266" i="4"/>
  <c r="BG266" i="4"/>
  <c r="BH266" i="4"/>
  <c r="BA267" i="4"/>
  <c r="BB267" i="4"/>
  <c r="BC267" i="4"/>
  <c r="BD267" i="4"/>
  <c r="BE267" i="4"/>
  <c r="BF267" i="4"/>
  <c r="BG267" i="4"/>
  <c r="BH267" i="4"/>
  <c r="BA268" i="4"/>
  <c r="BB268" i="4"/>
  <c r="BC268" i="4"/>
  <c r="BD268" i="4"/>
  <c r="BE268" i="4"/>
  <c r="BF268" i="4"/>
  <c r="BG268" i="4"/>
  <c r="BH268" i="4"/>
  <c r="BA269" i="4"/>
  <c r="BB269" i="4"/>
  <c r="BC269" i="4"/>
  <c r="BD269" i="4"/>
  <c r="BE269" i="4"/>
  <c r="BF269" i="4"/>
  <c r="BG269" i="4"/>
  <c r="BH269" i="4"/>
  <c r="BA270" i="4"/>
  <c r="BB270" i="4"/>
  <c r="BC270" i="4"/>
  <c r="BD270" i="4"/>
  <c r="BE270" i="4"/>
  <c r="BF270" i="4"/>
  <c r="BG270" i="4"/>
  <c r="BH270" i="4"/>
  <c r="BA271" i="4"/>
  <c r="BB271" i="4"/>
  <c r="BC271" i="4"/>
  <c r="BD271" i="4"/>
  <c r="BE271" i="4"/>
  <c r="BF271" i="4"/>
  <c r="BG271" i="4"/>
  <c r="BH271" i="4"/>
  <c r="BA272" i="4"/>
  <c r="BB272" i="4"/>
  <c r="BC272" i="4"/>
  <c r="BD272" i="4"/>
  <c r="BE272" i="4"/>
  <c r="BF272" i="4"/>
  <c r="BG272" i="4"/>
  <c r="BH272" i="4"/>
  <c r="BA273" i="4"/>
  <c r="BB273" i="4"/>
  <c r="BC273" i="4"/>
  <c r="BD273" i="4"/>
  <c r="BE273" i="4"/>
  <c r="BF273" i="4"/>
  <c r="BG273" i="4"/>
  <c r="BH273" i="4"/>
  <c r="BA274" i="4"/>
  <c r="BB274" i="4"/>
  <c r="BC274" i="4"/>
  <c r="BD274" i="4"/>
  <c r="BE274" i="4"/>
  <c r="BF274" i="4"/>
  <c r="BG274" i="4"/>
  <c r="BH274" i="4"/>
  <c r="BA275" i="4"/>
  <c r="BB275" i="4"/>
  <c r="BC275" i="4"/>
  <c r="BD275" i="4"/>
  <c r="BE275" i="4"/>
  <c r="BF275" i="4"/>
  <c r="BG275" i="4"/>
  <c r="BH275" i="4"/>
  <c r="BA276" i="4"/>
  <c r="BB276" i="4"/>
  <c r="BC276" i="4"/>
  <c r="BD276" i="4"/>
  <c r="BE276" i="4"/>
  <c r="BF276" i="4"/>
  <c r="BG276" i="4"/>
  <c r="BH276" i="4"/>
  <c r="BA277" i="4"/>
  <c r="BB277" i="4"/>
  <c r="BC277" i="4"/>
  <c r="BD277" i="4"/>
  <c r="BE277" i="4"/>
  <c r="BF277" i="4"/>
  <c r="BG277" i="4"/>
  <c r="BH277" i="4"/>
  <c r="BA278" i="4"/>
  <c r="BB278" i="4"/>
  <c r="BC278" i="4"/>
  <c r="BD278" i="4"/>
  <c r="BE278" i="4"/>
  <c r="BF278" i="4"/>
  <c r="BG278" i="4"/>
  <c r="BH278" i="4"/>
  <c r="BA279" i="4"/>
  <c r="BB279" i="4"/>
  <c r="BC279" i="4"/>
  <c r="BD279" i="4"/>
  <c r="BE279" i="4"/>
  <c r="BF279" i="4"/>
  <c r="BG279" i="4"/>
  <c r="BH279" i="4"/>
  <c r="BA280" i="4"/>
  <c r="BB280" i="4"/>
  <c r="BC280" i="4"/>
  <c r="BD280" i="4"/>
  <c r="BE280" i="4"/>
  <c r="BF280" i="4"/>
  <c r="BG280" i="4"/>
  <c r="BH280" i="4"/>
  <c r="BA281" i="4"/>
  <c r="BB281" i="4"/>
  <c r="BC281" i="4"/>
  <c r="BD281" i="4"/>
  <c r="BE281" i="4"/>
  <c r="BF281" i="4"/>
  <c r="BG281" i="4"/>
  <c r="BH281" i="4"/>
  <c r="BA282" i="4"/>
  <c r="BB282" i="4"/>
  <c r="BC282" i="4"/>
  <c r="BD282" i="4"/>
  <c r="BE282" i="4"/>
  <c r="BF282" i="4"/>
  <c r="BG282" i="4"/>
  <c r="BH282" i="4"/>
  <c r="BA283" i="4"/>
  <c r="BB283" i="4"/>
  <c r="BC283" i="4"/>
  <c r="BD283" i="4"/>
  <c r="BE283" i="4"/>
  <c r="BF283" i="4"/>
  <c r="BG283" i="4"/>
  <c r="BH283" i="4"/>
  <c r="BA284" i="4"/>
  <c r="BB284" i="4"/>
  <c r="BC284" i="4"/>
  <c r="BD284" i="4"/>
  <c r="BE284" i="4"/>
  <c r="BF284" i="4"/>
  <c r="BG284" i="4"/>
  <c r="BH284" i="4"/>
  <c r="BA285" i="4"/>
  <c r="BB285" i="4"/>
  <c r="BC285" i="4"/>
  <c r="BD285" i="4"/>
  <c r="BE285" i="4"/>
  <c r="BF285" i="4"/>
  <c r="BG285" i="4"/>
  <c r="BH285" i="4"/>
  <c r="BA286" i="4"/>
  <c r="BB286" i="4"/>
  <c r="BC286" i="4"/>
  <c r="BD286" i="4"/>
  <c r="BE286" i="4"/>
  <c r="BF286" i="4"/>
  <c r="BG286" i="4"/>
  <c r="BH286" i="4"/>
  <c r="BA287" i="4"/>
  <c r="BB287" i="4"/>
  <c r="BC287" i="4"/>
  <c r="BD287" i="4"/>
  <c r="BE287" i="4"/>
  <c r="BF287" i="4"/>
  <c r="BG287" i="4"/>
  <c r="BH287" i="4"/>
  <c r="BA288" i="4"/>
  <c r="BB288" i="4"/>
  <c r="BC288" i="4"/>
  <c r="BD288" i="4"/>
  <c r="BE288" i="4"/>
  <c r="BF288" i="4"/>
  <c r="BG288" i="4"/>
  <c r="BH288" i="4"/>
  <c r="BA289" i="4"/>
  <c r="BB289" i="4"/>
  <c r="BC289" i="4"/>
  <c r="BD289" i="4"/>
  <c r="BE289" i="4"/>
  <c r="BF289" i="4"/>
  <c r="BG289" i="4"/>
  <c r="BH289" i="4"/>
  <c r="BA290" i="4"/>
  <c r="BB290" i="4"/>
  <c r="BC290" i="4"/>
  <c r="BD290" i="4"/>
  <c r="BE290" i="4"/>
  <c r="BF290" i="4"/>
  <c r="BG290" i="4"/>
  <c r="BH290" i="4"/>
  <c r="BA291" i="4"/>
  <c r="BB291" i="4"/>
  <c r="BC291" i="4"/>
  <c r="BD291" i="4"/>
  <c r="BE291" i="4"/>
  <c r="BF291" i="4"/>
  <c r="BG291" i="4"/>
  <c r="BH291" i="4"/>
  <c r="BA292" i="4"/>
  <c r="BB292" i="4"/>
  <c r="BC292" i="4"/>
  <c r="BD292" i="4"/>
  <c r="BE292" i="4"/>
  <c r="BF292" i="4"/>
  <c r="BG292" i="4"/>
  <c r="BH292" i="4"/>
  <c r="BA293" i="4"/>
  <c r="BB293" i="4"/>
  <c r="BC293" i="4"/>
  <c r="BD293" i="4"/>
  <c r="BE293" i="4"/>
  <c r="BF293" i="4"/>
  <c r="BG293" i="4"/>
  <c r="BH293" i="4"/>
  <c r="BA294" i="4"/>
  <c r="BB294" i="4"/>
  <c r="BC294" i="4"/>
  <c r="BD294" i="4"/>
  <c r="BE294" i="4"/>
  <c r="BF294" i="4"/>
  <c r="BG294" i="4"/>
  <c r="BH294" i="4"/>
  <c r="BA295" i="4"/>
  <c r="BB295" i="4"/>
  <c r="BC295" i="4"/>
  <c r="BD295" i="4"/>
  <c r="BE295" i="4"/>
  <c r="BF295" i="4"/>
  <c r="BG295" i="4"/>
  <c r="BH295" i="4"/>
  <c r="BA296" i="4"/>
  <c r="BB296" i="4"/>
  <c r="BC296" i="4"/>
  <c r="BD296" i="4"/>
  <c r="BE296" i="4"/>
  <c r="BF296" i="4"/>
  <c r="BG296" i="4"/>
  <c r="BH296" i="4"/>
  <c r="BA297" i="4"/>
  <c r="BB297" i="4"/>
  <c r="BC297" i="4"/>
  <c r="BD297" i="4"/>
  <c r="BE297" i="4"/>
  <c r="BF297" i="4"/>
  <c r="BG297" i="4"/>
  <c r="BH297" i="4"/>
  <c r="BA298" i="4"/>
  <c r="BB298" i="4"/>
  <c r="BC298" i="4"/>
  <c r="BD298" i="4"/>
  <c r="BE298" i="4"/>
  <c r="BF298" i="4"/>
  <c r="BG298" i="4"/>
  <c r="BH298" i="4"/>
  <c r="BA299" i="4"/>
  <c r="BB299" i="4"/>
  <c r="BC299" i="4"/>
  <c r="BD299" i="4"/>
  <c r="BE299" i="4"/>
  <c r="BF299" i="4"/>
  <c r="BG299" i="4"/>
  <c r="BH299" i="4"/>
  <c r="BA300" i="4"/>
  <c r="BB300" i="4"/>
  <c r="BC300" i="4"/>
  <c r="BD300" i="4"/>
  <c r="BE300" i="4"/>
  <c r="BF300" i="4"/>
  <c r="BG300" i="4"/>
  <c r="BH300" i="4"/>
  <c r="BA301" i="4"/>
  <c r="BB301" i="4"/>
  <c r="BC301" i="4"/>
  <c r="BD301" i="4"/>
  <c r="BE301" i="4"/>
  <c r="BF301" i="4"/>
  <c r="BG301" i="4"/>
  <c r="BH301" i="4"/>
  <c r="BA302" i="4"/>
  <c r="BB302" i="4"/>
  <c r="BC302" i="4"/>
  <c r="BD302" i="4"/>
  <c r="BE302" i="4"/>
  <c r="BF302" i="4"/>
  <c r="BG302" i="4"/>
  <c r="BH302" i="4"/>
  <c r="BA303" i="4"/>
  <c r="BB303" i="4"/>
  <c r="BC303" i="4"/>
  <c r="BD303" i="4"/>
  <c r="BE303" i="4"/>
  <c r="BF303" i="4"/>
  <c r="BG303" i="4"/>
  <c r="BH303" i="4"/>
  <c r="BA304" i="4"/>
  <c r="BB304" i="4"/>
  <c r="BC304" i="4"/>
  <c r="BD304" i="4"/>
  <c r="BE304" i="4"/>
  <c r="BF304" i="4"/>
  <c r="BG304" i="4"/>
  <c r="BH304" i="4"/>
  <c r="BA305" i="4"/>
  <c r="BB305" i="4"/>
  <c r="BC305" i="4"/>
  <c r="BD305" i="4"/>
  <c r="BE305" i="4"/>
  <c r="BF305" i="4"/>
  <c r="BG305" i="4"/>
  <c r="BH305" i="4"/>
  <c r="BA306" i="4"/>
  <c r="BB306" i="4"/>
  <c r="BC306" i="4"/>
  <c r="BD306" i="4"/>
  <c r="BE306" i="4"/>
  <c r="BF306" i="4"/>
  <c r="BG306" i="4"/>
  <c r="BH306" i="4"/>
  <c r="BA307" i="4"/>
  <c r="BB307" i="4"/>
  <c r="BC307" i="4"/>
  <c r="BD307" i="4"/>
  <c r="BE307" i="4"/>
  <c r="BF307" i="4"/>
  <c r="BG307" i="4"/>
  <c r="BH307" i="4"/>
  <c r="BA308" i="4"/>
  <c r="BB308" i="4"/>
  <c r="BC308" i="4"/>
  <c r="BD308" i="4"/>
  <c r="BE308" i="4"/>
  <c r="BF308" i="4"/>
  <c r="BG308" i="4"/>
  <c r="BH308" i="4"/>
  <c r="BA309" i="4"/>
  <c r="BB309" i="4"/>
  <c r="BC309" i="4"/>
  <c r="BD309" i="4"/>
  <c r="BE309" i="4"/>
  <c r="BF309" i="4"/>
  <c r="BG309" i="4"/>
  <c r="BH309" i="4"/>
  <c r="BA310" i="4"/>
  <c r="BB310" i="4"/>
  <c r="BC310" i="4"/>
  <c r="BD310" i="4"/>
  <c r="BE310" i="4"/>
  <c r="BF310" i="4"/>
  <c r="BG310" i="4"/>
  <c r="BH310" i="4"/>
  <c r="BA311" i="4"/>
  <c r="BB311" i="4"/>
  <c r="BC311" i="4"/>
  <c r="BD311" i="4"/>
  <c r="BE311" i="4"/>
  <c r="BF311" i="4"/>
  <c r="BG311" i="4"/>
  <c r="BH311" i="4"/>
  <c r="BA312" i="4"/>
  <c r="BB312" i="4"/>
  <c r="BC312" i="4"/>
  <c r="BD312" i="4"/>
  <c r="BE312" i="4"/>
  <c r="BF312" i="4"/>
  <c r="BG312" i="4"/>
  <c r="BH312" i="4"/>
  <c r="BA313" i="4"/>
  <c r="BB313" i="4"/>
  <c r="BC313" i="4"/>
  <c r="BD313" i="4"/>
  <c r="BE313" i="4"/>
  <c r="BF313" i="4"/>
  <c r="BG313" i="4"/>
  <c r="BH313" i="4"/>
  <c r="BA314" i="4"/>
  <c r="BB314" i="4"/>
  <c r="BC314" i="4"/>
  <c r="BD314" i="4"/>
  <c r="BE314" i="4"/>
  <c r="BF314" i="4"/>
  <c r="BG314" i="4"/>
  <c r="BH314" i="4"/>
  <c r="BA315" i="4"/>
  <c r="BB315" i="4"/>
  <c r="BC315" i="4"/>
  <c r="BD315" i="4"/>
  <c r="BE315" i="4"/>
  <c r="BF315" i="4"/>
  <c r="BG315" i="4"/>
  <c r="BH315" i="4"/>
  <c r="BA316" i="4"/>
  <c r="BB316" i="4"/>
  <c r="BC316" i="4"/>
  <c r="BD316" i="4"/>
  <c r="BE316" i="4"/>
  <c r="BF316" i="4"/>
  <c r="BG316" i="4"/>
  <c r="BH316" i="4"/>
  <c r="BA317" i="4"/>
  <c r="BB317" i="4"/>
  <c r="BC317" i="4"/>
  <c r="BD317" i="4"/>
  <c r="BE317" i="4"/>
  <c r="BF317" i="4"/>
  <c r="BG317" i="4"/>
  <c r="BH317" i="4"/>
  <c r="BA318" i="4"/>
  <c r="BB318" i="4"/>
  <c r="BC318" i="4"/>
  <c r="BD318" i="4"/>
  <c r="BE318" i="4"/>
  <c r="BF318" i="4"/>
  <c r="BG318" i="4"/>
  <c r="BH318" i="4"/>
  <c r="BA319" i="4"/>
  <c r="BB319" i="4"/>
  <c r="BC319" i="4"/>
  <c r="BD319" i="4"/>
  <c r="BE319" i="4"/>
  <c r="BF319" i="4"/>
  <c r="BG319" i="4"/>
  <c r="BH319" i="4"/>
  <c r="BA320" i="4"/>
  <c r="BB320" i="4"/>
  <c r="BC320" i="4"/>
  <c r="BD320" i="4"/>
  <c r="BE320" i="4"/>
  <c r="BF320" i="4"/>
  <c r="BG320" i="4"/>
  <c r="BH320" i="4"/>
  <c r="BA329" i="4"/>
  <c r="BB329" i="4"/>
  <c r="BC329" i="4"/>
  <c r="BD329" i="4"/>
  <c r="BE329" i="4"/>
  <c r="BF329" i="4"/>
  <c r="BG329" i="4"/>
  <c r="BH329" i="4"/>
  <c r="BA330" i="4"/>
  <c r="BB330" i="4"/>
  <c r="BC330" i="4"/>
  <c r="BD330" i="4"/>
  <c r="BE330" i="4"/>
  <c r="BF330" i="4"/>
  <c r="BG330" i="4"/>
  <c r="BH330" i="4"/>
  <c r="BA331" i="4"/>
  <c r="BB331" i="4"/>
  <c r="BC331" i="4"/>
  <c r="BD331" i="4"/>
  <c r="BE331" i="4"/>
  <c r="BF331" i="4"/>
  <c r="BG331" i="4"/>
  <c r="BH331" i="4"/>
  <c r="BA332" i="4"/>
  <c r="BB332" i="4"/>
  <c r="BC332" i="4"/>
  <c r="BD332" i="4"/>
  <c r="BE332" i="4"/>
  <c r="BF332" i="4"/>
  <c r="BG332" i="4"/>
  <c r="BH332" i="4"/>
  <c r="BA333" i="4"/>
  <c r="BB333" i="4"/>
  <c r="BC333" i="4"/>
  <c r="BD333" i="4"/>
  <c r="BE333" i="4"/>
  <c r="BF333" i="4"/>
  <c r="BG333" i="4"/>
  <c r="BH333" i="4"/>
  <c r="BA334" i="4"/>
  <c r="BB334" i="4"/>
  <c r="BC334" i="4"/>
  <c r="BD334" i="4"/>
  <c r="BE334" i="4"/>
  <c r="BF334" i="4"/>
  <c r="BG334" i="4"/>
  <c r="BH334" i="4"/>
  <c r="BA335" i="4"/>
  <c r="BB335" i="4"/>
  <c r="BC335" i="4"/>
  <c r="BD335" i="4"/>
  <c r="BE335" i="4"/>
  <c r="BF335" i="4"/>
  <c r="BG335" i="4"/>
  <c r="BH335" i="4"/>
  <c r="BA336" i="4"/>
  <c r="BB336" i="4"/>
  <c r="BC336" i="4"/>
  <c r="BD336" i="4"/>
  <c r="BE336" i="4"/>
  <c r="BF336" i="4"/>
  <c r="BG336" i="4"/>
  <c r="BH336" i="4"/>
  <c r="BA337" i="4"/>
  <c r="BB337" i="4"/>
  <c r="BC337" i="4"/>
  <c r="BD337" i="4"/>
  <c r="BE337" i="4"/>
  <c r="BF337" i="4"/>
  <c r="BG337" i="4"/>
  <c r="BH337" i="4"/>
  <c r="BA339" i="4"/>
  <c r="BB339" i="4"/>
  <c r="BC339" i="4"/>
  <c r="BD339" i="4"/>
  <c r="BE339" i="4"/>
  <c r="BF339" i="4"/>
  <c r="BG339" i="4"/>
  <c r="BH339" i="4"/>
  <c r="BA340" i="4"/>
  <c r="BB340" i="4"/>
  <c r="BC340" i="4"/>
  <c r="BD340" i="4"/>
  <c r="BE340" i="4"/>
  <c r="BF340" i="4"/>
  <c r="BG340" i="4"/>
  <c r="BH340" i="4"/>
  <c r="BA341" i="4"/>
  <c r="BB341" i="4"/>
  <c r="BC341" i="4"/>
  <c r="BD341" i="4"/>
  <c r="BE341" i="4"/>
  <c r="BF341" i="4"/>
  <c r="BG341" i="4"/>
  <c r="BH341" i="4"/>
  <c r="BA342" i="4"/>
  <c r="BB342" i="4"/>
  <c r="BC342" i="4"/>
  <c r="BD342" i="4"/>
  <c r="BE342" i="4"/>
  <c r="BF342" i="4"/>
  <c r="BG342" i="4"/>
  <c r="BH342" i="4"/>
  <c r="BA343" i="4"/>
  <c r="BB343" i="4"/>
  <c r="BC343" i="4"/>
  <c r="BD343" i="4"/>
  <c r="BE343" i="4"/>
  <c r="BF343" i="4"/>
  <c r="BG343" i="4"/>
  <c r="BH343" i="4"/>
  <c r="BA344" i="4"/>
  <c r="BB344" i="4"/>
  <c r="BC344" i="4"/>
  <c r="BD344" i="4"/>
  <c r="BE344" i="4"/>
  <c r="BF344" i="4"/>
  <c r="BG344" i="4"/>
  <c r="BH344" i="4"/>
  <c r="BA345" i="4"/>
  <c r="BB345" i="4"/>
  <c r="BC345" i="4"/>
  <c r="BD345" i="4"/>
  <c r="BE345" i="4"/>
  <c r="BF345" i="4"/>
  <c r="BG345" i="4"/>
  <c r="BH345" i="4"/>
  <c r="BA346" i="4"/>
  <c r="BB346" i="4"/>
  <c r="BC346" i="4"/>
  <c r="BD346" i="4"/>
  <c r="BE346" i="4"/>
  <c r="BF346" i="4"/>
  <c r="BG346" i="4"/>
  <c r="BH346" i="4"/>
  <c r="BA347" i="4"/>
  <c r="BB347" i="4"/>
  <c r="BC347" i="4"/>
  <c r="BD347" i="4"/>
  <c r="BE347" i="4"/>
  <c r="BF347" i="4"/>
  <c r="BG347" i="4"/>
  <c r="BH347" i="4"/>
  <c r="BA348" i="4"/>
  <c r="BB348" i="4"/>
  <c r="BC348" i="4"/>
  <c r="BD348" i="4"/>
  <c r="BE348" i="4"/>
  <c r="BF348" i="4"/>
  <c r="BG348" i="4"/>
  <c r="BH348" i="4"/>
  <c r="BA349" i="4"/>
  <c r="BB349" i="4"/>
  <c r="BC349" i="4"/>
  <c r="BD349" i="4"/>
  <c r="BE349" i="4"/>
  <c r="BF349" i="4"/>
  <c r="BG349" i="4"/>
  <c r="BH349" i="4"/>
  <c r="BA350" i="4"/>
  <c r="BB350" i="4"/>
  <c r="BC350" i="4"/>
  <c r="BD350" i="4"/>
  <c r="BE350" i="4"/>
  <c r="BF350" i="4"/>
  <c r="BG350" i="4"/>
  <c r="BH350" i="4"/>
  <c r="BA351" i="4"/>
  <c r="BB351" i="4"/>
  <c r="BC351" i="4"/>
  <c r="BD351" i="4"/>
  <c r="BE351" i="4"/>
  <c r="BF351" i="4"/>
  <c r="BG351" i="4"/>
  <c r="BH351" i="4"/>
  <c r="BA352" i="4"/>
  <c r="BB352" i="4"/>
  <c r="BC352" i="4"/>
  <c r="BD352" i="4"/>
  <c r="BE352" i="4"/>
  <c r="BF352" i="4"/>
  <c r="BG352" i="4"/>
  <c r="BH352" i="4"/>
  <c r="BA353" i="4"/>
  <c r="BB353" i="4"/>
  <c r="BC353" i="4"/>
  <c r="BD353" i="4"/>
  <c r="BE353" i="4"/>
  <c r="BF353" i="4"/>
  <c r="BG353" i="4"/>
  <c r="BH353" i="4"/>
  <c r="BA354" i="4"/>
  <c r="BB354" i="4"/>
  <c r="BC354" i="4"/>
  <c r="BD354" i="4"/>
  <c r="BE354" i="4"/>
  <c r="BF354" i="4"/>
  <c r="BG354" i="4"/>
  <c r="BH354" i="4"/>
  <c r="BA355" i="4"/>
  <c r="BB355" i="4"/>
  <c r="BC355" i="4"/>
  <c r="BD355" i="4"/>
  <c r="BE355" i="4"/>
  <c r="BF355" i="4"/>
  <c r="BG355" i="4"/>
  <c r="BH355" i="4"/>
  <c r="BA356" i="4"/>
  <c r="BB356" i="4"/>
  <c r="BC356" i="4"/>
  <c r="BD356" i="4"/>
  <c r="BE356" i="4"/>
  <c r="BF356" i="4"/>
  <c r="BG356" i="4"/>
  <c r="BH356" i="4"/>
  <c r="BA357" i="4"/>
  <c r="BB357" i="4"/>
  <c r="BC357" i="4"/>
  <c r="BD357" i="4"/>
  <c r="BE357" i="4"/>
  <c r="BF357" i="4"/>
  <c r="BG357" i="4"/>
  <c r="BH357" i="4"/>
  <c r="BA358" i="4"/>
  <c r="BB358" i="4"/>
  <c r="BC358" i="4"/>
  <c r="BD358" i="4"/>
  <c r="BE358" i="4"/>
  <c r="BF358" i="4"/>
  <c r="BG358" i="4"/>
  <c r="BH358" i="4"/>
  <c r="BA359" i="4"/>
  <c r="BB359" i="4"/>
  <c r="BC359" i="4"/>
  <c r="BD359" i="4"/>
  <c r="BE359" i="4"/>
  <c r="BF359" i="4"/>
  <c r="BG359" i="4"/>
  <c r="BH359" i="4"/>
  <c r="BA360" i="4"/>
  <c r="BB360" i="4"/>
  <c r="BC360" i="4"/>
  <c r="BD360" i="4"/>
  <c r="BE360" i="4"/>
  <c r="BF360" i="4"/>
  <c r="BG360" i="4"/>
  <c r="BH360" i="4"/>
  <c r="BA361" i="4"/>
  <c r="BB361" i="4"/>
  <c r="BC361" i="4"/>
  <c r="BD361" i="4"/>
  <c r="BE361" i="4"/>
  <c r="BF361" i="4"/>
  <c r="BG361" i="4"/>
  <c r="BH361" i="4"/>
  <c r="BA362" i="4"/>
  <c r="BB362" i="4"/>
  <c r="BC362" i="4"/>
  <c r="BD362" i="4"/>
  <c r="BE362" i="4"/>
  <c r="BF362" i="4"/>
  <c r="BG362" i="4"/>
  <c r="BH362" i="4"/>
  <c r="BA363" i="4"/>
  <c r="BB363" i="4"/>
  <c r="BC363" i="4"/>
  <c r="BD363" i="4"/>
  <c r="BE363" i="4"/>
  <c r="BF363" i="4"/>
  <c r="BG363" i="4"/>
  <c r="BH363" i="4"/>
  <c r="BA364" i="4"/>
  <c r="BB364" i="4"/>
  <c r="BC364" i="4"/>
  <c r="BD364" i="4"/>
  <c r="BE364" i="4"/>
  <c r="BF364" i="4"/>
  <c r="BG364" i="4"/>
  <c r="BH364" i="4"/>
  <c r="BA365" i="4"/>
  <c r="BB365" i="4"/>
  <c r="BC365" i="4"/>
  <c r="BD365" i="4"/>
  <c r="BE365" i="4"/>
  <c r="BF365" i="4"/>
  <c r="BG365" i="4"/>
  <c r="BH365" i="4"/>
  <c r="BA366" i="4"/>
  <c r="BB366" i="4"/>
  <c r="BC366" i="4"/>
  <c r="BD366" i="4"/>
  <c r="BE366" i="4"/>
  <c r="BF366" i="4"/>
  <c r="BG366" i="4"/>
  <c r="BH366" i="4"/>
  <c r="BA367" i="4"/>
  <c r="BB367" i="4"/>
  <c r="BC367" i="4"/>
  <c r="BD367" i="4"/>
  <c r="BE367" i="4"/>
  <c r="BF367" i="4"/>
  <c r="BG367" i="4"/>
  <c r="BH367" i="4"/>
  <c r="BA368" i="4"/>
  <c r="BB368" i="4"/>
  <c r="BC368" i="4"/>
  <c r="BD368" i="4"/>
  <c r="BE368" i="4"/>
  <c r="BF368" i="4"/>
  <c r="BG368" i="4"/>
  <c r="BH368" i="4"/>
  <c r="BA369" i="4"/>
  <c r="BB369" i="4"/>
  <c r="BC369" i="4"/>
  <c r="BD369" i="4"/>
  <c r="BE369" i="4"/>
  <c r="BF369" i="4"/>
  <c r="BG369" i="4"/>
  <c r="BH369" i="4"/>
  <c r="BA370" i="4"/>
  <c r="BB370" i="4"/>
  <c r="BC370" i="4"/>
  <c r="BD370" i="4"/>
  <c r="BE370" i="4"/>
  <c r="BF370" i="4"/>
  <c r="BG370" i="4"/>
  <c r="BH370" i="4"/>
  <c r="BA372" i="4"/>
  <c r="BB372" i="4"/>
  <c r="BC372" i="4"/>
  <c r="BD372" i="4"/>
  <c r="BE372" i="4"/>
  <c r="BF372" i="4"/>
  <c r="BG372" i="4"/>
  <c r="BH372" i="4"/>
  <c r="BA373" i="4"/>
  <c r="BB373" i="4"/>
  <c r="BC373" i="4"/>
  <c r="BD373" i="4"/>
  <c r="BE373" i="4"/>
  <c r="BF373" i="4"/>
  <c r="BG373" i="4"/>
  <c r="BH373" i="4"/>
  <c r="BA374" i="4"/>
  <c r="BB374" i="4"/>
  <c r="BC374" i="4"/>
  <c r="BD374" i="4"/>
  <c r="BE374" i="4"/>
  <c r="BF374" i="4"/>
  <c r="BG374" i="4"/>
  <c r="BH374" i="4"/>
  <c r="BA375" i="4"/>
  <c r="BB375" i="4"/>
  <c r="BC375" i="4"/>
  <c r="BD375" i="4"/>
  <c r="BE375" i="4"/>
  <c r="BF375" i="4"/>
  <c r="BG375" i="4"/>
  <c r="BH375" i="4"/>
  <c r="BA376" i="4"/>
  <c r="BB376" i="4"/>
  <c r="BC376" i="4"/>
  <c r="BD376" i="4"/>
  <c r="BE376" i="4"/>
  <c r="BF376" i="4"/>
  <c r="BG376" i="4"/>
  <c r="BH376" i="4"/>
  <c r="BA377" i="4"/>
  <c r="BB377" i="4"/>
  <c r="BC377" i="4"/>
  <c r="BD377" i="4"/>
  <c r="BE377" i="4"/>
  <c r="BF377" i="4"/>
  <c r="BG377" i="4"/>
  <c r="BH377" i="4"/>
  <c r="BA378" i="4"/>
  <c r="BB378" i="4"/>
  <c r="BC378" i="4"/>
  <c r="BD378" i="4"/>
  <c r="BE378" i="4"/>
  <c r="BF378" i="4"/>
  <c r="BG378" i="4"/>
  <c r="BH378" i="4"/>
  <c r="BA379" i="4"/>
  <c r="BB379" i="4"/>
  <c r="BC379" i="4"/>
  <c r="BD379" i="4"/>
  <c r="BE379" i="4"/>
  <c r="BF379" i="4"/>
  <c r="BG379" i="4"/>
  <c r="BH379" i="4"/>
  <c r="BA380" i="4"/>
  <c r="BB380" i="4"/>
  <c r="BC380" i="4"/>
  <c r="BD380" i="4"/>
  <c r="BE380" i="4"/>
  <c r="BF380" i="4"/>
  <c r="BG380" i="4"/>
  <c r="BH380" i="4"/>
  <c r="BA381" i="4"/>
  <c r="BB381" i="4"/>
  <c r="BC381" i="4"/>
  <c r="BD381" i="4"/>
  <c r="BE381" i="4"/>
  <c r="BF381" i="4"/>
  <c r="BG381" i="4"/>
  <c r="BH381" i="4"/>
  <c r="BA382" i="4"/>
  <c r="BB382" i="4"/>
  <c r="BC382" i="4"/>
  <c r="BD382" i="4"/>
  <c r="BE382" i="4"/>
  <c r="BF382" i="4"/>
  <c r="BG382" i="4"/>
  <c r="BH382" i="4"/>
  <c r="BA383" i="4"/>
  <c r="BB383" i="4"/>
  <c r="BC383" i="4"/>
  <c r="BD383" i="4"/>
  <c r="BE383" i="4"/>
  <c r="BF383" i="4"/>
  <c r="BG383" i="4"/>
  <c r="BH383" i="4"/>
  <c r="BA384" i="4"/>
  <c r="BB384" i="4"/>
  <c r="BC384" i="4"/>
  <c r="BD384" i="4"/>
  <c r="BE384" i="4"/>
  <c r="BF384" i="4"/>
  <c r="BG384" i="4"/>
  <c r="BH384" i="4"/>
  <c r="BA385" i="4"/>
  <c r="BB385" i="4"/>
  <c r="BC385" i="4"/>
  <c r="BD385" i="4"/>
  <c r="BE385" i="4"/>
  <c r="BF385" i="4"/>
  <c r="BG385" i="4"/>
  <c r="BH385" i="4"/>
  <c r="BA386" i="4"/>
  <c r="BB386" i="4"/>
  <c r="BC386" i="4"/>
  <c r="BD386" i="4"/>
  <c r="BE386" i="4"/>
  <c r="BF386" i="4"/>
  <c r="BG386" i="4"/>
  <c r="BH386" i="4"/>
  <c r="BA387" i="4"/>
  <c r="BB387" i="4"/>
  <c r="BC387" i="4"/>
  <c r="BD387" i="4"/>
  <c r="BE387" i="4"/>
  <c r="BF387" i="4"/>
  <c r="BG387" i="4"/>
  <c r="BH387" i="4"/>
  <c r="BA388" i="4"/>
  <c r="BB388" i="4"/>
  <c r="BC388" i="4"/>
  <c r="BD388" i="4"/>
  <c r="BE388" i="4"/>
  <c r="BF388" i="4"/>
  <c r="BG388" i="4"/>
  <c r="BH388" i="4"/>
  <c r="BA389" i="4"/>
  <c r="BB389" i="4"/>
  <c r="BC389" i="4"/>
  <c r="BD389" i="4"/>
  <c r="BE389" i="4"/>
  <c r="BF389" i="4"/>
  <c r="BG389" i="4"/>
  <c r="BH389" i="4"/>
  <c r="BA390" i="4"/>
  <c r="BB390" i="4"/>
  <c r="BC390" i="4"/>
  <c r="BD390" i="4"/>
  <c r="BE390" i="4"/>
  <c r="BF390" i="4"/>
  <c r="BG390" i="4"/>
  <c r="BH390" i="4"/>
  <c r="BA391" i="4"/>
  <c r="BB391" i="4"/>
  <c r="BC391" i="4"/>
  <c r="BD391" i="4"/>
  <c r="BE391" i="4"/>
  <c r="BF391" i="4"/>
  <c r="BG391" i="4"/>
  <c r="BH391" i="4"/>
  <c r="BA392" i="4"/>
  <c r="BB392" i="4"/>
  <c r="BC392" i="4"/>
  <c r="BD392" i="4"/>
  <c r="BE392" i="4"/>
  <c r="BF392" i="4"/>
  <c r="BG392" i="4"/>
  <c r="BH392" i="4"/>
  <c r="BA393" i="4"/>
  <c r="BB393" i="4"/>
  <c r="BC393" i="4"/>
  <c r="BD393" i="4"/>
  <c r="BE393" i="4"/>
  <c r="BF393" i="4"/>
  <c r="BG393" i="4"/>
  <c r="BH393" i="4"/>
  <c r="BA394" i="4"/>
  <c r="BB394" i="4"/>
  <c r="BC394" i="4"/>
  <c r="BD394" i="4"/>
  <c r="BE394" i="4"/>
  <c r="BF394" i="4"/>
  <c r="BG394" i="4"/>
  <c r="BH394" i="4"/>
  <c r="BA395" i="4"/>
  <c r="BB395" i="4"/>
  <c r="BC395" i="4"/>
  <c r="BD395" i="4"/>
  <c r="BE395" i="4"/>
  <c r="BF395" i="4"/>
  <c r="BG395" i="4"/>
  <c r="BH395" i="4"/>
  <c r="BA396" i="4"/>
  <c r="BB396" i="4"/>
  <c r="BC396" i="4"/>
  <c r="BD396" i="4"/>
  <c r="BE396" i="4"/>
  <c r="BF396" i="4"/>
  <c r="BG396" i="4"/>
  <c r="BH396" i="4"/>
  <c r="BA397" i="4"/>
  <c r="BB397" i="4"/>
  <c r="BC397" i="4"/>
  <c r="BD397" i="4"/>
  <c r="BE397" i="4"/>
  <c r="BF397" i="4"/>
  <c r="BG397" i="4"/>
  <c r="BH397" i="4"/>
  <c r="BA398" i="4"/>
  <c r="BB398" i="4"/>
  <c r="BC398" i="4"/>
  <c r="BD398" i="4"/>
  <c r="BE398" i="4"/>
  <c r="BF398" i="4"/>
  <c r="BG398" i="4"/>
  <c r="BH398" i="4"/>
  <c r="BA399" i="4"/>
  <c r="BB399" i="4"/>
  <c r="BC399" i="4"/>
  <c r="BD399" i="4"/>
  <c r="BE399" i="4"/>
  <c r="BF399" i="4"/>
  <c r="BG399" i="4"/>
  <c r="BH399" i="4"/>
  <c r="BA400" i="4"/>
  <c r="BB400" i="4"/>
  <c r="BC400" i="4"/>
  <c r="BD400" i="4"/>
  <c r="BE400" i="4"/>
  <c r="BF400" i="4"/>
  <c r="BG400" i="4"/>
  <c r="BH400" i="4"/>
  <c r="BA401" i="4"/>
  <c r="BB401" i="4"/>
  <c r="BC401" i="4"/>
  <c r="BD401" i="4"/>
  <c r="BE401" i="4"/>
  <c r="BF401" i="4"/>
  <c r="BG401" i="4"/>
  <c r="BH401" i="4"/>
  <c r="BA402" i="4"/>
  <c r="BB402" i="4"/>
  <c r="BC402" i="4"/>
  <c r="BD402" i="4"/>
  <c r="BE402" i="4"/>
  <c r="BF402" i="4"/>
  <c r="BG402" i="4"/>
  <c r="BH402" i="4"/>
  <c r="BA403" i="4"/>
  <c r="BB403" i="4"/>
  <c r="BC403" i="4"/>
  <c r="BD403" i="4"/>
  <c r="BE403" i="4"/>
  <c r="BF403" i="4"/>
  <c r="BG403" i="4"/>
  <c r="BH403" i="4"/>
  <c r="BA404" i="4"/>
  <c r="BB404" i="4"/>
  <c r="BC404" i="4"/>
  <c r="BD404" i="4"/>
  <c r="BE404" i="4"/>
  <c r="BF404" i="4"/>
  <c r="BG404" i="4"/>
  <c r="BH404" i="4"/>
  <c r="BA405" i="4"/>
  <c r="BB405" i="4"/>
  <c r="BC405" i="4"/>
  <c r="BD405" i="4"/>
  <c r="BE405" i="4"/>
  <c r="BF405" i="4"/>
  <c r="BG405" i="4"/>
  <c r="BH405" i="4"/>
  <c r="BA406" i="4"/>
  <c r="BB406" i="4"/>
  <c r="BC406" i="4"/>
  <c r="BD406" i="4"/>
  <c r="BE406" i="4"/>
  <c r="BF406" i="4"/>
  <c r="BG406" i="4"/>
  <c r="BH406" i="4"/>
  <c r="BA407" i="4"/>
  <c r="BB407" i="4"/>
  <c r="BC407" i="4"/>
  <c r="BD407" i="4"/>
  <c r="BE407" i="4"/>
  <c r="BF407" i="4"/>
  <c r="BG407" i="4"/>
  <c r="BH407" i="4"/>
  <c r="BA408" i="4"/>
  <c r="BB408" i="4"/>
  <c r="BC408" i="4"/>
  <c r="BD408" i="4"/>
  <c r="BE408" i="4"/>
  <c r="BF408" i="4"/>
  <c r="BG408" i="4"/>
  <c r="BH408" i="4"/>
  <c r="BA409" i="4"/>
  <c r="BB409" i="4"/>
  <c r="BC409" i="4"/>
  <c r="BD409" i="4"/>
  <c r="BE409" i="4"/>
  <c r="BF409" i="4"/>
  <c r="BG409" i="4"/>
  <c r="BH409" i="4"/>
  <c r="BA410" i="4"/>
  <c r="BB410" i="4"/>
  <c r="BC410" i="4"/>
  <c r="BD410" i="4"/>
  <c r="BE410" i="4"/>
  <c r="BF410" i="4"/>
  <c r="BG410" i="4"/>
  <c r="BH410" i="4"/>
  <c r="BA411" i="4"/>
  <c r="BB411" i="4"/>
  <c r="BC411" i="4"/>
  <c r="BD411" i="4"/>
  <c r="BE411" i="4"/>
  <c r="BF411" i="4"/>
  <c r="BG411" i="4"/>
  <c r="BH411" i="4"/>
  <c r="BA412" i="4"/>
  <c r="BB412" i="4"/>
  <c r="BC412" i="4"/>
  <c r="BD412" i="4"/>
  <c r="BE412" i="4"/>
  <c r="BF412" i="4"/>
  <c r="BG412" i="4"/>
  <c r="BH412" i="4"/>
  <c r="BA413" i="4"/>
  <c r="BB413" i="4"/>
  <c r="BC413" i="4"/>
  <c r="BD413" i="4"/>
  <c r="BE413" i="4"/>
  <c r="BF413" i="4"/>
  <c r="BG413" i="4"/>
  <c r="BH413" i="4"/>
  <c r="BA414" i="4"/>
  <c r="BB414" i="4"/>
  <c r="BC414" i="4"/>
  <c r="BD414" i="4"/>
  <c r="BE414" i="4"/>
  <c r="BF414" i="4"/>
  <c r="BG414" i="4"/>
  <c r="BH414" i="4"/>
  <c r="BA415" i="4"/>
  <c r="BB415" i="4"/>
  <c r="BC415" i="4"/>
  <c r="BD415" i="4"/>
  <c r="BE415" i="4"/>
  <c r="BF415" i="4"/>
  <c r="BG415" i="4"/>
  <c r="BH415" i="4"/>
  <c r="BA416" i="4"/>
  <c r="BB416" i="4"/>
  <c r="BC416" i="4"/>
  <c r="BD416" i="4"/>
  <c r="BE416" i="4"/>
  <c r="BF416" i="4"/>
  <c r="BG416" i="4"/>
  <c r="BH416" i="4"/>
  <c r="BA417" i="4"/>
  <c r="BB417" i="4"/>
  <c r="BC417" i="4"/>
  <c r="BD417" i="4"/>
  <c r="BE417" i="4"/>
  <c r="BF417" i="4"/>
  <c r="BG417" i="4"/>
  <c r="BH417" i="4"/>
  <c r="BA418" i="4"/>
  <c r="BB418" i="4"/>
  <c r="BC418" i="4"/>
  <c r="BD418" i="4"/>
  <c r="BE418" i="4"/>
  <c r="BF418" i="4"/>
  <c r="BG418" i="4"/>
  <c r="BH418" i="4"/>
  <c r="BA419" i="4"/>
  <c r="BB419" i="4"/>
  <c r="BC419" i="4"/>
  <c r="BD419" i="4"/>
  <c r="BE419" i="4"/>
  <c r="BF419" i="4"/>
  <c r="BG419" i="4"/>
  <c r="BH419" i="4"/>
  <c r="BA420" i="4"/>
  <c r="BB420" i="4"/>
  <c r="BC420" i="4"/>
  <c r="BD420" i="4"/>
  <c r="BE420" i="4"/>
  <c r="BF420" i="4"/>
  <c r="BG420" i="4"/>
  <c r="BH420" i="4"/>
  <c r="BA421" i="4"/>
  <c r="BB421" i="4"/>
  <c r="BC421" i="4"/>
  <c r="BD421" i="4"/>
  <c r="BE421" i="4"/>
  <c r="BF421" i="4"/>
  <c r="BG421" i="4"/>
  <c r="BH421" i="4"/>
  <c r="BA422" i="4"/>
  <c r="BB422" i="4"/>
  <c r="BC422" i="4"/>
  <c r="BD422" i="4"/>
  <c r="BE422" i="4"/>
  <c r="BF422" i="4"/>
  <c r="BG422" i="4"/>
  <c r="BH422" i="4"/>
  <c r="BA423" i="4"/>
  <c r="BB423" i="4"/>
  <c r="BC423" i="4"/>
  <c r="BD423" i="4"/>
  <c r="BE423" i="4"/>
  <c r="BF423" i="4"/>
  <c r="BG423" i="4"/>
  <c r="BH423" i="4"/>
  <c r="BA424" i="4"/>
  <c r="BB424" i="4"/>
  <c r="BC424" i="4"/>
  <c r="BD424" i="4"/>
  <c r="BE424" i="4"/>
  <c r="BF424" i="4"/>
  <c r="BG424" i="4"/>
  <c r="BH424" i="4"/>
  <c r="BA425" i="4"/>
  <c r="BB425" i="4"/>
  <c r="BC425" i="4"/>
  <c r="BD425" i="4"/>
  <c r="BE425" i="4"/>
  <c r="BF425" i="4"/>
  <c r="BG425" i="4"/>
  <c r="BH425" i="4"/>
  <c r="BA426" i="4"/>
  <c r="BB426" i="4"/>
  <c r="BC426" i="4"/>
  <c r="BD426" i="4"/>
  <c r="BE426" i="4"/>
  <c r="BF426" i="4"/>
  <c r="BG426" i="4"/>
  <c r="BH426" i="4"/>
  <c r="BA427" i="4"/>
  <c r="BB427" i="4"/>
  <c r="BC427" i="4"/>
  <c r="BD427" i="4"/>
  <c r="BE427" i="4"/>
  <c r="BF427" i="4"/>
  <c r="BG427" i="4"/>
  <c r="BH427" i="4"/>
  <c r="BA428" i="4"/>
  <c r="BB428" i="4"/>
  <c r="BC428" i="4"/>
  <c r="BD428" i="4"/>
  <c r="BE428" i="4"/>
  <c r="BF428" i="4"/>
  <c r="BG428" i="4"/>
  <c r="BH428" i="4"/>
  <c r="BA429" i="4"/>
  <c r="BB429" i="4"/>
  <c r="BC429" i="4"/>
  <c r="BD429" i="4"/>
  <c r="BE429" i="4"/>
  <c r="BF429" i="4"/>
  <c r="BG429" i="4"/>
  <c r="BH429" i="4"/>
  <c r="BA430" i="4"/>
  <c r="BB430" i="4"/>
  <c r="BC430" i="4"/>
  <c r="BD430" i="4"/>
  <c r="BE430" i="4"/>
  <c r="BF430" i="4"/>
  <c r="BG430" i="4"/>
  <c r="BH430" i="4"/>
  <c r="BA431" i="4"/>
  <c r="BB431" i="4"/>
  <c r="BC431" i="4"/>
  <c r="BD431" i="4"/>
  <c r="BE431" i="4"/>
  <c r="BF431" i="4"/>
  <c r="BG431" i="4"/>
  <c r="BH431" i="4"/>
  <c r="BA432" i="4"/>
  <c r="BB432" i="4"/>
  <c r="BC432" i="4"/>
  <c r="BD432" i="4"/>
  <c r="BE432" i="4"/>
  <c r="BF432" i="4"/>
  <c r="BG432" i="4"/>
  <c r="BH432" i="4"/>
  <c r="BA433" i="4"/>
  <c r="BB433" i="4"/>
  <c r="BC433" i="4"/>
  <c r="BD433" i="4"/>
  <c r="BE433" i="4"/>
  <c r="BF433" i="4"/>
  <c r="BG433" i="4"/>
  <c r="BH433" i="4"/>
  <c r="BA434" i="4"/>
  <c r="BB434" i="4"/>
  <c r="BC434" i="4"/>
  <c r="BD434" i="4"/>
  <c r="BE434" i="4"/>
  <c r="BF434" i="4"/>
  <c r="BG434" i="4"/>
  <c r="BH434" i="4"/>
  <c r="BA435" i="4"/>
  <c r="BB435" i="4"/>
  <c r="BC435" i="4"/>
  <c r="BD435" i="4"/>
  <c r="BE435" i="4"/>
  <c r="BF435" i="4"/>
  <c r="BG435" i="4"/>
  <c r="BH435" i="4"/>
  <c r="BA436" i="4"/>
  <c r="BB436" i="4"/>
  <c r="BC436" i="4"/>
  <c r="BD436" i="4"/>
  <c r="BE436" i="4"/>
  <c r="BF436" i="4"/>
  <c r="BG436" i="4"/>
  <c r="BH436" i="4"/>
  <c r="BA437" i="4"/>
  <c r="BB437" i="4"/>
  <c r="BC437" i="4"/>
  <c r="BD437" i="4"/>
  <c r="BE437" i="4"/>
  <c r="BF437" i="4"/>
  <c r="BG437" i="4"/>
  <c r="BH437" i="4"/>
  <c r="BA438" i="4"/>
  <c r="BB438" i="4"/>
  <c r="BC438" i="4"/>
  <c r="BD438" i="4"/>
  <c r="BE438" i="4"/>
  <c r="BF438" i="4"/>
  <c r="BG438" i="4"/>
  <c r="BH438" i="4"/>
  <c r="BA439" i="4"/>
  <c r="BB439" i="4"/>
  <c r="BC439" i="4"/>
  <c r="BD439" i="4"/>
  <c r="BE439" i="4"/>
  <c r="BF439" i="4"/>
  <c r="BG439" i="4"/>
  <c r="BH439" i="4"/>
  <c r="BA440" i="4"/>
  <c r="BB440" i="4"/>
  <c r="BC440" i="4"/>
  <c r="BD440" i="4"/>
  <c r="BE440" i="4"/>
  <c r="BF440" i="4"/>
  <c r="BG440" i="4"/>
  <c r="BH440" i="4"/>
  <c r="BA441" i="4"/>
  <c r="BB441" i="4"/>
  <c r="BC441" i="4"/>
  <c r="BD441" i="4"/>
  <c r="BE441" i="4"/>
  <c r="BF441" i="4"/>
  <c r="BG441" i="4"/>
  <c r="BH441" i="4"/>
  <c r="BA442" i="4"/>
  <c r="BB442" i="4"/>
  <c r="BC442" i="4"/>
  <c r="BD442" i="4"/>
  <c r="BE442" i="4"/>
  <c r="BF442" i="4"/>
  <c r="BG442" i="4"/>
  <c r="BH442" i="4"/>
  <c r="BA443" i="4"/>
  <c r="BB443" i="4"/>
  <c r="BC443" i="4"/>
  <c r="BD443" i="4"/>
  <c r="BE443" i="4"/>
  <c r="BF443" i="4"/>
  <c r="BG443" i="4"/>
  <c r="BH443" i="4"/>
  <c r="BA444" i="4"/>
  <c r="BB444" i="4"/>
  <c r="BC444" i="4"/>
  <c r="BD444" i="4"/>
  <c r="BE444" i="4"/>
  <c r="BF444" i="4"/>
  <c r="BG444" i="4"/>
  <c r="BH444" i="4"/>
  <c r="BA445" i="4"/>
  <c r="BB445" i="4"/>
  <c r="BC445" i="4"/>
  <c r="BD445" i="4"/>
  <c r="BE445" i="4"/>
  <c r="BF445" i="4"/>
  <c r="BG445" i="4"/>
  <c r="BH445" i="4"/>
  <c r="BA446" i="4"/>
  <c r="BB446" i="4"/>
  <c r="BC446" i="4"/>
  <c r="BD446" i="4"/>
  <c r="BE446" i="4"/>
  <c r="BF446" i="4"/>
  <c r="BG446" i="4"/>
  <c r="BH446" i="4"/>
  <c r="BA447" i="4"/>
  <c r="BB447" i="4"/>
  <c r="BC447" i="4"/>
  <c r="BD447" i="4"/>
  <c r="BE447" i="4"/>
  <c r="BF447" i="4"/>
  <c r="BG447" i="4"/>
  <c r="BH447" i="4"/>
  <c r="BA448" i="4"/>
  <c r="BB448" i="4"/>
  <c r="BC448" i="4"/>
  <c r="BD448" i="4"/>
  <c r="BE448" i="4"/>
  <c r="BF448" i="4"/>
  <c r="BG448" i="4"/>
  <c r="BH448" i="4"/>
  <c r="BA449" i="4"/>
  <c r="BB449" i="4"/>
  <c r="BC449" i="4"/>
  <c r="BD449" i="4"/>
  <c r="BE449" i="4"/>
  <c r="BF449" i="4"/>
  <c r="BG449" i="4"/>
  <c r="BH449" i="4"/>
  <c r="BA450" i="4"/>
  <c r="BB450" i="4"/>
  <c r="BC450" i="4"/>
  <c r="BD450" i="4"/>
  <c r="BE450" i="4"/>
  <c r="BF450" i="4"/>
  <c r="BG450" i="4"/>
  <c r="BH450" i="4"/>
  <c r="BA451" i="4"/>
  <c r="BB451" i="4"/>
  <c r="BC451" i="4"/>
  <c r="BD451" i="4"/>
  <c r="BE451" i="4"/>
  <c r="BF451" i="4"/>
  <c r="BG451" i="4"/>
  <c r="BH451" i="4"/>
  <c r="BA452" i="4"/>
  <c r="BB452" i="4"/>
  <c r="BC452" i="4"/>
  <c r="BD452" i="4"/>
  <c r="BE452" i="4"/>
  <c r="BF452" i="4"/>
  <c r="BG452" i="4"/>
  <c r="BH452" i="4"/>
  <c r="BA453" i="4"/>
  <c r="BB453" i="4"/>
  <c r="BC453" i="4"/>
  <c r="BD453" i="4"/>
  <c r="BE453" i="4"/>
  <c r="BF453" i="4"/>
  <c r="BG453" i="4"/>
  <c r="BH453" i="4"/>
  <c r="BA455" i="4"/>
  <c r="BB455" i="4"/>
  <c r="BC455" i="4"/>
  <c r="BD455" i="4"/>
  <c r="BE455" i="4"/>
  <c r="BF455" i="4"/>
  <c r="BG455" i="4"/>
  <c r="BH455" i="4"/>
  <c r="BA456" i="4"/>
  <c r="BB456" i="4"/>
  <c r="BC456" i="4"/>
  <c r="BD456" i="4"/>
  <c r="BE456" i="4"/>
  <c r="BF456" i="4"/>
  <c r="BG456" i="4"/>
  <c r="BH456" i="4"/>
  <c r="BA457" i="4"/>
  <c r="BB457" i="4"/>
  <c r="BC457" i="4"/>
  <c r="BD457" i="4"/>
  <c r="BE457" i="4"/>
  <c r="BF457" i="4"/>
  <c r="BG457" i="4"/>
  <c r="BH457" i="4"/>
  <c r="BA458" i="4"/>
  <c r="BB458" i="4"/>
  <c r="BC458" i="4"/>
  <c r="BD458" i="4"/>
  <c r="BE458" i="4"/>
  <c r="BF458" i="4"/>
  <c r="BG458" i="4"/>
  <c r="BH458" i="4"/>
  <c r="BA459" i="4"/>
  <c r="BB459" i="4"/>
  <c r="BC459" i="4"/>
  <c r="BD459" i="4"/>
  <c r="BE459" i="4"/>
  <c r="BF459" i="4"/>
  <c r="BG459" i="4"/>
  <c r="BH459" i="4"/>
  <c r="BA460" i="4"/>
  <c r="BB460" i="4"/>
  <c r="BC460" i="4"/>
  <c r="BD460" i="4"/>
  <c r="BE460" i="4"/>
  <c r="BF460" i="4"/>
  <c r="BG460" i="4"/>
  <c r="BH460" i="4"/>
  <c r="BA461" i="4"/>
  <c r="BB461" i="4"/>
  <c r="BC461" i="4"/>
  <c r="BD461" i="4"/>
  <c r="BE461" i="4"/>
  <c r="BF461" i="4"/>
  <c r="BG461" i="4"/>
  <c r="BH461" i="4"/>
  <c r="BA462" i="4"/>
  <c r="BB462" i="4"/>
  <c r="BC462" i="4"/>
  <c r="BD462" i="4"/>
  <c r="BE462" i="4"/>
  <c r="BF462" i="4"/>
  <c r="BG462" i="4"/>
  <c r="BH462" i="4"/>
  <c r="BA463" i="4"/>
  <c r="BB463" i="4"/>
  <c r="BC463" i="4"/>
  <c r="BD463" i="4"/>
  <c r="BE463" i="4"/>
  <c r="BF463" i="4"/>
  <c r="BG463" i="4"/>
  <c r="BH463" i="4"/>
  <c r="BA464" i="4"/>
  <c r="BB464" i="4"/>
  <c r="BC464" i="4"/>
  <c r="BD464" i="4"/>
  <c r="BE464" i="4"/>
  <c r="BF464" i="4"/>
  <c r="BG464" i="4"/>
  <c r="BH464" i="4"/>
  <c r="BA465" i="4"/>
  <c r="BB465" i="4"/>
  <c r="BC465" i="4"/>
  <c r="BD465" i="4"/>
  <c r="BE465" i="4"/>
  <c r="BF465" i="4"/>
  <c r="BG465" i="4"/>
  <c r="BH465" i="4"/>
  <c r="BA466" i="4"/>
  <c r="BB466" i="4"/>
  <c r="BC466" i="4"/>
  <c r="BD466" i="4"/>
  <c r="BE466" i="4"/>
  <c r="BF466" i="4"/>
  <c r="BG466" i="4"/>
  <c r="BH466" i="4"/>
  <c r="BA467" i="4"/>
  <c r="BB467" i="4"/>
  <c r="BC467" i="4"/>
  <c r="BD467" i="4"/>
  <c r="BE467" i="4"/>
  <c r="BF467" i="4"/>
  <c r="BG467" i="4"/>
  <c r="BH467" i="4"/>
  <c r="BA468" i="4"/>
  <c r="BB468" i="4"/>
  <c r="BC468" i="4"/>
  <c r="BD468" i="4"/>
  <c r="BE468" i="4"/>
  <c r="BF468" i="4"/>
  <c r="BG468" i="4"/>
  <c r="BH468" i="4"/>
  <c r="BA469" i="4"/>
  <c r="BB469" i="4"/>
  <c r="BC469" i="4"/>
  <c r="BD469" i="4"/>
  <c r="BE469" i="4"/>
  <c r="BF469" i="4"/>
  <c r="BG469" i="4"/>
  <c r="BH469" i="4"/>
  <c r="BA470" i="4"/>
  <c r="BB470" i="4"/>
  <c r="BC470" i="4"/>
  <c r="BD470" i="4"/>
  <c r="BE470" i="4"/>
  <c r="BF470" i="4"/>
  <c r="BG470" i="4"/>
  <c r="BH470" i="4"/>
  <c r="BA471" i="4"/>
  <c r="BB471" i="4"/>
  <c r="BC471" i="4"/>
  <c r="BD471" i="4"/>
  <c r="BE471" i="4"/>
  <c r="BF471" i="4"/>
  <c r="BG471" i="4"/>
  <c r="BH471" i="4"/>
  <c r="BA473" i="4"/>
  <c r="BB473" i="4"/>
  <c r="BC473" i="4"/>
  <c r="BD473" i="4"/>
  <c r="BE473" i="4"/>
  <c r="BF473" i="4"/>
  <c r="BG473" i="4"/>
  <c r="BH473" i="4"/>
  <c r="BA474" i="4"/>
  <c r="BB474" i="4"/>
  <c r="BC474" i="4"/>
  <c r="BD474" i="4"/>
  <c r="BE474" i="4"/>
  <c r="BF474" i="4"/>
  <c r="BG474" i="4"/>
  <c r="BH474" i="4"/>
  <c r="BA475" i="4"/>
  <c r="BB475" i="4"/>
  <c r="BC475" i="4"/>
  <c r="BD475" i="4"/>
  <c r="BE475" i="4"/>
  <c r="BF475" i="4"/>
  <c r="BG475" i="4"/>
  <c r="BH475" i="4"/>
  <c r="BA476" i="4"/>
  <c r="BB476" i="4"/>
  <c r="BC476" i="4"/>
  <c r="BD476" i="4"/>
  <c r="BE476" i="4"/>
  <c r="BF476" i="4"/>
  <c r="BG476" i="4"/>
  <c r="BH476" i="4"/>
  <c r="BA477" i="4"/>
  <c r="BB477" i="4"/>
  <c r="BC477" i="4"/>
  <c r="BD477" i="4"/>
  <c r="BE477" i="4"/>
  <c r="BF477" i="4"/>
  <c r="BG477" i="4"/>
  <c r="BH477" i="4"/>
  <c r="BA478" i="4"/>
  <c r="BB478" i="4"/>
  <c r="BC478" i="4"/>
  <c r="BD478" i="4"/>
  <c r="BE478" i="4"/>
  <c r="BF478" i="4"/>
  <c r="BG478" i="4"/>
  <c r="BH478" i="4"/>
  <c r="BA479" i="4"/>
  <c r="BB479" i="4"/>
  <c r="BC479" i="4"/>
  <c r="BD479" i="4"/>
  <c r="BE479" i="4"/>
  <c r="BF479" i="4"/>
  <c r="BG479" i="4"/>
  <c r="BH479" i="4"/>
  <c r="BA480" i="4"/>
  <c r="BB480" i="4"/>
  <c r="BC480" i="4"/>
  <c r="BD480" i="4"/>
  <c r="BE480" i="4"/>
  <c r="BF480" i="4"/>
  <c r="BG480" i="4"/>
  <c r="BH480" i="4"/>
  <c r="BA481" i="4"/>
  <c r="BB481" i="4"/>
  <c r="BC481" i="4"/>
  <c r="BD481" i="4"/>
  <c r="BE481" i="4"/>
  <c r="BF481" i="4"/>
  <c r="BG481" i="4"/>
  <c r="BH481" i="4"/>
  <c r="BA482" i="4"/>
  <c r="BB482" i="4"/>
  <c r="BC482" i="4"/>
  <c r="BD482" i="4"/>
  <c r="BE482" i="4"/>
  <c r="BF482" i="4"/>
  <c r="BG482" i="4"/>
  <c r="BH482" i="4"/>
  <c r="BA483" i="4"/>
  <c r="BB483" i="4"/>
  <c r="BC483" i="4"/>
  <c r="BD483" i="4"/>
  <c r="BE483" i="4"/>
  <c r="BF483" i="4"/>
  <c r="BG483" i="4"/>
  <c r="BH483" i="4"/>
  <c r="BA484" i="4"/>
  <c r="BB484" i="4"/>
  <c r="BC484" i="4"/>
  <c r="BD484" i="4"/>
  <c r="BE484" i="4"/>
  <c r="BF484" i="4"/>
  <c r="BG484" i="4"/>
  <c r="BH484" i="4"/>
  <c r="BA485" i="4"/>
  <c r="BB485" i="4"/>
  <c r="BC485" i="4"/>
  <c r="BD485" i="4"/>
  <c r="BE485" i="4"/>
  <c r="BF485" i="4"/>
  <c r="BG485" i="4"/>
  <c r="BH485" i="4"/>
  <c r="BA486" i="4"/>
  <c r="BB486" i="4"/>
  <c r="BC486" i="4"/>
  <c r="BD486" i="4"/>
  <c r="BE486" i="4"/>
  <c r="BF486" i="4"/>
  <c r="BG486" i="4"/>
  <c r="BH486" i="4"/>
  <c r="BA487" i="4"/>
  <c r="BB487" i="4"/>
  <c r="BC487" i="4"/>
  <c r="BD487" i="4"/>
  <c r="BE487" i="4"/>
  <c r="BF487" i="4"/>
  <c r="BG487" i="4"/>
  <c r="BH487" i="4"/>
  <c r="BA488" i="4"/>
  <c r="BB488" i="4"/>
  <c r="BC488" i="4"/>
  <c r="BD488" i="4"/>
  <c r="BE488" i="4"/>
  <c r="BF488" i="4"/>
  <c r="BG488" i="4"/>
  <c r="BH488" i="4"/>
  <c r="BA489" i="4"/>
  <c r="BB489" i="4"/>
  <c r="BC489" i="4"/>
  <c r="BD489" i="4"/>
  <c r="BE489" i="4"/>
  <c r="BF489" i="4"/>
  <c r="BG489" i="4"/>
  <c r="BH489" i="4"/>
  <c r="BA490" i="4"/>
  <c r="BB490" i="4"/>
  <c r="BC490" i="4"/>
  <c r="BD490" i="4"/>
  <c r="BE490" i="4"/>
  <c r="BF490" i="4"/>
  <c r="BG490" i="4"/>
  <c r="BH490" i="4"/>
  <c r="BA491" i="4"/>
  <c r="BB491" i="4"/>
  <c r="BC491" i="4"/>
  <c r="BD491" i="4"/>
  <c r="BE491" i="4"/>
  <c r="BF491" i="4"/>
  <c r="BG491" i="4"/>
  <c r="BH491" i="4"/>
  <c r="BA492" i="4"/>
  <c r="BB492" i="4"/>
  <c r="BC492" i="4"/>
  <c r="BD492" i="4"/>
  <c r="BE492" i="4"/>
  <c r="BF492" i="4"/>
  <c r="BG492" i="4"/>
  <c r="BH492" i="4"/>
  <c r="BA493" i="4"/>
  <c r="BB493" i="4"/>
  <c r="BC493" i="4"/>
  <c r="BD493" i="4"/>
  <c r="BE493" i="4"/>
  <c r="BF493" i="4"/>
  <c r="BG493" i="4"/>
  <c r="BH493" i="4"/>
  <c r="BA494" i="4"/>
  <c r="BB494" i="4"/>
  <c r="BC494" i="4"/>
  <c r="BD494" i="4"/>
  <c r="BE494" i="4"/>
  <c r="BF494" i="4"/>
  <c r="BG494" i="4"/>
  <c r="BH494" i="4"/>
  <c r="BA495" i="4"/>
  <c r="BB495" i="4"/>
  <c r="BC495" i="4"/>
  <c r="BD495" i="4"/>
  <c r="BE495" i="4"/>
  <c r="BF495" i="4"/>
  <c r="BG495" i="4"/>
  <c r="BH495" i="4"/>
  <c r="BA496" i="4"/>
  <c r="BB496" i="4"/>
  <c r="BC496" i="4"/>
  <c r="BD496" i="4"/>
  <c r="BE496" i="4"/>
  <c r="BF496" i="4"/>
  <c r="BG496" i="4"/>
  <c r="BH496" i="4"/>
  <c r="BA497" i="4"/>
  <c r="BB497" i="4"/>
  <c r="BC497" i="4"/>
  <c r="BD497" i="4"/>
  <c r="BE497" i="4"/>
  <c r="BF497" i="4"/>
  <c r="BG497" i="4"/>
  <c r="BH497" i="4"/>
  <c r="BA498" i="4"/>
  <c r="BB498" i="4"/>
  <c r="BC498" i="4"/>
  <c r="BD498" i="4"/>
  <c r="BE498" i="4"/>
  <c r="BF498" i="4"/>
  <c r="BG498" i="4"/>
  <c r="BH498" i="4"/>
  <c r="BA499" i="4"/>
  <c r="BB499" i="4"/>
  <c r="BC499" i="4"/>
  <c r="BD499" i="4"/>
  <c r="BE499" i="4"/>
  <c r="BF499" i="4"/>
  <c r="BG499" i="4"/>
  <c r="BH499" i="4"/>
  <c r="BA500" i="4"/>
  <c r="BB500" i="4"/>
  <c r="BC500" i="4"/>
  <c r="BD500" i="4"/>
  <c r="BE500" i="4"/>
  <c r="BF500" i="4"/>
  <c r="BG500" i="4"/>
  <c r="BH500" i="4"/>
  <c r="BA501" i="4"/>
  <c r="BB501" i="4"/>
  <c r="BC501" i="4"/>
  <c r="BD501" i="4"/>
  <c r="BE501" i="4"/>
  <c r="BF501" i="4"/>
  <c r="BG501" i="4"/>
  <c r="BH501" i="4"/>
  <c r="BA502" i="4"/>
  <c r="BB502" i="4"/>
  <c r="BC502" i="4"/>
  <c r="BD502" i="4"/>
  <c r="BE502" i="4"/>
  <c r="BF502" i="4"/>
  <c r="BG502" i="4"/>
  <c r="BH502" i="4"/>
  <c r="BA503" i="4"/>
  <c r="BB503" i="4"/>
  <c r="BC503" i="4"/>
  <c r="BD503" i="4"/>
  <c r="BE503" i="4"/>
  <c r="BF503" i="4"/>
  <c r="BG503" i="4"/>
  <c r="BH503" i="4"/>
  <c r="BA504" i="4"/>
  <c r="BB504" i="4"/>
  <c r="BC504" i="4"/>
  <c r="BD504" i="4"/>
  <c r="BE504" i="4"/>
  <c r="BF504" i="4"/>
  <c r="BG504" i="4"/>
  <c r="BH504" i="4"/>
  <c r="BA505" i="4"/>
  <c r="BB505" i="4"/>
  <c r="BC505" i="4"/>
  <c r="BD505" i="4"/>
  <c r="BE505" i="4"/>
  <c r="BF505" i="4"/>
  <c r="BG505" i="4"/>
  <c r="BH505" i="4"/>
  <c r="BA506" i="4"/>
  <c r="BB506" i="4"/>
  <c r="BC506" i="4"/>
  <c r="BD506" i="4"/>
  <c r="BE506" i="4"/>
  <c r="BF506" i="4"/>
  <c r="BG506" i="4"/>
  <c r="BH506" i="4"/>
  <c r="BA507" i="4"/>
  <c r="BB507" i="4"/>
  <c r="BC507" i="4"/>
  <c r="BD507" i="4"/>
  <c r="BE507" i="4"/>
  <c r="BF507" i="4"/>
  <c r="BG507" i="4"/>
  <c r="BH507" i="4"/>
  <c r="BA508" i="4"/>
  <c r="BB508" i="4"/>
  <c r="BC508" i="4"/>
  <c r="BD508" i="4"/>
  <c r="BE508" i="4"/>
  <c r="BF508" i="4"/>
  <c r="BG508" i="4"/>
  <c r="BH508" i="4"/>
  <c r="BA509" i="4"/>
  <c r="BB509" i="4"/>
  <c r="BC509" i="4"/>
  <c r="BD509" i="4"/>
  <c r="BE509" i="4"/>
  <c r="BF509" i="4"/>
  <c r="BG509" i="4"/>
  <c r="BH509" i="4"/>
  <c r="BA510" i="4"/>
  <c r="BB510" i="4"/>
  <c r="BC510" i="4"/>
  <c r="BD510" i="4"/>
  <c r="BE510" i="4"/>
  <c r="BF510" i="4"/>
  <c r="BG510" i="4"/>
  <c r="BH510" i="4"/>
  <c r="BA511" i="4"/>
  <c r="BB511" i="4"/>
  <c r="BC511" i="4"/>
  <c r="BD511" i="4"/>
  <c r="BE511" i="4"/>
  <c r="BF511" i="4"/>
  <c r="BG511" i="4"/>
  <c r="BH511" i="4"/>
  <c r="BA512" i="4"/>
  <c r="BB512" i="4"/>
  <c r="BC512" i="4"/>
  <c r="BD512" i="4"/>
  <c r="BE512" i="4"/>
  <c r="BF512" i="4"/>
  <c r="BG512" i="4"/>
  <c r="BH512" i="4"/>
  <c r="BA513" i="4"/>
  <c r="BB513" i="4"/>
  <c r="BC513" i="4"/>
  <c r="BD513" i="4"/>
  <c r="BE513" i="4"/>
  <c r="BF513" i="4"/>
  <c r="BG513" i="4"/>
  <c r="BH513" i="4"/>
  <c r="BA514" i="4"/>
  <c r="BB514" i="4"/>
  <c r="BC514" i="4"/>
  <c r="BD514" i="4"/>
  <c r="BE514" i="4"/>
  <c r="BF514" i="4"/>
  <c r="BG514" i="4"/>
  <c r="BH514" i="4"/>
  <c r="BA515" i="4"/>
  <c r="BB515" i="4"/>
  <c r="BC515" i="4"/>
  <c r="BD515" i="4"/>
  <c r="BE515" i="4"/>
  <c r="BF515" i="4"/>
  <c r="BG515" i="4"/>
  <c r="BH515" i="4"/>
  <c r="BA516" i="4"/>
  <c r="BB516" i="4"/>
  <c r="BC516" i="4"/>
  <c r="BD516" i="4"/>
  <c r="BE516" i="4"/>
  <c r="BF516" i="4"/>
  <c r="BG516" i="4"/>
  <c r="BH516" i="4"/>
  <c r="BA517" i="4"/>
  <c r="BB517" i="4"/>
  <c r="BC517" i="4"/>
  <c r="BD517" i="4"/>
  <c r="BE517" i="4"/>
  <c r="BF517" i="4"/>
  <c r="BG517" i="4"/>
  <c r="BH517" i="4"/>
  <c r="BA518" i="4"/>
  <c r="BB518" i="4"/>
  <c r="BC518" i="4"/>
  <c r="BD518" i="4"/>
  <c r="BE518" i="4"/>
  <c r="BF518" i="4"/>
  <c r="BG518" i="4"/>
  <c r="BH518" i="4"/>
  <c r="BA519" i="4"/>
  <c r="BB519" i="4"/>
  <c r="BC519" i="4"/>
  <c r="BD519" i="4"/>
  <c r="BE519" i="4"/>
  <c r="BF519" i="4"/>
  <c r="BG519" i="4"/>
  <c r="BH519" i="4"/>
  <c r="BA520" i="4"/>
  <c r="BB520" i="4"/>
  <c r="BC520" i="4"/>
  <c r="BD520" i="4"/>
  <c r="BE520" i="4"/>
  <c r="BF520" i="4"/>
  <c r="BG520" i="4"/>
  <c r="BH520" i="4"/>
  <c r="BA521" i="4"/>
  <c r="BB521" i="4"/>
  <c r="BC521" i="4"/>
  <c r="BD521" i="4"/>
  <c r="BE521" i="4"/>
  <c r="BF521" i="4"/>
  <c r="BG521" i="4"/>
  <c r="BH521" i="4"/>
  <c r="BA522" i="4"/>
  <c r="BB522" i="4"/>
  <c r="BC522" i="4"/>
  <c r="BD522" i="4"/>
  <c r="BE522" i="4"/>
  <c r="BF522" i="4"/>
  <c r="BG522" i="4"/>
  <c r="BH522" i="4"/>
  <c r="BA523" i="4"/>
  <c r="BB523" i="4"/>
  <c r="BC523" i="4"/>
  <c r="BD523" i="4"/>
  <c r="BE523" i="4"/>
  <c r="BF523" i="4"/>
  <c r="BG523" i="4"/>
  <c r="BH523" i="4"/>
  <c r="BA524" i="4"/>
  <c r="BB524" i="4"/>
  <c r="BC524" i="4"/>
  <c r="BD524" i="4"/>
  <c r="BE524" i="4"/>
  <c r="BF524" i="4"/>
  <c r="BG524" i="4"/>
  <c r="BH524" i="4"/>
  <c r="BA525" i="4"/>
  <c r="BB525" i="4"/>
  <c r="BC525" i="4"/>
  <c r="BD525" i="4"/>
  <c r="BE525" i="4"/>
  <c r="BF525" i="4"/>
  <c r="BG525" i="4"/>
  <c r="BH525" i="4"/>
  <c r="BA526" i="4"/>
  <c r="BB526" i="4"/>
  <c r="BC526" i="4"/>
  <c r="BD526" i="4"/>
  <c r="BE526" i="4"/>
  <c r="BF526" i="4"/>
  <c r="BG526" i="4"/>
  <c r="BH526" i="4"/>
  <c r="BA527" i="4"/>
  <c r="BB527" i="4"/>
  <c r="BC527" i="4"/>
  <c r="BD527" i="4"/>
  <c r="BE527" i="4"/>
  <c r="BF527" i="4"/>
  <c r="BG527" i="4"/>
  <c r="BH527" i="4"/>
  <c r="BA528" i="4"/>
  <c r="BB528" i="4"/>
  <c r="BC528" i="4"/>
  <c r="BD528" i="4"/>
  <c r="BE528" i="4"/>
  <c r="BF528" i="4"/>
  <c r="BG528" i="4"/>
  <c r="BH528" i="4"/>
  <c r="BA529" i="4"/>
  <c r="BB529" i="4"/>
  <c r="BC529" i="4"/>
  <c r="BD529" i="4"/>
  <c r="BE529" i="4"/>
  <c r="BF529" i="4"/>
  <c r="BG529" i="4"/>
  <c r="BH529" i="4"/>
  <c r="BA530" i="4"/>
  <c r="BB530" i="4"/>
  <c r="BC530" i="4"/>
  <c r="BD530" i="4"/>
  <c r="BE530" i="4"/>
  <c r="BF530" i="4"/>
  <c r="BG530" i="4"/>
  <c r="BH530" i="4"/>
  <c r="BA531" i="4"/>
  <c r="BB531" i="4"/>
  <c r="BC531" i="4"/>
  <c r="BD531" i="4"/>
  <c r="BE531" i="4"/>
  <c r="BF531" i="4"/>
  <c r="BG531" i="4"/>
  <c r="BH531" i="4"/>
  <c r="BA532" i="4"/>
  <c r="BB532" i="4"/>
  <c r="BC532" i="4"/>
  <c r="BD532" i="4"/>
  <c r="BE532" i="4"/>
  <c r="BF532" i="4"/>
  <c r="BG532" i="4"/>
  <c r="BH532" i="4"/>
  <c r="BA533" i="4"/>
  <c r="BB533" i="4"/>
  <c r="BC533" i="4"/>
  <c r="BD533" i="4"/>
  <c r="BE533" i="4"/>
  <c r="BF533" i="4"/>
  <c r="BG533" i="4"/>
  <c r="BH533" i="4"/>
  <c r="BA534" i="4"/>
  <c r="BB534" i="4"/>
  <c r="BC534" i="4"/>
  <c r="BD534" i="4"/>
  <c r="BE534" i="4"/>
  <c r="BF534" i="4"/>
  <c r="BG534" i="4"/>
  <c r="BH534" i="4"/>
  <c r="BA535" i="4"/>
  <c r="BB535" i="4"/>
  <c r="BC535" i="4"/>
  <c r="BD535" i="4"/>
  <c r="BE535" i="4"/>
  <c r="BF535" i="4"/>
  <c r="BG535" i="4"/>
  <c r="BH535" i="4"/>
  <c r="BA536" i="4"/>
  <c r="BB536" i="4"/>
  <c r="BC536" i="4"/>
  <c r="BD536" i="4"/>
  <c r="BE536" i="4"/>
  <c r="BF536" i="4"/>
  <c r="BG536" i="4"/>
  <c r="BH536" i="4"/>
  <c r="BA538" i="4"/>
  <c r="BB538" i="4"/>
  <c r="BC538" i="4"/>
  <c r="BD538" i="4"/>
  <c r="BE538" i="4"/>
  <c r="BF538" i="4"/>
  <c r="BG538" i="4"/>
  <c r="BH538" i="4"/>
  <c r="BA539" i="4"/>
  <c r="BB539" i="4"/>
  <c r="BC539" i="4"/>
  <c r="BD539" i="4"/>
  <c r="BE539" i="4"/>
  <c r="BF539" i="4"/>
  <c r="BG539" i="4"/>
  <c r="BH539" i="4"/>
  <c r="BA540" i="4"/>
  <c r="BB540" i="4"/>
  <c r="BC540" i="4"/>
  <c r="BD540" i="4"/>
  <c r="BE540" i="4"/>
  <c r="BF540" i="4"/>
  <c r="BG540" i="4"/>
  <c r="BH540" i="4"/>
  <c r="BA541" i="4"/>
  <c r="BB541" i="4"/>
  <c r="BC541" i="4"/>
  <c r="BD541" i="4"/>
  <c r="BE541" i="4"/>
  <c r="BF541" i="4"/>
  <c r="BG541" i="4"/>
  <c r="BH541" i="4"/>
  <c r="BA542" i="4"/>
  <c r="BB542" i="4"/>
  <c r="BC542" i="4"/>
  <c r="BD542" i="4"/>
  <c r="BE542" i="4"/>
  <c r="BF542" i="4"/>
  <c r="BG542" i="4"/>
  <c r="BH542" i="4"/>
  <c r="BA543" i="4"/>
  <c r="BB543" i="4"/>
  <c r="BC543" i="4"/>
  <c r="BD543" i="4"/>
  <c r="BE543" i="4"/>
  <c r="BF543" i="4"/>
  <c r="BG543" i="4"/>
  <c r="BH543" i="4"/>
  <c r="BA544" i="4"/>
  <c r="BB544" i="4"/>
  <c r="BC544" i="4"/>
  <c r="BD544" i="4"/>
  <c r="BE544" i="4"/>
  <c r="BF544" i="4"/>
  <c r="BG544" i="4"/>
  <c r="BH544" i="4"/>
  <c r="BA545" i="4"/>
  <c r="BB545" i="4"/>
  <c r="BC545" i="4"/>
  <c r="BD545" i="4"/>
  <c r="BE545" i="4"/>
  <c r="BF545" i="4"/>
  <c r="BG545" i="4"/>
  <c r="BH545" i="4"/>
  <c r="BA603" i="4"/>
  <c r="BB603" i="4"/>
  <c r="BC603" i="4"/>
  <c r="BD603" i="4"/>
  <c r="BE603" i="4"/>
  <c r="BF603" i="4"/>
  <c r="BG603" i="4"/>
  <c r="BH603" i="4"/>
  <c r="BA546" i="4"/>
  <c r="BB546" i="4"/>
  <c r="BC546" i="4"/>
  <c r="BD546" i="4"/>
  <c r="BE546" i="4"/>
  <c r="BF546" i="4"/>
  <c r="BG546" i="4"/>
  <c r="BH546" i="4"/>
  <c r="BA547" i="4"/>
  <c r="BB547" i="4"/>
  <c r="BC547" i="4"/>
  <c r="BD547" i="4"/>
  <c r="BE547" i="4"/>
  <c r="BF547" i="4"/>
  <c r="BG547" i="4"/>
  <c r="BH547" i="4"/>
  <c r="BA548" i="4"/>
  <c r="BB548" i="4"/>
  <c r="BC548" i="4"/>
  <c r="BD548" i="4"/>
  <c r="BE548" i="4"/>
  <c r="BF548" i="4"/>
  <c r="BG548" i="4"/>
  <c r="BH548" i="4"/>
  <c r="BA549" i="4"/>
  <c r="BB549" i="4"/>
  <c r="BC549" i="4"/>
  <c r="BD549" i="4"/>
  <c r="BE549" i="4"/>
  <c r="BF549" i="4"/>
  <c r="BG549" i="4"/>
  <c r="BH549" i="4"/>
  <c r="BA550" i="4"/>
  <c r="BB550" i="4"/>
  <c r="BC550" i="4"/>
  <c r="BD550" i="4"/>
  <c r="BE550" i="4"/>
  <c r="BF550" i="4"/>
  <c r="BG550" i="4"/>
  <c r="BH550" i="4"/>
  <c r="BA551" i="4"/>
  <c r="BB551" i="4"/>
  <c r="BC551" i="4"/>
  <c r="BD551" i="4"/>
  <c r="BE551" i="4"/>
  <c r="BF551" i="4"/>
  <c r="BG551" i="4"/>
  <c r="BH551" i="4"/>
  <c r="BA552" i="4"/>
  <c r="BB552" i="4"/>
  <c r="BC552" i="4"/>
  <c r="BD552" i="4"/>
  <c r="BE552" i="4"/>
  <c r="BF552" i="4"/>
  <c r="BG552" i="4"/>
  <c r="BH552" i="4"/>
  <c r="BA553" i="4"/>
  <c r="BB553" i="4"/>
  <c r="BC553" i="4"/>
  <c r="BD553" i="4"/>
  <c r="BE553" i="4"/>
  <c r="BF553" i="4"/>
  <c r="BG553" i="4"/>
  <c r="BH553" i="4"/>
  <c r="BA554" i="4"/>
  <c r="BB554" i="4"/>
  <c r="BC554" i="4"/>
  <c r="BD554" i="4"/>
  <c r="BE554" i="4"/>
  <c r="BF554" i="4"/>
  <c r="BG554" i="4"/>
  <c r="BH554" i="4"/>
  <c r="BA555" i="4"/>
  <c r="BB555" i="4"/>
  <c r="BC555" i="4"/>
  <c r="BD555" i="4"/>
  <c r="BE555" i="4"/>
  <c r="BF555" i="4"/>
  <c r="BG555" i="4"/>
  <c r="BH555" i="4"/>
  <c r="BA556" i="4"/>
  <c r="BB556" i="4"/>
  <c r="BC556" i="4"/>
  <c r="BD556" i="4"/>
  <c r="BE556" i="4"/>
  <c r="BF556" i="4"/>
  <c r="BG556" i="4"/>
  <c r="BH556" i="4"/>
  <c r="BA557" i="4"/>
  <c r="BB557" i="4"/>
  <c r="BC557" i="4"/>
  <c r="BD557" i="4"/>
  <c r="BE557" i="4"/>
  <c r="BF557" i="4"/>
  <c r="BG557" i="4"/>
  <c r="BH557" i="4"/>
  <c r="BA558" i="4"/>
  <c r="BB558" i="4"/>
  <c r="BC558" i="4"/>
  <c r="BD558" i="4"/>
  <c r="BE558" i="4"/>
  <c r="BF558" i="4"/>
  <c r="BG558" i="4"/>
  <c r="BH558" i="4"/>
  <c r="BA559" i="4"/>
  <c r="BB559" i="4"/>
  <c r="BC559" i="4"/>
  <c r="BD559" i="4"/>
  <c r="BE559" i="4"/>
  <c r="BF559" i="4"/>
  <c r="BG559" i="4"/>
  <c r="BH559" i="4"/>
  <c r="BA560" i="4"/>
  <c r="BB560" i="4"/>
  <c r="BC560" i="4"/>
  <c r="BD560" i="4"/>
  <c r="BE560" i="4"/>
  <c r="BF560" i="4"/>
  <c r="BG560" i="4"/>
  <c r="BH560" i="4"/>
  <c r="BA561" i="4"/>
  <c r="BB561" i="4"/>
  <c r="BC561" i="4"/>
  <c r="BD561" i="4"/>
  <c r="BE561" i="4"/>
  <c r="BF561" i="4"/>
  <c r="BG561" i="4"/>
  <c r="BH561" i="4"/>
  <c r="BA562" i="4"/>
  <c r="BB562" i="4"/>
  <c r="BC562" i="4"/>
  <c r="BD562" i="4"/>
  <c r="BE562" i="4"/>
  <c r="BF562" i="4"/>
  <c r="BG562" i="4"/>
  <c r="BH562" i="4"/>
  <c r="BA563" i="4"/>
  <c r="BB563" i="4"/>
  <c r="BC563" i="4"/>
  <c r="BD563" i="4"/>
  <c r="BE563" i="4"/>
  <c r="BF563" i="4"/>
  <c r="BG563" i="4"/>
  <c r="BH563" i="4"/>
  <c r="BA564" i="4"/>
  <c r="BB564" i="4"/>
  <c r="BC564" i="4"/>
  <c r="BD564" i="4"/>
  <c r="BE564" i="4"/>
  <c r="BF564" i="4"/>
  <c r="BG564" i="4"/>
  <c r="BH564" i="4"/>
  <c r="BA565" i="4"/>
  <c r="BB565" i="4"/>
  <c r="BC565" i="4"/>
  <c r="BD565" i="4"/>
  <c r="BE565" i="4"/>
  <c r="BF565" i="4"/>
  <c r="BG565" i="4"/>
  <c r="BH565" i="4"/>
  <c r="BA566" i="4"/>
  <c r="BB566" i="4"/>
  <c r="BC566" i="4"/>
  <c r="BD566" i="4"/>
  <c r="BE566" i="4"/>
  <c r="BF566" i="4"/>
  <c r="BG566" i="4"/>
  <c r="BH566" i="4"/>
  <c r="BA567" i="4"/>
  <c r="BB567" i="4"/>
  <c r="BC567" i="4"/>
  <c r="BD567" i="4"/>
  <c r="BE567" i="4"/>
  <c r="BF567" i="4"/>
  <c r="BG567" i="4"/>
  <c r="BH567" i="4"/>
  <c r="BA568" i="4"/>
  <c r="BB568" i="4"/>
  <c r="BC568" i="4"/>
  <c r="BD568" i="4"/>
  <c r="BE568" i="4"/>
  <c r="BF568" i="4"/>
  <c r="BG568" i="4"/>
  <c r="BH568" i="4"/>
  <c r="BA569" i="4"/>
  <c r="BB569" i="4"/>
  <c r="BC569" i="4"/>
  <c r="BD569" i="4"/>
  <c r="BE569" i="4"/>
  <c r="BF569" i="4"/>
  <c r="BG569" i="4"/>
  <c r="BH569" i="4"/>
  <c r="BA570" i="4"/>
  <c r="BB570" i="4"/>
  <c r="BC570" i="4"/>
  <c r="BD570" i="4"/>
  <c r="BE570" i="4"/>
  <c r="BF570" i="4"/>
  <c r="BG570" i="4"/>
  <c r="BH570" i="4"/>
  <c r="BA571" i="4"/>
  <c r="BB571" i="4"/>
  <c r="BC571" i="4"/>
  <c r="BD571" i="4"/>
  <c r="BE571" i="4"/>
  <c r="BF571" i="4"/>
  <c r="BG571" i="4"/>
  <c r="BH571" i="4"/>
  <c r="BA572" i="4"/>
  <c r="BB572" i="4"/>
  <c r="BC572" i="4"/>
  <c r="BD572" i="4"/>
  <c r="BE572" i="4"/>
  <c r="BF572" i="4"/>
  <c r="BG572" i="4"/>
  <c r="BH572" i="4"/>
  <c r="BA573" i="4"/>
  <c r="BB573" i="4"/>
  <c r="BC573" i="4"/>
  <c r="BD573" i="4"/>
  <c r="BE573" i="4"/>
  <c r="BF573" i="4"/>
  <c r="BG573" i="4"/>
  <c r="BH573" i="4"/>
  <c r="BA575" i="4"/>
  <c r="BB575" i="4"/>
  <c r="BC575" i="4"/>
  <c r="BD575" i="4"/>
  <c r="BE575" i="4"/>
  <c r="BF575" i="4"/>
  <c r="BG575" i="4"/>
  <c r="BH575" i="4"/>
  <c r="BA576" i="4"/>
  <c r="BB576" i="4"/>
  <c r="BC576" i="4"/>
  <c r="BD576" i="4"/>
  <c r="BE576" i="4"/>
  <c r="BF576" i="4"/>
  <c r="BG576" i="4"/>
  <c r="BH576" i="4"/>
  <c r="BA577" i="4"/>
  <c r="BB577" i="4"/>
  <c r="BC577" i="4"/>
  <c r="BD577" i="4"/>
  <c r="BE577" i="4"/>
  <c r="BF577" i="4"/>
  <c r="BG577" i="4"/>
  <c r="BH577" i="4"/>
  <c r="BA578" i="4"/>
  <c r="BB578" i="4"/>
  <c r="BC578" i="4"/>
  <c r="BD578" i="4"/>
  <c r="BE578" i="4"/>
  <c r="BF578" i="4"/>
  <c r="BG578" i="4"/>
  <c r="BH578" i="4"/>
  <c r="BA579" i="4"/>
  <c r="BB579" i="4"/>
  <c r="BC579" i="4"/>
  <c r="BD579" i="4"/>
  <c r="BE579" i="4"/>
  <c r="BF579" i="4"/>
  <c r="BG579" i="4"/>
  <c r="BH579" i="4"/>
  <c r="BA580" i="4"/>
  <c r="BB580" i="4"/>
  <c r="BC580" i="4"/>
  <c r="BD580" i="4"/>
  <c r="BE580" i="4"/>
  <c r="BF580" i="4"/>
  <c r="BG580" i="4"/>
  <c r="BH580" i="4"/>
  <c r="BA581" i="4"/>
  <c r="BB581" i="4"/>
  <c r="BC581" i="4"/>
  <c r="BD581" i="4"/>
  <c r="BE581" i="4"/>
  <c r="BF581" i="4"/>
  <c r="BG581" i="4"/>
  <c r="BH581" i="4"/>
  <c r="BA582" i="4"/>
  <c r="BB582" i="4"/>
  <c r="BC582" i="4"/>
  <c r="BD582" i="4"/>
  <c r="BE582" i="4"/>
  <c r="BF582" i="4"/>
  <c r="BG582" i="4"/>
  <c r="BH582" i="4"/>
  <c r="BA583" i="4"/>
  <c r="BB583" i="4"/>
  <c r="BC583" i="4"/>
  <c r="BD583" i="4"/>
  <c r="BE583" i="4"/>
  <c r="BF583" i="4"/>
  <c r="BG583" i="4"/>
  <c r="BH583" i="4"/>
  <c r="BA584" i="4"/>
  <c r="BB584" i="4"/>
  <c r="BC584" i="4"/>
  <c r="BD584" i="4"/>
  <c r="BE584" i="4"/>
  <c r="BF584" i="4"/>
  <c r="BG584" i="4"/>
  <c r="BH584" i="4"/>
  <c r="BA585" i="4"/>
  <c r="BB585" i="4"/>
  <c r="BC585" i="4"/>
  <c r="BD585" i="4"/>
  <c r="BE585" i="4"/>
  <c r="BF585" i="4"/>
  <c r="BG585" i="4"/>
  <c r="BH585" i="4"/>
  <c r="BA586" i="4"/>
  <c r="BB586" i="4"/>
  <c r="BC586" i="4"/>
  <c r="BD586" i="4"/>
  <c r="BE586" i="4"/>
  <c r="BF586" i="4"/>
  <c r="BG586" i="4"/>
  <c r="BH586" i="4"/>
  <c r="BA587" i="4"/>
  <c r="BB587" i="4"/>
  <c r="BC587" i="4"/>
  <c r="BD587" i="4"/>
  <c r="BE587" i="4"/>
  <c r="BF587" i="4"/>
  <c r="BG587" i="4"/>
  <c r="BH587" i="4"/>
  <c r="BA588" i="4"/>
  <c r="BB588" i="4"/>
  <c r="BC588" i="4"/>
  <c r="BD588" i="4"/>
  <c r="BE588" i="4"/>
  <c r="BF588" i="4"/>
  <c r="BG588" i="4"/>
  <c r="BH588" i="4"/>
  <c r="BA589" i="4"/>
  <c r="BB589" i="4"/>
  <c r="BC589" i="4"/>
  <c r="BD589" i="4"/>
  <c r="BE589" i="4"/>
  <c r="BF589" i="4"/>
  <c r="BG589" i="4"/>
  <c r="BH589" i="4"/>
  <c r="BA590" i="4"/>
  <c r="BB590" i="4"/>
  <c r="BC590" i="4"/>
  <c r="BD590" i="4"/>
  <c r="BE590" i="4"/>
  <c r="BF590" i="4"/>
  <c r="BG590" i="4"/>
  <c r="BH590" i="4"/>
  <c r="BA591" i="4"/>
  <c r="BB591" i="4"/>
  <c r="BC591" i="4"/>
  <c r="BD591" i="4"/>
  <c r="BE591" i="4"/>
  <c r="BF591" i="4"/>
  <c r="BG591" i="4"/>
  <c r="BH591" i="4"/>
  <c r="BA592" i="4"/>
  <c r="BB592" i="4"/>
  <c r="BC592" i="4"/>
  <c r="BD592" i="4"/>
  <c r="BE592" i="4"/>
  <c r="BF592" i="4"/>
  <c r="BG592" i="4"/>
  <c r="BH592" i="4"/>
  <c r="BA593" i="4"/>
  <c r="BB593" i="4"/>
  <c r="BC593" i="4"/>
  <c r="BD593" i="4"/>
  <c r="BE593" i="4"/>
  <c r="BF593" i="4"/>
  <c r="BG593" i="4"/>
  <c r="BH593" i="4"/>
  <c r="BA594" i="4"/>
  <c r="BB594" i="4"/>
  <c r="BC594" i="4"/>
  <c r="BD594" i="4"/>
  <c r="BE594" i="4"/>
  <c r="BF594" i="4"/>
  <c r="BG594" i="4"/>
  <c r="BH594" i="4"/>
  <c r="BA595" i="4"/>
  <c r="BB595" i="4"/>
  <c r="BC595" i="4"/>
  <c r="BD595" i="4"/>
  <c r="BE595" i="4"/>
  <c r="BF595" i="4"/>
  <c r="BG595" i="4"/>
  <c r="BH595" i="4"/>
  <c r="BA596" i="4"/>
  <c r="BB596" i="4"/>
  <c r="BC596" i="4"/>
  <c r="BD596" i="4"/>
  <c r="BE596" i="4"/>
  <c r="BF596" i="4"/>
  <c r="BG596" i="4"/>
  <c r="BH596" i="4"/>
  <c r="BA597" i="4"/>
  <c r="BB597" i="4"/>
  <c r="BC597" i="4"/>
  <c r="BD597" i="4"/>
  <c r="BE597" i="4"/>
  <c r="BF597" i="4"/>
  <c r="BG597" i="4"/>
  <c r="BH597" i="4"/>
  <c r="BA598" i="4"/>
  <c r="BB598" i="4"/>
  <c r="BC598" i="4"/>
  <c r="BD598" i="4"/>
  <c r="BE598" i="4"/>
  <c r="BF598" i="4"/>
  <c r="BG598" i="4"/>
  <c r="BH598" i="4"/>
  <c r="BA599" i="4"/>
  <c r="BB599" i="4"/>
  <c r="BC599" i="4"/>
  <c r="BD599" i="4"/>
  <c r="BE599" i="4"/>
  <c r="BF599" i="4"/>
  <c r="BG599" i="4"/>
  <c r="BH599" i="4"/>
  <c r="BA600" i="4"/>
  <c r="BB600" i="4"/>
  <c r="BC600" i="4"/>
  <c r="BD600" i="4"/>
  <c r="BE600" i="4"/>
  <c r="BF600" i="4"/>
  <c r="BG600" i="4"/>
  <c r="BH600" i="4"/>
  <c r="BA601" i="4"/>
  <c r="BB601" i="4"/>
  <c r="BC601" i="4"/>
  <c r="BD601" i="4"/>
  <c r="BE601" i="4"/>
  <c r="BF601" i="4"/>
  <c r="BG601" i="4"/>
  <c r="BH601" i="4"/>
  <c r="BA602" i="4"/>
  <c r="BB602" i="4"/>
  <c r="BC602" i="4"/>
  <c r="BD602" i="4"/>
  <c r="BE602" i="4"/>
  <c r="BF602" i="4"/>
  <c r="BG602" i="4"/>
  <c r="BH602" i="4"/>
  <c r="BA604" i="4"/>
  <c r="BB604" i="4"/>
  <c r="BC604" i="4"/>
  <c r="BD604" i="4"/>
  <c r="BE604" i="4"/>
  <c r="BF604" i="4"/>
  <c r="BG604" i="4"/>
  <c r="BH604" i="4"/>
  <c r="BA605" i="4"/>
  <c r="BB605" i="4"/>
  <c r="BC605" i="4"/>
  <c r="BD605" i="4"/>
  <c r="BE605" i="4"/>
  <c r="BF605" i="4"/>
  <c r="BG605" i="4"/>
  <c r="BH605" i="4"/>
  <c r="BA606" i="4"/>
  <c r="BB606" i="4"/>
  <c r="BC606" i="4"/>
  <c r="BD606" i="4"/>
  <c r="BE606" i="4"/>
  <c r="BF606" i="4"/>
  <c r="BG606" i="4"/>
  <c r="BH606" i="4"/>
  <c r="BA607" i="4"/>
  <c r="BB607" i="4"/>
  <c r="BC607" i="4"/>
  <c r="BD607" i="4"/>
  <c r="BE607" i="4"/>
  <c r="BF607" i="4"/>
  <c r="BG607" i="4"/>
  <c r="BH607" i="4"/>
  <c r="BA608" i="4"/>
  <c r="BB608" i="4"/>
  <c r="BC608" i="4"/>
  <c r="BD608" i="4"/>
  <c r="BE608" i="4"/>
  <c r="BF608" i="4"/>
  <c r="BG608" i="4"/>
  <c r="BH608" i="4"/>
  <c r="BA609" i="4"/>
  <c r="BB609" i="4"/>
  <c r="BC609" i="4"/>
  <c r="BD609" i="4"/>
  <c r="BE609" i="4"/>
  <c r="BF609" i="4"/>
  <c r="BG609" i="4"/>
  <c r="BH609" i="4"/>
  <c r="BA610" i="4"/>
  <c r="BB610" i="4"/>
  <c r="BC610" i="4"/>
  <c r="BD610" i="4"/>
  <c r="BE610" i="4"/>
  <c r="BF610" i="4"/>
  <c r="BG610" i="4"/>
  <c r="BH610" i="4"/>
  <c r="BA611" i="4"/>
  <c r="BB611" i="4"/>
  <c r="BC611" i="4"/>
  <c r="BD611" i="4"/>
  <c r="BE611" i="4"/>
  <c r="BF611" i="4"/>
  <c r="BG611" i="4"/>
  <c r="BH611" i="4"/>
  <c r="BA612" i="4"/>
  <c r="BB612" i="4"/>
  <c r="BC612" i="4"/>
  <c r="BD612" i="4"/>
  <c r="BE612" i="4"/>
  <c r="BF612" i="4"/>
  <c r="BG612" i="4"/>
  <c r="BH612" i="4"/>
  <c r="BA613" i="4"/>
  <c r="BB613" i="4"/>
  <c r="BC613" i="4"/>
  <c r="BD613" i="4"/>
  <c r="BE613" i="4"/>
  <c r="BF613" i="4"/>
  <c r="BG613" i="4"/>
  <c r="BH613" i="4"/>
  <c r="BA614" i="4"/>
  <c r="BB614" i="4"/>
  <c r="BC614" i="4"/>
  <c r="BD614" i="4"/>
  <c r="BE614" i="4"/>
  <c r="BF614" i="4"/>
  <c r="BG614" i="4"/>
  <c r="BH614" i="4"/>
  <c r="BA615" i="4"/>
  <c r="BB615" i="4"/>
  <c r="BC615" i="4"/>
  <c r="BD615" i="4"/>
  <c r="BE615" i="4"/>
  <c r="BF615" i="4"/>
  <c r="BG615" i="4"/>
  <c r="BH615" i="4"/>
  <c r="BA616" i="4"/>
  <c r="BB616" i="4"/>
  <c r="BC616" i="4"/>
  <c r="BD616" i="4"/>
  <c r="BE616" i="4"/>
  <c r="BF616" i="4"/>
  <c r="BG616" i="4"/>
  <c r="BH616" i="4"/>
  <c r="BA617" i="4"/>
  <c r="BB617" i="4"/>
  <c r="BC617" i="4"/>
  <c r="BD617" i="4"/>
  <c r="BE617" i="4"/>
  <c r="BF617" i="4"/>
  <c r="BG617" i="4"/>
  <c r="BH617" i="4"/>
  <c r="BA618" i="4"/>
  <c r="BB618" i="4"/>
  <c r="BC618" i="4"/>
  <c r="BD618" i="4"/>
  <c r="BE618" i="4"/>
  <c r="BF618" i="4"/>
  <c r="BG618" i="4"/>
  <c r="BH618" i="4"/>
  <c r="BA619" i="4"/>
  <c r="BB619" i="4"/>
  <c r="BC619" i="4"/>
  <c r="BD619" i="4"/>
  <c r="BE619" i="4"/>
  <c r="BF619" i="4"/>
  <c r="BG619" i="4"/>
  <c r="BH619" i="4"/>
  <c r="BA620" i="4"/>
  <c r="BB620" i="4"/>
  <c r="BC620" i="4"/>
  <c r="BD620" i="4"/>
  <c r="BE620" i="4"/>
  <c r="BF620" i="4"/>
  <c r="BG620" i="4"/>
  <c r="BH620" i="4"/>
  <c r="BA621" i="4"/>
  <c r="BB621" i="4"/>
  <c r="BC621" i="4"/>
  <c r="BD621" i="4"/>
  <c r="BE621" i="4"/>
  <c r="BF621" i="4"/>
  <c r="BG621" i="4"/>
  <c r="BH621" i="4"/>
  <c r="BA622" i="4"/>
  <c r="BB622" i="4"/>
  <c r="BC622" i="4"/>
  <c r="BD622" i="4"/>
  <c r="BE622" i="4"/>
  <c r="BF622" i="4"/>
  <c r="BG622" i="4"/>
  <c r="BH622" i="4"/>
  <c r="BA623" i="4"/>
  <c r="BB623" i="4"/>
  <c r="BC623" i="4"/>
  <c r="BD623" i="4"/>
  <c r="BE623" i="4"/>
  <c r="BF623" i="4"/>
  <c r="BG623" i="4"/>
  <c r="BH623" i="4"/>
  <c r="BA624" i="4"/>
  <c r="BB624" i="4"/>
  <c r="BC624" i="4"/>
  <c r="BD624" i="4"/>
  <c r="BE624" i="4"/>
  <c r="BF624" i="4"/>
  <c r="BG624" i="4"/>
  <c r="BH624" i="4"/>
  <c r="BA625" i="4"/>
  <c r="BB625" i="4"/>
  <c r="BC625" i="4"/>
  <c r="BD625" i="4"/>
  <c r="BE625" i="4"/>
  <c r="BF625" i="4"/>
  <c r="BG625" i="4"/>
  <c r="BH625" i="4"/>
  <c r="BA626" i="4"/>
  <c r="BB626" i="4"/>
  <c r="BC626" i="4"/>
  <c r="BD626" i="4"/>
  <c r="BE626" i="4"/>
  <c r="BF626" i="4"/>
  <c r="BG626" i="4"/>
  <c r="BH626" i="4"/>
  <c r="BA628" i="4"/>
  <c r="BB628" i="4"/>
  <c r="BC628" i="4"/>
  <c r="BD628" i="4"/>
  <c r="BE628" i="4"/>
  <c r="BF628" i="4"/>
  <c r="BG628" i="4"/>
  <c r="BH628" i="4"/>
  <c r="BA629" i="4"/>
  <c r="BB629" i="4"/>
  <c r="BC629" i="4"/>
  <c r="BD629" i="4"/>
  <c r="BE629" i="4"/>
  <c r="BF629" i="4"/>
  <c r="BG629" i="4"/>
  <c r="BH629" i="4"/>
  <c r="BA630" i="4"/>
  <c r="BB630" i="4"/>
  <c r="BC630" i="4"/>
  <c r="BD630" i="4"/>
  <c r="BE630" i="4"/>
  <c r="BF630" i="4"/>
  <c r="BG630" i="4"/>
  <c r="BH630" i="4"/>
  <c r="BA631" i="4"/>
  <c r="BB631" i="4"/>
  <c r="BC631" i="4"/>
  <c r="BD631" i="4"/>
  <c r="BE631" i="4"/>
  <c r="BF631" i="4"/>
  <c r="BG631" i="4"/>
  <c r="BH631" i="4"/>
  <c r="BA632" i="4"/>
  <c r="BB632" i="4"/>
  <c r="BC632" i="4"/>
  <c r="BD632" i="4"/>
  <c r="BE632" i="4"/>
  <c r="BF632" i="4"/>
  <c r="BG632" i="4"/>
  <c r="BH632" i="4"/>
  <c r="BA633" i="4"/>
  <c r="BB633" i="4"/>
  <c r="BC633" i="4"/>
  <c r="BD633" i="4"/>
  <c r="BE633" i="4"/>
  <c r="BF633" i="4"/>
  <c r="BG633" i="4"/>
  <c r="BH633" i="4"/>
  <c r="BA634" i="4"/>
  <c r="BB634" i="4"/>
  <c r="BC634" i="4"/>
  <c r="BD634" i="4"/>
  <c r="BE634" i="4"/>
  <c r="BF634" i="4"/>
  <c r="BG634" i="4"/>
  <c r="BH634" i="4"/>
  <c r="BA635" i="4"/>
  <c r="BB635" i="4"/>
  <c r="BC635" i="4"/>
  <c r="BD635" i="4"/>
  <c r="BE635" i="4"/>
  <c r="BF635" i="4"/>
  <c r="BG635" i="4"/>
  <c r="BH635" i="4"/>
  <c r="BA636" i="4"/>
  <c r="BB636" i="4"/>
  <c r="BC636" i="4"/>
  <c r="BD636" i="4"/>
  <c r="BE636" i="4"/>
  <c r="BF636" i="4"/>
  <c r="BG636" i="4"/>
  <c r="BH636" i="4"/>
  <c r="BA637" i="4"/>
  <c r="BB637" i="4"/>
  <c r="BC637" i="4"/>
  <c r="BD637" i="4"/>
  <c r="BE637" i="4"/>
  <c r="BF637" i="4"/>
  <c r="BG637" i="4"/>
  <c r="BH637" i="4"/>
  <c r="BA638" i="4"/>
  <c r="BB638" i="4"/>
  <c r="BC638" i="4"/>
  <c r="BD638" i="4"/>
  <c r="BE638" i="4"/>
  <c r="BF638" i="4"/>
  <c r="BG638" i="4"/>
  <c r="BH638" i="4"/>
  <c r="BA639" i="4"/>
  <c r="BB639" i="4"/>
  <c r="BC639" i="4"/>
  <c r="BD639" i="4"/>
  <c r="BE639" i="4"/>
  <c r="BF639" i="4"/>
  <c r="BG639" i="4"/>
  <c r="BH639" i="4"/>
  <c r="BA640" i="4"/>
  <c r="BB640" i="4"/>
  <c r="BC640" i="4"/>
  <c r="BD640" i="4"/>
  <c r="BE640" i="4"/>
  <c r="BF640" i="4"/>
  <c r="BG640" i="4"/>
  <c r="BH640" i="4"/>
  <c r="BA641" i="4"/>
  <c r="BB641" i="4"/>
  <c r="BC641" i="4"/>
  <c r="BD641" i="4"/>
  <c r="BE641" i="4"/>
  <c r="BF641" i="4"/>
  <c r="BG641" i="4"/>
  <c r="BH641" i="4"/>
  <c r="BA642" i="4"/>
  <c r="BB642" i="4"/>
  <c r="BC642" i="4"/>
  <c r="BD642" i="4"/>
  <c r="BE642" i="4"/>
  <c r="BF642" i="4"/>
  <c r="BG642" i="4"/>
  <c r="BH642" i="4"/>
  <c r="BA643" i="4"/>
  <c r="BB643" i="4"/>
  <c r="BC643" i="4"/>
  <c r="BD643" i="4"/>
  <c r="BE643" i="4"/>
  <c r="BF643" i="4"/>
  <c r="BG643" i="4"/>
  <c r="BH643" i="4"/>
  <c r="BA644" i="4"/>
  <c r="BB644" i="4"/>
  <c r="BC644" i="4"/>
  <c r="BD644" i="4"/>
  <c r="BE644" i="4"/>
  <c r="BF644" i="4"/>
  <c r="BG644" i="4"/>
  <c r="BH644" i="4"/>
  <c r="BA645" i="4"/>
  <c r="BB645" i="4"/>
  <c r="BC645" i="4"/>
  <c r="BD645" i="4"/>
  <c r="BE645" i="4"/>
  <c r="BF645" i="4"/>
  <c r="BG645" i="4"/>
  <c r="BH645" i="4"/>
  <c r="BA646" i="4"/>
  <c r="BB646" i="4"/>
  <c r="BC646" i="4"/>
  <c r="BD646" i="4"/>
  <c r="BE646" i="4"/>
  <c r="BF646" i="4"/>
  <c r="BG646" i="4"/>
  <c r="BH646" i="4"/>
  <c r="BA647" i="4"/>
  <c r="BB647" i="4"/>
  <c r="BC647" i="4"/>
  <c r="BD647" i="4"/>
  <c r="BE647" i="4"/>
  <c r="BF647" i="4"/>
  <c r="BG647" i="4"/>
  <c r="BH647" i="4"/>
  <c r="BA648" i="4"/>
  <c r="BB648" i="4"/>
  <c r="BC648" i="4"/>
  <c r="BD648" i="4"/>
  <c r="BE648" i="4"/>
  <c r="BF648" i="4"/>
  <c r="BG648" i="4"/>
  <c r="BH648" i="4"/>
  <c r="BA649" i="4"/>
  <c r="BB649" i="4"/>
  <c r="BC649" i="4"/>
  <c r="BD649" i="4"/>
  <c r="BE649" i="4"/>
  <c r="BF649" i="4"/>
  <c r="BG649" i="4"/>
  <c r="BH649" i="4"/>
  <c r="BA650" i="4"/>
  <c r="BB650" i="4"/>
  <c r="BC650" i="4"/>
  <c r="BD650" i="4"/>
  <c r="BE650" i="4"/>
  <c r="BF650" i="4"/>
  <c r="BG650" i="4"/>
  <c r="BH650" i="4"/>
  <c r="BA651" i="4"/>
  <c r="BB651" i="4"/>
  <c r="BC651" i="4"/>
  <c r="BD651" i="4"/>
  <c r="BE651" i="4"/>
  <c r="BF651" i="4"/>
  <c r="BG651" i="4"/>
  <c r="BH651" i="4"/>
  <c r="BA652" i="4"/>
  <c r="BB652" i="4"/>
  <c r="BC652" i="4"/>
  <c r="BD652" i="4"/>
  <c r="BE652" i="4"/>
  <c r="BF652" i="4"/>
  <c r="BG652" i="4"/>
  <c r="BH652" i="4"/>
  <c r="BA653" i="4"/>
  <c r="BB653" i="4"/>
  <c r="BC653" i="4"/>
  <c r="BD653" i="4"/>
  <c r="BE653" i="4"/>
  <c r="BF653" i="4"/>
  <c r="BG653" i="4"/>
  <c r="BH653" i="4"/>
  <c r="BA654" i="4"/>
  <c r="BB654" i="4"/>
  <c r="BC654" i="4"/>
  <c r="BD654" i="4"/>
  <c r="BE654" i="4"/>
  <c r="BF654" i="4"/>
  <c r="BG654" i="4"/>
  <c r="BH654" i="4"/>
  <c r="BA655" i="4"/>
  <c r="BB655" i="4"/>
  <c r="BC655" i="4"/>
  <c r="BD655" i="4"/>
  <c r="BE655" i="4"/>
  <c r="BF655" i="4"/>
  <c r="BG655" i="4"/>
  <c r="BH655" i="4"/>
  <c r="BA656" i="4"/>
  <c r="BB656" i="4"/>
  <c r="BC656" i="4"/>
  <c r="BD656" i="4"/>
  <c r="BE656" i="4"/>
  <c r="BF656" i="4"/>
  <c r="BG656" i="4"/>
  <c r="BH656" i="4"/>
  <c r="BA657" i="4"/>
  <c r="BB657" i="4"/>
  <c r="BC657" i="4"/>
  <c r="BD657" i="4"/>
  <c r="BE657" i="4"/>
  <c r="BF657" i="4"/>
  <c r="BG657" i="4"/>
  <c r="BH657" i="4"/>
  <c r="BA658" i="4"/>
  <c r="BB658" i="4"/>
  <c r="BC658" i="4"/>
  <c r="BD658" i="4"/>
  <c r="BE658" i="4"/>
  <c r="BF658" i="4"/>
  <c r="BG658" i="4"/>
  <c r="BH658" i="4"/>
  <c r="BA659" i="4"/>
  <c r="BB659" i="4"/>
  <c r="BC659" i="4"/>
  <c r="BD659" i="4"/>
  <c r="BE659" i="4"/>
  <c r="BF659" i="4"/>
  <c r="BG659" i="4"/>
  <c r="BH659" i="4"/>
  <c r="BA660" i="4"/>
  <c r="BB660" i="4"/>
  <c r="BC660" i="4"/>
  <c r="BD660" i="4"/>
  <c r="BE660" i="4"/>
  <c r="BF660" i="4"/>
  <c r="BG660" i="4"/>
  <c r="BH660" i="4"/>
  <c r="BA661" i="4"/>
  <c r="BB661" i="4"/>
  <c r="BC661" i="4"/>
  <c r="BD661" i="4"/>
  <c r="BE661" i="4"/>
  <c r="BF661" i="4"/>
  <c r="BG661" i="4"/>
  <c r="BH661" i="4"/>
  <c r="BA662" i="4"/>
  <c r="BB662" i="4"/>
  <c r="BC662" i="4"/>
  <c r="BD662" i="4"/>
  <c r="BE662" i="4"/>
  <c r="BF662" i="4"/>
  <c r="BG662" i="4"/>
  <c r="BH662" i="4"/>
  <c r="BA663" i="4"/>
  <c r="BB663" i="4"/>
  <c r="BC663" i="4"/>
  <c r="BD663" i="4"/>
  <c r="BE663" i="4"/>
  <c r="BF663" i="4"/>
  <c r="BG663" i="4"/>
  <c r="BH663" i="4"/>
  <c r="BA664" i="4"/>
  <c r="BB664" i="4"/>
  <c r="BC664" i="4"/>
  <c r="BD664" i="4"/>
  <c r="BE664" i="4"/>
  <c r="BF664" i="4"/>
  <c r="BG664" i="4"/>
  <c r="BH664" i="4"/>
  <c r="BA665" i="4"/>
  <c r="BB665" i="4"/>
  <c r="BC665" i="4"/>
  <c r="BD665" i="4"/>
  <c r="BE665" i="4"/>
  <c r="BF665" i="4"/>
  <c r="BG665" i="4"/>
  <c r="BH665" i="4"/>
  <c r="BA666" i="4"/>
  <c r="BB666" i="4"/>
  <c r="BC666" i="4"/>
  <c r="BD666" i="4"/>
  <c r="BE666" i="4"/>
  <c r="BF666" i="4"/>
  <c r="BG666" i="4"/>
  <c r="BH666" i="4"/>
  <c r="BA667" i="4"/>
  <c r="BB667" i="4"/>
  <c r="BC667" i="4"/>
  <c r="BD667" i="4"/>
  <c r="BE667" i="4"/>
  <c r="BF667" i="4"/>
  <c r="BG667" i="4"/>
  <c r="BH667" i="4"/>
  <c r="BA668" i="4"/>
  <c r="BB668" i="4"/>
  <c r="BC668" i="4"/>
  <c r="BD668" i="4"/>
  <c r="BE668" i="4"/>
  <c r="BF668" i="4"/>
  <c r="BG668" i="4"/>
  <c r="BH668" i="4"/>
  <c r="BA669" i="4"/>
  <c r="BB669" i="4"/>
  <c r="BC669" i="4"/>
  <c r="BD669" i="4"/>
  <c r="BE669" i="4"/>
  <c r="BF669" i="4"/>
  <c r="BG669" i="4"/>
  <c r="BH669" i="4"/>
  <c r="BA670" i="4"/>
  <c r="BB670" i="4"/>
  <c r="BC670" i="4"/>
  <c r="BD670" i="4"/>
  <c r="BE670" i="4"/>
  <c r="BF670" i="4"/>
  <c r="BG670" i="4"/>
  <c r="BH670" i="4"/>
  <c r="BA671" i="4"/>
  <c r="BB671" i="4"/>
  <c r="BC671" i="4"/>
  <c r="BD671" i="4"/>
  <c r="BE671" i="4"/>
  <c r="BF671" i="4"/>
  <c r="BG671" i="4"/>
  <c r="BH671" i="4"/>
  <c r="BA672" i="4"/>
  <c r="BB672" i="4"/>
  <c r="BC672" i="4"/>
  <c r="BD672" i="4"/>
  <c r="BE672" i="4"/>
  <c r="BF672" i="4"/>
  <c r="BG672" i="4"/>
  <c r="BH672" i="4"/>
  <c r="BA673" i="4"/>
  <c r="BB673" i="4"/>
  <c r="BC673" i="4"/>
  <c r="BD673" i="4"/>
  <c r="BE673" i="4"/>
  <c r="BF673" i="4"/>
  <c r="BG673" i="4"/>
  <c r="BH673" i="4"/>
  <c r="BA674" i="4"/>
  <c r="BB674" i="4"/>
  <c r="BC674" i="4"/>
  <c r="BD674" i="4"/>
  <c r="BE674" i="4"/>
  <c r="BF674" i="4"/>
  <c r="BG674" i="4"/>
  <c r="BH674" i="4"/>
  <c r="BA675" i="4"/>
  <c r="BB675" i="4"/>
  <c r="BC675" i="4"/>
  <c r="BD675" i="4"/>
  <c r="BE675" i="4"/>
  <c r="BF675" i="4"/>
  <c r="BG675" i="4"/>
  <c r="BH675" i="4"/>
  <c r="BA676" i="4"/>
  <c r="BB676" i="4"/>
  <c r="BC676" i="4"/>
  <c r="BD676" i="4"/>
  <c r="BE676" i="4"/>
  <c r="BF676" i="4"/>
  <c r="BG676" i="4"/>
  <c r="BH676" i="4"/>
  <c r="BA677" i="4"/>
  <c r="BB677" i="4"/>
  <c r="BC677" i="4"/>
  <c r="BD677" i="4"/>
  <c r="BE677" i="4"/>
  <c r="BF677" i="4"/>
  <c r="BG677" i="4"/>
  <c r="BH677" i="4"/>
  <c r="BA678" i="4"/>
  <c r="BB678" i="4"/>
  <c r="BC678" i="4"/>
  <c r="BD678" i="4"/>
  <c r="BE678" i="4"/>
  <c r="BF678" i="4"/>
  <c r="BG678" i="4"/>
  <c r="BH678" i="4"/>
  <c r="BA679" i="4"/>
  <c r="BB679" i="4"/>
  <c r="BC679" i="4"/>
  <c r="BD679" i="4"/>
  <c r="BE679" i="4"/>
  <c r="BF679" i="4"/>
  <c r="BG679" i="4"/>
  <c r="BH679" i="4"/>
  <c r="BA680" i="4"/>
  <c r="BB680" i="4"/>
  <c r="BC680" i="4"/>
  <c r="BD680" i="4"/>
  <c r="BE680" i="4"/>
  <c r="BF680" i="4"/>
  <c r="BG680" i="4"/>
  <c r="BH680" i="4"/>
  <c r="BA681" i="4"/>
  <c r="BB681" i="4"/>
  <c r="BC681" i="4"/>
  <c r="BD681" i="4"/>
  <c r="BE681" i="4"/>
  <c r="BF681" i="4"/>
  <c r="BG681" i="4"/>
  <c r="BH681" i="4"/>
  <c r="BA682" i="4"/>
  <c r="BB682" i="4"/>
  <c r="BC682" i="4"/>
  <c r="BD682" i="4"/>
  <c r="BE682" i="4"/>
  <c r="BF682" i="4"/>
  <c r="BG682" i="4"/>
  <c r="BH682" i="4"/>
  <c r="BA683" i="4"/>
  <c r="BB683" i="4"/>
  <c r="BC683" i="4"/>
  <c r="BD683" i="4"/>
  <c r="BE683" i="4"/>
  <c r="BF683" i="4"/>
  <c r="BG683" i="4"/>
  <c r="BH683" i="4"/>
  <c r="BA684" i="4"/>
  <c r="BB684" i="4"/>
  <c r="BC684" i="4"/>
  <c r="BD684" i="4"/>
  <c r="BE684" i="4"/>
  <c r="BF684" i="4"/>
  <c r="BG684" i="4"/>
  <c r="BH684" i="4"/>
  <c r="BA685" i="4"/>
  <c r="BB685" i="4"/>
  <c r="BC685" i="4"/>
  <c r="BD685" i="4"/>
  <c r="BE685" i="4"/>
  <c r="BF685" i="4"/>
  <c r="BG685" i="4"/>
  <c r="BH685" i="4"/>
  <c r="BA686" i="4"/>
  <c r="BB686" i="4"/>
  <c r="BC686" i="4"/>
  <c r="BD686" i="4"/>
  <c r="BE686" i="4"/>
  <c r="BF686" i="4"/>
  <c r="BG686" i="4"/>
  <c r="BH686" i="4"/>
  <c r="BA687" i="4"/>
  <c r="BB687" i="4"/>
  <c r="BC687" i="4"/>
  <c r="BD687" i="4"/>
  <c r="BE687" i="4"/>
  <c r="BF687" i="4"/>
  <c r="BG687" i="4"/>
  <c r="BH687" i="4"/>
  <c r="BA688" i="4"/>
  <c r="BB688" i="4"/>
  <c r="BC688" i="4"/>
  <c r="BD688" i="4"/>
  <c r="BE688" i="4"/>
  <c r="BF688" i="4"/>
  <c r="BG688" i="4"/>
  <c r="BH688" i="4"/>
  <c r="BA689" i="4"/>
  <c r="BB689" i="4"/>
  <c r="BC689" i="4"/>
  <c r="BD689" i="4"/>
  <c r="BE689" i="4"/>
  <c r="BF689" i="4"/>
  <c r="BG689" i="4"/>
  <c r="BH689" i="4"/>
  <c r="BA690" i="4"/>
  <c r="BB690" i="4"/>
  <c r="BC690" i="4"/>
  <c r="BD690" i="4"/>
  <c r="BE690" i="4"/>
  <c r="BF690" i="4"/>
  <c r="BG690" i="4"/>
  <c r="BH690" i="4"/>
  <c r="BA691" i="4"/>
  <c r="BB691" i="4"/>
  <c r="BC691" i="4"/>
  <c r="BD691" i="4"/>
  <c r="BE691" i="4"/>
  <c r="BF691" i="4"/>
  <c r="BG691" i="4"/>
  <c r="BH691" i="4"/>
  <c r="BA692" i="4"/>
  <c r="BB692" i="4"/>
  <c r="BC692" i="4"/>
  <c r="BD692" i="4"/>
  <c r="BE692" i="4"/>
  <c r="BF692" i="4"/>
  <c r="BG692" i="4"/>
  <c r="BH692" i="4"/>
  <c r="BA693" i="4"/>
  <c r="BB693" i="4"/>
  <c r="BC693" i="4"/>
  <c r="BD693" i="4"/>
  <c r="BE693" i="4"/>
  <c r="BF693" i="4"/>
  <c r="BG693" i="4"/>
  <c r="BH693" i="4"/>
  <c r="BA694" i="4"/>
  <c r="BB694" i="4"/>
  <c r="BC694" i="4"/>
  <c r="BD694" i="4"/>
  <c r="BE694" i="4"/>
  <c r="BF694" i="4"/>
  <c r="BG694" i="4"/>
  <c r="BH694" i="4"/>
  <c r="BA695" i="4"/>
  <c r="BB695" i="4"/>
  <c r="BC695" i="4"/>
  <c r="BD695" i="4"/>
  <c r="BE695" i="4"/>
  <c r="BF695" i="4"/>
  <c r="BG695" i="4"/>
  <c r="BH695" i="4"/>
  <c r="BA696" i="4"/>
  <c r="BB696" i="4"/>
  <c r="BC696" i="4"/>
  <c r="BD696" i="4"/>
  <c r="BE696" i="4"/>
  <c r="BF696" i="4"/>
  <c r="BG696" i="4"/>
  <c r="BH696" i="4"/>
  <c r="BA697" i="4"/>
  <c r="BB697" i="4"/>
  <c r="BC697" i="4"/>
  <c r="BD697" i="4"/>
  <c r="BE697" i="4"/>
  <c r="BF697" i="4"/>
  <c r="BG697" i="4"/>
  <c r="BH697" i="4"/>
  <c r="BA699" i="4"/>
  <c r="BB699" i="4"/>
  <c r="BC699" i="4"/>
  <c r="BD699" i="4"/>
  <c r="BE699" i="4"/>
  <c r="BF699" i="4"/>
  <c r="BG699" i="4"/>
  <c r="BH699" i="4"/>
  <c r="BA700" i="4"/>
  <c r="BB700" i="4"/>
  <c r="BC700" i="4"/>
  <c r="BD700" i="4"/>
  <c r="BE700" i="4"/>
  <c r="BF700" i="4"/>
  <c r="BG700" i="4"/>
  <c r="BH700" i="4"/>
  <c r="BA701" i="4"/>
  <c r="BB701" i="4"/>
  <c r="BC701" i="4"/>
  <c r="BD701" i="4"/>
  <c r="BE701" i="4"/>
  <c r="BF701" i="4"/>
  <c r="BG701" i="4"/>
  <c r="BH701" i="4"/>
  <c r="BA702" i="4"/>
  <c r="BB702" i="4"/>
  <c r="BC702" i="4"/>
  <c r="BD702" i="4"/>
  <c r="BE702" i="4"/>
  <c r="BF702" i="4"/>
  <c r="BG702" i="4"/>
  <c r="BH702" i="4"/>
  <c r="BA703" i="4"/>
  <c r="BB703" i="4"/>
  <c r="BC703" i="4"/>
  <c r="BD703" i="4"/>
  <c r="BE703" i="4"/>
  <c r="BF703" i="4"/>
  <c r="BG703" i="4"/>
  <c r="BH703" i="4"/>
  <c r="BA704" i="4"/>
  <c r="BB704" i="4"/>
  <c r="BC704" i="4"/>
  <c r="BD704" i="4"/>
  <c r="BE704" i="4"/>
  <c r="BF704" i="4"/>
  <c r="BG704" i="4"/>
  <c r="BH704" i="4"/>
  <c r="BA705" i="4"/>
  <c r="BB705" i="4"/>
  <c r="BC705" i="4"/>
  <c r="BD705" i="4"/>
  <c r="BE705" i="4"/>
  <c r="BF705" i="4"/>
  <c r="BG705" i="4"/>
  <c r="BH705" i="4"/>
  <c r="BA706" i="4"/>
  <c r="BB706" i="4"/>
  <c r="BC706" i="4"/>
  <c r="BD706" i="4"/>
  <c r="BE706" i="4"/>
  <c r="BF706" i="4"/>
  <c r="BG706" i="4"/>
  <c r="BH706" i="4"/>
  <c r="BA707" i="4"/>
  <c r="BB707" i="4"/>
  <c r="BC707" i="4"/>
  <c r="BD707" i="4"/>
  <c r="BE707" i="4"/>
  <c r="BF707" i="4"/>
  <c r="BG707" i="4"/>
  <c r="BH707" i="4"/>
  <c r="BA708" i="4"/>
  <c r="BB708" i="4"/>
  <c r="BC708" i="4"/>
  <c r="BD708" i="4"/>
  <c r="BE708" i="4"/>
  <c r="BF708" i="4"/>
  <c r="BG708" i="4"/>
  <c r="BH708" i="4"/>
  <c r="BA709" i="4"/>
  <c r="BB709" i="4"/>
  <c r="BC709" i="4"/>
  <c r="BD709" i="4"/>
  <c r="BE709" i="4"/>
  <c r="BF709" i="4"/>
  <c r="BG709" i="4"/>
  <c r="BH709" i="4"/>
  <c r="BA710" i="4"/>
  <c r="BB710" i="4"/>
  <c r="BC710" i="4"/>
  <c r="BD710" i="4"/>
  <c r="BE710" i="4"/>
  <c r="BF710" i="4"/>
  <c r="BG710" i="4"/>
  <c r="BH710" i="4"/>
  <c r="BA711" i="4"/>
  <c r="BB711" i="4"/>
  <c r="BC711" i="4"/>
  <c r="BD711" i="4"/>
  <c r="BE711" i="4"/>
  <c r="BF711" i="4"/>
  <c r="BG711" i="4"/>
  <c r="BH711" i="4"/>
  <c r="BA712" i="4"/>
  <c r="BB712" i="4"/>
  <c r="BC712" i="4"/>
  <c r="BD712" i="4"/>
  <c r="BE712" i="4"/>
  <c r="BF712" i="4"/>
  <c r="BG712" i="4"/>
  <c r="BH712" i="4"/>
  <c r="BA713" i="4"/>
  <c r="BB713" i="4"/>
  <c r="BC713" i="4"/>
  <c r="BD713" i="4"/>
  <c r="BE713" i="4"/>
  <c r="BF713" i="4"/>
  <c r="BG713" i="4"/>
  <c r="BH713" i="4"/>
  <c r="BA714" i="4"/>
  <c r="BB714" i="4"/>
  <c r="BC714" i="4"/>
  <c r="BD714" i="4"/>
  <c r="BE714" i="4"/>
  <c r="BF714" i="4"/>
  <c r="BG714" i="4"/>
  <c r="BH714" i="4"/>
  <c r="BA715" i="4"/>
  <c r="BB715" i="4"/>
  <c r="BC715" i="4"/>
  <c r="BD715" i="4"/>
  <c r="BE715" i="4"/>
  <c r="BF715" i="4"/>
  <c r="BG715" i="4"/>
  <c r="BH715" i="4"/>
  <c r="BA716" i="4"/>
  <c r="BB716" i="4"/>
  <c r="BC716" i="4"/>
  <c r="BD716" i="4"/>
  <c r="BE716" i="4"/>
  <c r="BF716" i="4"/>
  <c r="BG716" i="4"/>
  <c r="BH716" i="4"/>
  <c r="BA717" i="4"/>
  <c r="BB717" i="4"/>
  <c r="BC717" i="4"/>
  <c r="BD717" i="4"/>
  <c r="BE717" i="4"/>
  <c r="BF717" i="4"/>
  <c r="BG717" i="4"/>
  <c r="BH717" i="4"/>
  <c r="BA718" i="4"/>
  <c r="BB718" i="4"/>
  <c r="BC718" i="4"/>
  <c r="BD718" i="4"/>
  <c r="BE718" i="4"/>
  <c r="BF718" i="4"/>
  <c r="BG718" i="4"/>
  <c r="BH718" i="4"/>
  <c r="BA719" i="4"/>
  <c r="BB719" i="4"/>
  <c r="BC719" i="4"/>
  <c r="BD719" i="4"/>
  <c r="BE719" i="4"/>
  <c r="BF719" i="4"/>
  <c r="BG719" i="4"/>
  <c r="BH719" i="4"/>
  <c r="BA720" i="4"/>
  <c r="BB720" i="4"/>
  <c r="BC720" i="4"/>
  <c r="BD720" i="4"/>
  <c r="BE720" i="4"/>
  <c r="BF720" i="4"/>
  <c r="BG720" i="4"/>
  <c r="BH720" i="4"/>
  <c r="BA721" i="4"/>
  <c r="BB721" i="4"/>
  <c r="BC721" i="4"/>
  <c r="BD721" i="4"/>
  <c r="BE721" i="4"/>
  <c r="BF721" i="4"/>
  <c r="BG721" i="4"/>
  <c r="BH721" i="4"/>
  <c r="BA722" i="4"/>
  <c r="BB722" i="4"/>
  <c r="BC722" i="4"/>
  <c r="BD722" i="4"/>
  <c r="BE722" i="4"/>
  <c r="BF722" i="4"/>
  <c r="BG722" i="4"/>
  <c r="BH722" i="4"/>
  <c r="BA723" i="4"/>
  <c r="BB723" i="4"/>
  <c r="BC723" i="4"/>
  <c r="BD723" i="4"/>
  <c r="BE723" i="4"/>
  <c r="BF723" i="4"/>
  <c r="BG723" i="4"/>
  <c r="BH723" i="4"/>
  <c r="BA724" i="4"/>
  <c r="BB724" i="4"/>
  <c r="BC724" i="4"/>
  <c r="BD724" i="4"/>
  <c r="BE724" i="4"/>
  <c r="BF724" i="4"/>
  <c r="BG724" i="4"/>
  <c r="BH724" i="4"/>
  <c r="BA725" i="4"/>
  <c r="BB725" i="4"/>
  <c r="BC725" i="4"/>
  <c r="BD725" i="4"/>
  <c r="BE725" i="4"/>
  <c r="BF725" i="4"/>
  <c r="BG725" i="4"/>
  <c r="BH725" i="4"/>
  <c r="BA726" i="4"/>
  <c r="BB726" i="4"/>
  <c r="BC726" i="4"/>
  <c r="BD726" i="4"/>
  <c r="BE726" i="4"/>
  <c r="BF726" i="4"/>
  <c r="BG726" i="4"/>
  <c r="BH726" i="4"/>
  <c r="BA727" i="4"/>
  <c r="BB727" i="4"/>
  <c r="BC727" i="4"/>
  <c r="BD727" i="4"/>
  <c r="BE727" i="4"/>
  <c r="BF727" i="4"/>
  <c r="BG727" i="4"/>
  <c r="BH727" i="4"/>
  <c r="BA728" i="4"/>
  <c r="BB728" i="4"/>
  <c r="BC728" i="4"/>
  <c r="BD728" i="4"/>
  <c r="BE728" i="4"/>
  <c r="BF728" i="4"/>
  <c r="BG728" i="4"/>
  <c r="BH728" i="4"/>
  <c r="BA729" i="4"/>
  <c r="BB729" i="4"/>
  <c r="BC729" i="4"/>
  <c r="BD729" i="4"/>
  <c r="BE729" i="4"/>
  <c r="BF729" i="4"/>
  <c r="BG729" i="4"/>
  <c r="BH729" i="4"/>
  <c r="BA730" i="4"/>
  <c r="BB730" i="4"/>
  <c r="BC730" i="4"/>
  <c r="BD730" i="4"/>
  <c r="BE730" i="4"/>
  <c r="BF730" i="4"/>
  <c r="BG730" i="4"/>
  <c r="BH730" i="4"/>
  <c r="BA731" i="4"/>
  <c r="BB731" i="4"/>
  <c r="BC731" i="4"/>
  <c r="BD731" i="4"/>
  <c r="BE731" i="4"/>
  <c r="BF731" i="4"/>
  <c r="BG731" i="4"/>
  <c r="BH731" i="4"/>
  <c r="BA732" i="4"/>
  <c r="BB732" i="4"/>
  <c r="BC732" i="4"/>
  <c r="BD732" i="4"/>
  <c r="BE732" i="4"/>
  <c r="BF732" i="4"/>
  <c r="BG732" i="4"/>
  <c r="BH732" i="4"/>
  <c r="BA733" i="4"/>
  <c r="BB733" i="4"/>
  <c r="BC733" i="4"/>
  <c r="BD733" i="4"/>
  <c r="BE733" i="4"/>
  <c r="BF733" i="4"/>
  <c r="BG733" i="4"/>
  <c r="BH733" i="4"/>
  <c r="BA734" i="4"/>
  <c r="BB734" i="4"/>
  <c r="BC734" i="4"/>
  <c r="BD734" i="4"/>
  <c r="BE734" i="4"/>
  <c r="BF734" i="4"/>
  <c r="BG734" i="4"/>
  <c r="BH734" i="4"/>
  <c r="BA735" i="4"/>
  <c r="BB735" i="4"/>
  <c r="BC735" i="4"/>
  <c r="BD735" i="4"/>
  <c r="BE735" i="4"/>
  <c r="BF735" i="4"/>
  <c r="BG735" i="4"/>
  <c r="BH735" i="4"/>
  <c r="BA736" i="4"/>
  <c r="BB736" i="4"/>
  <c r="BC736" i="4"/>
  <c r="BD736" i="4"/>
  <c r="BE736" i="4"/>
  <c r="BF736" i="4"/>
  <c r="BG736" i="4"/>
  <c r="BH736" i="4"/>
  <c r="BA737" i="4"/>
  <c r="BB737" i="4"/>
  <c r="BC737" i="4"/>
  <c r="BD737" i="4"/>
  <c r="BE737" i="4"/>
  <c r="BF737" i="4"/>
  <c r="BG737" i="4"/>
  <c r="BH737" i="4"/>
  <c r="BA738" i="4"/>
  <c r="BB738" i="4"/>
  <c r="BC738" i="4"/>
  <c r="BD738" i="4"/>
  <c r="BE738" i="4"/>
  <c r="BF738" i="4"/>
  <c r="BG738" i="4"/>
  <c r="BH738" i="4"/>
  <c r="BA739" i="4"/>
  <c r="BB739" i="4"/>
  <c r="BC739" i="4"/>
  <c r="BD739" i="4"/>
  <c r="BE739" i="4"/>
  <c r="BF739" i="4"/>
  <c r="BG739" i="4"/>
  <c r="BH739" i="4"/>
  <c r="BA740" i="4"/>
  <c r="BB740" i="4"/>
  <c r="BC740" i="4"/>
  <c r="BD740" i="4"/>
  <c r="BE740" i="4"/>
  <c r="BF740" i="4"/>
  <c r="BG740" i="4"/>
  <c r="BH740" i="4"/>
  <c r="BA741" i="4"/>
  <c r="BB741" i="4"/>
  <c r="BC741" i="4"/>
  <c r="BD741" i="4"/>
  <c r="BE741" i="4"/>
  <c r="BF741" i="4"/>
  <c r="BG741" i="4"/>
  <c r="BH741" i="4"/>
  <c r="BA742" i="4"/>
  <c r="BB742" i="4"/>
  <c r="BC742" i="4"/>
  <c r="BD742" i="4"/>
  <c r="BE742" i="4"/>
  <c r="BF742" i="4"/>
  <c r="BG742" i="4"/>
  <c r="BH742" i="4"/>
  <c r="BA743" i="4"/>
  <c r="BB743" i="4"/>
  <c r="BC743" i="4"/>
  <c r="BD743" i="4"/>
  <c r="BE743" i="4"/>
  <c r="BF743" i="4"/>
  <c r="BG743" i="4"/>
  <c r="BH743" i="4"/>
  <c r="BA744" i="4"/>
  <c r="BB744" i="4"/>
  <c r="BC744" i="4"/>
  <c r="BD744" i="4"/>
  <c r="BE744" i="4"/>
  <c r="BF744" i="4"/>
  <c r="BG744" i="4"/>
  <c r="BH744" i="4"/>
  <c r="BA745" i="4"/>
  <c r="BB745" i="4"/>
  <c r="BC745" i="4"/>
  <c r="BD745" i="4"/>
  <c r="BE745" i="4"/>
  <c r="BF745" i="4"/>
  <c r="BG745" i="4"/>
  <c r="BH745" i="4"/>
  <c r="BA746" i="4"/>
  <c r="BB746" i="4"/>
  <c r="BC746" i="4"/>
  <c r="BD746" i="4"/>
  <c r="BE746" i="4"/>
  <c r="BF746" i="4"/>
  <c r="BG746" i="4"/>
  <c r="BH746" i="4"/>
  <c r="BA747" i="4"/>
  <c r="BB747" i="4"/>
  <c r="BC747" i="4"/>
  <c r="BD747" i="4"/>
  <c r="BE747" i="4"/>
  <c r="BF747" i="4"/>
  <c r="BG747" i="4"/>
  <c r="BH747" i="4"/>
  <c r="BA748" i="4"/>
  <c r="BB748" i="4"/>
  <c r="BC748" i="4"/>
  <c r="BD748" i="4"/>
  <c r="BE748" i="4"/>
  <c r="BF748" i="4"/>
  <c r="BG748" i="4"/>
  <c r="BH748" i="4"/>
  <c r="BA749" i="4"/>
  <c r="BB749" i="4"/>
  <c r="BC749" i="4"/>
  <c r="BD749" i="4"/>
  <c r="BE749" i="4"/>
  <c r="BF749" i="4"/>
  <c r="BG749" i="4"/>
  <c r="BH749" i="4"/>
  <c r="BA750" i="4"/>
  <c r="BB750" i="4"/>
  <c r="BC750" i="4"/>
  <c r="BD750" i="4"/>
  <c r="BE750" i="4"/>
  <c r="BF750" i="4"/>
  <c r="BG750" i="4"/>
  <c r="BH750" i="4"/>
  <c r="BA751" i="4"/>
  <c r="BB751" i="4"/>
  <c r="BC751" i="4"/>
  <c r="BD751" i="4"/>
  <c r="BE751" i="4"/>
  <c r="BF751" i="4"/>
  <c r="BG751" i="4"/>
  <c r="BH751" i="4"/>
  <c r="BA752" i="4"/>
  <c r="BB752" i="4"/>
  <c r="BC752" i="4"/>
  <c r="BD752" i="4"/>
  <c r="BE752" i="4"/>
  <c r="BF752" i="4"/>
  <c r="BG752" i="4"/>
  <c r="BH752" i="4"/>
  <c r="BA753" i="4"/>
  <c r="BB753" i="4"/>
  <c r="BC753" i="4"/>
  <c r="BD753" i="4"/>
  <c r="BE753" i="4"/>
  <c r="BF753" i="4"/>
  <c r="BG753" i="4"/>
  <c r="BH753" i="4"/>
  <c r="BA754" i="4"/>
  <c r="BB754" i="4"/>
  <c r="BC754" i="4"/>
  <c r="BD754" i="4"/>
  <c r="BE754" i="4"/>
  <c r="BF754" i="4"/>
  <c r="BG754" i="4"/>
  <c r="BH754" i="4"/>
  <c r="BA755" i="4"/>
  <c r="BB755" i="4"/>
  <c r="BC755" i="4"/>
  <c r="BD755" i="4"/>
  <c r="BE755" i="4"/>
  <c r="BF755" i="4"/>
  <c r="BG755" i="4"/>
  <c r="BH755" i="4"/>
  <c r="BA756" i="4"/>
  <c r="BB756" i="4"/>
  <c r="BC756" i="4"/>
  <c r="BD756" i="4"/>
  <c r="BE756" i="4"/>
  <c r="BF756" i="4"/>
  <c r="BG756" i="4"/>
  <c r="BH756" i="4"/>
  <c r="BA757" i="4"/>
  <c r="BB757" i="4"/>
  <c r="BC757" i="4"/>
  <c r="BD757" i="4"/>
  <c r="BE757" i="4"/>
  <c r="BF757" i="4"/>
  <c r="BG757" i="4"/>
  <c r="BH757" i="4"/>
  <c r="BA758" i="4"/>
  <c r="BB758" i="4"/>
  <c r="BC758" i="4"/>
  <c r="BD758" i="4"/>
  <c r="BE758" i="4"/>
  <c r="BF758" i="4"/>
  <c r="BG758" i="4"/>
  <c r="BH758" i="4"/>
  <c r="BA759" i="4"/>
  <c r="BB759" i="4"/>
  <c r="BC759" i="4"/>
  <c r="BD759" i="4"/>
  <c r="BE759" i="4"/>
  <c r="BF759" i="4"/>
  <c r="BG759" i="4"/>
  <c r="BH759" i="4"/>
  <c r="BA760" i="4"/>
  <c r="BB760" i="4"/>
  <c r="BC760" i="4"/>
  <c r="BD760" i="4"/>
  <c r="BE760" i="4"/>
  <c r="BF760" i="4"/>
  <c r="BG760" i="4"/>
  <c r="BH760" i="4"/>
  <c r="BA761" i="4"/>
  <c r="BB761" i="4"/>
  <c r="BC761" i="4"/>
  <c r="BD761" i="4"/>
  <c r="BE761" i="4"/>
  <c r="BF761" i="4"/>
  <c r="BG761" i="4"/>
  <c r="BH761" i="4"/>
  <c r="BA762" i="4"/>
  <c r="BB762" i="4"/>
  <c r="BC762" i="4"/>
  <c r="BD762" i="4"/>
  <c r="BE762" i="4"/>
  <c r="BF762" i="4"/>
  <c r="BG762" i="4"/>
  <c r="BH762" i="4"/>
  <c r="BA763" i="4"/>
  <c r="BB763" i="4"/>
  <c r="BC763" i="4"/>
  <c r="BD763" i="4"/>
  <c r="BE763" i="4"/>
  <c r="BF763" i="4"/>
  <c r="BG763" i="4"/>
  <c r="BH763" i="4"/>
  <c r="BA764" i="4"/>
  <c r="BB764" i="4"/>
  <c r="BC764" i="4"/>
  <c r="BD764" i="4"/>
  <c r="BE764" i="4"/>
  <c r="BF764" i="4"/>
  <c r="BG764" i="4"/>
  <c r="BH764" i="4"/>
  <c r="BA765" i="4"/>
  <c r="BB765" i="4"/>
  <c r="BC765" i="4"/>
  <c r="BD765" i="4"/>
  <c r="BE765" i="4"/>
  <c r="BF765" i="4"/>
  <c r="BG765" i="4"/>
  <c r="BH765" i="4"/>
  <c r="BA766" i="4"/>
  <c r="BB766" i="4"/>
  <c r="BC766" i="4"/>
  <c r="BD766" i="4"/>
  <c r="BE766" i="4"/>
  <c r="BF766" i="4"/>
  <c r="BG766" i="4"/>
  <c r="BH766" i="4"/>
  <c r="BA767" i="4"/>
  <c r="BB767" i="4"/>
  <c r="BC767" i="4"/>
  <c r="BD767" i="4"/>
  <c r="BE767" i="4"/>
  <c r="BF767" i="4"/>
  <c r="BG767" i="4"/>
  <c r="BH767" i="4"/>
  <c r="BA768" i="4"/>
  <c r="BB768" i="4"/>
  <c r="BC768" i="4"/>
  <c r="BD768" i="4"/>
  <c r="BE768" i="4"/>
  <c r="BF768" i="4"/>
  <c r="BG768" i="4"/>
  <c r="BH768" i="4"/>
  <c r="BA769" i="4"/>
  <c r="BB769" i="4"/>
  <c r="BC769" i="4"/>
  <c r="BD769" i="4"/>
  <c r="BE769" i="4"/>
  <c r="BF769" i="4"/>
  <c r="BG769" i="4"/>
  <c r="BH769" i="4"/>
  <c r="BA770" i="4"/>
  <c r="BB770" i="4"/>
  <c r="BC770" i="4"/>
  <c r="BD770" i="4"/>
  <c r="BE770" i="4"/>
  <c r="BF770" i="4"/>
  <c r="BG770" i="4"/>
  <c r="BH770" i="4"/>
  <c r="BA771" i="4"/>
  <c r="BB771" i="4"/>
  <c r="BC771" i="4"/>
  <c r="BD771" i="4"/>
  <c r="BE771" i="4"/>
  <c r="BF771" i="4"/>
  <c r="BG771" i="4"/>
  <c r="BH771" i="4"/>
  <c r="BA772" i="4"/>
  <c r="BB772" i="4"/>
  <c r="BC772" i="4"/>
  <c r="BD772" i="4"/>
  <c r="BE772" i="4"/>
  <c r="BF772" i="4"/>
  <c r="BG772" i="4"/>
  <c r="BH772" i="4"/>
  <c r="BA773" i="4"/>
  <c r="BB773" i="4"/>
  <c r="BC773" i="4"/>
  <c r="BD773" i="4"/>
  <c r="BE773" i="4"/>
  <c r="BF773" i="4"/>
  <c r="BG773" i="4"/>
  <c r="BH773" i="4"/>
  <c r="BA774" i="4"/>
  <c r="BB774" i="4"/>
  <c r="BC774" i="4"/>
  <c r="BD774" i="4"/>
  <c r="BE774" i="4"/>
  <c r="BF774" i="4"/>
  <c r="BG774" i="4"/>
  <c r="BH774" i="4"/>
  <c r="BA775" i="4"/>
  <c r="BB775" i="4"/>
  <c r="BC775" i="4"/>
  <c r="BD775" i="4"/>
  <c r="BE775" i="4"/>
  <c r="BF775" i="4"/>
  <c r="BG775" i="4"/>
  <c r="BH775" i="4"/>
  <c r="BA776" i="4"/>
  <c r="BB776" i="4"/>
  <c r="BC776" i="4"/>
  <c r="BD776" i="4"/>
  <c r="BE776" i="4"/>
  <c r="BF776" i="4"/>
  <c r="BG776" i="4"/>
  <c r="BH776" i="4"/>
  <c r="BA777" i="4"/>
  <c r="BB777" i="4"/>
  <c r="BC777" i="4"/>
  <c r="BD777" i="4"/>
  <c r="BE777" i="4"/>
  <c r="BF777" i="4"/>
  <c r="BG777" i="4"/>
  <c r="BH777" i="4"/>
  <c r="BA778" i="4"/>
  <c r="BB778" i="4"/>
  <c r="BC778" i="4"/>
  <c r="BD778" i="4"/>
  <c r="BE778" i="4"/>
  <c r="BF778" i="4"/>
  <c r="BG778" i="4"/>
  <c r="BH778" i="4"/>
  <c r="BA779" i="4"/>
  <c r="BB779" i="4"/>
  <c r="BC779" i="4"/>
  <c r="BD779" i="4"/>
  <c r="BE779" i="4"/>
  <c r="BF779" i="4"/>
  <c r="BG779" i="4"/>
  <c r="BH779" i="4"/>
  <c r="BA780" i="4"/>
  <c r="BB780" i="4"/>
  <c r="BC780" i="4"/>
  <c r="BD780" i="4"/>
  <c r="BE780" i="4"/>
  <c r="BF780" i="4"/>
  <c r="BG780" i="4"/>
  <c r="BH780" i="4"/>
  <c r="BA781" i="4"/>
  <c r="BB781" i="4"/>
  <c r="BC781" i="4"/>
  <c r="BD781" i="4"/>
  <c r="BE781" i="4"/>
  <c r="BF781" i="4"/>
  <c r="BG781" i="4"/>
  <c r="BH781" i="4"/>
  <c r="BA782" i="4"/>
  <c r="BB782" i="4"/>
  <c r="BC782" i="4"/>
  <c r="BD782" i="4"/>
  <c r="BE782" i="4"/>
  <c r="BF782" i="4"/>
  <c r="BG782" i="4"/>
  <c r="BH782" i="4"/>
  <c r="BA783" i="4"/>
  <c r="BB783" i="4"/>
  <c r="BC783" i="4"/>
  <c r="BD783" i="4"/>
  <c r="BE783" i="4"/>
  <c r="BF783" i="4"/>
  <c r="BG783" i="4"/>
  <c r="BH783" i="4"/>
  <c r="BA784" i="4"/>
  <c r="BB784" i="4"/>
  <c r="BC784" i="4"/>
  <c r="BD784" i="4"/>
  <c r="BE784" i="4"/>
  <c r="BF784" i="4"/>
  <c r="BG784" i="4"/>
  <c r="BH784" i="4"/>
  <c r="BA785" i="4"/>
  <c r="BB785" i="4"/>
  <c r="BC785" i="4"/>
  <c r="BD785" i="4"/>
  <c r="BE785" i="4"/>
  <c r="BF785" i="4"/>
  <c r="BG785" i="4"/>
  <c r="BH785" i="4"/>
  <c r="BA786" i="4"/>
  <c r="BB786" i="4"/>
  <c r="BC786" i="4"/>
  <c r="BD786" i="4"/>
  <c r="BE786" i="4"/>
  <c r="BF786" i="4"/>
  <c r="BG786" i="4"/>
  <c r="BH786" i="4"/>
  <c r="BA787" i="4"/>
  <c r="BB787" i="4"/>
  <c r="BC787" i="4"/>
  <c r="BD787" i="4"/>
  <c r="BE787" i="4"/>
  <c r="BF787" i="4"/>
  <c r="BG787" i="4"/>
  <c r="BH787" i="4"/>
  <c r="BA788" i="4"/>
  <c r="BB788" i="4"/>
  <c r="BC788" i="4"/>
  <c r="BD788" i="4"/>
  <c r="BE788" i="4"/>
  <c r="BF788" i="4"/>
  <c r="BG788" i="4"/>
  <c r="BH788" i="4"/>
  <c r="BA789" i="4"/>
  <c r="BB789" i="4"/>
  <c r="BC789" i="4"/>
  <c r="BD789" i="4"/>
  <c r="BE789" i="4"/>
  <c r="BF789" i="4"/>
  <c r="BG789" i="4"/>
  <c r="BH789" i="4"/>
  <c r="BA790" i="4"/>
  <c r="BB790" i="4"/>
  <c r="BC790" i="4"/>
  <c r="BD790" i="4"/>
  <c r="BE790" i="4"/>
  <c r="BF790" i="4"/>
  <c r="BG790" i="4"/>
  <c r="BH790" i="4"/>
  <c r="BA791" i="4"/>
  <c r="BB791" i="4"/>
  <c r="BC791" i="4"/>
  <c r="BD791" i="4"/>
  <c r="BE791" i="4"/>
  <c r="BF791" i="4"/>
  <c r="BG791" i="4"/>
  <c r="BH791" i="4"/>
  <c r="BA792" i="4"/>
  <c r="BB792" i="4"/>
  <c r="BC792" i="4"/>
  <c r="BD792" i="4"/>
  <c r="BE792" i="4"/>
  <c r="BF792" i="4"/>
  <c r="BG792" i="4"/>
  <c r="BH792" i="4"/>
  <c r="BA793" i="4"/>
  <c r="BB793" i="4"/>
  <c r="BC793" i="4"/>
  <c r="BD793" i="4"/>
  <c r="BE793" i="4"/>
  <c r="BF793" i="4"/>
  <c r="BG793" i="4"/>
  <c r="BH793" i="4"/>
  <c r="BA794" i="4"/>
  <c r="BB794" i="4"/>
  <c r="BC794" i="4"/>
  <c r="BD794" i="4"/>
  <c r="BE794" i="4"/>
  <c r="BF794" i="4"/>
  <c r="BG794" i="4"/>
  <c r="BH794" i="4"/>
  <c r="BA795" i="4"/>
  <c r="BB795" i="4"/>
  <c r="BC795" i="4"/>
  <c r="BD795" i="4"/>
  <c r="BE795" i="4"/>
  <c r="BF795" i="4"/>
  <c r="BG795" i="4"/>
  <c r="BH795" i="4"/>
  <c r="BA796" i="4"/>
  <c r="BB796" i="4"/>
  <c r="BC796" i="4"/>
  <c r="BD796" i="4"/>
  <c r="BE796" i="4"/>
  <c r="BF796" i="4"/>
  <c r="BG796" i="4"/>
  <c r="BH796" i="4"/>
  <c r="BA797" i="4"/>
  <c r="BB797" i="4"/>
  <c r="BC797" i="4"/>
  <c r="BD797" i="4"/>
  <c r="BE797" i="4"/>
  <c r="BF797" i="4"/>
  <c r="BG797" i="4"/>
  <c r="BH797" i="4"/>
  <c r="BA798" i="4"/>
  <c r="BB798" i="4"/>
  <c r="BC798" i="4"/>
  <c r="BD798" i="4"/>
  <c r="BE798" i="4"/>
  <c r="BF798" i="4"/>
  <c r="BG798" i="4"/>
  <c r="BH798" i="4"/>
  <c r="BA799" i="4"/>
  <c r="BB799" i="4"/>
  <c r="BC799" i="4"/>
  <c r="BD799" i="4"/>
  <c r="BE799" i="4"/>
  <c r="BF799" i="4"/>
  <c r="BG799" i="4"/>
  <c r="BH799" i="4"/>
  <c r="BA800" i="4"/>
  <c r="BB800" i="4"/>
  <c r="BC800" i="4"/>
  <c r="BD800" i="4"/>
  <c r="BE800" i="4"/>
  <c r="BF800" i="4"/>
  <c r="BG800" i="4"/>
  <c r="BH800" i="4"/>
  <c r="BA801" i="4"/>
  <c r="BB801" i="4"/>
  <c r="BC801" i="4"/>
  <c r="BD801" i="4"/>
  <c r="BE801" i="4"/>
  <c r="BF801" i="4"/>
  <c r="BG801" i="4"/>
  <c r="BH801" i="4"/>
  <c r="BA802" i="4"/>
  <c r="BB802" i="4"/>
  <c r="BC802" i="4"/>
  <c r="BD802" i="4"/>
  <c r="BE802" i="4"/>
  <c r="BF802" i="4"/>
  <c r="BG802" i="4"/>
  <c r="BH802" i="4"/>
  <c r="BA803" i="4"/>
  <c r="BB803" i="4"/>
  <c r="BC803" i="4"/>
  <c r="BD803" i="4"/>
  <c r="BE803" i="4"/>
  <c r="BF803" i="4"/>
  <c r="BG803" i="4"/>
  <c r="BH803" i="4"/>
  <c r="BA804" i="4"/>
  <c r="BB804" i="4"/>
  <c r="BC804" i="4"/>
  <c r="BD804" i="4"/>
  <c r="BE804" i="4"/>
  <c r="BF804" i="4"/>
  <c r="BG804" i="4"/>
  <c r="BH804" i="4"/>
  <c r="BA805" i="4"/>
  <c r="BB805" i="4"/>
  <c r="BC805" i="4"/>
  <c r="BD805" i="4"/>
  <c r="BE805" i="4"/>
  <c r="BF805" i="4"/>
  <c r="BG805" i="4"/>
  <c r="BH805" i="4"/>
  <c r="BA806" i="4"/>
  <c r="BB806" i="4"/>
  <c r="BC806" i="4"/>
  <c r="BD806" i="4"/>
  <c r="BE806" i="4"/>
  <c r="BF806" i="4"/>
  <c r="BG806" i="4"/>
  <c r="BH806" i="4"/>
  <c r="BA807" i="4"/>
  <c r="BB807" i="4"/>
  <c r="BC807" i="4"/>
  <c r="BD807" i="4"/>
  <c r="BE807" i="4"/>
  <c r="BF807" i="4"/>
  <c r="BG807" i="4"/>
  <c r="BH807" i="4"/>
  <c r="BA808" i="4"/>
  <c r="BB808" i="4"/>
  <c r="BC808" i="4"/>
  <c r="BD808" i="4"/>
  <c r="BE808" i="4"/>
  <c r="BF808" i="4"/>
  <c r="BG808" i="4"/>
  <c r="BH808" i="4"/>
  <c r="BA809" i="4"/>
  <c r="BB809" i="4"/>
  <c r="BC809" i="4"/>
  <c r="BD809" i="4"/>
  <c r="BE809" i="4"/>
  <c r="BF809" i="4"/>
  <c r="BG809" i="4"/>
  <c r="BH809" i="4"/>
  <c r="BA810" i="4"/>
  <c r="BB810" i="4"/>
  <c r="BC810" i="4"/>
  <c r="BD810" i="4"/>
  <c r="BE810" i="4"/>
  <c r="BF810" i="4"/>
  <c r="BG810" i="4"/>
  <c r="BH810" i="4"/>
  <c r="BA811" i="4"/>
  <c r="BB811" i="4"/>
  <c r="BC811" i="4"/>
  <c r="BD811" i="4"/>
  <c r="BE811" i="4"/>
  <c r="BF811" i="4"/>
  <c r="BG811" i="4"/>
  <c r="BH811" i="4"/>
  <c r="BA812" i="4"/>
  <c r="BB812" i="4"/>
  <c r="BC812" i="4"/>
  <c r="BD812" i="4"/>
  <c r="BE812" i="4"/>
  <c r="BF812" i="4"/>
  <c r="BG812" i="4"/>
  <c r="BH812" i="4"/>
  <c r="BA813" i="4"/>
  <c r="BB813" i="4"/>
  <c r="BC813" i="4"/>
  <c r="BD813" i="4"/>
  <c r="BE813" i="4"/>
  <c r="BF813" i="4"/>
  <c r="BG813" i="4"/>
  <c r="BH813" i="4"/>
  <c r="BA814" i="4"/>
  <c r="BB814" i="4"/>
  <c r="BC814" i="4"/>
  <c r="BD814" i="4"/>
  <c r="BE814" i="4"/>
  <c r="BF814" i="4"/>
  <c r="BG814" i="4"/>
  <c r="BH814" i="4"/>
  <c r="BA815" i="4"/>
  <c r="BB815" i="4"/>
  <c r="BC815" i="4"/>
  <c r="BD815" i="4"/>
  <c r="BE815" i="4"/>
  <c r="BF815" i="4"/>
  <c r="BG815" i="4"/>
  <c r="BH815" i="4"/>
  <c r="BA816" i="4"/>
  <c r="BB816" i="4"/>
  <c r="BC816" i="4"/>
  <c r="BD816" i="4"/>
  <c r="BE816" i="4"/>
  <c r="BF816" i="4"/>
  <c r="BG816" i="4"/>
  <c r="BH816" i="4"/>
  <c r="BA817" i="4"/>
  <c r="BB817" i="4"/>
  <c r="BC817" i="4"/>
  <c r="BD817" i="4"/>
  <c r="BE817" i="4"/>
  <c r="BF817" i="4"/>
  <c r="BG817" i="4"/>
  <c r="BH817" i="4"/>
  <c r="BA818" i="4"/>
  <c r="BB818" i="4"/>
  <c r="BC818" i="4"/>
  <c r="BD818" i="4"/>
  <c r="BE818" i="4"/>
  <c r="BF818" i="4"/>
  <c r="BG818" i="4"/>
  <c r="BH818" i="4"/>
  <c r="BA819" i="4"/>
  <c r="BB819" i="4"/>
  <c r="BC819" i="4"/>
  <c r="BD819" i="4"/>
  <c r="BE819" i="4"/>
  <c r="BF819" i="4"/>
  <c r="BG819" i="4"/>
  <c r="BH819" i="4"/>
  <c r="BA820" i="4"/>
  <c r="BB820" i="4"/>
  <c r="BC820" i="4"/>
  <c r="BD820" i="4"/>
  <c r="BE820" i="4"/>
  <c r="BF820" i="4"/>
  <c r="BG820" i="4"/>
  <c r="BH820" i="4"/>
  <c r="BA821" i="4"/>
  <c r="BB821" i="4"/>
  <c r="BC821" i="4"/>
  <c r="BD821" i="4"/>
  <c r="BE821" i="4"/>
  <c r="BF821" i="4"/>
  <c r="BG821" i="4"/>
  <c r="BH821" i="4"/>
  <c r="BA822" i="4"/>
  <c r="BB822" i="4"/>
  <c r="BC822" i="4"/>
  <c r="BD822" i="4"/>
  <c r="BE822" i="4"/>
  <c r="BF822" i="4"/>
  <c r="BG822" i="4"/>
  <c r="BH822" i="4"/>
  <c r="BA823" i="4"/>
  <c r="BB823" i="4"/>
  <c r="BC823" i="4"/>
  <c r="BD823" i="4"/>
  <c r="BE823" i="4"/>
  <c r="BF823" i="4"/>
  <c r="BG823" i="4"/>
  <c r="BH823" i="4"/>
  <c r="BA824" i="4"/>
  <c r="BB824" i="4"/>
  <c r="BC824" i="4"/>
  <c r="BD824" i="4"/>
  <c r="BE824" i="4"/>
  <c r="BF824" i="4"/>
  <c r="BG824" i="4"/>
  <c r="BH824" i="4"/>
  <c r="BA825" i="4"/>
  <c r="BB825" i="4"/>
  <c r="BC825" i="4"/>
  <c r="BD825" i="4"/>
  <c r="BE825" i="4"/>
  <c r="BF825" i="4"/>
  <c r="BG825" i="4"/>
  <c r="BH825" i="4"/>
  <c r="BA826" i="4"/>
  <c r="BB826" i="4"/>
  <c r="BC826" i="4"/>
  <c r="BD826" i="4"/>
  <c r="BE826" i="4"/>
  <c r="BF826" i="4"/>
  <c r="BG826" i="4"/>
  <c r="BH826" i="4"/>
  <c r="BA827" i="4"/>
  <c r="BB827" i="4"/>
  <c r="BC827" i="4"/>
  <c r="BD827" i="4"/>
  <c r="BE827" i="4"/>
  <c r="BF827" i="4"/>
  <c r="BG827" i="4"/>
  <c r="BH827" i="4"/>
  <c r="BA828" i="4"/>
  <c r="BB828" i="4"/>
  <c r="BC828" i="4"/>
  <c r="BD828" i="4"/>
  <c r="BE828" i="4"/>
  <c r="BF828" i="4"/>
  <c r="BG828" i="4"/>
  <c r="BH828" i="4"/>
  <c r="BA829" i="4"/>
  <c r="BB829" i="4"/>
  <c r="BC829" i="4"/>
  <c r="BD829" i="4"/>
  <c r="BE829" i="4"/>
  <c r="BF829" i="4"/>
  <c r="BG829" i="4"/>
  <c r="BH829" i="4"/>
  <c r="BA830" i="4"/>
  <c r="BB830" i="4"/>
  <c r="BC830" i="4"/>
  <c r="BD830" i="4"/>
  <c r="BE830" i="4"/>
  <c r="BF830" i="4"/>
  <c r="BG830" i="4"/>
  <c r="BH830" i="4"/>
  <c r="BA831" i="4"/>
  <c r="BB831" i="4"/>
  <c r="BC831" i="4"/>
  <c r="BD831" i="4"/>
  <c r="BE831" i="4"/>
  <c r="BF831" i="4"/>
  <c r="BG831" i="4"/>
  <c r="BH831" i="4"/>
  <c r="BA832" i="4"/>
  <c r="BB832" i="4"/>
  <c r="BC832" i="4"/>
  <c r="BD832" i="4"/>
  <c r="BE832" i="4"/>
  <c r="BF832" i="4"/>
  <c r="BG832" i="4"/>
  <c r="BH832" i="4"/>
  <c r="BA833" i="4"/>
  <c r="BB833" i="4"/>
  <c r="BC833" i="4"/>
  <c r="BD833" i="4"/>
  <c r="BE833" i="4"/>
  <c r="BF833" i="4"/>
  <c r="BG833" i="4"/>
  <c r="BH833" i="4"/>
  <c r="BA834" i="4"/>
  <c r="BB834" i="4"/>
  <c r="BC834" i="4"/>
  <c r="BD834" i="4"/>
  <c r="BE834" i="4"/>
  <c r="BF834" i="4"/>
  <c r="BG834" i="4"/>
  <c r="BH834" i="4"/>
  <c r="BA835" i="4"/>
  <c r="BB835" i="4"/>
  <c r="BC835" i="4"/>
  <c r="BD835" i="4"/>
  <c r="BE835" i="4"/>
  <c r="BF835" i="4"/>
  <c r="BG835" i="4"/>
  <c r="BH835" i="4"/>
  <c r="BA836" i="4"/>
  <c r="BB836" i="4"/>
  <c r="BC836" i="4"/>
  <c r="BD836" i="4"/>
  <c r="BE836" i="4"/>
  <c r="BF836" i="4"/>
  <c r="BG836" i="4"/>
  <c r="BH836" i="4"/>
  <c r="BA837" i="4"/>
  <c r="BB837" i="4"/>
  <c r="BC837" i="4"/>
  <c r="BD837" i="4"/>
  <c r="BE837" i="4"/>
  <c r="BF837" i="4"/>
  <c r="BG837" i="4"/>
  <c r="BH837" i="4"/>
  <c r="BA838" i="4"/>
  <c r="BB838" i="4"/>
  <c r="BC838" i="4"/>
  <c r="BD838" i="4"/>
  <c r="BE838" i="4"/>
  <c r="BF838" i="4"/>
  <c r="BG838" i="4"/>
  <c r="BH838" i="4"/>
  <c r="BA839" i="4"/>
  <c r="BB839" i="4"/>
  <c r="BC839" i="4"/>
  <c r="BD839" i="4"/>
  <c r="BE839" i="4"/>
  <c r="BF839" i="4"/>
  <c r="BG839" i="4"/>
  <c r="BH839" i="4"/>
  <c r="BA840" i="4"/>
  <c r="BB840" i="4"/>
  <c r="BC840" i="4"/>
  <c r="BD840" i="4"/>
  <c r="BE840" i="4"/>
  <c r="BF840" i="4"/>
  <c r="BG840" i="4"/>
  <c r="BH840" i="4"/>
  <c r="BA841" i="4"/>
  <c r="BB841" i="4"/>
  <c r="BC841" i="4"/>
  <c r="BD841" i="4"/>
  <c r="BE841" i="4"/>
  <c r="BF841" i="4"/>
  <c r="BG841" i="4"/>
  <c r="BH841" i="4"/>
  <c r="BA842" i="4"/>
  <c r="BB842" i="4"/>
  <c r="BC842" i="4"/>
  <c r="BD842" i="4"/>
  <c r="BE842" i="4"/>
  <c r="BF842" i="4"/>
  <c r="BG842" i="4"/>
  <c r="BH842" i="4"/>
  <c r="BA843" i="4"/>
  <c r="BB843" i="4"/>
  <c r="BC843" i="4"/>
  <c r="BD843" i="4"/>
  <c r="BE843" i="4"/>
  <c r="BF843" i="4"/>
  <c r="BG843" i="4"/>
  <c r="BH843" i="4"/>
  <c r="BA844" i="4"/>
  <c r="BB844" i="4"/>
  <c r="BC844" i="4"/>
  <c r="BD844" i="4"/>
  <c r="BE844" i="4"/>
  <c r="BF844" i="4"/>
  <c r="BG844" i="4"/>
  <c r="BH844" i="4"/>
  <c r="BA845" i="4"/>
  <c r="BB845" i="4"/>
  <c r="BC845" i="4"/>
  <c r="BD845" i="4"/>
  <c r="BE845" i="4"/>
  <c r="BF845" i="4"/>
  <c r="BG845" i="4"/>
  <c r="BH845" i="4"/>
  <c r="BA846" i="4"/>
  <c r="BB846" i="4"/>
  <c r="BC846" i="4"/>
  <c r="BD846" i="4"/>
  <c r="BE846" i="4"/>
  <c r="BF846" i="4"/>
  <c r="BG846" i="4"/>
  <c r="BH846" i="4"/>
  <c r="BA847" i="4"/>
  <c r="BB847" i="4"/>
  <c r="BC847" i="4"/>
  <c r="BD847" i="4"/>
  <c r="BE847" i="4"/>
  <c r="BF847" i="4"/>
  <c r="BG847" i="4"/>
  <c r="BH847" i="4"/>
  <c r="BA848" i="4"/>
  <c r="BB848" i="4"/>
  <c r="BC848" i="4"/>
  <c r="BD848" i="4"/>
  <c r="BE848" i="4"/>
  <c r="BF848" i="4"/>
  <c r="BG848" i="4"/>
  <c r="BH848" i="4"/>
  <c r="BA849" i="4"/>
  <c r="BB849" i="4"/>
  <c r="BC849" i="4"/>
  <c r="BD849" i="4"/>
  <c r="BE849" i="4"/>
  <c r="BF849" i="4"/>
  <c r="BG849" i="4"/>
  <c r="BH849" i="4"/>
  <c r="BA850" i="4"/>
  <c r="BB850" i="4"/>
  <c r="BC850" i="4"/>
  <c r="BD850" i="4"/>
  <c r="BE850" i="4"/>
  <c r="BF850" i="4"/>
  <c r="BG850" i="4"/>
  <c r="BH850" i="4"/>
  <c r="BA851" i="4"/>
  <c r="BB851" i="4"/>
  <c r="BC851" i="4"/>
  <c r="BD851" i="4"/>
  <c r="BE851" i="4"/>
  <c r="BF851" i="4"/>
  <c r="BG851" i="4"/>
  <c r="BH851" i="4"/>
  <c r="BA852" i="4"/>
  <c r="BB852" i="4"/>
  <c r="BC852" i="4"/>
  <c r="BD852" i="4"/>
  <c r="BE852" i="4"/>
  <c r="BF852" i="4"/>
  <c r="BG852" i="4"/>
  <c r="BH852" i="4"/>
  <c r="BA853" i="4"/>
  <c r="BB853" i="4"/>
  <c r="BC853" i="4"/>
  <c r="BD853" i="4"/>
  <c r="BE853" i="4"/>
  <c r="BF853" i="4"/>
  <c r="BG853" i="4"/>
  <c r="BH853" i="4"/>
  <c r="BA854" i="4"/>
  <c r="BB854" i="4"/>
  <c r="BC854" i="4"/>
  <c r="BD854" i="4"/>
  <c r="BE854" i="4"/>
  <c r="BF854" i="4"/>
  <c r="BG854" i="4"/>
  <c r="BH854" i="4"/>
  <c r="BA855" i="4"/>
  <c r="BB855" i="4"/>
  <c r="BC855" i="4"/>
  <c r="BD855" i="4"/>
  <c r="BE855" i="4"/>
  <c r="BF855" i="4"/>
  <c r="BG855" i="4"/>
  <c r="BH855" i="4"/>
  <c r="BA856" i="4"/>
  <c r="BB856" i="4"/>
  <c r="BC856" i="4"/>
  <c r="BD856" i="4"/>
  <c r="BE856" i="4"/>
  <c r="BF856" i="4"/>
  <c r="BG856" i="4"/>
  <c r="BH856" i="4"/>
  <c r="BA857" i="4"/>
  <c r="BB857" i="4"/>
  <c r="BC857" i="4"/>
  <c r="BD857" i="4"/>
  <c r="BE857" i="4"/>
  <c r="BF857" i="4"/>
  <c r="BG857" i="4"/>
  <c r="BH857" i="4"/>
  <c r="BA858" i="4"/>
  <c r="BB858" i="4"/>
  <c r="BC858" i="4"/>
  <c r="BD858" i="4"/>
  <c r="BE858" i="4"/>
  <c r="BF858" i="4"/>
  <c r="BG858" i="4"/>
  <c r="BH858" i="4"/>
  <c r="BA859" i="4"/>
  <c r="BB859" i="4"/>
  <c r="BC859" i="4"/>
  <c r="BD859" i="4"/>
  <c r="BE859" i="4"/>
  <c r="BF859" i="4"/>
  <c r="BG859" i="4"/>
  <c r="BH859" i="4"/>
  <c r="BA860" i="4"/>
  <c r="BB860" i="4"/>
  <c r="BC860" i="4"/>
  <c r="BD860" i="4"/>
  <c r="BE860" i="4"/>
  <c r="BF860" i="4"/>
  <c r="BG860" i="4"/>
  <c r="BH860" i="4"/>
  <c r="BA861" i="4"/>
  <c r="BB861" i="4"/>
  <c r="BC861" i="4"/>
  <c r="BD861" i="4"/>
  <c r="BE861" i="4"/>
  <c r="BF861" i="4"/>
  <c r="BG861" i="4"/>
  <c r="BH861" i="4"/>
  <c r="BA862" i="4"/>
  <c r="BB862" i="4"/>
  <c r="BC862" i="4"/>
  <c r="BD862" i="4"/>
  <c r="BE862" i="4"/>
  <c r="BF862" i="4"/>
  <c r="BG862" i="4"/>
  <c r="BH862" i="4"/>
  <c r="BA863" i="4"/>
  <c r="BB863" i="4"/>
  <c r="BC863" i="4"/>
  <c r="BD863" i="4"/>
  <c r="BE863" i="4"/>
  <c r="BF863" i="4"/>
  <c r="BG863" i="4"/>
  <c r="BH863" i="4"/>
  <c r="BA864" i="4"/>
  <c r="BB864" i="4"/>
  <c r="BC864" i="4"/>
  <c r="BD864" i="4"/>
  <c r="BE864" i="4"/>
  <c r="BF864" i="4"/>
  <c r="BG864" i="4"/>
  <c r="BH864" i="4"/>
  <c r="BA865" i="4"/>
  <c r="BB865" i="4"/>
  <c r="BC865" i="4"/>
  <c r="BD865" i="4"/>
  <c r="BE865" i="4"/>
  <c r="BF865" i="4"/>
  <c r="BG865" i="4"/>
  <c r="BH865" i="4"/>
  <c r="BA866" i="4"/>
  <c r="BB866" i="4"/>
  <c r="BC866" i="4"/>
  <c r="BD866" i="4"/>
  <c r="BE866" i="4"/>
  <c r="BF866" i="4"/>
  <c r="BG866" i="4"/>
  <c r="BH866" i="4"/>
  <c r="BA867" i="4"/>
  <c r="BB867" i="4"/>
  <c r="BC867" i="4"/>
  <c r="BD867" i="4"/>
  <c r="BE867" i="4"/>
  <c r="BF867" i="4"/>
  <c r="BG867" i="4"/>
  <c r="BH867" i="4"/>
  <c r="BA868" i="4"/>
  <c r="BB868" i="4"/>
  <c r="BC868" i="4"/>
  <c r="BD868" i="4"/>
  <c r="BE868" i="4"/>
  <c r="BF868" i="4"/>
  <c r="BG868" i="4"/>
  <c r="BH868" i="4"/>
  <c r="BA869" i="4"/>
  <c r="BB869" i="4"/>
  <c r="BC869" i="4"/>
  <c r="BD869" i="4"/>
  <c r="BE869" i="4"/>
  <c r="BF869" i="4"/>
  <c r="BG869" i="4"/>
  <c r="BH869" i="4"/>
  <c r="BA870" i="4"/>
  <c r="BB870" i="4"/>
  <c r="BC870" i="4"/>
  <c r="BD870" i="4"/>
  <c r="BE870" i="4"/>
  <c r="BF870" i="4"/>
  <c r="BG870" i="4"/>
  <c r="BH870" i="4"/>
  <c r="BA871" i="4"/>
  <c r="BB871" i="4"/>
  <c r="BC871" i="4"/>
  <c r="BD871" i="4"/>
  <c r="BE871" i="4"/>
  <c r="BF871" i="4"/>
  <c r="BG871" i="4"/>
  <c r="BH871" i="4"/>
  <c r="BA872" i="4"/>
  <c r="BB872" i="4"/>
  <c r="BC872" i="4"/>
  <c r="BD872" i="4"/>
  <c r="BE872" i="4"/>
  <c r="BF872" i="4"/>
  <c r="BG872" i="4"/>
  <c r="BH872" i="4"/>
  <c r="BA873" i="4"/>
  <c r="BB873" i="4"/>
  <c r="BC873" i="4"/>
  <c r="BD873" i="4"/>
  <c r="BE873" i="4"/>
  <c r="BF873" i="4"/>
  <c r="BG873" i="4"/>
  <c r="BH873" i="4"/>
  <c r="BA874" i="4"/>
  <c r="BB874" i="4"/>
  <c r="BC874" i="4"/>
  <c r="BD874" i="4"/>
  <c r="BE874" i="4"/>
  <c r="BF874" i="4"/>
  <c r="BG874" i="4"/>
  <c r="BH874" i="4"/>
  <c r="BA875" i="4"/>
  <c r="BB875" i="4"/>
  <c r="BC875" i="4"/>
  <c r="BD875" i="4"/>
  <c r="BE875" i="4"/>
  <c r="BF875" i="4"/>
  <c r="BG875" i="4"/>
  <c r="BH875" i="4"/>
  <c r="BA876" i="4"/>
  <c r="BB876" i="4"/>
  <c r="BC876" i="4"/>
  <c r="BD876" i="4"/>
  <c r="BE876" i="4"/>
  <c r="BF876" i="4"/>
  <c r="BG876" i="4"/>
  <c r="BH876" i="4"/>
  <c r="BA877" i="4"/>
  <c r="BB877" i="4"/>
  <c r="BC877" i="4"/>
  <c r="BD877" i="4"/>
  <c r="BE877" i="4"/>
  <c r="BF877" i="4"/>
  <c r="BG877" i="4"/>
  <c r="BH877" i="4"/>
  <c r="BA878" i="4"/>
  <c r="BB878" i="4"/>
  <c r="BC878" i="4"/>
  <c r="BD878" i="4"/>
  <c r="BE878" i="4"/>
  <c r="BF878" i="4"/>
  <c r="BG878" i="4"/>
  <c r="BH878" i="4"/>
  <c r="BA879" i="4"/>
  <c r="BB879" i="4"/>
  <c r="BC879" i="4"/>
  <c r="BD879" i="4"/>
  <c r="BE879" i="4"/>
  <c r="BF879" i="4"/>
  <c r="BG879" i="4"/>
  <c r="BH879" i="4"/>
  <c r="BA880" i="4"/>
  <c r="BB880" i="4"/>
  <c r="BC880" i="4"/>
  <c r="BD880" i="4"/>
  <c r="BE880" i="4"/>
  <c r="BF880" i="4"/>
  <c r="BG880" i="4"/>
  <c r="BH880" i="4"/>
  <c r="BA881" i="4"/>
  <c r="BB881" i="4"/>
  <c r="BC881" i="4"/>
  <c r="BD881" i="4"/>
  <c r="BE881" i="4"/>
  <c r="BF881" i="4"/>
  <c r="BG881" i="4"/>
  <c r="BH881" i="4"/>
  <c r="BA882" i="4"/>
  <c r="BB882" i="4"/>
  <c r="BC882" i="4"/>
  <c r="BD882" i="4"/>
  <c r="BE882" i="4"/>
  <c r="BF882" i="4"/>
  <c r="BG882" i="4"/>
  <c r="BH882" i="4"/>
  <c r="BA883" i="4"/>
  <c r="BB883" i="4"/>
  <c r="BC883" i="4"/>
  <c r="BD883" i="4"/>
  <c r="BE883" i="4"/>
  <c r="BF883" i="4"/>
  <c r="BG883" i="4"/>
  <c r="BH883" i="4"/>
  <c r="BA884" i="4"/>
  <c r="BB884" i="4"/>
  <c r="BC884" i="4"/>
  <c r="BD884" i="4"/>
  <c r="BE884" i="4"/>
  <c r="BF884" i="4"/>
  <c r="BG884" i="4"/>
  <c r="BH884" i="4"/>
  <c r="BA885" i="4"/>
  <c r="BB885" i="4"/>
  <c r="BC885" i="4"/>
  <c r="BD885" i="4"/>
  <c r="BE885" i="4"/>
  <c r="BF885" i="4"/>
  <c r="BG885" i="4"/>
  <c r="BH885" i="4"/>
  <c r="BA886" i="4"/>
  <c r="BB886" i="4"/>
  <c r="BC886" i="4"/>
  <c r="BD886" i="4"/>
  <c r="BE886" i="4"/>
  <c r="BF886" i="4"/>
  <c r="BG886" i="4"/>
  <c r="BH886" i="4"/>
  <c r="BA887" i="4"/>
  <c r="BB887" i="4"/>
  <c r="BC887" i="4"/>
  <c r="BD887" i="4"/>
  <c r="BE887" i="4"/>
  <c r="BF887" i="4"/>
  <c r="BG887" i="4"/>
  <c r="BH887" i="4"/>
  <c r="BA888" i="4"/>
  <c r="BB888" i="4"/>
  <c r="BC888" i="4"/>
  <c r="BD888" i="4"/>
  <c r="BE888" i="4"/>
  <c r="BF888" i="4"/>
  <c r="BG888" i="4"/>
  <c r="BH888" i="4"/>
  <c r="BA889" i="4"/>
  <c r="BB889" i="4"/>
  <c r="BC889" i="4"/>
  <c r="BD889" i="4"/>
  <c r="BE889" i="4"/>
  <c r="BF889" i="4"/>
  <c r="BG889" i="4"/>
  <c r="BH889" i="4"/>
  <c r="BA890" i="4"/>
  <c r="BB890" i="4"/>
  <c r="BC890" i="4"/>
  <c r="BD890" i="4"/>
  <c r="BE890" i="4"/>
  <c r="BF890" i="4"/>
  <c r="BG890" i="4"/>
  <c r="BH890" i="4"/>
  <c r="BA891" i="4"/>
  <c r="BB891" i="4"/>
  <c r="BC891" i="4"/>
  <c r="BD891" i="4"/>
  <c r="BE891" i="4"/>
  <c r="BF891" i="4"/>
  <c r="BG891" i="4"/>
  <c r="BH891" i="4"/>
  <c r="BA892" i="4"/>
  <c r="BB892" i="4"/>
  <c r="BC892" i="4"/>
  <c r="BD892" i="4"/>
  <c r="BE892" i="4"/>
  <c r="BF892" i="4"/>
  <c r="BG892" i="4"/>
  <c r="BH892" i="4"/>
  <c r="BA893" i="4"/>
  <c r="BB893" i="4"/>
  <c r="BC893" i="4"/>
  <c r="BD893" i="4"/>
  <c r="BE893" i="4"/>
  <c r="BF893" i="4"/>
  <c r="BG893" i="4"/>
  <c r="BH893" i="4"/>
  <c r="BA894" i="4"/>
  <c r="BB894" i="4"/>
  <c r="BC894" i="4"/>
  <c r="BD894" i="4"/>
  <c r="BE894" i="4"/>
  <c r="BF894" i="4"/>
  <c r="BG894" i="4"/>
  <c r="BH894" i="4"/>
  <c r="BA895" i="4"/>
  <c r="BB895" i="4"/>
  <c r="BC895" i="4"/>
  <c r="BD895" i="4"/>
  <c r="BE895" i="4"/>
  <c r="BF895" i="4"/>
  <c r="BG895" i="4"/>
  <c r="BH895" i="4"/>
  <c r="BA896" i="4"/>
  <c r="BB896" i="4"/>
  <c r="BC896" i="4"/>
  <c r="BD896" i="4"/>
  <c r="BE896" i="4"/>
  <c r="BF896" i="4"/>
  <c r="BG896" i="4"/>
  <c r="BH896" i="4"/>
  <c r="BA897" i="4"/>
  <c r="BB897" i="4"/>
  <c r="BC897" i="4"/>
  <c r="BD897" i="4"/>
  <c r="BE897" i="4"/>
  <c r="BF897" i="4"/>
  <c r="BG897" i="4"/>
  <c r="BH897" i="4"/>
  <c r="BA898" i="4"/>
  <c r="BB898" i="4"/>
  <c r="BC898" i="4"/>
  <c r="BD898" i="4"/>
  <c r="BE898" i="4"/>
  <c r="BF898" i="4"/>
  <c r="BG898" i="4"/>
  <c r="BH898" i="4"/>
  <c r="BA899" i="4"/>
  <c r="BB899" i="4"/>
  <c r="BC899" i="4"/>
  <c r="BD899" i="4"/>
  <c r="BE899" i="4"/>
  <c r="BF899" i="4"/>
  <c r="BG899" i="4"/>
  <c r="BH899" i="4"/>
  <c r="BA900" i="4"/>
  <c r="BB900" i="4"/>
  <c r="BC900" i="4"/>
  <c r="BD900" i="4"/>
  <c r="BE900" i="4"/>
  <c r="BF900" i="4"/>
  <c r="BG900" i="4"/>
  <c r="BH900" i="4"/>
  <c r="BA901" i="4"/>
  <c r="BB901" i="4"/>
  <c r="BC901" i="4"/>
  <c r="BD901" i="4"/>
  <c r="BE901" i="4"/>
  <c r="BF901" i="4"/>
  <c r="BG901" i="4"/>
  <c r="BH901" i="4"/>
  <c r="BA902" i="4"/>
  <c r="BB902" i="4"/>
  <c r="BC902" i="4"/>
  <c r="BD902" i="4"/>
  <c r="BE902" i="4"/>
  <c r="BF902" i="4"/>
  <c r="BG902" i="4"/>
  <c r="BH902" i="4"/>
  <c r="BA903" i="4"/>
  <c r="BB903" i="4"/>
  <c r="BC903" i="4"/>
  <c r="BD903" i="4"/>
  <c r="BE903" i="4"/>
  <c r="BF903" i="4"/>
  <c r="BG903" i="4"/>
  <c r="BH903" i="4"/>
  <c r="BA904" i="4"/>
  <c r="BB904" i="4"/>
  <c r="BC904" i="4"/>
  <c r="BD904" i="4"/>
  <c r="BE904" i="4"/>
  <c r="BF904" i="4"/>
  <c r="BG904" i="4"/>
  <c r="BH904" i="4"/>
  <c r="BA905" i="4"/>
  <c r="BB905" i="4"/>
  <c r="BC905" i="4"/>
  <c r="BD905" i="4"/>
  <c r="BE905" i="4"/>
  <c r="BF905" i="4"/>
  <c r="BG905" i="4"/>
  <c r="BH905" i="4"/>
  <c r="BA906" i="4"/>
  <c r="BB906" i="4"/>
  <c r="BC906" i="4"/>
  <c r="BD906" i="4"/>
  <c r="BE906" i="4"/>
  <c r="BF906" i="4"/>
  <c r="BG906" i="4"/>
  <c r="BH906" i="4"/>
  <c r="BA907" i="4"/>
  <c r="BB907" i="4"/>
  <c r="BC907" i="4"/>
  <c r="BD907" i="4"/>
  <c r="BE907" i="4"/>
  <c r="BF907" i="4"/>
  <c r="BG907" i="4"/>
  <c r="BH907" i="4"/>
  <c r="BA908" i="4"/>
  <c r="BB908" i="4"/>
  <c r="BC908" i="4"/>
  <c r="BD908" i="4"/>
  <c r="BE908" i="4"/>
  <c r="BF908" i="4"/>
  <c r="BG908" i="4"/>
  <c r="BH908" i="4"/>
  <c r="BA909" i="4"/>
  <c r="BB909" i="4"/>
  <c r="BC909" i="4"/>
  <c r="BD909" i="4"/>
  <c r="BE909" i="4"/>
  <c r="BF909" i="4"/>
  <c r="BG909" i="4"/>
  <c r="BH909" i="4"/>
  <c r="BA910" i="4"/>
  <c r="BB910" i="4"/>
  <c r="BC910" i="4"/>
  <c r="BD910" i="4"/>
  <c r="BE910" i="4"/>
  <c r="BF910" i="4"/>
  <c r="BG910" i="4"/>
  <c r="BH910" i="4"/>
  <c r="BA911" i="4"/>
  <c r="BB911" i="4"/>
  <c r="BC911" i="4"/>
  <c r="BD911" i="4"/>
  <c r="BE911" i="4"/>
  <c r="BF911" i="4"/>
  <c r="BG911" i="4"/>
  <c r="BH911" i="4"/>
  <c r="BA912" i="4"/>
  <c r="BB912" i="4"/>
  <c r="BC912" i="4"/>
  <c r="BD912" i="4"/>
  <c r="BE912" i="4"/>
  <c r="BF912" i="4"/>
  <c r="BG912" i="4"/>
  <c r="BH912" i="4"/>
  <c r="BA913" i="4"/>
  <c r="BB913" i="4"/>
  <c r="BC913" i="4"/>
  <c r="BD913" i="4"/>
  <c r="BE913" i="4"/>
  <c r="BF913" i="4"/>
  <c r="BG913" i="4"/>
  <c r="BH913" i="4"/>
  <c r="BA914" i="4"/>
  <c r="BB914" i="4"/>
  <c r="BC914" i="4"/>
  <c r="BD914" i="4"/>
  <c r="BE914" i="4"/>
  <c r="BF914" i="4"/>
  <c r="BG914" i="4"/>
  <c r="BH914" i="4"/>
  <c r="BA915" i="4"/>
  <c r="BB915" i="4"/>
  <c r="BC915" i="4"/>
  <c r="BD915" i="4"/>
  <c r="BE915" i="4"/>
  <c r="BF915" i="4"/>
  <c r="BG915" i="4"/>
  <c r="BH915" i="4"/>
  <c r="BA916" i="4"/>
  <c r="BB916" i="4"/>
  <c r="BC916" i="4"/>
  <c r="BD916" i="4"/>
  <c r="BE916" i="4"/>
  <c r="BF916" i="4"/>
  <c r="BG916" i="4"/>
  <c r="BH916" i="4"/>
  <c r="BA917" i="4"/>
  <c r="BB917" i="4"/>
  <c r="BC917" i="4"/>
  <c r="BD917" i="4"/>
  <c r="BE917" i="4"/>
  <c r="BF917" i="4"/>
  <c r="BG917" i="4"/>
  <c r="BH917" i="4"/>
  <c r="BA918" i="4"/>
  <c r="BB918" i="4"/>
  <c r="BC918" i="4"/>
  <c r="BD918" i="4"/>
  <c r="BE918" i="4"/>
  <c r="BF918" i="4"/>
  <c r="BG918" i="4"/>
  <c r="BH918" i="4"/>
  <c r="BA919" i="4"/>
  <c r="BB919" i="4"/>
  <c r="BC919" i="4"/>
  <c r="BD919" i="4"/>
  <c r="BE919" i="4"/>
  <c r="BF919" i="4"/>
  <c r="BG919" i="4"/>
  <c r="BH919" i="4"/>
  <c r="BA920" i="4"/>
  <c r="BB920" i="4"/>
  <c r="BC920" i="4"/>
  <c r="BD920" i="4"/>
  <c r="BE920" i="4"/>
  <c r="BF920" i="4"/>
  <c r="BG920" i="4"/>
  <c r="BH920" i="4"/>
  <c r="BA921" i="4"/>
  <c r="BB921" i="4"/>
  <c r="BC921" i="4"/>
  <c r="BD921" i="4"/>
  <c r="BE921" i="4"/>
  <c r="BF921" i="4"/>
  <c r="BG921" i="4"/>
  <c r="BH921" i="4"/>
  <c r="BA922" i="4"/>
  <c r="BB922" i="4"/>
  <c r="BC922" i="4"/>
  <c r="BD922" i="4"/>
  <c r="BE922" i="4"/>
  <c r="BF922" i="4"/>
  <c r="BG922" i="4"/>
  <c r="BH922" i="4"/>
  <c r="BA923" i="4"/>
  <c r="BB923" i="4"/>
  <c r="BC923" i="4"/>
  <c r="BD923" i="4"/>
  <c r="BE923" i="4"/>
  <c r="BF923" i="4"/>
  <c r="BG923" i="4"/>
  <c r="BH923" i="4"/>
  <c r="BA924" i="4"/>
  <c r="BB924" i="4"/>
  <c r="BC924" i="4"/>
  <c r="BD924" i="4"/>
  <c r="BE924" i="4"/>
  <c r="BF924" i="4"/>
  <c r="BG924" i="4"/>
  <c r="BH924" i="4"/>
  <c r="BA925" i="4"/>
  <c r="BB925" i="4"/>
  <c r="BC925" i="4"/>
  <c r="BD925" i="4"/>
  <c r="BE925" i="4"/>
  <c r="BF925" i="4"/>
  <c r="BG925" i="4"/>
  <c r="BH925" i="4"/>
  <c r="BA926" i="4"/>
  <c r="BB926" i="4"/>
  <c r="BC926" i="4"/>
  <c r="BD926" i="4"/>
  <c r="BE926" i="4"/>
  <c r="BF926" i="4"/>
  <c r="BG926" i="4"/>
  <c r="BH926" i="4"/>
  <c r="BA927" i="4"/>
  <c r="BB927" i="4"/>
  <c r="BC927" i="4"/>
  <c r="BD927" i="4"/>
  <c r="BE927" i="4"/>
  <c r="BF927" i="4"/>
  <c r="BG927" i="4"/>
  <c r="BH927" i="4"/>
  <c r="BA928" i="4"/>
  <c r="BB928" i="4"/>
  <c r="BC928" i="4"/>
  <c r="BD928" i="4"/>
  <c r="BE928" i="4"/>
  <c r="BF928" i="4"/>
  <c r="BG928" i="4"/>
  <c r="BH928" i="4"/>
  <c r="BA929" i="4"/>
  <c r="BB929" i="4"/>
  <c r="BC929" i="4"/>
  <c r="BD929" i="4"/>
  <c r="BE929" i="4"/>
  <c r="BF929" i="4"/>
  <c r="BG929" i="4"/>
  <c r="BH929" i="4"/>
  <c r="BA930" i="4"/>
  <c r="BB930" i="4"/>
  <c r="BC930" i="4"/>
  <c r="BD930" i="4"/>
  <c r="BE930" i="4"/>
  <c r="BF930" i="4"/>
  <c r="BG930" i="4"/>
  <c r="BH930" i="4"/>
  <c r="BA931" i="4"/>
  <c r="BB931" i="4"/>
  <c r="BC931" i="4"/>
  <c r="BD931" i="4"/>
  <c r="BE931" i="4"/>
  <c r="BF931" i="4"/>
  <c r="BG931" i="4"/>
  <c r="BH931" i="4"/>
  <c r="BA932" i="4"/>
  <c r="BB932" i="4"/>
  <c r="BC932" i="4"/>
  <c r="BD932" i="4"/>
  <c r="BE932" i="4"/>
  <c r="BF932" i="4"/>
  <c r="BG932" i="4"/>
  <c r="BH932" i="4"/>
  <c r="BA933" i="4"/>
  <c r="BB933" i="4"/>
  <c r="BC933" i="4"/>
  <c r="BD933" i="4"/>
  <c r="BE933" i="4"/>
  <c r="BF933" i="4"/>
  <c r="BG933" i="4"/>
  <c r="BH933" i="4"/>
  <c r="BA934" i="4"/>
  <c r="BB934" i="4"/>
  <c r="BC934" i="4"/>
  <c r="BD934" i="4"/>
  <c r="BE934" i="4"/>
  <c r="BF934" i="4"/>
  <c r="BG934" i="4"/>
  <c r="BH934" i="4"/>
  <c r="BA935" i="4"/>
  <c r="BB935" i="4"/>
  <c r="BC935" i="4"/>
  <c r="BD935" i="4"/>
  <c r="BE935" i="4"/>
  <c r="BF935" i="4"/>
  <c r="BG935" i="4"/>
  <c r="BH935" i="4"/>
  <c r="BA936" i="4"/>
  <c r="BB936" i="4"/>
  <c r="BC936" i="4"/>
  <c r="BD936" i="4"/>
  <c r="BE936" i="4"/>
  <c r="BF936" i="4"/>
  <c r="BG936" i="4"/>
  <c r="BH936" i="4"/>
  <c r="BA937" i="4"/>
  <c r="BB937" i="4"/>
  <c r="BC937" i="4"/>
  <c r="BD937" i="4"/>
  <c r="BE937" i="4"/>
  <c r="BF937" i="4"/>
  <c r="BG937" i="4"/>
  <c r="BH937" i="4"/>
  <c r="BA938" i="4"/>
  <c r="BB938" i="4"/>
  <c r="BC938" i="4"/>
  <c r="BD938" i="4"/>
  <c r="BE938" i="4"/>
  <c r="BF938" i="4"/>
  <c r="BG938" i="4"/>
  <c r="BH938" i="4"/>
  <c r="BA939" i="4"/>
  <c r="BB939" i="4"/>
  <c r="BC939" i="4"/>
  <c r="BD939" i="4"/>
  <c r="BE939" i="4"/>
  <c r="BF939" i="4"/>
  <c r="BG939" i="4"/>
  <c r="BH939" i="4"/>
  <c r="BA940" i="4"/>
  <c r="BB940" i="4"/>
  <c r="BC940" i="4"/>
  <c r="BD940" i="4"/>
  <c r="BE940" i="4"/>
  <c r="BF940" i="4"/>
  <c r="BG940" i="4"/>
  <c r="BH940" i="4"/>
  <c r="BA941" i="4"/>
  <c r="BB941" i="4"/>
  <c r="BC941" i="4"/>
  <c r="BD941" i="4"/>
  <c r="BE941" i="4"/>
  <c r="BF941" i="4"/>
  <c r="BG941" i="4"/>
  <c r="BH941" i="4"/>
  <c r="BA942" i="4"/>
  <c r="BB942" i="4"/>
  <c r="BC942" i="4"/>
  <c r="BD942" i="4"/>
  <c r="BE942" i="4"/>
  <c r="BF942" i="4"/>
  <c r="BG942" i="4"/>
  <c r="BH942" i="4"/>
  <c r="BA943" i="4"/>
  <c r="BB943" i="4"/>
  <c r="BC943" i="4"/>
  <c r="BD943" i="4"/>
  <c r="BE943" i="4"/>
  <c r="BF943" i="4"/>
  <c r="BG943" i="4"/>
  <c r="BH943" i="4"/>
  <c r="BA944" i="4"/>
  <c r="BB944" i="4"/>
  <c r="BC944" i="4"/>
  <c r="BD944" i="4"/>
  <c r="BE944" i="4"/>
  <c r="BF944" i="4"/>
  <c r="BG944" i="4"/>
  <c r="BH944" i="4"/>
  <c r="BA945" i="4"/>
  <c r="BB945" i="4"/>
  <c r="BC945" i="4"/>
  <c r="BD945" i="4"/>
  <c r="BE945" i="4"/>
  <c r="BF945" i="4"/>
  <c r="BG945" i="4"/>
  <c r="BH945" i="4"/>
  <c r="BA946" i="4"/>
  <c r="BB946" i="4"/>
  <c r="BC946" i="4"/>
  <c r="BD946" i="4"/>
  <c r="BE946" i="4"/>
  <c r="BF946" i="4"/>
  <c r="BG946" i="4"/>
  <c r="BH946" i="4"/>
  <c r="BA947" i="4"/>
  <c r="BB947" i="4"/>
  <c r="BC947" i="4"/>
  <c r="BD947" i="4"/>
  <c r="BE947" i="4"/>
  <c r="BF947" i="4"/>
  <c r="BG947" i="4"/>
  <c r="BH947" i="4"/>
  <c r="BA948" i="4"/>
  <c r="BB948" i="4"/>
  <c r="BC948" i="4"/>
  <c r="BD948" i="4"/>
  <c r="BE948" i="4"/>
  <c r="BF948" i="4"/>
  <c r="BG948" i="4"/>
  <c r="BH948" i="4"/>
  <c r="BA949" i="4"/>
  <c r="BB949" i="4"/>
  <c r="BC949" i="4"/>
  <c r="BD949" i="4"/>
  <c r="BE949" i="4"/>
  <c r="BF949" i="4"/>
  <c r="BG949" i="4"/>
  <c r="BH949" i="4"/>
  <c r="BA950" i="4"/>
  <c r="BB950" i="4"/>
  <c r="BC950" i="4"/>
  <c r="BD950" i="4"/>
  <c r="BE950" i="4"/>
  <c r="BF950" i="4"/>
  <c r="BG950" i="4"/>
  <c r="BH950" i="4"/>
  <c r="BA951" i="4"/>
  <c r="BB951" i="4"/>
  <c r="BC951" i="4"/>
  <c r="BD951" i="4"/>
  <c r="BE951" i="4"/>
  <c r="BF951" i="4"/>
  <c r="BG951" i="4"/>
  <c r="BH951" i="4"/>
  <c r="BA952" i="4"/>
  <c r="BB952" i="4"/>
  <c r="BC952" i="4"/>
  <c r="BD952" i="4"/>
  <c r="BE952" i="4"/>
  <c r="BF952" i="4"/>
  <c r="BG952" i="4"/>
  <c r="BH952" i="4"/>
  <c r="BA953" i="4"/>
  <c r="BB953" i="4"/>
  <c r="BC953" i="4"/>
  <c r="BD953" i="4"/>
  <c r="BE953" i="4"/>
  <c r="BF953" i="4"/>
  <c r="BG953" i="4"/>
  <c r="BH953" i="4"/>
  <c r="BA954" i="4"/>
  <c r="BB954" i="4"/>
  <c r="BC954" i="4"/>
  <c r="BD954" i="4"/>
  <c r="BE954" i="4"/>
  <c r="BF954" i="4"/>
  <c r="BG954" i="4"/>
  <c r="BH954" i="4"/>
  <c r="BA955" i="4"/>
  <c r="BB955" i="4"/>
  <c r="BC955" i="4"/>
  <c r="BD955" i="4"/>
  <c r="BE955" i="4"/>
  <c r="BF955" i="4"/>
  <c r="BG955" i="4"/>
  <c r="BH955" i="4"/>
  <c r="BA956" i="4"/>
  <c r="BB956" i="4"/>
  <c r="BC956" i="4"/>
  <c r="BD956" i="4"/>
  <c r="BE956" i="4"/>
  <c r="BF956" i="4"/>
  <c r="BG956" i="4"/>
  <c r="BH956" i="4"/>
  <c r="BA957" i="4"/>
  <c r="BB957" i="4"/>
  <c r="BC957" i="4"/>
  <c r="BD957" i="4"/>
  <c r="BE957" i="4"/>
  <c r="BF957" i="4"/>
  <c r="BG957" i="4"/>
  <c r="BH957" i="4"/>
  <c r="BA958" i="4"/>
  <c r="BB958" i="4"/>
  <c r="BC958" i="4"/>
  <c r="BD958" i="4"/>
  <c r="BE958" i="4"/>
  <c r="BF958" i="4"/>
  <c r="BG958" i="4"/>
  <c r="BH958" i="4"/>
  <c r="BA959" i="4"/>
  <c r="BB959" i="4"/>
  <c r="BC959" i="4"/>
  <c r="BD959" i="4"/>
  <c r="BE959" i="4"/>
  <c r="BF959" i="4"/>
  <c r="BG959" i="4"/>
  <c r="BH959" i="4"/>
  <c r="BA960" i="4"/>
  <c r="BB960" i="4"/>
  <c r="BC960" i="4"/>
  <c r="BD960" i="4"/>
  <c r="BE960" i="4"/>
  <c r="BF960" i="4"/>
  <c r="BG960" i="4"/>
  <c r="BH960" i="4"/>
  <c r="BA961" i="4"/>
  <c r="BB961" i="4"/>
  <c r="BC961" i="4"/>
  <c r="BD961" i="4"/>
  <c r="BE961" i="4"/>
  <c r="BF961" i="4"/>
  <c r="BG961" i="4"/>
  <c r="BH961" i="4"/>
  <c r="BA962" i="4"/>
  <c r="BB962" i="4"/>
  <c r="BC962" i="4"/>
  <c r="BD962" i="4"/>
  <c r="BE962" i="4"/>
  <c r="BF962" i="4"/>
  <c r="BG962" i="4"/>
  <c r="BH962" i="4"/>
  <c r="BA963" i="4"/>
  <c r="BB963" i="4"/>
  <c r="BC963" i="4"/>
  <c r="BD963" i="4"/>
  <c r="BE963" i="4"/>
  <c r="BF963" i="4"/>
  <c r="BG963" i="4"/>
  <c r="BH963" i="4"/>
  <c r="BA965" i="4"/>
  <c r="BB965" i="4"/>
  <c r="BC965" i="4"/>
  <c r="BD965" i="4"/>
  <c r="BE965" i="4"/>
  <c r="BF965" i="4"/>
  <c r="BG965" i="4"/>
  <c r="BH965" i="4"/>
  <c r="BA966" i="4"/>
  <c r="BB966" i="4"/>
  <c r="BC966" i="4"/>
  <c r="BD966" i="4"/>
  <c r="BE966" i="4"/>
  <c r="BF966" i="4"/>
  <c r="BG966" i="4"/>
  <c r="BH966" i="4"/>
  <c r="BA967" i="4"/>
  <c r="BB967" i="4"/>
  <c r="BC967" i="4"/>
  <c r="BD967" i="4"/>
  <c r="BE967" i="4"/>
  <c r="BF967" i="4"/>
  <c r="BG967" i="4"/>
  <c r="BH967" i="4"/>
  <c r="BA968" i="4"/>
  <c r="BB968" i="4"/>
  <c r="BC968" i="4"/>
  <c r="BD968" i="4"/>
  <c r="BE968" i="4"/>
  <c r="BF968" i="4"/>
  <c r="BG968" i="4"/>
  <c r="BH968" i="4"/>
  <c r="BA969" i="4"/>
  <c r="BB969" i="4"/>
  <c r="BC969" i="4"/>
  <c r="BD969" i="4"/>
  <c r="BE969" i="4"/>
  <c r="BF969" i="4"/>
  <c r="BG969" i="4"/>
  <c r="BH969" i="4"/>
  <c r="BA970" i="4"/>
  <c r="BB970" i="4"/>
  <c r="BC970" i="4"/>
  <c r="BD970" i="4"/>
  <c r="BE970" i="4"/>
  <c r="BF970" i="4"/>
  <c r="BG970" i="4"/>
  <c r="BH970" i="4"/>
  <c r="BA971" i="4"/>
  <c r="BB971" i="4"/>
  <c r="BC971" i="4"/>
  <c r="BD971" i="4"/>
  <c r="BE971" i="4"/>
  <c r="BF971" i="4"/>
  <c r="BG971" i="4"/>
  <c r="BH971" i="4"/>
  <c r="BA972" i="4"/>
  <c r="BB972" i="4"/>
  <c r="BC972" i="4"/>
  <c r="BD972" i="4"/>
  <c r="BE972" i="4"/>
  <c r="BF972" i="4"/>
  <c r="BG972" i="4"/>
  <c r="BH972" i="4"/>
  <c r="BA973" i="4"/>
  <c r="BB973" i="4"/>
  <c r="BC973" i="4"/>
  <c r="BD973" i="4"/>
  <c r="BE973" i="4"/>
  <c r="BF973" i="4"/>
  <c r="BG973" i="4"/>
  <c r="BH973" i="4"/>
  <c r="BA974" i="4"/>
  <c r="BB974" i="4"/>
  <c r="BC974" i="4"/>
  <c r="BD974" i="4"/>
  <c r="BE974" i="4"/>
  <c r="BF974" i="4"/>
  <c r="BG974" i="4"/>
  <c r="BH974" i="4"/>
  <c r="BA976" i="4"/>
  <c r="BB976" i="4"/>
  <c r="BC976" i="4"/>
  <c r="BD976" i="4"/>
  <c r="BE976" i="4"/>
  <c r="BF976" i="4"/>
  <c r="BG976" i="4"/>
  <c r="BH976" i="4"/>
  <c r="BA977" i="4"/>
  <c r="BB977" i="4"/>
  <c r="BC977" i="4"/>
  <c r="BD977" i="4"/>
  <c r="BE977" i="4"/>
  <c r="BF977" i="4"/>
  <c r="BG977" i="4"/>
  <c r="BH977" i="4"/>
  <c r="BA978" i="4"/>
  <c r="BB978" i="4"/>
  <c r="BC978" i="4"/>
  <c r="BD978" i="4"/>
  <c r="BE978" i="4"/>
  <c r="BF978" i="4"/>
  <c r="BG978" i="4"/>
  <c r="BH978" i="4"/>
  <c r="BA979" i="4"/>
  <c r="BB979" i="4"/>
  <c r="BC979" i="4"/>
  <c r="BD979" i="4"/>
  <c r="BE979" i="4"/>
  <c r="BF979" i="4"/>
  <c r="BG979" i="4"/>
  <c r="BH979" i="4"/>
  <c r="BA980" i="4"/>
  <c r="BB980" i="4"/>
  <c r="BC980" i="4"/>
  <c r="BD980" i="4"/>
  <c r="BE980" i="4"/>
  <c r="BF980" i="4"/>
  <c r="BG980" i="4"/>
  <c r="BH980" i="4"/>
  <c r="BA981" i="4"/>
  <c r="BB981" i="4"/>
  <c r="BC981" i="4"/>
  <c r="BD981" i="4"/>
  <c r="BE981" i="4"/>
  <c r="BF981" i="4"/>
  <c r="BG981" i="4"/>
  <c r="BH981" i="4"/>
  <c r="BA982" i="4"/>
  <c r="BB982" i="4"/>
  <c r="BC982" i="4"/>
  <c r="BD982" i="4"/>
  <c r="BE982" i="4"/>
  <c r="BF982" i="4"/>
  <c r="BG982" i="4"/>
  <c r="BH982" i="4"/>
  <c r="BA983" i="4"/>
  <c r="BB983" i="4"/>
  <c r="BC983" i="4"/>
  <c r="BD983" i="4"/>
  <c r="BE983" i="4"/>
  <c r="BF983" i="4"/>
  <c r="BG983" i="4"/>
  <c r="BH983" i="4"/>
  <c r="BA984" i="4"/>
  <c r="BB984" i="4"/>
  <c r="BC984" i="4"/>
  <c r="BD984" i="4"/>
  <c r="BE984" i="4"/>
  <c r="BF984" i="4"/>
  <c r="BG984" i="4"/>
  <c r="BH984" i="4"/>
  <c r="BA985" i="4"/>
  <c r="BB985" i="4"/>
  <c r="BC985" i="4"/>
  <c r="BD985" i="4"/>
  <c r="BE985" i="4"/>
  <c r="BF985" i="4"/>
  <c r="BG985" i="4"/>
  <c r="BH985" i="4"/>
  <c r="BA986" i="4"/>
  <c r="BB986" i="4"/>
  <c r="BC986" i="4"/>
  <c r="BD986" i="4"/>
  <c r="BE986" i="4"/>
  <c r="BF986" i="4"/>
  <c r="BG986" i="4"/>
  <c r="BH986" i="4"/>
  <c r="BA987" i="4"/>
  <c r="BB987" i="4"/>
  <c r="BC987" i="4"/>
  <c r="BD987" i="4"/>
  <c r="BE987" i="4"/>
  <c r="BF987" i="4"/>
  <c r="BG987" i="4"/>
  <c r="BH987" i="4"/>
  <c r="BA988" i="4"/>
  <c r="BB988" i="4"/>
  <c r="BC988" i="4"/>
  <c r="BD988" i="4"/>
  <c r="BE988" i="4"/>
  <c r="BF988" i="4"/>
  <c r="BG988" i="4"/>
  <c r="BH988" i="4"/>
  <c r="BA990" i="4"/>
  <c r="BB990" i="4"/>
  <c r="BC990" i="4"/>
  <c r="BD990" i="4"/>
  <c r="BE990" i="4"/>
  <c r="BF990" i="4"/>
  <c r="BG990" i="4"/>
  <c r="BH990" i="4"/>
  <c r="BA991" i="4"/>
  <c r="BB991" i="4"/>
  <c r="BC991" i="4"/>
  <c r="BD991" i="4"/>
  <c r="BE991" i="4"/>
  <c r="BF991" i="4"/>
  <c r="BG991" i="4"/>
  <c r="BH991" i="4"/>
  <c r="BA992" i="4"/>
  <c r="BB992" i="4"/>
  <c r="BC992" i="4"/>
  <c r="BD992" i="4"/>
  <c r="BE992" i="4"/>
  <c r="BF992" i="4"/>
  <c r="BG992" i="4"/>
  <c r="BH992" i="4"/>
  <c r="BA993" i="4"/>
  <c r="BB993" i="4"/>
  <c r="BC993" i="4"/>
  <c r="BD993" i="4"/>
  <c r="BE993" i="4"/>
  <c r="BF993" i="4"/>
  <c r="BG993" i="4"/>
  <c r="BH993" i="4"/>
  <c r="BA994" i="4"/>
  <c r="BB994" i="4"/>
  <c r="BC994" i="4"/>
  <c r="BD994" i="4"/>
  <c r="BE994" i="4"/>
  <c r="BF994" i="4"/>
  <c r="BG994" i="4"/>
  <c r="BH994" i="4"/>
  <c r="BA995" i="4"/>
  <c r="BB995" i="4"/>
  <c r="BC995" i="4"/>
  <c r="BD995" i="4"/>
  <c r="BE995" i="4"/>
  <c r="BF995" i="4"/>
  <c r="BG995" i="4"/>
  <c r="BH995" i="4"/>
  <c r="BA996" i="4"/>
  <c r="BB996" i="4"/>
  <c r="BC996" i="4"/>
  <c r="BD996" i="4"/>
  <c r="BE996" i="4"/>
  <c r="BF996" i="4"/>
  <c r="BG996" i="4"/>
  <c r="BH996" i="4"/>
  <c r="BA997" i="4"/>
  <c r="BB997" i="4"/>
  <c r="BC997" i="4"/>
  <c r="BD997" i="4"/>
  <c r="BE997" i="4"/>
  <c r="BF997" i="4"/>
  <c r="BG997" i="4"/>
  <c r="BH997" i="4"/>
  <c r="BA998" i="4"/>
  <c r="BB998" i="4"/>
  <c r="BC998" i="4"/>
  <c r="BD998" i="4"/>
  <c r="BE998" i="4"/>
  <c r="BF998" i="4"/>
  <c r="BG998" i="4"/>
  <c r="BH998" i="4"/>
  <c r="BA999" i="4"/>
  <c r="BB999" i="4"/>
  <c r="BC999" i="4"/>
  <c r="BD999" i="4"/>
  <c r="BE999" i="4"/>
  <c r="BF999" i="4"/>
  <c r="BG999" i="4"/>
  <c r="BH999" i="4"/>
  <c r="BA1000" i="4"/>
  <c r="BB1000" i="4"/>
  <c r="BC1000" i="4"/>
  <c r="BD1000" i="4"/>
  <c r="BE1000" i="4"/>
  <c r="BF1000" i="4"/>
  <c r="BG1000" i="4"/>
  <c r="BH1000" i="4"/>
  <c r="BA1002" i="4"/>
  <c r="BB1002" i="4"/>
  <c r="BC1002" i="4"/>
  <c r="BD1002" i="4"/>
  <c r="BE1002" i="4"/>
  <c r="BF1002" i="4"/>
  <c r="BG1002" i="4"/>
  <c r="BH1002" i="4"/>
  <c r="BA1003" i="4"/>
  <c r="BB1003" i="4"/>
  <c r="BC1003" i="4"/>
  <c r="BD1003" i="4"/>
  <c r="BE1003" i="4"/>
  <c r="BF1003" i="4"/>
  <c r="BG1003" i="4"/>
  <c r="BH1003" i="4"/>
  <c r="BA1004" i="4"/>
  <c r="BB1004" i="4"/>
  <c r="BC1004" i="4"/>
  <c r="BD1004" i="4"/>
  <c r="BE1004" i="4"/>
  <c r="BF1004" i="4"/>
  <c r="BG1004" i="4"/>
  <c r="BH1004" i="4"/>
  <c r="BA1005" i="4"/>
  <c r="BB1005" i="4"/>
  <c r="BC1005" i="4"/>
  <c r="BD1005" i="4"/>
  <c r="BE1005" i="4"/>
  <c r="BF1005" i="4"/>
  <c r="BG1005" i="4"/>
  <c r="BH1005" i="4"/>
  <c r="BA1006" i="4"/>
  <c r="BB1006" i="4"/>
  <c r="BC1006" i="4"/>
  <c r="BD1006" i="4"/>
  <c r="BE1006" i="4"/>
  <c r="BF1006" i="4"/>
  <c r="BG1006" i="4"/>
  <c r="BH1006" i="4"/>
  <c r="BA1007" i="4"/>
  <c r="BB1007" i="4"/>
  <c r="BC1007" i="4"/>
  <c r="BD1007" i="4"/>
  <c r="BE1007" i="4"/>
  <c r="BF1007" i="4"/>
  <c r="BG1007" i="4"/>
  <c r="BH1007" i="4"/>
  <c r="BA1008" i="4"/>
  <c r="BB1008" i="4"/>
  <c r="BC1008" i="4"/>
  <c r="BD1008" i="4"/>
  <c r="BE1008" i="4"/>
  <c r="BF1008" i="4"/>
  <c r="BG1008" i="4"/>
  <c r="BH1008" i="4"/>
  <c r="BA1010" i="4"/>
  <c r="BB1010" i="4"/>
  <c r="BC1010" i="4"/>
  <c r="BD1010" i="4"/>
  <c r="BE1010" i="4"/>
  <c r="BF1010" i="4"/>
  <c r="BG1010" i="4"/>
  <c r="BH1010" i="4"/>
  <c r="BA1011" i="4"/>
  <c r="BB1011" i="4"/>
  <c r="BC1011" i="4"/>
  <c r="BD1011" i="4"/>
  <c r="BE1011" i="4"/>
  <c r="BF1011" i="4"/>
  <c r="BG1011" i="4"/>
  <c r="BH1011" i="4"/>
  <c r="BA1012" i="4"/>
  <c r="BB1012" i="4"/>
  <c r="BC1012" i="4"/>
  <c r="BD1012" i="4"/>
  <c r="BE1012" i="4"/>
  <c r="BF1012" i="4"/>
  <c r="BG1012" i="4"/>
  <c r="BH1012" i="4"/>
  <c r="BA1013" i="4"/>
  <c r="BB1013" i="4"/>
  <c r="BC1013" i="4"/>
  <c r="BD1013" i="4"/>
  <c r="BE1013" i="4"/>
  <c r="BF1013" i="4"/>
  <c r="BG1013" i="4"/>
  <c r="BH1013" i="4"/>
  <c r="BA1014" i="4"/>
  <c r="BB1014" i="4"/>
  <c r="BC1014" i="4"/>
  <c r="BD1014" i="4"/>
  <c r="BE1014" i="4"/>
  <c r="BF1014" i="4"/>
  <c r="BG1014" i="4"/>
  <c r="BH1014" i="4"/>
  <c r="BA1015" i="4"/>
  <c r="BB1015" i="4"/>
  <c r="BC1015" i="4"/>
  <c r="BD1015" i="4"/>
  <c r="BE1015" i="4"/>
  <c r="BF1015" i="4"/>
  <c r="BG1015" i="4"/>
  <c r="BH1015" i="4"/>
  <c r="BA1016" i="4"/>
  <c r="BB1016" i="4"/>
  <c r="BC1016" i="4"/>
  <c r="BD1016" i="4"/>
  <c r="BE1016" i="4"/>
  <c r="BF1016" i="4"/>
  <c r="BG1016" i="4"/>
  <c r="BH1016" i="4"/>
  <c r="BA1017" i="4"/>
  <c r="BB1017" i="4"/>
  <c r="BC1017" i="4"/>
  <c r="BD1017" i="4"/>
  <c r="BE1017" i="4"/>
  <c r="BF1017" i="4"/>
  <c r="BG1017" i="4"/>
  <c r="BH1017" i="4"/>
  <c r="BA1018" i="4"/>
  <c r="BB1018" i="4"/>
  <c r="BC1018" i="4"/>
  <c r="BD1018" i="4"/>
  <c r="BE1018" i="4"/>
  <c r="BF1018" i="4"/>
  <c r="BG1018" i="4"/>
  <c r="BH1018" i="4"/>
  <c r="BA1019" i="4"/>
  <c r="BB1019" i="4"/>
  <c r="BC1019" i="4"/>
  <c r="BD1019" i="4"/>
  <c r="BE1019" i="4"/>
  <c r="BF1019" i="4"/>
  <c r="BG1019" i="4"/>
  <c r="BH1019" i="4"/>
  <c r="BA1020" i="4"/>
  <c r="BB1020" i="4"/>
  <c r="BC1020" i="4"/>
  <c r="BD1020" i="4"/>
  <c r="BE1020" i="4"/>
  <c r="BF1020" i="4"/>
  <c r="BG1020" i="4"/>
  <c r="BH1020" i="4"/>
  <c r="BA1021" i="4"/>
  <c r="BB1021" i="4"/>
  <c r="BC1021" i="4"/>
  <c r="BD1021" i="4"/>
  <c r="BE1021" i="4"/>
  <c r="BF1021" i="4"/>
  <c r="BG1021" i="4"/>
  <c r="BH1021" i="4"/>
  <c r="BA1022" i="4"/>
  <c r="BB1022" i="4"/>
  <c r="BC1022" i="4"/>
  <c r="BD1022" i="4"/>
  <c r="BE1022" i="4"/>
  <c r="BF1022" i="4"/>
  <c r="BG1022" i="4"/>
  <c r="BH1022" i="4"/>
  <c r="BA1023" i="4"/>
  <c r="BB1023" i="4"/>
  <c r="BC1023" i="4"/>
  <c r="BD1023" i="4"/>
  <c r="BE1023" i="4"/>
  <c r="BF1023" i="4"/>
  <c r="BG1023" i="4"/>
  <c r="BH1023" i="4"/>
  <c r="BA1024" i="4"/>
  <c r="BB1024" i="4"/>
  <c r="BC1024" i="4"/>
  <c r="BD1024" i="4"/>
  <c r="BE1024" i="4"/>
  <c r="BF1024" i="4"/>
  <c r="BG1024" i="4"/>
  <c r="BH1024" i="4"/>
  <c r="BA1028" i="4"/>
  <c r="BB1028" i="4"/>
  <c r="BC1028" i="4"/>
  <c r="BD1028" i="4"/>
  <c r="BE1028" i="4"/>
  <c r="BF1028" i="4"/>
  <c r="BG1028" i="4"/>
  <c r="BH1028" i="4"/>
  <c r="BA1029" i="4"/>
  <c r="BB1029" i="4"/>
  <c r="BC1029" i="4"/>
  <c r="BD1029" i="4"/>
  <c r="BE1029" i="4"/>
  <c r="BF1029" i="4"/>
  <c r="BG1029" i="4"/>
  <c r="BH1029" i="4"/>
  <c r="BA1030" i="4"/>
  <c r="BB1030" i="4"/>
  <c r="BC1030" i="4"/>
  <c r="BD1030" i="4"/>
  <c r="BE1030" i="4"/>
  <c r="BF1030" i="4"/>
  <c r="BG1030" i="4"/>
  <c r="BH1030" i="4"/>
  <c r="BA1031" i="4"/>
  <c r="BB1031" i="4"/>
  <c r="BC1031" i="4"/>
  <c r="BD1031" i="4"/>
  <c r="BE1031" i="4"/>
  <c r="BF1031" i="4"/>
  <c r="BG1031" i="4"/>
  <c r="BH1031" i="4"/>
  <c r="BA1032" i="4"/>
  <c r="BB1032" i="4"/>
  <c r="BC1032" i="4"/>
  <c r="BD1032" i="4"/>
  <c r="BE1032" i="4"/>
  <c r="BF1032" i="4"/>
  <c r="BG1032" i="4"/>
  <c r="BH1032" i="4"/>
  <c r="BA1045" i="4"/>
  <c r="BB1045" i="4"/>
  <c r="BC1045" i="4"/>
  <c r="BD1045" i="4"/>
  <c r="BE1045" i="4"/>
  <c r="BF1045" i="4"/>
  <c r="BG1045" i="4"/>
  <c r="BH1045" i="4"/>
  <c r="BA1046" i="4"/>
  <c r="BB1046" i="4"/>
  <c r="BC1046" i="4"/>
  <c r="BD1046" i="4"/>
  <c r="BE1046" i="4"/>
  <c r="BF1046" i="4"/>
  <c r="BG1046" i="4"/>
  <c r="BH1046" i="4"/>
  <c r="BA1047" i="4"/>
  <c r="BB1047" i="4"/>
  <c r="BC1047" i="4"/>
  <c r="BD1047" i="4"/>
  <c r="BE1047" i="4"/>
  <c r="BF1047" i="4"/>
  <c r="BG1047" i="4"/>
  <c r="BH1047" i="4"/>
  <c r="BA1048" i="4"/>
  <c r="BB1048" i="4"/>
  <c r="BC1048" i="4"/>
  <c r="BD1048" i="4"/>
  <c r="BE1048" i="4"/>
  <c r="BF1048" i="4"/>
  <c r="BG1048" i="4"/>
  <c r="BH1048" i="4"/>
  <c r="BA1049" i="4"/>
  <c r="BB1049" i="4"/>
  <c r="BC1049" i="4"/>
  <c r="BD1049" i="4"/>
  <c r="BE1049" i="4"/>
  <c r="BF1049" i="4"/>
  <c r="BG1049" i="4"/>
  <c r="BH1049" i="4"/>
  <c r="BA1050" i="4"/>
  <c r="BB1050" i="4"/>
  <c r="BC1050" i="4"/>
  <c r="BD1050" i="4"/>
  <c r="BE1050" i="4"/>
  <c r="BF1050" i="4"/>
  <c r="BG1050" i="4"/>
  <c r="BH1050" i="4"/>
  <c r="BA1051" i="4"/>
  <c r="BB1051" i="4"/>
  <c r="BC1051" i="4"/>
  <c r="BD1051" i="4"/>
  <c r="BE1051" i="4"/>
  <c r="BF1051" i="4"/>
  <c r="BG1051" i="4"/>
  <c r="BH1051" i="4"/>
  <c r="BA1052" i="4"/>
  <c r="BB1052" i="4"/>
  <c r="BC1052" i="4"/>
  <c r="BD1052" i="4"/>
  <c r="BE1052" i="4"/>
  <c r="BF1052" i="4"/>
  <c r="BG1052" i="4"/>
  <c r="BH1052" i="4"/>
  <c r="BA1053" i="4"/>
  <c r="BB1053" i="4"/>
  <c r="BC1053" i="4"/>
  <c r="BD1053" i="4"/>
  <c r="BE1053" i="4"/>
  <c r="BF1053" i="4"/>
  <c r="BG1053" i="4"/>
  <c r="BH1053" i="4"/>
  <c r="BA1054" i="4"/>
  <c r="BB1054" i="4"/>
  <c r="BC1054" i="4"/>
  <c r="BD1054" i="4"/>
  <c r="BE1054" i="4"/>
  <c r="BF1054" i="4"/>
  <c r="BG1054" i="4"/>
  <c r="BH1054" i="4"/>
  <c r="BA1055" i="4"/>
  <c r="BB1055" i="4"/>
  <c r="BC1055" i="4"/>
  <c r="BD1055" i="4"/>
  <c r="BE1055" i="4"/>
  <c r="BF1055" i="4"/>
  <c r="BG1055" i="4"/>
  <c r="BH1055" i="4"/>
  <c r="BA1056" i="4"/>
  <c r="BB1056" i="4"/>
  <c r="BC1056" i="4"/>
  <c r="BD1056" i="4"/>
  <c r="BE1056" i="4"/>
  <c r="BF1056" i="4"/>
  <c r="BG1056" i="4"/>
  <c r="BH1056" i="4"/>
  <c r="BA1057" i="4"/>
  <c r="BB1057" i="4"/>
  <c r="BC1057" i="4"/>
  <c r="BD1057" i="4"/>
  <c r="BE1057" i="4"/>
  <c r="BF1057" i="4"/>
  <c r="BG1057" i="4"/>
  <c r="BH1057" i="4"/>
  <c r="BA1058" i="4"/>
  <c r="BB1058" i="4"/>
  <c r="BC1058" i="4"/>
  <c r="BD1058" i="4"/>
  <c r="BE1058" i="4"/>
  <c r="BF1058" i="4"/>
  <c r="BG1058" i="4"/>
  <c r="BH1058" i="4"/>
  <c r="BA1059" i="4"/>
  <c r="BB1059" i="4"/>
  <c r="BC1059" i="4"/>
  <c r="BD1059" i="4"/>
  <c r="BE1059" i="4"/>
  <c r="BF1059" i="4"/>
  <c r="BG1059" i="4"/>
  <c r="BH1059" i="4"/>
  <c r="BA1060" i="4"/>
  <c r="BB1060" i="4"/>
  <c r="BC1060" i="4"/>
  <c r="BD1060" i="4"/>
  <c r="BE1060" i="4"/>
  <c r="BF1060" i="4"/>
  <c r="BG1060" i="4"/>
  <c r="BH1060" i="4"/>
  <c r="BA1061" i="4"/>
  <c r="BB1061" i="4"/>
  <c r="BC1061" i="4"/>
  <c r="BD1061" i="4"/>
  <c r="BE1061" i="4"/>
  <c r="BF1061" i="4"/>
  <c r="BG1061" i="4"/>
  <c r="BH1061" i="4"/>
  <c r="BA1062" i="4"/>
  <c r="BB1062" i="4"/>
  <c r="BC1062" i="4"/>
  <c r="BD1062" i="4"/>
  <c r="BE1062" i="4"/>
  <c r="BF1062" i="4"/>
  <c r="BG1062" i="4"/>
  <c r="BH1062" i="4"/>
  <c r="BA1063" i="4"/>
  <c r="BB1063" i="4"/>
  <c r="BC1063" i="4"/>
  <c r="BD1063" i="4"/>
  <c r="BE1063" i="4"/>
  <c r="BF1063" i="4"/>
  <c r="BG1063" i="4"/>
  <c r="BH1063" i="4"/>
  <c r="BA1064" i="4"/>
  <c r="BB1064" i="4"/>
  <c r="BC1064" i="4"/>
  <c r="BD1064" i="4"/>
  <c r="BE1064" i="4"/>
  <c r="BF1064" i="4"/>
  <c r="BG1064" i="4"/>
  <c r="BH1064" i="4"/>
  <c r="BA1065" i="4"/>
  <c r="BB1065" i="4"/>
  <c r="BC1065" i="4"/>
  <c r="BD1065" i="4"/>
  <c r="BE1065" i="4"/>
  <c r="BF1065" i="4"/>
  <c r="BG1065" i="4"/>
  <c r="BH1065" i="4"/>
  <c r="BA1066" i="4"/>
  <c r="BB1066" i="4"/>
  <c r="BC1066" i="4"/>
  <c r="BD1066" i="4"/>
  <c r="BE1066" i="4"/>
  <c r="BF1066" i="4"/>
  <c r="BG1066" i="4"/>
  <c r="BH1066" i="4"/>
  <c r="BA1067" i="4"/>
  <c r="BB1067" i="4"/>
  <c r="BC1067" i="4"/>
  <c r="BD1067" i="4"/>
  <c r="BE1067" i="4"/>
  <c r="BF1067" i="4"/>
  <c r="BG1067" i="4"/>
  <c r="BH1067" i="4"/>
  <c r="BA1068" i="4"/>
  <c r="BB1068" i="4"/>
  <c r="BC1068" i="4"/>
  <c r="BD1068" i="4"/>
  <c r="BE1068" i="4"/>
  <c r="BF1068" i="4"/>
  <c r="BG1068" i="4"/>
  <c r="BH1068" i="4"/>
  <c r="BA1069" i="4"/>
  <c r="BB1069" i="4"/>
  <c r="BC1069" i="4"/>
  <c r="BD1069" i="4"/>
  <c r="BE1069" i="4"/>
  <c r="BF1069" i="4"/>
  <c r="BG1069" i="4"/>
  <c r="BH1069" i="4"/>
  <c r="BA1070" i="4"/>
  <c r="BB1070" i="4"/>
  <c r="BC1070" i="4"/>
  <c r="BD1070" i="4"/>
  <c r="BE1070" i="4"/>
  <c r="BF1070" i="4"/>
  <c r="BG1070" i="4"/>
  <c r="BH1070" i="4"/>
  <c r="BA1071" i="4"/>
  <c r="BB1071" i="4"/>
  <c r="BC1071" i="4"/>
  <c r="BD1071" i="4"/>
  <c r="BE1071" i="4"/>
  <c r="BF1071" i="4"/>
  <c r="BG1071" i="4"/>
  <c r="BH1071" i="4"/>
  <c r="BA1072" i="4"/>
  <c r="BB1072" i="4"/>
  <c r="BC1072" i="4"/>
  <c r="BD1072" i="4"/>
  <c r="BE1072" i="4"/>
  <c r="BF1072" i="4"/>
  <c r="BG1072" i="4"/>
  <c r="BH1072" i="4"/>
  <c r="BB3" i="4"/>
  <c r="BH3" i="4"/>
  <c r="BG3" i="4"/>
  <c r="BF3" i="4"/>
  <c r="BE3" i="4"/>
  <c r="BD3" i="4"/>
  <c r="BC3" i="4"/>
  <c r="BA3" i="4"/>
  <c r="O12" i="20"/>
  <c r="O13" i="20"/>
  <c r="O14" i="20"/>
  <c r="O15" i="20"/>
  <c r="O16" i="20"/>
  <c r="O17" i="20"/>
  <c r="M12" i="20"/>
  <c r="M13" i="20"/>
  <c r="M14" i="20"/>
  <c r="M15" i="20"/>
  <c r="M16" i="20"/>
  <c r="M17" i="20"/>
  <c r="G12" i="20"/>
  <c r="G13" i="20"/>
  <c r="G14" i="20"/>
  <c r="G15" i="20"/>
  <c r="G16" i="20"/>
  <c r="G17" i="20"/>
  <c r="F12" i="20"/>
  <c r="F13" i="20"/>
  <c r="F14" i="20"/>
  <c r="F15" i="20"/>
  <c r="F16" i="20"/>
  <c r="F17" i="20"/>
  <c r="E12" i="20"/>
  <c r="E13" i="20"/>
  <c r="E14" i="20"/>
  <c r="E15" i="20"/>
  <c r="E16" i="20"/>
  <c r="E17" i="20"/>
  <c r="D12" i="20"/>
  <c r="D13" i="20"/>
  <c r="D14" i="20"/>
  <c r="D15" i="20"/>
  <c r="D16" i="20"/>
  <c r="D17" i="20"/>
  <c r="BI331" i="4" l="1"/>
  <c r="BI1050" i="4"/>
  <c r="BI1052" i="4"/>
  <c r="BI786" i="4"/>
  <c r="BI414" i="4"/>
  <c r="BI985" i="4"/>
  <c r="BI789" i="4"/>
  <c r="BI140" i="4"/>
  <c r="BI144" i="4"/>
  <c r="BI877" i="4"/>
  <c r="BI713" i="4"/>
  <c r="BI531" i="4"/>
  <c r="BI1010" i="4"/>
  <c r="BI829" i="4"/>
  <c r="BI582" i="4"/>
  <c r="BI372" i="4"/>
  <c r="BI12" i="4"/>
  <c r="BI744" i="4"/>
  <c r="BI455" i="4"/>
  <c r="BI229" i="4"/>
  <c r="BI1012" i="4"/>
  <c r="BI180" i="4"/>
  <c r="BI838" i="4"/>
  <c r="BI746" i="4"/>
  <c r="BI660" i="4"/>
  <c r="BI584" i="4"/>
  <c r="BI459" i="4"/>
  <c r="BI383" i="4"/>
  <c r="BI380" i="4"/>
  <c r="BI375" i="4"/>
  <c r="BI291" i="4"/>
  <c r="BI234" i="4"/>
  <c r="BI232" i="4"/>
  <c r="BI79" i="4"/>
  <c r="BI38" i="4"/>
  <c r="BI36" i="4"/>
  <c r="BI34" i="4"/>
  <c r="BI32" i="4"/>
  <c r="BI28" i="4"/>
  <c r="BI27" i="4"/>
  <c r="BI182" i="4"/>
  <c r="BI81" i="4"/>
  <c r="BI916" i="4"/>
  <c r="BI287" i="4"/>
  <c r="BI1064" i="4"/>
  <c r="BI994" i="4"/>
  <c r="BI890" i="4"/>
  <c r="BI817" i="4"/>
  <c r="BI728" i="4"/>
  <c r="BI622" i="4"/>
  <c r="BI516" i="4"/>
  <c r="BI390" i="4"/>
  <c r="BI307" i="4"/>
  <c r="BI199" i="4"/>
  <c r="BI99" i="4"/>
  <c r="BI1029" i="4"/>
  <c r="BI934" i="4"/>
  <c r="BI918" i="4"/>
  <c r="BI854" i="4"/>
  <c r="BI763" i="4"/>
  <c r="BI691" i="4"/>
  <c r="BI557" i="4"/>
  <c r="BI430" i="4"/>
  <c r="BI340" i="4"/>
  <c r="BI279" i="4"/>
  <c r="BI155" i="4"/>
  <c r="BI66" i="4"/>
  <c r="BI752" i="4"/>
  <c r="BI721" i="4"/>
  <c r="BI680" i="4"/>
  <c r="BI602" i="4"/>
  <c r="BI540" i="4"/>
  <c r="BI496" i="4"/>
  <c r="BI422" i="4"/>
  <c r="BI386" i="4"/>
  <c r="BI335" i="4"/>
  <c r="BI295" i="4"/>
  <c r="BI271" i="4"/>
  <c r="BI184" i="4"/>
  <c r="BI150" i="4"/>
  <c r="BI89" i="4"/>
  <c r="BI43" i="4"/>
  <c r="BI926" i="4"/>
  <c r="BI801" i="4"/>
  <c r="BI1067" i="4"/>
  <c r="BI1065" i="4"/>
  <c r="BI974" i="4"/>
  <c r="BI950" i="4"/>
  <c r="BI948" i="4"/>
  <c r="BI936" i="4"/>
  <c r="BI902" i="4"/>
  <c r="BI777" i="4"/>
  <c r="BI765" i="4"/>
  <c r="BI736" i="4"/>
  <c r="BI730" i="4"/>
  <c r="BI705" i="4"/>
  <c r="BI694" i="4"/>
  <c r="BI646" i="4"/>
  <c r="BI569" i="4"/>
  <c r="BI522" i="4"/>
  <c r="BI517" i="4"/>
  <c r="BI446" i="4"/>
  <c r="BI402" i="4"/>
  <c r="BI363" i="4"/>
  <c r="BI315" i="4"/>
  <c r="BI311" i="4"/>
  <c r="BI283" i="4"/>
  <c r="BI217" i="4"/>
  <c r="BI215" i="4"/>
  <c r="BI214" i="4"/>
  <c r="BI212" i="4"/>
  <c r="BI210" i="4"/>
  <c r="BI207" i="4"/>
  <c r="BI169" i="4"/>
  <c r="BI167" i="4"/>
  <c r="BI165" i="4"/>
  <c r="BI162" i="4"/>
  <c r="BI160" i="4"/>
  <c r="BI158" i="4"/>
  <c r="BI157" i="4"/>
  <c r="BI111" i="4"/>
  <c r="BI106" i="4"/>
  <c r="BI72" i="4"/>
  <c r="BI68" i="4"/>
  <c r="BI1070" i="4"/>
  <c r="BI1031" i="4"/>
  <c r="BI1000" i="4"/>
  <c r="BI981" i="4"/>
  <c r="BI977" i="4"/>
  <c r="BI930" i="4"/>
  <c r="BI906" i="4"/>
  <c r="BI882" i="4"/>
  <c r="BI880" i="4"/>
  <c r="BI844" i="4"/>
  <c r="BI840" i="4"/>
  <c r="BI1056" i="4"/>
  <c r="BI1014" i="4"/>
  <c r="BI990" i="4"/>
  <c r="BI968" i="4"/>
  <c r="BI922" i="4"/>
  <c r="BI898" i="4"/>
  <c r="BI893" i="4"/>
  <c r="BI891" i="4"/>
  <c r="BI865" i="4"/>
  <c r="BI860" i="4"/>
  <c r="BI824" i="4"/>
  <c r="BI821" i="4"/>
  <c r="BI791" i="4"/>
  <c r="BI463" i="4"/>
  <c r="BI437" i="4"/>
  <c r="BI418" i="4"/>
  <c r="BI398" i="4"/>
  <c r="BI263" i="4"/>
  <c r="BI204" i="4"/>
  <c r="BI105" i="4"/>
  <c r="BI85" i="4"/>
  <c r="BI30" i="4"/>
  <c r="BI884" i="4"/>
  <c r="BI871" i="4"/>
  <c r="BI867" i="4"/>
  <c r="BI850" i="4"/>
  <c r="BI846" i="4"/>
  <c r="BI826" i="4"/>
  <c r="BI815" i="4"/>
  <c r="BI809" i="4"/>
  <c r="BI805" i="4"/>
  <c r="BI803" i="4"/>
  <c r="BI780" i="4"/>
  <c r="BI755" i="4"/>
  <c r="BI707" i="4"/>
  <c r="BI652" i="4"/>
  <c r="BI546" i="4"/>
  <c r="BI545" i="4"/>
  <c r="BI541" i="4"/>
  <c r="BI523" i="4"/>
  <c r="BI510" i="4"/>
  <c r="BI450" i="4"/>
  <c r="BI426" i="4"/>
  <c r="BI409" i="4"/>
  <c r="BI405" i="4"/>
  <c r="BI319" i="4"/>
  <c r="BI303" i="4"/>
  <c r="BI299" i="4"/>
  <c r="BI275" i="4"/>
  <c r="BI194" i="4"/>
  <c r="BI192" i="4"/>
  <c r="BI189" i="4"/>
  <c r="BI187" i="4"/>
  <c r="BI185" i="4"/>
  <c r="BI136" i="4"/>
  <c r="BI132" i="4"/>
  <c r="BI125" i="4"/>
  <c r="BI121" i="4"/>
  <c r="BI95" i="4"/>
  <c r="BI93" i="4"/>
  <c r="BI91" i="4"/>
  <c r="BI77" i="4"/>
  <c r="BI75" i="4"/>
  <c r="BI73" i="4"/>
  <c r="BI57" i="4"/>
  <c r="BI54" i="4"/>
  <c r="BI51" i="4"/>
  <c r="BI48" i="4"/>
  <c r="BI47" i="4"/>
  <c r="BI44" i="4"/>
  <c r="BI4" i="4"/>
  <c r="BI1068" i="4"/>
  <c r="BI987" i="4"/>
  <c r="BI979" i="4"/>
  <c r="BI952" i="4"/>
  <c r="BI928" i="4"/>
  <c r="BI920" i="4"/>
  <c r="BI904" i="4"/>
  <c r="BI895" i="4"/>
  <c r="BI869" i="4"/>
  <c r="BI856" i="4"/>
  <c r="BI769" i="4"/>
  <c r="BI748" i="4"/>
  <c r="BI732" i="4"/>
  <c r="BI717" i="4"/>
  <c r="BI699" i="4"/>
  <c r="BI677" i="4"/>
  <c r="BI632" i="4"/>
  <c r="BI630" i="4"/>
  <c r="BI588" i="4"/>
  <c r="BI586" i="4"/>
  <c r="BI561" i="4"/>
  <c r="BI559" i="4"/>
  <c r="BI535" i="4"/>
  <c r="BI533" i="4"/>
  <c r="BI1054" i="4"/>
  <c r="BI1072" i="4"/>
  <c r="BI1060" i="4"/>
  <c r="BI1048" i="4"/>
  <c r="BI1046" i="4"/>
  <c r="BI1018" i="4"/>
  <c r="BI1016" i="4"/>
  <c r="BI1003" i="4"/>
  <c r="BI992" i="4"/>
  <c r="BI983" i="4"/>
  <c r="BI972" i="4"/>
  <c r="BI970" i="4"/>
  <c r="BI932" i="4"/>
  <c r="BI924" i="4"/>
  <c r="BI910" i="4"/>
  <c r="BI909" i="4"/>
  <c r="BI907" i="4"/>
  <c r="BI900" i="4"/>
  <c r="BI886" i="4"/>
  <c r="BI875" i="4"/>
  <c r="BI863" i="4"/>
  <c r="BI861" i="4"/>
  <c r="BI852" i="4"/>
  <c r="BI828" i="4"/>
  <c r="BI822" i="4"/>
  <c r="BI795" i="4"/>
  <c r="BI793" i="4"/>
  <c r="BI784" i="4"/>
  <c r="BI782" i="4"/>
  <c r="BI757" i="4"/>
  <c r="BI738" i="4"/>
  <c r="BI726" i="4"/>
  <c r="BI709" i="4"/>
  <c r="BI684" i="4"/>
  <c r="BI656" i="4"/>
  <c r="BI610" i="4"/>
  <c r="BI605" i="4"/>
  <c r="BI578" i="4"/>
  <c r="BI571" i="4"/>
  <c r="BI550" i="4"/>
  <c r="BI547" i="4"/>
  <c r="BI527" i="4"/>
  <c r="BI525" i="4"/>
  <c r="BI512" i="4"/>
  <c r="BI465" i="4"/>
  <c r="BI452" i="4"/>
  <c r="BI442" i="4"/>
  <c r="BI439" i="4"/>
  <c r="BI428" i="4"/>
  <c r="BI420" i="4"/>
  <c r="BI411" i="4"/>
  <c r="BI376" i="4"/>
  <c r="BI267" i="4"/>
  <c r="BI201" i="4"/>
  <c r="BI163" i="4"/>
  <c r="BI142" i="4"/>
  <c r="BI134" i="4"/>
  <c r="BI118" i="4"/>
  <c r="BI101" i="4"/>
  <c r="BI8" i="4"/>
  <c r="BI773" i="4"/>
  <c r="BI759" i="4"/>
  <c r="BI749" i="4"/>
  <c r="BI742" i="4"/>
  <c r="BI740" i="4"/>
  <c r="BI734" i="4"/>
  <c r="BI703" i="4"/>
  <c r="BI688" i="4"/>
  <c r="BI620" i="4"/>
  <c r="BI618" i="4"/>
  <c r="BI616" i="4"/>
  <c r="BI614" i="4"/>
  <c r="BI612" i="4"/>
  <c r="BI594" i="4"/>
  <c r="BI592" i="4"/>
  <c r="BI590" i="4"/>
  <c r="BI580" i="4"/>
  <c r="BI567" i="4"/>
  <c r="BI565" i="4"/>
  <c r="BI563" i="4"/>
  <c r="BI553" i="4"/>
  <c r="BI552" i="4"/>
  <c r="BI538" i="4"/>
  <c r="BI529" i="4"/>
  <c r="BI520" i="4"/>
  <c r="BI519" i="4"/>
  <c r="BI498" i="4"/>
  <c r="BI461" i="4"/>
  <c r="BI448" i="4"/>
  <c r="BI432" i="4"/>
  <c r="BI424" i="4"/>
  <c r="BI416" i="4"/>
  <c r="BI406" i="4"/>
  <c r="BI394" i="4"/>
  <c r="BI384" i="4"/>
  <c r="BI367" i="4"/>
  <c r="BI235" i="4"/>
  <c r="BI208" i="4"/>
  <c r="BI148" i="4"/>
  <c r="BI138" i="4"/>
  <c r="BI129" i="4"/>
  <c r="BI108" i="4"/>
  <c r="BI87" i="4"/>
  <c r="BI55" i="4"/>
  <c r="BI52" i="4"/>
  <c r="BI24" i="4"/>
  <c r="BI1045" i="4"/>
  <c r="BI1030" i="4"/>
  <c r="BI1017" i="4"/>
  <c r="BI1015" i="4"/>
  <c r="BI1011" i="4"/>
  <c r="BI1002" i="4"/>
  <c r="BI993" i="4"/>
  <c r="BI988" i="4"/>
  <c r="BI984" i="4"/>
  <c r="BI980" i="4"/>
  <c r="BI976" i="4"/>
  <c r="BI971" i="4"/>
  <c r="BI969" i="4"/>
  <c r="BI951" i="4"/>
  <c r="BI949" i="4"/>
  <c r="BI885" i="4"/>
  <c r="BI881" i="4"/>
  <c r="BI1071" i="4"/>
  <c r="BI1066" i="4"/>
  <c r="BI1051" i="4"/>
  <c r="BI935" i="4"/>
  <c r="BI931" i="4"/>
  <c r="BI927" i="4"/>
  <c r="BI923" i="4"/>
  <c r="BI919" i="4"/>
  <c r="BI917" i="4"/>
  <c r="BI908" i="4"/>
  <c r="BI903" i="4"/>
  <c r="BI899" i="4"/>
  <c r="BI894" i="4"/>
  <c r="BI866" i="4"/>
  <c r="BI862" i="4"/>
  <c r="BI855" i="4"/>
  <c r="BI851" i="4"/>
  <c r="BI845" i="4"/>
  <c r="BI839" i="4"/>
  <c r="BI827" i="4"/>
  <c r="BI823" i="4"/>
  <c r="BI816" i="4"/>
  <c r="BI806" i="4"/>
  <c r="BI804" i="4"/>
  <c r="BI802" i="4"/>
  <c r="BI794" i="4"/>
  <c r="BI790" i="4"/>
  <c r="BI785" i="4"/>
  <c r="BI775" i="4"/>
  <c r="BI774" i="4"/>
  <c r="BI767" i="4"/>
  <c r="BI766" i="4"/>
  <c r="BI761" i="4"/>
  <c r="BI760" i="4"/>
  <c r="BI745" i="4"/>
  <c r="BI741" i="4"/>
  <c r="BI623" i="4"/>
  <c r="BI619" i="4"/>
  <c r="BI617" i="4"/>
  <c r="BI615" i="4"/>
  <c r="BI613" i="4"/>
  <c r="BI611" i="4"/>
  <c r="BI604" i="4"/>
  <c r="BI593" i="4"/>
  <c r="BI591" i="4"/>
  <c r="BI589" i="4"/>
  <c r="BI585" i="4"/>
  <c r="BI583" i="4"/>
  <c r="BI579" i="4"/>
  <c r="BI570" i="4"/>
  <c r="BI566" i="4"/>
  <c r="BI564" i="4"/>
  <c r="BI562" i="4"/>
  <c r="BI558" i="4"/>
  <c r="BI551" i="4"/>
  <c r="BI603" i="4"/>
  <c r="BI544" i="4"/>
  <c r="BI542" i="4"/>
  <c r="BI536" i="4"/>
  <c r="BI532" i="4"/>
  <c r="BI528" i="4"/>
  <c r="BI524" i="4"/>
  <c r="BI518" i="4"/>
  <c r="BI511" i="4"/>
  <c r="BI497" i="4"/>
  <c r="BI464" i="4"/>
  <c r="BI460" i="4"/>
  <c r="BI458" i="4"/>
  <c r="BI456" i="4"/>
  <c r="BI451" i="4"/>
  <c r="BI447" i="4"/>
  <c r="BI441" i="4"/>
  <c r="BI438" i="4"/>
  <c r="BI431" i="4"/>
  <c r="BI427" i="4"/>
  <c r="BI423" i="4"/>
  <c r="BI419" i="4"/>
  <c r="BI415" i="4"/>
  <c r="BI410" i="4"/>
  <c r="BI404" i="4"/>
  <c r="BI397" i="4"/>
  <c r="BI396" i="4"/>
  <c r="BI389" i="4"/>
  <c r="BI388" i="4"/>
  <c r="BI382" i="4"/>
  <c r="BI374" i="4"/>
  <c r="BI366" i="4"/>
  <c r="BI365" i="4"/>
  <c r="BI337" i="4"/>
  <c r="BI329" i="4"/>
  <c r="BI313" i="4"/>
  <c r="BI305" i="4"/>
  <c r="BI297" i="4"/>
  <c r="BI289" i="4"/>
  <c r="BI281" i="4"/>
  <c r="BI273" i="4"/>
  <c r="BI272" i="4"/>
  <c r="BI265" i="4"/>
  <c r="BI264" i="4"/>
  <c r="BI233" i="4"/>
  <c r="BI231" i="4"/>
  <c r="BI230" i="4"/>
  <c r="BI211" i="4"/>
  <c r="BI205" i="4"/>
  <c r="BI200" i="4"/>
  <c r="BI161" i="4"/>
  <c r="BI112" i="4"/>
  <c r="BI107" i="4"/>
  <c r="BI100" i="4"/>
  <c r="BI53" i="4"/>
  <c r="BI45" i="4"/>
  <c r="BI13" i="4"/>
  <c r="BI6" i="4"/>
  <c r="BI5" i="4"/>
  <c r="BI188" i="4"/>
  <c r="BI186" i="4"/>
  <c r="BI181" i="4"/>
  <c r="BI168" i="4"/>
  <c r="BI151" i="4"/>
  <c r="BI145" i="4"/>
  <c r="BI141" i="4"/>
  <c r="BI137" i="4"/>
  <c r="BI133" i="4"/>
  <c r="BI128" i="4"/>
  <c r="BI127" i="4"/>
  <c r="BI126" i="4"/>
  <c r="BI120" i="4"/>
  <c r="BI119" i="4"/>
  <c r="BI92" i="4"/>
  <c r="BI83" i="4"/>
  <c r="BI78" i="4"/>
  <c r="BI74" i="4"/>
  <c r="BI67" i="4"/>
  <c r="BI37" i="4"/>
  <c r="BI35" i="4"/>
  <c r="BI31" i="4"/>
  <c r="BI26" i="4"/>
  <c r="BI25" i="4"/>
  <c r="BI1069" i="4"/>
  <c r="BI1063" i="4"/>
  <c r="BI1062" i="4"/>
  <c r="BI1061" i="4"/>
  <c r="BI1055" i="4"/>
  <c r="BI1049" i="4"/>
  <c r="BI193" i="4"/>
  <c r="BI156" i="4"/>
  <c r="BI149" i="4"/>
  <c r="BI94" i="4"/>
  <c r="BI90" i="4"/>
  <c r="BI86" i="4"/>
  <c r="BI929" i="4"/>
  <c r="BI925" i="4"/>
  <c r="BI912" i="4"/>
  <c r="BI911" i="4"/>
  <c r="BI876" i="4"/>
  <c r="BI870" i="4"/>
  <c r="BI857" i="4"/>
  <c r="BI853" i="4"/>
  <c r="BI832" i="4"/>
  <c r="BI831" i="4"/>
  <c r="BI830" i="4"/>
  <c r="BI825" i="4"/>
  <c r="BI818" i="4"/>
  <c r="BI813" i="4"/>
  <c r="BI812" i="4"/>
  <c r="BI811" i="4"/>
  <c r="BI810" i="4"/>
  <c r="BI797" i="4"/>
  <c r="BI796" i="4"/>
  <c r="BI792" i="4"/>
  <c r="BI788" i="4"/>
  <c r="BI787" i="4"/>
  <c r="BI783" i="4"/>
  <c r="BI779" i="4"/>
  <c r="BI778" i="4"/>
  <c r="BI772" i="4"/>
  <c r="BI771" i="4"/>
  <c r="BI770" i="4"/>
  <c r="BI764" i="4"/>
  <c r="BI758" i="4"/>
  <c r="BI754" i="4"/>
  <c r="BI753" i="4"/>
  <c r="BI747" i="4"/>
  <c r="BI743" i="4"/>
  <c r="BI739" i="4"/>
  <c r="BI735" i="4"/>
  <c r="BI731" i="4"/>
  <c r="BI727" i="4"/>
  <c r="BI720" i="4"/>
  <c r="BI719" i="4"/>
  <c r="BI718" i="4"/>
  <c r="BI712" i="4"/>
  <c r="BI711" i="4"/>
  <c r="BI710" i="4"/>
  <c r="BI706" i="4"/>
  <c r="BI702" i="4"/>
  <c r="BI701" i="4"/>
  <c r="BI700" i="4"/>
  <c r="BI693" i="4"/>
  <c r="BI692" i="4"/>
  <c r="BI687" i="4"/>
  <c r="BI686" i="4"/>
  <c r="BI685" i="4"/>
  <c r="BI679" i="4"/>
  <c r="BI678" i="4"/>
  <c r="BI659" i="4"/>
  <c r="BI658" i="4"/>
  <c r="BI657" i="4"/>
  <c r="BI651" i="4"/>
  <c r="BI649" i="4"/>
  <c r="BI648" i="4"/>
  <c r="BI647" i="4"/>
  <c r="BI631" i="4"/>
  <c r="BI621" i="4"/>
  <c r="BI218" i="4"/>
  <c r="BI213" i="4"/>
  <c r="BI164" i="4"/>
  <c r="BI110" i="4"/>
  <c r="BI109" i="4"/>
  <c r="BI103" i="4"/>
  <c r="BI102" i="4"/>
  <c r="BI56" i="4"/>
  <c r="BI1032" i="4"/>
  <c r="BI1028" i="4"/>
  <c r="BI1024" i="4"/>
  <c r="BI1023" i="4"/>
  <c r="BI1022" i="4"/>
  <c r="BI1021" i="4"/>
  <c r="BI1020" i="4"/>
  <c r="BI1019" i="4"/>
  <c r="BI1013" i="4"/>
  <c r="BI1008" i="4"/>
  <c r="BI1007" i="4"/>
  <c r="BI1006" i="4"/>
  <c r="BI1005" i="4"/>
  <c r="BI1004" i="4"/>
  <c r="BI999" i="4"/>
  <c r="BI998" i="4"/>
  <c r="BI997" i="4"/>
  <c r="BI996" i="4"/>
  <c r="BI995" i="4"/>
  <c r="BI991" i="4"/>
  <c r="BI986" i="4"/>
  <c r="BI982" i="4"/>
  <c r="BI978" i="4"/>
  <c r="BI973" i="4"/>
  <c r="BI967" i="4"/>
  <c r="BI966" i="4"/>
  <c r="BI965" i="4"/>
  <c r="BI963" i="4"/>
  <c r="BI962" i="4"/>
  <c r="BI961" i="4"/>
  <c r="BI960" i="4"/>
  <c r="BI959" i="4"/>
  <c r="BI958" i="4"/>
  <c r="BI1059" i="4"/>
  <c r="BI1058" i="4"/>
  <c r="BI1057" i="4"/>
  <c r="BI1053" i="4"/>
  <c r="BI1047" i="4"/>
  <c r="BI957" i="4"/>
  <c r="BI956" i="4"/>
  <c r="BI955" i="4"/>
  <c r="BI954" i="4"/>
  <c r="BI953" i="4"/>
  <c r="BI947" i="4"/>
  <c r="BI946" i="4"/>
  <c r="BI945" i="4"/>
  <c r="BI944" i="4"/>
  <c r="BI943" i="4"/>
  <c r="BI942" i="4"/>
  <c r="BI941" i="4"/>
  <c r="BI940" i="4"/>
  <c r="BI939" i="4"/>
  <c r="BI938" i="4"/>
  <c r="BI937" i="4"/>
  <c r="BI883" i="4"/>
  <c r="BI879" i="4"/>
  <c r="BI878" i="4"/>
  <c r="BI874" i="4"/>
  <c r="BI873" i="4"/>
  <c r="BI872" i="4"/>
  <c r="BI868" i="4"/>
  <c r="BI808" i="4"/>
  <c r="BI781" i="4"/>
  <c r="BI776" i="4"/>
  <c r="BI768" i="4"/>
  <c r="BI762" i="4"/>
  <c r="BI756" i="4"/>
  <c r="BI751" i="4"/>
  <c r="BI750" i="4"/>
  <c r="BI737" i="4"/>
  <c r="BI733" i="4"/>
  <c r="BI729" i="4"/>
  <c r="BI725" i="4"/>
  <c r="BI724" i="4"/>
  <c r="BI723" i="4"/>
  <c r="BI716" i="4"/>
  <c r="BI715" i="4"/>
  <c r="BI714" i="4"/>
  <c r="BI708" i="4"/>
  <c r="BI704" i="4"/>
  <c r="BI697" i="4"/>
  <c r="BI696" i="4"/>
  <c r="BI695" i="4"/>
  <c r="BI690" i="4"/>
  <c r="BI689" i="4"/>
  <c r="BI683" i="4"/>
  <c r="BI682" i="4"/>
  <c r="BI676" i="4"/>
  <c r="BI675" i="4"/>
  <c r="BI674" i="4"/>
  <c r="BI673" i="4"/>
  <c r="BI672" i="4"/>
  <c r="BI671" i="4"/>
  <c r="BI670" i="4"/>
  <c r="BI669" i="4"/>
  <c r="BI668" i="4"/>
  <c r="BI667" i="4"/>
  <c r="BI666" i="4"/>
  <c r="BI665" i="4"/>
  <c r="BI664" i="4"/>
  <c r="BI663" i="4"/>
  <c r="BI662" i="4"/>
  <c r="BI661" i="4"/>
  <c r="BI655" i="4"/>
  <c r="BI654" i="4"/>
  <c r="BI645" i="4"/>
  <c r="BI644" i="4"/>
  <c r="BI643" i="4"/>
  <c r="BI642" i="4"/>
  <c r="BI641" i="4"/>
  <c r="BI640" i="4"/>
  <c r="BI639" i="4"/>
  <c r="BI638" i="4"/>
  <c r="BI637" i="4"/>
  <c r="BI636" i="4"/>
  <c r="BI635" i="4"/>
  <c r="BI634" i="4"/>
  <c r="BI633" i="4"/>
  <c r="BI629" i="4"/>
  <c r="BI628" i="4"/>
  <c r="BI626" i="4"/>
  <c r="BI625" i="4"/>
  <c r="BI624" i="4"/>
  <c r="BI933" i="4"/>
  <c r="BI921" i="4"/>
  <c r="BI915" i="4"/>
  <c r="BI914" i="4"/>
  <c r="BI913" i="4"/>
  <c r="BI905" i="4"/>
  <c r="BI901" i="4"/>
  <c r="BI897" i="4"/>
  <c r="BI896" i="4"/>
  <c r="BI892" i="4"/>
  <c r="BI889" i="4"/>
  <c r="BI888" i="4"/>
  <c r="BI864" i="4"/>
  <c r="BI859" i="4"/>
  <c r="BI858" i="4"/>
  <c r="BI849" i="4"/>
  <c r="BI848" i="4"/>
  <c r="BI847" i="4"/>
  <c r="BI843" i="4"/>
  <c r="BI842" i="4"/>
  <c r="BI841" i="4"/>
  <c r="BI837" i="4"/>
  <c r="BI836" i="4"/>
  <c r="BI835" i="4"/>
  <c r="BI834" i="4"/>
  <c r="BI833" i="4"/>
  <c r="BI820" i="4"/>
  <c r="BI819" i="4"/>
  <c r="BI814" i="4"/>
  <c r="BI800" i="4"/>
  <c r="BI799" i="4"/>
  <c r="BI798" i="4"/>
  <c r="BI609" i="4"/>
  <c r="BI608" i="4"/>
  <c r="BI607" i="4"/>
  <c r="BI606" i="4"/>
  <c r="BI601" i="4"/>
  <c r="BI600" i="4"/>
  <c r="BI599" i="4"/>
  <c r="BI598" i="4"/>
  <c r="BI597" i="4"/>
  <c r="BI595" i="4"/>
  <c r="BI587" i="4"/>
  <c r="BI581" i="4"/>
  <c r="BI577" i="4"/>
  <c r="BI576" i="4"/>
  <c r="BI575" i="4"/>
  <c r="BI573" i="4"/>
  <c r="BI572" i="4"/>
  <c r="BI568" i="4"/>
  <c r="BI560" i="4"/>
  <c r="BI556" i="4"/>
  <c r="BI555" i="4"/>
  <c r="BI554" i="4"/>
  <c r="BI549" i="4"/>
  <c r="BI548" i="4"/>
  <c r="BI539" i="4"/>
  <c r="BI534" i="4"/>
  <c r="BI530" i="4"/>
  <c r="BI526" i="4"/>
  <c r="BI521" i="4"/>
  <c r="BI515" i="4"/>
  <c r="BI514" i="4"/>
  <c r="BI513" i="4"/>
  <c r="BI509" i="4"/>
  <c r="BI508" i="4"/>
  <c r="BI507" i="4"/>
  <c r="BI506" i="4"/>
  <c r="BI505" i="4"/>
  <c r="BI504" i="4"/>
  <c r="BI503" i="4"/>
  <c r="BI502" i="4"/>
  <c r="BI501" i="4"/>
  <c r="BI500" i="4"/>
  <c r="BI499" i="4"/>
  <c r="BI495" i="4"/>
  <c r="BI494" i="4"/>
  <c r="BI493" i="4"/>
  <c r="BI492" i="4"/>
  <c r="BI491" i="4"/>
  <c r="BI490" i="4"/>
  <c r="BI489" i="4"/>
  <c r="BI488" i="4"/>
  <c r="BI487" i="4"/>
  <c r="BI486" i="4"/>
  <c r="BI485" i="4"/>
  <c r="BI484" i="4"/>
  <c r="BI483" i="4"/>
  <c r="BI482" i="4"/>
  <c r="BI481" i="4"/>
  <c r="BI480" i="4"/>
  <c r="BI479" i="4"/>
  <c r="BI478" i="4"/>
  <c r="BI477" i="4"/>
  <c r="BI476" i="4"/>
  <c r="BI475" i="4"/>
  <c r="BI474" i="4"/>
  <c r="BI473" i="4"/>
  <c r="BI471" i="4"/>
  <c r="BI470" i="4"/>
  <c r="BI469" i="4"/>
  <c r="BI468" i="4"/>
  <c r="BI467" i="4"/>
  <c r="BI466" i="4"/>
  <c r="BI462" i="4"/>
  <c r="BI453" i="4"/>
  <c r="BI449" i="4"/>
  <c r="BI445" i="4"/>
  <c r="BI444" i="4"/>
  <c r="BI443" i="4"/>
  <c r="BI436" i="4"/>
  <c r="BI435" i="4"/>
  <c r="BI434" i="4"/>
  <c r="BI433" i="4"/>
  <c r="BI429" i="4"/>
  <c r="BI425" i="4"/>
  <c r="BI421" i="4"/>
  <c r="BI417" i="4"/>
  <c r="BI413" i="4"/>
  <c r="BI408" i="4"/>
  <c r="BI401" i="4"/>
  <c r="BI400" i="4"/>
  <c r="BI393" i="4"/>
  <c r="BI392" i="4"/>
  <c r="BI385" i="4"/>
  <c r="BI216" i="4"/>
  <c r="BI183" i="4"/>
  <c r="BI179" i="4"/>
  <c r="BI178" i="4"/>
  <c r="BI176" i="4"/>
  <c r="BI175" i="4"/>
  <c r="BI174" i="4"/>
  <c r="BI173" i="4"/>
  <c r="BI172" i="4"/>
  <c r="BI170" i="4"/>
  <c r="BI166" i="4"/>
  <c r="BI143" i="4"/>
  <c r="BI139" i="4"/>
  <c r="BI135" i="4"/>
  <c r="BI131" i="4"/>
  <c r="BI130" i="4"/>
  <c r="BI124" i="4"/>
  <c r="BI123" i="4"/>
  <c r="BI117" i="4"/>
  <c r="BI116" i="4"/>
  <c r="BI115" i="4"/>
  <c r="BI114" i="4"/>
  <c r="BI113" i="4"/>
  <c r="BI80" i="4"/>
  <c r="BI76" i="4"/>
  <c r="BI71" i="4"/>
  <c r="BI70" i="4"/>
  <c r="BI69" i="4"/>
  <c r="BI65" i="4"/>
  <c r="BI64" i="4"/>
  <c r="BI63" i="4"/>
  <c r="BI62" i="4"/>
  <c r="BI61" i="4"/>
  <c r="BI60" i="4"/>
  <c r="BI59" i="4"/>
  <c r="BI33" i="4"/>
  <c r="BI29" i="4"/>
  <c r="BI23" i="4"/>
  <c r="BI22" i="4"/>
  <c r="BI21" i="4"/>
  <c r="BI20" i="4"/>
  <c r="BI19" i="4"/>
  <c r="BI18" i="4"/>
  <c r="BI17" i="4"/>
  <c r="BI16" i="4"/>
  <c r="BI379" i="4"/>
  <c r="BI378" i="4"/>
  <c r="BI370" i="4"/>
  <c r="BI369" i="4"/>
  <c r="BI362" i="4"/>
  <c r="BI361" i="4"/>
  <c r="BI359" i="4"/>
  <c r="BI358" i="4"/>
  <c r="BI357" i="4"/>
  <c r="BI354" i="4"/>
  <c r="BI352" i="4"/>
  <c r="BI350" i="4"/>
  <c r="BI348" i="4"/>
  <c r="BI346" i="4"/>
  <c r="BI344" i="4"/>
  <c r="BI342" i="4"/>
  <c r="BI333" i="4"/>
  <c r="BI317" i="4"/>
  <c r="BI309" i="4"/>
  <c r="BI301" i="4"/>
  <c r="BI293" i="4"/>
  <c r="BI285" i="4"/>
  <c r="BI277" i="4"/>
  <c r="BI276" i="4"/>
  <c r="BI269" i="4"/>
  <c r="BI268" i="4"/>
  <c r="BI261" i="4"/>
  <c r="BI260" i="4"/>
  <c r="BI259" i="4"/>
  <c r="BI257" i="4"/>
  <c r="BI256" i="4"/>
  <c r="BI255" i="4"/>
  <c r="BI254" i="4"/>
  <c r="BI253" i="4"/>
  <c r="BI252" i="4"/>
  <c r="BI251" i="4"/>
  <c r="BI250" i="4"/>
  <c r="BI249" i="4"/>
  <c r="BI248" i="4"/>
  <c r="BI247" i="4"/>
  <c r="BI245" i="4"/>
  <c r="BI244" i="4"/>
  <c r="BI243" i="4"/>
  <c r="BI242" i="4"/>
  <c r="BI241" i="4"/>
  <c r="BI240" i="4"/>
  <c r="BI239" i="4"/>
  <c r="BI238" i="4"/>
  <c r="BI237" i="4"/>
  <c r="BI236" i="4"/>
  <c r="BI228" i="4"/>
  <c r="BI227" i="4"/>
  <c r="BI226" i="4"/>
  <c r="BI225" i="4"/>
  <c r="BI224" i="4"/>
  <c r="BI223" i="4"/>
  <c r="BI222" i="4"/>
  <c r="BI221" i="4"/>
  <c r="BI220" i="4"/>
  <c r="BI219" i="4"/>
  <c r="BI209" i="4"/>
  <c r="BI203" i="4"/>
  <c r="BI202" i="4"/>
  <c r="BI198" i="4"/>
  <c r="BI197" i="4"/>
  <c r="BI196" i="4"/>
  <c r="BI191" i="4"/>
  <c r="BI190" i="4"/>
  <c r="BI159" i="4"/>
  <c r="BI154" i="4"/>
  <c r="BI153" i="4"/>
  <c r="BI152" i="4"/>
  <c r="BI147" i="4"/>
  <c r="BI98" i="4"/>
  <c r="BI97" i="4"/>
  <c r="BI96" i="4"/>
  <c r="BI88" i="4"/>
  <c r="BI84" i="4"/>
  <c r="BI50" i="4"/>
  <c r="BI49" i="4"/>
  <c r="BI41" i="4"/>
  <c r="BI40" i="4"/>
  <c r="BI39" i="4"/>
  <c r="BI10" i="4"/>
  <c r="BI9" i="4"/>
  <c r="BI543" i="4"/>
  <c r="BI407" i="4"/>
  <c r="BI403" i="4"/>
  <c r="BI399" i="4"/>
  <c r="BI395" i="4"/>
  <c r="BI391" i="4"/>
  <c r="BI387" i="4"/>
  <c r="BI381" i="4"/>
  <c r="BI270" i="4"/>
  <c r="BI58" i="4"/>
  <c r="BI11" i="4"/>
  <c r="BI177" i="4"/>
  <c r="BI42" i="4"/>
  <c r="BI887" i="4"/>
  <c r="BI653" i="4"/>
  <c r="BI650" i="4"/>
  <c r="BI596" i="4"/>
  <c r="BI412" i="4"/>
  <c r="BI377" i="4"/>
  <c r="BI373" i="4"/>
  <c r="BI368" i="4"/>
  <c r="BI364" i="4"/>
  <c r="BI360" i="4"/>
  <c r="BI356" i="4"/>
  <c r="BI274" i="4"/>
  <c r="BI266" i="4"/>
  <c r="BI262" i="4"/>
  <c r="BI258" i="4"/>
  <c r="BI246" i="4"/>
  <c r="BI171" i="4"/>
  <c r="BI122" i="4"/>
  <c r="BI104" i="4"/>
  <c r="BI15" i="4"/>
  <c r="BI14" i="4"/>
  <c r="BI7" i="4"/>
  <c r="BI807" i="4"/>
  <c r="BI722" i="4"/>
  <c r="BI681" i="4"/>
  <c r="BI457" i="4"/>
  <c r="BI440" i="4"/>
  <c r="BI195" i="4"/>
  <c r="BI146" i="4"/>
  <c r="BI82" i="4"/>
  <c r="BI46" i="4"/>
  <c r="BI355" i="4"/>
  <c r="BI351" i="4"/>
  <c r="BI347" i="4"/>
  <c r="BI343" i="4"/>
  <c r="BI339" i="4"/>
  <c r="BI334" i="4"/>
  <c r="BI330" i="4"/>
  <c r="BI318" i="4"/>
  <c r="BI314" i="4"/>
  <c r="BI310" i="4"/>
  <c r="BI306" i="4"/>
  <c r="BI302" i="4"/>
  <c r="BI298" i="4"/>
  <c r="BI294" i="4"/>
  <c r="BI290" i="4"/>
  <c r="BI286" i="4"/>
  <c r="BI282" i="4"/>
  <c r="BI278" i="4"/>
  <c r="BI353" i="4"/>
  <c r="BI349" i="4"/>
  <c r="BI345" i="4"/>
  <c r="BI341" i="4"/>
  <c r="BI336" i="4"/>
  <c r="BI332" i="4"/>
  <c r="BI320" i="4"/>
  <c r="BI316" i="4"/>
  <c r="BI312" i="4"/>
  <c r="BI308" i="4"/>
  <c r="BI304" i="4"/>
  <c r="BI300" i="4"/>
  <c r="BI296" i="4"/>
  <c r="BI292" i="4"/>
  <c r="BI288" i="4"/>
  <c r="BI284" i="4"/>
  <c r="BI280" i="4"/>
  <c r="BI3" i="4"/>
  <c r="I48" i="17"/>
  <c r="F48" i="17"/>
  <c r="A446" i="7"/>
  <c r="A532" i="7"/>
  <c r="R16" i="25" l="1"/>
  <c r="R17" i="25"/>
  <c r="R18" i="25"/>
  <c r="R19" i="25"/>
  <c r="R20" i="25"/>
  <c r="R21" i="25"/>
  <c r="O16" i="25"/>
  <c r="O17" i="25"/>
  <c r="O18" i="25"/>
  <c r="O19" i="25"/>
  <c r="O20" i="25"/>
  <c r="O21" i="25"/>
  <c r="R15" i="25"/>
  <c r="O15" i="25"/>
  <c r="E16" i="25"/>
  <c r="E17" i="25"/>
  <c r="E18" i="25"/>
  <c r="E19" i="25"/>
  <c r="E20" i="25"/>
  <c r="E21" i="25"/>
  <c r="G446" i="7"/>
  <c r="AE317" i="4" l="1"/>
  <c r="AI317" i="4"/>
  <c r="AM317" i="4"/>
  <c r="AQ317" i="4"/>
  <c r="AS317" i="4"/>
  <c r="AU317" i="4"/>
  <c r="AE318" i="4"/>
  <c r="AI318" i="4"/>
  <c r="AM318" i="4"/>
  <c r="AQ318" i="4"/>
  <c r="AS318" i="4"/>
  <c r="AU318" i="4"/>
  <c r="AE319" i="4"/>
  <c r="AI319" i="4"/>
  <c r="AM319" i="4"/>
  <c r="AQ319" i="4"/>
  <c r="AS319" i="4"/>
  <c r="AU319" i="4"/>
  <c r="AE320" i="4"/>
  <c r="AI320" i="4"/>
  <c r="AM320" i="4"/>
  <c r="AQ320" i="4"/>
  <c r="AS320" i="4"/>
  <c r="AU320" i="4"/>
  <c r="AE316" i="4"/>
  <c r="AI316" i="4"/>
  <c r="AM316" i="4"/>
  <c r="AQ316" i="4"/>
  <c r="AS316" i="4"/>
  <c r="AU316" i="4"/>
  <c r="C316" i="4"/>
  <c r="C317" i="4"/>
  <c r="C318" i="4"/>
  <c r="C319" i="4"/>
  <c r="C320" i="4"/>
  <c r="M86" i="2"/>
  <c r="F86" i="2"/>
  <c r="G86" i="2" s="1"/>
  <c r="AU198" i="4"/>
  <c r="AS198" i="4"/>
  <c r="AQ198" i="4"/>
  <c r="AM198" i="4"/>
  <c r="AI198" i="4"/>
  <c r="AE198" i="4"/>
  <c r="C198" i="4"/>
  <c r="AE430" i="4"/>
  <c r="AI430" i="4"/>
  <c r="AM430" i="4"/>
  <c r="AQ430" i="4"/>
  <c r="AS430" i="4"/>
  <c r="AU430" i="4"/>
  <c r="C430" i="4"/>
  <c r="AI426" i="4"/>
  <c r="AM426" i="4"/>
  <c r="AQ426" i="4"/>
  <c r="AS426" i="4"/>
  <c r="AU426" i="4"/>
  <c r="AE427" i="4"/>
  <c r="AI427" i="4"/>
  <c r="AM427" i="4"/>
  <c r="AQ427" i="4"/>
  <c r="AS427" i="4"/>
  <c r="AU427" i="4"/>
  <c r="C427" i="4"/>
  <c r="C426" i="4"/>
  <c r="AE424" i="4"/>
  <c r="AI424" i="4"/>
  <c r="AM424" i="4"/>
  <c r="AQ424" i="4"/>
  <c r="AS424" i="4"/>
  <c r="AU424" i="4"/>
  <c r="AE425" i="4"/>
  <c r="AI425" i="4"/>
  <c r="AM425" i="4"/>
  <c r="AQ425" i="4"/>
  <c r="AS425" i="4"/>
  <c r="AU425" i="4"/>
  <c r="AE428" i="4"/>
  <c r="AI428" i="4"/>
  <c r="AM428" i="4"/>
  <c r="AQ428" i="4"/>
  <c r="AS428" i="4"/>
  <c r="AU428" i="4"/>
  <c r="AE429" i="4"/>
  <c r="AI429" i="4"/>
  <c r="AM429" i="4"/>
  <c r="AQ429" i="4"/>
  <c r="AS429" i="4"/>
  <c r="AU429" i="4"/>
  <c r="AE431" i="4"/>
  <c r="AI431" i="4"/>
  <c r="AM431" i="4"/>
  <c r="AQ431" i="4"/>
  <c r="AS431" i="4"/>
  <c r="AU431" i="4"/>
  <c r="C424" i="4"/>
  <c r="C425" i="4"/>
  <c r="C428" i="4"/>
  <c r="C429" i="4"/>
  <c r="C431" i="4"/>
  <c r="M104" i="2"/>
  <c r="F104" i="2"/>
  <c r="G104" i="2" s="1"/>
  <c r="AV316" i="4" l="1"/>
  <c r="AV424" i="4"/>
  <c r="AV319" i="4"/>
  <c r="AV317" i="4"/>
  <c r="AV198" i="4"/>
  <c r="AV320" i="4"/>
  <c r="AV318" i="4"/>
  <c r="AV430" i="4"/>
  <c r="AV431" i="4"/>
  <c r="AV427" i="4"/>
  <c r="AV428" i="4"/>
  <c r="AV429" i="4"/>
  <c r="AV425" i="4"/>
  <c r="C99" i="1"/>
  <c r="I99" i="1" s="1"/>
  <c r="C71" i="1"/>
  <c r="I71" i="1" s="1"/>
  <c r="C72" i="1"/>
  <c r="I72" i="1" s="1"/>
  <c r="AE311" i="4" l="1"/>
  <c r="AI311" i="4"/>
  <c r="AM311" i="4"/>
  <c r="AQ311" i="4"/>
  <c r="AS311" i="4"/>
  <c r="AU311" i="4"/>
  <c r="AE312" i="4"/>
  <c r="AI312" i="4"/>
  <c r="AM312" i="4"/>
  <c r="AQ312" i="4"/>
  <c r="AS312" i="4"/>
  <c r="AU312" i="4"/>
  <c r="AE313" i="4"/>
  <c r="AI313" i="4"/>
  <c r="AM313" i="4"/>
  <c r="AQ313" i="4"/>
  <c r="AS313" i="4"/>
  <c r="AU313" i="4"/>
  <c r="AE314" i="4"/>
  <c r="AI314" i="4"/>
  <c r="AM314" i="4"/>
  <c r="AQ314" i="4"/>
  <c r="AS314" i="4"/>
  <c r="AU314" i="4"/>
  <c r="AE315" i="4"/>
  <c r="AI315" i="4"/>
  <c r="AM315" i="4"/>
  <c r="AQ315" i="4"/>
  <c r="AS315" i="4"/>
  <c r="AU315" i="4"/>
  <c r="C311" i="4"/>
  <c r="C312" i="4"/>
  <c r="C313" i="4"/>
  <c r="C314" i="4"/>
  <c r="C315" i="4"/>
  <c r="AE172" i="4"/>
  <c r="AI172" i="4"/>
  <c r="AM172" i="4"/>
  <c r="AQ172" i="4"/>
  <c r="AS172" i="4"/>
  <c r="AU172" i="4"/>
  <c r="AE173" i="4"/>
  <c r="AI173" i="4"/>
  <c r="AM173" i="4"/>
  <c r="AQ173" i="4"/>
  <c r="AS173" i="4"/>
  <c r="AU173" i="4"/>
  <c r="AE174" i="4"/>
  <c r="AI174" i="4"/>
  <c r="AM174" i="4"/>
  <c r="AQ174" i="4"/>
  <c r="AS174" i="4"/>
  <c r="AU174" i="4"/>
  <c r="AE175" i="4"/>
  <c r="AI175" i="4"/>
  <c r="AM175" i="4"/>
  <c r="AQ175" i="4"/>
  <c r="AS175" i="4"/>
  <c r="AU175" i="4"/>
  <c r="AE176" i="4"/>
  <c r="AI176" i="4"/>
  <c r="AM176" i="4"/>
  <c r="AQ176" i="4"/>
  <c r="AS176" i="4"/>
  <c r="AU176" i="4"/>
  <c r="I172" i="4"/>
  <c r="I173" i="4"/>
  <c r="I174" i="4"/>
  <c r="I175" i="4"/>
  <c r="I176" i="4"/>
  <c r="C172" i="4"/>
  <c r="C173" i="4"/>
  <c r="C174" i="4"/>
  <c r="C175" i="4"/>
  <c r="C176" i="4"/>
  <c r="M61" i="2"/>
  <c r="F61" i="2"/>
  <c r="G61" i="2" s="1"/>
  <c r="M85" i="2"/>
  <c r="F85" i="2"/>
  <c r="G85" i="2" s="1"/>
  <c r="H63" i="1"/>
  <c r="C63" i="1"/>
  <c r="I63" i="1" s="1"/>
  <c r="H253" i="1"/>
  <c r="AV311" i="4" l="1"/>
  <c r="AV315" i="4"/>
  <c r="AV313" i="4"/>
  <c r="AV314" i="4"/>
  <c r="AV312" i="4"/>
  <c r="AV172" i="4"/>
  <c r="AV176" i="4"/>
  <c r="AV174" i="4"/>
  <c r="AV175" i="4"/>
  <c r="AV173" i="4"/>
  <c r="AI14" i="17"/>
  <c r="A34" i="2"/>
  <c r="A32" i="2"/>
  <c r="A33" i="2"/>
  <c r="M31" i="2"/>
  <c r="F31" i="2"/>
  <c r="G31" i="2" s="1"/>
  <c r="M33" i="2"/>
  <c r="M15" i="2"/>
  <c r="F15" i="2"/>
  <c r="G15" i="2" s="1"/>
  <c r="M20" i="2"/>
  <c r="M19" i="2"/>
  <c r="M18" i="2"/>
  <c r="F18" i="2"/>
  <c r="G18" i="2" s="1"/>
  <c r="F912" i="19" l="1"/>
  <c r="E912" i="19"/>
  <c r="D912" i="19"/>
  <c r="C912" i="19"/>
  <c r="B912" i="19"/>
  <c r="F911" i="19"/>
  <c r="E911" i="19"/>
  <c r="D911" i="19"/>
  <c r="C911" i="19"/>
  <c r="B911" i="19"/>
  <c r="F910" i="19"/>
  <c r="E910" i="19"/>
  <c r="D910" i="19"/>
  <c r="C910" i="19"/>
  <c r="B910" i="19"/>
  <c r="F909" i="19"/>
  <c r="E909" i="19"/>
  <c r="D909" i="19"/>
  <c r="C909" i="19"/>
  <c r="B909" i="19"/>
  <c r="F908" i="19"/>
  <c r="E908" i="19"/>
  <c r="D908" i="19"/>
  <c r="C908" i="19"/>
  <c r="A908" i="19"/>
  <c r="B908" i="19" s="1"/>
  <c r="F907" i="19"/>
  <c r="E907" i="19"/>
  <c r="D907" i="19"/>
  <c r="C907" i="19"/>
  <c r="B907" i="19"/>
  <c r="F906" i="19"/>
  <c r="E906" i="19"/>
  <c r="D906" i="19"/>
  <c r="C906" i="19"/>
  <c r="B906" i="19"/>
  <c r="F905" i="19"/>
  <c r="E905" i="19"/>
  <c r="D905" i="19"/>
  <c r="C905" i="19"/>
  <c r="B905" i="19"/>
  <c r="F904" i="19"/>
  <c r="E904" i="19"/>
  <c r="D904" i="19"/>
  <c r="C904" i="19"/>
  <c r="A904" i="19"/>
  <c r="B904" i="19" s="1"/>
  <c r="F903" i="19"/>
  <c r="E903" i="19"/>
  <c r="D903" i="19"/>
  <c r="C903" i="19"/>
  <c r="A903" i="19"/>
  <c r="B903" i="19" s="1"/>
  <c r="F902" i="19"/>
  <c r="E902" i="19"/>
  <c r="D902" i="19"/>
  <c r="C902" i="19"/>
  <c r="A902" i="19"/>
  <c r="B902" i="19" s="1"/>
  <c r="F901" i="19"/>
  <c r="E901" i="19"/>
  <c r="D901" i="19"/>
  <c r="C901" i="19"/>
  <c r="A901" i="19"/>
  <c r="B901" i="19" s="1"/>
  <c r="F900" i="19"/>
  <c r="E900" i="19"/>
  <c r="D900" i="19"/>
  <c r="C900" i="19"/>
  <c r="A900" i="19"/>
  <c r="B900" i="19" s="1"/>
  <c r="F899" i="19"/>
  <c r="E899" i="19"/>
  <c r="D899" i="19"/>
  <c r="C899" i="19"/>
  <c r="A899" i="19"/>
  <c r="B899" i="19" s="1"/>
  <c r="F898" i="19"/>
  <c r="E898" i="19"/>
  <c r="D898" i="19"/>
  <c r="C898" i="19"/>
  <c r="A898" i="19"/>
  <c r="B898" i="19" s="1"/>
  <c r="F897" i="19"/>
  <c r="E897" i="19"/>
  <c r="D897" i="19"/>
  <c r="C897" i="19"/>
  <c r="B897" i="19"/>
  <c r="F896" i="19"/>
  <c r="E896" i="19"/>
  <c r="D896" i="19"/>
  <c r="C896" i="19"/>
  <c r="B896" i="19"/>
  <c r="F895" i="19"/>
  <c r="E895" i="19"/>
  <c r="D895" i="19"/>
  <c r="C895" i="19"/>
  <c r="B895" i="19"/>
  <c r="F894" i="19"/>
  <c r="E894" i="19"/>
  <c r="D894" i="19"/>
  <c r="C894" i="19"/>
  <c r="B894" i="19"/>
  <c r="F893" i="19"/>
  <c r="E893" i="19"/>
  <c r="D893" i="19"/>
  <c r="C893" i="19"/>
  <c r="B893" i="19"/>
  <c r="F892" i="19"/>
  <c r="E892" i="19"/>
  <c r="D892" i="19"/>
  <c r="C892" i="19"/>
  <c r="B892" i="19"/>
  <c r="F891" i="19"/>
  <c r="E891" i="19"/>
  <c r="D891" i="19"/>
  <c r="C891" i="19"/>
  <c r="B891" i="19"/>
  <c r="F890" i="19"/>
  <c r="E890" i="19"/>
  <c r="D890" i="19"/>
  <c r="C890" i="19"/>
  <c r="B890" i="19"/>
  <c r="F889" i="19"/>
  <c r="E889" i="19"/>
  <c r="D889" i="19"/>
  <c r="C889" i="19"/>
  <c r="B889" i="19"/>
  <c r="F888" i="19"/>
  <c r="E888" i="19"/>
  <c r="D888" i="19"/>
  <c r="C888" i="19"/>
  <c r="B888" i="19"/>
  <c r="F887" i="19"/>
  <c r="E887" i="19"/>
  <c r="D887" i="19"/>
  <c r="C887" i="19"/>
  <c r="B887" i="19"/>
  <c r="F886" i="19"/>
  <c r="E886" i="19"/>
  <c r="D886" i="19"/>
  <c r="C886" i="19"/>
  <c r="B886" i="19"/>
  <c r="F885" i="19"/>
  <c r="E885" i="19"/>
  <c r="D885" i="19"/>
  <c r="C885" i="19"/>
  <c r="B885" i="19"/>
  <c r="F884" i="19"/>
  <c r="E884" i="19"/>
  <c r="D884" i="19"/>
  <c r="C884" i="19"/>
  <c r="B884" i="19"/>
  <c r="F883" i="19"/>
  <c r="E883" i="19"/>
  <c r="D883" i="19"/>
  <c r="C883" i="19"/>
  <c r="B883" i="19"/>
  <c r="F882" i="19"/>
  <c r="E882" i="19"/>
  <c r="D882" i="19"/>
  <c r="C882" i="19"/>
  <c r="B882" i="19"/>
  <c r="F881" i="19"/>
  <c r="E881" i="19"/>
  <c r="D881" i="19"/>
  <c r="C881" i="19"/>
  <c r="B881" i="19"/>
  <c r="F880" i="19"/>
  <c r="E880" i="19"/>
  <c r="D880" i="19"/>
  <c r="C880" i="19"/>
  <c r="B880" i="19"/>
  <c r="F879" i="19"/>
  <c r="E879" i="19"/>
  <c r="D879" i="19"/>
  <c r="C879" i="19"/>
  <c r="B879" i="19"/>
  <c r="F878" i="19"/>
  <c r="E878" i="19"/>
  <c r="D878" i="19"/>
  <c r="C878" i="19"/>
  <c r="B878" i="19"/>
  <c r="F877" i="19"/>
  <c r="E877" i="19"/>
  <c r="D877" i="19"/>
  <c r="C877" i="19"/>
  <c r="B877" i="19"/>
  <c r="F876" i="19"/>
  <c r="E876" i="19"/>
  <c r="D876" i="19"/>
  <c r="C876" i="19"/>
  <c r="B876" i="19"/>
  <c r="F875" i="19"/>
  <c r="E875" i="19"/>
  <c r="D875" i="19"/>
  <c r="C875" i="19"/>
  <c r="B875" i="19"/>
  <c r="F874" i="19"/>
  <c r="E874" i="19"/>
  <c r="D874" i="19"/>
  <c r="C874" i="19"/>
  <c r="B874" i="19"/>
  <c r="F873" i="19"/>
  <c r="E873" i="19"/>
  <c r="D873" i="19"/>
  <c r="C873" i="19"/>
  <c r="B873" i="19"/>
  <c r="F872" i="19"/>
  <c r="E872" i="19"/>
  <c r="D872" i="19"/>
  <c r="C872" i="19"/>
  <c r="B872" i="19"/>
  <c r="F871" i="19"/>
  <c r="E871" i="19"/>
  <c r="D871" i="19"/>
  <c r="C871" i="19"/>
  <c r="B871" i="19"/>
  <c r="F870" i="19"/>
  <c r="E870" i="19"/>
  <c r="D870" i="19"/>
  <c r="C870" i="19"/>
  <c r="B870" i="19"/>
  <c r="F869" i="19"/>
  <c r="E869" i="19"/>
  <c r="D869" i="19"/>
  <c r="C869" i="19"/>
  <c r="B869" i="19"/>
  <c r="F868" i="19"/>
  <c r="E868" i="19"/>
  <c r="D868" i="19"/>
  <c r="C868" i="19"/>
  <c r="B868" i="19"/>
  <c r="F867" i="19"/>
  <c r="E867" i="19"/>
  <c r="D867" i="19"/>
  <c r="C867" i="19"/>
  <c r="B867" i="19"/>
  <c r="F866" i="19"/>
  <c r="E866" i="19"/>
  <c r="D866" i="19"/>
  <c r="C866" i="19"/>
  <c r="B866" i="19"/>
  <c r="F865" i="19"/>
  <c r="E865" i="19"/>
  <c r="D865" i="19"/>
  <c r="C865" i="19"/>
  <c r="B865" i="19"/>
  <c r="F864" i="19"/>
  <c r="E864" i="19"/>
  <c r="D864" i="19"/>
  <c r="C864" i="19"/>
  <c r="B864" i="19"/>
  <c r="F863" i="19"/>
  <c r="E863" i="19"/>
  <c r="D863" i="19"/>
  <c r="C863" i="19"/>
  <c r="B863" i="19"/>
  <c r="F862" i="19"/>
  <c r="E862" i="19"/>
  <c r="D862" i="19"/>
  <c r="C862" i="19"/>
  <c r="B862" i="19"/>
  <c r="F861" i="19"/>
  <c r="E861" i="19"/>
  <c r="D861" i="19"/>
  <c r="C861" i="19"/>
  <c r="B861" i="19"/>
  <c r="F860" i="19"/>
  <c r="E860" i="19"/>
  <c r="D860" i="19"/>
  <c r="C860" i="19"/>
  <c r="B860" i="19"/>
  <c r="F859" i="19"/>
  <c r="E859" i="19"/>
  <c r="D859" i="19"/>
  <c r="C859" i="19"/>
  <c r="B859" i="19"/>
  <c r="F858" i="19"/>
  <c r="E858" i="19"/>
  <c r="D858" i="19"/>
  <c r="C858" i="19"/>
  <c r="B858" i="19"/>
  <c r="F857" i="19"/>
  <c r="E857" i="19"/>
  <c r="D857" i="19"/>
  <c r="C857" i="19"/>
  <c r="B857" i="19"/>
  <c r="F856" i="19"/>
  <c r="E856" i="19"/>
  <c r="D856" i="19"/>
  <c r="C856" i="19"/>
  <c r="B856" i="19"/>
  <c r="F855" i="19"/>
  <c r="E855" i="19"/>
  <c r="D855" i="19"/>
  <c r="C855" i="19"/>
  <c r="B855" i="19"/>
  <c r="F854" i="19"/>
  <c r="E854" i="19"/>
  <c r="D854" i="19"/>
  <c r="C854" i="19"/>
  <c r="B854" i="19"/>
  <c r="F853" i="19"/>
  <c r="E853" i="19"/>
  <c r="D853" i="19"/>
  <c r="C853" i="19"/>
  <c r="B853" i="19"/>
  <c r="F852" i="19"/>
  <c r="E852" i="19"/>
  <c r="D852" i="19"/>
  <c r="C852" i="19"/>
  <c r="B852" i="19"/>
  <c r="F851" i="19"/>
  <c r="E851" i="19"/>
  <c r="D851" i="19"/>
  <c r="C851" i="19"/>
  <c r="B851" i="19"/>
  <c r="F850" i="19"/>
  <c r="E850" i="19"/>
  <c r="D850" i="19"/>
  <c r="C850" i="19"/>
  <c r="B850" i="19"/>
  <c r="F849" i="19"/>
  <c r="E849" i="19"/>
  <c r="D849" i="19"/>
  <c r="C849" i="19"/>
  <c r="B849" i="19"/>
  <c r="F848" i="19"/>
  <c r="E848" i="19"/>
  <c r="D848" i="19"/>
  <c r="C848" i="19"/>
  <c r="B848" i="19"/>
  <c r="F847" i="19"/>
  <c r="E847" i="19"/>
  <c r="D847" i="19"/>
  <c r="C847" i="19"/>
  <c r="B847" i="19"/>
  <c r="F846" i="19"/>
  <c r="E846" i="19"/>
  <c r="D846" i="19"/>
  <c r="C846" i="19"/>
  <c r="B846" i="19"/>
  <c r="F845" i="19"/>
  <c r="E845" i="19"/>
  <c r="D845" i="19"/>
  <c r="C845" i="19"/>
  <c r="B845" i="19"/>
  <c r="F844" i="19"/>
  <c r="E844" i="19"/>
  <c r="D844" i="19"/>
  <c r="C844" i="19"/>
  <c r="B844" i="19"/>
  <c r="F843" i="19"/>
  <c r="E843" i="19"/>
  <c r="D843" i="19"/>
  <c r="C843" i="19"/>
  <c r="B843" i="19"/>
  <c r="F842" i="19"/>
  <c r="E842" i="19"/>
  <c r="D842" i="19"/>
  <c r="C842" i="19"/>
  <c r="B842" i="19"/>
  <c r="F841" i="19"/>
  <c r="E841" i="19"/>
  <c r="D841" i="19"/>
  <c r="C841" i="19"/>
  <c r="B841" i="19"/>
  <c r="F840" i="19"/>
  <c r="E840" i="19"/>
  <c r="D840" i="19"/>
  <c r="C840" i="19"/>
  <c r="B840" i="19"/>
  <c r="F839" i="19"/>
  <c r="E839" i="19"/>
  <c r="D839" i="19"/>
  <c r="C839" i="19"/>
  <c r="B839" i="19"/>
  <c r="F838" i="19"/>
  <c r="E838" i="19"/>
  <c r="D838" i="19"/>
  <c r="C838" i="19"/>
  <c r="B838" i="19"/>
  <c r="F837" i="19"/>
  <c r="E837" i="19"/>
  <c r="D837" i="19"/>
  <c r="C837" i="19"/>
  <c r="B837" i="19"/>
  <c r="F836" i="19"/>
  <c r="E836" i="19"/>
  <c r="D836" i="19"/>
  <c r="C836" i="19"/>
  <c r="B836" i="19"/>
  <c r="F835" i="19"/>
  <c r="E835" i="19"/>
  <c r="D835" i="19"/>
  <c r="C835" i="19"/>
  <c r="B835" i="19"/>
  <c r="F834" i="19"/>
  <c r="E834" i="19"/>
  <c r="D834" i="19"/>
  <c r="C834" i="19"/>
  <c r="B834" i="19"/>
  <c r="F833" i="19"/>
  <c r="E833" i="19"/>
  <c r="D833" i="19"/>
  <c r="C833" i="19"/>
  <c r="B833" i="19"/>
  <c r="F832" i="19"/>
  <c r="E832" i="19"/>
  <c r="D832" i="19"/>
  <c r="C832" i="19"/>
  <c r="B832" i="19"/>
  <c r="F831" i="19"/>
  <c r="E831" i="19"/>
  <c r="D831" i="19"/>
  <c r="C831" i="19"/>
  <c r="B831" i="19"/>
  <c r="F830" i="19"/>
  <c r="E830" i="19"/>
  <c r="D830" i="19"/>
  <c r="C830" i="19"/>
  <c r="B830" i="19"/>
  <c r="F829" i="19"/>
  <c r="E829" i="19"/>
  <c r="D829" i="19"/>
  <c r="C829" i="19"/>
  <c r="B829" i="19"/>
  <c r="F828" i="19"/>
  <c r="E828" i="19"/>
  <c r="D828" i="19"/>
  <c r="C828" i="19"/>
  <c r="B828" i="19"/>
  <c r="F827" i="19"/>
  <c r="E827" i="19"/>
  <c r="D827" i="19"/>
  <c r="C827" i="19"/>
  <c r="B827" i="19"/>
  <c r="F826" i="19"/>
  <c r="E826" i="19"/>
  <c r="D826" i="19"/>
  <c r="C826" i="19"/>
  <c r="B826" i="19"/>
  <c r="F825" i="19"/>
  <c r="E825" i="19"/>
  <c r="D825" i="19"/>
  <c r="C825" i="19"/>
  <c r="B825" i="19"/>
  <c r="F824" i="19"/>
  <c r="E824" i="19"/>
  <c r="D824" i="19"/>
  <c r="C824" i="19"/>
  <c r="B824" i="19"/>
  <c r="F823" i="19"/>
  <c r="E823" i="19"/>
  <c r="D823" i="19"/>
  <c r="C823" i="19"/>
  <c r="B823" i="19"/>
  <c r="F822" i="19"/>
  <c r="E822" i="19"/>
  <c r="D822" i="19"/>
  <c r="C822" i="19"/>
  <c r="B822" i="19"/>
  <c r="F821" i="19"/>
  <c r="E821" i="19"/>
  <c r="D821" i="19"/>
  <c r="C821" i="19"/>
  <c r="B821" i="19"/>
  <c r="F820" i="19"/>
  <c r="E820" i="19"/>
  <c r="D820" i="19"/>
  <c r="C820" i="19"/>
  <c r="B820" i="19"/>
  <c r="F819" i="19"/>
  <c r="E819" i="19"/>
  <c r="D819" i="19"/>
  <c r="C819" i="19"/>
  <c r="B819" i="19"/>
  <c r="F818" i="19"/>
  <c r="E818" i="19"/>
  <c r="D818" i="19"/>
  <c r="C818" i="19"/>
  <c r="B818" i="19"/>
  <c r="F817" i="19"/>
  <c r="E817" i="19"/>
  <c r="D817" i="19"/>
  <c r="C817" i="19"/>
  <c r="B817" i="19"/>
  <c r="F816" i="19"/>
  <c r="E816" i="19"/>
  <c r="D816" i="19"/>
  <c r="C816" i="19"/>
  <c r="B816" i="19"/>
  <c r="F815" i="19"/>
  <c r="E815" i="19"/>
  <c r="D815" i="19"/>
  <c r="C815" i="19"/>
  <c r="B815" i="19"/>
  <c r="F814" i="19"/>
  <c r="E814" i="19"/>
  <c r="D814" i="19"/>
  <c r="C814" i="19"/>
  <c r="B814" i="19"/>
  <c r="F813" i="19"/>
  <c r="E813" i="19"/>
  <c r="D813" i="19"/>
  <c r="C813" i="19"/>
  <c r="B813" i="19"/>
  <c r="F812" i="19"/>
  <c r="E812" i="19"/>
  <c r="D812" i="19"/>
  <c r="C812" i="19"/>
  <c r="B812" i="19"/>
  <c r="F811" i="19"/>
  <c r="E811" i="19"/>
  <c r="D811" i="19"/>
  <c r="C811" i="19"/>
  <c r="B811" i="19"/>
  <c r="F810" i="19"/>
  <c r="E810" i="19"/>
  <c r="D810" i="19"/>
  <c r="C810" i="19"/>
  <c r="B810" i="19"/>
  <c r="F809" i="19"/>
  <c r="E809" i="19"/>
  <c r="D809" i="19"/>
  <c r="C809" i="19"/>
  <c r="B809" i="19"/>
  <c r="F808" i="19"/>
  <c r="E808" i="19"/>
  <c r="D808" i="19"/>
  <c r="C808" i="19"/>
  <c r="B808" i="19"/>
  <c r="F807" i="19"/>
  <c r="E807" i="19"/>
  <c r="D807" i="19"/>
  <c r="C807" i="19"/>
  <c r="B807" i="19"/>
  <c r="F806" i="19"/>
  <c r="E806" i="19"/>
  <c r="D806" i="19"/>
  <c r="C806" i="19"/>
  <c r="B806" i="19"/>
  <c r="F805" i="19"/>
  <c r="E805" i="19"/>
  <c r="D805" i="19"/>
  <c r="C805" i="19"/>
  <c r="B805" i="19"/>
  <c r="F804" i="19"/>
  <c r="E804" i="19"/>
  <c r="D804" i="19"/>
  <c r="C804" i="19"/>
  <c r="B804" i="19"/>
  <c r="F803" i="19"/>
  <c r="E803" i="19"/>
  <c r="D803" i="19"/>
  <c r="C803" i="19"/>
  <c r="B803" i="19"/>
  <c r="F802" i="19"/>
  <c r="E802" i="19"/>
  <c r="D802" i="19"/>
  <c r="C802" i="19"/>
  <c r="B802" i="19"/>
  <c r="F801" i="19"/>
  <c r="E801" i="19"/>
  <c r="D801" i="19"/>
  <c r="C801" i="19"/>
  <c r="B801" i="19"/>
  <c r="F800" i="19"/>
  <c r="E800" i="19"/>
  <c r="D800" i="19"/>
  <c r="C800" i="19"/>
  <c r="B800" i="19"/>
  <c r="F799" i="19"/>
  <c r="E799" i="19"/>
  <c r="D799" i="19"/>
  <c r="C799" i="19"/>
  <c r="B799" i="19"/>
  <c r="F798" i="19"/>
  <c r="E798" i="19"/>
  <c r="D798" i="19"/>
  <c r="C798" i="19"/>
  <c r="B798" i="19"/>
  <c r="F797" i="19"/>
  <c r="E797" i="19"/>
  <c r="D797" i="19"/>
  <c r="C797" i="19"/>
  <c r="B797" i="19"/>
  <c r="F796" i="19"/>
  <c r="E796" i="19"/>
  <c r="D796" i="19"/>
  <c r="C796" i="19"/>
  <c r="B796" i="19"/>
  <c r="F795" i="19"/>
  <c r="E795" i="19"/>
  <c r="D795" i="19"/>
  <c r="C795" i="19"/>
  <c r="B795" i="19"/>
  <c r="F794" i="19"/>
  <c r="E794" i="19"/>
  <c r="D794" i="19"/>
  <c r="C794" i="19"/>
  <c r="B794" i="19"/>
  <c r="F793" i="19"/>
  <c r="E793" i="19"/>
  <c r="D793" i="19"/>
  <c r="C793" i="19"/>
  <c r="B793" i="19"/>
  <c r="F792" i="19"/>
  <c r="E792" i="19"/>
  <c r="D792" i="19"/>
  <c r="C792" i="19"/>
  <c r="B792" i="19"/>
  <c r="F791" i="19"/>
  <c r="E791" i="19"/>
  <c r="D791" i="19"/>
  <c r="C791" i="19"/>
  <c r="B791" i="19"/>
  <c r="F790" i="19"/>
  <c r="E790" i="19"/>
  <c r="D790" i="19"/>
  <c r="C790" i="19"/>
  <c r="B790" i="19"/>
  <c r="F789" i="19"/>
  <c r="E789" i="19"/>
  <c r="D789" i="19"/>
  <c r="C789" i="19"/>
  <c r="B789" i="19"/>
  <c r="F788" i="19"/>
  <c r="E788" i="19"/>
  <c r="D788" i="19"/>
  <c r="C788" i="19"/>
  <c r="B788" i="19"/>
  <c r="F787" i="19"/>
  <c r="E787" i="19"/>
  <c r="D787" i="19"/>
  <c r="C787" i="19"/>
  <c r="B787" i="19"/>
  <c r="F786" i="19"/>
  <c r="E786" i="19"/>
  <c r="D786" i="19"/>
  <c r="C786" i="19"/>
  <c r="B786" i="19"/>
  <c r="F785" i="19"/>
  <c r="E785" i="19"/>
  <c r="D785" i="19"/>
  <c r="C785" i="19"/>
  <c r="B785" i="19"/>
  <c r="F784" i="19"/>
  <c r="E784" i="19"/>
  <c r="D784" i="19"/>
  <c r="C784" i="19"/>
  <c r="B784" i="19"/>
  <c r="F783" i="19"/>
  <c r="E783" i="19"/>
  <c r="D783" i="19"/>
  <c r="C783" i="19"/>
  <c r="B783" i="19"/>
  <c r="F782" i="19"/>
  <c r="E782" i="19"/>
  <c r="D782" i="19"/>
  <c r="C782" i="19"/>
  <c r="B782" i="19"/>
  <c r="F781" i="19"/>
  <c r="E781" i="19"/>
  <c r="D781" i="19"/>
  <c r="C781" i="19"/>
  <c r="B781" i="19"/>
  <c r="F780" i="19"/>
  <c r="E780" i="19"/>
  <c r="D780" i="19"/>
  <c r="C780" i="19"/>
  <c r="B780" i="19"/>
  <c r="F779" i="19"/>
  <c r="E779" i="19"/>
  <c r="D779" i="19"/>
  <c r="C779" i="19"/>
  <c r="B779" i="19"/>
  <c r="F778" i="19"/>
  <c r="E778" i="19"/>
  <c r="D778" i="19"/>
  <c r="C778" i="19"/>
  <c r="B778" i="19"/>
  <c r="F777" i="19"/>
  <c r="E777" i="19"/>
  <c r="D777" i="19"/>
  <c r="C777" i="19"/>
  <c r="B777" i="19"/>
  <c r="F776" i="19"/>
  <c r="E776" i="19"/>
  <c r="D776" i="19"/>
  <c r="C776" i="19"/>
  <c r="B776" i="19"/>
  <c r="F775" i="19"/>
  <c r="E775" i="19"/>
  <c r="D775" i="19"/>
  <c r="C775" i="19"/>
  <c r="B775" i="19"/>
  <c r="F774" i="19"/>
  <c r="E774" i="19"/>
  <c r="D774" i="19"/>
  <c r="C774" i="19"/>
  <c r="B774" i="19"/>
  <c r="F773" i="19"/>
  <c r="E773" i="19"/>
  <c r="D773" i="19"/>
  <c r="C773" i="19"/>
  <c r="B773" i="19"/>
  <c r="F771" i="19"/>
  <c r="E771" i="19"/>
  <c r="D771" i="19"/>
  <c r="C771" i="19"/>
  <c r="B771" i="19"/>
  <c r="F770" i="19"/>
  <c r="E770" i="19"/>
  <c r="D770" i="19"/>
  <c r="C770" i="19"/>
  <c r="B770" i="19"/>
  <c r="F769" i="19"/>
  <c r="E769" i="19"/>
  <c r="D769" i="19"/>
  <c r="C769" i="19"/>
  <c r="B769" i="19"/>
  <c r="F768" i="19"/>
  <c r="E768" i="19"/>
  <c r="D768" i="19"/>
  <c r="C768" i="19"/>
  <c r="B768" i="19"/>
  <c r="F767" i="19"/>
  <c r="E767" i="19"/>
  <c r="D767" i="19"/>
  <c r="C767" i="19"/>
  <c r="B767" i="19"/>
  <c r="F766" i="19"/>
  <c r="E766" i="19"/>
  <c r="D766" i="19"/>
  <c r="C766" i="19"/>
  <c r="B766" i="19"/>
  <c r="F765" i="19"/>
  <c r="E765" i="19"/>
  <c r="D765" i="19"/>
  <c r="C765" i="19"/>
  <c r="B765" i="19"/>
  <c r="F764" i="19"/>
  <c r="E764" i="19"/>
  <c r="D764" i="19"/>
  <c r="C764" i="19"/>
  <c r="B764" i="19"/>
  <c r="F763" i="19"/>
  <c r="E763" i="19"/>
  <c r="D763" i="19"/>
  <c r="C763" i="19"/>
  <c r="B763" i="19"/>
  <c r="F762" i="19"/>
  <c r="E762" i="19"/>
  <c r="D762" i="19"/>
  <c r="C762" i="19"/>
  <c r="B762" i="19"/>
  <c r="F761" i="19"/>
  <c r="E761" i="19"/>
  <c r="D761" i="19"/>
  <c r="C761" i="19"/>
  <c r="B761" i="19"/>
  <c r="F760" i="19"/>
  <c r="E760" i="19"/>
  <c r="D760" i="19"/>
  <c r="C760" i="19"/>
  <c r="B760" i="19"/>
  <c r="F759" i="19"/>
  <c r="E759" i="19"/>
  <c r="D759" i="19"/>
  <c r="C759" i="19"/>
  <c r="B759" i="19"/>
  <c r="F758" i="19"/>
  <c r="E758" i="19"/>
  <c r="D758" i="19"/>
  <c r="C758" i="19"/>
  <c r="B758" i="19"/>
  <c r="F757" i="19"/>
  <c r="E757" i="19"/>
  <c r="D757" i="19"/>
  <c r="C757" i="19"/>
  <c r="B757" i="19"/>
  <c r="F756" i="19"/>
  <c r="E756" i="19"/>
  <c r="D756" i="19"/>
  <c r="C756" i="19"/>
  <c r="B756" i="19"/>
  <c r="F755" i="19"/>
  <c r="E755" i="19"/>
  <c r="D755" i="19"/>
  <c r="C755" i="19"/>
  <c r="B755" i="19"/>
  <c r="F754" i="19"/>
  <c r="E754" i="19"/>
  <c r="D754" i="19"/>
  <c r="C754" i="19"/>
  <c r="B754" i="19"/>
  <c r="F753" i="19"/>
  <c r="E753" i="19"/>
  <c r="D753" i="19"/>
  <c r="C753" i="19"/>
  <c r="B753" i="19"/>
  <c r="F752" i="19"/>
  <c r="E752" i="19"/>
  <c r="D752" i="19"/>
  <c r="C752" i="19"/>
  <c r="B752" i="19"/>
  <c r="F751" i="19"/>
  <c r="E751" i="19"/>
  <c r="D751" i="19"/>
  <c r="C751" i="19"/>
  <c r="B751" i="19"/>
  <c r="F750" i="19"/>
  <c r="E750" i="19"/>
  <c r="D750" i="19"/>
  <c r="C750" i="19"/>
  <c r="B750" i="19"/>
  <c r="F749" i="19"/>
  <c r="E749" i="19"/>
  <c r="D749" i="19"/>
  <c r="C749" i="19"/>
  <c r="B749" i="19"/>
  <c r="F748" i="19"/>
  <c r="E748" i="19"/>
  <c r="D748" i="19"/>
  <c r="C748" i="19"/>
  <c r="B748" i="19"/>
  <c r="F747" i="19"/>
  <c r="E747" i="19"/>
  <c r="D747" i="19"/>
  <c r="C747" i="19"/>
  <c r="B747" i="19"/>
  <c r="F746" i="19"/>
  <c r="E746" i="19"/>
  <c r="D746" i="19"/>
  <c r="C746" i="19"/>
  <c r="B746" i="19"/>
  <c r="F745" i="19"/>
  <c r="E745" i="19"/>
  <c r="D745" i="19"/>
  <c r="C745" i="19"/>
  <c r="B745" i="19"/>
  <c r="F744" i="19"/>
  <c r="E744" i="19"/>
  <c r="D744" i="19"/>
  <c r="C744" i="19"/>
  <c r="B744" i="19"/>
  <c r="F743" i="19"/>
  <c r="E743" i="19"/>
  <c r="D743" i="19"/>
  <c r="C743" i="19"/>
  <c r="B743" i="19"/>
  <c r="F742" i="19"/>
  <c r="E742" i="19"/>
  <c r="D742" i="19"/>
  <c r="C742" i="19"/>
  <c r="B742" i="19"/>
  <c r="F741" i="19"/>
  <c r="E741" i="19"/>
  <c r="D741" i="19"/>
  <c r="C741" i="19"/>
  <c r="B741" i="19"/>
  <c r="F740" i="19"/>
  <c r="E740" i="19"/>
  <c r="D740" i="19"/>
  <c r="C740" i="19"/>
  <c r="B740" i="19"/>
  <c r="F738" i="19"/>
  <c r="E738" i="19"/>
  <c r="D738" i="19"/>
  <c r="C738" i="19"/>
  <c r="B738" i="19"/>
  <c r="F737" i="19"/>
  <c r="E737" i="19"/>
  <c r="D737" i="19"/>
  <c r="C737" i="19"/>
  <c r="B737" i="19"/>
  <c r="F736" i="19"/>
  <c r="E736" i="19"/>
  <c r="D736" i="19"/>
  <c r="C736" i="19"/>
  <c r="B736" i="19"/>
  <c r="F735" i="19"/>
  <c r="E735" i="19"/>
  <c r="D735" i="19"/>
  <c r="C735" i="19"/>
  <c r="A735" i="19"/>
  <c r="B735" i="19" s="1"/>
  <c r="F734" i="19"/>
  <c r="E734" i="19"/>
  <c r="D734" i="19"/>
  <c r="C734" i="19"/>
  <c r="B734" i="19"/>
  <c r="F733" i="19"/>
  <c r="E733" i="19"/>
  <c r="D733" i="19"/>
  <c r="C733" i="19"/>
  <c r="B733" i="19"/>
  <c r="F732" i="19"/>
  <c r="E732" i="19"/>
  <c r="D732" i="19"/>
  <c r="C732" i="19"/>
  <c r="B732" i="19"/>
  <c r="F731" i="19"/>
  <c r="E731" i="19"/>
  <c r="D731" i="19"/>
  <c r="C731" i="19"/>
  <c r="B731" i="19"/>
  <c r="F729" i="19"/>
  <c r="E729" i="19"/>
  <c r="D729" i="19"/>
  <c r="C729" i="19"/>
  <c r="B729" i="19"/>
  <c r="F728" i="19"/>
  <c r="E728" i="19"/>
  <c r="D728" i="19"/>
  <c r="C728" i="19"/>
  <c r="B728" i="19"/>
  <c r="F727" i="19"/>
  <c r="E727" i="19"/>
  <c r="D727" i="19"/>
  <c r="C727" i="19"/>
  <c r="B727" i="19"/>
  <c r="F726" i="19"/>
  <c r="E726" i="19"/>
  <c r="D726" i="19"/>
  <c r="C726" i="19"/>
  <c r="B726" i="19"/>
  <c r="F725" i="19"/>
  <c r="E725" i="19"/>
  <c r="D725" i="19"/>
  <c r="C725" i="19"/>
  <c r="B725" i="19"/>
  <c r="F724" i="19"/>
  <c r="E724" i="19"/>
  <c r="D724" i="19"/>
  <c r="C724" i="19"/>
  <c r="B724" i="19"/>
  <c r="F723" i="19"/>
  <c r="E723" i="19"/>
  <c r="D723" i="19"/>
  <c r="C723" i="19"/>
  <c r="B723" i="19"/>
  <c r="F722" i="19"/>
  <c r="E722" i="19"/>
  <c r="D722" i="19"/>
  <c r="C722" i="19"/>
  <c r="B722" i="19"/>
  <c r="F721" i="19"/>
  <c r="E721" i="19"/>
  <c r="D721" i="19"/>
  <c r="C721" i="19"/>
  <c r="B721" i="19"/>
  <c r="F720" i="19"/>
  <c r="E720" i="19"/>
  <c r="D720" i="19"/>
  <c r="C720" i="19"/>
  <c r="B720" i="19"/>
  <c r="F719" i="19"/>
  <c r="E719" i="19"/>
  <c r="D719" i="19"/>
  <c r="C719" i="19"/>
  <c r="B719" i="19"/>
  <c r="F718" i="19"/>
  <c r="E718" i="19"/>
  <c r="D718" i="19"/>
  <c r="C718" i="19"/>
  <c r="B718" i="19"/>
  <c r="F717" i="19"/>
  <c r="E717" i="19"/>
  <c r="D717" i="19"/>
  <c r="C717" i="19"/>
  <c r="B717" i="19"/>
  <c r="F716" i="19"/>
  <c r="E716" i="19"/>
  <c r="D716" i="19"/>
  <c r="C716" i="19"/>
  <c r="B716" i="19"/>
  <c r="F715" i="19"/>
  <c r="E715" i="19"/>
  <c r="D715" i="19"/>
  <c r="C715" i="19"/>
  <c r="B715" i="19"/>
  <c r="F714" i="19"/>
  <c r="E714" i="19"/>
  <c r="D714" i="19"/>
  <c r="C714" i="19"/>
  <c r="B714" i="19"/>
  <c r="F713" i="19"/>
  <c r="E713" i="19"/>
  <c r="D713" i="19"/>
  <c r="C713" i="19"/>
  <c r="B713" i="19"/>
  <c r="F712" i="19"/>
  <c r="E712" i="19"/>
  <c r="D712" i="19"/>
  <c r="C712" i="19"/>
  <c r="B712" i="19"/>
  <c r="F711" i="19"/>
  <c r="E711" i="19"/>
  <c r="D711" i="19"/>
  <c r="C711" i="19"/>
  <c r="B711" i="19"/>
  <c r="F710" i="19"/>
  <c r="E710" i="19"/>
  <c r="D710" i="19"/>
  <c r="C710" i="19"/>
  <c r="B710" i="19"/>
  <c r="F709" i="19"/>
  <c r="E709" i="19"/>
  <c r="D709" i="19"/>
  <c r="C709" i="19"/>
  <c r="B709" i="19"/>
  <c r="F708" i="19"/>
  <c r="E708" i="19"/>
  <c r="D708" i="19"/>
  <c r="C708" i="19"/>
  <c r="B708" i="19"/>
  <c r="F707" i="19"/>
  <c r="E707" i="19"/>
  <c r="D707" i="19"/>
  <c r="C707" i="19"/>
  <c r="B707" i="19"/>
  <c r="F706" i="19"/>
  <c r="E706" i="19"/>
  <c r="D706" i="19"/>
  <c r="C706" i="19"/>
  <c r="B706" i="19"/>
  <c r="F705" i="19"/>
  <c r="E705" i="19"/>
  <c r="D705" i="19"/>
  <c r="C705" i="19"/>
  <c r="B705" i="19"/>
  <c r="F704" i="19"/>
  <c r="E704" i="19"/>
  <c r="D704" i="19"/>
  <c r="C704" i="19"/>
  <c r="B704" i="19"/>
  <c r="F703" i="19"/>
  <c r="E703" i="19"/>
  <c r="D703" i="19"/>
  <c r="C703" i="19"/>
  <c r="B703" i="19"/>
  <c r="F702" i="19"/>
  <c r="E702" i="19"/>
  <c r="D702" i="19"/>
  <c r="C702" i="19"/>
  <c r="B702" i="19"/>
  <c r="F701" i="19"/>
  <c r="E701" i="19"/>
  <c r="D701" i="19"/>
  <c r="C701" i="19"/>
  <c r="B701" i="19"/>
  <c r="F700" i="19"/>
  <c r="E700" i="19"/>
  <c r="D700" i="19"/>
  <c r="C700" i="19"/>
  <c r="B700" i="19"/>
  <c r="F699" i="19"/>
  <c r="E699" i="19"/>
  <c r="D699" i="19"/>
  <c r="C699" i="19"/>
  <c r="B699" i="19"/>
  <c r="F698" i="19"/>
  <c r="E698" i="19"/>
  <c r="D698" i="19"/>
  <c r="C698" i="19"/>
  <c r="B698" i="19"/>
  <c r="F697" i="19"/>
  <c r="E697" i="19"/>
  <c r="D697" i="19"/>
  <c r="C697" i="19"/>
  <c r="B697" i="19"/>
  <c r="F696" i="19"/>
  <c r="E696" i="19"/>
  <c r="D696" i="19"/>
  <c r="C696" i="19"/>
  <c r="B696" i="19"/>
  <c r="F695" i="19"/>
  <c r="E695" i="19"/>
  <c r="D695" i="19"/>
  <c r="C695" i="19"/>
  <c r="B695" i="19"/>
  <c r="F694" i="19"/>
  <c r="E694" i="19"/>
  <c r="D694" i="19"/>
  <c r="C694" i="19"/>
  <c r="B694" i="19"/>
  <c r="F693" i="19"/>
  <c r="E693" i="19"/>
  <c r="D693" i="19"/>
  <c r="C693" i="19"/>
  <c r="B693" i="19"/>
  <c r="F692" i="19"/>
  <c r="E692" i="19"/>
  <c r="D692" i="19"/>
  <c r="C692" i="19"/>
  <c r="B692" i="19"/>
  <c r="F691" i="19"/>
  <c r="E691" i="19"/>
  <c r="D691" i="19"/>
  <c r="C691" i="19"/>
  <c r="B691" i="19"/>
  <c r="F690" i="19"/>
  <c r="E690" i="19"/>
  <c r="D690" i="19"/>
  <c r="C690" i="19"/>
  <c r="B690" i="19"/>
  <c r="F689" i="19"/>
  <c r="E689" i="19"/>
  <c r="D689" i="19"/>
  <c r="C689" i="19"/>
  <c r="B689" i="19"/>
  <c r="F688" i="19"/>
  <c r="E688" i="19"/>
  <c r="D688" i="19"/>
  <c r="C688" i="19"/>
  <c r="B688" i="19"/>
  <c r="F687" i="19"/>
  <c r="E687" i="19"/>
  <c r="D687" i="19"/>
  <c r="C687" i="19"/>
  <c r="B687" i="19"/>
  <c r="F686" i="19"/>
  <c r="E686" i="19"/>
  <c r="D686" i="19"/>
  <c r="C686" i="19"/>
  <c r="B686" i="19"/>
  <c r="F685" i="19"/>
  <c r="E685" i="19"/>
  <c r="D685" i="19"/>
  <c r="C685" i="19"/>
  <c r="B685" i="19"/>
  <c r="F684" i="19"/>
  <c r="E684" i="19"/>
  <c r="D684" i="19"/>
  <c r="C684" i="19"/>
  <c r="B684" i="19"/>
  <c r="F683" i="19"/>
  <c r="E683" i="19"/>
  <c r="D683" i="19"/>
  <c r="C683" i="19"/>
  <c r="B683" i="19"/>
  <c r="F682" i="19"/>
  <c r="E682" i="19"/>
  <c r="D682" i="19"/>
  <c r="C682" i="19"/>
  <c r="B682" i="19"/>
  <c r="F681" i="19"/>
  <c r="E681" i="19"/>
  <c r="D681" i="19"/>
  <c r="C681" i="19"/>
  <c r="B681" i="19"/>
  <c r="F680" i="19"/>
  <c r="E680" i="19"/>
  <c r="D680" i="19"/>
  <c r="C680" i="19"/>
  <c r="B680" i="19"/>
  <c r="F679" i="19"/>
  <c r="E679" i="19"/>
  <c r="D679" i="19"/>
  <c r="C679" i="19"/>
  <c r="B679" i="19"/>
  <c r="F678" i="19"/>
  <c r="E678" i="19"/>
  <c r="D678" i="19"/>
  <c r="C678" i="19"/>
  <c r="B678" i="19"/>
  <c r="F677" i="19"/>
  <c r="E677" i="19"/>
  <c r="D677" i="19"/>
  <c r="C677" i="19"/>
  <c r="B677" i="19"/>
  <c r="F676" i="19"/>
  <c r="E676" i="19"/>
  <c r="D676" i="19"/>
  <c r="C676" i="19"/>
  <c r="B676" i="19"/>
  <c r="F675" i="19"/>
  <c r="E675" i="19"/>
  <c r="D675" i="19"/>
  <c r="C675" i="19"/>
  <c r="B675" i="19"/>
  <c r="F674" i="19"/>
  <c r="E674" i="19"/>
  <c r="D674" i="19"/>
  <c r="C674" i="19"/>
  <c r="B674" i="19"/>
  <c r="F673" i="19"/>
  <c r="E673" i="19"/>
  <c r="D673" i="19"/>
  <c r="C673" i="19"/>
  <c r="B673" i="19"/>
  <c r="F672" i="19"/>
  <c r="E672" i="19"/>
  <c r="D672" i="19"/>
  <c r="C672" i="19"/>
  <c r="B672" i="19"/>
  <c r="F671" i="19"/>
  <c r="E671" i="19"/>
  <c r="D671" i="19"/>
  <c r="C671" i="19"/>
  <c r="B671" i="19"/>
  <c r="F670" i="19"/>
  <c r="E670" i="19"/>
  <c r="D670" i="19"/>
  <c r="C670" i="19"/>
  <c r="B670" i="19"/>
  <c r="F669" i="19"/>
  <c r="E669" i="19"/>
  <c r="D669" i="19"/>
  <c r="C669" i="19"/>
  <c r="B669" i="19"/>
  <c r="F668" i="19"/>
  <c r="E668" i="19"/>
  <c r="D668" i="19"/>
  <c r="C668" i="19"/>
  <c r="B668" i="19"/>
  <c r="F667" i="19"/>
  <c r="E667" i="19"/>
  <c r="D667" i="19"/>
  <c r="C667" i="19"/>
  <c r="B667" i="19"/>
  <c r="F666" i="19"/>
  <c r="E666" i="19"/>
  <c r="D666" i="19"/>
  <c r="C666" i="19"/>
  <c r="B666" i="19"/>
  <c r="F665" i="19"/>
  <c r="E665" i="19"/>
  <c r="D665" i="19"/>
  <c r="C665" i="19"/>
  <c r="B665" i="19"/>
  <c r="F664" i="19"/>
  <c r="E664" i="19"/>
  <c r="D664" i="19"/>
  <c r="C664" i="19"/>
  <c r="B664" i="19"/>
  <c r="F663" i="19"/>
  <c r="E663" i="19"/>
  <c r="D663" i="19"/>
  <c r="C663" i="19"/>
  <c r="B663" i="19"/>
  <c r="F662" i="19"/>
  <c r="E662" i="19"/>
  <c r="D662" i="19"/>
  <c r="C662" i="19"/>
  <c r="B662" i="19"/>
  <c r="F661" i="19"/>
  <c r="E661" i="19"/>
  <c r="D661" i="19"/>
  <c r="C661" i="19"/>
  <c r="B661" i="19"/>
  <c r="F660" i="19"/>
  <c r="E660" i="19"/>
  <c r="D660" i="19"/>
  <c r="C660" i="19"/>
  <c r="B660" i="19"/>
  <c r="F659" i="19"/>
  <c r="E659" i="19"/>
  <c r="D659" i="19"/>
  <c r="C659" i="19"/>
  <c r="B659" i="19"/>
  <c r="F658" i="19"/>
  <c r="E658" i="19"/>
  <c r="D658" i="19"/>
  <c r="C658" i="19"/>
  <c r="B658" i="19"/>
  <c r="F657" i="19"/>
  <c r="E657" i="19"/>
  <c r="D657" i="19"/>
  <c r="C657" i="19"/>
  <c r="B657" i="19"/>
  <c r="F656" i="19"/>
  <c r="E656" i="19"/>
  <c r="D656" i="19"/>
  <c r="C656" i="19"/>
  <c r="B656" i="19"/>
  <c r="F655" i="19"/>
  <c r="E655" i="19"/>
  <c r="D655" i="19"/>
  <c r="C655" i="19"/>
  <c r="B655" i="19"/>
  <c r="F654" i="19"/>
  <c r="E654" i="19"/>
  <c r="D654" i="19"/>
  <c r="C654" i="19"/>
  <c r="B654" i="19"/>
  <c r="F653" i="19"/>
  <c r="E653" i="19"/>
  <c r="D653" i="19"/>
  <c r="C653" i="19"/>
  <c r="B653" i="19"/>
  <c r="F652" i="19"/>
  <c r="E652" i="19"/>
  <c r="D652" i="19"/>
  <c r="C652" i="19"/>
  <c r="B652" i="19"/>
  <c r="F651" i="19"/>
  <c r="E651" i="19"/>
  <c r="D651" i="19"/>
  <c r="C651" i="19"/>
  <c r="B651" i="19"/>
  <c r="F650" i="19"/>
  <c r="E650" i="19"/>
  <c r="D650" i="19"/>
  <c r="C650" i="19"/>
  <c r="B650" i="19"/>
  <c r="F649" i="19"/>
  <c r="E649" i="19"/>
  <c r="D649" i="19"/>
  <c r="C649" i="19"/>
  <c r="B649" i="19"/>
  <c r="F648" i="19"/>
  <c r="E648" i="19"/>
  <c r="D648" i="19"/>
  <c r="C648" i="19"/>
  <c r="B648" i="19"/>
  <c r="F647" i="19"/>
  <c r="E647" i="19"/>
  <c r="D647" i="19"/>
  <c r="C647" i="19"/>
  <c r="B647" i="19"/>
  <c r="F646" i="19"/>
  <c r="E646" i="19"/>
  <c r="D646" i="19"/>
  <c r="C646" i="19"/>
  <c r="B646" i="19"/>
  <c r="F645" i="19"/>
  <c r="E645" i="19"/>
  <c r="D645" i="19"/>
  <c r="C645" i="19"/>
  <c r="B645" i="19"/>
  <c r="F644" i="19"/>
  <c r="E644" i="19"/>
  <c r="D644" i="19"/>
  <c r="C644" i="19"/>
  <c r="B644" i="19"/>
  <c r="F643" i="19"/>
  <c r="E643" i="19"/>
  <c r="D643" i="19"/>
  <c r="C643" i="19"/>
  <c r="B643" i="19"/>
  <c r="F642" i="19"/>
  <c r="E642" i="19"/>
  <c r="D642" i="19"/>
  <c r="C642" i="19"/>
  <c r="B642" i="19"/>
  <c r="F641" i="19"/>
  <c r="E641" i="19"/>
  <c r="D641" i="19"/>
  <c r="C641" i="19"/>
  <c r="B641" i="19"/>
  <c r="F640" i="19"/>
  <c r="E640" i="19"/>
  <c r="D640" i="19"/>
  <c r="C640" i="19"/>
  <c r="B640" i="19"/>
  <c r="F639" i="19"/>
  <c r="E639" i="19"/>
  <c r="D639" i="19"/>
  <c r="C639" i="19"/>
  <c r="B639" i="19"/>
  <c r="F638" i="19"/>
  <c r="E638" i="19"/>
  <c r="D638" i="19"/>
  <c r="C638" i="19"/>
  <c r="B638" i="19"/>
  <c r="F637" i="19"/>
  <c r="E637" i="19"/>
  <c r="D637" i="19"/>
  <c r="C637" i="19"/>
  <c r="B637" i="19"/>
  <c r="F636" i="19"/>
  <c r="E636" i="19"/>
  <c r="D636" i="19"/>
  <c r="C636" i="19"/>
  <c r="A636" i="19"/>
  <c r="B636" i="19" s="1"/>
  <c r="F635" i="19"/>
  <c r="E635" i="19"/>
  <c r="D635" i="19"/>
  <c r="C635" i="19"/>
  <c r="B635" i="19"/>
  <c r="F634" i="19"/>
  <c r="E634" i="19"/>
  <c r="D634" i="19"/>
  <c r="C634" i="19"/>
  <c r="B634" i="19"/>
  <c r="F633" i="19"/>
  <c r="E633" i="19"/>
  <c r="D633" i="19"/>
  <c r="C633" i="19"/>
  <c r="B633" i="19"/>
  <c r="F632" i="19"/>
  <c r="E632" i="19"/>
  <c r="D632" i="19"/>
  <c r="C632" i="19"/>
  <c r="B632" i="19"/>
  <c r="F631" i="19"/>
  <c r="E631" i="19"/>
  <c r="D631" i="19"/>
  <c r="C631" i="19"/>
  <c r="B631" i="19"/>
  <c r="F630" i="19"/>
  <c r="E630" i="19"/>
  <c r="D630" i="19"/>
  <c r="C630" i="19"/>
  <c r="B630" i="19"/>
  <c r="F629" i="19"/>
  <c r="E629" i="19"/>
  <c r="D629" i="19"/>
  <c r="C629" i="19"/>
  <c r="B629" i="19"/>
  <c r="F628" i="19"/>
  <c r="E628" i="19"/>
  <c r="D628" i="19"/>
  <c r="C628" i="19"/>
  <c r="B628" i="19"/>
  <c r="F627" i="19"/>
  <c r="E627" i="19"/>
  <c r="D627" i="19"/>
  <c r="C627" i="19"/>
  <c r="B627" i="19"/>
  <c r="F626" i="19"/>
  <c r="E626" i="19"/>
  <c r="D626" i="19"/>
  <c r="C626" i="19"/>
  <c r="B626" i="19"/>
  <c r="F625" i="19"/>
  <c r="E625" i="19"/>
  <c r="D625" i="19"/>
  <c r="C625" i="19"/>
  <c r="B625" i="19"/>
  <c r="F624" i="19"/>
  <c r="E624" i="19"/>
  <c r="D624" i="19"/>
  <c r="C624" i="19"/>
  <c r="B624" i="19"/>
  <c r="F623" i="19"/>
  <c r="E623" i="19"/>
  <c r="D623" i="19"/>
  <c r="C623" i="19"/>
  <c r="B623" i="19"/>
  <c r="F622" i="19"/>
  <c r="E622" i="19"/>
  <c r="D622" i="19"/>
  <c r="C622" i="19"/>
  <c r="B622" i="19"/>
  <c r="F621" i="19"/>
  <c r="E621" i="19"/>
  <c r="D621" i="19"/>
  <c r="C621" i="19"/>
  <c r="B621" i="19"/>
  <c r="F620" i="19"/>
  <c r="E620" i="19"/>
  <c r="D620" i="19"/>
  <c r="C620" i="19"/>
  <c r="B620" i="19"/>
  <c r="F619" i="19"/>
  <c r="E619" i="19"/>
  <c r="D619" i="19"/>
  <c r="C619" i="19"/>
  <c r="B619" i="19"/>
  <c r="F618" i="19"/>
  <c r="E618" i="19"/>
  <c r="D618" i="19"/>
  <c r="C618" i="19"/>
  <c r="B618" i="19"/>
  <c r="F617" i="19"/>
  <c r="E617" i="19"/>
  <c r="D617" i="19"/>
  <c r="C617" i="19"/>
  <c r="B617" i="19"/>
  <c r="F616" i="19"/>
  <c r="E616" i="19"/>
  <c r="D616" i="19"/>
  <c r="C616" i="19"/>
  <c r="B616" i="19"/>
  <c r="F615" i="19"/>
  <c r="E615" i="19"/>
  <c r="D615" i="19"/>
  <c r="C615" i="19"/>
  <c r="B615" i="19"/>
  <c r="F614" i="19"/>
  <c r="E614" i="19"/>
  <c r="D614" i="19"/>
  <c r="C614" i="19"/>
  <c r="B614" i="19"/>
  <c r="F613" i="19"/>
  <c r="E613" i="19"/>
  <c r="D613" i="19"/>
  <c r="C613" i="19"/>
  <c r="B613" i="19"/>
  <c r="F612" i="19"/>
  <c r="E612" i="19"/>
  <c r="D612" i="19"/>
  <c r="C612" i="19"/>
  <c r="B612" i="19"/>
  <c r="F611" i="19"/>
  <c r="E611" i="19"/>
  <c r="D611" i="19"/>
  <c r="C611" i="19"/>
  <c r="B611" i="19"/>
  <c r="F610" i="19"/>
  <c r="E610" i="19"/>
  <c r="D610" i="19"/>
  <c r="C610" i="19"/>
  <c r="B610" i="19"/>
  <c r="F609" i="19"/>
  <c r="E609" i="19"/>
  <c r="D609" i="19"/>
  <c r="C609" i="19"/>
  <c r="B609" i="19"/>
  <c r="F608" i="19"/>
  <c r="E608" i="19"/>
  <c r="D608" i="19"/>
  <c r="C608" i="19"/>
  <c r="B608" i="19"/>
  <c r="F607" i="19"/>
  <c r="E607" i="19"/>
  <c r="D607" i="19"/>
  <c r="C607" i="19"/>
  <c r="B607" i="19"/>
  <c r="F606" i="19"/>
  <c r="E606" i="19"/>
  <c r="D606" i="19"/>
  <c r="C606" i="19"/>
  <c r="B606" i="19"/>
  <c r="F605" i="19"/>
  <c r="E605" i="19"/>
  <c r="D605" i="19"/>
  <c r="C605" i="19"/>
  <c r="B605" i="19"/>
  <c r="F604" i="19"/>
  <c r="E604" i="19"/>
  <c r="D604" i="19"/>
  <c r="C604" i="19"/>
  <c r="B604" i="19"/>
  <c r="F603" i="19"/>
  <c r="E603" i="19"/>
  <c r="D603" i="19"/>
  <c r="C603" i="19"/>
  <c r="B603" i="19"/>
  <c r="F602" i="19"/>
  <c r="E602" i="19"/>
  <c r="D602" i="19"/>
  <c r="C602" i="19"/>
  <c r="B602" i="19"/>
  <c r="F601" i="19"/>
  <c r="E601" i="19"/>
  <c r="D601" i="19"/>
  <c r="C601" i="19"/>
  <c r="B601" i="19"/>
  <c r="F600" i="19"/>
  <c r="E600" i="19"/>
  <c r="D600" i="19"/>
  <c r="C600" i="19"/>
  <c r="B600" i="19"/>
  <c r="F599" i="19"/>
  <c r="E599" i="19"/>
  <c r="D599" i="19"/>
  <c r="C599" i="19"/>
  <c r="B599" i="19"/>
  <c r="F598" i="19"/>
  <c r="E598" i="19"/>
  <c r="D598" i="19"/>
  <c r="C598" i="19"/>
  <c r="B598" i="19"/>
  <c r="F597" i="19"/>
  <c r="E597" i="19"/>
  <c r="D597" i="19"/>
  <c r="C597" i="19"/>
  <c r="B597" i="19"/>
  <c r="F596" i="19"/>
  <c r="E596" i="19"/>
  <c r="D596" i="19"/>
  <c r="C596" i="19"/>
  <c r="B596" i="19"/>
  <c r="F595" i="19"/>
  <c r="E595" i="19"/>
  <c r="D595" i="19"/>
  <c r="C595" i="19"/>
  <c r="B595" i="19"/>
  <c r="F594" i="19"/>
  <c r="E594" i="19"/>
  <c r="D594" i="19"/>
  <c r="C594" i="19"/>
  <c r="B594" i="19"/>
  <c r="F593" i="19"/>
  <c r="E593" i="19"/>
  <c r="D593" i="19"/>
  <c r="C593" i="19"/>
  <c r="B593" i="19"/>
  <c r="F592" i="19"/>
  <c r="E592" i="19"/>
  <c r="D592" i="19"/>
  <c r="C592" i="19"/>
  <c r="B592" i="19"/>
  <c r="F591" i="19"/>
  <c r="E591" i="19"/>
  <c r="D591" i="19"/>
  <c r="C591" i="19"/>
  <c r="B591" i="19"/>
  <c r="F590" i="19"/>
  <c r="E590" i="19"/>
  <c r="D590" i="19"/>
  <c r="C590" i="19"/>
  <c r="B590" i="19"/>
  <c r="F589" i="19"/>
  <c r="E589" i="19"/>
  <c r="D589" i="19"/>
  <c r="C589" i="19"/>
  <c r="B589" i="19"/>
  <c r="F588" i="19"/>
  <c r="E588" i="19"/>
  <c r="D588" i="19"/>
  <c r="C588" i="19"/>
  <c r="B588" i="19"/>
  <c r="F587" i="19"/>
  <c r="E587" i="19"/>
  <c r="D587" i="19"/>
  <c r="C587" i="19"/>
  <c r="B587" i="19"/>
  <c r="F586" i="19"/>
  <c r="E586" i="19"/>
  <c r="D586" i="19"/>
  <c r="C586" i="19"/>
  <c r="B586" i="19"/>
  <c r="F585" i="19"/>
  <c r="E585" i="19"/>
  <c r="D585" i="19"/>
  <c r="C585" i="19"/>
  <c r="B585" i="19"/>
  <c r="F584" i="19"/>
  <c r="E584" i="19"/>
  <c r="D584" i="19"/>
  <c r="C584" i="19"/>
  <c r="B584" i="19"/>
  <c r="F583" i="19"/>
  <c r="E583" i="19"/>
  <c r="D583" i="19"/>
  <c r="C583" i="19"/>
  <c r="B583" i="19"/>
  <c r="F582" i="19"/>
  <c r="E582" i="19"/>
  <c r="D582" i="19"/>
  <c r="C582" i="19"/>
  <c r="B582" i="19"/>
  <c r="F581" i="19"/>
  <c r="E581" i="19"/>
  <c r="D581" i="19"/>
  <c r="C581" i="19"/>
  <c r="B581" i="19"/>
  <c r="F580" i="19"/>
  <c r="E580" i="19"/>
  <c r="D580" i="19"/>
  <c r="C580" i="19"/>
  <c r="B580" i="19"/>
  <c r="F579" i="19"/>
  <c r="E579" i="19"/>
  <c r="D579" i="19"/>
  <c r="C579" i="19"/>
  <c r="B579" i="19"/>
  <c r="F578" i="19"/>
  <c r="E578" i="19"/>
  <c r="D578" i="19"/>
  <c r="C578" i="19"/>
  <c r="B578" i="19"/>
  <c r="F577" i="19"/>
  <c r="E577" i="19"/>
  <c r="D577" i="19"/>
  <c r="C577" i="19"/>
  <c r="B577" i="19"/>
  <c r="F576" i="19"/>
  <c r="E576" i="19"/>
  <c r="D576" i="19"/>
  <c r="C576" i="19"/>
  <c r="B576" i="19"/>
  <c r="F575" i="19"/>
  <c r="E575" i="19"/>
  <c r="D575" i="19"/>
  <c r="C575" i="19"/>
  <c r="B575" i="19"/>
  <c r="F574" i="19"/>
  <c r="E574" i="19"/>
  <c r="D574" i="19"/>
  <c r="C574" i="19"/>
  <c r="B574" i="19"/>
  <c r="F573" i="19"/>
  <c r="E573" i="19"/>
  <c r="D573" i="19"/>
  <c r="C573" i="19"/>
  <c r="B573" i="19"/>
  <c r="F572" i="19"/>
  <c r="E572" i="19"/>
  <c r="D572" i="19"/>
  <c r="C572" i="19"/>
  <c r="B572" i="19"/>
  <c r="F571" i="19"/>
  <c r="E571" i="19"/>
  <c r="D571" i="19"/>
  <c r="C571" i="19"/>
  <c r="B571" i="19"/>
  <c r="F570" i="19"/>
  <c r="E570" i="19"/>
  <c r="D570" i="19"/>
  <c r="C570" i="19"/>
  <c r="B570" i="19"/>
  <c r="F569" i="19"/>
  <c r="E569" i="19"/>
  <c r="D569" i="19"/>
  <c r="C569" i="19"/>
  <c r="B569" i="19"/>
  <c r="F568" i="19"/>
  <c r="E568" i="19"/>
  <c r="D568" i="19"/>
  <c r="C568" i="19"/>
  <c r="B568" i="19"/>
  <c r="F567" i="19"/>
  <c r="E567" i="19"/>
  <c r="D567" i="19"/>
  <c r="C567" i="19"/>
  <c r="B567" i="19"/>
  <c r="F566" i="19"/>
  <c r="E566" i="19"/>
  <c r="D566" i="19"/>
  <c r="C566" i="19"/>
  <c r="B566" i="19"/>
  <c r="F565" i="19"/>
  <c r="E565" i="19"/>
  <c r="D565" i="19"/>
  <c r="C565" i="19"/>
  <c r="B565" i="19"/>
  <c r="F564" i="19"/>
  <c r="E564" i="19"/>
  <c r="D564" i="19"/>
  <c r="C564" i="19"/>
  <c r="B564" i="19"/>
  <c r="F563" i="19"/>
  <c r="E563" i="19"/>
  <c r="D563" i="19"/>
  <c r="C563" i="19"/>
  <c r="B563" i="19"/>
  <c r="F562" i="19"/>
  <c r="E562" i="19"/>
  <c r="D562" i="19"/>
  <c r="C562" i="19"/>
  <c r="B562" i="19"/>
  <c r="F561" i="19"/>
  <c r="E561" i="19"/>
  <c r="D561" i="19"/>
  <c r="C561" i="19"/>
  <c r="B561" i="19"/>
  <c r="F560" i="19"/>
  <c r="E560" i="19"/>
  <c r="D560" i="19"/>
  <c r="C560" i="19"/>
  <c r="B560" i="19"/>
  <c r="F559" i="19"/>
  <c r="E559" i="19"/>
  <c r="D559" i="19"/>
  <c r="C559" i="19"/>
  <c r="B559" i="19"/>
  <c r="F558" i="19"/>
  <c r="E558" i="19"/>
  <c r="D558" i="19"/>
  <c r="C558" i="19"/>
  <c r="B558" i="19"/>
  <c r="F557" i="19"/>
  <c r="E557" i="19"/>
  <c r="D557" i="19"/>
  <c r="C557" i="19"/>
  <c r="B557" i="19"/>
  <c r="F556" i="19"/>
  <c r="E556" i="19"/>
  <c r="D556" i="19"/>
  <c r="C556" i="19"/>
  <c r="B556" i="19"/>
  <c r="F555" i="19"/>
  <c r="E555" i="19"/>
  <c r="D555" i="19"/>
  <c r="C555" i="19"/>
  <c r="B555" i="19"/>
  <c r="F554" i="19"/>
  <c r="E554" i="19"/>
  <c r="D554" i="19"/>
  <c r="C554" i="19"/>
  <c r="B554" i="19"/>
  <c r="F553" i="19"/>
  <c r="E553" i="19"/>
  <c r="D553" i="19"/>
  <c r="C553" i="19"/>
  <c r="B553" i="19"/>
  <c r="F552" i="19"/>
  <c r="E552" i="19"/>
  <c r="D552" i="19"/>
  <c r="C552" i="19"/>
  <c r="B552" i="19"/>
  <c r="F551" i="19"/>
  <c r="E551" i="19"/>
  <c r="D551" i="19"/>
  <c r="C551" i="19"/>
  <c r="B551" i="19"/>
  <c r="F550" i="19"/>
  <c r="E550" i="19"/>
  <c r="D550" i="19"/>
  <c r="C550" i="19"/>
  <c r="B550" i="19"/>
  <c r="F549" i="19"/>
  <c r="E549" i="19"/>
  <c r="D549" i="19"/>
  <c r="C549" i="19"/>
  <c r="B549" i="19"/>
  <c r="F548" i="19"/>
  <c r="E548" i="19"/>
  <c r="D548" i="19"/>
  <c r="C548" i="19"/>
  <c r="B548" i="19"/>
  <c r="F547" i="19"/>
  <c r="E547" i="19"/>
  <c r="D547" i="19"/>
  <c r="C547" i="19"/>
  <c r="B547" i="19"/>
  <c r="F546" i="19"/>
  <c r="E546" i="19"/>
  <c r="D546" i="19"/>
  <c r="C546" i="19"/>
  <c r="B546" i="19"/>
  <c r="F545" i="19"/>
  <c r="E545" i="19"/>
  <c r="D545" i="19"/>
  <c r="C545" i="19"/>
  <c r="B545" i="19"/>
  <c r="F544" i="19"/>
  <c r="E544" i="19"/>
  <c r="D544" i="19"/>
  <c r="C544" i="19"/>
  <c r="B544" i="19"/>
  <c r="F543" i="19"/>
  <c r="E543" i="19"/>
  <c r="D543" i="19"/>
  <c r="C543" i="19"/>
  <c r="B543" i="19"/>
  <c r="F542" i="19"/>
  <c r="E542" i="19"/>
  <c r="D542" i="19"/>
  <c r="C542" i="19"/>
  <c r="B542" i="19"/>
  <c r="F541" i="19"/>
  <c r="E541" i="19"/>
  <c r="D541" i="19"/>
  <c r="C541" i="19"/>
  <c r="B541" i="19"/>
  <c r="F540" i="19"/>
  <c r="E540" i="19"/>
  <c r="D540" i="19"/>
  <c r="C540" i="19"/>
  <c r="B540" i="19"/>
  <c r="F539" i="19"/>
  <c r="E539" i="19"/>
  <c r="D539" i="19"/>
  <c r="C539" i="19"/>
  <c r="B539" i="19"/>
  <c r="F538" i="19"/>
  <c r="E538" i="19"/>
  <c r="D538" i="19"/>
  <c r="C538" i="19"/>
  <c r="B538" i="19"/>
  <c r="F537" i="19"/>
  <c r="E537" i="19"/>
  <c r="D537" i="19"/>
  <c r="C537" i="19"/>
  <c r="B537" i="19"/>
  <c r="F536" i="19"/>
  <c r="E536" i="19"/>
  <c r="D536" i="19"/>
  <c r="C536" i="19"/>
  <c r="B536" i="19"/>
  <c r="F535" i="19"/>
  <c r="E535" i="19"/>
  <c r="D535" i="19"/>
  <c r="C535" i="19"/>
  <c r="B535" i="19"/>
  <c r="F534" i="19"/>
  <c r="E534" i="19"/>
  <c r="D534" i="19"/>
  <c r="C534" i="19"/>
  <c r="B534" i="19"/>
  <c r="F533" i="19"/>
  <c r="E533" i="19"/>
  <c r="D533" i="19"/>
  <c r="C533" i="19"/>
  <c r="B533" i="19"/>
  <c r="F532" i="19"/>
  <c r="E532" i="19"/>
  <c r="D532" i="19"/>
  <c r="C532" i="19"/>
  <c r="B532" i="19"/>
  <c r="F531" i="19"/>
  <c r="E531" i="19"/>
  <c r="D531" i="19"/>
  <c r="C531" i="19"/>
  <c r="B531" i="19"/>
  <c r="F530" i="19"/>
  <c r="E530" i="19"/>
  <c r="D530" i="19"/>
  <c r="C530" i="19"/>
  <c r="B530" i="19"/>
  <c r="F529" i="19"/>
  <c r="E529" i="19"/>
  <c r="D529" i="19"/>
  <c r="C529" i="19"/>
  <c r="B529" i="19"/>
  <c r="F528" i="19"/>
  <c r="E528" i="19"/>
  <c r="D528" i="19"/>
  <c r="C528" i="19"/>
  <c r="A528" i="19"/>
  <c r="B528" i="19" s="1"/>
  <c r="F527" i="19"/>
  <c r="E527" i="19"/>
  <c r="D527" i="19"/>
  <c r="C527" i="19"/>
  <c r="A527" i="19"/>
  <c r="B527" i="19" s="1"/>
  <c r="F526" i="19"/>
  <c r="E526" i="19"/>
  <c r="D526" i="19"/>
  <c r="C526" i="19"/>
  <c r="A526" i="19"/>
  <c r="B526" i="19" s="1"/>
  <c r="F525" i="19"/>
  <c r="E525" i="19"/>
  <c r="D525" i="19"/>
  <c r="C525" i="19"/>
  <c r="A525" i="19"/>
  <c r="B525" i="19" s="1"/>
  <c r="F524" i="19"/>
  <c r="E524" i="19"/>
  <c r="D524" i="19"/>
  <c r="C524" i="19"/>
  <c r="A524" i="19"/>
  <c r="B524" i="19" s="1"/>
  <c r="F523" i="19"/>
  <c r="E523" i="19"/>
  <c r="D523" i="19"/>
  <c r="C523" i="19"/>
  <c r="B523" i="19"/>
  <c r="F522" i="19"/>
  <c r="E522" i="19"/>
  <c r="D522" i="19"/>
  <c r="C522" i="19"/>
  <c r="A522" i="19"/>
  <c r="B522" i="19" s="1"/>
  <c r="F521" i="19"/>
  <c r="E521" i="19"/>
  <c r="D521" i="19"/>
  <c r="C521" i="19"/>
  <c r="A521" i="19"/>
  <c r="B521" i="19" s="1"/>
  <c r="F520" i="19"/>
  <c r="E520" i="19"/>
  <c r="D520" i="19"/>
  <c r="C520" i="19"/>
  <c r="A520" i="19"/>
  <c r="B520" i="19" s="1"/>
  <c r="F519" i="19"/>
  <c r="E519" i="19"/>
  <c r="D519" i="19"/>
  <c r="C519" i="19"/>
  <c r="A519" i="19"/>
  <c r="B519" i="19" s="1"/>
  <c r="F518" i="19"/>
  <c r="E518" i="19"/>
  <c r="D518" i="19"/>
  <c r="C518" i="19"/>
  <c r="A518" i="19"/>
  <c r="B518" i="19" s="1"/>
  <c r="F517" i="19"/>
  <c r="E517" i="19"/>
  <c r="D517" i="19"/>
  <c r="C517" i="19"/>
  <c r="A517" i="19"/>
  <c r="F516" i="19"/>
  <c r="E516" i="19"/>
  <c r="D516" i="19"/>
  <c r="C516" i="19"/>
  <c r="B516" i="19"/>
  <c r="F515" i="19"/>
  <c r="E515" i="19"/>
  <c r="D515" i="19"/>
  <c r="C515" i="19"/>
  <c r="B515" i="19"/>
  <c r="F514" i="19"/>
  <c r="E514" i="19"/>
  <c r="D514" i="19"/>
  <c r="C514" i="19"/>
  <c r="B514" i="19"/>
  <c r="F513" i="19"/>
  <c r="E513" i="19"/>
  <c r="D513" i="19"/>
  <c r="C513" i="19"/>
  <c r="B513" i="19"/>
  <c r="F512" i="19"/>
  <c r="E512" i="19"/>
  <c r="D512" i="19"/>
  <c r="C512" i="19"/>
  <c r="B512" i="19"/>
  <c r="F511" i="19"/>
  <c r="E511" i="19"/>
  <c r="D511" i="19"/>
  <c r="C511" i="19"/>
  <c r="B511" i="19"/>
  <c r="F510" i="19"/>
  <c r="E510" i="19"/>
  <c r="D510" i="19"/>
  <c r="C510" i="19"/>
  <c r="B510" i="19"/>
  <c r="F509" i="19"/>
  <c r="E509" i="19"/>
  <c r="D509" i="19"/>
  <c r="C509" i="19"/>
  <c r="B509" i="19"/>
  <c r="F508" i="19"/>
  <c r="E508" i="19"/>
  <c r="D508" i="19"/>
  <c r="C508" i="19"/>
  <c r="B508" i="19"/>
  <c r="F507" i="19"/>
  <c r="E507" i="19"/>
  <c r="D507" i="19"/>
  <c r="C507" i="19"/>
  <c r="B507" i="19"/>
  <c r="F506" i="19"/>
  <c r="E506" i="19"/>
  <c r="D506" i="19"/>
  <c r="C506" i="19"/>
  <c r="B506" i="19"/>
  <c r="F505" i="19"/>
  <c r="E505" i="19"/>
  <c r="D505" i="19"/>
  <c r="C505" i="19"/>
  <c r="B505" i="19"/>
  <c r="F504" i="19"/>
  <c r="E504" i="19"/>
  <c r="D504" i="19"/>
  <c r="C504" i="19"/>
  <c r="B504" i="19"/>
  <c r="F503" i="19"/>
  <c r="E503" i="19"/>
  <c r="D503" i="19"/>
  <c r="C503" i="19"/>
  <c r="B503" i="19"/>
  <c r="F502" i="19"/>
  <c r="E502" i="19"/>
  <c r="D502" i="19"/>
  <c r="C502" i="19"/>
  <c r="B502" i="19"/>
  <c r="F501" i="19"/>
  <c r="E501" i="19"/>
  <c r="D501" i="19"/>
  <c r="C501" i="19"/>
  <c r="B501" i="19"/>
  <c r="F500" i="19"/>
  <c r="E500" i="19"/>
  <c r="D500" i="19"/>
  <c r="C500" i="19"/>
  <c r="B500" i="19"/>
  <c r="F499" i="19"/>
  <c r="E499" i="19"/>
  <c r="D499" i="19"/>
  <c r="C499" i="19"/>
  <c r="B499" i="19"/>
  <c r="F498" i="19"/>
  <c r="E498" i="19"/>
  <c r="D498" i="19"/>
  <c r="C498" i="19"/>
  <c r="B498" i="19"/>
  <c r="F497" i="19"/>
  <c r="E497" i="19"/>
  <c r="D497" i="19"/>
  <c r="C497" i="19"/>
  <c r="B497" i="19"/>
  <c r="F496" i="19"/>
  <c r="E496" i="19"/>
  <c r="D496" i="19"/>
  <c r="C496" i="19"/>
  <c r="B496" i="19"/>
  <c r="F495" i="19"/>
  <c r="E495" i="19"/>
  <c r="D495" i="19"/>
  <c r="C495" i="19"/>
  <c r="B495" i="19"/>
  <c r="F494" i="19"/>
  <c r="E494" i="19"/>
  <c r="D494" i="19"/>
  <c r="C494" i="19"/>
  <c r="B494" i="19"/>
  <c r="F493" i="19"/>
  <c r="E493" i="19"/>
  <c r="D493" i="19"/>
  <c r="C493" i="19"/>
  <c r="B493" i="19"/>
  <c r="F492" i="19"/>
  <c r="E492" i="19"/>
  <c r="D492" i="19"/>
  <c r="C492" i="19"/>
  <c r="B492" i="19"/>
  <c r="F491" i="19"/>
  <c r="E491" i="19"/>
  <c r="D491" i="19"/>
  <c r="C491" i="19"/>
  <c r="B491" i="19"/>
  <c r="F490" i="19"/>
  <c r="E490" i="19"/>
  <c r="D490" i="19"/>
  <c r="C490" i="19"/>
  <c r="B490" i="19"/>
  <c r="F489" i="19"/>
  <c r="E489" i="19"/>
  <c r="D489" i="19"/>
  <c r="C489" i="19"/>
  <c r="B489" i="19"/>
  <c r="F488" i="19"/>
  <c r="E488" i="19"/>
  <c r="D488" i="19"/>
  <c r="C488" i="19"/>
  <c r="B488" i="19"/>
  <c r="F487" i="19"/>
  <c r="E487" i="19"/>
  <c r="D487" i="19"/>
  <c r="C487" i="19"/>
  <c r="B487" i="19"/>
  <c r="F486" i="19"/>
  <c r="E486" i="19"/>
  <c r="D486" i="19"/>
  <c r="C486" i="19"/>
  <c r="B486" i="19"/>
  <c r="F485" i="19"/>
  <c r="E485" i="19"/>
  <c r="D485" i="19"/>
  <c r="C485" i="19"/>
  <c r="B485" i="19"/>
  <c r="F484" i="19"/>
  <c r="E484" i="19"/>
  <c r="D484" i="19"/>
  <c r="C484" i="19"/>
  <c r="B484" i="19"/>
  <c r="F483" i="19"/>
  <c r="E483" i="19"/>
  <c r="D483" i="19"/>
  <c r="C483" i="19"/>
  <c r="B483" i="19"/>
  <c r="F482" i="19"/>
  <c r="E482" i="19"/>
  <c r="D482" i="19"/>
  <c r="C482" i="19"/>
  <c r="B482" i="19"/>
  <c r="F481" i="19"/>
  <c r="E481" i="19"/>
  <c r="D481" i="19"/>
  <c r="C481" i="19"/>
  <c r="B481" i="19"/>
  <c r="F480" i="19"/>
  <c r="E480" i="19"/>
  <c r="D480" i="19"/>
  <c r="C480" i="19"/>
  <c r="B480" i="19"/>
  <c r="F479" i="19"/>
  <c r="E479" i="19"/>
  <c r="D479" i="19"/>
  <c r="C479" i="19"/>
  <c r="B479" i="19"/>
  <c r="F478" i="19"/>
  <c r="E478" i="19"/>
  <c r="D478" i="19"/>
  <c r="C478" i="19"/>
  <c r="B478" i="19"/>
  <c r="F477" i="19"/>
  <c r="E477" i="19"/>
  <c r="D477" i="19"/>
  <c r="C477" i="19"/>
  <c r="B477" i="19"/>
  <c r="F475" i="19"/>
  <c r="E475" i="19"/>
  <c r="D475" i="19"/>
  <c r="C475" i="19"/>
  <c r="B475" i="19"/>
  <c r="F474" i="19"/>
  <c r="E474" i="19"/>
  <c r="D474" i="19"/>
  <c r="C474" i="19"/>
  <c r="B474" i="19"/>
  <c r="F473" i="19"/>
  <c r="E473" i="19"/>
  <c r="D473" i="19"/>
  <c r="C473" i="19"/>
  <c r="B473" i="19"/>
  <c r="F472" i="19"/>
  <c r="E472" i="19"/>
  <c r="D472" i="19"/>
  <c r="C472" i="19"/>
  <c r="B472" i="19"/>
  <c r="F471" i="19"/>
  <c r="E471" i="19"/>
  <c r="D471" i="19"/>
  <c r="C471" i="19"/>
  <c r="B471" i="19"/>
  <c r="F470" i="19"/>
  <c r="E470" i="19"/>
  <c r="D470" i="19"/>
  <c r="C470" i="19"/>
  <c r="B470" i="19"/>
  <c r="F469" i="19"/>
  <c r="E469" i="19"/>
  <c r="D469" i="19"/>
  <c r="C469" i="19"/>
  <c r="B469" i="19"/>
  <c r="F468" i="19"/>
  <c r="E468" i="19"/>
  <c r="D468" i="19"/>
  <c r="C468" i="19"/>
  <c r="B468" i="19"/>
  <c r="F467" i="19"/>
  <c r="E467" i="19"/>
  <c r="D467" i="19"/>
  <c r="C467" i="19"/>
  <c r="B467" i="19"/>
  <c r="F466" i="19"/>
  <c r="E466" i="19"/>
  <c r="D466" i="19"/>
  <c r="C466" i="19"/>
  <c r="B466" i="19"/>
  <c r="F465" i="19"/>
  <c r="E465" i="19"/>
  <c r="D465" i="19"/>
  <c r="C465" i="19"/>
  <c r="B465" i="19"/>
  <c r="F464" i="19"/>
  <c r="E464" i="19"/>
  <c r="D464" i="19"/>
  <c r="C464" i="19"/>
  <c r="B464" i="19"/>
  <c r="F463" i="19"/>
  <c r="E463" i="19"/>
  <c r="D463" i="19"/>
  <c r="C463" i="19"/>
  <c r="B463" i="19"/>
  <c r="F462" i="19"/>
  <c r="E462" i="19"/>
  <c r="D462" i="19"/>
  <c r="C462" i="19"/>
  <c r="B462" i="19"/>
  <c r="F461" i="19"/>
  <c r="E461" i="19"/>
  <c r="D461" i="19"/>
  <c r="C461" i="19"/>
  <c r="B461" i="19"/>
  <c r="F460" i="19"/>
  <c r="E460" i="19"/>
  <c r="D460" i="19"/>
  <c r="C460" i="19"/>
  <c r="B460" i="19"/>
  <c r="F459" i="19"/>
  <c r="E459" i="19"/>
  <c r="D459" i="19"/>
  <c r="C459" i="19"/>
  <c r="B459" i="19"/>
  <c r="F458" i="19"/>
  <c r="E458" i="19"/>
  <c r="D458" i="19"/>
  <c r="C458" i="19"/>
  <c r="B458" i="19"/>
  <c r="F456" i="19"/>
  <c r="E456" i="19"/>
  <c r="D456" i="19"/>
  <c r="C456" i="19"/>
  <c r="B456" i="19"/>
  <c r="F455" i="19"/>
  <c r="E455" i="19"/>
  <c r="D455" i="19"/>
  <c r="C455" i="19"/>
  <c r="B455" i="19"/>
  <c r="F454" i="19"/>
  <c r="E454" i="19"/>
  <c r="D454" i="19"/>
  <c r="C454" i="19"/>
  <c r="B454" i="19"/>
  <c r="F453" i="19"/>
  <c r="E453" i="19"/>
  <c r="D453" i="19"/>
  <c r="C453" i="19"/>
  <c r="B453" i="19"/>
  <c r="F452" i="19"/>
  <c r="E452" i="19"/>
  <c r="D452" i="19"/>
  <c r="C452" i="19"/>
  <c r="B452" i="19"/>
  <c r="F451" i="19"/>
  <c r="E451" i="19"/>
  <c r="D451" i="19"/>
  <c r="C451" i="19"/>
  <c r="B451" i="19"/>
  <c r="F449" i="19"/>
  <c r="E449" i="19"/>
  <c r="D449" i="19"/>
  <c r="C449" i="19"/>
  <c r="B449" i="19"/>
  <c r="F445" i="19"/>
  <c r="E445" i="19"/>
  <c r="D445" i="19"/>
  <c r="C445" i="19"/>
  <c r="B445" i="19"/>
  <c r="F446" i="19"/>
  <c r="E446" i="19"/>
  <c r="D446" i="19"/>
  <c r="C446" i="19"/>
  <c r="B446" i="19"/>
  <c r="F448" i="19"/>
  <c r="E448" i="19"/>
  <c r="D448" i="19"/>
  <c r="C448" i="19"/>
  <c r="B448" i="19"/>
  <c r="F447" i="19"/>
  <c r="E447" i="19"/>
  <c r="D447" i="19"/>
  <c r="C447" i="19"/>
  <c r="B447" i="19"/>
  <c r="F444" i="19"/>
  <c r="E444" i="19"/>
  <c r="D444" i="19"/>
  <c r="C444" i="19"/>
  <c r="B444" i="19"/>
  <c r="F443" i="19"/>
  <c r="E443" i="19"/>
  <c r="D443" i="19"/>
  <c r="C443" i="19"/>
  <c r="B443" i="19"/>
  <c r="F442" i="19"/>
  <c r="E442" i="19"/>
  <c r="D442" i="19"/>
  <c r="C442" i="19"/>
  <c r="B442" i="19"/>
  <c r="F441" i="19"/>
  <c r="E441" i="19"/>
  <c r="D441" i="19"/>
  <c r="C441" i="19"/>
  <c r="B441" i="19"/>
  <c r="F440" i="19"/>
  <c r="E440" i="19"/>
  <c r="D440" i="19"/>
  <c r="C440" i="19"/>
  <c r="B440" i="19"/>
  <c r="F439" i="19"/>
  <c r="E439" i="19"/>
  <c r="D439" i="19"/>
  <c r="C439" i="19"/>
  <c r="B439" i="19"/>
  <c r="F438" i="19"/>
  <c r="E438" i="19"/>
  <c r="D438" i="19"/>
  <c r="C438" i="19"/>
  <c r="B438" i="19"/>
  <c r="F437" i="19"/>
  <c r="E437" i="19"/>
  <c r="D437" i="19"/>
  <c r="C437" i="19"/>
  <c r="B437" i="19"/>
  <c r="F436" i="19"/>
  <c r="E436" i="19"/>
  <c r="D436" i="19"/>
  <c r="C436" i="19"/>
  <c r="B436" i="19"/>
  <c r="F435" i="19"/>
  <c r="E435" i="19"/>
  <c r="D435" i="19"/>
  <c r="C435" i="19"/>
  <c r="B435" i="19"/>
  <c r="F434" i="19"/>
  <c r="E434" i="19"/>
  <c r="D434" i="19"/>
  <c r="C434" i="19"/>
  <c r="B434" i="19"/>
  <c r="F433" i="19"/>
  <c r="E433" i="19"/>
  <c r="D433" i="19"/>
  <c r="C433" i="19"/>
  <c r="B433" i="19"/>
  <c r="F432" i="19"/>
  <c r="E432" i="19"/>
  <c r="D432" i="19"/>
  <c r="C432" i="19"/>
  <c r="B432" i="19"/>
  <c r="F431" i="19"/>
  <c r="E431" i="19"/>
  <c r="D431" i="19"/>
  <c r="C431" i="19"/>
  <c r="B431" i="19"/>
  <c r="F430" i="19"/>
  <c r="E430" i="19"/>
  <c r="D430" i="19"/>
  <c r="C430" i="19"/>
  <c r="B430" i="19"/>
  <c r="F429" i="19"/>
  <c r="E429" i="19"/>
  <c r="D429" i="19"/>
  <c r="C429" i="19"/>
  <c r="B429" i="19"/>
  <c r="F428" i="19"/>
  <c r="E428" i="19"/>
  <c r="D428" i="19"/>
  <c r="C428" i="19"/>
  <c r="B428" i="19"/>
  <c r="F427" i="19"/>
  <c r="E427" i="19"/>
  <c r="D427" i="19"/>
  <c r="C427" i="19"/>
  <c r="B427" i="19"/>
  <c r="R425" i="19"/>
  <c r="Q425" i="19"/>
  <c r="P425" i="19"/>
  <c r="O425" i="19"/>
  <c r="N425" i="19"/>
  <c r="M425" i="19"/>
  <c r="L425" i="19"/>
  <c r="K425" i="19"/>
  <c r="J425" i="19"/>
  <c r="I425" i="19"/>
  <c r="H425" i="19"/>
  <c r="G425" i="19"/>
  <c r="F425" i="19"/>
  <c r="E425" i="19"/>
  <c r="D425" i="19"/>
  <c r="C425" i="19"/>
  <c r="B425" i="19"/>
  <c r="R424" i="19"/>
  <c r="Q424" i="19"/>
  <c r="P424" i="19"/>
  <c r="O424" i="19"/>
  <c r="N424" i="19"/>
  <c r="M424" i="19"/>
  <c r="L424" i="19"/>
  <c r="K424" i="19"/>
  <c r="J424" i="19"/>
  <c r="I424" i="19"/>
  <c r="H424" i="19"/>
  <c r="G424" i="19"/>
  <c r="F424" i="19"/>
  <c r="E424" i="19"/>
  <c r="D424" i="19"/>
  <c r="C424" i="19"/>
  <c r="B424" i="19"/>
  <c r="R423" i="19"/>
  <c r="Q423" i="19"/>
  <c r="P423" i="19"/>
  <c r="O423" i="19"/>
  <c r="N423" i="19"/>
  <c r="M423" i="19"/>
  <c r="L423" i="19"/>
  <c r="K423" i="19"/>
  <c r="J423" i="19"/>
  <c r="I423" i="19"/>
  <c r="H423" i="19"/>
  <c r="G423" i="19"/>
  <c r="F423" i="19"/>
  <c r="E423" i="19"/>
  <c r="D423" i="19"/>
  <c r="C423" i="19"/>
  <c r="B423" i="19"/>
  <c r="R422" i="19"/>
  <c r="Q422" i="19"/>
  <c r="P422" i="19"/>
  <c r="O422" i="19"/>
  <c r="N422" i="19"/>
  <c r="M422" i="19"/>
  <c r="L422" i="19"/>
  <c r="K422" i="19"/>
  <c r="J422" i="19"/>
  <c r="I422" i="19"/>
  <c r="H422" i="19"/>
  <c r="G422" i="19"/>
  <c r="F422" i="19"/>
  <c r="E422" i="19"/>
  <c r="D422" i="19"/>
  <c r="C422" i="19"/>
  <c r="B422" i="19"/>
  <c r="R421" i="19"/>
  <c r="Q421" i="19"/>
  <c r="P421" i="19"/>
  <c r="O421" i="19"/>
  <c r="N421" i="19"/>
  <c r="M421" i="19"/>
  <c r="L421" i="19"/>
  <c r="K421" i="19"/>
  <c r="J421" i="19"/>
  <c r="I421" i="19"/>
  <c r="H421" i="19"/>
  <c r="G421" i="19"/>
  <c r="F421" i="19"/>
  <c r="E421" i="19"/>
  <c r="D421" i="19"/>
  <c r="C421" i="19"/>
  <c r="B421" i="19"/>
  <c r="R420" i="19"/>
  <c r="Q420" i="19"/>
  <c r="P420" i="19"/>
  <c r="O420" i="19"/>
  <c r="N420" i="19"/>
  <c r="M420" i="19"/>
  <c r="L420" i="19"/>
  <c r="K420" i="19"/>
  <c r="J420" i="19"/>
  <c r="I420" i="19"/>
  <c r="H420" i="19"/>
  <c r="G420" i="19"/>
  <c r="F420" i="19"/>
  <c r="E420" i="19"/>
  <c r="D420" i="19"/>
  <c r="C420" i="19"/>
  <c r="B420" i="19"/>
  <c r="R419" i="19"/>
  <c r="Q419" i="19"/>
  <c r="P419" i="19"/>
  <c r="O419" i="19"/>
  <c r="N419" i="19"/>
  <c r="M419" i="19"/>
  <c r="L419" i="19"/>
  <c r="K419" i="19"/>
  <c r="J419" i="19"/>
  <c r="I419" i="19"/>
  <c r="H419" i="19"/>
  <c r="G419" i="19"/>
  <c r="F419" i="19"/>
  <c r="E419" i="19"/>
  <c r="D419" i="19"/>
  <c r="C419" i="19"/>
  <c r="B419" i="19"/>
  <c r="R418" i="19"/>
  <c r="Q418" i="19"/>
  <c r="P418" i="19"/>
  <c r="O418" i="19"/>
  <c r="N418" i="19"/>
  <c r="M418" i="19"/>
  <c r="L418" i="19"/>
  <c r="K418" i="19"/>
  <c r="J418" i="19"/>
  <c r="I418" i="19"/>
  <c r="H418" i="19"/>
  <c r="G418" i="19"/>
  <c r="F418" i="19"/>
  <c r="E418" i="19"/>
  <c r="D418" i="19"/>
  <c r="C418" i="19"/>
  <c r="B418" i="19"/>
  <c r="R417" i="19"/>
  <c r="Q417" i="19"/>
  <c r="P417" i="19"/>
  <c r="O417" i="19"/>
  <c r="N417" i="19"/>
  <c r="M417" i="19"/>
  <c r="L417" i="19"/>
  <c r="K417" i="19"/>
  <c r="J417" i="19"/>
  <c r="I417" i="19"/>
  <c r="H417" i="19"/>
  <c r="G417" i="19"/>
  <c r="F417" i="19"/>
  <c r="E417" i="19"/>
  <c r="D417" i="19"/>
  <c r="C417" i="19"/>
  <c r="B417" i="19"/>
  <c r="R416" i="19"/>
  <c r="Q416" i="19"/>
  <c r="P416" i="19"/>
  <c r="O416" i="19"/>
  <c r="N416" i="19"/>
  <c r="M416" i="19"/>
  <c r="L416" i="19"/>
  <c r="K416" i="19"/>
  <c r="J416" i="19"/>
  <c r="I416" i="19"/>
  <c r="H416" i="19"/>
  <c r="G416" i="19"/>
  <c r="F416" i="19"/>
  <c r="E416" i="19"/>
  <c r="D416" i="19"/>
  <c r="C416" i="19"/>
  <c r="B416" i="19"/>
  <c r="R415" i="19"/>
  <c r="Q415" i="19"/>
  <c r="P415" i="19"/>
  <c r="O415" i="19"/>
  <c r="N415" i="19"/>
  <c r="M415" i="19"/>
  <c r="L415" i="19"/>
  <c r="K415" i="19"/>
  <c r="J415" i="19"/>
  <c r="I415" i="19"/>
  <c r="H415" i="19"/>
  <c r="G415" i="19"/>
  <c r="F415" i="19"/>
  <c r="E415" i="19"/>
  <c r="D415" i="19"/>
  <c r="C415" i="19"/>
  <c r="B415" i="19"/>
  <c r="R414" i="19"/>
  <c r="Q414" i="19"/>
  <c r="P414" i="19"/>
  <c r="O414" i="19"/>
  <c r="N414" i="19"/>
  <c r="M414" i="19"/>
  <c r="L414" i="19"/>
  <c r="K414" i="19"/>
  <c r="J414" i="19"/>
  <c r="I414" i="19"/>
  <c r="H414" i="19"/>
  <c r="G414" i="19"/>
  <c r="F414" i="19"/>
  <c r="E414" i="19"/>
  <c r="D414" i="19"/>
  <c r="C414" i="19"/>
  <c r="B414" i="19"/>
  <c r="R413" i="19"/>
  <c r="Q413" i="19"/>
  <c r="P413" i="19"/>
  <c r="O413" i="19"/>
  <c r="N413" i="19"/>
  <c r="M413" i="19"/>
  <c r="L413" i="19"/>
  <c r="K413" i="19"/>
  <c r="J413" i="19"/>
  <c r="I413" i="19"/>
  <c r="H413" i="19"/>
  <c r="G413" i="19"/>
  <c r="F413" i="19"/>
  <c r="E413" i="19"/>
  <c r="D413" i="19"/>
  <c r="C413" i="19"/>
  <c r="B413" i="19"/>
  <c r="R412" i="19"/>
  <c r="Q412" i="19"/>
  <c r="P412" i="19"/>
  <c r="O412" i="19"/>
  <c r="N412" i="19"/>
  <c r="M412" i="19"/>
  <c r="L412" i="19"/>
  <c r="K412" i="19"/>
  <c r="J412" i="19"/>
  <c r="I412" i="19"/>
  <c r="H412" i="19"/>
  <c r="G412" i="19"/>
  <c r="F412" i="19"/>
  <c r="E412" i="19"/>
  <c r="D412" i="19"/>
  <c r="C412" i="19"/>
  <c r="B412" i="19"/>
  <c r="R411" i="19"/>
  <c r="Q411" i="19"/>
  <c r="P411" i="19"/>
  <c r="O411" i="19"/>
  <c r="N411" i="19"/>
  <c r="M411" i="19"/>
  <c r="L411" i="19"/>
  <c r="K411" i="19"/>
  <c r="J411" i="19"/>
  <c r="I411" i="19"/>
  <c r="H411" i="19"/>
  <c r="G411" i="19"/>
  <c r="F411" i="19"/>
  <c r="E411" i="19"/>
  <c r="D411" i="19"/>
  <c r="C411" i="19"/>
  <c r="B411" i="19"/>
  <c r="R410" i="19"/>
  <c r="Q410" i="19"/>
  <c r="P410" i="19"/>
  <c r="O410" i="19"/>
  <c r="N410" i="19"/>
  <c r="M410" i="19"/>
  <c r="L410" i="19"/>
  <c r="K410" i="19"/>
  <c r="J410" i="19"/>
  <c r="I410" i="19"/>
  <c r="H410" i="19"/>
  <c r="G410" i="19"/>
  <c r="F410" i="19"/>
  <c r="E410" i="19"/>
  <c r="D410" i="19"/>
  <c r="C410" i="19"/>
  <c r="B410" i="19"/>
  <c r="R409" i="19"/>
  <c r="Q409" i="19"/>
  <c r="P409" i="19"/>
  <c r="O409" i="19"/>
  <c r="N409" i="19"/>
  <c r="M409" i="19"/>
  <c r="L409" i="19"/>
  <c r="K409" i="19"/>
  <c r="J409" i="19"/>
  <c r="I409" i="19"/>
  <c r="H409" i="19"/>
  <c r="G409" i="19"/>
  <c r="F409" i="19"/>
  <c r="E409" i="19"/>
  <c r="D409" i="19"/>
  <c r="C409" i="19"/>
  <c r="B409" i="19"/>
  <c r="R408" i="19"/>
  <c r="Q408" i="19"/>
  <c r="P408" i="19"/>
  <c r="O408" i="19"/>
  <c r="N408" i="19"/>
  <c r="M408" i="19"/>
  <c r="L408" i="19"/>
  <c r="K408" i="19"/>
  <c r="J408" i="19"/>
  <c r="I408" i="19"/>
  <c r="H408" i="19"/>
  <c r="G408" i="19"/>
  <c r="F408" i="19"/>
  <c r="E408" i="19"/>
  <c r="D408" i="19"/>
  <c r="C408" i="19"/>
  <c r="B408" i="19"/>
  <c r="R407" i="19"/>
  <c r="Q407" i="19"/>
  <c r="P407" i="19"/>
  <c r="O407" i="19"/>
  <c r="N407" i="19"/>
  <c r="M407" i="19"/>
  <c r="L407" i="19"/>
  <c r="K407" i="19"/>
  <c r="J407" i="19"/>
  <c r="I407" i="19"/>
  <c r="H407" i="19"/>
  <c r="G407" i="19"/>
  <c r="F407" i="19"/>
  <c r="E407" i="19"/>
  <c r="D407" i="19"/>
  <c r="C407" i="19"/>
  <c r="B407" i="19"/>
  <c r="R406" i="19"/>
  <c r="Q406" i="19"/>
  <c r="P406" i="19"/>
  <c r="O406" i="19"/>
  <c r="N406" i="19"/>
  <c r="M406" i="19"/>
  <c r="L406" i="19"/>
  <c r="K406" i="19"/>
  <c r="J406" i="19"/>
  <c r="I406" i="19"/>
  <c r="H406" i="19"/>
  <c r="G406" i="19"/>
  <c r="F406" i="19"/>
  <c r="E406" i="19"/>
  <c r="D406" i="19"/>
  <c r="C406" i="19"/>
  <c r="B406" i="19"/>
  <c r="R405" i="19"/>
  <c r="Q405" i="19"/>
  <c r="P405" i="19"/>
  <c r="O405" i="19"/>
  <c r="N405" i="19"/>
  <c r="M405" i="19"/>
  <c r="L405" i="19"/>
  <c r="K405" i="19"/>
  <c r="J405" i="19"/>
  <c r="I405" i="19"/>
  <c r="H405" i="19"/>
  <c r="G405" i="19"/>
  <c r="F405" i="19"/>
  <c r="E405" i="19"/>
  <c r="D405" i="19"/>
  <c r="C405" i="19"/>
  <c r="B405" i="19"/>
  <c r="R404" i="19"/>
  <c r="Q404" i="19"/>
  <c r="P404" i="19"/>
  <c r="O404" i="19"/>
  <c r="N404" i="19"/>
  <c r="M404" i="19"/>
  <c r="L404" i="19"/>
  <c r="K404" i="19"/>
  <c r="J404" i="19"/>
  <c r="I404" i="19"/>
  <c r="H404" i="19"/>
  <c r="G404" i="19"/>
  <c r="F404" i="19"/>
  <c r="E404" i="19"/>
  <c r="D404" i="19"/>
  <c r="C404" i="19"/>
  <c r="B404" i="19"/>
  <c r="R403" i="19"/>
  <c r="Q403" i="19"/>
  <c r="P403" i="19"/>
  <c r="O403" i="19"/>
  <c r="N403" i="19"/>
  <c r="M403" i="19"/>
  <c r="L403" i="19"/>
  <c r="K403" i="19"/>
  <c r="J403" i="19"/>
  <c r="I403" i="19"/>
  <c r="H403" i="19"/>
  <c r="G403" i="19"/>
  <c r="F403" i="19"/>
  <c r="E403" i="19"/>
  <c r="D403" i="19"/>
  <c r="C403" i="19"/>
  <c r="B403" i="19"/>
  <c r="R402" i="19"/>
  <c r="Q402" i="19"/>
  <c r="P402" i="19"/>
  <c r="O402" i="19"/>
  <c r="N402" i="19"/>
  <c r="M402" i="19"/>
  <c r="L402" i="19"/>
  <c r="K402" i="19"/>
  <c r="J402" i="19"/>
  <c r="I402" i="19"/>
  <c r="H402" i="19"/>
  <c r="G402" i="19"/>
  <c r="F402" i="19"/>
  <c r="E402" i="19"/>
  <c r="D402" i="19"/>
  <c r="C402" i="19"/>
  <c r="B402" i="19"/>
  <c r="R401" i="19"/>
  <c r="Q401" i="19"/>
  <c r="P401" i="19"/>
  <c r="O401" i="19"/>
  <c r="N401" i="19"/>
  <c r="M401" i="19"/>
  <c r="L401" i="19"/>
  <c r="K401" i="19"/>
  <c r="J401" i="19"/>
  <c r="I401" i="19"/>
  <c r="H401" i="19"/>
  <c r="G401" i="19"/>
  <c r="F401" i="19"/>
  <c r="E401" i="19"/>
  <c r="D401" i="19"/>
  <c r="C401" i="19"/>
  <c r="B401" i="19"/>
  <c r="R400" i="19"/>
  <c r="Q400" i="19"/>
  <c r="P400" i="19"/>
  <c r="O400" i="19"/>
  <c r="N400" i="19"/>
  <c r="M400" i="19"/>
  <c r="L400" i="19"/>
  <c r="K400" i="19"/>
  <c r="J400" i="19"/>
  <c r="I400" i="19"/>
  <c r="H400" i="19"/>
  <c r="G400" i="19"/>
  <c r="F400" i="19"/>
  <c r="E400" i="19"/>
  <c r="D400" i="19"/>
  <c r="C400" i="19"/>
  <c r="B400" i="19"/>
  <c r="R399" i="19"/>
  <c r="Q399" i="19"/>
  <c r="P399" i="19"/>
  <c r="O399" i="19"/>
  <c r="N399" i="19"/>
  <c r="M399" i="19"/>
  <c r="L399" i="19"/>
  <c r="K399" i="19"/>
  <c r="J399" i="19"/>
  <c r="I399" i="19"/>
  <c r="H399" i="19"/>
  <c r="G399" i="19"/>
  <c r="F399" i="19"/>
  <c r="E399" i="19"/>
  <c r="D399" i="19"/>
  <c r="C399" i="19"/>
  <c r="B399" i="19"/>
  <c r="R398" i="19"/>
  <c r="Q398" i="19"/>
  <c r="P398" i="19"/>
  <c r="O398" i="19"/>
  <c r="N398" i="19"/>
  <c r="M398" i="19"/>
  <c r="L398" i="19"/>
  <c r="K398" i="19"/>
  <c r="J398" i="19"/>
  <c r="I398" i="19"/>
  <c r="H398" i="19"/>
  <c r="G398" i="19"/>
  <c r="F398" i="19"/>
  <c r="E398" i="19"/>
  <c r="D398" i="19"/>
  <c r="C398" i="19"/>
  <c r="B398" i="19"/>
  <c r="R397" i="19"/>
  <c r="Q397" i="19"/>
  <c r="P397" i="19"/>
  <c r="O397" i="19"/>
  <c r="N397" i="19"/>
  <c r="M397" i="19"/>
  <c r="L397" i="19"/>
  <c r="K397" i="19"/>
  <c r="J397" i="19"/>
  <c r="I397" i="19"/>
  <c r="H397" i="19"/>
  <c r="G397" i="19"/>
  <c r="F397" i="19"/>
  <c r="E397" i="19"/>
  <c r="D397" i="19"/>
  <c r="C397" i="19"/>
  <c r="B397" i="19"/>
  <c r="R396" i="19"/>
  <c r="Q396" i="19"/>
  <c r="P396" i="19"/>
  <c r="O396" i="19"/>
  <c r="N396" i="19"/>
  <c r="M396" i="19"/>
  <c r="L396" i="19"/>
  <c r="K396" i="19"/>
  <c r="J396" i="19"/>
  <c r="I396" i="19"/>
  <c r="H396" i="19"/>
  <c r="G396" i="19"/>
  <c r="F396" i="19"/>
  <c r="E396" i="19"/>
  <c r="D396" i="19"/>
  <c r="C396" i="19"/>
  <c r="B396" i="19"/>
  <c r="R395" i="19"/>
  <c r="Q395" i="19"/>
  <c r="P395" i="19"/>
  <c r="O395" i="19"/>
  <c r="N395" i="19"/>
  <c r="M395" i="19"/>
  <c r="L395" i="19"/>
  <c r="K395" i="19"/>
  <c r="J395" i="19"/>
  <c r="I395" i="19"/>
  <c r="H395" i="19"/>
  <c r="G395" i="19"/>
  <c r="F395" i="19"/>
  <c r="E395" i="19"/>
  <c r="D395" i="19"/>
  <c r="C395" i="19"/>
  <c r="B395" i="19"/>
  <c r="R394" i="19"/>
  <c r="Q394" i="19"/>
  <c r="P394" i="19"/>
  <c r="O394" i="19"/>
  <c r="N394" i="19"/>
  <c r="M394" i="19"/>
  <c r="L394" i="19"/>
  <c r="K394" i="19"/>
  <c r="J394" i="19"/>
  <c r="I394" i="19"/>
  <c r="H394" i="19"/>
  <c r="G394" i="19"/>
  <c r="F394" i="19"/>
  <c r="E394" i="19"/>
  <c r="D394" i="19"/>
  <c r="C394" i="19"/>
  <c r="B394" i="19"/>
  <c r="R393" i="19"/>
  <c r="Q393" i="19"/>
  <c r="P393" i="19"/>
  <c r="O393" i="19"/>
  <c r="N393" i="19"/>
  <c r="M393" i="19"/>
  <c r="L393" i="19"/>
  <c r="K393" i="19"/>
  <c r="J393" i="19"/>
  <c r="I393" i="19"/>
  <c r="H393" i="19"/>
  <c r="G393" i="19"/>
  <c r="F393" i="19"/>
  <c r="E393" i="19"/>
  <c r="D393" i="19"/>
  <c r="C393" i="19"/>
  <c r="B393" i="19"/>
  <c r="R392" i="19"/>
  <c r="Q392" i="19"/>
  <c r="P392" i="19"/>
  <c r="O392" i="19"/>
  <c r="N392" i="19"/>
  <c r="M392" i="19"/>
  <c r="L392" i="19"/>
  <c r="K392" i="19"/>
  <c r="J392" i="19"/>
  <c r="I392" i="19"/>
  <c r="H392" i="19"/>
  <c r="G392" i="19"/>
  <c r="F392" i="19"/>
  <c r="E392" i="19"/>
  <c r="D392" i="19"/>
  <c r="C392" i="19"/>
  <c r="B392" i="19"/>
  <c r="R391" i="19"/>
  <c r="Q391" i="19"/>
  <c r="P391" i="19"/>
  <c r="O391" i="19"/>
  <c r="N391" i="19"/>
  <c r="M391" i="19"/>
  <c r="L391" i="19"/>
  <c r="K391" i="19"/>
  <c r="J391" i="19"/>
  <c r="I391" i="19"/>
  <c r="H391" i="19"/>
  <c r="G391" i="19"/>
  <c r="F391" i="19"/>
  <c r="E391" i="19"/>
  <c r="D391" i="19"/>
  <c r="C391" i="19"/>
  <c r="B391" i="19"/>
  <c r="R390" i="19"/>
  <c r="Q390" i="19"/>
  <c r="P390" i="19"/>
  <c r="O390" i="19"/>
  <c r="N390" i="19"/>
  <c r="M390" i="19"/>
  <c r="L390" i="19"/>
  <c r="K390" i="19"/>
  <c r="J390" i="19"/>
  <c r="I390" i="19"/>
  <c r="H390" i="19"/>
  <c r="G390" i="19"/>
  <c r="F390" i="19"/>
  <c r="E390" i="19"/>
  <c r="D390" i="19"/>
  <c r="C390" i="19"/>
  <c r="B390" i="19"/>
  <c r="R389" i="19"/>
  <c r="Q389" i="19"/>
  <c r="P389" i="19"/>
  <c r="O389" i="19"/>
  <c r="N389" i="19"/>
  <c r="M389" i="19"/>
  <c r="L389" i="19"/>
  <c r="K389" i="19"/>
  <c r="J389" i="19"/>
  <c r="I389" i="19"/>
  <c r="H389" i="19"/>
  <c r="G389" i="19"/>
  <c r="F389" i="19"/>
  <c r="E389" i="19"/>
  <c r="D389" i="19"/>
  <c r="C389" i="19"/>
  <c r="B389" i="19"/>
  <c r="R388" i="19"/>
  <c r="Q388" i="19"/>
  <c r="P388" i="19"/>
  <c r="O388" i="19"/>
  <c r="N388" i="19"/>
  <c r="M388" i="19"/>
  <c r="L388" i="19"/>
  <c r="K388" i="19"/>
  <c r="J388" i="19"/>
  <c r="I388" i="19"/>
  <c r="H388" i="19"/>
  <c r="G388" i="19"/>
  <c r="F388" i="19"/>
  <c r="E388" i="19"/>
  <c r="D388" i="19"/>
  <c r="C388" i="19"/>
  <c r="B388" i="19"/>
  <c r="R387" i="19"/>
  <c r="Q387" i="19"/>
  <c r="P387" i="19"/>
  <c r="O387" i="19"/>
  <c r="N387" i="19"/>
  <c r="M387" i="19"/>
  <c r="L387" i="19"/>
  <c r="K387" i="19"/>
  <c r="J387" i="19"/>
  <c r="I387" i="19"/>
  <c r="H387" i="19"/>
  <c r="G387" i="19"/>
  <c r="F387" i="19"/>
  <c r="E387" i="19"/>
  <c r="D387" i="19"/>
  <c r="C387" i="19"/>
  <c r="B387" i="19"/>
  <c r="R386" i="19"/>
  <c r="Q386" i="19"/>
  <c r="P386" i="19"/>
  <c r="O386" i="19"/>
  <c r="N386" i="19"/>
  <c r="M386" i="19"/>
  <c r="L386" i="19"/>
  <c r="K386" i="19"/>
  <c r="J386" i="19"/>
  <c r="I386" i="19"/>
  <c r="H386" i="19"/>
  <c r="G386" i="19"/>
  <c r="F386" i="19"/>
  <c r="E386" i="19"/>
  <c r="D386" i="19"/>
  <c r="C386" i="19"/>
  <c r="B386" i="19"/>
  <c r="R385" i="19"/>
  <c r="Q385" i="19"/>
  <c r="P385" i="19"/>
  <c r="O385" i="19"/>
  <c r="N385" i="19"/>
  <c r="M385" i="19"/>
  <c r="L385" i="19"/>
  <c r="K385" i="19"/>
  <c r="J385" i="19"/>
  <c r="I385" i="19"/>
  <c r="H385" i="19"/>
  <c r="G385" i="19"/>
  <c r="F385" i="19"/>
  <c r="E385" i="19"/>
  <c r="D385" i="19"/>
  <c r="C385" i="19"/>
  <c r="B385" i="19"/>
  <c r="R384" i="19"/>
  <c r="Q384" i="19"/>
  <c r="P384" i="19"/>
  <c r="O384" i="19"/>
  <c r="N384" i="19"/>
  <c r="M384" i="19"/>
  <c r="L384" i="19"/>
  <c r="K384" i="19"/>
  <c r="J384" i="19"/>
  <c r="I384" i="19"/>
  <c r="H384" i="19"/>
  <c r="G384" i="19"/>
  <c r="F384" i="19"/>
  <c r="E384" i="19"/>
  <c r="D384" i="19"/>
  <c r="C384" i="19"/>
  <c r="B384" i="19"/>
  <c r="R383" i="19"/>
  <c r="Q383" i="19"/>
  <c r="P383" i="19"/>
  <c r="O383" i="19"/>
  <c r="N383" i="19"/>
  <c r="M383" i="19"/>
  <c r="L383" i="19"/>
  <c r="K383" i="19"/>
  <c r="J383" i="19"/>
  <c r="I383" i="19"/>
  <c r="H383" i="19"/>
  <c r="G383" i="19"/>
  <c r="F383" i="19"/>
  <c r="E383" i="19"/>
  <c r="D383" i="19"/>
  <c r="C383" i="19"/>
  <c r="B383" i="19"/>
  <c r="R382" i="19"/>
  <c r="Q382" i="19"/>
  <c r="P382" i="19"/>
  <c r="O382" i="19"/>
  <c r="N382" i="19"/>
  <c r="M382" i="19"/>
  <c r="L382" i="19"/>
  <c r="K382" i="19"/>
  <c r="J382" i="19"/>
  <c r="I382" i="19"/>
  <c r="H382" i="19"/>
  <c r="G382" i="19"/>
  <c r="F382" i="19"/>
  <c r="E382" i="19"/>
  <c r="D382" i="19"/>
  <c r="C382" i="19"/>
  <c r="B382" i="19"/>
  <c r="R381" i="19"/>
  <c r="Q381" i="19"/>
  <c r="P381" i="19"/>
  <c r="O381" i="19"/>
  <c r="N381" i="19"/>
  <c r="M381" i="19"/>
  <c r="L381" i="19"/>
  <c r="K381" i="19"/>
  <c r="J381" i="19"/>
  <c r="I381" i="19"/>
  <c r="H381" i="19"/>
  <c r="G381" i="19"/>
  <c r="F381" i="19"/>
  <c r="E381" i="19"/>
  <c r="D381" i="19"/>
  <c r="C381" i="19"/>
  <c r="B381" i="19"/>
  <c r="R380" i="19"/>
  <c r="Q380" i="19"/>
  <c r="P380" i="19"/>
  <c r="O380" i="19"/>
  <c r="N380" i="19"/>
  <c r="M380" i="19"/>
  <c r="L380" i="19"/>
  <c r="K380" i="19"/>
  <c r="J380" i="19"/>
  <c r="I380" i="19"/>
  <c r="H380" i="19"/>
  <c r="G380" i="19"/>
  <c r="F380" i="19"/>
  <c r="E380" i="19"/>
  <c r="D380" i="19"/>
  <c r="C380" i="19"/>
  <c r="B380" i="19"/>
  <c r="R379" i="19"/>
  <c r="Q379" i="19"/>
  <c r="P379" i="19"/>
  <c r="O379" i="19"/>
  <c r="N379" i="19"/>
  <c r="M379" i="19"/>
  <c r="L379" i="19"/>
  <c r="K379" i="19"/>
  <c r="J379" i="19"/>
  <c r="I379" i="19"/>
  <c r="H379" i="19"/>
  <c r="G379" i="19"/>
  <c r="F379" i="19"/>
  <c r="E379" i="19"/>
  <c r="D379" i="19"/>
  <c r="C379" i="19"/>
  <c r="B379" i="19"/>
  <c r="A378" i="19"/>
  <c r="R377" i="19"/>
  <c r="Q377" i="19"/>
  <c r="P377" i="19"/>
  <c r="O377" i="19"/>
  <c r="N377" i="19"/>
  <c r="M377" i="19"/>
  <c r="L377" i="19"/>
  <c r="K377" i="19"/>
  <c r="J377" i="19"/>
  <c r="I377" i="19"/>
  <c r="H377" i="19"/>
  <c r="G377" i="19"/>
  <c r="F377" i="19"/>
  <c r="E377" i="19"/>
  <c r="D377" i="19"/>
  <c r="C377" i="19"/>
  <c r="B377" i="19"/>
  <c r="R376" i="19"/>
  <c r="Q376" i="19"/>
  <c r="P376" i="19"/>
  <c r="O376" i="19"/>
  <c r="N376" i="19"/>
  <c r="M376" i="19"/>
  <c r="L376" i="19"/>
  <c r="K376" i="19"/>
  <c r="J376" i="19"/>
  <c r="I376" i="19"/>
  <c r="H376" i="19"/>
  <c r="G376" i="19"/>
  <c r="F376" i="19"/>
  <c r="E376" i="19"/>
  <c r="D376" i="19"/>
  <c r="C376" i="19"/>
  <c r="B376" i="19"/>
  <c r="R375" i="19"/>
  <c r="Q375" i="19"/>
  <c r="P375" i="19"/>
  <c r="O375" i="19"/>
  <c r="N375" i="19"/>
  <c r="M375" i="19"/>
  <c r="L375" i="19"/>
  <c r="K375" i="19"/>
  <c r="J375" i="19"/>
  <c r="I375" i="19"/>
  <c r="H375" i="19"/>
  <c r="G375" i="19"/>
  <c r="F375" i="19"/>
  <c r="E375" i="19"/>
  <c r="D375" i="19"/>
  <c r="C375" i="19"/>
  <c r="B375" i="19"/>
  <c r="R374" i="19"/>
  <c r="Q374" i="19"/>
  <c r="P374" i="19"/>
  <c r="O374" i="19"/>
  <c r="N374" i="19"/>
  <c r="M374" i="19"/>
  <c r="L374" i="19"/>
  <c r="K374" i="19"/>
  <c r="J374" i="19"/>
  <c r="I374" i="19"/>
  <c r="H374" i="19"/>
  <c r="G374" i="19"/>
  <c r="F374" i="19"/>
  <c r="E374" i="19"/>
  <c r="D374" i="19"/>
  <c r="C374" i="19"/>
  <c r="B374" i="19"/>
  <c r="R373" i="19"/>
  <c r="Q373" i="19"/>
  <c r="P373" i="19"/>
  <c r="O373" i="19"/>
  <c r="N373" i="19"/>
  <c r="M373" i="19"/>
  <c r="L373" i="19"/>
  <c r="K373" i="19"/>
  <c r="J373" i="19"/>
  <c r="I373" i="19"/>
  <c r="H373" i="19"/>
  <c r="G373" i="19"/>
  <c r="F373" i="19"/>
  <c r="E373" i="19"/>
  <c r="D373" i="19"/>
  <c r="C373" i="19"/>
  <c r="B373" i="19"/>
  <c r="R372" i="19"/>
  <c r="Q372" i="19"/>
  <c r="P372" i="19"/>
  <c r="O372" i="19"/>
  <c r="N372" i="19"/>
  <c r="M372" i="19"/>
  <c r="L372" i="19"/>
  <c r="K372" i="19"/>
  <c r="J372" i="19"/>
  <c r="I372" i="19"/>
  <c r="H372" i="19"/>
  <c r="G372" i="19"/>
  <c r="F372" i="19"/>
  <c r="E372" i="19"/>
  <c r="D372" i="19"/>
  <c r="C372" i="19"/>
  <c r="B372" i="19"/>
  <c r="R371" i="19"/>
  <c r="Q371" i="19"/>
  <c r="P371" i="19"/>
  <c r="O371" i="19"/>
  <c r="N371" i="19"/>
  <c r="M371" i="19"/>
  <c r="L371" i="19"/>
  <c r="K371" i="19"/>
  <c r="J371" i="19"/>
  <c r="I371" i="19"/>
  <c r="H371" i="19"/>
  <c r="G371" i="19"/>
  <c r="F371" i="19"/>
  <c r="E371" i="19"/>
  <c r="D371" i="19"/>
  <c r="C371" i="19"/>
  <c r="B371" i="19"/>
  <c r="R370" i="19"/>
  <c r="Q370" i="19"/>
  <c r="P370" i="19"/>
  <c r="O370" i="19"/>
  <c r="N370" i="19"/>
  <c r="M370" i="19"/>
  <c r="L370" i="19"/>
  <c r="K370" i="19"/>
  <c r="J370" i="19"/>
  <c r="I370" i="19"/>
  <c r="H370" i="19"/>
  <c r="G370" i="19"/>
  <c r="F370" i="19"/>
  <c r="E370" i="19"/>
  <c r="D370" i="19"/>
  <c r="C370" i="19"/>
  <c r="B370" i="19"/>
  <c r="R369" i="19"/>
  <c r="Q369" i="19"/>
  <c r="P369" i="19"/>
  <c r="O369" i="19"/>
  <c r="N369" i="19"/>
  <c r="M369" i="19"/>
  <c r="L369" i="19"/>
  <c r="K369" i="19"/>
  <c r="J369" i="19"/>
  <c r="I369" i="19"/>
  <c r="H369" i="19"/>
  <c r="G369" i="19"/>
  <c r="F369" i="19"/>
  <c r="E369" i="19"/>
  <c r="D369" i="19"/>
  <c r="C369" i="19"/>
  <c r="B369" i="19"/>
  <c r="R368" i="19"/>
  <c r="Q368" i="19"/>
  <c r="P368" i="19"/>
  <c r="O368" i="19"/>
  <c r="N368" i="19"/>
  <c r="M368" i="19"/>
  <c r="L368" i="19"/>
  <c r="K368" i="19"/>
  <c r="J368" i="19"/>
  <c r="I368" i="19"/>
  <c r="H368" i="19"/>
  <c r="G368" i="19"/>
  <c r="F368" i="19"/>
  <c r="E368" i="19"/>
  <c r="D368" i="19"/>
  <c r="C368" i="19"/>
  <c r="B368" i="19"/>
  <c r="R367" i="19"/>
  <c r="Q367" i="19"/>
  <c r="P367" i="19"/>
  <c r="O367" i="19"/>
  <c r="N367" i="19"/>
  <c r="M367" i="19"/>
  <c r="L367" i="19"/>
  <c r="K367" i="19"/>
  <c r="J367" i="19"/>
  <c r="I367" i="19"/>
  <c r="H367" i="19"/>
  <c r="G367" i="19"/>
  <c r="F367" i="19"/>
  <c r="E367" i="19"/>
  <c r="D367" i="19"/>
  <c r="C367" i="19"/>
  <c r="B367" i="19"/>
  <c r="R366" i="19"/>
  <c r="Q366" i="19"/>
  <c r="P366" i="19"/>
  <c r="O366" i="19"/>
  <c r="N366" i="19"/>
  <c r="M366" i="19"/>
  <c r="L366" i="19"/>
  <c r="K366" i="19"/>
  <c r="J366" i="19"/>
  <c r="I366" i="19"/>
  <c r="H366" i="19"/>
  <c r="G366" i="19"/>
  <c r="F366" i="19"/>
  <c r="E366" i="19"/>
  <c r="D366" i="19"/>
  <c r="C366" i="19"/>
  <c r="B366" i="19"/>
  <c r="R365" i="19"/>
  <c r="Q365" i="19"/>
  <c r="P365" i="19"/>
  <c r="O365" i="19"/>
  <c r="N365" i="19"/>
  <c r="M365" i="19"/>
  <c r="L365" i="19"/>
  <c r="K365" i="19"/>
  <c r="J365" i="19"/>
  <c r="I365" i="19"/>
  <c r="H365" i="19"/>
  <c r="G365" i="19"/>
  <c r="F365" i="19"/>
  <c r="E365" i="19"/>
  <c r="D365" i="19"/>
  <c r="C365" i="19"/>
  <c r="B365" i="19"/>
  <c r="R363" i="19"/>
  <c r="Q363" i="19"/>
  <c r="P363" i="19"/>
  <c r="O363" i="19"/>
  <c r="N363" i="19"/>
  <c r="M363" i="19"/>
  <c r="L363" i="19"/>
  <c r="K363" i="19"/>
  <c r="J363" i="19"/>
  <c r="I363" i="19"/>
  <c r="H363" i="19"/>
  <c r="G363" i="19"/>
  <c r="F363" i="19"/>
  <c r="E363" i="19"/>
  <c r="D363" i="19"/>
  <c r="C363" i="19"/>
  <c r="B363" i="19"/>
  <c r="R362" i="19"/>
  <c r="Q362" i="19"/>
  <c r="P362" i="19"/>
  <c r="O362" i="19"/>
  <c r="N362" i="19"/>
  <c r="M362" i="19"/>
  <c r="L362" i="19"/>
  <c r="K362" i="19"/>
  <c r="J362" i="19"/>
  <c r="I362" i="19"/>
  <c r="H362" i="19"/>
  <c r="G362" i="19"/>
  <c r="F362" i="19"/>
  <c r="E362" i="19"/>
  <c r="D362" i="19"/>
  <c r="C362" i="19"/>
  <c r="B362" i="19"/>
  <c r="R361" i="19"/>
  <c r="Q361" i="19"/>
  <c r="P361" i="19"/>
  <c r="O361" i="19"/>
  <c r="N361" i="19"/>
  <c r="M361" i="19"/>
  <c r="L361" i="19"/>
  <c r="K361" i="19"/>
  <c r="J361" i="19"/>
  <c r="I361" i="19"/>
  <c r="H361" i="19"/>
  <c r="G361" i="19"/>
  <c r="F361" i="19"/>
  <c r="E361" i="19"/>
  <c r="D361" i="19"/>
  <c r="C361" i="19"/>
  <c r="B361" i="19"/>
  <c r="R360" i="19"/>
  <c r="Q360" i="19"/>
  <c r="P360" i="19"/>
  <c r="O360" i="19"/>
  <c r="N360" i="19"/>
  <c r="M360" i="19"/>
  <c r="L360" i="19"/>
  <c r="K360" i="19"/>
  <c r="J360" i="19"/>
  <c r="I360" i="19"/>
  <c r="H360" i="19"/>
  <c r="G360" i="19"/>
  <c r="F360" i="19"/>
  <c r="E360" i="19"/>
  <c r="D360" i="19"/>
  <c r="C360" i="19"/>
  <c r="B360" i="19"/>
  <c r="R359" i="19"/>
  <c r="Q359" i="19"/>
  <c r="P359" i="19"/>
  <c r="O359" i="19"/>
  <c r="N359" i="19"/>
  <c r="M359" i="19"/>
  <c r="L359" i="19"/>
  <c r="K359" i="19"/>
  <c r="J359" i="19"/>
  <c r="I359" i="19"/>
  <c r="H359" i="19"/>
  <c r="G359" i="19"/>
  <c r="F359" i="19"/>
  <c r="E359" i="19"/>
  <c r="D359" i="19"/>
  <c r="C359" i="19"/>
  <c r="B359" i="19"/>
  <c r="R358" i="19"/>
  <c r="Q358" i="19"/>
  <c r="P358" i="19"/>
  <c r="O358" i="19"/>
  <c r="N358" i="19"/>
  <c r="M358" i="19"/>
  <c r="L358" i="19"/>
  <c r="K358" i="19"/>
  <c r="J358" i="19"/>
  <c r="I358" i="19"/>
  <c r="H358" i="19"/>
  <c r="G358" i="19"/>
  <c r="F358" i="19"/>
  <c r="E358" i="19"/>
  <c r="D358" i="19"/>
  <c r="C358" i="19"/>
  <c r="B358" i="19"/>
  <c r="R357" i="19"/>
  <c r="Q357" i="19"/>
  <c r="P357" i="19"/>
  <c r="O357" i="19"/>
  <c r="N357" i="19"/>
  <c r="M357" i="19"/>
  <c r="L357" i="19"/>
  <c r="K357" i="19"/>
  <c r="J357" i="19"/>
  <c r="I357" i="19"/>
  <c r="H357" i="19"/>
  <c r="G357" i="19"/>
  <c r="F357" i="19"/>
  <c r="E357" i="19"/>
  <c r="D357" i="19"/>
  <c r="C357" i="19"/>
  <c r="B357" i="19"/>
  <c r="R356" i="19"/>
  <c r="Q356" i="19"/>
  <c r="P356" i="19"/>
  <c r="O356" i="19"/>
  <c r="N356" i="19"/>
  <c r="M356" i="19"/>
  <c r="L356" i="19"/>
  <c r="K356" i="19"/>
  <c r="J356" i="19"/>
  <c r="I356" i="19"/>
  <c r="H356" i="19"/>
  <c r="G356" i="19"/>
  <c r="F356" i="19"/>
  <c r="E356" i="19"/>
  <c r="D356" i="19"/>
  <c r="C356" i="19"/>
  <c r="B356" i="19"/>
  <c r="R355" i="19"/>
  <c r="Q355" i="19"/>
  <c r="P355" i="19"/>
  <c r="O355" i="19"/>
  <c r="N355" i="19"/>
  <c r="M355" i="19"/>
  <c r="L355" i="19"/>
  <c r="K355" i="19"/>
  <c r="J355" i="19"/>
  <c r="I355" i="19"/>
  <c r="H355" i="19"/>
  <c r="G355" i="19"/>
  <c r="F355" i="19"/>
  <c r="E355" i="19"/>
  <c r="D355" i="19"/>
  <c r="C355" i="19"/>
  <c r="B355" i="19"/>
  <c r="R354" i="19"/>
  <c r="Q354" i="19"/>
  <c r="P354" i="19"/>
  <c r="O354" i="19"/>
  <c r="N354" i="19"/>
  <c r="M354" i="19"/>
  <c r="L354" i="19"/>
  <c r="K354" i="19"/>
  <c r="J354" i="19"/>
  <c r="I354" i="19"/>
  <c r="H354" i="19"/>
  <c r="G354" i="19"/>
  <c r="F354" i="19"/>
  <c r="E354" i="19"/>
  <c r="D354" i="19"/>
  <c r="C354" i="19"/>
  <c r="B354" i="19"/>
  <c r="R353" i="19"/>
  <c r="Q353" i="19"/>
  <c r="P353" i="19"/>
  <c r="O353" i="19"/>
  <c r="N353" i="19"/>
  <c r="M353" i="19"/>
  <c r="L353" i="19"/>
  <c r="K353" i="19"/>
  <c r="J353" i="19"/>
  <c r="I353" i="19"/>
  <c r="H353" i="19"/>
  <c r="G353" i="19"/>
  <c r="F353" i="19"/>
  <c r="E353" i="19"/>
  <c r="D353" i="19"/>
  <c r="C353" i="19"/>
  <c r="B353" i="19"/>
  <c r="R352" i="19"/>
  <c r="Q352" i="19"/>
  <c r="P352" i="19"/>
  <c r="O352" i="19"/>
  <c r="N352" i="19"/>
  <c r="M352" i="19"/>
  <c r="L352" i="19"/>
  <c r="K352" i="19"/>
  <c r="J352" i="19"/>
  <c r="I352" i="19"/>
  <c r="H352" i="19"/>
  <c r="G352" i="19"/>
  <c r="F352" i="19"/>
  <c r="E352" i="19"/>
  <c r="D352" i="19"/>
  <c r="C352" i="19"/>
  <c r="R351" i="19"/>
  <c r="Q351" i="19"/>
  <c r="P351" i="19"/>
  <c r="O351" i="19"/>
  <c r="N351" i="19"/>
  <c r="M351" i="19"/>
  <c r="L351" i="19"/>
  <c r="K351" i="19"/>
  <c r="J351" i="19"/>
  <c r="I351" i="19"/>
  <c r="H351" i="19"/>
  <c r="G351" i="19"/>
  <c r="F351" i="19"/>
  <c r="E351" i="19"/>
  <c r="D351" i="19"/>
  <c r="C351" i="19"/>
  <c r="B351" i="19"/>
  <c r="R350" i="19"/>
  <c r="Q350" i="19"/>
  <c r="P350" i="19"/>
  <c r="O350" i="19"/>
  <c r="N350" i="19"/>
  <c r="M350" i="19"/>
  <c r="L350" i="19"/>
  <c r="K350" i="19"/>
  <c r="J350" i="19"/>
  <c r="I350" i="19"/>
  <c r="H350" i="19"/>
  <c r="G350" i="19"/>
  <c r="F350" i="19"/>
  <c r="E350" i="19"/>
  <c r="D350" i="19"/>
  <c r="C350" i="19"/>
  <c r="B350" i="19"/>
  <c r="R349" i="19"/>
  <c r="Q349" i="19"/>
  <c r="P349" i="19"/>
  <c r="O349" i="19"/>
  <c r="N349" i="19"/>
  <c r="M349" i="19"/>
  <c r="L349" i="19"/>
  <c r="K349" i="19"/>
  <c r="J349" i="19"/>
  <c r="I349" i="19"/>
  <c r="H349" i="19"/>
  <c r="G349" i="19"/>
  <c r="F349" i="19"/>
  <c r="E349" i="19"/>
  <c r="D349" i="19"/>
  <c r="C349" i="19"/>
  <c r="B349" i="19"/>
  <c r="R348" i="19"/>
  <c r="Q348" i="19"/>
  <c r="P348" i="19"/>
  <c r="O348" i="19"/>
  <c r="N348" i="19"/>
  <c r="M348" i="19"/>
  <c r="L348" i="19"/>
  <c r="K348" i="19"/>
  <c r="J348" i="19"/>
  <c r="I348" i="19"/>
  <c r="H348" i="19"/>
  <c r="G348" i="19"/>
  <c r="F348" i="19"/>
  <c r="E348" i="19"/>
  <c r="D348" i="19"/>
  <c r="C348" i="19"/>
  <c r="B348" i="19"/>
  <c r="R347" i="19"/>
  <c r="Q347" i="19"/>
  <c r="P347" i="19"/>
  <c r="O347" i="19"/>
  <c r="N347" i="19"/>
  <c r="M347" i="19"/>
  <c r="L347" i="19"/>
  <c r="K347" i="19"/>
  <c r="J347" i="19"/>
  <c r="I347" i="19"/>
  <c r="H347" i="19"/>
  <c r="G347" i="19"/>
  <c r="F347" i="19"/>
  <c r="E347" i="19"/>
  <c r="D347" i="19"/>
  <c r="C347" i="19"/>
  <c r="B347" i="19"/>
  <c r="R346" i="19"/>
  <c r="Q346" i="19"/>
  <c r="P346" i="19"/>
  <c r="O346" i="19"/>
  <c r="N346" i="19"/>
  <c r="M346" i="19"/>
  <c r="L346" i="19"/>
  <c r="K346" i="19"/>
  <c r="J346" i="19"/>
  <c r="I346" i="19"/>
  <c r="H346" i="19"/>
  <c r="G346" i="19"/>
  <c r="F346" i="19"/>
  <c r="E346" i="19"/>
  <c r="D346" i="19"/>
  <c r="C346" i="19"/>
  <c r="B346" i="19"/>
  <c r="R345" i="19"/>
  <c r="Q345" i="19"/>
  <c r="P345" i="19"/>
  <c r="O345" i="19"/>
  <c r="N345" i="19"/>
  <c r="M345" i="19"/>
  <c r="L345" i="19"/>
  <c r="K345" i="19"/>
  <c r="J345" i="19"/>
  <c r="I345" i="19"/>
  <c r="H345" i="19"/>
  <c r="G345" i="19"/>
  <c r="F345" i="19"/>
  <c r="E345" i="19"/>
  <c r="D345" i="19"/>
  <c r="C345" i="19"/>
  <c r="B345" i="19"/>
  <c r="R344" i="19"/>
  <c r="Q344" i="19"/>
  <c r="P344" i="19"/>
  <c r="O344" i="19"/>
  <c r="N344" i="19"/>
  <c r="M344" i="19"/>
  <c r="L344" i="19"/>
  <c r="K344" i="19"/>
  <c r="J344" i="19"/>
  <c r="I344" i="19"/>
  <c r="H344" i="19"/>
  <c r="G344" i="19"/>
  <c r="F344" i="19"/>
  <c r="E344" i="19"/>
  <c r="D344" i="19"/>
  <c r="C344" i="19"/>
  <c r="B344" i="19"/>
  <c r="R343" i="19"/>
  <c r="Q343" i="19"/>
  <c r="P343" i="19"/>
  <c r="O343" i="19"/>
  <c r="N343" i="19"/>
  <c r="M343" i="19"/>
  <c r="L343" i="19"/>
  <c r="K343" i="19"/>
  <c r="J343" i="19"/>
  <c r="I343" i="19"/>
  <c r="H343" i="19"/>
  <c r="G343" i="19"/>
  <c r="F343" i="19"/>
  <c r="E343" i="19"/>
  <c r="D343" i="19"/>
  <c r="C343" i="19"/>
  <c r="B343" i="19"/>
  <c r="R342" i="19"/>
  <c r="Q342" i="19"/>
  <c r="P342" i="19"/>
  <c r="O342" i="19"/>
  <c r="N342" i="19"/>
  <c r="M342" i="19"/>
  <c r="L342" i="19"/>
  <c r="K342" i="19"/>
  <c r="J342" i="19"/>
  <c r="I342" i="19"/>
  <c r="H342" i="19"/>
  <c r="G342" i="19"/>
  <c r="F342" i="19"/>
  <c r="E342" i="19"/>
  <c r="D342" i="19"/>
  <c r="C342" i="19"/>
  <c r="B342" i="19"/>
  <c r="R341" i="19"/>
  <c r="Q341" i="19"/>
  <c r="P341" i="19"/>
  <c r="O341" i="19"/>
  <c r="N341" i="19"/>
  <c r="M341" i="19"/>
  <c r="L341" i="19"/>
  <c r="K341" i="19"/>
  <c r="J341" i="19"/>
  <c r="I341" i="19"/>
  <c r="H341" i="19"/>
  <c r="G341" i="19"/>
  <c r="F341" i="19"/>
  <c r="E341" i="19"/>
  <c r="D341" i="19"/>
  <c r="C341" i="19"/>
  <c r="B341" i="19"/>
  <c r="R340" i="19"/>
  <c r="Q340" i="19"/>
  <c r="P340" i="19"/>
  <c r="O340" i="19"/>
  <c r="N340" i="19"/>
  <c r="M340" i="19"/>
  <c r="L340" i="19"/>
  <c r="K340" i="19"/>
  <c r="J340" i="19"/>
  <c r="I340" i="19"/>
  <c r="H340" i="19"/>
  <c r="G340" i="19"/>
  <c r="F340" i="19"/>
  <c r="E340" i="19"/>
  <c r="D340" i="19"/>
  <c r="C340" i="19"/>
  <c r="B340" i="19"/>
  <c r="R339" i="19"/>
  <c r="Q339" i="19"/>
  <c r="P339" i="19"/>
  <c r="O339" i="19"/>
  <c r="N339" i="19"/>
  <c r="M339" i="19"/>
  <c r="L339" i="19"/>
  <c r="K339" i="19"/>
  <c r="J339" i="19"/>
  <c r="I339" i="19"/>
  <c r="H339" i="19"/>
  <c r="G339" i="19"/>
  <c r="F339" i="19"/>
  <c r="E339" i="19"/>
  <c r="D339" i="19"/>
  <c r="C339" i="19"/>
  <c r="B339" i="19"/>
  <c r="R338" i="19"/>
  <c r="Q338" i="19"/>
  <c r="P338" i="19"/>
  <c r="O338" i="19"/>
  <c r="N338" i="19"/>
  <c r="M338" i="19"/>
  <c r="L338" i="19"/>
  <c r="K338" i="19"/>
  <c r="J338" i="19"/>
  <c r="I338" i="19"/>
  <c r="H338" i="19"/>
  <c r="G338" i="19"/>
  <c r="F338" i="19"/>
  <c r="E338" i="19"/>
  <c r="D338" i="19"/>
  <c r="C338" i="19"/>
  <c r="B338" i="19"/>
  <c r="R337" i="19"/>
  <c r="Q337" i="19"/>
  <c r="P337" i="19"/>
  <c r="O337" i="19"/>
  <c r="N337" i="19"/>
  <c r="M337" i="19"/>
  <c r="L337" i="19"/>
  <c r="K337" i="19"/>
  <c r="J337" i="19"/>
  <c r="I337" i="19"/>
  <c r="H337" i="19"/>
  <c r="G337" i="19"/>
  <c r="F337" i="19"/>
  <c r="E337" i="19"/>
  <c r="D337" i="19"/>
  <c r="C337" i="19"/>
  <c r="B337" i="19"/>
  <c r="R336" i="19"/>
  <c r="Q336" i="19"/>
  <c r="P336" i="19"/>
  <c r="O336" i="19"/>
  <c r="N336" i="19"/>
  <c r="M336" i="19"/>
  <c r="L336" i="19"/>
  <c r="K336" i="19"/>
  <c r="J336" i="19"/>
  <c r="I336" i="19"/>
  <c r="H336" i="19"/>
  <c r="G336" i="19"/>
  <c r="F336" i="19"/>
  <c r="E336" i="19"/>
  <c r="D336" i="19"/>
  <c r="C336" i="19"/>
  <c r="B336" i="19"/>
  <c r="R335" i="19"/>
  <c r="Q335" i="19"/>
  <c r="P335" i="19"/>
  <c r="O335" i="19"/>
  <c r="N335" i="19"/>
  <c r="M335" i="19"/>
  <c r="L335" i="19"/>
  <c r="K335" i="19"/>
  <c r="J335" i="19"/>
  <c r="I335" i="19"/>
  <c r="H335" i="19"/>
  <c r="G335" i="19"/>
  <c r="F335" i="19"/>
  <c r="E335" i="19"/>
  <c r="D335" i="19"/>
  <c r="C335" i="19"/>
  <c r="B335" i="19"/>
  <c r="R334" i="19"/>
  <c r="Q334" i="19"/>
  <c r="P334" i="19"/>
  <c r="O334" i="19"/>
  <c r="N334" i="19"/>
  <c r="M334" i="19"/>
  <c r="L334" i="19"/>
  <c r="K334" i="19"/>
  <c r="J334" i="19"/>
  <c r="I334" i="19"/>
  <c r="H334" i="19"/>
  <c r="G334" i="19"/>
  <c r="F334" i="19"/>
  <c r="E334" i="19"/>
  <c r="D334" i="19"/>
  <c r="C334" i="19"/>
  <c r="B334" i="19"/>
  <c r="R333" i="19"/>
  <c r="Q333" i="19"/>
  <c r="P333" i="19"/>
  <c r="O333" i="19"/>
  <c r="N333" i="19"/>
  <c r="M333" i="19"/>
  <c r="L333" i="19"/>
  <c r="K333" i="19"/>
  <c r="J333" i="19"/>
  <c r="I333" i="19"/>
  <c r="H333" i="19"/>
  <c r="G333" i="19"/>
  <c r="F333" i="19"/>
  <c r="E333" i="19"/>
  <c r="D333" i="19"/>
  <c r="C333" i="19"/>
  <c r="B333" i="19"/>
  <c r="R332" i="19"/>
  <c r="Q332" i="19"/>
  <c r="P332" i="19"/>
  <c r="O332" i="19"/>
  <c r="N332" i="19"/>
  <c r="M332" i="19"/>
  <c r="L332" i="19"/>
  <c r="K332" i="19"/>
  <c r="J332" i="19"/>
  <c r="I332" i="19"/>
  <c r="H332" i="19"/>
  <c r="G332" i="19"/>
  <c r="F332" i="19"/>
  <c r="E332" i="19"/>
  <c r="D332" i="19"/>
  <c r="C332" i="19"/>
  <c r="B332" i="19"/>
  <c r="R331" i="19"/>
  <c r="Q331" i="19"/>
  <c r="P331" i="19"/>
  <c r="O331" i="19"/>
  <c r="N331" i="19"/>
  <c r="M331" i="19"/>
  <c r="L331" i="19"/>
  <c r="K331" i="19"/>
  <c r="J331" i="19"/>
  <c r="I331" i="19"/>
  <c r="H331" i="19"/>
  <c r="G331" i="19"/>
  <c r="F331" i="19"/>
  <c r="E331" i="19"/>
  <c r="D331" i="19"/>
  <c r="C331" i="19"/>
  <c r="B331" i="19"/>
  <c r="R330" i="19"/>
  <c r="Q330" i="19"/>
  <c r="P330" i="19"/>
  <c r="O330" i="19"/>
  <c r="N330" i="19"/>
  <c r="M330" i="19"/>
  <c r="L330" i="19"/>
  <c r="K330" i="19"/>
  <c r="J330" i="19"/>
  <c r="I330" i="19"/>
  <c r="H330" i="19"/>
  <c r="G330" i="19"/>
  <c r="F330" i="19"/>
  <c r="E330" i="19"/>
  <c r="D330" i="19"/>
  <c r="C330" i="19"/>
  <c r="B330" i="19"/>
  <c r="R329" i="19"/>
  <c r="Q329" i="19"/>
  <c r="P329" i="19"/>
  <c r="O329" i="19"/>
  <c r="N329" i="19"/>
  <c r="M329" i="19"/>
  <c r="L329" i="19"/>
  <c r="K329" i="19"/>
  <c r="J329" i="19"/>
  <c r="I329" i="19"/>
  <c r="H329" i="19"/>
  <c r="G329" i="19"/>
  <c r="F329" i="19"/>
  <c r="E329" i="19"/>
  <c r="D329" i="19"/>
  <c r="C329" i="19"/>
  <c r="B329" i="19"/>
  <c r="R328" i="19"/>
  <c r="Q328" i="19"/>
  <c r="P328" i="19"/>
  <c r="O328" i="19"/>
  <c r="N328" i="19"/>
  <c r="M328" i="19"/>
  <c r="L328" i="19"/>
  <c r="K328" i="19"/>
  <c r="J328" i="19"/>
  <c r="I328" i="19"/>
  <c r="H328" i="19"/>
  <c r="G328" i="19"/>
  <c r="F328" i="19"/>
  <c r="E328" i="19"/>
  <c r="D328" i="19"/>
  <c r="C328" i="19"/>
  <c r="B328" i="19"/>
  <c r="R327" i="19"/>
  <c r="Q327" i="19"/>
  <c r="P327" i="19"/>
  <c r="O327" i="19"/>
  <c r="N327" i="19"/>
  <c r="M327" i="19"/>
  <c r="L327" i="19"/>
  <c r="K327" i="19"/>
  <c r="J327" i="19"/>
  <c r="I327" i="19"/>
  <c r="H327" i="19"/>
  <c r="G327" i="19"/>
  <c r="F327" i="19"/>
  <c r="E327" i="19"/>
  <c r="D327" i="19"/>
  <c r="C327" i="19"/>
  <c r="B327" i="19"/>
  <c r="R326" i="19"/>
  <c r="Q326" i="19"/>
  <c r="P326" i="19"/>
  <c r="O326" i="19"/>
  <c r="N326" i="19"/>
  <c r="M326" i="19"/>
  <c r="L326" i="19"/>
  <c r="K326" i="19"/>
  <c r="J326" i="19"/>
  <c r="I326" i="19"/>
  <c r="H326" i="19"/>
  <c r="G326" i="19"/>
  <c r="F326" i="19"/>
  <c r="E326" i="19"/>
  <c r="D326" i="19"/>
  <c r="C326" i="19"/>
  <c r="B326" i="19"/>
  <c r="R325" i="19"/>
  <c r="Q325" i="19"/>
  <c r="P325" i="19"/>
  <c r="O325" i="19"/>
  <c r="N325" i="19"/>
  <c r="M325" i="19"/>
  <c r="L325" i="19"/>
  <c r="K325" i="19"/>
  <c r="J325" i="19"/>
  <c r="I325" i="19"/>
  <c r="H325" i="19"/>
  <c r="G325" i="19"/>
  <c r="F325" i="19"/>
  <c r="E325" i="19"/>
  <c r="D325" i="19"/>
  <c r="C325" i="19"/>
  <c r="B325" i="19"/>
  <c r="R324" i="19"/>
  <c r="Q324" i="19"/>
  <c r="P324" i="19"/>
  <c r="O324" i="19"/>
  <c r="N324" i="19"/>
  <c r="M324" i="19"/>
  <c r="L324" i="19"/>
  <c r="K324" i="19"/>
  <c r="J324" i="19"/>
  <c r="I324" i="19"/>
  <c r="H324" i="19"/>
  <c r="G324" i="19"/>
  <c r="F324" i="19"/>
  <c r="E324" i="19"/>
  <c r="D324" i="19"/>
  <c r="C324" i="19"/>
  <c r="B324" i="19"/>
  <c r="R323" i="19"/>
  <c r="Q323" i="19"/>
  <c r="P323" i="19"/>
  <c r="O323" i="19"/>
  <c r="N323" i="19"/>
  <c r="M323" i="19"/>
  <c r="L323" i="19"/>
  <c r="K323" i="19"/>
  <c r="J323" i="19"/>
  <c r="I323" i="19"/>
  <c r="H323" i="19"/>
  <c r="G323" i="19"/>
  <c r="F323" i="19"/>
  <c r="E323" i="19"/>
  <c r="D323" i="19"/>
  <c r="C323" i="19"/>
  <c r="B323" i="19"/>
  <c r="R322" i="19"/>
  <c r="Q322" i="19"/>
  <c r="P322" i="19"/>
  <c r="O322" i="19"/>
  <c r="N322" i="19"/>
  <c r="M322" i="19"/>
  <c r="L322" i="19"/>
  <c r="K322" i="19"/>
  <c r="J322" i="19"/>
  <c r="I322" i="19"/>
  <c r="H322" i="19"/>
  <c r="G322" i="19"/>
  <c r="F322" i="19"/>
  <c r="E322" i="19"/>
  <c r="D322" i="19"/>
  <c r="C322" i="19"/>
  <c r="B322" i="19"/>
  <c r="R321" i="19"/>
  <c r="Q321" i="19"/>
  <c r="P321" i="19"/>
  <c r="O321" i="19"/>
  <c r="N321" i="19"/>
  <c r="M321" i="19"/>
  <c r="L321" i="19"/>
  <c r="K321" i="19"/>
  <c r="J321" i="19"/>
  <c r="I321" i="19"/>
  <c r="H321" i="19"/>
  <c r="G321" i="19"/>
  <c r="F321" i="19"/>
  <c r="E321" i="19"/>
  <c r="D321" i="19"/>
  <c r="C321" i="19"/>
  <c r="B321" i="19"/>
  <c r="R320" i="19"/>
  <c r="Q320" i="19"/>
  <c r="P320" i="19"/>
  <c r="O320" i="19"/>
  <c r="N320" i="19"/>
  <c r="M320" i="19"/>
  <c r="L320" i="19"/>
  <c r="K320" i="19"/>
  <c r="J320" i="19"/>
  <c r="I320" i="19"/>
  <c r="H320" i="19"/>
  <c r="G320" i="19"/>
  <c r="F320" i="19"/>
  <c r="E320" i="19"/>
  <c r="D320" i="19"/>
  <c r="C320" i="19"/>
  <c r="B320" i="19"/>
  <c r="R319" i="19"/>
  <c r="Q319" i="19"/>
  <c r="P319" i="19"/>
  <c r="O319" i="19"/>
  <c r="N319" i="19"/>
  <c r="M319" i="19"/>
  <c r="L319" i="19"/>
  <c r="K319" i="19"/>
  <c r="J319" i="19"/>
  <c r="I319" i="19"/>
  <c r="H319" i="19"/>
  <c r="G319" i="19"/>
  <c r="F319" i="19"/>
  <c r="E319" i="19"/>
  <c r="D319" i="19"/>
  <c r="C319" i="19"/>
  <c r="B319" i="19"/>
  <c r="R318" i="19"/>
  <c r="Q318" i="19"/>
  <c r="P318" i="19"/>
  <c r="O318" i="19"/>
  <c r="N318" i="19"/>
  <c r="M318" i="19"/>
  <c r="L318" i="19"/>
  <c r="K318" i="19"/>
  <c r="J318" i="19"/>
  <c r="I318" i="19"/>
  <c r="H318" i="19"/>
  <c r="G318" i="19"/>
  <c r="F318" i="19"/>
  <c r="E318" i="19"/>
  <c r="D318" i="19"/>
  <c r="C318" i="19"/>
  <c r="B318" i="19"/>
  <c r="R317" i="19"/>
  <c r="Q317" i="19"/>
  <c r="P317" i="19"/>
  <c r="O317" i="19"/>
  <c r="N317" i="19"/>
  <c r="M317" i="19"/>
  <c r="L317" i="19"/>
  <c r="K317" i="19"/>
  <c r="J317" i="19"/>
  <c r="I317" i="19"/>
  <c r="H317" i="19"/>
  <c r="G317" i="19"/>
  <c r="F317" i="19"/>
  <c r="E317" i="19"/>
  <c r="D317" i="19"/>
  <c r="C317" i="19"/>
  <c r="B317" i="19"/>
  <c r="R316" i="19"/>
  <c r="Q316" i="19"/>
  <c r="P316" i="19"/>
  <c r="O316" i="19"/>
  <c r="N316" i="19"/>
  <c r="M316" i="19"/>
  <c r="L316" i="19"/>
  <c r="K316" i="19"/>
  <c r="J316" i="19"/>
  <c r="I316" i="19"/>
  <c r="H316" i="19"/>
  <c r="G316" i="19"/>
  <c r="F316" i="19"/>
  <c r="E316" i="19"/>
  <c r="D316" i="19"/>
  <c r="C316" i="19"/>
  <c r="B316" i="19"/>
  <c r="R315" i="19"/>
  <c r="Q315" i="19"/>
  <c r="P315" i="19"/>
  <c r="O315" i="19"/>
  <c r="N315" i="19"/>
  <c r="M315" i="19"/>
  <c r="L315" i="19"/>
  <c r="K315" i="19"/>
  <c r="J315" i="19"/>
  <c r="I315" i="19"/>
  <c r="H315" i="19"/>
  <c r="G315" i="19"/>
  <c r="F315" i="19"/>
  <c r="E315" i="19"/>
  <c r="D315" i="19"/>
  <c r="C315" i="19"/>
  <c r="B315" i="19"/>
  <c r="R314" i="19"/>
  <c r="Q314" i="19"/>
  <c r="P314" i="19"/>
  <c r="O314" i="19"/>
  <c r="N314" i="19"/>
  <c r="M314" i="19"/>
  <c r="L314" i="19"/>
  <c r="K314" i="19"/>
  <c r="J314" i="19"/>
  <c r="I314" i="19"/>
  <c r="H314" i="19"/>
  <c r="G314" i="19"/>
  <c r="F314" i="19"/>
  <c r="E314" i="19"/>
  <c r="D314" i="19"/>
  <c r="C314" i="19"/>
  <c r="B314" i="19"/>
  <c r="R313" i="19"/>
  <c r="Q313" i="19"/>
  <c r="P313" i="19"/>
  <c r="O313" i="19"/>
  <c r="N313" i="19"/>
  <c r="M313" i="19"/>
  <c r="L313" i="19"/>
  <c r="K313" i="19"/>
  <c r="J313" i="19"/>
  <c r="I313" i="19"/>
  <c r="H313" i="19"/>
  <c r="G313" i="19"/>
  <c r="F313" i="19"/>
  <c r="E313" i="19"/>
  <c r="D313" i="19"/>
  <c r="C313" i="19"/>
  <c r="B313" i="19"/>
  <c r="R312" i="19"/>
  <c r="Q312" i="19"/>
  <c r="P312" i="19"/>
  <c r="O312" i="19"/>
  <c r="N312" i="19"/>
  <c r="M312" i="19"/>
  <c r="L312" i="19"/>
  <c r="K312" i="19"/>
  <c r="J312" i="19"/>
  <c r="I312" i="19"/>
  <c r="H312" i="19"/>
  <c r="G312" i="19"/>
  <c r="F312" i="19"/>
  <c r="E312" i="19"/>
  <c r="D312" i="19"/>
  <c r="B312" i="19"/>
  <c r="R311" i="19"/>
  <c r="Q311" i="19"/>
  <c r="P311" i="19"/>
  <c r="O311" i="19"/>
  <c r="N311" i="19"/>
  <c r="M311" i="19"/>
  <c r="L311" i="19"/>
  <c r="K311" i="19"/>
  <c r="J311" i="19"/>
  <c r="I311" i="19"/>
  <c r="H311" i="19"/>
  <c r="G311" i="19"/>
  <c r="F311" i="19"/>
  <c r="E311" i="19"/>
  <c r="D311" i="19"/>
  <c r="C311" i="19"/>
  <c r="B311" i="19"/>
  <c r="R310" i="19"/>
  <c r="Q310" i="19"/>
  <c r="P310" i="19"/>
  <c r="O310" i="19"/>
  <c r="N310" i="19"/>
  <c r="M310" i="19"/>
  <c r="L310" i="19"/>
  <c r="K310" i="19"/>
  <c r="J310" i="19"/>
  <c r="I310" i="19"/>
  <c r="H310" i="19"/>
  <c r="G310" i="19"/>
  <c r="F310" i="19"/>
  <c r="E310" i="19"/>
  <c r="D310" i="19"/>
  <c r="C310" i="19"/>
  <c r="B310" i="19"/>
  <c r="R309" i="19"/>
  <c r="Q309" i="19"/>
  <c r="P309" i="19"/>
  <c r="O309" i="19"/>
  <c r="N309" i="19"/>
  <c r="M309" i="19"/>
  <c r="L309" i="19"/>
  <c r="K309" i="19"/>
  <c r="J309" i="19"/>
  <c r="I309" i="19"/>
  <c r="H309" i="19"/>
  <c r="G309" i="19"/>
  <c r="F309" i="19"/>
  <c r="E309" i="19"/>
  <c r="D309" i="19"/>
  <c r="C309" i="19"/>
  <c r="B309" i="19"/>
  <c r="R308" i="19"/>
  <c r="Q308" i="19"/>
  <c r="P308" i="19"/>
  <c r="O308" i="19"/>
  <c r="N308" i="19"/>
  <c r="M308" i="19"/>
  <c r="L308" i="19"/>
  <c r="K308" i="19"/>
  <c r="J308" i="19"/>
  <c r="I308" i="19"/>
  <c r="H308" i="19"/>
  <c r="G308" i="19"/>
  <c r="F308" i="19"/>
  <c r="E308" i="19"/>
  <c r="D308" i="19"/>
  <c r="C308" i="19"/>
  <c r="B308" i="19"/>
  <c r="R307" i="19"/>
  <c r="Q307" i="19"/>
  <c r="P307" i="19"/>
  <c r="O307" i="19"/>
  <c r="N307" i="19"/>
  <c r="M307" i="19"/>
  <c r="L307" i="19"/>
  <c r="K307" i="19"/>
  <c r="J307" i="19"/>
  <c r="I307" i="19"/>
  <c r="H307" i="19"/>
  <c r="G307" i="19"/>
  <c r="F307" i="19"/>
  <c r="E307" i="19"/>
  <c r="D307" i="19"/>
  <c r="C307" i="19"/>
  <c r="B307" i="19"/>
  <c r="R306" i="19"/>
  <c r="Q306" i="19"/>
  <c r="P306" i="19"/>
  <c r="O306" i="19"/>
  <c r="N306" i="19"/>
  <c r="M306" i="19"/>
  <c r="L306" i="19"/>
  <c r="K306" i="19"/>
  <c r="J306" i="19"/>
  <c r="I306" i="19"/>
  <c r="H306" i="19"/>
  <c r="G306" i="19"/>
  <c r="F306" i="19"/>
  <c r="E306" i="19"/>
  <c r="D306" i="19"/>
  <c r="C306" i="19"/>
  <c r="B306" i="19"/>
  <c r="R305" i="19"/>
  <c r="Q305" i="19"/>
  <c r="P305" i="19"/>
  <c r="O305" i="19"/>
  <c r="N305" i="19"/>
  <c r="M305" i="19"/>
  <c r="L305" i="19"/>
  <c r="K305" i="19"/>
  <c r="J305" i="19"/>
  <c r="I305" i="19"/>
  <c r="H305" i="19"/>
  <c r="G305" i="19"/>
  <c r="F305" i="19"/>
  <c r="E305" i="19"/>
  <c r="D305" i="19"/>
  <c r="C305" i="19"/>
  <c r="B305" i="19"/>
  <c r="R304" i="19"/>
  <c r="Q304" i="19"/>
  <c r="P304" i="19"/>
  <c r="O304" i="19"/>
  <c r="N304" i="19"/>
  <c r="M304" i="19"/>
  <c r="L304" i="19"/>
  <c r="K304" i="19"/>
  <c r="J304" i="19"/>
  <c r="I304" i="19"/>
  <c r="H304" i="19"/>
  <c r="G304" i="19"/>
  <c r="F304" i="19"/>
  <c r="E304" i="19"/>
  <c r="D304" i="19"/>
  <c r="C304" i="19"/>
  <c r="B304" i="19"/>
  <c r="R303" i="19"/>
  <c r="Q303" i="19"/>
  <c r="P303" i="19"/>
  <c r="O303" i="19"/>
  <c r="N303" i="19"/>
  <c r="M303" i="19"/>
  <c r="L303" i="19"/>
  <c r="K303" i="19"/>
  <c r="J303" i="19"/>
  <c r="I303" i="19"/>
  <c r="H303" i="19"/>
  <c r="G303" i="19"/>
  <c r="F303" i="19"/>
  <c r="E303" i="19"/>
  <c r="D303" i="19"/>
  <c r="C303" i="19"/>
  <c r="B303" i="19"/>
  <c r="R302" i="19"/>
  <c r="Q302" i="19"/>
  <c r="P302" i="19"/>
  <c r="O302" i="19"/>
  <c r="N302" i="19"/>
  <c r="M302" i="19"/>
  <c r="L302" i="19"/>
  <c r="K302" i="19"/>
  <c r="J302" i="19"/>
  <c r="I302" i="19"/>
  <c r="H302" i="19"/>
  <c r="G302" i="19"/>
  <c r="F302" i="19"/>
  <c r="E302" i="19"/>
  <c r="D302" i="19"/>
  <c r="C302" i="19"/>
  <c r="B302" i="19"/>
  <c r="R301" i="19"/>
  <c r="Q301" i="19"/>
  <c r="P301" i="19"/>
  <c r="O301" i="19"/>
  <c r="N301" i="19"/>
  <c r="M301" i="19"/>
  <c r="L301" i="19"/>
  <c r="K301" i="19"/>
  <c r="J301" i="19"/>
  <c r="I301" i="19"/>
  <c r="H301" i="19"/>
  <c r="G301" i="19"/>
  <c r="F301" i="19"/>
  <c r="E301" i="19"/>
  <c r="D301" i="19"/>
  <c r="C301" i="19"/>
  <c r="B301" i="19"/>
  <c r="R300" i="19"/>
  <c r="Q300" i="19"/>
  <c r="P300" i="19"/>
  <c r="O300" i="19"/>
  <c r="N300" i="19"/>
  <c r="M300" i="19"/>
  <c r="L300" i="19"/>
  <c r="K300" i="19"/>
  <c r="J300" i="19"/>
  <c r="I300" i="19"/>
  <c r="H300" i="19"/>
  <c r="G300" i="19"/>
  <c r="F300" i="19"/>
  <c r="E300" i="19"/>
  <c r="D300" i="19"/>
  <c r="C300" i="19"/>
  <c r="B300" i="19"/>
  <c r="R299" i="19"/>
  <c r="Q299" i="19"/>
  <c r="P299" i="19"/>
  <c r="O299" i="19"/>
  <c r="N299" i="19"/>
  <c r="M299" i="19"/>
  <c r="L299" i="19"/>
  <c r="K299" i="19"/>
  <c r="J299" i="19"/>
  <c r="I299" i="19"/>
  <c r="H299" i="19"/>
  <c r="G299" i="19"/>
  <c r="F299" i="19"/>
  <c r="E299" i="19"/>
  <c r="D299" i="19"/>
  <c r="C299" i="19"/>
  <c r="B299" i="19"/>
  <c r="R298" i="19"/>
  <c r="Q298" i="19"/>
  <c r="P298" i="19"/>
  <c r="O298" i="19"/>
  <c r="N298" i="19"/>
  <c r="M298" i="19"/>
  <c r="L298" i="19"/>
  <c r="K298" i="19"/>
  <c r="J298" i="19"/>
  <c r="I298" i="19"/>
  <c r="H298" i="19"/>
  <c r="G298" i="19"/>
  <c r="F298" i="19"/>
  <c r="E298" i="19"/>
  <c r="D298" i="19"/>
  <c r="C298" i="19"/>
  <c r="B298" i="19"/>
  <c r="R297" i="19"/>
  <c r="Q297" i="19"/>
  <c r="P297" i="19"/>
  <c r="O297" i="19"/>
  <c r="N297" i="19"/>
  <c r="M297" i="19"/>
  <c r="L297" i="19"/>
  <c r="K297" i="19"/>
  <c r="J297" i="19"/>
  <c r="I297" i="19"/>
  <c r="H297" i="19"/>
  <c r="G297" i="19"/>
  <c r="F297" i="19"/>
  <c r="E297" i="19"/>
  <c r="D297" i="19"/>
  <c r="C297" i="19"/>
  <c r="B297" i="19"/>
  <c r="R296" i="19"/>
  <c r="Q296" i="19"/>
  <c r="P296" i="19"/>
  <c r="O296" i="19"/>
  <c r="N296" i="19"/>
  <c r="M296" i="19"/>
  <c r="L296" i="19"/>
  <c r="K296" i="19"/>
  <c r="J296" i="19"/>
  <c r="I296" i="19"/>
  <c r="H296" i="19"/>
  <c r="G296" i="19"/>
  <c r="F296" i="19"/>
  <c r="E296" i="19"/>
  <c r="D296" i="19"/>
  <c r="C296" i="19"/>
  <c r="B296" i="19"/>
  <c r="R295" i="19"/>
  <c r="Q295" i="19"/>
  <c r="P295" i="19"/>
  <c r="O295" i="19"/>
  <c r="N295" i="19"/>
  <c r="M295" i="19"/>
  <c r="L295" i="19"/>
  <c r="K295" i="19"/>
  <c r="J295" i="19"/>
  <c r="I295" i="19"/>
  <c r="H295" i="19"/>
  <c r="G295" i="19"/>
  <c r="F295" i="19"/>
  <c r="E295" i="19"/>
  <c r="D295" i="19"/>
  <c r="C295" i="19"/>
  <c r="B295" i="19"/>
  <c r="R294" i="19"/>
  <c r="Q294" i="19"/>
  <c r="P294" i="19"/>
  <c r="O294" i="19"/>
  <c r="N294" i="19"/>
  <c r="M294" i="19"/>
  <c r="L294" i="19"/>
  <c r="K294" i="19"/>
  <c r="J294" i="19"/>
  <c r="I294" i="19"/>
  <c r="H294" i="19"/>
  <c r="G294" i="19"/>
  <c r="F294" i="19"/>
  <c r="E294" i="19"/>
  <c r="D294" i="19"/>
  <c r="C294" i="19"/>
  <c r="B294" i="19"/>
  <c r="R293" i="19"/>
  <c r="Q293" i="19"/>
  <c r="P293" i="19"/>
  <c r="O293" i="19"/>
  <c r="N293" i="19"/>
  <c r="M293" i="19"/>
  <c r="L293" i="19"/>
  <c r="K293" i="19"/>
  <c r="J293" i="19"/>
  <c r="I293" i="19"/>
  <c r="H293" i="19"/>
  <c r="G293" i="19"/>
  <c r="F293" i="19"/>
  <c r="E293" i="19"/>
  <c r="D293" i="19"/>
  <c r="C293" i="19"/>
  <c r="B293" i="19"/>
  <c r="R292" i="19"/>
  <c r="Q292" i="19"/>
  <c r="P292" i="19"/>
  <c r="O292" i="19"/>
  <c r="N292" i="19"/>
  <c r="M292" i="19"/>
  <c r="L292" i="19"/>
  <c r="K292" i="19"/>
  <c r="J292" i="19"/>
  <c r="I292" i="19"/>
  <c r="H292" i="19"/>
  <c r="G292" i="19"/>
  <c r="F292" i="19"/>
  <c r="E292" i="19"/>
  <c r="D292" i="19"/>
  <c r="C292" i="19"/>
  <c r="B292" i="19"/>
  <c r="R291" i="19"/>
  <c r="Q291" i="19"/>
  <c r="P291" i="19"/>
  <c r="O291" i="19"/>
  <c r="N291" i="19"/>
  <c r="M291" i="19"/>
  <c r="L291" i="19"/>
  <c r="K291" i="19"/>
  <c r="J291" i="19"/>
  <c r="I291" i="19"/>
  <c r="H291" i="19"/>
  <c r="G291" i="19"/>
  <c r="F291" i="19"/>
  <c r="E291" i="19"/>
  <c r="D291" i="19"/>
  <c r="C291" i="19"/>
  <c r="B291" i="19"/>
  <c r="R290" i="19"/>
  <c r="Q290" i="19"/>
  <c r="P290" i="19"/>
  <c r="O290" i="19"/>
  <c r="N290" i="19"/>
  <c r="M290" i="19"/>
  <c r="L290" i="19"/>
  <c r="K290" i="19"/>
  <c r="J290" i="19"/>
  <c r="I290" i="19"/>
  <c r="H290" i="19"/>
  <c r="G290" i="19"/>
  <c r="F290" i="19"/>
  <c r="E290" i="19"/>
  <c r="D290" i="19"/>
  <c r="C290" i="19"/>
  <c r="B290" i="19"/>
  <c r="R289" i="19"/>
  <c r="Q289" i="19"/>
  <c r="P289" i="19"/>
  <c r="O289" i="19"/>
  <c r="N289" i="19"/>
  <c r="M289" i="19"/>
  <c r="L289" i="19"/>
  <c r="K289" i="19"/>
  <c r="J289" i="19"/>
  <c r="I289" i="19"/>
  <c r="H289" i="19"/>
  <c r="G289" i="19"/>
  <c r="F289" i="19"/>
  <c r="E289" i="19"/>
  <c r="D289" i="19"/>
  <c r="C289" i="19"/>
  <c r="B289" i="19"/>
  <c r="R288" i="19"/>
  <c r="Q288" i="19"/>
  <c r="P288" i="19"/>
  <c r="O288" i="19"/>
  <c r="N288" i="19"/>
  <c r="M288" i="19"/>
  <c r="L288" i="19"/>
  <c r="K288" i="19"/>
  <c r="J288" i="19"/>
  <c r="I288" i="19"/>
  <c r="H288" i="19"/>
  <c r="G288" i="19"/>
  <c r="F288" i="19"/>
  <c r="E288" i="19"/>
  <c r="D288" i="19"/>
  <c r="C288" i="19"/>
  <c r="B288" i="19"/>
  <c r="R287" i="19"/>
  <c r="Q287" i="19"/>
  <c r="P287" i="19"/>
  <c r="O287" i="19"/>
  <c r="N287" i="19"/>
  <c r="M287" i="19"/>
  <c r="L287" i="19"/>
  <c r="K287" i="19"/>
  <c r="J287" i="19"/>
  <c r="I287" i="19"/>
  <c r="H287" i="19"/>
  <c r="G287" i="19"/>
  <c r="F287" i="19"/>
  <c r="E287" i="19"/>
  <c r="D287" i="19"/>
  <c r="C287" i="19"/>
  <c r="B287" i="19"/>
  <c r="R286" i="19"/>
  <c r="Q286" i="19"/>
  <c r="P286" i="19"/>
  <c r="O286" i="19"/>
  <c r="N286" i="19"/>
  <c r="M286" i="19"/>
  <c r="L286" i="19"/>
  <c r="K286" i="19"/>
  <c r="J286" i="19"/>
  <c r="I286" i="19"/>
  <c r="H286" i="19"/>
  <c r="G286" i="19"/>
  <c r="F286" i="19"/>
  <c r="E286" i="19"/>
  <c r="D286" i="19"/>
  <c r="C286" i="19"/>
  <c r="B286" i="19"/>
  <c r="R285" i="19"/>
  <c r="Q285" i="19"/>
  <c r="P285" i="19"/>
  <c r="O285" i="19"/>
  <c r="N285" i="19"/>
  <c r="M285" i="19"/>
  <c r="L285" i="19"/>
  <c r="K285" i="19"/>
  <c r="J285" i="19"/>
  <c r="I285" i="19"/>
  <c r="H285" i="19"/>
  <c r="G285" i="19"/>
  <c r="F285" i="19"/>
  <c r="E285" i="19"/>
  <c r="D285" i="19"/>
  <c r="C285" i="19"/>
  <c r="B285" i="19"/>
  <c r="R284" i="19"/>
  <c r="Q284" i="19"/>
  <c r="P284" i="19"/>
  <c r="O284" i="19"/>
  <c r="N284" i="19"/>
  <c r="M284" i="19"/>
  <c r="L284" i="19"/>
  <c r="K284" i="19"/>
  <c r="J284" i="19"/>
  <c r="I284" i="19"/>
  <c r="H284" i="19"/>
  <c r="G284" i="19"/>
  <c r="F284" i="19"/>
  <c r="E284" i="19"/>
  <c r="D284" i="19"/>
  <c r="C284" i="19"/>
  <c r="B284" i="19"/>
  <c r="R283" i="19"/>
  <c r="Q283" i="19"/>
  <c r="P283" i="19"/>
  <c r="O283" i="19"/>
  <c r="N283" i="19"/>
  <c r="M283" i="19"/>
  <c r="L283" i="19"/>
  <c r="K283" i="19"/>
  <c r="J283" i="19"/>
  <c r="I283" i="19"/>
  <c r="H283" i="19"/>
  <c r="G283" i="19"/>
  <c r="F283" i="19"/>
  <c r="E283" i="19"/>
  <c r="D283" i="19"/>
  <c r="C283" i="19"/>
  <c r="B283" i="19"/>
  <c r="R282" i="19"/>
  <c r="Q282" i="19"/>
  <c r="P282" i="19"/>
  <c r="O282" i="19"/>
  <c r="N282" i="19"/>
  <c r="M282" i="19"/>
  <c r="L282" i="19"/>
  <c r="K282" i="19"/>
  <c r="J282" i="19"/>
  <c r="I282" i="19"/>
  <c r="H282" i="19"/>
  <c r="G282" i="19"/>
  <c r="F282" i="19"/>
  <c r="E282" i="19"/>
  <c r="D282" i="19"/>
  <c r="C282" i="19"/>
  <c r="B282" i="19"/>
  <c r="R281" i="19"/>
  <c r="Q281" i="19"/>
  <c r="P281" i="19"/>
  <c r="O281" i="19"/>
  <c r="N281" i="19"/>
  <c r="M281" i="19"/>
  <c r="L281" i="19"/>
  <c r="K281" i="19"/>
  <c r="J281" i="19"/>
  <c r="I281" i="19"/>
  <c r="H281" i="19"/>
  <c r="G281" i="19"/>
  <c r="F281" i="19"/>
  <c r="E281" i="19"/>
  <c r="D281" i="19"/>
  <c r="C281" i="19"/>
  <c r="B281" i="19"/>
  <c r="R280" i="19"/>
  <c r="Q280" i="19"/>
  <c r="P280" i="19"/>
  <c r="O280" i="19"/>
  <c r="N280" i="19"/>
  <c r="M280" i="19"/>
  <c r="L280" i="19"/>
  <c r="K280" i="19"/>
  <c r="J280" i="19"/>
  <c r="I280" i="19"/>
  <c r="H280" i="19"/>
  <c r="G280" i="19"/>
  <c r="F280" i="19"/>
  <c r="E280" i="19"/>
  <c r="D280" i="19"/>
  <c r="C280" i="19"/>
  <c r="B280" i="19"/>
  <c r="R279" i="19"/>
  <c r="Q279" i="19"/>
  <c r="P279" i="19"/>
  <c r="O279" i="19"/>
  <c r="N279" i="19"/>
  <c r="M279" i="19"/>
  <c r="L279" i="19"/>
  <c r="K279" i="19"/>
  <c r="J279" i="19"/>
  <c r="I279" i="19"/>
  <c r="H279" i="19"/>
  <c r="G279" i="19"/>
  <c r="F279" i="19"/>
  <c r="E279" i="19"/>
  <c r="D279" i="19"/>
  <c r="C279" i="19"/>
  <c r="B279" i="19"/>
  <c r="R278" i="19"/>
  <c r="Q278" i="19"/>
  <c r="P278" i="19"/>
  <c r="O278" i="19"/>
  <c r="N278" i="19"/>
  <c r="M278" i="19"/>
  <c r="L278" i="19"/>
  <c r="K278" i="19"/>
  <c r="J278" i="19"/>
  <c r="I278" i="19"/>
  <c r="H278" i="19"/>
  <c r="G278" i="19"/>
  <c r="F278" i="19"/>
  <c r="E278" i="19"/>
  <c r="D278" i="19"/>
  <c r="C278" i="19"/>
  <c r="B278" i="19"/>
  <c r="R277" i="19"/>
  <c r="Q277" i="19"/>
  <c r="P277" i="19"/>
  <c r="O277" i="19"/>
  <c r="N277" i="19"/>
  <c r="M277" i="19"/>
  <c r="L277" i="19"/>
  <c r="K277" i="19"/>
  <c r="J277" i="19"/>
  <c r="I277" i="19"/>
  <c r="H277" i="19"/>
  <c r="G277" i="19"/>
  <c r="F277" i="19"/>
  <c r="E277" i="19"/>
  <c r="D277" i="19"/>
  <c r="C277" i="19"/>
  <c r="B277" i="19"/>
  <c r="R276" i="19"/>
  <c r="Q276" i="19"/>
  <c r="P276" i="19"/>
  <c r="O276" i="19"/>
  <c r="N276" i="19"/>
  <c r="M276" i="19"/>
  <c r="L276" i="19"/>
  <c r="K276" i="19"/>
  <c r="J276" i="19"/>
  <c r="I276" i="19"/>
  <c r="H276" i="19"/>
  <c r="G276" i="19"/>
  <c r="F276" i="19"/>
  <c r="E276" i="19"/>
  <c r="D276" i="19"/>
  <c r="C276" i="19"/>
  <c r="B276" i="19"/>
  <c r="R275" i="19"/>
  <c r="Q275" i="19"/>
  <c r="P275" i="19"/>
  <c r="O275" i="19"/>
  <c r="N275" i="19"/>
  <c r="M275" i="19"/>
  <c r="L275" i="19"/>
  <c r="K275" i="19"/>
  <c r="J275" i="19"/>
  <c r="I275" i="19"/>
  <c r="H275" i="19"/>
  <c r="G275" i="19"/>
  <c r="F275" i="19"/>
  <c r="E275" i="19"/>
  <c r="D275" i="19"/>
  <c r="C275" i="19"/>
  <c r="B275" i="19"/>
  <c r="R274" i="19"/>
  <c r="Q274" i="19"/>
  <c r="P274" i="19"/>
  <c r="O274" i="19"/>
  <c r="N274" i="19"/>
  <c r="M274" i="19"/>
  <c r="L274" i="19"/>
  <c r="K274" i="19"/>
  <c r="J274" i="19"/>
  <c r="I274" i="19"/>
  <c r="H274" i="19"/>
  <c r="G274" i="19"/>
  <c r="F274" i="19"/>
  <c r="E274" i="19"/>
  <c r="D274" i="19"/>
  <c r="C274" i="19"/>
  <c r="B274" i="19"/>
  <c r="R273" i="19"/>
  <c r="Q273" i="19"/>
  <c r="P273" i="19"/>
  <c r="O273" i="19"/>
  <c r="N273" i="19"/>
  <c r="M273" i="19"/>
  <c r="L273" i="19"/>
  <c r="K273" i="19"/>
  <c r="J273" i="19"/>
  <c r="I273" i="19"/>
  <c r="H273" i="19"/>
  <c r="G273" i="19"/>
  <c r="F273" i="19"/>
  <c r="E273" i="19"/>
  <c r="D273" i="19"/>
  <c r="C273" i="19"/>
  <c r="B273" i="19"/>
  <c r="R272" i="19"/>
  <c r="Q272" i="19"/>
  <c r="P272" i="19"/>
  <c r="O272" i="19"/>
  <c r="N272" i="19"/>
  <c r="M272" i="19"/>
  <c r="L272" i="19"/>
  <c r="K272" i="19"/>
  <c r="J272" i="19"/>
  <c r="I272" i="19"/>
  <c r="H272" i="19"/>
  <c r="G272" i="19"/>
  <c r="F272" i="19"/>
  <c r="E272" i="19"/>
  <c r="D272" i="19"/>
  <c r="C272" i="19"/>
  <c r="B272" i="19"/>
  <c r="R271" i="19"/>
  <c r="Q271" i="19"/>
  <c r="P271" i="19"/>
  <c r="O271" i="19"/>
  <c r="N271" i="19"/>
  <c r="M271" i="19"/>
  <c r="L271" i="19"/>
  <c r="K271" i="19"/>
  <c r="J271" i="19"/>
  <c r="I271" i="19"/>
  <c r="H271" i="19"/>
  <c r="G271" i="19"/>
  <c r="F271" i="19"/>
  <c r="E271" i="19"/>
  <c r="D271" i="19"/>
  <c r="C271" i="19"/>
  <c r="B271" i="19"/>
  <c r="R270" i="19"/>
  <c r="Q270" i="19"/>
  <c r="P270" i="19"/>
  <c r="O270" i="19"/>
  <c r="N270" i="19"/>
  <c r="M270" i="19"/>
  <c r="L270" i="19"/>
  <c r="K270" i="19"/>
  <c r="J270" i="19"/>
  <c r="I270" i="19"/>
  <c r="H270" i="19"/>
  <c r="G270" i="19"/>
  <c r="F270" i="19"/>
  <c r="E270" i="19"/>
  <c r="D270" i="19"/>
  <c r="C270" i="19"/>
  <c r="B270" i="19"/>
  <c r="R269" i="19"/>
  <c r="Q269" i="19"/>
  <c r="P269" i="19"/>
  <c r="O269" i="19"/>
  <c r="N269" i="19"/>
  <c r="M269" i="19"/>
  <c r="L269" i="19"/>
  <c r="K269" i="19"/>
  <c r="J269" i="19"/>
  <c r="I269" i="19"/>
  <c r="H269" i="19"/>
  <c r="G269" i="19"/>
  <c r="F269" i="19"/>
  <c r="E269" i="19"/>
  <c r="D269" i="19"/>
  <c r="C269" i="19"/>
  <c r="B269" i="19"/>
  <c r="R268" i="19"/>
  <c r="Q268" i="19"/>
  <c r="P268" i="19"/>
  <c r="O268" i="19"/>
  <c r="N268" i="19"/>
  <c r="M268" i="19"/>
  <c r="L268" i="19"/>
  <c r="K268" i="19"/>
  <c r="J268" i="19"/>
  <c r="I268" i="19"/>
  <c r="H268" i="19"/>
  <c r="G268" i="19"/>
  <c r="F268" i="19"/>
  <c r="E268" i="19"/>
  <c r="D268" i="19"/>
  <c r="C268" i="19"/>
  <c r="B268" i="19"/>
  <c r="R267" i="19"/>
  <c r="Q267" i="19"/>
  <c r="P267" i="19"/>
  <c r="O267" i="19"/>
  <c r="N267" i="19"/>
  <c r="M267" i="19"/>
  <c r="L267" i="19"/>
  <c r="K267" i="19"/>
  <c r="J267" i="19"/>
  <c r="I267" i="19"/>
  <c r="H267" i="19"/>
  <c r="G267" i="19"/>
  <c r="F267" i="19"/>
  <c r="E267" i="19"/>
  <c r="D267" i="19"/>
  <c r="C267" i="19"/>
  <c r="B267" i="19"/>
  <c r="R266" i="19"/>
  <c r="Q266" i="19"/>
  <c r="P266" i="19"/>
  <c r="O266" i="19"/>
  <c r="N266" i="19"/>
  <c r="M266" i="19"/>
  <c r="L266" i="19"/>
  <c r="K266" i="19"/>
  <c r="J266" i="19"/>
  <c r="I266" i="19"/>
  <c r="H266" i="19"/>
  <c r="G266" i="19"/>
  <c r="F266" i="19"/>
  <c r="E266" i="19"/>
  <c r="D266" i="19"/>
  <c r="C266" i="19"/>
  <c r="B266" i="19"/>
  <c r="R265" i="19"/>
  <c r="Q265" i="19"/>
  <c r="P265" i="19"/>
  <c r="O265" i="19"/>
  <c r="N265" i="19"/>
  <c r="M265" i="19"/>
  <c r="L265" i="19"/>
  <c r="K265" i="19"/>
  <c r="J265" i="19"/>
  <c r="I265" i="19"/>
  <c r="H265" i="19"/>
  <c r="G265" i="19"/>
  <c r="F265" i="19"/>
  <c r="E265" i="19"/>
  <c r="D265" i="19"/>
  <c r="C265" i="19"/>
  <c r="B265" i="19"/>
  <c r="R264" i="19"/>
  <c r="Q264" i="19"/>
  <c r="P264" i="19"/>
  <c r="O264" i="19"/>
  <c r="N264" i="19"/>
  <c r="M264" i="19"/>
  <c r="L264" i="19"/>
  <c r="K264" i="19"/>
  <c r="J264" i="19"/>
  <c r="I264" i="19"/>
  <c r="H264" i="19"/>
  <c r="G264" i="19"/>
  <c r="F264" i="19"/>
  <c r="E264" i="19"/>
  <c r="D264" i="19"/>
  <c r="C264" i="19"/>
  <c r="B264" i="19"/>
  <c r="R263" i="19"/>
  <c r="Q263" i="19"/>
  <c r="P263" i="19"/>
  <c r="O263" i="19"/>
  <c r="N263" i="19"/>
  <c r="M263" i="19"/>
  <c r="L263" i="19"/>
  <c r="K263" i="19"/>
  <c r="J263" i="19"/>
  <c r="I263" i="19"/>
  <c r="H263" i="19"/>
  <c r="G263" i="19"/>
  <c r="F263" i="19"/>
  <c r="E263" i="19"/>
  <c r="D263" i="19"/>
  <c r="C263" i="19"/>
  <c r="B263" i="19"/>
  <c r="R262" i="19"/>
  <c r="Q262" i="19"/>
  <c r="P262" i="19"/>
  <c r="O262" i="19"/>
  <c r="N262" i="19"/>
  <c r="M262" i="19"/>
  <c r="L262" i="19"/>
  <c r="K262" i="19"/>
  <c r="J262" i="19"/>
  <c r="I262" i="19"/>
  <c r="H262" i="19"/>
  <c r="G262" i="19"/>
  <c r="F262" i="19"/>
  <c r="E262" i="19"/>
  <c r="D262" i="19"/>
  <c r="C262" i="19"/>
  <c r="B262" i="19"/>
  <c r="R261" i="19"/>
  <c r="Q261" i="19"/>
  <c r="P261" i="19"/>
  <c r="O261" i="19"/>
  <c r="N261" i="19"/>
  <c r="M261" i="19"/>
  <c r="L261" i="19"/>
  <c r="K261" i="19"/>
  <c r="J261" i="19"/>
  <c r="I261" i="19"/>
  <c r="H261" i="19"/>
  <c r="G261" i="19"/>
  <c r="F261" i="19"/>
  <c r="E261" i="19"/>
  <c r="D261" i="19"/>
  <c r="C261" i="19"/>
  <c r="B261" i="19"/>
  <c r="R260" i="19"/>
  <c r="Q260" i="19"/>
  <c r="P260" i="19"/>
  <c r="O260" i="19"/>
  <c r="N260" i="19"/>
  <c r="M260" i="19"/>
  <c r="L260" i="19"/>
  <c r="K260" i="19"/>
  <c r="J260" i="19"/>
  <c r="I260" i="19"/>
  <c r="H260" i="19"/>
  <c r="G260" i="19"/>
  <c r="F260" i="19"/>
  <c r="E260" i="19"/>
  <c r="D260" i="19"/>
  <c r="C260" i="19"/>
  <c r="B260" i="19"/>
  <c r="R259" i="19"/>
  <c r="Q259" i="19"/>
  <c r="P259" i="19"/>
  <c r="O259" i="19"/>
  <c r="N259" i="19"/>
  <c r="M259" i="19"/>
  <c r="L259" i="19"/>
  <c r="K259" i="19"/>
  <c r="J259" i="19"/>
  <c r="I259" i="19"/>
  <c r="H259" i="19"/>
  <c r="G259" i="19"/>
  <c r="F259" i="19"/>
  <c r="E259" i="19"/>
  <c r="D259" i="19"/>
  <c r="C259" i="19"/>
  <c r="B259" i="19"/>
  <c r="R258" i="19"/>
  <c r="Q258" i="19"/>
  <c r="P258" i="19"/>
  <c r="O258" i="19"/>
  <c r="N258" i="19"/>
  <c r="M258" i="19"/>
  <c r="L258" i="19"/>
  <c r="K258" i="19"/>
  <c r="J258" i="19"/>
  <c r="I258" i="19"/>
  <c r="H258" i="19"/>
  <c r="G258" i="19"/>
  <c r="F258" i="19"/>
  <c r="E258" i="19"/>
  <c r="D258" i="19"/>
  <c r="C258" i="19"/>
  <c r="B258" i="19"/>
  <c r="R257" i="19"/>
  <c r="Q257" i="19"/>
  <c r="P257" i="19"/>
  <c r="O257" i="19"/>
  <c r="N257" i="19"/>
  <c r="M257" i="19"/>
  <c r="L257" i="19"/>
  <c r="K257" i="19"/>
  <c r="J257" i="19"/>
  <c r="I257" i="19"/>
  <c r="H257" i="19"/>
  <c r="G257" i="19"/>
  <c r="F257" i="19"/>
  <c r="E257" i="19"/>
  <c r="D257" i="19"/>
  <c r="C257" i="19"/>
  <c r="B257" i="19"/>
  <c r="R256" i="19"/>
  <c r="Q256" i="19"/>
  <c r="P256" i="19"/>
  <c r="O256" i="19"/>
  <c r="N256" i="19"/>
  <c r="M256" i="19"/>
  <c r="L256" i="19"/>
  <c r="K256" i="19"/>
  <c r="J256" i="19"/>
  <c r="I256" i="19"/>
  <c r="H256" i="19"/>
  <c r="G256" i="19"/>
  <c r="F256" i="19"/>
  <c r="E256" i="19"/>
  <c r="D256" i="19"/>
  <c r="C256" i="19"/>
  <c r="B256" i="19"/>
  <c r="R255" i="19"/>
  <c r="Q255" i="19"/>
  <c r="P255" i="19"/>
  <c r="O255" i="19"/>
  <c r="N255" i="19"/>
  <c r="M255" i="19"/>
  <c r="L255" i="19"/>
  <c r="K255" i="19"/>
  <c r="J255" i="19"/>
  <c r="I255" i="19"/>
  <c r="H255" i="19"/>
  <c r="G255" i="19"/>
  <c r="F255" i="19"/>
  <c r="E255" i="19"/>
  <c r="D255" i="19"/>
  <c r="C255" i="19"/>
  <c r="B255" i="19"/>
  <c r="R254" i="19"/>
  <c r="Q254" i="19"/>
  <c r="P254" i="19"/>
  <c r="O254" i="19"/>
  <c r="N254" i="19"/>
  <c r="M254" i="19"/>
  <c r="L254" i="19"/>
  <c r="K254" i="19"/>
  <c r="J254" i="19"/>
  <c r="I254" i="19"/>
  <c r="H254" i="19"/>
  <c r="G254" i="19"/>
  <c r="F254" i="19"/>
  <c r="E254" i="19"/>
  <c r="D254" i="19"/>
  <c r="C254" i="19"/>
  <c r="B254" i="19"/>
  <c r="R253" i="19"/>
  <c r="Q253" i="19"/>
  <c r="P253" i="19"/>
  <c r="O253" i="19"/>
  <c r="N253" i="19"/>
  <c r="M253" i="19"/>
  <c r="L253" i="19"/>
  <c r="K253" i="19"/>
  <c r="J253" i="19"/>
  <c r="I253" i="19"/>
  <c r="H253" i="19"/>
  <c r="G253" i="19"/>
  <c r="F253" i="19"/>
  <c r="E253" i="19"/>
  <c r="D253" i="19"/>
  <c r="C253" i="19"/>
  <c r="B253" i="19"/>
  <c r="R252" i="19"/>
  <c r="Q252" i="19"/>
  <c r="P252" i="19"/>
  <c r="O252" i="19"/>
  <c r="N252" i="19"/>
  <c r="M252" i="19"/>
  <c r="L252" i="19"/>
  <c r="K252" i="19"/>
  <c r="J252" i="19"/>
  <c r="I252" i="19"/>
  <c r="H252" i="19"/>
  <c r="G252" i="19"/>
  <c r="F252" i="19"/>
  <c r="E252" i="19"/>
  <c r="D252" i="19"/>
  <c r="C252" i="19"/>
  <c r="B252" i="19"/>
  <c r="R251" i="19"/>
  <c r="Q251" i="19"/>
  <c r="P251" i="19"/>
  <c r="O251" i="19"/>
  <c r="N251" i="19"/>
  <c r="M251" i="19"/>
  <c r="L251" i="19"/>
  <c r="K251" i="19"/>
  <c r="J251" i="19"/>
  <c r="I251" i="19"/>
  <c r="H251" i="19"/>
  <c r="G251" i="19"/>
  <c r="F251" i="19"/>
  <c r="E251" i="19"/>
  <c r="D251" i="19"/>
  <c r="C251" i="19"/>
  <c r="B251" i="19"/>
  <c r="R250" i="19"/>
  <c r="Q250" i="19"/>
  <c r="P250" i="19"/>
  <c r="O250" i="19"/>
  <c r="N250" i="19"/>
  <c r="M250" i="19"/>
  <c r="L250" i="19"/>
  <c r="K250" i="19"/>
  <c r="J250" i="19"/>
  <c r="I250" i="19"/>
  <c r="H250" i="19"/>
  <c r="G250" i="19"/>
  <c r="F250" i="19"/>
  <c r="E250" i="19"/>
  <c r="D250" i="19"/>
  <c r="C250" i="19"/>
  <c r="B250" i="19"/>
  <c r="R249" i="19"/>
  <c r="Q249" i="19"/>
  <c r="P249" i="19"/>
  <c r="O249" i="19"/>
  <c r="N249" i="19"/>
  <c r="M249" i="19"/>
  <c r="L249" i="19"/>
  <c r="K249" i="19"/>
  <c r="J249" i="19"/>
  <c r="I249" i="19"/>
  <c r="H249" i="19"/>
  <c r="G249" i="19"/>
  <c r="F249" i="19"/>
  <c r="E249" i="19"/>
  <c r="D249" i="19"/>
  <c r="C249" i="19"/>
  <c r="B249" i="19"/>
  <c r="R248" i="19"/>
  <c r="Q248" i="19"/>
  <c r="P248" i="19"/>
  <c r="O248" i="19"/>
  <c r="N248" i="19"/>
  <c r="M248" i="19"/>
  <c r="L248" i="19"/>
  <c r="K248" i="19"/>
  <c r="J248" i="19"/>
  <c r="I248" i="19"/>
  <c r="H248" i="19"/>
  <c r="G248" i="19"/>
  <c r="F248" i="19"/>
  <c r="E248" i="19"/>
  <c r="D248" i="19"/>
  <c r="C248" i="19"/>
  <c r="B248" i="19"/>
  <c r="R247" i="19"/>
  <c r="Q247" i="19"/>
  <c r="P247" i="19"/>
  <c r="O247" i="19"/>
  <c r="N247" i="19"/>
  <c r="M247" i="19"/>
  <c r="L247" i="19"/>
  <c r="K247" i="19"/>
  <c r="J247" i="19"/>
  <c r="I247" i="19"/>
  <c r="H247" i="19"/>
  <c r="G247" i="19"/>
  <c r="F247" i="19"/>
  <c r="E247" i="19"/>
  <c r="D247" i="19"/>
  <c r="C247" i="19"/>
  <c r="B247" i="19"/>
  <c r="R246" i="19"/>
  <c r="Q246" i="19"/>
  <c r="P246" i="19"/>
  <c r="O246" i="19"/>
  <c r="N246" i="19"/>
  <c r="M246" i="19"/>
  <c r="L246" i="19"/>
  <c r="K246" i="19"/>
  <c r="J246" i="19"/>
  <c r="I246" i="19"/>
  <c r="H246" i="19"/>
  <c r="G246" i="19"/>
  <c r="F246" i="19"/>
  <c r="E246" i="19"/>
  <c r="D246" i="19"/>
  <c r="C246" i="19"/>
  <c r="B246" i="19"/>
  <c r="R245" i="19"/>
  <c r="Q245" i="19"/>
  <c r="P245" i="19"/>
  <c r="O245" i="19"/>
  <c r="N245" i="19"/>
  <c r="M245" i="19"/>
  <c r="L245" i="19"/>
  <c r="K245" i="19"/>
  <c r="J245" i="19"/>
  <c r="I245" i="19"/>
  <c r="H245" i="19"/>
  <c r="G245" i="19"/>
  <c r="F245" i="19"/>
  <c r="E245" i="19"/>
  <c r="D245" i="19"/>
  <c r="C245" i="19"/>
  <c r="B245" i="19"/>
  <c r="R244" i="19"/>
  <c r="Q244" i="19"/>
  <c r="P244" i="19"/>
  <c r="O244" i="19"/>
  <c r="N244" i="19"/>
  <c r="M244" i="19"/>
  <c r="L244" i="19"/>
  <c r="K244" i="19"/>
  <c r="J244" i="19"/>
  <c r="I244" i="19"/>
  <c r="H244" i="19"/>
  <c r="G244" i="19"/>
  <c r="F244" i="19"/>
  <c r="E244" i="19"/>
  <c r="D244" i="19"/>
  <c r="C244" i="19"/>
  <c r="B244" i="19"/>
  <c r="R243" i="19"/>
  <c r="Q243" i="19"/>
  <c r="P243" i="19"/>
  <c r="O243" i="19"/>
  <c r="N243" i="19"/>
  <c r="M243" i="19"/>
  <c r="L243" i="19"/>
  <c r="K243" i="19"/>
  <c r="J243" i="19"/>
  <c r="I243" i="19"/>
  <c r="H243" i="19"/>
  <c r="G243" i="19"/>
  <c r="F243" i="19"/>
  <c r="E243" i="19"/>
  <c r="D243" i="19"/>
  <c r="C243" i="19"/>
  <c r="B243" i="19"/>
  <c r="R242" i="19"/>
  <c r="Q242" i="19"/>
  <c r="P242" i="19"/>
  <c r="O242" i="19"/>
  <c r="N242" i="19"/>
  <c r="M242" i="19"/>
  <c r="L242" i="19"/>
  <c r="K242" i="19"/>
  <c r="J242" i="19"/>
  <c r="I242" i="19"/>
  <c r="H242" i="19"/>
  <c r="G242" i="19"/>
  <c r="F242" i="19"/>
  <c r="E242" i="19"/>
  <c r="D242" i="19"/>
  <c r="C242" i="19"/>
  <c r="B242" i="19"/>
  <c r="R241" i="19"/>
  <c r="Q241" i="19"/>
  <c r="P241" i="19"/>
  <c r="O241" i="19"/>
  <c r="N241" i="19"/>
  <c r="M241" i="19"/>
  <c r="L241" i="19"/>
  <c r="K241" i="19"/>
  <c r="J241" i="19"/>
  <c r="I241" i="19"/>
  <c r="H241" i="19"/>
  <c r="G241" i="19"/>
  <c r="F241" i="19"/>
  <c r="E241" i="19"/>
  <c r="D241" i="19"/>
  <c r="C241" i="19"/>
  <c r="B241" i="19"/>
  <c r="R240" i="19"/>
  <c r="Q240" i="19"/>
  <c r="P240" i="19"/>
  <c r="O240" i="19"/>
  <c r="N240" i="19"/>
  <c r="M240" i="19"/>
  <c r="L240" i="19"/>
  <c r="K240" i="19"/>
  <c r="J240" i="19"/>
  <c r="I240" i="19"/>
  <c r="H240" i="19"/>
  <c r="G240" i="19"/>
  <c r="F240" i="19"/>
  <c r="E240" i="19"/>
  <c r="D240" i="19"/>
  <c r="C240" i="19"/>
  <c r="B240" i="19"/>
  <c r="R239" i="19"/>
  <c r="Q239" i="19"/>
  <c r="P239" i="19"/>
  <c r="O239" i="19"/>
  <c r="N239" i="19"/>
  <c r="M239" i="19"/>
  <c r="L239" i="19"/>
  <c r="K239" i="19"/>
  <c r="J239" i="19"/>
  <c r="I239" i="19"/>
  <c r="H239" i="19"/>
  <c r="G239" i="19"/>
  <c r="F239" i="19"/>
  <c r="E239" i="19"/>
  <c r="D239" i="19"/>
  <c r="C239" i="19"/>
  <c r="B239" i="19"/>
  <c r="R238" i="19"/>
  <c r="Q238" i="19"/>
  <c r="P238" i="19"/>
  <c r="O238" i="19"/>
  <c r="N238" i="19"/>
  <c r="M238" i="19"/>
  <c r="L238" i="19"/>
  <c r="K238" i="19"/>
  <c r="J238" i="19"/>
  <c r="I238" i="19"/>
  <c r="H238" i="19"/>
  <c r="G238" i="19"/>
  <c r="F238" i="19"/>
  <c r="E238" i="19"/>
  <c r="D238" i="19"/>
  <c r="C238" i="19"/>
  <c r="B238" i="19"/>
  <c r="R237" i="19"/>
  <c r="Q237" i="19"/>
  <c r="P237" i="19"/>
  <c r="O237" i="19"/>
  <c r="N237" i="19"/>
  <c r="M237" i="19"/>
  <c r="L237" i="19"/>
  <c r="K237" i="19"/>
  <c r="J237" i="19"/>
  <c r="I237" i="19"/>
  <c r="H237" i="19"/>
  <c r="G237" i="19"/>
  <c r="F237" i="19"/>
  <c r="E237" i="19"/>
  <c r="D237" i="19"/>
  <c r="C237" i="19"/>
  <c r="B237" i="19"/>
  <c r="R236" i="19"/>
  <c r="Q236" i="19"/>
  <c r="P236" i="19"/>
  <c r="O236" i="19"/>
  <c r="N236" i="19"/>
  <c r="M236" i="19"/>
  <c r="L236" i="19"/>
  <c r="K236" i="19"/>
  <c r="J236" i="19"/>
  <c r="I236" i="19"/>
  <c r="H236" i="19"/>
  <c r="G236" i="19"/>
  <c r="F236" i="19"/>
  <c r="E236" i="19"/>
  <c r="D236" i="19"/>
  <c r="C236" i="19"/>
  <c r="B236" i="19"/>
  <c r="R235" i="19"/>
  <c r="Q235" i="19"/>
  <c r="P235" i="19"/>
  <c r="O235" i="19"/>
  <c r="N235" i="19"/>
  <c r="M235" i="19"/>
  <c r="L235" i="19"/>
  <c r="K235" i="19"/>
  <c r="J235" i="19"/>
  <c r="I235" i="19"/>
  <c r="H235" i="19"/>
  <c r="G235" i="19"/>
  <c r="F235" i="19"/>
  <c r="E235" i="19"/>
  <c r="D235" i="19"/>
  <c r="C235" i="19"/>
  <c r="B235" i="19"/>
  <c r="R234" i="19"/>
  <c r="Q234" i="19"/>
  <c r="P234" i="19"/>
  <c r="O234" i="19"/>
  <c r="N234" i="19"/>
  <c r="M234" i="19"/>
  <c r="L234" i="19"/>
  <c r="K234" i="19"/>
  <c r="J234" i="19"/>
  <c r="I234" i="19"/>
  <c r="H234" i="19"/>
  <c r="G234" i="19"/>
  <c r="F234" i="19"/>
  <c r="E234" i="19"/>
  <c r="D234" i="19"/>
  <c r="C234" i="19"/>
  <c r="B234" i="19"/>
  <c r="R233" i="19"/>
  <c r="Q233" i="19"/>
  <c r="P233" i="19"/>
  <c r="O233" i="19"/>
  <c r="N233" i="19"/>
  <c r="M233" i="19"/>
  <c r="L233" i="19"/>
  <c r="K233" i="19"/>
  <c r="J233" i="19"/>
  <c r="I233" i="19"/>
  <c r="H233" i="19"/>
  <c r="G233" i="19"/>
  <c r="F233" i="19"/>
  <c r="E233" i="19"/>
  <c r="D233" i="19"/>
  <c r="C233" i="19"/>
  <c r="B233" i="19"/>
  <c r="R232" i="19"/>
  <c r="Q232" i="19"/>
  <c r="P232" i="19"/>
  <c r="O232" i="19"/>
  <c r="N232" i="19"/>
  <c r="M232" i="19"/>
  <c r="L232" i="19"/>
  <c r="K232" i="19"/>
  <c r="J232" i="19"/>
  <c r="I232" i="19"/>
  <c r="H232" i="19"/>
  <c r="G232" i="19"/>
  <c r="F232" i="19"/>
  <c r="E232" i="19"/>
  <c r="D232" i="19"/>
  <c r="C232" i="19"/>
  <c r="B232" i="19"/>
  <c r="R231" i="19"/>
  <c r="Q231" i="19"/>
  <c r="P231" i="19"/>
  <c r="O231" i="19"/>
  <c r="N231" i="19"/>
  <c r="M231" i="19"/>
  <c r="L231" i="19"/>
  <c r="K231" i="19"/>
  <c r="J231" i="19"/>
  <c r="I231" i="19"/>
  <c r="H231" i="19"/>
  <c r="G231" i="19"/>
  <c r="F231" i="19"/>
  <c r="E231" i="19"/>
  <c r="D231" i="19"/>
  <c r="C231" i="19"/>
  <c r="B231" i="19"/>
  <c r="R230" i="19"/>
  <c r="Q230" i="19"/>
  <c r="P230" i="19"/>
  <c r="O230" i="19"/>
  <c r="N230" i="19"/>
  <c r="M230" i="19"/>
  <c r="L230" i="19"/>
  <c r="K230" i="19"/>
  <c r="J230" i="19"/>
  <c r="I230" i="19"/>
  <c r="H230" i="19"/>
  <c r="G230" i="19"/>
  <c r="F230" i="19"/>
  <c r="E230" i="19"/>
  <c r="D230" i="19"/>
  <c r="C230" i="19"/>
  <c r="B230" i="19"/>
  <c r="R229" i="19"/>
  <c r="Q229" i="19"/>
  <c r="P229" i="19"/>
  <c r="O229" i="19"/>
  <c r="N229" i="19"/>
  <c r="M229" i="19"/>
  <c r="L229" i="19"/>
  <c r="K229" i="19"/>
  <c r="J229" i="19"/>
  <c r="I229" i="19"/>
  <c r="H229" i="19"/>
  <c r="G229" i="19"/>
  <c r="F229" i="19"/>
  <c r="E229" i="19"/>
  <c r="D229" i="19"/>
  <c r="C229" i="19"/>
  <c r="B229" i="19"/>
  <c r="R228" i="19"/>
  <c r="Q228" i="19"/>
  <c r="P228" i="19"/>
  <c r="O228" i="19"/>
  <c r="N228" i="19"/>
  <c r="M228" i="19"/>
  <c r="L228" i="19"/>
  <c r="K228" i="19"/>
  <c r="J228" i="19"/>
  <c r="I228" i="19"/>
  <c r="H228" i="19"/>
  <c r="G228" i="19"/>
  <c r="F228" i="19"/>
  <c r="E228" i="19"/>
  <c r="D228" i="19"/>
  <c r="C228" i="19"/>
  <c r="B228" i="19"/>
  <c r="R227" i="19"/>
  <c r="Q227" i="19"/>
  <c r="P227" i="19"/>
  <c r="O227" i="19"/>
  <c r="N227" i="19"/>
  <c r="M227" i="19"/>
  <c r="L227" i="19"/>
  <c r="K227" i="19"/>
  <c r="J227" i="19"/>
  <c r="I227" i="19"/>
  <c r="H227" i="19"/>
  <c r="G227" i="19"/>
  <c r="F227" i="19"/>
  <c r="E227" i="19"/>
  <c r="D227" i="19"/>
  <c r="C227" i="19"/>
  <c r="B227" i="19"/>
  <c r="R226" i="19"/>
  <c r="Q226" i="19"/>
  <c r="P226" i="19"/>
  <c r="O226" i="19"/>
  <c r="N226" i="19"/>
  <c r="M226" i="19"/>
  <c r="L226" i="19"/>
  <c r="K226" i="19"/>
  <c r="J226" i="19"/>
  <c r="I226" i="19"/>
  <c r="H226" i="19"/>
  <c r="G226" i="19"/>
  <c r="F226" i="19"/>
  <c r="E226" i="19"/>
  <c r="C226" i="19"/>
  <c r="B226" i="19"/>
  <c r="R225" i="19"/>
  <c r="Q225" i="19"/>
  <c r="P225" i="19"/>
  <c r="O225" i="19"/>
  <c r="N225" i="19"/>
  <c r="M225" i="19"/>
  <c r="L225" i="19"/>
  <c r="K225" i="19"/>
  <c r="J225" i="19"/>
  <c r="I225" i="19"/>
  <c r="H225" i="19"/>
  <c r="G225" i="19"/>
  <c r="F225" i="19"/>
  <c r="E225" i="19"/>
  <c r="D225" i="19"/>
  <c r="C225" i="19"/>
  <c r="B225" i="19"/>
  <c r="R224" i="19"/>
  <c r="Q224" i="19"/>
  <c r="P224" i="19"/>
  <c r="O224" i="19"/>
  <c r="N224" i="19"/>
  <c r="M224" i="19"/>
  <c r="L224" i="19"/>
  <c r="K224" i="19"/>
  <c r="J224" i="19"/>
  <c r="I224" i="19"/>
  <c r="H224" i="19"/>
  <c r="G224" i="19"/>
  <c r="F224" i="19"/>
  <c r="E224" i="19"/>
  <c r="D224" i="19"/>
  <c r="C224" i="19"/>
  <c r="B224" i="19"/>
  <c r="R223" i="19"/>
  <c r="Q223" i="19"/>
  <c r="P223" i="19"/>
  <c r="O223" i="19"/>
  <c r="N223" i="19"/>
  <c r="M223" i="19"/>
  <c r="L223" i="19"/>
  <c r="K223" i="19"/>
  <c r="J223" i="19"/>
  <c r="I223" i="19"/>
  <c r="H223" i="19"/>
  <c r="G223" i="19"/>
  <c r="F223" i="19"/>
  <c r="E223" i="19"/>
  <c r="D223" i="19"/>
  <c r="C223" i="19"/>
  <c r="B223" i="19"/>
  <c r="R222" i="19"/>
  <c r="Q222" i="19"/>
  <c r="P222" i="19"/>
  <c r="O222" i="19"/>
  <c r="N222" i="19"/>
  <c r="M222" i="19"/>
  <c r="L222" i="19"/>
  <c r="K222" i="19"/>
  <c r="J222" i="19"/>
  <c r="I222" i="19"/>
  <c r="H222" i="19"/>
  <c r="G222" i="19"/>
  <c r="E222" i="19"/>
  <c r="D222" i="19"/>
  <c r="C222" i="19"/>
  <c r="B222" i="19"/>
  <c r="R221" i="19"/>
  <c r="Q221" i="19"/>
  <c r="P221" i="19"/>
  <c r="O221" i="19"/>
  <c r="N221" i="19"/>
  <c r="M221" i="19"/>
  <c r="L221" i="19"/>
  <c r="K221" i="19"/>
  <c r="J221" i="19"/>
  <c r="I221" i="19"/>
  <c r="H221" i="19"/>
  <c r="G221" i="19"/>
  <c r="F221" i="19"/>
  <c r="E221" i="19"/>
  <c r="D221" i="19"/>
  <c r="C221" i="19"/>
  <c r="B221" i="19"/>
  <c r="R220" i="19"/>
  <c r="Q220" i="19"/>
  <c r="P220" i="19"/>
  <c r="O220" i="19"/>
  <c r="N220" i="19"/>
  <c r="M220" i="19"/>
  <c r="L220" i="19"/>
  <c r="K220" i="19"/>
  <c r="J220" i="19"/>
  <c r="I220" i="19"/>
  <c r="H220" i="19"/>
  <c r="G220" i="19"/>
  <c r="F220" i="19"/>
  <c r="E220" i="19"/>
  <c r="D220" i="19"/>
  <c r="C220" i="19"/>
  <c r="B220" i="19"/>
  <c r="R219" i="19"/>
  <c r="Q219" i="19"/>
  <c r="P219" i="19"/>
  <c r="O219" i="19"/>
  <c r="N219" i="19"/>
  <c r="M219" i="19"/>
  <c r="L219" i="19"/>
  <c r="K219" i="19"/>
  <c r="J219" i="19"/>
  <c r="I219" i="19"/>
  <c r="H219" i="19"/>
  <c r="G219" i="19"/>
  <c r="F219" i="19"/>
  <c r="E219" i="19"/>
  <c r="D219" i="19"/>
  <c r="C219" i="19"/>
  <c r="B219" i="19"/>
  <c r="R218" i="19"/>
  <c r="Q218" i="19"/>
  <c r="P218" i="19"/>
  <c r="O218" i="19"/>
  <c r="N218" i="19"/>
  <c r="M218" i="19"/>
  <c r="L218" i="19"/>
  <c r="K218" i="19"/>
  <c r="J218" i="19"/>
  <c r="I218" i="19"/>
  <c r="H218" i="19"/>
  <c r="G218" i="19"/>
  <c r="F218" i="19"/>
  <c r="E218" i="19"/>
  <c r="D218" i="19"/>
  <c r="C218" i="19"/>
  <c r="B218" i="19"/>
  <c r="R217" i="19"/>
  <c r="Q217" i="19"/>
  <c r="P217" i="19"/>
  <c r="O217" i="19"/>
  <c r="N217" i="19"/>
  <c r="M217" i="19"/>
  <c r="L217" i="19"/>
  <c r="K217" i="19"/>
  <c r="J217" i="19"/>
  <c r="I217" i="19"/>
  <c r="H217" i="19"/>
  <c r="G217" i="19"/>
  <c r="F217" i="19"/>
  <c r="E217" i="19"/>
  <c r="D217" i="19"/>
  <c r="C217" i="19"/>
  <c r="B217" i="19"/>
  <c r="R216" i="19"/>
  <c r="Q216" i="19"/>
  <c r="P216" i="19"/>
  <c r="O216" i="19"/>
  <c r="N216" i="19"/>
  <c r="M216" i="19"/>
  <c r="L216" i="19"/>
  <c r="K216" i="19"/>
  <c r="J216" i="19"/>
  <c r="I216" i="19"/>
  <c r="H216" i="19"/>
  <c r="G216" i="19"/>
  <c r="F216" i="19"/>
  <c r="E216" i="19"/>
  <c r="D216" i="19"/>
  <c r="C216" i="19"/>
  <c r="B216" i="19"/>
  <c r="R215" i="19"/>
  <c r="Q215" i="19"/>
  <c r="P215" i="19"/>
  <c r="O215" i="19"/>
  <c r="N215" i="19"/>
  <c r="M215" i="19"/>
  <c r="L215" i="19"/>
  <c r="K215" i="19"/>
  <c r="J215" i="19"/>
  <c r="I215" i="19"/>
  <c r="H215" i="19"/>
  <c r="G215" i="19"/>
  <c r="F215" i="19"/>
  <c r="E215" i="19"/>
  <c r="D215" i="19"/>
  <c r="C215" i="19"/>
  <c r="B215" i="19"/>
  <c r="R214" i="19"/>
  <c r="Q214" i="19"/>
  <c r="P214" i="19"/>
  <c r="O214" i="19"/>
  <c r="N214" i="19"/>
  <c r="M214" i="19"/>
  <c r="L214" i="19"/>
  <c r="K214" i="19"/>
  <c r="J214" i="19"/>
  <c r="I214" i="19"/>
  <c r="H214" i="19"/>
  <c r="G214" i="19"/>
  <c r="F214" i="19"/>
  <c r="E214" i="19"/>
  <c r="D214" i="19"/>
  <c r="C214" i="19"/>
  <c r="B214" i="19"/>
  <c r="R213" i="19"/>
  <c r="Q213" i="19"/>
  <c r="P213" i="19"/>
  <c r="O213" i="19"/>
  <c r="N213" i="19"/>
  <c r="M213" i="19"/>
  <c r="L213" i="19"/>
  <c r="K213" i="19"/>
  <c r="J213" i="19"/>
  <c r="I213" i="19"/>
  <c r="H213" i="19"/>
  <c r="G213" i="19"/>
  <c r="F213" i="19"/>
  <c r="E213" i="19"/>
  <c r="D213" i="19"/>
  <c r="C213" i="19"/>
  <c r="B213" i="19"/>
  <c r="R212" i="19"/>
  <c r="Q212" i="19"/>
  <c r="P212" i="19"/>
  <c r="O212" i="19"/>
  <c r="N212" i="19"/>
  <c r="M212" i="19"/>
  <c r="L212" i="19"/>
  <c r="K212" i="19"/>
  <c r="J212" i="19"/>
  <c r="I212" i="19"/>
  <c r="H212" i="19"/>
  <c r="G212" i="19"/>
  <c r="F212" i="19"/>
  <c r="E212" i="19"/>
  <c r="D212" i="19"/>
  <c r="C212" i="19"/>
  <c r="B212" i="19"/>
  <c r="R211" i="19"/>
  <c r="Q211" i="19"/>
  <c r="P211" i="19"/>
  <c r="O211" i="19"/>
  <c r="N211" i="19"/>
  <c r="M211" i="19"/>
  <c r="L211" i="19"/>
  <c r="K211" i="19"/>
  <c r="J211" i="19"/>
  <c r="I211" i="19"/>
  <c r="H211" i="19"/>
  <c r="G211" i="19"/>
  <c r="F211" i="19"/>
  <c r="E211" i="19"/>
  <c r="D211" i="19"/>
  <c r="C211" i="19"/>
  <c r="B211" i="19"/>
  <c r="R210" i="19"/>
  <c r="Q210" i="19"/>
  <c r="P210" i="19"/>
  <c r="O210" i="19"/>
  <c r="N210" i="19"/>
  <c r="M210" i="19"/>
  <c r="L210" i="19"/>
  <c r="K210" i="19"/>
  <c r="J210" i="19"/>
  <c r="I210" i="19"/>
  <c r="H210" i="19"/>
  <c r="G210" i="19"/>
  <c r="F210" i="19"/>
  <c r="E210" i="19"/>
  <c r="D210" i="19"/>
  <c r="C210" i="19"/>
  <c r="B210" i="19"/>
  <c r="R209" i="19"/>
  <c r="Q209" i="19"/>
  <c r="P209" i="19"/>
  <c r="O209" i="19"/>
  <c r="N209" i="19"/>
  <c r="M209" i="19"/>
  <c r="L209" i="19"/>
  <c r="K209" i="19"/>
  <c r="J209" i="19"/>
  <c r="I209" i="19"/>
  <c r="H209" i="19"/>
  <c r="G209" i="19"/>
  <c r="F209" i="19"/>
  <c r="E209" i="19"/>
  <c r="D209" i="19"/>
  <c r="C209" i="19"/>
  <c r="B209" i="19"/>
  <c r="R208" i="19"/>
  <c r="Q208" i="19"/>
  <c r="P208" i="19"/>
  <c r="O208" i="19"/>
  <c r="N208" i="19"/>
  <c r="M208" i="19"/>
  <c r="L208" i="19"/>
  <c r="K208" i="19"/>
  <c r="J208" i="19"/>
  <c r="I208" i="19"/>
  <c r="H208" i="19"/>
  <c r="G208" i="19"/>
  <c r="F208" i="19"/>
  <c r="E208" i="19"/>
  <c r="D208" i="19"/>
  <c r="C208" i="19"/>
  <c r="B208" i="19"/>
  <c r="R207" i="19"/>
  <c r="Q207" i="19"/>
  <c r="P207" i="19"/>
  <c r="O207" i="19"/>
  <c r="N207" i="19"/>
  <c r="M207" i="19"/>
  <c r="L207" i="19"/>
  <c r="K207" i="19"/>
  <c r="J207" i="19"/>
  <c r="I207" i="19"/>
  <c r="H207" i="19"/>
  <c r="G207" i="19"/>
  <c r="F207" i="19"/>
  <c r="E207" i="19"/>
  <c r="D207" i="19"/>
  <c r="C207" i="19"/>
  <c r="B207" i="19"/>
  <c r="R206" i="19"/>
  <c r="Q206" i="19"/>
  <c r="P206" i="19"/>
  <c r="O206" i="19"/>
  <c r="N206" i="19"/>
  <c r="M206" i="19"/>
  <c r="L206" i="19"/>
  <c r="K206" i="19"/>
  <c r="J206" i="19"/>
  <c r="I206" i="19"/>
  <c r="H206" i="19"/>
  <c r="G206" i="19"/>
  <c r="F206" i="19"/>
  <c r="E206" i="19"/>
  <c r="D206" i="19"/>
  <c r="C206" i="19"/>
  <c r="B206" i="19"/>
  <c r="R205" i="19"/>
  <c r="Q205" i="19"/>
  <c r="P205" i="19"/>
  <c r="O205" i="19"/>
  <c r="N205" i="19"/>
  <c r="M205" i="19"/>
  <c r="L205" i="19"/>
  <c r="K205" i="19"/>
  <c r="J205" i="19"/>
  <c r="I205" i="19"/>
  <c r="H205" i="19"/>
  <c r="G205" i="19"/>
  <c r="F205" i="19"/>
  <c r="E205" i="19"/>
  <c r="D205" i="19"/>
  <c r="C205" i="19"/>
  <c r="B205" i="19"/>
  <c r="R204" i="19"/>
  <c r="Q204" i="19"/>
  <c r="P204" i="19"/>
  <c r="O204" i="19"/>
  <c r="N204" i="19"/>
  <c r="M204" i="19"/>
  <c r="L204" i="19"/>
  <c r="K204" i="19"/>
  <c r="J204" i="19"/>
  <c r="I204" i="19"/>
  <c r="H204" i="19"/>
  <c r="G204" i="19"/>
  <c r="F204" i="19"/>
  <c r="E204" i="19"/>
  <c r="D204" i="19"/>
  <c r="C204" i="19"/>
  <c r="B204" i="19"/>
  <c r="R203" i="19"/>
  <c r="Q203" i="19"/>
  <c r="P203" i="19"/>
  <c r="O203" i="19"/>
  <c r="N203" i="19"/>
  <c r="M203" i="19"/>
  <c r="L203" i="19"/>
  <c r="K203" i="19"/>
  <c r="J203" i="19"/>
  <c r="I203" i="19"/>
  <c r="H203" i="19"/>
  <c r="G203" i="19"/>
  <c r="F203" i="19"/>
  <c r="E203" i="19"/>
  <c r="D203" i="19"/>
  <c r="C203" i="19"/>
  <c r="B203" i="19"/>
  <c r="R202" i="19"/>
  <c r="Q202" i="19"/>
  <c r="P202" i="19"/>
  <c r="O202" i="19"/>
  <c r="N202" i="19"/>
  <c r="M202" i="19"/>
  <c r="L202" i="19"/>
  <c r="K202" i="19"/>
  <c r="J202" i="19"/>
  <c r="I202" i="19"/>
  <c r="H202" i="19"/>
  <c r="G202" i="19"/>
  <c r="F202" i="19"/>
  <c r="E202" i="19"/>
  <c r="D202" i="19"/>
  <c r="C202" i="19"/>
  <c r="B202" i="19"/>
  <c r="R201" i="19"/>
  <c r="Q201" i="19"/>
  <c r="P201" i="19"/>
  <c r="O201" i="19"/>
  <c r="N201" i="19"/>
  <c r="M201" i="19"/>
  <c r="L201" i="19"/>
  <c r="K201" i="19"/>
  <c r="J201" i="19"/>
  <c r="I201" i="19"/>
  <c r="H201" i="19"/>
  <c r="G201" i="19"/>
  <c r="F201" i="19"/>
  <c r="E201" i="19"/>
  <c r="D201" i="19"/>
  <c r="C201" i="19"/>
  <c r="B201" i="19"/>
  <c r="R200" i="19"/>
  <c r="Q200" i="19"/>
  <c r="P200" i="19"/>
  <c r="O200" i="19"/>
  <c r="N200" i="19"/>
  <c r="M200" i="19"/>
  <c r="L200" i="19"/>
  <c r="K200" i="19"/>
  <c r="J200" i="19"/>
  <c r="I200" i="19"/>
  <c r="H200" i="19"/>
  <c r="G200" i="19"/>
  <c r="F200" i="19"/>
  <c r="E200" i="19"/>
  <c r="D200" i="19"/>
  <c r="C200" i="19"/>
  <c r="B200" i="19"/>
  <c r="R199" i="19"/>
  <c r="Q199" i="19"/>
  <c r="P199" i="19"/>
  <c r="O199" i="19"/>
  <c r="N199" i="19"/>
  <c r="M199" i="19"/>
  <c r="L199" i="19"/>
  <c r="K199" i="19"/>
  <c r="J199" i="19"/>
  <c r="I199" i="19"/>
  <c r="H199" i="19"/>
  <c r="G199" i="19"/>
  <c r="F199" i="19"/>
  <c r="E199" i="19"/>
  <c r="D199" i="19"/>
  <c r="C199" i="19"/>
  <c r="B199" i="19"/>
  <c r="R198" i="19"/>
  <c r="Q198" i="19"/>
  <c r="P198" i="19"/>
  <c r="O198" i="19"/>
  <c r="N198" i="19"/>
  <c r="M198" i="19"/>
  <c r="L198" i="19"/>
  <c r="K198" i="19"/>
  <c r="J198" i="19"/>
  <c r="I198" i="19"/>
  <c r="H198" i="19"/>
  <c r="G198" i="19"/>
  <c r="F198" i="19"/>
  <c r="E198" i="19"/>
  <c r="D198" i="19"/>
  <c r="C198" i="19"/>
  <c r="B198" i="19"/>
  <c r="R197" i="19"/>
  <c r="Q197" i="19"/>
  <c r="P197" i="19"/>
  <c r="O197" i="19"/>
  <c r="N197" i="19"/>
  <c r="M197" i="19"/>
  <c r="L197" i="19"/>
  <c r="K197" i="19"/>
  <c r="J197" i="19"/>
  <c r="I197" i="19"/>
  <c r="H197" i="19"/>
  <c r="G197" i="19"/>
  <c r="F197" i="19"/>
  <c r="E197" i="19"/>
  <c r="D197" i="19"/>
  <c r="C197" i="19"/>
  <c r="B197" i="19"/>
  <c r="R196" i="19"/>
  <c r="Q196" i="19"/>
  <c r="P196" i="19"/>
  <c r="O196" i="19"/>
  <c r="N196" i="19"/>
  <c r="M196" i="19"/>
  <c r="L196" i="19"/>
  <c r="K196" i="19"/>
  <c r="J196" i="19"/>
  <c r="I196" i="19"/>
  <c r="H196" i="19"/>
  <c r="G196" i="19"/>
  <c r="F196" i="19"/>
  <c r="E196" i="19"/>
  <c r="D196" i="19"/>
  <c r="C196" i="19"/>
  <c r="B196" i="19"/>
  <c r="R195" i="19"/>
  <c r="Q195" i="19"/>
  <c r="P195" i="19"/>
  <c r="O195" i="19"/>
  <c r="N195" i="19"/>
  <c r="M195" i="19"/>
  <c r="L195" i="19"/>
  <c r="K195" i="19"/>
  <c r="J195" i="19"/>
  <c r="I195" i="19"/>
  <c r="H195" i="19"/>
  <c r="G195" i="19"/>
  <c r="F195" i="19"/>
  <c r="E195" i="19"/>
  <c r="D195" i="19"/>
  <c r="C195" i="19"/>
  <c r="B195" i="19"/>
  <c r="R194" i="19"/>
  <c r="Q194" i="19"/>
  <c r="P194" i="19"/>
  <c r="O194" i="19"/>
  <c r="N194" i="19"/>
  <c r="M194" i="19"/>
  <c r="L194" i="19"/>
  <c r="K194" i="19"/>
  <c r="J194" i="19"/>
  <c r="I194" i="19"/>
  <c r="H194" i="19"/>
  <c r="G194" i="19"/>
  <c r="F194" i="19"/>
  <c r="E194" i="19"/>
  <c r="D194" i="19"/>
  <c r="C194" i="19"/>
  <c r="B194" i="19"/>
  <c r="R193" i="19"/>
  <c r="Q193" i="19"/>
  <c r="P193" i="19"/>
  <c r="O193" i="19"/>
  <c r="N193" i="19"/>
  <c r="M193" i="19"/>
  <c r="L193" i="19"/>
  <c r="K193" i="19"/>
  <c r="J193" i="19"/>
  <c r="I193" i="19"/>
  <c r="H193" i="19"/>
  <c r="G193" i="19"/>
  <c r="F193" i="19"/>
  <c r="E193" i="19"/>
  <c r="D193" i="19"/>
  <c r="C193" i="19"/>
  <c r="B193" i="19"/>
  <c r="R192" i="19"/>
  <c r="Q192" i="19"/>
  <c r="P192" i="19"/>
  <c r="O192" i="19"/>
  <c r="N192" i="19"/>
  <c r="M192" i="19"/>
  <c r="L192" i="19"/>
  <c r="K192" i="19"/>
  <c r="J192" i="19"/>
  <c r="I192" i="19"/>
  <c r="H192" i="19"/>
  <c r="G192" i="19"/>
  <c r="F192" i="19"/>
  <c r="E192" i="19"/>
  <c r="D192" i="19"/>
  <c r="C192" i="19"/>
  <c r="B192" i="19"/>
  <c r="R190" i="19"/>
  <c r="Q190" i="19"/>
  <c r="P190" i="19"/>
  <c r="O190" i="19"/>
  <c r="N190" i="19"/>
  <c r="M190" i="19"/>
  <c r="L190" i="19"/>
  <c r="K190" i="19"/>
  <c r="J190" i="19"/>
  <c r="I190" i="19"/>
  <c r="H190" i="19"/>
  <c r="G190" i="19"/>
  <c r="F190" i="19"/>
  <c r="E190" i="19"/>
  <c r="D190" i="19"/>
  <c r="C190" i="19"/>
  <c r="B190" i="19"/>
  <c r="R189" i="19"/>
  <c r="Q189" i="19"/>
  <c r="P189" i="19"/>
  <c r="O189" i="19"/>
  <c r="N189" i="19"/>
  <c r="M189" i="19"/>
  <c r="L189" i="19"/>
  <c r="K189" i="19"/>
  <c r="J189" i="19"/>
  <c r="I189" i="19"/>
  <c r="H189" i="19"/>
  <c r="G189" i="19"/>
  <c r="F189" i="19"/>
  <c r="E189" i="19"/>
  <c r="D189" i="19"/>
  <c r="C189" i="19"/>
  <c r="B189" i="19"/>
  <c r="R188" i="19"/>
  <c r="Q188" i="19"/>
  <c r="P188" i="19"/>
  <c r="O188" i="19"/>
  <c r="N188" i="19"/>
  <c r="M188" i="19"/>
  <c r="L188" i="19"/>
  <c r="K188" i="19"/>
  <c r="J188" i="19"/>
  <c r="I188" i="19"/>
  <c r="H188" i="19"/>
  <c r="G188" i="19"/>
  <c r="F188" i="19"/>
  <c r="E188" i="19"/>
  <c r="D188" i="19"/>
  <c r="C188" i="19"/>
  <c r="B188" i="19"/>
  <c r="R187" i="19"/>
  <c r="Q187" i="19"/>
  <c r="P187" i="19"/>
  <c r="O187" i="19"/>
  <c r="N187" i="19"/>
  <c r="M187" i="19"/>
  <c r="L187" i="19"/>
  <c r="K187" i="19"/>
  <c r="J187" i="19"/>
  <c r="I187" i="19"/>
  <c r="H187" i="19"/>
  <c r="G187" i="19"/>
  <c r="F187" i="19"/>
  <c r="E187" i="19"/>
  <c r="D187" i="19"/>
  <c r="C187" i="19"/>
  <c r="B187" i="19"/>
  <c r="R186" i="19"/>
  <c r="Q186" i="19"/>
  <c r="P186" i="19"/>
  <c r="O186" i="19"/>
  <c r="N186" i="19"/>
  <c r="M186" i="19"/>
  <c r="L186" i="19"/>
  <c r="K186" i="19"/>
  <c r="J186" i="19"/>
  <c r="I186" i="19"/>
  <c r="H186" i="19"/>
  <c r="G186" i="19"/>
  <c r="F186" i="19"/>
  <c r="E186" i="19"/>
  <c r="D186" i="19"/>
  <c r="C186" i="19"/>
  <c r="B186" i="19"/>
  <c r="R185" i="19"/>
  <c r="Q185" i="19"/>
  <c r="P185" i="19"/>
  <c r="O185" i="19"/>
  <c r="N185" i="19"/>
  <c r="M185" i="19"/>
  <c r="L185" i="19"/>
  <c r="K185" i="19"/>
  <c r="J185" i="19"/>
  <c r="I185" i="19"/>
  <c r="H185" i="19"/>
  <c r="G185" i="19"/>
  <c r="F185" i="19"/>
  <c r="E185" i="19"/>
  <c r="D185" i="19"/>
  <c r="C185" i="19"/>
  <c r="B185" i="19"/>
  <c r="R184" i="19"/>
  <c r="Q184" i="19"/>
  <c r="P184" i="19"/>
  <c r="O184" i="19"/>
  <c r="N184" i="19"/>
  <c r="M184" i="19"/>
  <c r="L184" i="19"/>
  <c r="K184" i="19"/>
  <c r="J184" i="19"/>
  <c r="I184" i="19"/>
  <c r="H184" i="19"/>
  <c r="G184" i="19"/>
  <c r="F184" i="19"/>
  <c r="E184" i="19"/>
  <c r="D184" i="19"/>
  <c r="C184" i="19"/>
  <c r="B184" i="19"/>
  <c r="R183" i="19"/>
  <c r="Q183" i="19"/>
  <c r="P183" i="19"/>
  <c r="O183" i="19"/>
  <c r="N183" i="19"/>
  <c r="M183" i="19"/>
  <c r="L183" i="19"/>
  <c r="K183" i="19"/>
  <c r="J183" i="19"/>
  <c r="I183" i="19"/>
  <c r="H183" i="19"/>
  <c r="G183" i="19"/>
  <c r="F183" i="19"/>
  <c r="E183" i="19"/>
  <c r="D183" i="19"/>
  <c r="C183" i="19"/>
  <c r="B183" i="19"/>
  <c r="R182" i="19"/>
  <c r="Q182" i="19"/>
  <c r="P182" i="19"/>
  <c r="O182" i="19"/>
  <c r="N182" i="19"/>
  <c r="M182" i="19"/>
  <c r="L182" i="19"/>
  <c r="K182" i="19"/>
  <c r="J182" i="19"/>
  <c r="I182" i="19"/>
  <c r="H182" i="19"/>
  <c r="G182" i="19"/>
  <c r="F182" i="19"/>
  <c r="E182" i="19"/>
  <c r="D182" i="19"/>
  <c r="C182" i="19"/>
  <c r="B182" i="19"/>
  <c r="R181" i="19"/>
  <c r="Q181" i="19"/>
  <c r="P181" i="19"/>
  <c r="O181" i="19"/>
  <c r="N181" i="19"/>
  <c r="M181" i="19"/>
  <c r="L181" i="19"/>
  <c r="K181" i="19"/>
  <c r="J181" i="19"/>
  <c r="I181" i="19"/>
  <c r="H181" i="19"/>
  <c r="G181" i="19"/>
  <c r="F181" i="19"/>
  <c r="E181" i="19"/>
  <c r="D181" i="19"/>
  <c r="C181" i="19"/>
  <c r="B181" i="19"/>
  <c r="R180" i="19"/>
  <c r="Q180" i="19"/>
  <c r="P180" i="19"/>
  <c r="O180" i="19"/>
  <c r="N180" i="19"/>
  <c r="M180" i="19"/>
  <c r="L180" i="19"/>
  <c r="K180" i="19"/>
  <c r="J180" i="19"/>
  <c r="I180" i="19"/>
  <c r="H180" i="19"/>
  <c r="G180" i="19"/>
  <c r="F180" i="19"/>
  <c r="E180" i="19"/>
  <c r="D180" i="19"/>
  <c r="C180" i="19"/>
  <c r="B180" i="19"/>
  <c r="R179" i="19"/>
  <c r="Q179" i="19"/>
  <c r="P179" i="19"/>
  <c r="O179" i="19"/>
  <c r="N179" i="19"/>
  <c r="M179" i="19"/>
  <c r="L179" i="19"/>
  <c r="K179" i="19"/>
  <c r="J179" i="19"/>
  <c r="I179" i="19"/>
  <c r="H179" i="19"/>
  <c r="G179" i="19"/>
  <c r="F179" i="19"/>
  <c r="E179" i="19"/>
  <c r="D179" i="19"/>
  <c r="C179" i="19"/>
  <c r="B179" i="19"/>
  <c r="R178" i="19"/>
  <c r="Q178" i="19"/>
  <c r="P178" i="19"/>
  <c r="O178" i="19"/>
  <c r="N178" i="19"/>
  <c r="M178" i="19"/>
  <c r="L178" i="19"/>
  <c r="K178" i="19"/>
  <c r="J178" i="19"/>
  <c r="I178" i="19"/>
  <c r="H178" i="19"/>
  <c r="G178" i="19"/>
  <c r="F178" i="19"/>
  <c r="E178" i="19"/>
  <c r="D178" i="19"/>
  <c r="C178" i="19"/>
  <c r="B178" i="19"/>
  <c r="R177" i="19"/>
  <c r="Q177" i="19"/>
  <c r="P177" i="19"/>
  <c r="O177" i="19"/>
  <c r="N177" i="19"/>
  <c r="M177" i="19"/>
  <c r="L177" i="19"/>
  <c r="K177" i="19"/>
  <c r="J177" i="19"/>
  <c r="I177" i="19"/>
  <c r="H177" i="19"/>
  <c r="G177" i="19"/>
  <c r="F177" i="19"/>
  <c r="E177" i="19"/>
  <c r="D177" i="19"/>
  <c r="C177" i="19"/>
  <c r="B177" i="19"/>
  <c r="R176" i="19"/>
  <c r="Q176" i="19"/>
  <c r="P176" i="19"/>
  <c r="O176" i="19"/>
  <c r="N176" i="19"/>
  <c r="M176" i="19"/>
  <c r="L176" i="19"/>
  <c r="K176" i="19"/>
  <c r="J176" i="19"/>
  <c r="I176" i="19"/>
  <c r="H176" i="19"/>
  <c r="G176" i="19"/>
  <c r="F176" i="19"/>
  <c r="E176" i="19"/>
  <c r="D176" i="19"/>
  <c r="C176" i="19"/>
  <c r="B176" i="19"/>
  <c r="R175" i="19"/>
  <c r="Q175" i="19"/>
  <c r="P175" i="19"/>
  <c r="O175" i="19"/>
  <c r="N175" i="19"/>
  <c r="M175" i="19"/>
  <c r="L175" i="19"/>
  <c r="K175" i="19"/>
  <c r="J175" i="19"/>
  <c r="I175" i="19"/>
  <c r="H175" i="19"/>
  <c r="G175" i="19"/>
  <c r="F175" i="19"/>
  <c r="E175" i="19"/>
  <c r="D175" i="19"/>
  <c r="C175" i="19"/>
  <c r="B175" i="19"/>
  <c r="R174" i="19"/>
  <c r="Q174" i="19"/>
  <c r="P174" i="19"/>
  <c r="O174" i="19"/>
  <c r="N174" i="19"/>
  <c r="M174" i="19"/>
  <c r="L174" i="19"/>
  <c r="K174" i="19"/>
  <c r="J174" i="19"/>
  <c r="I174" i="19"/>
  <c r="H174" i="19"/>
  <c r="G174" i="19"/>
  <c r="F174" i="19"/>
  <c r="E174" i="19"/>
  <c r="D174" i="19"/>
  <c r="C174" i="19"/>
  <c r="B174" i="19"/>
  <c r="R173" i="19"/>
  <c r="Q173" i="19"/>
  <c r="P173" i="19"/>
  <c r="O173" i="19"/>
  <c r="N173" i="19"/>
  <c r="M173" i="19"/>
  <c r="L173" i="19"/>
  <c r="K173" i="19"/>
  <c r="J173" i="19"/>
  <c r="I173" i="19"/>
  <c r="H173" i="19"/>
  <c r="G173" i="19"/>
  <c r="F173" i="19"/>
  <c r="E173" i="19"/>
  <c r="D173" i="19"/>
  <c r="C173" i="19"/>
  <c r="B173" i="19"/>
  <c r="R172" i="19"/>
  <c r="Q172" i="19"/>
  <c r="P172" i="19"/>
  <c r="O172" i="19"/>
  <c r="N172" i="19"/>
  <c r="M172" i="19"/>
  <c r="L172" i="19"/>
  <c r="K172" i="19"/>
  <c r="J172" i="19"/>
  <c r="I172" i="19"/>
  <c r="H172" i="19"/>
  <c r="G172" i="19"/>
  <c r="F172" i="19"/>
  <c r="E172" i="19"/>
  <c r="D172" i="19"/>
  <c r="C172" i="19"/>
  <c r="B172" i="19"/>
  <c r="R171" i="19"/>
  <c r="Q171" i="19"/>
  <c r="P171" i="19"/>
  <c r="O171" i="19"/>
  <c r="N171" i="19"/>
  <c r="M171" i="19"/>
  <c r="L171" i="19"/>
  <c r="K171" i="19"/>
  <c r="J171" i="19"/>
  <c r="I171" i="19"/>
  <c r="H171" i="19"/>
  <c r="G171" i="19"/>
  <c r="F171" i="19"/>
  <c r="E171" i="19"/>
  <c r="D171" i="19"/>
  <c r="C171" i="19"/>
  <c r="B171" i="19"/>
  <c r="R170" i="19"/>
  <c r="Q170" i="19"/>
  <c r="P170" i="19"/>
  <c r="O170" i="19"/>
  <c r="N170" i="19"/>
  <c r="M170" i="19"/>
  <c r="L170" i="19"/>
  <c r="K170" i="19"/>
  <c r="J170" i="19"/>
  <c r="I170" i="19"/>
  <c r="H170" i="19"/>
  <c r="G170" i="19"/>
  <c r="F170" i="19"/>
  <c r="E170" i="19"/>
  <c r="D170" i="19"/>
  <c r="C170" i="19"/>
  <c r="B170" i="19"/>
  <c r="R169" i="19"/>
  <c r="Q169" i="19"/>
  <c r="P169" i="19"/>
  <c r="O169" i="19"/>
  <c r="N169" i="19"/>
  <c r="M169" i="19"/>
  <c r="L169" i="19"/>
  <c r="K169" i="19"/>
  <c r="J169" i="19"/>
  <c r="I169" i="19"/>
  <c r="H169" i="19"/>
  <c r="G169" i="19"/>
  <c r="F169" i="19"/>
  <c r="E169" i="19"/>
  <c r="D169" i="19"/>
  <c r="C169" i="19"/>
  <c r="B169" i="19"/>
  <c r="R168" i="19"/>
  <c r="Q168" i="19"/>
  <c r="P168" i="19"/>
  <c r="O168" i="19"/>
  <c r="N168" i="19"/>
  <c r="M168" i="19"/>
  <c r="L168" i="19"/>
  <c r="K168" i="19"/>
  <c r="J168" i="19"/>
  <c r="I168" i="19"/>
  <c r="H168" i="19"/>
  <c r="G168" i="19"/>
  <c r="F168" i="19"/>
  <c r="E168" i="19"/>
  <c r="D168" i="19"/>
  <c r="C168" i="19"/>
  <c r="B168" i="19"/>
  <c r="R167" i="19"/>
  <c r="Q167" i="19"/>
  <c r="P167" i="19"/>
  <c r="O167" i="19"/>
  <c r="N167" i="19"/>
  <c r="M167" i="19"/>
  <c r="L167" i="19"/>
  <c r="K167" i="19"/>
  <c r="J167" i="19"/>
  <c r="I167" i="19"/>
  <c r="H167" i="19"/>
  <c r="G167" i="19"/>
  <c r="F167" i="19"/>
  <c r="E167" i="19"/>
  <c r="D167" i="19"/>
  <c r="C167" i="19"/>
  <c r="B167" i="19"/>
  <c r="R166" i="19"/>
  <c r="Q166" i="19"/>
  <c r="P166" i="19"/>
  <c r="O166" i="19"/>
  <c r="N166" i="19"/>
  <c r="M166" i="19"/>
  <c r="L166" i="19"/>
  <c r="K166" i="19"/>
  <c r="J166" i="19"/>
  <c r="I166" i="19"/>
  <c r="H166" i="19"/>
  <c r="G166" i="19"/>
  <c r="F166" i="19"/>
  <c r="E166" i="19"/>
  <c r="D166" i="19"/>
  <c r="C166" i="19"/>
  <c r="B166" i="19"/>
  <c r="R165" i="19"/>
  <c r="Q165" i="19"/>
  <c r="P165" i="19"/>
  <c r="O165" i="19"/>
  <c r="N165" i="19"/>
  <c r="M165" i="19"/>
  <c r="L165" i="19"/>
  <c r="K165" i="19"/>
  <c r="J165" i="19"/>
  <c r="I165" i="19"/>
  <c r="H165" i="19"/>
  <c r="G165" i="19"/>
  <c r="F165" i="19"/>
  <c r="E165" i="19"/>
  <c r="D165" i="19"/>
  <c r="C165" i="19"/>
  <c r="B165" i="19"/>
  <c r="R164" i="19"/>
  <c r="Q164" i="19"/>
  <c r="P164" i="19"/>
  <c r="O164" i="19"/>
  <c r="N164" i="19"/>
  <c r="M164" i="19"/>
  <c r="L164" i="19"/>
  <c r="K164" i="19"/>
  <c r="J164" i="19"/>
  <c r="I164" i="19"/>
  <c r="H164" i="19"/>
  <c r="G164" i="19"/>
  <c r="F164" i="19"/>
  <c r="E164" i="19"/>
  <c r="D164" i="19"/>
  <c r="C164" i="19"/>
  <c r="B164" i="19"/>
  <c r="R163" i="19"/>
  <c r="Q163" i="19"/>
  <c r="P163" i="19"/>
  <c r="O163" i="19"/>
  <c r="N163" i="19"/>
  <c r="M163" i="19"/>
  <c r="L163" i="19"/>
  <c r="K163" i="19"/>
  <c r="J163" i="19"/>
  <c r="I163" i="19"/>
  <c r="H163" i="19"/>
  <c r="G163" i="19"/>
  <c r="F163" i="19"/>
  <c r="E163" i="19"/>
  <c r="D163" i="19"/>
  <c r="C163" i="19"/>
  <c r="B163" i="19"/>
  <c r="R162" i="19"/>
  <c r="Q162" i="19"/>
  <c r="P162" i="19"/>
  <c r="O162" i="19"/>
  <c r="N162" i="19"/>
  <c r="M162" i="19"/>
  <c r="L162" i="19"/>
  <c r="K162" i="19"/>
  <c r="J162" i="19"/>
  <c r="I162" i="19"/>
  <c r="H162" i="19"/>
  <c r="G162" i="19"/>
  <c r="F162" i="19"/>
  <c r="E162" i="19"/>
  <c r="D162" i="19"/>
  <c r="C162" i="19"/>
  <c r="B162" i="19"/>
  <c r="R161" i="19"/>
  <c r="Q161" i="19"/>
  <c r="P161" i="19"/>
  <c r="O161" i="19"/>
  <c r="N161" i="19"/>
  <c r="M161" i="19"/>
  <c r="L161" i="19"/>
  <c r="K161" i="19"/>
  <c r="J161" i="19"/>
  <c r="I161" i="19"/>
  <c r="H161" i="19"/>
  <c r="G161" i="19"/>
  <c r="F161" i="19"/>
  <c r="E161" i="19"/>
  <c r="D161" i="19"/>
  <c r="C161" i="19"/>
  <c r="B161" i="19"/>
  <c r="R160" i="19"/>
  <c r="Q160" i="19"/>
  <c r="P160" i="19"/>
  <c r="O160" i="19"/>
  <c r="N160" i="19"/>
  <c r="M160" i="19"/>
  <c r="L160" i="19"/>
  <c r="K160" i="19"/>
  <c r="J160" i="19"/>
  <c r="I160" i="19"/>
  <c r="H160" i="19"/>
  <c r="G160" i="19"/>
  <c r="F160" i="19"/>
  <c r="E160" i="19"/>
  <c r="D160" i="19"/>
  <c r="C160" i="19"/>
  <c r="B160" i="19"/>
  <c r="R159" i="19"/>
  <c r="Q159" i="19"/>
  <c r="P159" i="19"/>
  <c r="O159" i="19"/>
  <c r="N159" i="19"/>
  <c r="M159" i="19"/>
  <c r="L159" i="19"/>
  <c r="K159" i="19"/>
  <c r="J159" i="19"/>
  <c r="I159" i="19"/>
  <c r="H159" i="19"/>
  <c r="G159" i="19"/>
  <c r="F159" i="19"/>
  <c r="E159" i="19"/>
  <c r="D159" i="19"/>
  <c r="C159" i="19"/>
  <c r="B159" i="19"/>
  <c r="R158" i="19"/>
  <c r="Q158" i="19"/>
  <c r="P158" i="19"/>
  <c r="O158" i="19"/>
  <c r="N158" i="19"/>
  <c r="M158" i="19"/>
  <c r="L158" i="19"/>
  <c r="K158" i="19"/>
  <c r="J158" i="19"/>
  <c r="I158" i="19"/>
  <c r="H158" i="19"/>
  <c r="G158" i="19"/>
  <c r="F158" i="19"/>
  <c r="E158" i="19"/>
  <c r="D158" i="19"/>
  <c r="C158" i="19"/>
  <c r="B158" i="19"/>
  <c r="R157" i="19"/>
  <c r="Q157" i="19"/>
  <c r="P157" i="19"/>
  <c r="O157" i="19"/>
  <c r="N157" i="19"/>
  <c r="M157" i="19"/>
  <c r="L157" i="19"/>
  <c r="K157" i="19"/>
  <c r="J157" i="19"/>
  <c r="I157" i="19"/>
  <c r="H157" i="19"/>
  <c r="G157" i="19"/>
  <c r="F157" i="19"/>
  <c r="E157" i="19"/>
  <c r="D157" i="19"/>
  <c r="C157" i="19"/>
  <c r="B157" i="19"/>
  <c r="R156" i="19"/>
  <c r="Q156" i="19"/>
  <c r="P156" i="19"/>
  <c r="O156" i="19"/>
  <c r="N156" i="19"/>
  <c r="M156" i="19"/>
  <c r="L156" i="19"/>
  <c r="K156" i="19"/>
  <c r="J156" i="19"/>
  <c r="I156" i="19"/>
  <c r="H156" i="19"/>
  <c r="G156" i="19"/>
  <c r="F156" i="19"/>
  <c r="E156" i="19"/>
  <c r="D156" i="19"/>
  <c r="C156" i="19"/>
  <c r="B156" i="19"/>
  <c r="R155" i="19"/>
  <c r="Q155" i="19"/>
  <c r="P155" i="19"/>
  <c r="O155" i="19"/>
  <c r="N155" i="19"/>
  <c r="M155" i="19"/>
  <c r="L155" i="19"/>
  <c r="K155" i="19"/>
  <c r="J155" i="19"/>
  <c r="I155" i="19"/>
  <c r="H155" i="19"/>
  <c r="G155" i="19"/>
  <c r="F155" i="19"/>
  <c r="E155" i="19"/>
  <c r="D155" i="19"/>
  <c r="C155" i="19"/>
  <c r="B155" i="19"/>
  <c r="R154" i="19"/>
  <c r="Q154" i="19"/>
  <c r="P154" i="19"/>
  <c r="O154" i="19"/>
  <c r="N154" i="19"/>
  <c r="M154" i="19"/>
  <c r="L154" i="19"/>
  <c r="K154" i="19"/>
  <c r="J154" i="19"/>
  <c r="I154" i="19"/>
  <c r="H154" i="19"/>
  <c r="G154" i="19"/>
  <c r="F154" i="19"/>
  <c r="E154" i="19"/>
  <c r="D154" i="19"/>
  <c r="C154" i="19"/>
  <c r="B154" i="19"/>
  <c r="R153" i="19"/>
  <c r="Q153" i="19"/>
  <c r="P153" i="19"/>
  <c r="O153" i="19"/>
  <c r="N153" i="19"/>
  <c r="M153" i="19"/>
  <c r="L153" i="19"/>
  <c r="K153" i="19"/>
  <c r="J153" i="19"/>
  <c r="I153" i="19"/>
  <c r="H153" i="19"/>
  <c r="G153" i="19"/>
  <c r="F153" i="19"/>
  <c r="E153" i="19"/>
  <c r="D153" i="19"/>
  <c r="C153" i="19"/>
  <c r="B153" i="19"/>
  <c r="R152" i="19"/>
  <c r="Q152" i="19"/>
  <c r="P152" i="19"/>
  <c r="O152" i="19"/>
  <c r="N152" i="19"/>
  <c r="M152" i="19"/>
  <c r="L152" i="19"/>
  <c r="K152" i="19"/>
  <c r="J152" i="19"/>
  <c r="I152" i="19"/>
  <c r="H152" i="19"/>
  <c r="G152" i="19"/>
  <c r="F152" i="19"/>
  <c r="E152" i="19"/>
  <c r="D152" i="19"/>
  <c r="C152" i="19"/>
  <c r="B152" i="19"/>
  <c r="R151" i="19"/>
  <c r="Q151" i="19"/>
  <c r="P151" i="19"/>
  <c r="O151" i="19"/>
  <c r="N151" i="19"/>
  <c r="M151" i="19"/>
  <c r="L151" i="19"/>
  <c r="K151" i="19"/>
  <c r="J151" i="19"/>
  <c r="I151" i="19"/>
  <c r="H151" i="19"/>
  <c r="G151" i="19"/>
  <c r="F151" i="19"/>
  <c r="E151" i="19"/>
  <c r="D151" i="19"/>
  <c r="C151" i="19"/>
  <c r="B151" i="19"/>
  <c r="R150" i="19"/>
  <c r="Q150" i="19"/>
  <c r="P150" i="19"/>
  <c r="O150" i="19"/>
  <c r="N150" i="19"/>
  <c r="M150" i="19"/>
  <c r="L150" i="19"/>
  <c r="K150" i="19"/>
  <c r="J150" i="19"/>
  <c r="I150" i="19"/>
  <c r="H150" i="19"/>
  <c r="G150" i="19"/>
  <c r="F150" i="19"/>
  <c r="E150" i="19"/>
  <c r="D150" i="19"/>
  <c r="C150" i="19"/>
  <c r="B150" i="19"/>
  <c r="R149" i="19"/>
  <c r="Q149" i="19"/>
  <c r="P149" i="19"/>
  <c r="O149" i="19"/>
  <c r="N149" i="19"/>
  <c r="M149" i="19"/>
  <c r="L149" i="19"/>
  <c r="K149" i="19"/>
  <c r="J149" i="19"/>
  <c r="I149" i="19"/>
  <c r="H149" i="19"/>
  <c r="G149" i="19"/>
  <c r="F149" i="19"/>
  <c r="E149" i="19"/>
  <c r="D149" i="19"/>
  <c r="C149" i="19"/>
  <c r="B149" i="19"/>
  <c r="R148" i="19"/>
  <c r="Q148" i="19"/>
  <c r="P148" i="19"/>
  <c r="O148" i="19"/>
  <c r="N148" i="19"/>
  <c r="M148" i="19"/>
  <c r="L148" i="19"/>
  <c r="K148" i="19"/>
  <c r="J148" i="19"/>
  <c r="I148" i="19"/>
  <c r="H148" i="19"/>
  <c r="G148" i="19"/>
  <c r="F148" i="19"/>
  <c r="E148" i="19"/>
  <c r="D148" i="19"/>
  <c r="C148" i="19"/>
  <c r="B148" i="19"/>
  <c r="R147" i="19"/>
  <c r="Q147" i="19"/>
  <c r="P147" i="19"/>
  <c r="O147" i="19"/>
  <c r="N147" i="19"/>
  <c r="M147" i="19"/>
  <c r="L147" i="19"/>
  <c r="K147" i="19"/>
  <c r="J147" i="19"/>
  <c r="I147" i="19"/>
  <c r="H147" i="19"/>
  <c r="G147" i="19"/>
  <c r="F147" i="19"/>
  <c r="E147" i="19"/>
  <c r="D147" i="19"/>
  <c r="C147" i="19"/>
  <c r="B147" i="19"/>
  <c r="R146" i="19"/>
  <c r="Q146" i="19"/>
  <c r="P146" i="19"/>
  <c r="O146" i="19"/>
  <c r="N146" i="19"/>
  <c r="M146" i="19"/>
  <c r="L146" i="19"/>
  <c r="K146" i="19"/>
  <c r="J146" i="19"/>
  <c r="I146" i="19"/>
  <c r="H146" i="19"/>
  <c r="G146" i="19"/>
  <c r="F146" i="19"/>
  <c r="E146" i="19"/>
  <c r="D146" i="19"/>
  <c r="C146" i="19"/>
  <c r="B146" i="19"/>
  <c r="R145" i="19"/>
  <c r="Q145" i="19"/>
  <c r="P145" i="19"/>
  <c r="O145" i="19"/>
  <c r="N145" i="19"/>
  <c r="M145" i="19"/>
  <c r="L145" i="19"/>
  <c r="K145" i="19"/>
  <c r="J145" i="19"/>
  <c r="I145" i="19"/>
  <c r="H145" i="19"/>
  <c r="G145" i="19"/>
  <c r="F145" i="19"/>
  <c r="E145" i="19"/>
  <c r="D145" i="19"/>
  <c r="C145" i="19"/>
  <c r="B145" i="19"/>
  <c r="R144" i="19"/>
  <c r="Q144" i="19"/>
  <c r="P144" i="19"/>
  <c r="O144" i="19"/>
  <c r="N144" i="19"/>
  <c r="M144" i="19"/>
  <c r="L144" i="19"/>
  <c r="K144" i="19"/>
  <c r="J144" i="19"/>
  <c r="I144" i="19"/>
  <c r="H144" i="19"/>
  <c r="G144" i="19"/>
  <c r="F144" i="19"/>
  <c r="E144" i="19"/>
  <c r="D144" i="19"/>
  <c r="C144" i="19"/>
  <c r="B144" i="19"/>
  <c r="R143" i="19"/>
  <c r="Q143" i="19"/>
  <c r="P143" i="19"/>
  <c r="O143" i="19"/>
  <c r="N143" i="19"/>
  <c r="M143" i="19"/>
  <c r="L143" i="19"/>
  <c r="K143" i="19"/>
  <c r="J143" i="19"/>
  <c r="I143" i="19"/>
  <c r="H143" i="19"/>
  <c r="G143" i="19"/>
  <c r="F143" i="19"/>
  <c r="E143" i="19"/>
  <c r="D143" i="19"/>
  <c r="C143" i="19"/>
  <c r="B143" i="19"/>
  <c r="R142" i="19"/>
  <c r="Q142" i="19"/>
  <c r="P142" i="19"/>
  <c r="O142" i="19"/>
  <c r="N142" i="19"/>
  <c r="M142" i="19"/>
  <c r="L142" i="19"/>
  <c r="K142" i="19"/>
  <c r="J142" i="19"/>
  <c r="I142" i="19"/>
  <c r="H142" i="19"/>
  <c r="G142" i="19"/>
  <c r="F142" i="19"/>
  <c r="E142" i="19"/>
  <c r="D142" i="19"/>
  <c r="C142" i="19"/>
  <c r="B142" i="19"/>
  <c r="R141" i="19"/>
  <c r="Q141" i="19"/>
  <c r="P141" i="19"/>
  <c r="O141" i="19"/>
  <c r="N141" i="19"/>
  <c r="M141" i="19"/>
  <c r="L141" i="19"/>
  <c r="K141" i="19"/>
  <c r="J141" i="19"/>
  <c r="I141" i="19"/>
  <c r="H141" i="19"/>
  <c r="G141" i="19"/>
  <c r="F141" i="19"/>
  <c r="E141" i="19"/>
  <c r="D141" i="19"/>
  <c r="C141" i="19"/>
  <c r="B141" i="19"/>
  <c r="R140" i="19"/>
  <c r="Q140" i="19"/>
  <c r="P140" i="19"/>
  <c r="O140" i="19"/>
  <c r="N140" i="19"/>
  <c r="M140" i="19"/>
  <c r="L140" i="19"/>
  <c r="K140" i="19"/>
  <c r="J140" i="19"/>
  <c r="I140" i="19"/>
  <c r="H140" i="19"/>
  <c r="G140" i="19"/>
  <c r="F140" i="19"/>
  <c r="E140" i="19"/>
  <c r="D140" i="19"/>
  <c r="C140" i="19"/>
  <c r="B140" i="19"/>
  <c r="R139" i="19"/>
  <c r="Q139" i="19"/>
  <c r="P139" i="19"/>
  <c r="O139" i="19"/>
  <c r="N139" i="19"/>
  <c r="M139" i="19"/>
  <c r="L139" i="19"/>
  <c r="K139" i="19"/>
  <c r="J139" i="19"/>
  <c r="I139" i="19"/>
  <c r="H139" i="19"/>
  <c r="G139" i="19"/>
  <c r="F139" i="19"/>
  <c r="E139" i="19"/>
  <c r="D139" i="19"/>
  <c r="C139" i="19"/>
  <c r="B139" i="19"/>
  <c r="R138" i="19"/>
  <c r="Q138" i="19"/>
  <c r="P138" i="19"/>
  <c r="O138" i="19"/>
  <c r="N138" i="19"/>
  <c r="M138" i="19"/>
  <c r="L138" i="19"/>
  <c r="K138" i="19"/>
  <c r="J138" i="19"/>
  <c r="I138" i="19"/>
  <c r="H138" i="19"/>
  <c r="G138" i="19"/>
  <c r="F138" i="19"/>
  <c r="E138" i="19"/>
  <c r="D138" i="19"/>
  <c r="C138" i="19"/>
  <c r="B138" i="19"/>
  <c r="R137" i="19"/>
  <c r="Q137" i="19"/>
  <c r="P137" i="19"/>
  <c r="O137" i="19"/>
  <c r="N137" i="19"/>
  <c r="M137" i="19"/>
  <c r="L137" i="19"/>
  <c r="K137" i="19"/>
  <c r="J137" i="19"/>
  <c r="I137" i="19"/>
  <c r="H137" i="19"/>
  <c r="G137" i="19"/>
  <c r="F137" i="19"/>
  <c r="E137" i="19"/>
  <c r="D137" i="19"/>
  <c r="C137" i="19"/>
  <c r="B137" i="19"/>
  <c r="R136" i="19"/>
  <c r="Q136" i="19"/>
  <c r="P136" i="19"/>
  <c r="O136" i="19"/>
  <c r="N136" i="19"/>
  <c r="M136" i="19"/>
  <c r="L136" i="19"/>
  <c r="K136" i="19"/>
  <c r="J136" i="19"/>
  <c r="I136" i="19"/>
  <c r="H136" i="19"/>
  <c r="G136" i="19"/>
  <c r="F136" i="19"/>
  <c r="E136" i="19"/>
  <c r="D136" i="19"/>
  <c r="C136" i="19"/>
  <c r="B136" i="19"/>
  <c r="R135" i="19"/>
  <c r="Q135" i="19"/>
  <c r="P135" i="19"/>
  <c r="O135" i="19"/>
  <c r="N135" i="19"/>
  <c r="M135" i="19"/>
  <c r="L135" i="19"/>
  <c r="K135" i="19"/>
  <c r="J135" i="19"/>
  <c r="I135" i="19"/>
  <c r="H135" i="19"/>
  <c r="G135" i="19"/>
  <c r="F135" i="19"/>
  <c r="E135" i="19"/>
  <c r="D135" i="19"/>
  <c r="C135" i="19"/>
  <c r="B135" i="19"/>
  <c r="R134" i="19"/>
  <c r="Q134" i="19"/>
  <c r="P134" i="19"/>
  <c r="O134" i="19"/>
  <c r="N134" i="19"/>
  <c r="M134" i="19"/>
  <c r="L134" i="19"/>
  <c r="K134" i="19"/>
  <c r="J134" i="19"/>
  <c r="I134" i="19"/>
  <c r="H134" i="19"/>
  <c r="G134" i="19"/>
  <c r="F134" i="19"/>
  <c r="E134" i="19"/>
  <c r="D134" i="19"/>
  <c r="C134" i="19"/>
  <c r="B134" i="19"/>
  <c r="R133" i="19"/>
  <c r="Q133" i="19"/>
  <c r="P133" i="19"/>
  <c r="O133" i="19"/>
  <c r="N133" i="19"/>
  <c r="M133" i="19"/>
  <c r="L133" i="19"/>
  <c r="K133" i="19"/>
  <c r="J133" i="19"/>
  <c r="I133" i="19"/>
  <c r="H133" i="19"/>
  <c r="G133" i="19"/>
  <c r="F133" i="19"/>
  <c r="E133" i="19"/>
  <c r="D133" i="19"/>
  <c r="C133" i="19"/>
  <c r="B133" i="19"/>
  <c r="R132" i="19"/>
  <c r="Q132" i="19"/>
  <c r="P132" i="19"/>
  <c r="O132" i="19"/>
  <c r="N132" i="19"/>
  <c r="M132" i="19"/>
  <c r="L132" i="19"/>
  <c r="K132" i="19"/>
  <c r="J132" i="19"/>
  <c r="I132" i="19"/>
  <c r="H132" i="19"/>
  <c r="G132" i="19"/>
  <c r="F132" i="19"/>
  <c r="E132" i="19"/>
  <c r="D132" i="19"/>
  <c r="C132" i="19"/>
  <c r="B132" i="19"/>
  <c r="R131" i="19"/>
  <c r="Q131" i="19"/>
  <c r="P131" i="19"/>
  <c r="O131" i="19"/>
  <c r="N131" i="19"/>
  <c r="M131" i="19"/>
  <c r="L131" i="19"/>
  <c r="K131" i="19"/>
  <c r="J131" i="19"/>
  <c r="I131" i="19"/>
  <c r="H131" i="19"/>
  <c r="G131" i="19"/>
  <c r="F131" i="19"/>
  <c r="E131" i="19"/>
  <c r="D131" i="19"/>
  <c r="C131" i="19"/>
  <c r="B131" i="19"/>
  <c r="R130" i="19"/>
  <c r="Q130" i="19"/>
  <c r="P130" i="19"/>
  <c r="O130" i="19"/>
  <c r="N130" i="19"/>
  <c r="M130" i="19"/>
  <c r="L130" i="19"/>
  <c r="K130" i="19"/>
  <c r="J130" i="19"/>
  <c r="I130" i="19"/>
  <c r="H130" i="19"/>
  <c r="G130" i="19"/>
  <c r="F130" i="19"/>
  <c r="E130" i="19"/>
  <c r="D130" i="19"/>
  <c r="C130" i="19"/>
  <c r="B130" i="19"/>
  <c r="R129" i="19"/>
  <c r="Q129" i="19"/>
  <c r="P129" i="19"/>
  <c r="O129" i="19"/>
  <c r="N129" i="19"/>
  <c r="M129" i="19"/>
  <c r="L129" i="19"/>
  <c r="K129" i="19"/>
  <c r="J129" i="19"/>
  <c r="I129" i="19"/>
  <c r="H129" i="19"/>
  <c r="G129" i="19"/>
  <c r="F129" i="19"/>
  <c r="E129" i="19"/>
  <c r="D129" i="19"/>
  <c r="C129" i="19"/>
  <c r="B129" i="19"/>
  <c r="R128" i="19"/>
  <c r="Q128" i="19"/>
  <c r="P128" i="19"/>
  <c r="O128" i="19"/>
  <c r="N128" i="19"/>
  <c r="M128" i="19"/>
  <c r="L128" i="19"/>
  <c r="K128" i="19"/>
  <c r="J128" i="19"/>
  <c r="I128" i="19"/>
  <c r="H128" i="19"/>
  <c r="G128" i="19"/>
  <c r="F128" i="19"/>
  <c r="E128" i="19"/>
  <c r="D128" i="19"/>
  <c r="C128" i="19"/>
  <c r="B128" i="19"/>
  <c r="R127" i="19"/>
  <c r="Q127" i="19"/>
  <c r="P127" i="19"/>
  <c r="O127" i="19"/>
  <c r="N127" i="19"/>
  <c r="M127" i="19"/>
  <c r="L127" i="19"/>
  <c r="K127" i="19"/>
  <c r="J127" i="19"/>
  <c r="I127" i="19"/>
  <c r="H127" i="19"/>
  <c r="G127" i="19"/>
  <c r="F127" i="19"/>
  <c r="E127" i="19"/>
  <c r="D127" i="19"/>
  <c r="C127" i="19"/>
  <c r="B127" i="19"/>
  <c r="R126" i="19"/>
  <c r="Q126" i="19"/>
  <c r="P126" i="19"/>
  <c r="O126" i="19"/>
  <c r="N126" i="19"/>
  <c r="M126" i="19"/>
  <c r="L126" i="19"/>
  <c r="K126" i="19"/>
  <c r="J126" i="19"/>
  <c r="I126" i="19"/>
  <c r="H126" i="19"/>
  <c r="G126" i="19"/>
  <c r="F126" i="19"/>
  <c r="E126" i="19"/>
  <c r="D126" i="19"/>
  <c r="C126" i="19"/>
  <c r="B126" i="19"/>
  <c r="R125" i="19"/>
  <c r="Q125" i="19"/>
  <c r="P125" i="19"/>
  <c r="O125" i="19"/>
  <c r="N125" i="19"/>
  <c r="M125" i="19"/>
  <c r="L125" i="19"/>
  <c r="K125" i="19"/>
  <c r="J125" i="19"/>
  <c r="I125" i="19"/>
  <c r="H125" i="19"/>
  <c r="G125" i="19"/>
  <c r="F125" i="19"/>
  <c r="E125" i="19"/>
  <c r="D125" i="19"/>
  <c r="C125" i="19"/>
  <c r="B125" i="19"/>
  <c r="R124" i="19"/>
  <c r="Q124" i="19"/>
  <c r="P124" i="19"/>
  <c r="O124" i="19"/>
  <c r="N124" i="19"/>
  <c r="M124" i="19"/>
  <c r="L124" i="19"/>
  <c r="K124" i="19"/>
  <c r="J124" i="19"/>
  <c r="I124" i="19"/>
  <c r="H124" i="19"/>
  <c r="G124" i="19"/>
  <c r="F124" i="19"/>
  <c r="E124" i="19"/>
  <c r="D124" i="19"/>
  <c r="C124" i="19"/>
  <c r="B124" i="19"/>
  <c r="R123" i="19"/>
  <c r="Q123" i="19"/>
  <c r="P123" i="19"/>
  <c r="O123" i="19"/>
  <c r="N123" i="19"/>
  <c r="M123" i="19"/>
  <c r="L123" i="19"/>
  <c r="K123" i="19"/>
  <c r="J123" i="19"/>
  <c r="I123" i="19"/>
  <c r="H123" i="19"/>
  <c r="G123" i="19"/>
  <c r="F123" i="19"/>
  <c r="E123" i="19"/>
  <c r="D123" i="19"/>
  <c r="C123" i="19"/>
  <c r="B123" i="19"/>
  <c r="R122" i="19"/>
  <c r="Q122" i="19"/>
  <c r="P122" i="19"/>
  <c r="O122" i="19"/>
  <c r="N122" i="19"/>
  <c r="M122" i="19"/>
  <c r="L122" i="19"/>
  <c r="K122" i="19"/>
  <c r="J122" i="19"/>
  <c r="I122" i="19"/>
  <c r="H122" i="19"/>
  <c r="G122" i="19"/>
  <c r="F122" i="19"/>
  <c r="E122" i="19"/>
  <c r="D122" i="19"/>
  <c r="C122" i="19"/>
  <c r="B122" i="19"/>
  <c r="R120" i="19"/>
  <c r="Q120" i="19"/>
  <c r="P120" i="19"/>
  <c r="O120" i="19"/>
  <c r="N120" i="19"/>
  <c r="M120" i="19"/>
  <c r="L120" i="19"/>
  <c r="K120" i="19"/>
  <c r="J120" i="19"/>
  <c r="I120" i="19"/>
  <c r="H120" i="19"/>
  <c r="G120" i="19"/>
  <c r="F120" i="19"/>
  <c r="E120" i="19"/>
  <c r="D120" i="19"/>
  <c r="C120" i="19"/>
  <c r="B120" i="19"/>
  <c r="R119" i="19"/>
  <c r="Q119" i="19"/>
  <c r="P119" i="19"/>
  <c r="O119" i="19"/>
  <c r="N119" i="19"/>
  <c r="M119" i="19"/>
  <c r="L119" i="19"/>
  <c r="K119" i="19"/>
  <c r="J119" i="19"/>
  <c r="I119" i="19"/>
  <c r="H119" i="19"/>
  <c r="G119" i="19"/>
  <c r="F119" i="19"/>
  <c r="E119" i="19"/>
  <c r="D119" i="19"/>
  <c r="C119" i="19"/>
  <c r="B119" i="19"/>
  <c r="R118" i="19"/>
  <c r="Q118" i="19"/>
  <c r="P118" i="19"/>
  <c r="O118" i="19"/>
  <c r="N118" i="19"/>
  <c r="M118" i="19"/>
  <c r="L118" i="19"/>
  <c r="K118" i="19"/>
  <c r="J118" i="19"/>
  <c r="I118" i="19"/>
  <c r="H118" i="19"/>
  <c r="G118" i="19"/>
  <c r="F118" i="19"/>
  <c r="E118" i="19"/>
  <c r="D118" i="19"/>
  <c r="C118" i="19"/>
  <c r="B118" i="19"/>
  <c r="R117" i="19"/>
  <c r="Q117" i="19"/>
  <c r="P117" i="19"/>
  <c r="O117" i="19"/>
  <c r="N117" i="19"/>
  <c r="M117" i="19"/>
  <c r="L117" i="19"/>
  <c r="K117" i="19"/>
  <c r="J117" i="19"/>
  <c r="I117" i="19"/>
  <c r="H117" i="19"/>
  <c r="G117" i="19"/>
  <c r="F117" i="19"/>
  <c r="E117" i="19"/>
  <c r="D117" i="19"/>
  <c r="C117" i="19"/>
  <c r="B117" i="19"/>
  <c r="R116" i="19"/>
  <c r="Q116" i="19"/>
  <c r="P116" i="19"/>
  <c r="O116" i="19"/>
  <c r="N116" i="19"/>
  <c r="M116" i="19"/>
  <c r="L116" i="19"/>
  <c r="K116" i="19"/>
  <c r="J116" i="19"/>
  <c r="I116" i="19"/>
  <c r="H116" i="19"/>
  <c r="G116" i="19"/>
  <c r="F116" i="19"/>
  <c r="E116" i="19"/>
  <c r="D116" i="19"/>
  <c r="C116" i="19"/>
  <c r="B116" i="19"/>
  <c r="R115" i="19"/>
  <c r="Q115" i="19"/>
  <c r="P115" i="19"/>
  <c r="O115" i="19"/>
  <c r="N115" i="19"/>
  <c r="M115" i="19"/>
  <c r="L115" i="19"/>
  <c r="K115" i="19"/>
  <c r="J115" i="19"/>
  <c r="I115" i="19"/>
  <c r="H115" i="19"/>
  <c r="G115" i="19"/>
  <c r="F115" i="19"/>
  <c r="E115" i="19"/>
  <c r="D115" i="19"/>
  <c r="C115" i="19"/>
  <c r="B115" i="19"/>
  <c r="R114" i="19"/>
  <c r="Q114" i="19"/>
  <c r="P114" i="19"/>
  <c r="O114" i="19"/>
  <c r="N114" i="19"/>
  <c r="M114" i="19"/>
  <c r="L114" i="19"/>
  <c r="K114" i="19"/>
  <c r="J114" i="19"/>
  <c r="I114" i="19"/>
  <c r="H114" i="19"/>
  <c r="G114" i="19"/>
  <c r="F114" i="19"/>
  <c r="E114" i="19"/>
  <c r="D114" i="19"/>
  <c r="C114" i="19"/>
  <c r="B114" i="19"/>
  <c r="R113" i="19"/>
  <c r="Q113" i="19"/>
  <c r="P113" i="19"/>
  <c r="O113" i="19"/>
  <c r="N113" i="19"/>
  <c r="M113" i="19"/>
  <c r="L113" i="19"/>
  <c r="K113" i="19"/>
  <c r="J113" i="19"/>
  <c r="I113" i="19"/>
  <c r="H113" i="19"/>
  <c r="G113" i="19"/>
  <c r="F113" i="19"/>
  <c r="E113" i="19"/>
  <c r="D113" i="19"/>
  <c r="C113" i="19"/>
  <c r="B113" i="19"/>
  <c r="R112" i="19"/>
  <c r="Q112" i="19"/>
  <c r="P112" i="19"/>
  <c r="O112" i="19"/>
  <c r="N112" i="19"/>
  <c r="M112" i="19"/>
  <c r="L112" i="19"/>
  <c r="K112" i="19"/>
  <c r="J112" i="19"/>
  <c r="I112" i="19"/>
  <c r="H112" i="19"/>
  <c r="G112" i="19"/>
  <c r="F112" i="19"/>
  <c r="E112" i="19"/>
  <c r="D112" i="19"/>
  <c r="C112" i="19"/>
  <c r="B112" i="19"/>
  <c r="R111" i="19"/>
  <c r="Q111" i="19"/>
  <c r="P111" i="19"/>
  <c r="O111" i="19"/>
  <c r="N111" i="19"/>
  <c r="M111" i="19"/>
  <c r="L111" i="19"/>
  <c r="K111" i="19"/>
  <c r="J111" i="19"/>
  <c r="I111" i="19"/>
  <c r="H111" i="19"/>
  <c r="G111" i="19"/>
  <c r="F111" i="19"/>
  <c r="E111" i="19"/>
  <c r="D111" i="19"/>
  <c r="C111" i="19"/>
  <c r="B111" i="19"/>
  <c r="R110" i="19"/>
  <c r="Q110" i="19"/>
  <c r="P110" i="19"/>
  <c r="O110" i="19"/>
  <c r="N110" i="19"/>
  <c r="M110" i="19"/>
  <c r="L110" i="19"/>
  <c r="K110" i="19"/>
  <c r="J110" i="19"/>
  <c r="I110" i="19"/>
  <c r="H110" i="19"/>
  <c r="G110" i="19"/>
  <c r="F110" i="19"/>
  <c r="E110" i="19"/>
  <c r="D110" i="19"/>
  <c r="C110" i="19"/>
  <c r="B110" i="19"/>
  <c r="R109" i="19"/>
  <c r="Q109" i="19"/>
  <c r="P109" i="19"/>
  <c r="O109" i="19"/>
  <c r="N109" i="19"/>
  <c r="M109" i="19"/>
  <c r="L109" i="19"/>
  <c r="K109" i="19"/>
  <c r="J109" i="19"/>
  <c r="I109" i="19"/>
  <c r="H109" i="19"/>
  <c r="G109" i="19"/>
  <c r="F109" i="19"/>
  <c r="E109" i="19"/>
  <c r="D109" i="19"/>
  <c r="C109" i="19"/>
  <c r="B109" i="19"/>
  <c r="R108" i="19"/>
  <c r="Q108" i="19"/>
  <c r="P108" i="19"/>
  <c r="O108" i="19"/>
  <c r="N108" i="19"/>
  <c r="M108" i="19"/>
  <c r="L108" i="19"/>
  <c r="K108" i="19"/>
  <c r="J108" i="19"/>
  <c r="I108" i="19"/>
  <c r="H108" i="19"/>
  <c r="G108" i="19"/>
  <c r="F108" i="19"/>
  <c r="E108" i="19"/>
  <c r="D108" i="19"/>
  <c r="C108" i="19"/>
  <c r="B108" i="19"/>
  <c r="R107" i="19"/>
  <c r="Q107" i="19"/>
  <c r="P107" i="19"/>
  <c r="O107" i="19"/>
  <c r="N107" i="19"/>
  <c r="M107" i="19"/>
  <c r="L107" i="19"/>
  <c r="K107" i="19"/>
  <c r="J107" i="19"/>
  <c r="I107" i="19"/>
  <c r="H107" i="19"/>
  <c r="G107" i="19"/>
  <c r="F107" i="19"/>
  <c r="E107" i="19"/>
  <c r="D107" i="19"/>
  <c r="C107" i="19"/>
  <c r="B107" i="19"/>
  <c r="R106" i="19"/>
  <c r="Q106" i="19"/>
  <c r="P106" i="19"/>
  <c r="O106" i="19"/>
  <c r="N106" i="19"/>
  <c r="M106" i="19"/>
  <c r="L106" i="19"/>
  <c r="K106" i="19"/>
  <c r="J106" i="19"/>
  <c r="I106" i="19"/>
  <c r="H106" i="19"/>
  <c r="G106" i="19"/>
  <c r="F106" i="19"/>
  <c r="E106" i="19"/>
  <c r="D106" i="19"/>
  <c r="C106" i="19"/>
  <c r="B106" i="19"/>
  <c r="R105" i="19"/>
  <c r="Q105" i="19"/>
  <c r="P105" i="19"/>
  <c r="O105" i="19"/>
  <c r="N105" i="19"/>
  <c r="M105" i="19"/>
  <c r="L105" i="19"/>
  <c r="K105" i="19"/>
  <c r="J105" i="19"/>
  <c r="I105" i="19"/>
  <c r="H105" i="19"/>
  <c r="G105" i="19"/>
  <c r="F105" i="19"/>
  <c r="E105" i="19"/>
  <c r="D105" i="19"/>
  <c r="C105" i="19"/>
  <c r="B105" i="19"/>
  <c r="R104" i="19"/>
  <c r="Q104" i="19"/>
  <c r="P104" i="19"/>
  <c r="O104" i="19"/>
  <c r="N104" i="19"/>
  <c r="M104" i="19"/>
  <c r="L104" i="19"/>
  <c r="K104" i="19"/>
  <c r="J104" i="19"/>
  <c r="I104" i="19"/>
  <c r="H104" i="19"/>
  <c r="G104" i="19"/>
  <c r="F104" i="19"/>
  <c r="E104" i="19"/>
  <c r="D104" i="19"/>
  <c r="C104" i="19"/>
  <c r="B104" i="19"/>
  <c r="R103" i="19"/>
  <c r="Q103" i="19"/>
  <c r="P103" i="19"/>
  <c r="O103" i="19"/>
  <c r="N103" i="19"/>
  <c r="M103" i="19"/>
  <c r="L103" i="19"/>
  <c r="K103" i="19"/>
  <c r="J103" i="19"/>
  <c r="I103" i="19"/>
  <c r="H103" i="19"/>
  <c r="G103" i="19"/>
  <c r="F103" i="19"/>
  <c r="E103" i="19"/>
  <c r="D103" i="19"/>
  <c r="C103" i="19"/>
  <c r="B103" i="19"/>
  <c r="R102" i="19"/>
  <c r="Q102" i="19"/>
  <c r="P102" i="19"/>
  <c r="O102" i="19"/>
  <c r="N102" i="19"/>
  <c r="M102" i="19"/>
  <c r="L102" i="19"/>
  <c r="K102" i="19"/>
  <c r="J102" i="19"/>
  <c r="I102" i="19"/>
  <c r="H102" i="19"/>
  <c r="G102" i="19"/>
  <c r="F102" i="19"/>
  <c r="E102" i="19"/>
  <c r="D102" i="19"/>
  <c r="C102" i="19"/>
  <c r="B102" i="19"/>
  <c r="R101" i="19"/>
  <c r="Q101" i="19"/>
  <c r="P101" i="19"/>
  <c r="O101" i="19"/>
  <c r="N101" i="19"/>
  <c r="M101" i="19"/>
  <c r="L101" i="19"/>
  <c r="K101" i="19"/>
  <c r="J101" i="19"/>
  <c r="I101" i="19"/>
  <c r="H101" i="19"/>
  <c r="G101" i="19"/>
  <c r="F101" i="19"/>
  <c r="E101" i="19"/>
  <c r="D101" i="19"/>
  <c r="C101" i="19"/>
  <c r="B101" i="19"/>
  <c r="R100" i="19"/>
  <c r="Q100" i="19"/>
  <c r="P100" i="19"/>
  <c r="O100" i="19"/>
  <c r="N100" i="19"/>
  <c r="M100" i="19"/>
  <c r="L100" i="19"/>
  <c r="K100" i="19"/>
  <c r="J100" i="19"/>
  <c r="I100" i="19"/>
  <c r="H100" i="19"/>
  <c r="G100" i="19"/>
  <c r="F100" i="19"/>
  <c r="E100" i="19"/>
  <c r="D100" i="19"/>
  <c r="C100" i="19"/>
  <c r="B100" i="19"/>
  <c r="R99" i="19"/>
  <c r="Q99" i="19"/>
  <c r="P99" i="19"/>
  <c r="O99" i="19"/>
  <c r="N99" i="19"/>
  <c r="M99" i="19"/>
  <c r="L99" i="19"/>
  <c r="K99" i="19"/>
  <c r="J99" i="19"/>
  <c r="I99" i="19"/>
  <c r="H99" i="19"/>
  <c r="G99" i="19"/>
  <c r="F99" i="19"/>
  <c r="E99" i="19"/>
  <c r="D99" i="19"/>
  <c r="C99" i="19"/>
  <c r="B99" i="19"/>
  <c r="R98" i="19"/>
  <c r="Q98" i="19"/>
  <c r="P98" i="19"/>
  <c r="O98" i="19"/>
  <c r="N98" i="19"/>
  <c r="M98" i="19"/>
  <c r="L98" i="19"/>
  <c r="K98" i="19"/>
  <c r="J98" i="19"/>
  <c r="I98" i="19"/>
  <c r="H98" i="19"/>
  <c r="G98" i="19"/>
  <c r="F98" i="19"/>
  <c r="E98" i="19"/>
  <c r="D98" i="19"/>
  <c r="C98" i="19"/>
  <c r="B98" i="19"/>
  <c r="R97" i="19"/>
  <c r="Q97" i="19"/>
  <c r="P97" i="19"/>
  <c r="O97" i="19"/>
  <c r="N97" i="19"/>
  <c r="M97" i="19"/>
  <c r="L97" i="19"/>
  <c r="K97" i="19"/>
  <c r="J97" i="19"/>
  <c r="I97" i="19"/>
  <c r="H97" i="19"/>
  <c r="G97" i="19"/>
  <c r="F97" i="19"/>
  <c r="E97" i="19"/>
  <c r="D97" i="19"/>
  <c r="C97" i="19"/>
  <c r="B97" i="19"/>
  <c r="R96" i="19"/>
  <c r="Q96" i="19"/>
  <c r="P96" i="19"/>
  <c r="O96" i="19"/>
  <c r="N96" i="19"/>
  <c r="M96" i="19"/>
  <c r="L96" i="19"/>
  <c r="K96" i="19"/>
  <c r="J96" i="19"/>
  <c r="I96" i="19"/>
  <c r="H96" i="19"/>
  <c r="G96" i="19"/>
  <c r="F96" i="19"/>
  <c r="E96" i="19"/>
  <c r="D96" i="19"/>
  <c r="C96" i="19"/>
  <c r="B96" i="19"/>
  <c r="R95" i="19"/>
  <c r="Q95" i="19"/>
  <c r="P95" i="19"/>
  <c r="O95" i="19"/>
  <c r="N95" i="19"/>
  <c r="M95" i="19"/>
  <c r="L95" i="19"/>
  <c r="K95" i="19"/>
  <c r="J95" i="19"/>
  <c r="I95" i="19"/>
  <c r="H95" i="19"/>
  <c r="G95" i="19"/>
  <c r="F95" i="19"/>
  <c r="D95" i="19"/>
  <c r="C95" i="19"/>
  <c r="B95" i="19"/>
  <c r="R94" i="19"/>
  <c r="Q94" i="19"/>
  <c r="P94" i="19"/>
  <c r="O94" i="19"/>
  <c r="N94" i="19"/>
  <c r="M94" i="19"/>
  <c r="L94" i="19"/>
  <c r="K94" i="19"/>
  <c r="J94" i="19"/>
  <c r="I94" i="19"/>
  <c r="H94" i="19"/>
  <c r="G94" i="19"/>
  <c r="F94" i="19"/>
  <c r="E94" i="19"/>
  <c r="D94" i="19"/>
  <c r="C94" i="19"/>
  <c r="B94" i="19"/>
  <c r="R93" i="19"/>
  <c r="Q93" i="19"/>
  <c r="P93" i="19"/>
  <c r="O93" i="19"/>
  <c r="N93" i="19"/>
  <c r="M93" i="19"/>
  <c r="L93" i="19"/>
  <c r="K93" i="19"/>
  <c r="J93" i="19"/>
  <c r="I93" i="19"/>
  <c r="H93" i="19"/>
  <c r="G93" i="19"/>
  <c r="F93" i="19"/>
  <c r="E93" i="19"/>
  <c r="D93" i="19"/>
  <c r="C93" i="19"/>
  <c r="B93" i="19"/>
  <c r="R92" i="19"/>
  <c r="Q92" i="19"/>
  <c r="P92" i="19"/>
  <c r="O92" i="19"/>
  <c r="N92" i="19"/>
  <c r="M92" i="19"/>
  <c r="L92" i="19"/>
  <c r="K92" i="19"/>
  <c r="J92" i="19"/>
  <c r="I92" i="19"/>
  <c r="H92" i="19"/>
  <c r="G92" i="19"/>
  <c r="F92" i="19"/>
  <c r="E92" i="19"/>
  <c r="D92" i="19"/>
  <c r="C92" i="19"/>
  <c r="B92" i="19"/>
  <c r="R91" i="19"/>
  <c r="Q91" i="19"/>
  <c r="P91" i="19"/>
  <c r="O91" i="19"/>
  <c r="N91" i="19"/>
  <c r="M91" i="19"/>
  <c r="L91" i="19"/>
  <c r="K91" i="19"/>
  <c r="J91" i="19"/>
  <c r="I91" i="19"/>
  <c r="H91" i="19"/>
  <c r="G91" i="19"/>
  <c r="F91" i="19"/>
  <c r="E91" i="19"/>
  <c r="D91" i="19"/>
  <c r="C91" i="19"/>
  <c r="B91" i="19"/>
  <c r="R90" i="19"/>
  <c r="Q90" i="19"/>
  <c r="P90" i="19"/>
  <c r="O90" i="19"/>
  <c r="N90" i="19"/>
  <c r="M90" i="19"/>
  <c r="L90" i="19"/>
  <c r="K90" i="19"/>
  <c r="J90" i="19"/>
  <c r="I90" i="19"/>
  <c r="H90" i="19"/>
  <c r="G90" i="19"/>
  <c r="F90" i="19"/>
  <c r="E90" i="19"/>
  <c r="D90" i="19"/>
  <c r="C90" i="19"/>
  <c r="B90" i="19"/>
  <c r="R89" i="19"/>
  <c r="Q89" i="19"/>
  <c r="P89" i="19"/>
  <c r="O89" i="19"/>
  <c r="N89" i="19"/>
  <c r="M89" i="19"/>
  <c r="L89" i="19"/>
  <c r="K89" i="19"/>
  <c r="J89" i="19"/>
  <c r="I89" i="19"/>
  <c r="H89" i="19"/>
  <c r="G89" i="19"/>
  <c r="F89" i="19"/>
  <c r="E89" i="19"/>
  <c r="D89" i="19"/>
  <c r="C89" i="19"/>
  <c r="B89" i="19"/>
  <c r="R88" i="19"/>
  <c r="Q88" i="19"/>
  <c r="P88" i="19"/>
  <c r="O88" i="19"/>
  <c r="N88" i="19"/>
  <c r="M88" i="19"/>
  <c r="L88" i="19"/>
  <c r="K88" i="19"/>
  <c r="J88" i="19"/>
  <c r="I88" i="19"/>
  <c r="H88" i="19"/>
  <c r="G88" i="19"/>
  <c r="F88" i="19"/>
  <c r="E88" i="19"/>
  <c r="D88" i="19"/>
  <c r="C88" i="19"/>
  <c r="B88" i="19"/>
  <c r="R87" i="19"/>
  <c r="Q87" i="19"/>
  <c r="P87" i="19"/>
  <c r="O87" i="19"/>
  <c r="N87" i="19"/>
  <c r="M87" i="19"/>
  <c r="L87" i="19"/>
  <c r="K87" i="19"/>
  <c r="J87" i="19"/>
  <c r="I87" i="19"/>
  <c r="H87" i="19"/>
  <c r="G87" i="19"/>
  <c r="F87" i="19"/>
  <c r="E87" i="19"/>
  <c r="D87" i="19"/>
  <c r="C87" i="19"/>
  <c r="B87" i="19"/>
  <c r="R86" i="19"/>
  <c r="Q86" i="19"/>
  <c r="P86" i="19"/>
  <c r="O86" i="19"/>
  <c r="N86" i="19"/>
  <c r="M86" i="19"/>
  <c r="L86" i="19"/>
  <c r="K86" i="19"/>
  <c r="J86" i="19"/>
  <c r="I86" i="19"/>
  <c r="H86" i="19"/>
  <c r="G86" i="19"/>
  <c r="F86" i="19"/>
  <c r="E86" i="19"/>
  <c r="D86" i="19"/>
  <c r="C86" i="19"/>
  <c r="B86" i="19"/>
  <c r="R85" i="19"/>
  <c r="Q85" i="19"/>
  <c r="P85" i="19"/>
  <c r="O85" i="19"/>
  <c r="N85" i="19"/>
  <c r="M85" i="19"/>
  <c r="L85" i="19"/>
  <c r="K85" i="19"/>
  <c r="J85" i="19"/>
  <c r="I85" i="19"/>
  <c r="H85" i="19"/>
  <c r="G85" i="19"/>
  <c r="F85" i="19"/>
  <c r="E85" i="19"/>
  <c r="D85" i="19"/>
  <c r="C85" i="19"/>
  <c r="B85" i="19"/>
  <c r="R84" i="19"/>
  <c r="Q84" i="19"/>
  <c r="P84" i="19"/>
  <c r="O84" i="19"/>
  <c r="N84" i="19"/>
  <c r="M84" i="19"/>
  <c r="L84" i="19"/>
  <c r="K84" i="19"/>
  <c r="J84" i="19"/>
  <c r="I84" i="19"/>
  <c r="H84" i="19"/>
  <c r="G84" i="19"/>
  <c r="F84" i="19"/>
  <c r="E84" i="19"/>
  <c r="D84" i="19"/>
  <c r="C84" i="19"/>
  <c r="B84" i="19"/>
  <c r="R83" i="19"/>
  <c r="Q83" i="19"/>
  <c r="P83" i="19"/>
  <c r="O83" i="19"/>
  <c r="N83" i="19"/>
  <c r="M83" i="19"/>
  <c r="L83" i="19"/>
  <c r="K83" i="19"/>
  <c r="J83" i="19"/>
  <c r="I83" i="19"/>
  <c r="H83" i="19"/>
  <c r="G83" i="19"/>
  <c r="F83" i="19"/>
  <c r="E83" i="19"/>
  <c r="D83" i="19"/>
  <c r="C83" i="19"/>
  <c r="B83" i="19"/>
  <c r="R82" i="19"/>
  <c r="Q82" i="19"/>
  <c r="P82" i="19"/>
  <c r="O82" i="19"/>
  <c r="N82" i="19"/>
  <c r="M82" i="19"/>
  <c r="L82" i="19"/>
  <c r="K82" i="19"/>
  <c r="J82" i="19"/>
  <c r="I82" i="19"/>
  <c r="H82" i="19"/>
  <c r="G82" i="19"/>
  <c r="F82" i="19"/>
  <c r="E82" i="19"/>
  <c r="D82" i="19"/>
  <c r="C82" i="19"/>
  <c r="B82" i="19"/>
  <c r="R81" i="19"/>
  <c r="Q81" i="19"/>
  <c r="P81" i="19"/>
  <c r="O81" i="19"/>
  <c r="N81" i="19"/>
  <c r="M81" i="19"/>
  <c r="L81" i="19"/>
  <c r="K81" i="19"/>
  <c r="J81" i="19"/>
  <c r="I81" i="19"/>
  <c r="H81" i="19"/>
  <c r="G81" i="19"/>
  <c r="F81" i="19"/>
  <c r="E81" i="19"/>
  <c r="D81" i="19"/>
  <c r="C81" i="19"/>
  <c r="B81" i="19"/>
  <c r="R80" i="19"/>
  <c r="Q80" i="19"/>
  <c r="P80" i="19"/>
  <c r="O80" i="19"/>
  <c r="N80" i="19"/>
  <c r="M80" i="19"/>
  <c r="L80" i="19"/>
  <c r="K80" i="19"/>
  <c r="J80" i="19"/>
  <c r="I80" i="19"/>
  <c r="H80" i="19"/>
  <c r="G80" i="19"/>
  <c r="F80" i="19"/>
  <c r="E80" i="19"/>
  <c r="D80" i="19"/>
  <c r="C80" i="19"/>
  <c r="B80" i="19"/>
  <c r="R79" i="19"/>
  <c r="Q79" i="19"/>
  <c r="P79" i="19"/>
  <c r="O79" i="19"/>
  <c r="N79" i="19"/>
  <c r="M79" i="19"/>
  <c r="L79" i="19"/>
  <c r="K79" i="19"/>
  <c r="J79" i="19"/>
  <c r="I79" i="19"/>
  <c r="H79" i="19"/>
  <c r="G79" i="19"/>
  <c r="F79" i="19"/>
  <c r="E79" i="19"/>
  <c r="D79" i="19"/>
  <c r="C79" i="19"/>
  <c r="B79" i="19"/>
  <c r="R78" i="19"/>
  <c r="Q78" i="19"/>
  <c r="P78" i="19"/>
  <c r="O78" i="19"/>
  <c r="N78" i="19"/>
  <c r="M78" i="19"/>
  <c r="L78" i="19"/>
  <c r="K78" i="19"/>
  <c r="J78" i="19"/>
  <c r="I78" i="19"/>
  <c r="H78" i="19"/>
  <c r="G78" i="19"/>
  <c r="F78" i="19"/>
  <c r="E78" i="19"/>
  <c r="D78" i="19"/>
  <c r="C78" i="19"/>
  <c r="B78" i="19"/>
  <c r="R77" i="19"/>
  <c r="Q77" i="19"/>
  <c r="P77" i="19"/>
  <c r="O77" i="19"/>
  <c r="N77" i="19"/>
  <c r="M77" i="19"/>
  <c r="L77" i="19"/>
  <c r="K77" i="19"/>
  <c r="J77" i="19"/>
  <c r="I77" i="19"/>
  <c r="H77" i="19"/>
  <c r="G77" i="19"/>
  <c r="F77" i="19"/>
  <c r="E77" i="19"/>
  <c r="D77" i="19"/>
  <c r="C77" i="19"/>
  <c r="B77" i="19"/>
  <c r="R76" i="19"/>
  <c r="Q76" i="19"/>
  <c r="P76" i="19"/>
  <c r="O76" i="19"/>
  <c r="N76" i="19"/>
  <c r="M76" i="19"/>
  <c r="L76" i="19"/>
  <c r="K76" i="19"/>
  <c r="J76" i="19"/>
  <c r="I76" i="19"/>
  <c r="H76" i="19"/>
  <c r="G76" i="19"/>
  <c r="F76" i="19"/>
  <c r="E76" i="19"/>
  <c r="D76" i="19"/>
  <c r="C76" i="19"/>
  <c r="B76" i="19"/>
  <c r="R75" i="19"/>
  <c r="Q75" i="19"/>
  <c r="P75" i="19"/>
  <c r="O75" i="19"/>
  <c r="N75" i="19"/>
  <c r="M75" i="19"/>
  <c r="L75" i="19"/>
  <c r="K75" i="19"/>
  <c r="J75" i="19"/>
  <c r="I75" i="19"/>
  <c r="H75" i="19"/>
  <c r="G75" i="19"/>
  <c r="F75" i="19"/>
  <c r="E75" i="19"/>
  <c r="D75" i="19"/>
  <c r="C75" i="19"/>
  <c r="B75" i="19"/>
  <c r="R74" i="19"/>
  <c r="Q74" i="19"/>
  <c r="P74" i="19"/>
  <c r="O74" i="19"/>
  <c r="N74" i="19"/>
  <c r="M74" i="19"/>
  <c r="L74" i="19"/>
  <c r="K74" i="19"/>
  <c r="J74" i="19"/>
  <c r="I74" i="19"/>
  <c r="H74" i="19"/>
  <c r="G74" i="19"/>
  <c r="F74" i="19"/>
  <c r="E74" i="19"/>
  <c r="D74" i="19"/>
  <c r="C74" i="19"/>
  <c r="B74" i="19"/>
  <c r="R73" i="19"/>
  <c r="Q73" i="19"/>
  <c r="P73" i="19"/>
  <c r="O73" i="19"/>
  <c r="N73" i="19"/>
  <c r="M73" i="19"/>
  <c r="L73" i="19"/>
  <c r="K73" i="19"/>
  <c r="J73" i="19"/>
  <c r="I73" i="19"/>
  <c r="H73" i="19"/>
  <c r="G73" i="19"/>
  <c r="F73" i="19"/>
  <c r="E73" i="19"/>
  <c r="D73" i="19"/>
  <c r="C73" i="19"/>
  <c r="B73" i="19"/>
  <c r="R72" i="19"/>
  <c r="Q72" i="19"/>
  <c r="P72" i="19"/>
  <c r="O72" i="19"/>
  <c r="N72" i="19"/>
  <c r="M72" i="19"/>
  <c r="L72" i="19"/>
  <c r="K72" i="19"/>
  <c r="J72" i="19"/>
  <c r="I72" i="19"/>
  <c r="H72" i="19"/>
  <c r="G72" i="19"/>
  <c r="F72" i="19"/>
  <c r="E72" i="19"/>
  <c r="D72" i="19"/>
  <c r="C72" i="19"/>
  <c r="B72" i="19"/>
  <c r="R71" i="19"/>
  <c r="Q71" i="19"/>
  <c r="P71" i="19"/>
  <c r="O71" i="19"/>
  <c r="N71" i="19"/>
  <c r="M71" i="19"/>
  <c r="L71" i="19"/>
  <c r="K71" i="19"/>
  <c r="J71" i="19"/>
  <c r="I71" i="19"/>
  <c r="H71" i="19"/>
  <c r="G71" i="19"/>
  <c r="F71" i="19"/>
  <c r="E71" i="19"/>
  <c r="D71" i="19"/>
  <c r="C71" i="19"/>
  <c r="B71" i="19"/>
  <c r="R70" i="19"/>
  <c r="Q70" i="19"/>
  <c r="P70" i="19"/>
  <c r="O70" i="19"/>
  <c r="N70" i="19"/>
  <c r="M70" i="19"/>
  <c r="L70" i="19"/>
  <c r="K70" i="19"/>
  <c r="J70" i="19"/>
  <c r="I70" i="19"/>
  <c r="H70" i="19"/>
  <c r="G70" i="19"/>
  <c r="F70" i="19"/>
  <c r="E70" i="19"/>
  <c r="D70" i="19"/>
  <c r="C70" i="19"/>
  <c r="B70" i="19"/>
  <c r="R69" i="19"/>
  <c r="Q69" i="19"/>
  <c r="P69" i="19"/>
  <c r="O69" i="19"/>
  <c r="N69" i="19"/>
  <c r="M69" i="19"/>
  <c r="L69" i="19"/>
  <c r="K69" i="19"/>
  <c r="J69" i="19"/>
  <c r="I69" i="19"/>
  <c r="H69" i="19"/>
  <c r="G69" i="19"/>
  <c r="F69" i="19"/>
  <c r="E69" i="19"/>
  <c r="D69" i="19"/>
  <c r="C69" i="19"/>
  <c r="B69" i="19"/>
  <c r="R68" i="19"/>
  <c r="Q68" i="19"/>
  <c r="P68" i="19"/>
  <c r="O68" i="19"/>
  <c r="N68" i="19"/>
  <c r="M68" i="19"/>
  <c r="L68" i="19"/>
  <c r="K68" i="19"/>
  <c r="J68" i="19"/>
  <c r="I68" i="19"/>
  <c r="H68" i="19"/>
  <c r="G68" i="19"/>
  <c r="F68" i="19"/>
  <c r="E68" i="19"/>
  <c r="D68" i="19"/>
  <c r="C68" i="19"/>
  <c r="B68" i="19"/>
  <c r="R67" i="19"/>
  <c r="Q67" i="19"/>
  <c r="P67" i="19"/>
  <c r="O67" i="19"/>
  <c r="N67" i="19"/>
  <c r="M67" i="19"/>
  <c r="L67" i="19"/>
  <c r="K67" i="19"/>
  <c r="J67" i="19"/>
  <c r="I67" i="19"/>
  <c r="H67" i="19"/>
  <c r="G67" i="19"/>
  <c r="F67" i="19"/>
  <c r="E67" i="19"/>
  <c r="D67" i="19"/>
  <c r="C67" i="19"/>
  <c r="B67" i="19"/>
  <c r="R66" i="19"/>
  <c r="Q66" i="19"/>
  <c r="P66" i="19"/>
  <c r="O66" i="19"/>
  <c r="N66" i="19"/>
  <c r="M66" i="19"/>
  <c r="L66" i="19"/>
  <c r="K66" i="19"/>
  <c r="J66" i="19"/>
  <c r="I66" i="19"/>
  <c r="H66" i="19"/>
  <c r="G66" i="19"/>
  <c r="F66" i="19"/>
  <c r="E66" i="19"/>
  <c r="D66" i="19"/>
  <c r="C66" i="19"/>
  <c r="B66" i="19"/>
  <c r="R65" i="19"/>
  <c r="Q65" i="19"/>
  <c r="P65" i="19"/>
  <c r="O65" i="19"/>
  <c r="N65" i="19"/>
  <c r="M65" i="19"/>
  <c r="L65" i="19"/>
  <c r="K65" i="19"/>
  <c r="J65" i="19"/>
  <c r="I65" i="19"/>
  <c r="H65" i="19"/>
  <c r="G65" i="19"/>
  <c r="F65" i="19"/>
  <c r="E65" i="19"/>
  <c r="D65" i="19"/>
  <c r="C65" i="19"/>
  <c r="B65" i="19"/>
  <c r="R64" i="19"/>
  <c r="Q64" i="19"/>
  <c r="P64" i="19"/>
  <c r="O64" i="19"/>
  <c r="N64" i="19"/>
  <c r="M64" i="19"/>
  <c r="L64" i="19"/>
  <c r="K64" i="19"/>
  <c r="J64" i="19"/>
  <c r="I64" i="19"/>
  <c r="H64" i="19"/>
  <c r="G64" i="19"/>
  <c r="F64" i="19"/>
  <c r="E64" i="19"/>
  <c r="D64" i="19"/>
  <c r="C64" i="19"/>
  <c r="B64" i="19"/>
  <c r="R63" i="19"/>
  <c r="Q63" i="19"/>
  <c r="P63" i="19"/>
  <c r="O63" i="19"/>
  <c r="N63" i="19"/>
  <c r="M63" i="19"/>
  <c r="L63" i="19"/>
  <c r="K63" i="19"/>
  <c r="J63" i="19"/>
  <c r="I63" i="19"/>
  <c r="H63" i="19"/>
  <c r="G63" i="19"/>
  <c r="F63" i="19"/>
  <c r="E63" i="19"/>
  <c r="D63" i="19"/>
  <c r="C63" i="19"/>
  <c r="B63" i="19"/>
  <c r="R62" i="19"/>
  <c r="Q62" i="19"/>
  <c r="P62" i="19"/>
  <c r="O62" i="19"/>
  <c r="N62" i="19"/>
  <c r="M62" i="19"/>
  <c r="L62" i="19"/>
  <c r="K62" i="19"/>
  <c r="J62" i="19"/>
  <c r="I62" i="19"/>
  <c r="H62" i="19"/>
  <c r="G62" i="19"/>
  <c r="F62" i="19"/>
  <c r="E62" i="19"/>
  <c r="D62" i="19"/>
  <c r="C62" i="19"/>
  <c r="B62" i="19"/>
  <c r="R61" i="19"/>
  <c r="Q61" i="19"/>
  <c r="P61" i="19"/>
  <c r="O61" i="19"/>
  <c r="N61" i="19"/>
  <c r="M61" i="19"/>
  <c r="L61" i="19"/>
  <c r="K61" i="19"/>
  <c r="J61" i="19"/>
  <c r="I61" i="19"/>
  <c r="H61" i="19"/>
  <c r="G61" i="19"/>
  <c r="F61" i="19"/>
  <c r="E61" i="19"/>
  <c r="D61" i="19"/>
  <c r="C61" i="19"/>
  <c r="B61" i="19"/>
  <c r="R60" i="19"/>
  <c r="Q60" i="19"/>
  <c r="P60" i="19"/>
  <c r="O60" i="19"/>
  <c r="N60" i="19"/>
  <c r="M60" i="19"/>
  <c r="L60" i="19"/>
  <c r="K60" i="19"/>
  <c r="J60" i="19"/>
  <c r="I60" i="19"/>
  <c r="H60" i="19"/>
  <c r="G60" i="19"/>
  <c r="F60" i="19"/>
  <c r="E60" i="19"/>
  <c r="D60" i="19"/>
  <c r="C60" i="19"/>
  <c r="B60" i="19"/>
  <c r="R59" i="19"/>
  <c r="Q59" i="19"/>
  <c r="P59" i="19"/>
  <c r="O59" i="19"/>
  <c r="N59" i="19"/>
  <c r="M59" i="19"/>
  <c r="L59" i="19"/>
  <c r="K59" i="19"/>
  <c r="J59" i="19"/>
  <c r="I59" i="19"/>
  <c r="H59" i="19"/>
  <c r="G59" i="19"/>
  <c r="F59" i="19"/>
  <c r="E59" i="19"/>
  <c r="D59" i="19"/>
  <c r="C59" i="19"/>
  <c r="B59" i="19"/>
  <c r="R58" i="19"/>
  <c r="Q58" i="19"/>
  <c r="P58" i="19"/>
  <c r="O58" i="19"/>
  <c r="N58" i="19"/>
  <c r="M58" i="19"/>
  <c r="L58" i="19"/>
  <c r="K58" i="19"/>
  <c r="J58" i="19"/>
  <c r="I58" i="19"/>
  <c r="H58" i="19"/>
  <c r="G58" i="19"/>
  <c r="F58" i="19"/>
  <c r="E58" i="19"/>
  <c r="D58" i="19"/>
  <c r="C58" i="19"/>
  <c r="B58" i="19"/>
  <c r="R57" i="19"/>
  <c r="Q57" i="19"/>
  <c r="P57" i="19"/>
  <c r="O57" i="19"/>
  <c r="N57" i="19"/>
  <c r="M57" i="19"/>
  <c r="L57" i="19"/>
  <c r="K57" i="19"/>
  <c r="J57" i="19"/>
  <c r="I57" i="19"/>
  <c r="H57" i="19"/>
  <c r="G57" i="19"/>
  <c r="F57" i="19"/>
  <c r="E57" i="19"/>
  <c r="D57" i="19"/>
  <c r="C57" i="19"/>
  <c r="B57" i="19"/>
  <c r="R56" i="19"/>
  <c r="Q56" i="19"/>
  <c r="P56" i="19"/>
  <c r="O56" i="19"/>
  <c r="N56" i="19"/>
  <c r="M56" i="19"/>
  <c r="L56" i="19"/>
  <c r="K56" i="19"/>
  <c r="J56" i="19"/>
  <c r="I56" i="19"/>
  <c r="H56" i="19"/>
  <c r="G56" i="19"/>
  <c r="F56" i="19"/>
  <c r="E56" i="19"/>
  <c r="D56" i="19"/>
  <c r="C56" i="19"/>
  <c r="B56" i="19"/>
  <c r="R55" i="19"/>
  <c r="Q55" i="19"/>
  <c r="P55" i="19"/>
  <c r="O55" i="19"/>
  <c r="N55" i="19"/>
  <c r="M55" i="19"/>
  <c r="L55" i="19"/>
  <c r="K55" i="19"/>
  <c r="J55" i="19"/>
  <c r="I55" i="19"/>
  <c r="H55" i="19"/>
  <c r="G55" i="19"/>
  <c r="F55" i="19"/>
  <c r="E55" i="19"/>
  <c r="D55" i="19"/>
  <c r="C55" i="19"/>
  <c r="B55" i="19"/>
  <c r="R54" i="19"/>
  <c r="Q54" i="19"/>
  <c r="P54" i="19"/>
  <c r="O54" i="19"/>
  <c r="N54" i="19"/>
  <c r="M54" i="19"/>
  <c r="L54" i="19"/>
  <c r="K54" i="19"/>
  <c r="J54" i="19"/>
  <c r="I54" i="19"/>
  <c r="H54" i="19"/>
  <c r="G54" i="19"/>
  <c r="F54" i="19"/>
  <c r="E54" i="19"/>
  <c r="D54" i="19"/>
  <c r="C54" i="19"/>
  <c r="B54" i="19"/>
  <c r="R53" i="19"/>
  <c r="Q53" i="19"/>
  <c r="P53" i="19"/>
  <c r="O53" i="19"/>
  <c r="N53" i="19"/>
  <c r="M53" i="19"/>
  <c r="L53" i="19"/>
  <c r="K53" i="19"/>
  <c r="J53" i="19"/>
  <c r="I53" i="19"/>
  <c r="H53" i="19"/>
  <c r="G53" i="19"/>
  <c r="F53" i="19"/>
  <c r="E53" i="19"/>
  <c r="D53" i="19"/>
  <c r="C53" i="19"/>
  <c r="B53" i="19"/>
  <c r="R52" i="19"/>
  <c r="Q52" i="19"/>
  <c r="P52" i="19"/>
  <c r="O52" i="19"/>
  <c r="N52" i="19"/>
  <c r="M52" i="19"/>
  <c r="L52" i="19"/>
  <c r="K52" i="19"/>
  <c r="J52" i="19"/>
  <c r="I52" i="19"/>
  <c r="H52" i="19"/>
  <c r="G52" i="19"/>
  <c r="F52" i="19"/>
  <c r="E52" i="19"/>
  <c r="D52" i="19"/>
  <c r="C52" i="19"/>
  <c r="B52" i="19"/>
  <c r="R51" i="19"/>
  <c r="Q51" i="19"/>
  <c r="P51" i="19"/>
  <c r="O51" i="19"/>
  <c r="N51" i="19"/>
  <c r="M51" i="19"/>
  <c r="L51" i="19"/>
  <c r="K51" i="19"/>
  <c r="J51" i="19"/>
  <c r="I51" i="19"/>
  <c r="H51" i="19"/>
  <c r="G51" i="19"/>
  <c r="F51" i="19"/>
  <c r="E51" i="19"/>
  <c r="D51" i="19"/>
  <c r="C51" i="19"/>
  <c r="B51" i="19"/>
  <c r="R50" i="19"/>
  <c r="Q50" i="19"/>
  <c r="P50" i="19"/>
  <c r="O50" i="19"/>
  <c r="N50" i="19"/>
  <c r="M50" i="19"/>
  <c r="L50" i="19"/>
  <c r="K50" i="19"/>
  <c r="J50" i="19"/>
  <c r="I50" i="19"/>
  <c r="H50" i="19"/>
  <c r="G50" i="19"/>
  <c r="F50" i="19"/>
  <c r="E50" i="19"/>
  <c r="D50" i="19"/>
  <c r="C50" i="19"/>
  <c r="B50" i="19"/>
  <c r="R49" i="19"/>
  <c r="Q49" i="19"/>
  <c r="P49" i="19"/>
  <c r="O49" i="19"/>
  <c r="N49" i="19"/>
  <c r="M49" i="19"/>
  <c r="L49" i="19"/>
  <c r="K49" i="19"/>
  <c r="J49" i="19"/>
  <c r="I49" i="19"/>
  <c r="H49" i="19"/>
  <c r="G49" i="19"/>
  <c r="F49" i="19"/>
  <c r="E49" i="19"/>
  <c r="D49" i="19"/>
  <c r="C49" i="19"/>
  <c r="B49" i="19"/>
  <c r="R48" i="19"/>
  <c r="Q48" i="19"/>
  <c r="P48" i="19"/>
  <c r="O48" i="19"/>
  <c r="N48" i="19"/>
  <c r="M48" i="19"/>
  <c r="L48" i="19"/>
  <c r="K48" i="19"/>
  <c r="J48" i="19"/>
  <c r="I48" i="19"/>
  <c r="H48" i="19"/>
  <c r="G48" i="19"/>
  <c r="F48" i="19"/>
  <c r="E48" i="19"/>
  <c r="D48" i="19"/>
  <c r="C48" i="19"/>
  <c r="B48" i="19"/>
  <c r="R47" i="19"/>
  <c r="Q47" i="19"/>
  <c r="P47" i="19"/>
  <c r="O47" i="19"/>
  <c r="N47" i="19"/>
  <c r="M47" i="19"/>
  <c r="L47" i="19"/>
  <c r="K47" i="19"/>
  <c r="J47" i="19"/>
  <c r="I47" i="19"/>
  <c r="H47" i="19"/>
  <c r="G47" i="19"/>
  <c r="F47" i="19"/>
  <c r="E47" i="19"/>
  <c r="D47" i="19"/>
  <c r="C47" i="19"/>
  <c r="B47" i="19"/>
  <c r="R46" i="19"/>
  <c r="Q46" i="19"/>
  <c r="P46" i="19"/>
  <c r="O46" i="19"/>
  <c r="N46" i="19"/>
  <c r="M46" i="19"/>
  <c r="L46" i="19"/>
  <c r="K46" i="19"/>
  <c r="J46" i="19"/>
  <c r="I46" i="19"/>
  <c r="H46" i="19"/>
  <c r="G46" i="19"/>
  <c r="F46" i="19"/>
  <c r="E46" i="19"/>
  <c r="D46" i="19"/>
  <c r="C46" i="19"/>
  <c r="B46" i="19"/>
  <c r="R45" i="19"/>
  <c r="Q45" i="19"/>
  <c r="P45" i="19"/>
  <c r="O45" i="19"/>
  <c r="N45" i="19"/>
  <c r="M45" i="19"/>
  <c r="L45" i="19"/>
  <c r="K45" i="19"/>
  <c r="J45" i="19"/>
  <c r="I45" i="19"/>
  <c r="H45" i="19"/>
  <c r="G45" i="19"/>
  <c r="F45" i="19"/>
  <c r="E45" i="19"/>
  <c r="D45" i="19"/>
  <c r="C45" i="19"/>
  <c r="B45" i="19"/>
  <c r="R44" i="19"/>
  <c r="Q44" i="19"/>
  <c r="P44" i="19"/>
  <c r="O44" i="19"/>
  <c r="N44" i="19"/>
  <c r="M44" i="19"/>
  <c r="L44" i="19"/>
  <c r="K44" i="19"/>
  <c r="J44" i="19"/>
  <c r="I44" i="19"/>
  <c r="H44" i="19"/>
  <c r="G44" i="19"/>
  <c r="F44" i="19"/>
  <c r="E44" i="19"/>
  <c r="D44" i="19"/>
  <c r="C44" i="19"/>
  <c r="B44" i="19"/>
  <c r="R43" i="19"/>
  <c r="Q43" i="19"/>
  <c r="P43" i="19"/>
  <c r="O43" i="19"/>
  <c r="N43" i="19"/>
  <c r="M43" i="19"/>
  <c r="L43" i="19"/>
  <c r="K43" i="19"/>
  <c r="J43" i="19"/>
  <c r="I43" i="19"/>
  <c r="H43" i="19"/>
  <c r="G43" i="19"/>
  <c r="F43" i="19"/>
  <c r="E43" i="19"/>
  <c r="D43" i="19"/>
  <c r="C43" i="19"/>
  <c r="B43" i="19"/>
  <c r="R42" i="19"/>
  <c r="Q42" i="19"/>
  <c r="P42" i="19"/>
  <c r="O42" i="19"/>
  <c r="N42" i="19"/>
  <c r="M42" i="19"/>
  <c r="L42" i="19"/>
  <c r="K42" i="19"/>
  <c r="J42" i="19"/>
  <c r="I42" i="19"/>
  <c r="H42" i="19"/>
  <c r="G42" i="19"/>
  <c r="F42" i="19"/>
  <c r="E42" i="19"/>
  <c r="D42" i="19"/>
  <c r="C42" i="19"/>
  <c r="B42" i="19"/>
  <c r="R41" i="19"/>
  <c r="Q41" i="19"/>
  <c r="P41" i="19"/>
  <c r="O41" i="19"/>
  <c r="N41" i="19"/>
  <c r="M41" i="19"/>
  <c r="L41" i="19"/>
  <c r="K41" i="19"/>
  <c r="J41" i="19"/>
  <c r="I41" i="19"/>
  <c r="H41" i="19"/>
  <c r="G41" i="19"/>
  <c r="F41" i="19"/>
  <c r="E41" i="19"/>
  <c r="D41" i="19"/>
  <c r="C41" i="19"/>
  <c r="B41" i="19"/>
  <c r="R40" i="19"/>
  <c r="Q40" i="19"/>
  <c r="P40" i="19"/>
  <c r="O40" i="19"/>
  <c r="N40" i="19"/>
  <c r="M40" i="19"/>
  <c r="L40" i="19"/>
  <c r="K40" i="19"/>
  <c r="J40" i="19"/>
  <c r="I40" i="19"/>
  <c r="H40" i="19"/>
  <c r="G40" i="19"/>
  <c r="F40" i="19"/>
  <c r="E40" i="19"/>
  <c r="D40" i="19"/>
  <c r="C40" i="19"/>
  <c r="B40" i="19"/>
  <c r="R39" i="19"/>
  <c r="Q39" i="19"/>
  <c r="P39" i="19"/>
  <c r="O39" i="19"/>
  <c r="N39" i="19"/>
  <c r="M39" i="19"/>
  <c r="L39" i="19"/>
  <c r="K39" i="19"/>
  <c r="J39" i="19"/>
  <c r="I39" i="19"/>
  <c r="H39" i="19"/>
  <c r="G39" i="19"/>
  <c r="F39" i="19"/>
  <c r="E39" i="19"/>
  <c r="D39" i="19"/>
  <c r="C39" i="19"/>
  <c r="B39" i="19"/>
  <c r="R38" i="19"/>
  <c r="Q38" i="19"/>
  <c r="P38" i="19"/>
  <c r="O38" i="19"/>
  <c r="N38" i="19"/>
  <c r="M38" i="19"/>
  <c r="L38" i="19"/>
  <c r="K38" i="19"/>
  <c r="J38" i="19"/>
  <c r="I38" i="19"/>
  <c r="H38" i="19"/>
  <c r="G38" i="19"/>
  <c r="F38" i="19"/>
  <c r="E38" i="19"/>
  <c r="D38" i="19"/>
  <c r="C38" i="19"/>
  <c r="B38" i="19"/>
  <c r="R37" i="19"/>
  <c r="Q37" i="19"/>
  <c r="P37" i="19"/>
  <c r="O37" i="19"/>
  <c r="N37" i="19"/>
  <c r="M37" i="19"/>
  <c r="L37" i="19"/>
  <c r="K37" i="19"/>
  <c r="J37" i="19"/>
  <c r="I37" i="19"/>
  <c r="H37" i="19"/>
  <c r="G37" i="19"/>
  <c r="F37" i="19"/>
  <c r="E37" i="19"/>
  <c r="D37" i="19"/>
  <c r="C37" i="19"/>
  <c r="B37" i="19"/>
  <c r="R36" i="19"/>
  <c r="Q36" i="19"/>
  <c r="P36" i="19"/>
  <c r="O36" i="19"/>
  <c r="N36" i="19"/>
  <c r="M36" i="19"/>
  <c r="L36" i="19"/>
  <c r="K36" i="19"/>
  <c r="J36" i="19"/>
  <c r="I36" i="19"/>
  <c r="H36" i="19"/>
  <c r="G36" i="19"/>
  <c r="F36" i="19"/>
  <c r="E36" i="19"/>
  <c r="D36" i="19"/>
  <c r="C36" i="19"/>
  <c r="B36" i="19"/>
  <c r="R35" i="19"/>
  <c r="Q35" i="19"/>
  <c r="P35" i="19"/>
  <c r="O35" i="19"/>
  <c r="N35" i="19"/>
  <c r="M35" i="19"/>
  <c r="L35" i="19"/>
  <c r="K35" i="19"/>
  <c r="J35" i="19"/>
  <c r="I35" i="19"/>
  <c r="H35" i="19"/>
  <c r="G35" i="19"/>
  <c r="E35" i="19"/>
  <c r="D35" i="19"/>
  <c r="C35" i="19"/>
  <c r="B35" i="19"/>
  <c r="R34" i="19"/>
  <c r="Q34" i="19"/>
  <c r="P34" i="19"/>
  <c r="O34" i="19"/>
  <c r="N34" i="19"/>
  <c r="M34" i="19"/>
  <c r="L34" i="19"/>
  <c r="K34" i="19"/>
  <c r="J34" i="19"/>
  <c r="I34" i="19"/>
  <c r="H34" i="19"/>
  <c r="G34" i="19"/>
  <c r="F34" i="19"/>
  <c r="E34" i="19"/>
  <c r="D34" i="19"/>
  <c r="C34" i="19"/>
  <c r="B34" i="19"/>
  <c r="R33" i="19"/>
  <c r="Q33" i="19"/>
  <c r="P33" i="19"/>
  <c r="O33" i="19"/>
  <c r="N33" i="19"/>
  <c r="M33" i="19"/>
  <c r="L33" i="19"/>
  <c r="K33" i="19"/>
  <c r="J33" i="19"/>
  <c r="I33" i="19"/>
  <c r="H33" i="19"/>
  <c r="G33" i="19"/>
  <c r="F33" i="19"/>
  <c r="E33" i="19"/>
  <c r="D33" i="19"/>
  <c r="C33" i="19"/>
  <c r="B33" i="19"/>
  <c r="R32" i="19"/>
  <c r="Q32" i="19"/>
  <c r="P32" i="19"/>
  <c r="O32" i="19"/>
  <c r="N32" i="19"/>
  <c r="M32" i="19"/>
  <c r="L32" i="19"/>
  <c r="K32" i="19"/>
  <c r="J32" i="19"/>
  <c r="I32" i="19"/>
  <c r="H32" i="19"/>
  <c r="G32" i="19"/>
  <c r="F32" i="19"/>
  <c r="E32" i="19"/>
  <c r="D32" i="19"/>
  <c r="C32" i="19"/>
  <c r="B32" i="19"/>
  <c r="R31" i="19"/>
  <c r="Q31" i="19"/>
  <c r="P31" i="19"/>
  <c r="O31" i="19"/>
  <c r="N31" i="19"/>
  <c r="M31" i="19"/>
  <c r="L31" i="19"/>
  <c r="K31" i="19"/>
  <c r="J31" i="19"/>
  <c r="I31" i="19"/>
  <c r="H31" i="19"/>
  <c r="G31" i="19"/>
  <c r="F31" i="19"/>
  <c r="E31" i="19"/>
  <c r="D31" i="19"/>
  <c r="C31" i="19"/>
  <c r="B31" i="19"/>
  <c r="R30" i="19"/>
  <c r="Q30" i="19"/>
  <c r="P30" i="19"/>
  <c r="O30" i="19"/>
  <c r="N30" i="19"/>
  <c r="M30" i="19"/>
  <c r="L30" i="19"/>
  <c r="K30" i="19"/>
  <c r="J30" i="19"/>
  <c r="I30" i="19"/>
  <c r="H30" i="19"/>
  <c r="G30" i="19"/>
  <c r="F30" i="19"/>
  <c r="E30" i="19"/>
  <c r="D30" i="19"/>
  <c r="C30" i="19"/>
  <c r="B30" i="19"/>
  <c r="R29" i="19"/>
  <c r="Q29" i="19"/>
  <c r="P29" i="19"/>
  <c r="O29" i="19"/>
  <c r="N29" i="19"/>
  <c r="M29" i="19"/>
  <c r="L29" i="19"/>
  <c r="K29" i="19"/>
  <c r="J29" i="19"/>
  <c r="I29" i="19"/>
  <c r="H29" i="19"/>
  <c r="G29" i="19"/>
  <c r="F29" i="19"/>
  <c r="E29" i="19"/>
  <c r="D29" i="19"/>
  <c r="C29" i="19"/>
  <c r="B29" i="19"/>
  <c r="R28" i="19"/>
  <c r="Q28" i="19"/>
  <c r="P28" i="19"/>
  <c r="O28" i="19"/>
  <c r="N28" i="19"/>
  <c r="M28" i="19"/>
  <c r="L28" i="19"/>
  <c r="K28" i="19"/>
  <c r="J28" i="19"/>
  <c r="I28" i="19"/>
  <c r="H28" i="19"/>
  <c r="G28" i="19"/>
  <c r="F28" i="19"/>
  <c r="E28" i="19"/>
  <c r="D28" i="19"/>
  <c r="C28" i="19"/>
  <c r="B28" i="19"/>
  <c r="R27" i="19"/>
  <c r="Q27" i="19"/>
  <c r="P27" i="19"/>
  <c r="O27" i="19"/>
  <c r="N27" i="19"/>
  <c r="M27" i="19"/>
  <c r="L27" i="19"/>
  <c r="K27" i="19"/>
  <c r="J27" i="19"/>
  <c r="I27" i="19"/>
  <c r="H27" i="19"/>
  <c r="G27" i="19"/>
  <c r="F27" i="19"/>
  <c r="E27" i="19"/>
  <c r="D27" i="19"/>
  <c r="C27" i="19"/>
  <c r="B27" i="19"/>
  <c r="R26" i="19"/>
  <c r="Q26" i="19"/>
  <c r="P26" i="19"/>
  <c r="O26" i="19"/>
  <c r="N26" i="19"/>
  <c r="M26" i="19"/>
  <c r="L26" i="19"/>
  <c r="K26" i="19"/>
  <c r="J26" i="19"/>
  <c r="I26" i="19"/>
  <c r="H26" i="19"/>
  <c r="G26" i="19"/>
  <c r="F26" i="19"/>
  <c r="E26" i="19"/>
  <c r="D26" i="19"/>
  <c r="C26" i="19"/>
  <c r="B26" i="19"/>
  <c r="R25" i="19"/>
  <c r="Q25" i="19"/>
  <c r="P25" i="19"/>
  <c r="O25" i="19"/>
  <c r="N25" i="19"/>
  <c r="M25" i="19"/>
  <c r="L25" i="19"/>
  <c r="K25" i="19"/>
  <c r="J25" i="19"/>
  <c r="I25" i="19"/>
  <c r="H25" i="19"/>
  <c r="G25" i="19"/>
  <c r="F25" i="19"/>
  <c r="E25" i="19"/>
  <c r="D25" i="19"/>
  <c r="C25" i="19"/>
  <c r="B25" i="19"/>
  <c r="R24" i="19"/>
  <c r="Q24" i="19"/>
  <c r="P24" i="19"/>
  <c r="O24" i="19"/>
  <c r="N24" i="19"/>
  <c r="M24" i="19"/>
  <c r="L24" i="19"/>
  <c r="K24" i="19"/>
  <c r="J24" i="19"/>
  <c r="I24" i="19"/>
  <c r="H24" i="19"/>
  <c r="G24" i="19"/>
  <c r="F24" i="19"/>
  <c r="E24" i="19"/>
  <c r="D24" i="19"/>
  <c r="C24" i="19"/>
  <c r="B24" i="19"/>
  <c r="R23" i="19"/>
  <c r="Q23" i="19"/>
  <c r="P23" i="19"/>
  <c r="O23" i="19"/>
  <c r="N23" i="19"/>
  <c r="M23" i="19"/>
  <c r="L23" i="19"/>
  <c r="K23" i="19"/>
  <c r="J23" i="19"/>
  <c r="I23" i="19"/>
  <c r="H23" i="19"/>
  <c r="G23" i="19"/>
  <c r="F23" i="19"/>
  <c r="E23" i="19"/>
  <c r="D23" i="19"/>
  <c r="C23" i="19"/>
  <c r="B23" i="19"/>
  <c r="R21" i="19"/>
  <c r="Q21" i="19"/>
  <c r="P21" i="19"/>
  <c r="O21" i="19"/>
  <c r="N21" i="19"/>
  <c r="M21" i="19"/>
  <c r="L21" i="19"/>
  <c r="K21" i="19"/>
  <c r="J21" i="19"/>
  <c r="I21" i="19"/>
  <c r="H21" i="19"/>
  <c r="G21" i="19"/>
  <c r="F21" i="19"/>
  <c r="E21" i="19"/>
  <c r="D21" i="19"/>
  <c r="C21" i="19"/>
  <c r="B21" i="19"/>
  <c r="R20" i="19"/>
  <c r="Q20" i="19"/>
  <c r="P20" i="19"/>
  <c r="O20" i="19"/>
  <c r="N20" i="19"/>
  <c r="M20" i="19"/>
  <c r="L20" i="19"/>
  <c r="K20" i="19"/>
  <c r="J20" i="19"/>
  <c r="I20" i="19"/>
  <c r="H20" i="19"/>
  <c r="G20" i="19"/>
  <c r="F20" i="19"/>
  <c r="E20" i="19"/>
  <c r="D20" i="19"/>
  <c r="C20" i="19"/>
  <c r="B20" i="19"/>
  <c r="R19" i="19"/>
  <c r="Q19" i="19"/>
  <c r="P19" i="19"/>
  <c r="O19" i="19"/>
  <c r="N19" i="19"/>
  <c r="M19" i="19"/>
  <c r="L19" i="19"/>
  <c r="K19" i="19"/>
  <c r="J19" i="19"/>
  <c r="I19" i="19"/>
  <c r="H19" i="19"/>
  <c r="G19" i="19"/>
  <c r="F19" i="19"/>
  <c r="E19" i="19"/>
  <c r="D19" i="19"/>
  <c r="C19" i="19"/>
  <c r="B19" i="19"/>
  <c r="J7" i="19"/>
  <c r="I7" i="19"/>
  <c r="J6" i="19"/>
  <c r="I6" i="19"/>
  <c r="J5" i="19"/>
  <c r="I5" i="19"/>
  <c r="J4" i="19"/>
  <c r="I4" i="19"/>
  <c r="J3" i="19"/>
  <c r="I3" i="19"/>
  <c r="C3" i="19"/>
  <c r="C4" i="19" s="1"/>
  <c r="C14" i="19" s="1"/>
  <c r="B3" i="19"/>
  <c r="B4" i="19" s="1"/>
  <c r="B14" i="19" s="1"/>
  <c r="J2" i="19"/>
  <c r="I2" i="19"/>
  <c r="AJ242" i="18"/>
  <c r="AI242" i="18"/>
  <c r="AJ241" i="18"/>
  <c r="AI241" i="18"/>
  <c r="AJ240" i="18"/>
  <c r="AI240" i="18"/>
  <c r="AJ239" i="18"/>
  <c r="AI239" i="18"/>
  <c r="AJ233" i="18"/>
  <c r="AH233" i="18"/>
  <c r="AI233" i="18" s="1"/>
  <c r="AJ232" i="18"/>
  <c r="AI232" i="18"/>
  <c r="AH232" i="18"/>
  <c r="AJ231" i="18"/>
  <c r="AH231" i="18"/>
  <c r="AI231" i="18" s="1"/>
  <c r="AJ230" i="18"/>
  <c r="AH230" i="18"/>
  <c r="AI230" i="18" s="1"/>
  <c r="AJ229" i="18"/>
  <c r="AH229" i="18"/>
  <c r="AI229" i="18" s="1"/>
  <c r="AJ228" i="18"/>
  <c r="AH228" i="18"/>
  <c r="AI228" i="18" s="1"/>
  <c r="AJ227" i="18"/>
  <c r="AH227" i="18"/>
  <c r="AI227" i="18" s="1"/>
  <c r="AJ226" i="18"/>
  <c r="AI226" i="18"/>
  <c r="AJ225" i="18"/>
  <c r="AJ224" i="18"/>
  <c r="AJ223" i="18"/>
  <c r="AJ222" i="18"/>
  <c r="AJ221" i="18"/>
  <c r="AJ220" i="18"/>
  <c r="AJ219" i="18"/>
  <c r="AJ218" i="18"/>
  <c r="AJ217" i="18"/>
  <c r="AJ216" i="18"/>
  <c r="AJ215" i="18"/>
  <c r="AJ214" i="18"/>
  <c r="AJ213" i="18"/>
  <c r="AI213" i="18"/>
  <c r="AJ212" i="18"/>
  <c r="AH212" i="18"/>
  <c r="AI212" i="18" s="1"/>
  <c r="AJ211" i="18"/>
  <c r="AH211" i="18"/>
  <c r="AI211" i="18" s="1"/>
  <c r="AJ210" i="18"/>
  <c r="AH210" i="18"/>
  <c r="AI210" i="18" s="1"/>
  <c r="AJ209" i="18"/>
  <c r="AH209" i="18"/>
  <c r="AI209" i="18" s="1"/>
  <c r="AJ208" i="18"/>
  <c r="AH208" i="18"/>
  <c r="AI208" i="18" s="1"/>
  <c r="AJ207" i="18"/>
  <c r="AI207" i="18"/>
  <c r="AH207" i="18"/>
  <c r="AJ206" i="18"/>
  <c r="AH206" i="18"/>
  <c r="AI206" i="18" s="1"/>
  <c r="AJ205" i="18"/>
  <c r="AJ204" i="18"/>
  <c r="AH204" i="18"/>
  <c r="AI204" i="18" s="1"/>
  <c r="AJ203" i="18"/>
  <c r="AH203" i="18"/>
  <c r="AI203" i="18" s="1"/>
  <c r="AJ202" i="18"/>
  <c r="AI202" i="18"/>
  <c r="AJ201" i="18"/>
  <c r="AI201" i="18"/>
  <c r="AJ200" i="18"/>
  <c r="AI200" i="18"/>
  <c r="AJ199" i="18"/>
  <c r="AI199" i="18"/>
  <c r="AJ198" i="18"/>
  <c r="AJ197" i="18"/>
  <c r="AJ196" i="18"/>
  <c r="AJ195" i="18"/>
  <c r="AJ194" i="18"/>
  <c r="AJ193" i="18"/>
  <c r="AJ192" i="18"/>
  <c r="AJ191" i="18"/>
  <c r="AJ190" i="18"/>
  <c r="AJ189" i="18"/>
  <c r="AJ188" i="18"/>
  <c r="AJ187" i="18"/>
  <c r="AJ186" i="18"/>
  <c r="AJ185" i="18"/>
  <c r="AJ184" i="18"/>
  <c r="AJ183" i="18"/>
  <c r="AJ182" i="18"/>
  <c r="AJ181" i="18"/>
  <c r="AJ180" i="18"/>
  <c r="AJ179" i="18"/>
  <c r="AH179" i="18"/>
  <c r="AI179" i="18" s="1"/>
  <c r="AJ178" i="18"/>
  <c r="AI178" i="18"/>
  <c r="AH178" i="18"/>
  <c r="AJ177" i="18"/>
  <c r="AH177" i="18"/>
  <c r="AI177" i="18" s="1"/>
  <c r="AJ176" i="18"/>
  <c r="AH176" i="18"/>
  <c r="AI176" i="18" s="1"/>
  <c r="AJ175" i="18"/>
  <c r="AI175" i="18"/>
  <c r="AH175" i="18"/>
  <c r="AJ174" i="18"/>
  <c r="AH174" i="18"/>
  <c r="AI174" i="18" s="1"/>
  <c r="AJ173" i="18"/>
  <c r="AH173" i="18"/>
  <c r="AI173" i="18" s="1"/>
  <c r="AJ172" i="18"/>
  <c r="AI172" i="18"/>
  <c r="AH172" i="18"/>
  <c r="AJ171" i="18"/>
  <c r="AH171" i="18"/>
  <c r="AI171" i="18" s="1"/>
  <c r="AJ170" i="18"/>
  <c r="AI170" i="18"/>
  <c r="AH170" i="18"/>
  <c r="AJ169" i="18"/>
  <c r="AH169" i="18"/>
  <c r="AI169" i="18" s="1"/>
  <c r="AJ168" i="18"/>
  <c r="AJ167" i="18"/>
  <c r="AI167" i="18"/>
  <c r="AJ166" i="18"/>
  <c r="AI166" i="18"/>
  <c r="AJ165" i="18"/>
  <c r="AI165" i="18"/>
  <c r="AJ164" i="18"/>
  <c r="AI164" i="18"/>
  <c r="AJ163" i="18"/>
  <c r="AI163" i="18"/>
  <c r="AJ162" i="18"/>
  <c r="AI162" i="18"/>
  <c r="AJ160" i="18"/>
  <c r="AJ159" i="18"/>
  <c r="AJ158" i="18"/>
  <c r="AJ157" i="18"/>
  <c r="AJ156" i="18"/>
  <c r="AJ155" i="18"/>
  <c r="AJ154" i="18"/>
  <c r="AJ153" i="18"/>
  <c r="AJ152" i="18"/>
  <c r="AJ151" i="18"/>
  <c r="AJ150" i="18"/>
  <c r="AJ149" i="18"/>
  <c r="AJ148" i="18"/>
  <c r="AJ147" i="18"/>
  <c r="AH147" i="18"/>
  <c r="AI147" i="18" s="1"/>
  <c r="AJ146" i="18"/>
  <c r="AH146" i="18"/>
  <c r="AI146" i="18" s="1"/>
  <c r="AJ145" i="18"/>
  <c r="AH145" i="18"/>
  <c r="AI145" i="18" s="1"/>
  <c r="AJ144" i="18"/>
  <c r="AH144" i="18"/>
  <c r="AI144" i="18" s="1"/>
  <c r="AJ143" i="18"/>
  <c r="AI143" i="18"/>
  <c r="AJ142" i="18"/>
  <c r="AI142" i="18"/>
  <c r="AJ141" i="18"/>
  <c r="AI141" i="18"/>
  <c r="AJ140" i="18"/>
  <c r="AI140" i="18"/>
  <c r="AJ139" i="18"/>
  <c r="AI139" i="18"/>
  <c r="AJ138" i="18"/>
  <c r="AJ137" i="18"/>
  <c r="AJ136" i="18"/>
  <c r="AJ135" i="18"/>
  <c r="AJ134" i="18"/>
  <c r="AJ133" i="18"/>
  <c r="AJ132" i="18"/>
  <c r="AJ131" i="18"/>
  <c r="AJ130" i="18"/>
  <c r="AJ129" i="18"/>
  <c r="AD129" i="18"/>
  <c r="AJ128" i="18"/>
  <c r="AJ127" i="18"/>
  <c r="AJ126" i="18"/>
  <c r="AJ125" i="18"/>
  <c r="AJ124" i="18"/>
  <c r="AJ123" i="18"/>
  <c r="AJ122" i="18"/>
  <c r="AJ121" i="18"/>
  <c r="AH121" i="18"/>
  <c r="AI121" i="18" s="1"/>
  <c r="AJ120" i="18"/>
  <c r="AI120" i="18"/>
  <c r="AJ119" i="18"/>
  <c r="AI119" i="18"/>
  <c r="AJ118" i="18"/>
  <c r="AI118" i="18"/>
  <c r="AD118" i="18"/>
  <c r="AJ117" i="18"/>
  <c r="AJ116" i="18"/>
  <c r="AJ115" i="18"/>
  <c r="AJ114" i="18"/>
  <c r="AJ113" i="18"/>
  <c r="AJ112" i="18"/>
  <c r="AJ111" i="18"/>
  <c r="AJ110" i="18"/>
  <c r="AJ109" i="18"/>
  <c r="AJ108" i="18"/>
  <c r="AJ107" i="18"/>
  <c r="AJ106" i="18"/>
  <c r="AD106" i="18"/>
  <c r="AJ105" i="18"/>
  <c r="AD105" i="18"/>
  <c r="AJ104" i="18"/>
  <c r="AD104" i="18"/>
  <c r="AJ103" i="18"/>
  <c r="AD103" i="18"/>
  <c r="AJ102" i="18"/>
  <c r="AJ101" i="18"/>
  <c r="AJ100" i="18"/>
  <c r="AJ99" i="18"/>
  <c r="AJ98" i="18"/>
  <c r="AH98" i="18"/>
  <c r="AI98" i="18" s="1"/>
  <c r="AJ97" i="18"/>
  <c r="AI97" i="18"/>
  <c r="AJ96" i="18"/>
  <c r="AI96" i="18"/>
  <c r="AD96" i="18"/>
  <c r="AJ95" i="18"/>
  <c r="AJ94" i="18"/>
  <c r="AI94" i="18"/>
  <c r="AH94" i="18"/>
  <c r="AJ93" i="18"/>
  <c r="AH93" i="18"/>
  <c r="AI93" i="18" s="1"/>
  <c r="AJ92" i="18"/>
  <c r="AI92" i="18"/>
  <c r="AH92" i="18"/>
  <c r="AJ91" i="18"/>
  <c r="AH91" i="18"/>
  <c r="AI91" i="18" s="1"/>
  <c r="AD91" i="18"/>
  <c r="AJ90" i="18"/>
  <c r="AD90" i="18"/>
  <c r="AJ89" i="18"/>
  <c r="AJ88" i="18"/>
  <c r="AJ87" i="18"/>
  <c r="AJ86" i="18"/>
  <c r="AJ85" i="18"/>
  <c r="AI85" i="18"/>
  <c r="AJ84" i="18"/>
  <c r="AI84" i="18"/>
  <c r="AJ83" i="18"/>
  <c r="AI83" i="18"/>
  <c r="AJ82" i="18"/>
  <c r="AJ81" i="18"/>
  <c r="AJ80" i="18"/>
  <c r="AJ79" i="18"/>
  <c r="AJ78" i="18"/>
  <c r="AJ77" i="18"/>
  <c r="AJ76" i="18"/>
  <c r="AJ75" i="18"/>
  <c r="AJ74" i="18"/>
  <c r="AJ73" i="18"/>
  <c r="AJ72" i="18"/>
  <c r="AJ71" i="18"/>
  <c r="AJ70" i="18"/>
  <c r="AJ69" i="18"/>
  <c r="AJ68" i="18"/>
  <c r="AJ67" i="18"/>
  <c r="AJ66" i="18"/>
  <c r="AH65" i="18"/>
  <c r="AI65" i="18" s="1"/>
  <c r="AJ65" i="18" s="1"/>
  <c r="AJ64" i="18"/>
  <c r="AI64" i="18"/>
  <c r="AJ63" i="18"/>
  <c r="AI63" i="18"/>
  <c r="AJ62" i="18"/>
  <c r="AI62" i="18"/>
  <c r="AJ61" i="18"/>
  <c r="AJ60" i="18"/>
  <c r="AJ59" i="18"/>
  <c r="AJ58" i="18"/>
  <c r="AJ57" i="18"/>
  <c r="AJ56" i="18"/>
  <c r="AJ55" i="18"/>
  <c r="AJ54" i="18"/>
  <c r="AJ53" i="18"/>
  <c r="AD53" i="18"/>
  <c r="AJ52" i="18"/>
  <c r="AJ51" i="18"/>
  <c r="AJ50" i="18"/>
  <c r="AI50" i="18"/>
  <c r="AH50" i="18"/>
  <c r="AJ49" i="18"/>
  <c r="AH49" i="18"/>
  <c r="AI49" i="18" s="1"/>
  <c r="AJ48" i="18"/>
  <c r="AH48" i="18"/>
  <c r="AI48" i="18" s="1"/>
  <c r="AD48" i="18"/>
  <c r="AJ47" i="18"/>
  <c r="AI47" i="18"/>
  <c r="AJ46" i="18"/>
  <c r="AI46" i="18"/>
  <c r="AJ45" i="18"/>
  <c r="AI45" i="18"/>
  <c r="AJ44" i="18"/>
  <c r="AI44" i="18"/>
  <c r="AD44" i="18"/>
  <c r="AJ43" i="18"/>
  <c r="AI43" i="18"/>
  <c r="AD43" i="18"/>
  <c r="AJ42" i="18"/>
  <c r="AD42" i="18"/>
  <c r="AJ41" i="18"/>
  <c r="AD41" i="18"/>
  <c r="AJ40" i="18"/>
  <c r="AJ39" i="18"/>
  <c r="AD39" i="18"/>
  <c r="AJ38" i="18"/>
  <c r="AJ37" i="18"/>
  <c r="AJ36" i="18"/>
  <c r="AJ35" i="18"/>
  <c r="AJ34" i="18"/>
  <c r="AJ33" i="18"/>
  <c r="AJ32" i="18"/>
  <c r="AJ31" i="18"/>
  <c r="AJ30" i="18"/>
  <c r="AJ29" i="18"/>
  <c r="AD29" i="18"/>
  <c r="AJ28" i="18"/>
  <c r="AJ27" i="18"/>
  <c r="AJ26" i="18"/>
  <c r="AH26" i="18"/>
  <c r="AI26" i="18" s="1"/>
  <c r="AJ25" i="18"/>
  <c r="AH25" i="18"/>
  <c r="AI25" i="18" s="1"/>
  <c r="AJ24" i="18"/>
  <c r="AI24" i="18"/>
  <c r="AJ23" i="18"/>
  <c r="AH23" i="18"/>
  <c r="AI23" i="18" s="1"/>
  <c r="AJ22" i="18"/>
  <c r="AH22" i="18"/>
  <c r="AI22" i="18" s="1"/>
  <c r="AJ21" i="18"/>
  <c r="AI21" i="18"/>
  <c r="AH21" i="18"/>
  <c r="AH20" i="18"/>
  <c r="AI20" i="18" s="1"/>
  <c r="AJ20" i="18" s="1"/>
  <c r="AJ19" i="18"/>
  <c r="AI19" i="18"/>
  <c r="AH19" i="18"/>
  <c r="AJ18" i="18"/>
  <c r="AH18" i="18"/>
  <c r="AI18" i="18" s="1"/>
  <c r="AJ17" i="18"/>
  <c r="AH17" i="18"/>
  <c r="AI17" i="18" s="1"/>
  <c r="AJ16" i="18"/>
  <c r="AH16" i="18"/>
  <c r="AI16" i="18" s="1"/>
  <c r="AH15" i="18"/>
  <c r="AI15" i="18" s="1"/>
  <c r="AJ15" i="18" s="1"/>
  <c r="AJ14" i="18"/>
  <c r="AI14" i="18"/>
  <c r="AJ13" i="18"/>
  <c r="AH13" i="18"/>
  <c r="AI13" i="18" s="1"/>
  <c r="AH12" i="18"/>
  <c r="AI12" i="18" s="1"/>
  <c r="AJ12" i="18" s="1"/>
  <c r="AJ11" i="18"/>
  <c r="AI11" i="18"/>
  <c r="AJ10" i="18"/>
  <c r="AI10" i="18"/>
  <c r="AJ9" i="18"/>
  <c r="AI9" i="18"/>
  <c r="AJ8" i="18"/>
  <c r="AI8" i="18"/>
  <c r="AH7" i="18"/>
  <c r="AI7" i="18" s="1"/>
  <c r="AJ7" i="18" s="1"/>
  <c r="AJ6" i="18"/>
  <c r="AH6" i="18"/>
  <c r="AI6" i="18" s="1"/>
  <c r="AD6" i="18"/>
  <c r="AJ5" i="18"/>
  <c r="AH5" i="18"/>
  <c r="AI5" i="18" s="1"/>
  <c r="AD5" i="18"/>
  <c r="AJ4" i="18"/>
  <c r="AI4" i="18"/>
  <c r="AD4" i="18"/>
  <c r="AJ3" i="18"/>
  <c r="AH3" i="18"/>
  <c r="AI3" i="18" s="1"/>
  <c r="AJ2" i="18"/>
  <c r="AH2" i="18"/>
  <c r="AI2" i="18" s="1"/>
  <c r="Q299" i="23"/>
  <c r="A299" i="23"/>
  <c r="Q298" i="23"/>
  <c r="Q297" i="23"/>
  <c r="Q296" i="23"/>
  <c r="Q295" i="23"/>
  <c r="Q294" i="23"/>
  <c r="Q293" i="23"/>
  <c r="Q292" i="23"/>
  <c r="Q291" i="23"/>
  <c r="Q290" i="23"/>
  <c r="Q289" i="23"/>
  <c r="A289" i="23"/>
  <c r="Q288" i="23"/>
  <c r="Q287" i="23"/>
  <c r="Q286" i="23"/>
  <c r="Q285" i="23"/>
  <c r="Q284" i="23"/>
  <c r="Q283" i="23"/>
  <c r="Q282" i="23"/>
  <c r="Q281" i="23"/>
  <c r="Q278" i="23"/>
  <c r="Q276" i="23"/>
  <c r="Q275" i="23"/>
  <c r="Q274" i="23"/>
  <c r="Q273" i="23"/>
  <c r="Q272" i="23"/>
  <c r="Q271" i="23"/>
  <c r="Q270" i="23"/>
  <c r="Q269" i="23"/>
  <c r="A269" i="23"/>
  <c r="Q268" i="23"/>
  <c r="A268" i="23"/>
  <c r="Q267" i="23"/>
  <c r="Q266" i="23"/>
  <c r="Q265" i="23"/>
  <c r="Q264" i="23"/>
  <c r="Q263" i="23"/>
  <c r="Q262" i="23"/>
  <c r="A262" i="23"/>
  <c r="Q261" i="23"/>
  <c r="A261" i="23"/>
  <c r="Q260" i="23"/>
  <c r="A260" i="23"/>
  <c r="Q259" i="23"/>
  <c r="Q258" i="23"/>
  <c r="Q257" i="23"/>
  <c r="Q256" i="23"/>
  <c r="Q255" i="23"/>
  <c r="Q254" i="23"/>
  <c r="Q253" i="23"/>
  <c r="Q252" i="23"/>
  <c r="Q251" i="23"/>
  <c r="A251" i="23"/>
  <c r="Q250" i="23"/>
  <c r="Q249" i="23"/>
  <c r="Q248" i="23"/>
  <c r="Q247" i="23"/>
  <c r="Q245" i="23"/>
  <c r="Q244" i="23"/>
  <c r="Q243" i="23"/>
  <c r="Q242" i="23"/>
  <c r="A242" i="23"/>
  <c r="Q241" i="23"/>
  <c r="A241" i="23"/>
  <c r="Q240" i="23"/>
  <c r="Q239" i="23"/>
  <c r="Q238" i="23"/>
  <c r="Q237" i="23"/>
  <c r="Q236" i="23"/>
  <c r="Q235" i="23"/>
  <c r="A235" i="23"/>
  <c r="Q234" i="23"/>
  <c r="Q233" i="23"/>
  <c r="Q232" i="23"/>
  <c r="Q231" i="23"/>
  <c r="Q230" i="23"/>
  <c r="E229" i="23"/>
  <c r="C229" i="23"/>
  <c r="E228" i="23"/>
  <c r="D228" i="23"/>
  <c r="Q227" i="23"/>
  <c r="A227" i="23"/>
  <c r="Q226" i="23"/>
  <c r="Q225" i="23"/>
  <c r="Q224" i="23"/>
  <c r="Q223" i="23"/>
  <c r="Q222" i="23"/>
  <c r="A222" i="23"/>
  <c r="D221" i="23"/>
  <c r="C221" i="23"/>
  <c r="Q220" i="23"/>
  <c r="Q219" i="23"/>
  <c r="Q218" i="23"/>
  <c r="Q217" i="23"/>
  <c r="D216" i="23"/>
  <c r="C216" i="23"/>
  <c r="Q215" i="23"/>
  <c r="Q214" i="23"/>
  <c r="Q213" i="23"/>
  <c r="Q212" i="23"/>
  <c r="Q211" i="23"/>
  <c r="Q210" i="23"/>
  <c r="Q209" i="23"/>
  <c r="Q208" i="23"/>
  <c r="A208" i="23"/>
  <c r="Q207" i="23"/>
  <c r="Q206" i="23"/>
  <c r="A206" i="23"/>
  <c r="Q205" i="23"/>
  <c r="Q204" i="23"/>
  <c r="A204" i="23"/>
  <c r="Q203" i="23"/>
  <c r="A203" i="23"/>
  <c r="Q202" i="23"/>
  <c r="A202" i="23"/>
  <c r="Q201" i="23"/>
  <c r="Q200" i="23"/>
  <c r="Q199" i="23"/>
  <c r="Q198" i="23"/>
  <c r="Q197" i="23"/>
  <c r="Q196" i="23"/>
  <c r="Q195" i="23"/>
  <c r="Q194" i="23"/>
  <c r="Q193" i="23"/>
  <c r="Q192" i="23"/>
  <c r="Q191" i="23"/>
  <c r="Q190" i="23"/>
  <c r="Q189" i="23"/>
  <c r="Q188" i="23"/>
  <c r="Q187" i="23"/>
  <c r="Q186" i="23"/>
  <c r="Q185" i="23"/>
  <c r="Q184" i="23"/>
  <c r="Q183" i="23"/>
  <c r="Q182" i="23"/>
  <c r="Q181" i="23"/>
  <c r="Q180" i="23"/>
  <c r="Q179" i="23"/>
  <c r="Q178" i="23"/>
  <c r="Q177" i="23"/>
  <c r="Q175" i="23"/>
  <c r="Q174" i="23"/>
  <c r="Q172" i="23"/>
  <c r="Q169" i="23"/>
  <c r="Q168" i="23"/>
  <c r="Q167" i="23"/>
  <c r="Q166" i="23"/>
  <c r="Q165" i="23"/>
  <c r="Q148" i="23"/>
  <c r="Q147" i="23"/>
  <c r="Q145" i="23"/>
  <c r="Q144" i="23"/>
  <c r="Q143" i="23"/>
  <c r="Q142" i="23"/>
  <c r="Q141" i="23"/>
  <c r="Q140" i="23"/>
  <c r="Q139" i="23"/>
  <c r="Q138" i="23"/>
  <c r="Q137" i="23"/>
  <c r="A137" i="23"/>
  <c r="Q136" i="23"/>
  <c r="Q135" i="23"/>
  <c r="Q134" i="23"/>
  <c r="Q133" i="23"/>
  <c r="Q132" i="23"/>
  <c r="Q131" i="23"/>
  <c r="Q130" i="23"/>
  <c r="Q129" i="23"/>
  <c r="Q128" i="23"/>
  <c r="Q127" i="23"/>
  <c r="Q126" i="23"/>
  <c r="Q125" i="23"/>
  <c r="Q124" i="23"/>
  <c r="Q123" i="23"/>
  <c r="A123" i="23"/>
  <c r="Q122" i="23"/>
  <c r="Q121" i="23"/>
  <c r="Q120" i="23"/>
  <c r="Q119" i="23"/>
  <c r="Q118" i="23"/>
  <c r="Q117" i="23"/>
  <c r="Q116" i="23"/>
  <c r="Q115" i="23"/>
  <c r="A115" i="23"/>
  <c r="Q114" i="23"/>
  <c r="A114" i="23"/>
  <c r="Q113" i="23"/>
  <c r="A113" i="23"/>
  <c r="Q112" i="23"/>
  <c r="A112" i="23"/>
  <c r="Q111" i="23"/>
  <c r="A111" i="23"/>
  <c r="Q110" i="23"/>
  <c r="A110" i="23"/>
  <c r="A103" i="23"/>
  <c r="Q102" i="23"/>
  <c r="Q101" i="23"/>
  <c r="Q99" i="23"/>
  <c r="Q96" i="23"/>
  <c r="Q95" i="23"/>
  <c r="Q94" i="23"/>
  <c r="Q93" i="23"/>
  <c r="Q92" i="23"/>
  <c r="Q91" i="23"/>
  <c r="Q90" i="23"/>
  <c r="Q89" i="23"/>
  <c r="Q88" i="23"/>
  <c r="Q87" i="23"/>
  <c r="Q86" i="23"/>
  <c r="Q85" i="23"/>
  <c r="Q84" i="23"/>
  <c r="Q81" i="23"/>
  <c r="Q80" i="23"/>
  <c r="Q79" i="23"/>
  <c r="Q78" i="23"/>
  <c r="Q77" i="23"/>
  <c r="Q76" i="23"/>
  <c r="Q75" i="23"/>
  <c r="Q74" i="23"/>
  <c r="Q73" i="23"/>
  <c r="Q72" i="23"/>
  <c r="Q71" i="23"/>
  <c r="Q69" i="23"/>
  <c r="Q67" i="23"/>
  <c r="Q65" i="23"/>
  <c r="Q63" i="23"/>
  <c r="Q62" i="23"/>
  <c r="Q61" i="23"/>
  <c r="Q60" i="23"/>
  <c r="Q59" i="23"/>
  <c r="Q58" i="23"/>
  <c r="Q57" i="23"/>
  <c r="Q56" i="23"/>
  <c r="Q55" i="23"/>
  <c r="Q52" i="23"/>
  <c r="Q51" i="23"/>
  <c r="Q49" i="23"/>
  <c r="Q48" i="23"/>
  <c r="Q46" i="23"/>
  <c r="Q45" i="23"/>
  <c r="Q44" i="23"/>
  <c r="Q41" i="23"/>
  <c r="A40" i="23"/>
  <c r="Q38" i="23"/>
  <c r="A37" i="23"/>
  <c r="A36" i="23"/>
  <c r="A35" i="23"/>
  <c r="Q34" i="23"/>
  <c r="A34" i="23"/>
  <c r="Q33" i="23"/>
  <c r="A33" i="23"/>
  <c r="A32" i="23"/>
  <c r="Q31" i="23"/>
  <c r="Q30" i="23"/>
  <c r="A29" i="23"/>
  <c r="A28" i="23"/>
  <c r="Q27" i="23"/>
  <c r="A27" i="23"/>
  <c r="Q26" i="23"/>
  <c r="Q25" i="23"/>
  <c r="A25" i="23"/>
  <c r="Q24" i="23"/>
  <c r="Q22" i="23"/>
  <c r="A22" i="23"/>
  <c r="A21" i="23"/>
  <c r="Q20" i="23"/>
  <c r="Q18" i="23"/>
  <c r="Q17" i="23"/>
  <c r="Q16" i="23"/>
  <c r="Q14" i="23"/>
  <c r="Q13" i="23"/>
  <c r="Q11" i="23"/>
  <c r="Q10" i="23"/>
  <c r="Q9" i="23"/>
  <c r="Q8" i="23"/>
  <c r="Q6" i="23"/>
  <c r="Q5" i="23"/>
  <c r="L58" i="16"/>
  <c r="A56" i="16"/>
  <c r="A38" i="16"/>
  <c r="A37" i="16"/>
  <c r="A35" i="16"/>
  <c r="K34" i="16"/>
  <c r="J34" i="16"/>
  <c r="A32" i="16"/>
  <c r="C21" i="16"/>
  <c r="B83" i="13"/>
  <c r="B82" i="13"/>
  <c r="B80" i="13"/>
  <c r="B77" i="13"/>
  <c r="B42" i="13"/>
  <c r="B74" i="13"/>
  <c r="B71" i="13"/>
  <c r="B70" i="13"/>
  <c r="B68" i="13"/>
  <c r="B67" i="13"/>
  <c r="B64" i="13"/>
  <c r="B62" i="13"/>
  <c r="B60" i="13"/>
  <c r="B59" i="13"/>
  <c r="B56" i="13"/>
  <c r="B50" i="13"/>
  <c r="B49" i="13"/>
  <c r="B48" i="13"/>
  <c r="B25" i="13"/>
  <c r="B40" i="13"/>
  <c r="B39" i="13"/>
  <c r="B30" i="13"/>
  <c r="B24" i="13"/>
  <c r="B26" i="13"/>
  <c r="B23" i="13"/>
  <c r="B16" i="13"/>
  <c r="B15" i="13"/>
  <c r="B13" i="13"/>
  <c r="B12" i="13"/>
  <c r="B6" i="13"/>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2" i="7"/>
  <c r="G571" i="7"/>
  <c r="G570" i="7"/>
  <c r="G569" i="7"/>
  <c r="G568" i="7"/>
  <c r="G567" i="7"/>
  <c r="G566" i="7"/>
  <c r="G565" i="7"/>
  <c r="G564" i="7"/>
  <c r="G563" i="7"/>
  <c r="G562" i="7"/>
  <c r="G561" i="7"/>
  <c r="G560" i="7"/>
  <c r="G558" i="7"/>
  <c r="G557" i="7"/>
  <c r="G556" i="7"/>
  <c r="G555" i="7"/>
  <c r="G554" i="7"/>
  <c r="G553" i="7"/>
  <c r="G552" i="7"/>
  <c r="G551" i="7"/>
  <c r="G550" i="7"/>
  <c r="G549" i="7"/>
  <c r="G548" i="7"/>
  <c r="G547" i="7"/>
  <c r="G546" i="7"/>
  <c r="G545" i="7"/>
  <c r="G544" i="7"/>
  <c r="G543" i="7"/>
  <c r="G542" i="7"/>
  <c r="G541" i="7"/>
  <c r="G540" i="7"/>
  <c r="G539" i="7"/>
  <c r="G538"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A468" i="7"/>
  <c r="G467" i="7"/>
  <c r="G466" i="7"/>
  <c r="G465" i="7"/>
  <c r="G464" i="7"/>
  <c r="G463" i="7"/>
  <c r="G462" i="7"/>
  <c r="G461" i="7"/>
  <c r="G460" i="7"/>
  <c r="G459" i="7"/>
  <c r="G458" i="7"/>
  <c r="G457" i="7"/>
  <c r="G456" i="7"/>
  <c r="G455" i="7"/>
  <c r="G454" i="7"/>
  <c r="G453" i="7"/>
  <c r="G452" i="7"/>
  <c r="G451" i="7"/>
  <c r="G450" i="7"/>
  <c r="G449" i="7"/>
  <c r="G448" i="7"/>
  <c r="G447" i="7"/>
  <c r="G445" i="7"/>
  <c r="G444" i="7"/>
  <c r="G443" i="7"/>
  <c r="G442" i="7"/>
  <c r="G441" i="7"/>
  <c r="G440" i="7"/>
  <c r="G439" i="7"/>
  <c r="G438" i="7"/>
  <c r="G437" i="7"/>
  <c r="G436" i="7"/>
  <c r="G435" i="7"/>
  <c r="G434" i="7"/>
  <c r="G433" i="7"/>
  <c r="G432" i="7"/>
  <c r="G431" i="7"/>
  <c r="G430" i="7"/>
  <c r="G429" i="7"/>
  <c r="G559" i="7"/>
  <c r="G428" i="7"/>
  <c r="G427" i="7"/>
  <c r="G426" i="7"/>
  <c r="G425" i="7"/>
  <c r="G424" i="7"/>
  <c r="G423" i="7"/>
  <c r="G422" i="7"/>
  <c r="G421" i="7"/>
  <c r="G420" i="7"/>
  <c r="G419" i="7"/>
  <c r="G418" i="7"/>
  <c r="G417" i="7"/>
  <c r="G416" i="7"/>
  <c r="G415"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A312" i="7"/>
  <c r="G311" i="7"/>
  <c r="A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A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A222" i="7"/>
  <c r="G221" i="7"/>
  <c r="G220" i="7"/>
  <c r="G219" i="7"/>
  <c r="G218" i="7"/>
  <c r="G217" i="7"/>
  <c r="G216" i="7"/>
  <c r="G215" i="7"/>
  <c r="G214" i="7"/>
  <c r="G213" i="7"/>
  <c r="G212" i="7"/>
  <c r="G211" i="7"/>
  <c r="G210" i="7"/>
  <c r="G209" i="7"/>
  <c r="G208" i="7"/>
  <c r="A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A178" i="7"/>
  <c r="G177" i="7"/>
  <c r="G175" i="7"/>
  <c r="G174" i="7"/>
  <c r="G172" i="7"/>
  <c r="G171" i="7"/>
  <c r="G170" i="7"/>
  <c r="G169" i="7"/>
  <c r="G168"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F140" i="7"/>
  <c r="G139" i="7"/>
  <c r="F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7" i="7"/>
  <c r="G96" i="7"/>
  <c r="G95" i="7"/>
  <c r="G94" i="7"/>
  <c r="G93" i="7"/>
  <c r="G92" i="7"/>
  <c r="G91" i="7"/>
  <c r="G90" i="7"/>
  <c r="G89" i="7"/>
  <c r="G88" i="7"/>
  <c r="G87" i="7"/>
  <c r="G86" i="7"/>
  <c r="G85" i="7"/>
  <c r="G84" i="7"/>
  <c r="G83" i="7"/>
  <c r="G82" i="7"/>
  <c r="G81" i="7"/>
  <c r="G80" i="7"/>
  <c r="G79" i="7"/>
  <c r="G78" i="7"/>
  <c r="G77" i="7"/>
  <c r="G76" i="7"/>
  <c r="G75" i="7"/>
  <c r="G74" i="7"/>
  <c r="G73" i="7"/>
  <c r="F73" i="7"/>
  <c r="G72" i="7"/>
  <c r="F72" i="7"/>
  <c r="G71" i="7"/>
  <c r="F71" i="7"/>
  <c r="G70" i="7"/>
  <c r="F70" i="7"/>
  <c r="G69" i="7"/>
  <c r="G68" i="7"/>
  <c r="G67" i="7"/>
  <c r="G66" i="7"/>
  <c r="G64" i="7"/>
  <c r="G63" i="7"/>
  <c r="G65"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M175" i="6"/>
  <c r="L175" i="6"/>
  <c r="K175" i="6"/>
  <c r="J175" i="6"/>
  <c r="I175" i="6"/>
  <c r="M174" i="6"/>
  <c r="L174" i="6"/>
  <c r="K174" i="6"/>
  <c r="J174" i="6"/>
  <c r="I174" i="6"/>
  <c r="M173" i="6"/>
  <c r="L173" i="6"/>
  <c r="K173" i="6"/>
  <c r="J173" i="6"/>
  <c r="I173" i="6"/>
  <c r="M172" i="6"/>
  <c r="L172" i="6"/>
  <c r="K172" i="6"/>
  <c r="J172" i="6"/>
  <c r="I172" i="6"/>
  <c r="B171" i="6"/>
  <c r="A171" i="6"/>
  <c r="L171" i="6" s="1"/>
  <c r="M170" i="6"/>
  <c r="L170" i="6"/>
  <c r="K170" i="6"/>
  <c r="J170" i="6"/>
  <c r="I170" i="6"/>
  <c r="M169" i="6"/>
  <c r="L169" i="6"/>
  <c r="K169" i="6"/>
  <c r="J169" i="6"/>
  <c r="I169" i="6"/>
  <c r="B169" i="6"/>
  <c r="M168" i="6"/>
  <c r="L168" i="6"/>
  <c r="K168" i="6"/>
  <c r="J168" i="6"/>
  <c r="I168" i="6"/>
  <c r="B168" i="6"/>
  <c r="B167" i="6"/>
  <c r="A167" i="6"/>
  <c r="M167" i="6" s="1"/>
  <c r="B166" i="6"/>
  <c r="A166" i="6"/>
  <c r="M166" i="6" s="1"/>
  <c r="B165" i="6"/>
  <c r="A165" i="6"/>
  <c r="M165" i="6" s="1"/>
  <c r="A164" i="6"/>
  <c r="M164" i="6" s="1"/>
  <c r="A163" i="6"/>
  <c r="L163" i="6" s="1"/>
  <c r="B162" i="6"/>
  <c r="A162" i="6"/>
  <c r="M162" i="6" s="1"/>
  <c r="B161" i="6"/>
  <c r="A161" i="6"/>
  <c r="M161" i="6" s="1"/>
  <c r="M160" i="6"/>
  <c r="L160" i="6"/>
  <c r="K160" i="6"/>
  <c r="J160" i="6"/>
  <c r="I160" i="6"/>
  <c r="M159" i="6"/>
  <c r="L159" i="6"/>
  <c r="K159" i="6"/>
  <c r="J159" i="6"/>
  <c r="I159" i="6"/>
  <c r="M158" i="6"/>
  <c r="L158" i="6"/>
  <c r="K158" i="6"/>
  <c r="J158" i="6"/>
  <c r="I158" i="6"/>
  <c r="M157" i="6"/>
  <c r="L157" i="6"/>
  <c r="K157" i="6"/>
  <c r="J157" i="6"/>
  <c r="I157" i="6"/>
  <c r="M156" i="6"/>
  <c r="L156" i="6"/>
  <c r="K156" i="6"/>
  <c r="J156" i="6"/>
  <c r="I156" i="6"/>
  <c r="M155" i="6"/>
  <c r="L155" i="6"/>
  <c r="K155" i="6"/>
  <c r="J155" i="6"/>
  <c r="I155" i="6"/>
  <c r="B155" i="6"/>
  <c r="Q155" i="6" s="1"/>
  <c r="M154" i="6"/>
  <c r="L154" i="6"/>
  <c r="K154" i="6"/>
  <c r="J154" i="6"/>
  <c r="I154" i="6"/>
  <c r="D154" i="6"/>
  <c r="M153" i="6"/>
  <c r="L153" i="6"/>
  <c r="K153" i="6"/>
  <c r="J153" i="6"/>
  <c r="I153" i="6"/>
  <c r="D153" i="6"/>
  <c r="M152" i="6"/>
  <c r="L152" i="6"/>
  <c r="K152" i="6"/>
  <c r="J152" i="6"/>
  <c r="I152" i="6"/>
  <c r="D152" i="6"/>
  <c r="M151" i="6"/>
  <c r="L151" i="6"/>
  <c r="K151" i="6"/>
  <c r="J151" i="6"/>
  <c r="I151" i="6"/>
  <c r="D151" i="6"/>
  <c r="M150" i="6"/>
  <c r="L150" i="6"/>
  <c r="K150" i="6"/>
  <c r="J150" i="6"/>
  <c r="I150" i="6"/>
  <c r="D150" i="6"/>
  <c r="M149" i="6"/>
  <c r="L149" i="6"/>
  <c r="K149" i="6"/>
  <c r="J149" i="6"/>
  <c r="I149" i="6"/>
  <c r="D149" i="6"/>
  <c r="M148" i="6"/>
  <c r="L148" i="6"/>
  <c r="K148" i="6"/>
  <c r="J148" i="6"/>
  <c r="I148" i="6"/>
  <c r="D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B142" i="6"/>
  <c r="Q142" i="6" s="1"/>
  <c r="M141" i="6"/>
  <c r="L141" i="6"/>
  <c r="K141" i="6"/>
  <c r="J141" i="6"/>
  <c r="I141" i="6"/>
  <c r="D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D121" i="6"/>
  <c r="M120" i="6"/>
  <c r="L120" i="6"/>
  <c r="K120" i="6"/>
  <c r="J120" i="6"/>
  <c r="I120" i="6"/>
  <c r="M119" i="6"/>
  <c r="L119" i="6"/>
  <c r="K119" i="6"/>
  <c r="J119" i="6"/>
  <c r="I119" i="6"/>
  <c r="B119" i="6"/>
  <c r="Q119" i="6" s="1"/>
  <c r="M118" i="6"/>
  <c r="L118" i="6"/>
  <c r="K118" i="6"/>
  <c r="J118" i="6"/>
  <c r="I118" i="6"/>
  <c r="D118" i="6"/>
  <c r="M117" i="6"/>
  <c r="L117" i="6"/>
  <c r="K117" i="6"/>
  <c r="J117" i="6"/>
  <c r="I117" i="6"/>
  <c r="D117" i="6"/>
  <c r="M116" i="6"/>
  <c r="L116" i="6"/>
  <c r="K116" i="6"/>
  <c r="J116" i="6"/>
  <c r="I116" i="6"/>
  <c r="D116" i="6"/>
  <c r="M115" i="6"/>
  <c r="L115" i="6"/>
  <c r="K115" i="6"/>
  <c r="J115" i="6"/>
  <c r="I115" i="6"/>
  <c r="D115" i="6"/>
  <c r="M114" i="6"/>
  <c r="L114" i="6"/>
  <c r="K114" i="6"/>
  <c r="J114" i="6"/>
  <c r="I114" i="6"/>
  <c r="D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0" i="6"/>
  <c r="L100" i="6"/>
  <c r="K100" i="6"/>
  <c r="J100" i="6"/>
  <c r="I100" i="6"/>
  <c r="M99" i="6"/>
  <c r="L99" i="6"/>
  <c r="K99" i="6"/>
  <c r="J99" i="6"/>
  <c r="I99" i="6"/>
  <c r="M98" i="6"/>
  <c r="L98" i="6"/>
  <c r="K98" i="6"/>
  <c r="J98" i="6"/>
  <c r="I98" i="6"/>
  <c r="B98" i="6"/>
  <c r="M97" i="6"/>
  <c r="L97" i="6"/>
  <c r="K97" i="6"/>
  <c r="J97" i="6"/>
  <c r="I97" i="6"/>
  <c r="M96" i="6"/>
  <c r="L96" i="6"/>
  <c r="K96" i="6"/>
  <c r="J96" i="6"/>
  <c r="I96" i="6"/>
  <c r="M95" i="6"/>
  <c r="L95" i="6"/>
  <c r="K95" i="6"/>
  <c r="J95" i="6"/>
  <c r="I95" i="6"/>
  <c r="M94" i="6"/>
  <c r="L94" i="6"/>
  <c r="K94" i="6"/>
  <c r="J94" i="6"/>
  <c r="I94" i="6"/>
  <c r="M93" i="6"/>
  <c r="L93" i="6"/>
  <c r="K93" i="6"/>
  <c r="J93" i="6"/>
  <c r="I93" i="6"/>
  <c r="B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B73" i="6"/>
  <c r="M72" i="6"/>
  <c r="L72" i="6"/>
  <c r="K72" i="6"/>
  <c r="J72" i="6"/>
  <c r="I72" i="6"/>
  <c r="M71" i="6"/>
  <c r="L71" i="6"/>
  <c r="K71" i="6"/>
  <c r="J71" i="6"/>
  <c r="I71" i="6"/>
  <c r="M70" i="6"/>
  <c r="L70" i="6"/>
  <c r="K70" i="6"/>
  <c r="J70" i="6"/>
  <c r="I70" i="6"/>
  <c r="M69" i="6"/>
  <c r="L69" i="6"/>
  <c r="K69" i="6"/>
  <c r="J69" i="6"/>
  <c r="I69" i="6"/>
  <c r="M68" i="6"/>
  <c r="L68" i="6"/>
  <c r="K68" i="6"/>
  <c r="J68" i="6"/>
  <c r="I68" i="6"/>
  <c r="B68" i="6"/>
  <c r="Q68" i="6" s="1"/>
  <c r="M67" i="6"/>
  <c r="L67" i="6"/>
  <c r="K67" i="6"/>
  <c r="J67" i="6"/>
  <c r="I67" i="6"/>
  <c r="M66" i="6"/>
  <c r="L66" i="6"/>
  <c r="K66" i="6"/>
  <c r="J66" i="6"/>
  <c r="I66" i="6"/>
  <c r="M65" i="6"/>
  <c r="L65" i="6"/>
  <c r="K65" i="6"/>
  <c r="J65" i="6"/>
  <c r="I65" i="6"/>
  <c r="M64" i="6"/>
  <c r="L64" i="6"/>
  <c r="K64" i="6"/>
  <c r="J64" i="6"/>
  <c r="I64" i="6"/>
  <c r="D64" i="6"/>
  <c r="M63" i="6"/>
  <c r="L63" i="6"/>
  <c r="K63" i="6"/>
  <c r="J63" i="6"/>
  <c r="I63" i="6"/>
  <c r="M62" i="6"/>
  <c r="L62" i="6"/>
  <c r="K62" i="6"/>
  <c r="J62" i="6"/>
  <c r="I62" i="6"/>
  <c r="M61" i="6"/>
  <c r="L61" i="6"/>
  <c r="K61" i="6"/>
  <c r="J61" i="6"/>
  <c r="I61" i="6"/>
  <c r="D61" i="6"/>
  <c r="M60" i="6"/>
  <c r="L60" i="6"/>
  <c r="K60" i="6"/>
  <c r="J60" i="6"/>
  <c r="I60" i="6"/>
  <c r="D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B54" i="6"/>
  <c r="Q54" i="6" s="1"/>
  <c r="M53" i="6"/>
  <c r="L53" i="6"/>
  <c r="K53" i="6"/>
  <c r="J53" i="6"/>
  <c r="I53" i="6"/>
  <c r="B53" i="6"/>
  <c r="Q53" i="6" s="1"/>
  <c r="M52" i="6"/>
  <c r="L52" i="6"/>
  <c r="K52" i="6"/>
  <c r="J52" i="6"/>
  <c r="I52" i="6"/>
  <c r="M51" i="6"/>
  <c r="L51" i="6"/>
  <c r="K51" i="6"/>
  <c r="J51" i="6"/>
  <c r="I51" i="6"/>
  <c r="M50" i="6"/>
  <c r="L50" i="6"/>
  <c r="K50" i="6"/>
  <c r="J50" i="6"/>
  <c r="I50" i="6"/>
  <c r="M49" i="6"/>
  <c r="L49" i="6"/>
  <c r="K49" i="6"/>
  <c r="J49" i="6"/>
  <c r="I49" i="6"/>
  <c r="M48" i="6"/>
  <c r="L48" i="6"/>
  <c r="K48" i="6"/>
  <c r="J48" i="6"/>
  <c r="I48" i="6"/>
  <c r="D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B36" i="6"/>
  <c r="Q36" i="6" s="1"/>
  <c r="M35" i="6"/>
  <c r="L35" i="6"/>
  <c r="K35" i="6"/>
  <c r="J35" i="6"/>
  <c r="I35" i="6"/>
  <c r="D35" i="6"/>
  <c r="M33" i="6"/>
  <c r="L33" i="6"/>
  <c r="K33" i="6"/>
  <c r="J33" i="6"/>
  <c r="I33" i="6"/>
  <c r="M32" i="6"/>
  <c r="L32" i="6"/>
  <c r="K32" i="6"/>
  <c r="J32" i="6"/>
  <c r="I32" i="6"/>
  <c r="D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D22" i="6"/>
  <c r="M21" i="6"/>
  <c r="L21" i="6"/>
  <c r="K21" i="6"/>
  <c r="J21" i="6"/>
  <c r="I21" i="6"/>
  <c r="M20" i="6"/>
  <c r="L20" i="6"/>
  <c r="K20" i="6"/>
  <c r="J20" i="6"/>
  <c r="I20" i="6"/>
  <c r="D20" i="6"/>
  <c r="M19" i="6"/>
  <c r="L19" i="6"/>
  <c r="K19" i="6"/>
  <c r="J19" i="6"/>
  <c r="I19" i="6"/>
  <c r="M18" i="6"/>
  <c r="L18" i="6"/>
  <c r="K18" i="6"/>
  <c r="J18" i="6"/>
  <c r="I18" i="6"/>
  <c r="M17" i="6"/>
  <c r="L17" i="6"/>
  <c r="K17" i="6"/>
  <c r="J17" i="6"/>
  <c r="I17" i="6"/>
  <c r="M16" i="6"/>
  <c r="L16" i="6"/>
  <c r="K16" i="6"/>
  <c r="J16" i="6"/>
  <c r="I16" i="6"/>
  <c r="M15" i="6"/>
  <c r="L15" i="6"/>
  <c r="K15" i="6"/>
  <c r="J15" i="6"/>
  <c r="I15" i="6"/>
  <c r="D15" i="6"/>
  <c r="M14" i="6"/>
  <c r="L14" i="6"/>
  <c r="K14" i="6"/>
  <c r="J14" i="6"/>
  <c r="I14" i="6"/>
  <c r="D14" i="6"/>
  <c r="M13" i="6"/>
  <c r="L13" i="6"/>
  <c r="K13" i="6"/>
  <c r="J13" i="6"/>
  <c r="I13" i="6"/>
  <c r="D13" i="6"/>
  <c r="M12" i="6"/>
  <c r="L12" i="6"/>
  <c r="K12" i="6"/>
  <c r="J12" i="6"/>
  <c r="I12" i="6"/>
  <c r="M11" i="6"/>
  <c r="L11" i="6"/>
  <c r="K11" i="6"/>
  <c r="J11" i="6"/>
  <c r="I11" i="6"/>
  <c r="B11" i="6"/>
  <c r="Q11" i="6" s="1"/>
  <c r="M10" i="6"/>
  <c r="L10" i="6"/>
  <c r="K10" i="6"/>
  <c r="J10" i="6"/>
  <c r="I10" i="6"/>
  <c r="D10" i="6"/>
  <c r="M9" i="6"/>
  <c r="L9" i="6"/>
  <c r="K9" i="6"/>
  <c r="J9" i="6"/>
  <c r="I9" i="6"/>
  <c r="M8" i="6"/>
  <c r="L8" i="6"/>
  <c r="K8" i="6"/>
  <c r="J8" i="6"/>
  <c r="I8" i="6"/>
  <c r="M7" i="6"/>
  <c r="L7" i="6"/>
  <c r="K7" i="6"/>
  <c r="J7" i="6"/>
  <c r="I7" i="6"/>
  <c r="M6" i="6"/>
  <c r="L6" i="6"/>
  <c r="K6" i="6"/>
  <c r="J6" i="6"/>
  <c r="I6" i="6"/>
  <c r="M5" i="6"/>
  <c r="L5" i="6"/>
  <c r="K5" i="6"/>
  <c r="J5" i="6"/>
  <c r="I5" i="6"/>
  <c r="M4" i="6"/>
  <c r="L4" i="6"/>
  <c r="K4" i="6"/>
  <c r="J4" i="6"/>
  <c r="I4" i="6"/>
  <c r="D4" i="6"/>
  <c r="M3" i="6"/>
  <c r="L3" i="6"/>
  <c r="K3" i="6"/>
  <c r="J3" i="6"/>
  <c r="I3" i="6"/>
  <c r="M2" i="6"/>
  <c r="L2" i="6"/>
  <c r="K2" i="6"/>
  <c r="J2" i="6"/>
  <c r="I2" i="6"/>
  <c r="M313" i="5"/>
  <c r="L313" i="5"/>
  <c r="K313" i="5"/>
  <c r="J313" i="5"/>
  <c r="I313" i="5"/>
  <c r="B313" i="5"/>
  <c r="P313" i="5" s="1"/>
  <c r="M312" i="5"/>
  <c r="L312" i="5"/>
  <c r="K312" i="5"/>
  <c r="J312" i="5"/>
  <c r="I312" i="5"/>
  <c r="M311" i="5"/>
  <c r="L311" i="5"/>
  <c r="K311" i="5"/>
  <c r="J311" i="5"/>
  <c r="I311" i="5"/>
  <c r="B310" i="5"/>
  <c r="A310" i="5"/>
  <c r="L310" i="5" s="1"/>
  <c r="M309" i="5"/>
  <c r="L309" i="5"/>
  <c r="K309" i="5"/>
  <c r="J309" i="5"/>
  <c r="I309" i="5"/>
  <c r="M308" i="5"/>
  <c r="L308" i="5"/>
  <c r="K308" i="5"/>
  <c r="J308" i="5"/>
  <c r="I308" i="5"/>
  <c r="B308" i="5"/>
  <c r="P308" i="5" s="1"/>
  <c r="M307" i="5"/>
  <c r="L307" i="5"/>
  <c r="K307" i="5"/>
  <c r="J307" i="5"/>
  <c r="I307" i="5"/>
  <c r="M306" i="5"/>
  <c r="L306" i="5"/>
  <c r="K306" i="5"/>
  <c r="J306" i="5"/>
  <c r="I306" i="5"/>
  <c r="D306" i="5"/>
  <c r="B306" i="5"/>
  <c r="P306" i="5" s="1"/>
  <c r="M304" i="5"/>
  <c r="L304" i="5"/>
  <c r="K304" i="5"/>
  <c r="J304" i="5"/>
  <c r="I304" i="5"/>
  <c r="M303" i="5"/>
  <c r="L303" i="5"/>
  <c r="K303" i="5"/>
  <c r="J303" i="5"/>
  <c r="I303" i="5"/>
  <c r="D303" i="5"/>
  <c r="M302" i="5"/>
  <c r="L302" i="5"/>
  <c r="K302" i="5"/>
  <c r="J302" i="5"/>
  <c r="I302" i="5"/>
  <c r="D302" i="5"/>
  <c r="M301" i="5"/>
  <c r="L301" i="5"/>
  <c r="K301" i="5"/>
  <c r="J301" i="5"/>
  <c r="I301" i="5"/>
  <c r="D301" i="5"/>
  <c r="M300" i="5"/>
  <c r="L300" i="5"/>
  <c r="K300" i="5"/>
  <c r="J300" i="5"/>
  <c r="I300" i="5"/>
  <c r="D300" i="5"/>
  <c r="M299" i="5"/>
  <c r="L299" i="5"/>
  <c r="K299" i="5"/>
  <c r="J299" i="5"/>
  <c r="I299" i="5"/>
  <c r="D299" i="5"/>
  <c r="M298" i="5"/>
  <c r="L298" i="5"/>
  <c r="K298" i="5"/>
  <c r="J298" i="5"/>
  <c r="I298" i="5"/>
  <c r="D298" i="5"/>
  <c r="M297" i="5"/>
  <c r="L297" i="5"/>
  <c r="K297" i="5"/>
  <c r="J297" i="5"/>
  <c r="I297" i="5"/>
  <c r="D297" i="5"/>
  <c r="M296" i="5"/>
  <c r="L296" i="5"/>
  <c r="K296" i="5"/>
  <c r="J296" i="5"/>
  <c r="I296" i="5"/>
  <c r="D296" i="5"/>
  <c r="M295" i="5"/>
  <c r="L295" i="5"/>
  <c r="K295" i="5"/>
  <c r="J295" i="5"/>
  <c r="I295" i="5"/>
  <c r="M294" i="5"/>
  <c r="L294" i="5"/>
  <c r="K294" i="5"/>
  <c r="J294" i="5"/>
  <c r="I294" i="5"/>
  <c r="M293" i="5"/>
  <c r="L293" i="5"/>
  <c r="K293" i="5"/>
  <c r="J293" i="5"/>
  <c r="I293" i="5"/>
  <c r="D293" i="5"/>
  <c r="M292" i="5"/>
  <c r="L292" i="5"/>
  <c r="K292" i="5"/>
  <c r="J292" i="5"/>
  <c r="I292" i="5"/>
  <c r="D292" i="5"/>
  <c r="M291" i="5"/>
  <c r="L291" i="5"/>
  <c r="K291" i="5"/>
  <c r="J291" i="5"/>
  <c r="I291" i="5"/>
  <c r="D291" i="5"/>
  <c r="M290" i="5"/>
  <c r="L290" i="5"/>
  <c r="K290" i="5"/>
  <c r="J290" i="5"/>
  <c r="I290" i="5"/>
  <c r="D290" i="5"/>
  <c r="M289" i="5"/>
  <c r="L289" i="5"/>
  <c r="K289" i="5"/>
  <c r="J289" i="5"/>
  <c r="I289" i="5"/>
  <c r="D289" i="5"/>
  <c r="M288" i="5"/>
  <c r="L288" i="5"/>
  <c r="K288" i="5"/>
  <c r="J288" i="5"/>
  <c r="I288" i="5"/>
  <c r="D288" i="5"/>
  <c r="M287" i="5"/>
  <c r="L287" i="5"/>
  <c r="K287" i="5"/>
  <c r="J287" i="5"/>
  <c r="I287" i="5"/>
  <c r="D287" i="5"/>
  <c r="M286" i="5"/>
  <c r="L286" i="5"/>
  <c r="K286" i="5"/>
  <c r="J286" i="5"/>
  <c r="I286" i="5"/>
  <c r="D286" i="5"/>
  <c r="M285" i="5"/>
  <c r="L285" i="5"/>
  <c r="K285" i="5"/>
  <c r="J285" i="5"/>
  <c r="I285" i="5"/>
  <c r="D285" i="5"/>
  <c r="M284" i="5"/>
  <c r="L284" i="5"/>
  <c r="K284" i="5"/>
  <c r="J284" i="5"/>
  <c r="I284" i="5"/>
  <c r="M283" i="5"/>
  <c r="L283" i="5"/>
  <c r="K283" i="5"/>
  <c r="J283" i="5"/>
  <c r="I283" i="5"/>
  <c r="M282" i="5"/>
  <c r="L282" i="5"/>
  <c r="K282" i="5"/>
  <c r="J282" i="5"/>
  <c r="I282" i="5"/>
  <c r="M281" i="5"/>
  <c r="L281" i="5"/>
  <c r="K281" i="5"/>
  <c r="J281" i="5"/>
  <c r="I281" i="5"/>
  <c r="M280" i="5"/>
  <c r="L280" i="5"/>
  <c r="K280" i="5"/>
  <c r="J280" i="5"/>
  <c r="I280" i="5"/>
  <c r="M279" i="5"/>
  <c r="L279" i="5"/>
  <c r="K279" i="5"/>
  <c r="J279" i="5"/>
  <c r="I279" i="5"/>
  <c r="M278" i="5"/>
  <c r="L278" i="5"/>
  <c r="K278" i="5"/>
  <c r="J278" i="5"/>
  <c r="I278" i="5"/>
  <c r="M277" i="5"/>
  <c r="L277" i="5"/>
  <c r="K277" i="5"/>
  <c r="J277" i="5"/>
  <c r="I277" i="5"/>
  <c r="M276" i="5"/>
  <c r="L276" i="5"/>
  <c r="K276" i="5"/>
  <c r="J276" i="5"/>
  <c r="I276" i="5"/>
  <c r="M275" i="5"/>
  <c r="L275" i="5"/>
  <c r="K275" i="5"/>
  <c r="J275" i="5"/>
  <c r="I275" i="5"/>
  <c r="B275" i="5"/>
  <c r="P275" i="5" s="1"/>
  <c r="M274" i="5"/>
  <c r="L274" i="5"/>
  <c r="K274" i="5"/>
  <c r="J274" i="5"/>
  <c r="I274" i="5"/>
  <c r="B274" i="5"/>
  <c r="P274" i="5" s="1"/>
  <c r="M273" i="5"/>
  <c r="L273" i="5"/>
  <c r="K273" i="5"/>
  <c r="J273" i="5"/>
  <c r="I273" i="5"/>
  <c r="D273" i="5"/>
  <c r="M272" i="5"/>
  <c r="L272" i="5"/>
  <c r="K272" i="5"/>
  <c r="J272" i="5"/>
  <c r="I272" i="5"/>
  <c r="M271" i="5"/>
  <c r="L271" i="5"/>
  <c r="K271" i="5"/>
  <c r="J271" i="5"/>
  <c r="I271" i="5"/>
  <c r="M270" i="5"/>
  <c r="L270" i="5"/>
  <c r="K270" i="5"/>
  <c r="J270" i="5"/>
  <c r="I270" i="5"/>
  <c r="D270" i="5"/>
  <c r="M269" i="5"/>
  <c r="L269" i="5"/>
  <c r="K269" i="5"/>
  <c r="J269" i="5"/>
  <c r="I269" i="5"/>
  <c r="D269" i="5"/>
  <c r="M268" i="5"/>
  <c r="L268" i="5"/>
  <c r="K268" i="5"/>
  <c r="J268" i="5"/>
  <c r="I268" i="5"/>
  <c r="M267" i="5"/>
  <c r="L267" i="5"/>
  <c r="K267" i="5"/>
  <c r="J267" i="5"/>
  <c r="I267" i="5"/>
  <c r="M266" i="5"/>
  <c r="L266" i="5"/>
  <c r="K266" i="5"/>
  <c r="J266" i="5"/>
  <c r="I266" i="5"/>
  <c r="M265" i="5"/>
  <c r="L265" i="5"/>
  <c r="K265" i="5"/>
  <c r="J265" i="5"/>
  <c r="I265" i="5"/>
  <c r="M264" i="5"/>
  <c r="L264" i="5"/>
  <c r="K264" i="5"/>
  <c r="J264" i="5"/>
  <c r="I264" i="5"/>
  <c r="M263" i="5"/>
  <c r="L263" i="5"/>
  <c r="K263" i="5"/>
  <c r="J263" i="5"/>
  <c r="I263" i="5"/>
  <c r="M262" i="5"/>
  <c r="L262" i="5"/>
  <c r="K262" i="5"/>
  <c r="J262" i="5"/>
  <c r="I262" i="5"/>
  <c r="M261" i="5"/>
  <c r="L261" i="5"/>
  <c r="K261" i="5"/>
  <c r="J261" i="5"/>
  <c r="I261" i="5"/>
  <c r="M260" i="5"/>
  <c r="L260" i="5"/>
  <c r="K260" i="5"/>
  <c r="J260" i="5"/>
  <c r="I260" i="5"/>
  <c r="M259" i="5"/>
  <c r="L259" i="5"/>
  <c r="K259" i="5"/>
  <c r="J259" i="5"/>
  <c r="I259" i="5"/>
  <c r="D259" i="5"/>
  <c r="M258" i="5"/>
  <c r="L258" i="5"/>
  <c r="K258" i="5"/>
  <c r="J258" i="5"/>
  <c r="I258" i="5"/>
  <c r="B258" i="5"/>
  <c r="M257" i="5"/>
  <c r="L257" i="5"/>
  <c r="K257" i="5"/>
  <c r="J257" i="5"/>
  <c r="I257" i="5"/>
  <c r="B257" i="5"/>
  <c r="M256" i="5"/>
  <c r="L256" i="5"/>
  <c r="K256" i="5"/>
  <c r="J256" i="5"/>
  <c r="I256" i="5"/>
  <c r="B256" i="5"/>
  <c r="M255" i="5"/>
  <c r="L255" i="5"/>
  <c r="K255" i="5"/>
  <c r="J255" i="5"/>
  <c r="I255" i="5"/>
  <c r="B255" i="5"/>
  <c r="M254" i="5"/>
  <c r="L254" i="5"/>
  <c r="K254" i="5"/>
  <c r="J254" i="5"/>
  <c r="I254" i="5"/>
  <c r="B254" i="5"/>
  <c r="M253" i="5"/>
  <c r="L253" i="5"/>
  <c r="K253" i="5"/>
  <c r="J253" i="5"/>
  <c r="I253" i="5"/>
  <c r="B253" i="5"/>
  <c r="M252" i="5"/>
  <c r="L252" i="5"/>
  <c r="K252" i="5"/>
  <c r="J252" i="5"/>
  <c r="I252" i="5"/>
  <c r="B252" i="5"/>
  <c r="M251" i="5"/>
  <c r="L251" i="5"/>
  <c r="K251" i="5"/>
  <c r="J251" i="5"/>
  <c r="I251" i="5"/>
  <c r="B251" i="5"/>
  <c r="M250" i="5"/>
  <c r="L250" i="5"/>
  <c r="K250" i="5"/>
  <c r="J250" i="5"/>
  <c r="I250" i="5"/>
  <c r="B250" i="5"/>
  <c r="M249" i="5"/>
  <c r="L249" i="5"/>
  <c r="K249" i="5"/>
  <c r="J249" i="5"/>
  <c r="I249" i="5"/>
  <c r="B249" i="5"/>
  <c r="M248" i="5"/>
  <c r="L248" i="5"/>
  <c r="K248" i="5"/>
  <c r="J248" i="5"/>
  <c r="I248" i="5"/>
  <c r="B248" i="5"/>
  <c r="M247" i="5"/>
  <c r="L247" i="5"/>
  <c r="K247" i="5"/>
  <c r="J247" i="5"/>
  <c r="I247" i="5"/>
  <c r="B247" i="5"/>
  <c r="M246" i="5"/>
  <c r="L246" i="5"/>
  <c r="K246" i="5"/>
  <c r="J246" i="5"/>
  <c r="I246" i="5"/>
  <c r="B246" i="5"/>
  <c r="M245" i="5"/>
  <c r="L245" i="5"/>
  <c r="K245" i="5"/>
  <c r="J245" i="5"/>
  <c r="I245" i="5"/>
  <c r="B245" i="5"/>
  <c r="M244" i="5"/>
  <c r="L244" i="5"/>
  <c r="K244" i="5"/>
  <c r="J244" i="5"/>
  <c r="I244" i="5"/>
  <c r="B244" i="5"/>
  <c r="M243" i="5"/>
  <c r="L243" i="5"/>
  <c r="K243" i="5"/>
  <c r="J243" i="5"/>
  <c r="I243" i="5"/>
  <c r="B243" i="5"/>
  <c r="M242" i="5"/>
  <c r="L242" i="5"/>
  <c r="K242" i="5"/>
  <c r="J242" i="5"/>
  <c r="I242" i="5"/>
  <c r="B242" i="5"/>
  <c r="M241" i="5"/>
  <c r="L241" i="5"/>
  <c r="K241" i="5"/>
  <c r="J241" i="5"/>
  <c r="I241" i="5"/>
  <c r="B241" i="5"/>
  <c r="M240" i="5"/>
  <c r="L240" i="5"/>
  <c r="K240" i="5"/>
  <c r="J240" i="5"/>
  <c r="I240" i="5"/>
  <c r="B240" i="5"/>
  <c r="M239" i="5"/>
  <c r="L239" i="5"/>
  <c r="K239" i="5"/>
  <c r="J239" i="5"/>
  <c r="I239" i="5"/>
  <c r="B239" i="5"/>
  <c r="M238" i="5"/>
  <c r="L238" i="5"/>
  <c r="K238" i="5"/>
  <c r="J238" i="5"/>
  <c r="I238" i="5"/>
  <c r="D238" i="5"/>
  <c r="M237" i="5"/>
  <c r="L237" i="5"/>
  <c r="K237" i="5"/>
  <c r="J237" i="5"/>
  <c r="I237" i="5"/>
  <c r="D237" i="5"/>
  <c r="M236" i="5"/>
  <c r="L236" i="5"/>
  <c r="K236" i="5"/>
  <c r="J236" i="5"/>
  <c r="I236" i="5"/>
  <c r="D236" i="5"/>
  <c r="M235" i="5"/>
  <c r="L235" i="5"/>
  <c r="K235" i="5"/>
  <c r="J235" i="5"/>
  <c r="I235" i="5"/>
  <c r="D235" i="5"/>
  <c r="M234" i="5"/>
  <c r="L234" i="5"/>
  <c r="K234" i="5"/>
  <c r="J234" i="5"/>
  <c r="I234" i="5"/>
  <c r="D234" i="5"/>
  <c r="M233" i="5"/>
  <c r="L233" i="5"/>
  <c r="K233" i="5"/>
  <c r="J233" i="5"/>
  <c r="I233" i="5"/>
  <c r="D233" i="5"/>
  <c r="M232" i="5"/>
  <c r="L232" i="5"/>
  <c r="K232" i="5"/>
  <c r="J232" i="5"/>
  <c r="I232" i="5"/>
  <c r="D232" i="5"/>
  <c r="M231" i="5"/>
  <c r="L231" i="5"/>
  <c r="K231" i="5"/>
  <c r="J231" i="5"/>
  <c r="I231" i="5"/>
  <c r="D231" i="5"/>
  <c r="M230" i="5"/>
  <c r="L230" i="5"/>
  <c r="K230" i="5"/>
  <c r="J230" i="5"/>
  <c r="I230" i="5"/>
  <c r="D230" i="5"/>
  <c r="M229" i="5"/>
  <c r="L229" i="5"/>
  <c r="K229" i="5"/>
  <c r="J229" i="5"/>
  <c r="I229" i="5"/>
  <c r="D229" i="5"/>
  <c r="M228" i="5"/>
  <c r="L228" i="5"/>
  <c r="K228" i="5"/>
  <c r="J228" i="5"/>
  <c r="I228" i="5"/>
  <c r="M227" i="5"/>
  <c r="L227" i="5"/>
  <c r="K227" i="5"/>
  <c r="J227" i="5"/>
  <c r="I227" i="5"/>
  <c r="M226" i="5"/>
  <c r="L226" i="5"/>
  <c r="K226" i="5"/>
  <c r="J226" i="5"/>
  <c r="I226" i="5"/>
  <c r="B226" i="5"/>
  <c r="P226" i="5" s="1"/>
  <c r="M225" i="5"/>
  <c r="L225" i="5"/>
  <c r="K225" i="5"/>
  <c r="J225" i="5"/>
  <c r="I225" i="5"/>
  <c r="M224" i="5"/>
  <c r="L224" i="5"/>
  <c r="K224" i="5"/>
  <c r="J224" i="5"/>
  <c r="I224" i="5"/>
  <c r="D224" i="5"/>
  <c r="M223" i="5"/>
  <c r="L223" i="5"/>
  <c r="K223" i="5"/>
  <c r="J223" i="5"/>
  <c r="I223" i="5"/>
  <c r="M222" i="5"/>
  <c r="L222" i="5"/>
  <c r="K222" i="5"/>
  <c r="J222" i="5"/>
  <c r="I222" i="5"/>
  <c r="M221" i="5"/>
  <c r="L221" i="5"/>
  <c r="K221" i="5"/>
  <c r="J221" i="5"/>
  <c r="I221" i="5"/>
  <c r="M220" i="5"/>
  <c r="L220" i="5"/>
  <c r="K220" i="5"/>
  <c r="J220" i="5"/>
  <c r="I220" i="5"/>
  <c r="M219" i="5"/>
  <c r="L219" i="5"/>
  <c r="K219" i="5"/>
  <c r="J219" i="5"/>
  <c r="I219" i="5"/>
  <c r="D219" i="5"/>
  <c r="M218" i="5"/>
  <c r="L218" i="5"/>
  <c r="K218" i="5"/>
  <c r="J218" i="5"/>
  <c r="I218" i="5"/>
  <c r="D218" i="5"/>
  <c r="M217" i="5"/>
  <c r="L217" i="5"/>
  <c r="K217" i="5"/>
  <c r="J217" i="5"/>
  <c r="I217" i="5"/>
  <c r="D217" i="5"/>
  <c r="M216" i="5"/>
  <c r="L216" i="5"/>
  <c r="K216" i="5"/>
  <c r="J216" i="5"/>
  <c r="I216" i="5"/>
  <c r="D216" i="5"/>
  <c r="M215" i="5"/>
  <c r="L215" i="5"/>
  <c r="K215" i="5"/>
  <c r="J215" i="5"/>
  <c r="I215" i="5"/>
  <c r="D215" i="5"/>
  <c r="M214" i="5"/>
  <c r="L214" i="5"/>
  <c r="K214" i="5"/>
  <c r="J214" i="5"/>
  <c r="I214" i="5"/>
  <c r="D214" i="5"/>
  <c r="M213" i="5"/>
  <c r="L213" i="5"/>
  <c r="K213" i="5"/>
  <c r="J213" i="5"/>
  <c r="I213" i="5"/>
  <c r="D213" i="5"/>
  <c r="M212" i="5"/>
  <c r="L212" i="5"/>
  <c r="K212" i="5"/>
  <c r="J212" i="5"/>
  <c r="I212" i="5"/>
  <c r="D212" i="5"/>
  <c r="B211" i="5"/>
  <c r="A211" i="5"/>
  <c r="M211" i="5" s="1"/>
  <c r="M210" i="5"/>
  <c r="L210" i="5"/>
  <c r="K210" i="5"/>
  <c r="J210" i="5"/>
  <c r="I210" i="5"/>
  <c r="D210" i="5"/>
  <c r="M209" i="5"/>
  <c r="L209" i="5"/>
  <c r="K209" i="5"/>
  <c r="J209" i="5"/>
  <c r="I209" i="5"/>
  <c r="D209" i="5"/>
  <c r="M208" i="5"/>
  <c r="L208" i="5"/>
  <c r="K208" i="5"/>
  <c r="J208" i="5"/>
  <c r="I208" i="5"/>
  <c r="D208" i="5"/>
  <c r="M207" i="5"/>
  <c r="L207" i="5"/>
  <c r="K207" i="5"/>
  <c r="J207" i="5"/>
  <c r="I207" i="5"/>
  <c r="D207" i="5"/>
  <c r="M206" i="5"/>
  <c r="L206" i="5"/>
  <c r="K206" i="5"/>
  <c r="J206" i="5"/>
  <c r="I206" i="5"/>
  <c r="D206" i="5"/>
  <c r="M205" i="5"/>
  <c r="L205" i="5"/>
  <c r="K205" i="5"/>
  <c r="J205" i="5"/>
  <c r="I205" i="5"/>
  <c r="D205" i="5"/>
  <c r="M204" i="5"/>
  <c r="L204" i="5"/>
  <c r="K204" i="5"/>
  <c r="J204" i="5"/>
  <c r="I204" i="5"/>
  <c r="D204" i="5"/>
  <c r="M203" i="5"/>
  <c r="L203" i="5"/>
  <c r="K203" i="5"/>
  <c r="J203" i="5"/>
  <c r="I203" i="5"/>
  <c r="D203" i="5"/>
  <c r="M202" i="5"/>
  <c r="L202" i="5"/>
  <c r="K202" i="5"/>
  <c r="J202" i="5"/>
  <c r="I202" i="5"/>
  <c r="D202" i="5"/>
  <c r="M201" i="5"/>
  <c r="L201" i="5"/>
  <c r="K201" i="5"/>
  <c r="J201" i="5"/>
  <c r="I201" i="5"/>
  <c r="D201" i="5"/>
  <c r="M200" i="5"/>
  <c r="L200" i="5"/>
  <c r="K200" i="5"/>
  <c r="J200" i="5"/>
  <c r="I200" i="5"/>
  <c r="B200" i="5"/>
  <c r="P200" i="5" s="1"/>
  <c r="M199" i="5"/>
  <c r="L199" i="5"/>
  <c r="K199" i="5"/>
  <c r="J199" i="5"/>
  <c r="I199" i="5"/>
  <c r="M198" i="5"/>
  <c r="L198" i="5"/>
  <c r="K198" i="5"/>
  <c r="J198" i="5"/>
  <c r="I198" i="5"/>
  <c r="B198" i="5"/>
  <c r="P198" i="5" s="1"/>
  <c r="M197" i="5"/>
  <c r="L197" i="5"/>
  <c r="K197" i="5"/>
  <c r="J197" i="5"/>
  <c r="I197" i="5"/>
  <c r="M196" i="5"/>
  <c r="L196" i="5"/>
  <c r="K196" i="5"/>
  <c r="J196" i="5"/>
  <c r="I196" i="5"/>
  <c r="M195" i="5"/>
  <c r="L195" i="5"/>
  <c r="K195" i="5"/>
  <c r="J195" i="5"/>
  <c r="I195" i="5"/>
  <c r="M194" i="5"/>
  <c r="L194" i="5"/>
  <c r="K194" i="5"/>
  <c r="J194" i="5"/>
  <c r="I194" i="5"/>
  <c r="M193" i="5"/>
  <c r="L193" i="5"/>
  <c r="K193" i="5"/>
  <c r="J193" i="5"/>
  <c r="I193" i="5"/>
  <c r="M192" i="5"/>
  <c r="L192" i="5"/>
  <c r="K192" i="5"/>
  <c r="J192" i="5"/>
  <c r="I192" i="5"/>
  <c r="M191" i="5"/>
  <c r="L191" i="5"/>
  <c r="K191" i="5"/>
  <c r="J191" i="5"/>
  <c r="I191" i="5"/>
  <c r="D191" i="5"/>
  <c r="M190" i="5"/>
  <c r="L190" i="5"/>
  <c r="K190" i="5"/>
  <c r="J190" i="5"/>
  <c r="I190" i="5"/>
  <c r="M189" i="5"/>
  <c r="L189" i="5"/>
  <c r="K189" i="5"/>
  <c r="J189" i="5"/>
  <c r="I189" i="5"/>
  <c r="M188" i="5"/>
  <c r="L188" i="5"/>
  <c r="K188" i="5"/>
  <c r="J188" i="5"/>
  <c r="I188" i="5"/>
  <c r="M187" i="5"/>
  <c r="L187" i="5"/>
  <c r="K187" i="5"/>
  <c r="J187" i="5"/>
  <c r="I187" i="5"/>
  <c r="M186" i="5"/>
  <c r="L186" i="5"/>
  <c r="K186" i="5"/>
  <c r="J186" i="5"/>
  <c r="I186" i="5"/>
  <c r="M185" i="5"/>
  <c r="L185" i="5"/>
  <c r="K185" i="5"/>
  <c r="J185" i="5"/>
  <c r="I185" i="5"/>
  <c r="M184" i="5"/>
  <c r="L184" i="5"/>
  <c r="K184" i="5"/>
  <c r="J184" i="5"/>
  <c r="I184" i="5"/>
  <c r="M183" i="5"/>
  <c r="L183" i="5"/>
  <c r="K183" i="5"/>
  <c r="J183" i="5"/>
  <c r="I183" i="5"/>
  <c r="M182" i="5"/>
  <c r="L182" i="5"/>
  <c r="K182" i="5"/>
  <c r="J182" i="5"/>
  <c r="I182" i="5"/>
  <c r="M181" i="5"/>
  <c r="L181" i="5"/>
  <c r="K181" i="5"/>
  <c r="J181" i="5"/>
  <c r="I181" i="5"/>
  <c r="B181" i="5"/>
  <c r="P181" i="5" s="1"/>
  <c r="M180" i="5"/>
  <c r="L180" i="5"/>
  <c r="K180" i="5"/>
  <c r="J180" i="5"/>
  <c r="I180" i="5"/>
  <c r="B180" i="5"/>
  <c r="P180" i="5" s="1"/>
  <c r="M179" i="5"/>
  <c r="L179" i="5"/>
  <c r="K179" i="5"/>
  <c r="J179" i="5"/>
  <c r="I179" i="5"/>
  <c r="M178" i="5"/>
  <c r="L178" i="5"/>
  <c r="K178" i="5"/>
  <c r="J178" i="5"/>
  <c r="I178" i="5"/>
  <c r="M177" i="5"/>
  <c r="L177" i="5"/>
  <c r="K177" i="5"/>
  <c r="J177" i="5"/>
  <c r="I177" i="5"/>
  <c r="B177" i="5"/>
  <c r="P177" i="5" s="1"/>
  <c r="M176" i="5"/>
  <c r="L176" i="5"/>
  <c r="K176" i="5"/>
  <c r="J176" i="5"/>
  <c r="I176" i="5"/>
  <c r="B176" i="5"/>
  <c r="P176" i="5" s="1"/>
  <c r="M175" i="5"/>
  <c r="L175" i="5"/>
  <c r="K175" i="5"/>
  <c r="J175" i="5"/>
  <c r="I175" i="5"/>
  <c r="M174" i="5"/>
  <c r="L174" i="5"/>
  <c r="K174" i="5"/>
  <c r="J174" i="5"/>
  <c r="I174" i="5"/>
  <c r="D174" i="5"/>
  <c r="M173" i="5"/>
  <c r="L173" i="5"/>
  <c r="K173" i="5"/>
  <c r="J173" i="5"/>
  <c r="I173" i="5"/>
  <c r="M172" i="5"/>
  <c r="L172" i="5"/>
  <c r="K172" i="5"/>
  <c r="J172" i="5"/>
  <c r="I172" i="5"/>
  <c r="M171" i="5"/>
  <c r="L171" i="5"/>
  <c r="K171" i="5"/>
  <c r="J171" i="5"/>
  <c r="I171" i="5"/>
  <c r="D171" i="5"/>
  <c r="M170" i="5"/>
  <c r="L170" i="5"/>
  <c r="K170" i="5"/>
  <c r="J170" i="5"/>
  <c r="I170" i="5"/>
  <c r="D170" i="5"/>
  <c r="M169" i="5"/>
  <c r="L169" i="5"/>
  <c r="K169" i="5"/>
  <c r="J169" i="5"/>
  <c r="I169" i="5"/>
  <c r="M168" i="5"/>
  <c r="L168" i="5"/>
  <c r="K168" i="5"/>
  <c r="J168" i="5"/>
  <c r="I168" i="5"/>
  <c r="M167" i="5"/>
  <c r="L167" i="5"/>
  <c r="K167" i="5"/>
  <c r="J167" i="5"/>
  <c r="I167" i="5"/>
  <c r="M166" i="5"/>
  <c r="L166" i="5"/>
  <c r="K166" i="5"/>
  <c r="J166" i="5"/>
  <c r="I166" i="5"/>
  <c r="M165" i="5"/>
  <c r="L165" i="5"/>
  <c r="K165" i="5"/>
  <c r="J165" i="5"/>
  <c r="I165" i="5"/>
  <c r="M164" i="5"/>
  <c r="L164" i="5"/>
  <c r="K164" i="5"/>
  <c r="J164" i="5"/>
  <c r="I164" i="5"/>
  <c r="M163" i="5"/>
  <c r="L163" i="5"/>
  <c r="K163" i="5"/>
  <c r="J163" i="5"/>
  <c r="I163" i="5"/>
  <c r="M162" i="5"/>
  <c r="L162" i="5"/>
  <c r="K162" i="5"/>
  <c r="J162" i="5"/>
  <c r="I162" i="5"/>
  <c r="M161" i="5"/>
  <c r="L161" i="5"/>
  <c r="K161" i="5"/>
  <c r="J161" i="5"/>
  <c r="I161" i="5"/>
  <c r="M160" i="5"/>
  <c r="L160" i="5"/>
  <c r="K160" i="5"/>
  <c r="J160" i="5"/>
  <c r="I160" i="5"/>
  <c r="M159" i="5"/>
  <c r="L159" i="5"/>
  <c r="K159" i="5"/>
  <c r="J159" i="5"/>
  <c r="I159" i="5"/>
  <c r="D159" i="5"/>
  <c r="M158" i="5"/>
  <c r="L158" i="5"/>
  <c r="K158" i="5"/>
  <c r="J158" i="5"/>
  <c r="I158" i="5"/>
  <c r="M157" i="5"/>
  <c r="L157" i="5"/>
  <c r="K157" i="5"/>
  <c r="J157" i="5"/>
  <c r="I157" i="5"/>
  <c r="M156" i="5"/>
  <c r="L156" i="5"/>
  <c r="K156" i="5"/>
  <c r="J156" i="5"/>
  <c r="I156" i="5"/>
  <c r="M155" i="5"/>
  <c r="L155" i="5"/>
  <c r="K155" i="5"/>
  <c r="J155" i="5"/>
  <c r="I155" i="5"/>
  <c r="M154" i="5"/>
  <c r="L154" i="5"/>
  <c r="K154" i="5"/>
  <c r="J154" i="5"/>
  <c r="I154" i="5"/>
  <c r="M153" i="5"/>
  <c r="L153" i="5"/>
  <c r="K153" i="5"/>
  <c r="J153" i="5"/>
  <c r="I153" i="5"/>
  <c r="M152" i="5"/>
  <c r="L152" i="5"/>
  <c r="K152" i="5"/>
  <c r="J152" i="5"/>
  <c r="I152" i="5"/>
  <c r="D152" i="5"/>
  <c r="M151" i="5"/>
  <c r="L151" i="5"/>
  <c r="K151" i="5"/>
  <c r="J151" i="5"/>
  <c r="I151" i="5"/>
  <c r="M150" i="5"/>
  <c r="L150" i="5"/>
  <c r="K150" i="5"/>
  <c r="J150" i="5"/>
  <c r="I150" i="5"/>
  <c r="D150" i="5"/>
  <c r="M149" i="5"/>
  <c r="L149" i="5"/>
  <c r="K149" i="5"/>
  <c r="J149" i="5"/>
  <c r="I149" i="5"/>
  <c r="D149" i="5"/>
  <c r="M148" i="5"/>
  <c r="L148" i="5"/>
  <c r="K148" i="5"/>
  <c r="J148" i="5"/>
  <c r="I148" i="5"/>
  <c r="M147" i="5"/>
  <c r="L147" i="5"/>
  <c r="K147" i="5"/>
  <c r="J147" i="5"/>
  <c r="I147" i="5"/>
  <c r="M146" i="5"/>
  <c r="L146" i="5"/>
  <c r="K146" i="5"/>
  <c r="J146" i="5"/>
  <c r="I146" i="5"/>
  <c r="M145" i="5"/>
  <c r="L145" i="5"/>
  <c r="K145" i="5"/>
  <c r="J145" i="5"/>
  <c r="I145" i="5"/>
  <c r="M144" i="5"/>
  <c r="L144" i="5"/>
  <c r="K144" i="5"/>
  <c r="J144" i="5"/>
  <c r="I144" i="5"/>
  <c r="M143" i="5"/>
  <c r="L143" i="5"/>
  <c r="K143" i="5"/>
  <c r="J143" i="5"/>
  <c r="I143" i="5"/>
  <c r="M142" i="5"/>
  <c r="L142" i="5"/>
  <c r="K142" i="5"/>
  <c r="J142" i="5"/>
  <c r="I142" i="5"/>
  <c r="M141" i="5"/>
  <c r="L141" i="5"/>
  <c r="K141" i="5"/>
  <c r="J141" i="5"/>
  <c r="I141" i="5"/>
  <c r="M140" i="5"/>
  <c r="L140" i="5"/>
  <c r="K140" i="5"/>
  <c r="J140" i="5"/>
  <c r="I140" i="5"/>
  <c r="M139" i="5"/>
  <c r="L139" i="5"/>
  <c r="K139" i="5"/>
  <c r="J139" i="5"/>
  <c r="I139" i="5"/>
  <c r="M138" i="5"/>
  <c r="L138" i="5"/>
  <c r="K138" i="5"/>
  <c r="J138" i="5"/>
  <c r="I138" i="5"/>
  <c r="M137" i="5"/>
  <c r="L137" i="5"/>
  <c r="K137" i="5"/>
  <c r="J137" i="5"/>
  <c r="I137" i="5"/>
  <c r="M136" i="5"/>
  <c r="L136" i="5"/>
  <c r="K136" i="5"/>
  <c r="J136" i="5"/>
  <c r="I136" i="5"/>
  <c r="M135" i="5"/>
  <c r="L135" i="5"/>
  <c r="K135" i="5"/>
  <c r="J135" i="5"/>
  <c r="I135" i="5"/>
  <c r="D135" i="5"/>
  <c r="M134" i="5"/>
  <c r="L134" i="5"/>
  <c r="K134" i="5"/>
  <c r="J134" i="5"/>
  <c r="I134" i="5"/>
  <c r="D134" i="5"/>
  <c r="M133" i="5"/>
  <c r="L133" i="5"/>
  <c r="K133" i="5"/>
  <c r="J133" i="5"/>
  <c r="I133" i="5"/>
  <c r="D133" i="5"/>
  <c r="M132" i="5"/>
  <c r="L132" i="5"/>
  <c r="K132" i="5"/>
  <c r="J132" i="5"/>
  <c r="I132" i="5"/>
  <c r="D132" i="5"/>
  <c r="M131" i="5"/>
  <c r="L131" i="5"/>
  <c r="K131" i="5"/>
  <c r="J131" i="5"/>
  <c r="I131" i="5"/>
  <c r="D131" i="5"/>
  <c r="M130" i="5"/>
  <c r="L130" i="5"/>
  <c r="K130" i="5"/>
  <c r="J130" i="5"/>
  <c r="I130" i="5"/>
  <c r="M129" i="5"/>
  <c r="L129" i="5"/>
  <c r="K129" i="5"/>
  <c r="J129" i="5"/>
  <c r="I129" i="5"/>
  <c r="D129" i="5"/>
  <c r="M128" i="5"/>
  <c r="L128" i="5"/>
  <c r="K128" i="5"/>
  <c r="J128" i="5"/>
  <c r="I128" i="5"/>
  <c r="B128" i="5"/>
  <c r="P128" i="5" s="1"/>
  <c r="M127" i="5"/>
  <c r="L127" i="5"/>
  <c r="K127" i="5"/>
  <c r="J127" i="5"/>
  <c r="I127" i="5"/>
  <c r="B127" i="5"/>
  <c r="P127" i="5" s="1"/>
  <c r="M126" i="5"/>
  <c r="L126" i="5"/>
  <c r="K126" i="5"/>
  <c r="J126" i="5"/>
  <c r="I126" i="5"/>
  <c r="M125" i="5"/>
  <c r="L125" i="5"/>
  <c r="K125" i="5"/>
  <c r="J125" i="5"/>
  <c r="I125" i="5"/>
  <c r="M124" i="5"/>
  <c r="L124" i="5"/>
  <c r="K124" i="5"/>
  <c r="J124" i="5"/>
  <c r="I124" i="5"/>
  <c r="M123" i="5"/>
  <c r="L123" i="5"/>
  <c r="K123" i="5"/>
  <c r="J123" i="5"/>
  <c r="I123" i="5"/>
  <c r="M122" i="5"/>
  <c r="L122" i="5"/>
  <c r="K122" i="5"/>
  <c r="J122" i="5"/>
  <c r="I122" i="5"/>
  <c r="B122" i="5"/>
  <c r="P122" i="5" s="1"/>
  <c r="M121" i="5"/>
  <c r="L121" i="5"/>
  <c r="K121" i="5"/>
  <c r="J121" i="5"/>
  <c r="I121" i="5"/>
  <c r="M120" i="5"/>
  <c r="L120" i="5"/>
  <c r="K120" i="5"/>
  <c r="J120" i="5"/>
  <c r="I120" i="5"/>
  <c r="M119" i="5"/>
  <c r="L119" i="5"/>
  <c r="K119" i="5"/>
  <c r="J119" i="5"/>
  <c r="I119" i="5"/>
  <c r="M118" i="5"/>
  <c r="L118" i="5"/>
  <c r="K118" i="5"/>
  <c r="J118" i="5"/>
  <c r="I118" i="5"/>
  <c r="M117" i="5"/>
  <c r="L117" i="5"/>
  <c r="K117" i="5"/>
  <c r="J117" i="5"/>
  <c r="I117" i="5"/>
  <c r="M116" i="5"/>
  <c r="L116" i="5"/>
  <c r="K116" i="5"/>
  <c r="J116" i="5"/>
  <c r="I116" i="5"/>
  <c r="M115" i="5"/>
  <c r="L115" i="5"/>
  <c r="K115" i="5"/>
  <c r="J115" i="5"/>
  <c r="I115" i="5"/>
  <c r="M114" i="5"/>
  <c r="L114" i="5"/>
  <c r="K114" i="5"/>
  <c r="J114" i="5"/>
  <c r="I114" i="5"/>
  <c r="M113" i="5"/>
  <c r="L113" i="5"/>
  <c r="K113" i="5"/>
  <c r="J113" i="5"/>
  <c r="I113" i="5"/>
  <c r="M112" i="5"/>
  <c r="L112" i="5"/>
  <c r="K112" i="5"/>
  <c r="J112" i="5"/>
  <c r="I112" i="5"/>
  <c r="B112" i="5"/>
  <c r="P112" i="5" s="1"/>
  <c r="M111" i="5"/>
  <c r="L111" i="5"/>
  <c r="K111" i="5"/>
  <c r="J111" i="5"/>
  <c r="I111" i="5"/>
  <c r="D111" i="5"/>
  <c r="M110" i="5"/>
  <c r="L110" i="5"/>
  <c r="K110" i="5"/>
  <c r="J110" i="5"/>
  <c r="I110" i="5"/>
  <c r="M109" i="5"/>
  <c r="L109" i="5"/>
  <c r="K109" i="5"/>
  <c r="J109" i="5"/>
  <c r="I109" i="5"/>
  <c r="M108" i="5"/>
  <c r="L108" i="5"/>
  <c r="K108" i="5"/>
  <c r="J108" i="5"/>
  <c r="I108" i="5"/>
  <c r="M107" i="5"/>
  <c r="L107" i="5"/>
  <c r="K107" i="5"/>
  <c r="J107" i="5"/>
  <c r="I107" i="5"/>
  <c r="M106" i="5"/>
  <c r="L106" i="5"/>
  <c r="K106" i="5"/>
  <c r="J106" i="5"/>
  <c r="I106" i="5"/>
  <c r="M105" i="5"/>
  <c r="L105" i="5"/>
  <c r="K105" i="5"/>
  <c r="J105" i="5"/>
  <c r="I105" i="5"/>
  <c r="M104" i="5"/>
  <c r="L104" i="5"/>
  <c r="K104" i="5"/>
  <c r="J104" i="5"/>
  <c r="I104" i="5"/>
  <c r="D104" i="5"/>
  <c r="B103" i="5"/>
  <c r="A103" i="5"/>
  <c r="L103" i="5" s="1"/>
  <c r="B102" i="5"/>
  <c r="A102" i="5"/>
  <c r="L102" i="5" s="1"/>
  <c r="B101" i="5"/>
  <c r="A101" i="5"/>
  <c r="L101" i="5" s="1"/>
  <c r="B100" i="5"/>
  <c r="A100" i="5"/>
  <c r="L100" i="5" s="1"/>
  <c r="B99" i="5"/>
  <c r="A99" i="5"/>
  <c r="L99" i="5" s="1"/>
  <c r="L98" i="5"/>
  <c r="B97" i="5"/>
  <c r="A97" i="5"/>
  <c r="L97" i="5" s="1"/>
  <c r="B96" i="5"/>
  <c r="A96" i="5"/>
  <c r="L96" i="5" s="1"/>
  <c r="B95" i="5"/>
  <c r="A95" i="5"/>
  <c r="L95" i="5" s="1"/>
  <c r="B94" i="5"/>
  <c r="A94" i="5"/>
  <c r="L94" i="5" s="1"/>
  <c r="B93" i="5"/>
  <c r="A93" i="5"/>
  <c r="J93" i="5" s="1"/>
  <c r="B92" i="5"/>
  <c r="A92" i="5"/>
  <c r="M92" i="5" s="1"/>
  <c r="M91" i="5"/>
  <c r="L91" i="5"/>
  <c r="K91" i="5"/>
  <c r="J91" i="5"/>
  <c r="I91" i="5"/>
  <c r="M90" i="5"/>
  <c r="L90" i="5"/>
  <c r="K90" i="5"/>
  <c r="J90" i="5"/>
  <c r="I90" i="5"/>
  <c r="D90" i="5"/>
  <c r="M89" i="5"/>
  <c r="L89" i="5"/>
  <c r="K89" i="5"/>
  <c r="J89" i="5"/>
  <c r="I89" i="5"/>
  <c r="D89" i="5"/>
  <c r="M88" i="5"/>
  <c r="L88" i="5"/>
  <c r="K88" i="5"/>
  <c r="J88" i="5"/>
  <c r="I88" i="5"/>
  <c r="D88" i="5"/>
  <c r="M87" i="5"/>
  <c r="L87" i="5"/>
  <c r="K87" i="5"/>
  <c r="J87" i="5"/>
  <c r="I87" i="5"/>
  <c r="D87" i="5"/>
  <c r="M86" i="5"/>
  <c r="L86" i="5"/>
  <c r="K86" i="5"/>
  <c r="J86" i="5"/>
  <c r="I86" i="5"/>
  <c r="D86" i="5"/>
  <c r="M85" i="5"/>
  <c r="L85" i="5"/>
  <c r="K85" i="5"/>
  <c r="J85" i="5"/>
  <c r="I85" i="5"/>
  <c r="D85" i="5"/>
  <c r="M84" i="5"/>
  <c r="L84" i="5"/>
  <c r="K84" i="5"/>
  <c r="J84" i="5"/>
  <c r="I84" i="5"/>
  <c r="D84" i="5"/>
  <c r="M83" i="5"/>
  <c r="L83" i="5"/>
  <c r="K83" i="5"/>
  <c r="J83" i="5"/>
  <c r="I83" i="5"/>
  <c r="D83" i="5"/>
  <c r="M82" i="5"/>
  <c r="L82" i="5"/>
  <c r="K82" i="5"/>
  <c r="J82" i="5"/>
  <c r="I82" i="5"/>
  <c r="D82" i="5"/>
  <c r="M81" i="5"/>
  <c r="L81" i="5"/>
  <c r="K81" i="5"/>
  <c r="J81" i="5"/>
  <c r="I81" i="5"/>
  <c r="D81" i="5"/>
  <c r="M80" i="5"/>
  <c r="L80" i="5"/>
  <c r="K80" i="5"/>
  <c r="J80" i="5"/>
  <c r="I80" i="5"/>
  <c r="M79" i="5"/>
  <c r="L79" i="5"/>
  <c r="K79" i="5"/>
  <c r="J79" i="5"/>
  <c r="I79" i="5"/>
  <c r="M78" i="5"/>
  <c r="L78" i="5"/>
  <c r="K78" i="5"/>
  <c r="J78" i="5"/>
  <c r="I78" i="5"/>
  <c r="M77" i="5"/>
  <c r="L77" i="5"/>
  <c r="K77" i="5"/>
  <c r="J77" i="5"/>
  <c r="I77" i="5"/>
  <c r="M76" i="5"/>
  <c r="L76" i="5"/>
  <c r="K76" i="5"/>
  <c r="J76" i="5"/>
  <c r="I76" i="5"/>
  <c r="M75" i="5"/>
  <c r="L75" i="5"/>
  <c r="K75" i="5"/>
  <c r="J75" i="5"/>
  <c r="I75" i="5"/>
  <c r="M74" i="5"/>
  <c r="L74" i="5"/>
  <c r="K74" i="5"/>
  <c r="J74" i="5"/>
  <c r="I74" i="5"/>
  <c r="B74" i="5"/>
  <c r="M73" i="5"/>
  <c r="L73" i="5"/>
  <c r="K73" i="5"/>
  <c r="J73" i="5"/>
  <c r="I73" i="5"/>
  <c r="M72" i="5"/>
  <c r="L72" i="5"/>
  <c r="K72" i="5"/>
  <c r="J72" i="5"/>
  <c r="I72" i="5"/>
  <c r="M71" i="5"/>
  <c r="L71" i="5"/>
  <c r="K71" i="5"/>
  <c r="J71" i="5"/>
  <c r="I71" i="5"/>
  <c r="M70" i="5"/>
  <c r="L70" i="5"/>
  <c r="K70" i="5"/>
  <c r="J70" i="5"/>
  <c r="I70" i="5"/>
  <c r="M69" i="5"/>
  <c r="L69" i="5"/>
  <c r="K69" i="5"/>
  <c r="J69" i="5"/>
  <c r="I69" i="5"/>
  <c r="B69" i="5"/>
  <c r="M68" i="5"/>
  <c r="L68" i="5"/>
  <c r="K68" i="5"/>
  <c r="J68" i="5"/>
  <c r="I68" i="5"/>
  <c r="M67" i="5"/>
  <c r="L67" i="5"/>
  <c r="K67" i="5"/>
  <c r="J67" i="5"/>
  <c r="I67" i="5"/>
  <c r="M66" i="5"/>
  <c r="L66" i="5"/>
  <c r="K66" i="5"/>
  <c r="J66" i="5"/>
  <c r="I66" i="5"/>
  <c r="M65" i="5"/>
  <c r="L65" i="5"/>
  <c r="K65" i="5"/>
  <c r="J65" i="5"/>
  <c r="I65" i="5"/>
  <c r="M64" i="5"/>
  <c r="L64" i="5"/>
  <c r="K64" i="5"/>
  <c r="J64" i="5"/>
  <c r="I64" i="5"/>
  <c r="G64" i="5"/>
  <c r="M63" i="5"/>
  <c r="L63" i="5"/>
  <c r="K63" i="5"/>
  <c r="J63" i="5"/>
  <c r="I63" i="5"/>
  <c r="M62" i="5"/>
  <c r="L62" i="5"/>
  <c r="K62" i="5"/>
  <c r="J62" i="5"/>
  <c r="I62" i="5"/>
  <c r="M61" i="5"/>
  <c r="L61" i="5"/>
  <c r="K61" i="5"/>
  <c r="J61" i="5"/>
  <c r="I61" i="5"/>
  <c r="M60" i="5"/>
  <c r="L60" i="5"/>
  <c r="K60" i="5"/>
  <c r="J60" i="5"/>
  <c r="I60" i="5"/>
  <c r="M59" i="5"/>
  <c r="L59" i="5"/>
  <c r="K59" i="5"/>
  <c r="J59" i="5"/>
  <c r="I59" i="5"/>
  <c r="M58" i="5"/>
  <c r="L58" i="5"/>
  <c r="K58" i="5"/>
  <c r="J58" i="5"/>
  <c r="I58" i="5"/>
  <c r="M57" i="5"/>
  <c r="L57" i="5"/>
  <c r="K57" i="5"/>
  <c r="J57" i="5"/>
  <c r="I57" i="5"/>
  <c r="M56" i="5"/>
  <c r="L56" i="5"/>
  <c r="K56" i="5"/>
  <c r="J56" i="5"/>
  <c r="I56" i="5"/>
  <c r="M55" i="5"/>
  <c r="L55" i="5"/>
  <c r="K55" i="5"/>
  <c r="J55" i="5"/>
  <c r="I55" i="5"/>
  <c r="D55" i="5"/>
  <c r="B55" i="5"/>
  <c r="P55" i="5" s="1"/>
  <c r="M54" i="5"/>
  <c r="L54" i="5"/>
  <c r="K54" i="5"/>
  <c r="J54" i="5"/>
  <c r="I54" i="5"/>
  <c r="D54" i="5"/>
  <c r="B54" i="5"/>
  <c r="P54" i="5" s="1"/>
  <c r="M53" i="5"/>
  <c r="L53" i="5"/>
  <c r="K53" i="5"/>
  <c r="J53" i="5"/>
  <c r="I53" i="5"/>
  <c r="D53" i="5"/>
  <c r="M52" i="5"/>
  <c r="L52" i="5"/>
  <c r="K52" i="5"/>
  <c r="J52" i="5"/>
  <c r="I52" i="5"/>
  <c r="B52" i="5"/>
  <c r="P52" i="5" s="1"/>
  <c r="M50" i="5"/>
  <c r="L50" i="5"/>
  <c r="K50" i="5"/>
  <c r="J50" i="5"/>
  <c r="I50" i="5"/>
  <c r="B50" i="5"/>
  <c r="P50" i="5" s="1"/>
  <c r="M49" i="5"/>
  <c r="L49" i="5"/>
  <c r="K49" i="5"/>
  <c r="J49" i="5"/>
  <c r="I49" i="5"/>
  <c r="B49" i="5"/>
  <c r="P49" i="5" s="1"/>
  <c r="M48" i="5"/>
  <c r="L48" i="5"/>
  <c r="K48" i="5"/>
  <c r="J48" i="5"/>
  <c r="I48" i="5"/>
  <c r="B48" i="5"/>
  <c r="P48" i="5" s="1"/>
  <c r="M47" i="5"/>
  <c r="L47" i="5"/>
  <c r="K47" i="5"/>
  <c r="J47" i="5"/>
  <c r="I47" i="5"/>
  <c r="B47" i="5"/>
  <c r="P47" i="5" s="1"/>
  <c r="M46" i="5"/>
  <c r="L46" i="5"/>
  <c r="K46" i="5"/>
  <c r="J46" i="5"/>
  <c r="I46" i="5"/>
  <c r="B46" i="5"/>
  <c r="P46" i="5" s="1"/>
  <c r="M45" i="5"/>
  <c r="L45" i="5"/>
  <c r="K45" i="5"/>
  <c r="J45" i="5"/>
  <c r="I45" i="5"/>
  <c r="B45" i="5"/>
  <c r="P45" i="5" s="1"/>
  <c r="M44" i="5"/>
  <c r="L44" i="5"/>
  <c r="K44" i="5"/>
  <c r="J44" i="5"/>
  <c r="I44" i="5"/>
  <c r="B44" i="5"/>
  <c r="P44" i="5" s="1"/>
  <c r="M43" i="5"/>
  <c r="L43" i="5"/>
  <c r="K43" i="5"/>
  <c r="J43" i="5"/>
  <c r="I43" i="5"/>
  <c r="B43" i="5"/>
  <c r="P43" i="5" s="1"/>
  <c r="M42" i="5"/>
  <c r="L42" i="5"/>
  <c r="K42" i="5"/>
  <c r="J42" i="5"/>
  <c r="I42" i="5"/>
  <c r="B42" i="5"/>
  <c r="P42" i="5" s="1"/>
  <c r="M41" i="5"/>
  <c r="L41" i="5"/>
  <c r="K41" i="5"/>
  <c r="J41" i="5"/>
  <c r="I41" i="5"/>
  <c r="B41" i="5"/>
  <c r="P41" i="5" s="1"/>
  <c r="M40" i="5"/>
  <c r="L40" i="5"/>
  <c r="K40" i="5"/>
  <c r="J40" i="5"/>
  <c r="I40" i="5"/>
  <c r="B40" i="5"/>
  <c r="P40" i="5" s="1"/>
  <c r="M39" i="5"/>
  <c r="L39" i="5"/>
  <c r="K39" i="5"/>
  <c r="J39" i="5"/>
  <c r="I39" i="5"/>
  <c r="B39" i="5"/>
  <c r="P39" i="5" s="1"/>
  <c r="M38" i="5"/>
  <c r="L38" i="5"/>
  <c r="K38" i="5"/>
  <c r="J38" i="5"/>
  <c r="I38" i="5"/>
  <c r="M37" i="5"/>
  <c r="L37" i="5"/>
  <c r="K37" i="5"/>
  <c r="J37" i="5"/>
  <c r="I37" i="5"/>
  <c r="B37" i="5"/>
  <c r="P37" i="5" s="1"/>
  <c r="M36" i="5"/>
  <c r="L36" i="5"/>
  <c r="K36" i="5"/>
  <c r="J36" i="5"/>
  <c r="I36" i="5"/>
  <c r="B36" i="5"/>
  <c r="P36" i="5" s="1"/>
  <c r="M35" i="5"/>
  <c r="L35" i="5"/>
  <c r="K35" i="5"/>
  <c r="J35" i="5"/>
  <c r="I35" i="5"/>
  <c r="B35" i="5"/>
  <c r="P35" i="5" s="1"/>
  <c r="M34" i="5"/>
  <c r="L34" i="5"/>
  <c r="K34" i="5"/>
  <c r="J34" i="5"/>
  <c r="I34" i="5"/>
  <c r="B34" i="5"/>
  <c r="P34" i="5" s="1"/>
  <c r="M32" i="5"/>
  <c r="L32" i="5"/>
  <c r="K32" i="5"/>
  <c r="J32" i="5"/>
  <c r="I32" i="5"/>
  <c r="B32" i="5"/>
  <c r="P32" i="5" s="1"/>
  <c r="M31" i="5"/>
  <c r="L31" i="5"/>
  <c r="K31" i="5"/>
  <c r="J31" i="5"/>
  <c r="I31" i="5"/>
  <c r="B31" i="5"/>
  <c r="P31" i="5" s="1"/>
  <c r="M30" i="5"/>
  <c r="L30" i="5"/>
  <c r="K30" i="5"/>
  <c r="J30" i="5"/>
  <c r="I30" i="5"/>
  <c r="B30" i="5"/>
  <c r="P30" i="5" s="1"/>
  <c r="M29" i="5"/>
  <c r="L29" i="5"/>
  <c r="K29" i="5"/>
  <c r="J29" i="5"/>
  <c r="I29" i="5"/>
  <c r="B29" i="5"/>
  <c r="P29" i="5" s="1"/>
  <c r="M28" i="5"/>
  <c r="L28" i="5"/>
  <c r="K28" i="5"/>
  <c r="J28" i="5"/>
  <c r="I28" i="5"/>
  <c r="B28" i="5"/>
  <c r="P28" i="5" s="1"/>
  <c r="M27" i="5"/>
  <c r="L27" i="5"/>
  <c r="K27" i="5"/>
  <c r="J27" i="5"/>
  <c r="I27" i="5"/>
  <c r="B27" i="5"/>
  <c r="P27" i="5" s="1"/>
  <c r="M26" i="5"/>
  <c r="L26" i="5"/>
  <c r="K26" i="5"/>
  <c r="J26" i="5"/>
  <c r="I26" i="5"/>
  <c r="B26" i="5"/>
  <c r="P26" i="5" s="1"/>
  <c r="M24" i="5"/>
  <c r="L24" i="5"/>
  <c r="K24" i="5"/>
  <c r="J24" i="5"/>
  <c r="I24" i="5"/>
  <c r="B24" i="5"/>
  <c r="P24" i="5" s="1"/>
  <c r="M20" i="5"/>
  <c r="L20" i="5"/>
  <c r="K20" i="5"/>
  <c r="J20" i="5"/>
  <c r="I20" i="5"/>
  <c r="B20" i="5"/>
  <c r="P20" i="5" s="1"/>
  <c r="M21" i="5"/>
  <c r="L21" i="5"/>
  <c r="K21" i="5"/>
  <c r="J21" i="5"/>
  <c r="I21" i="5"/>
  <c r="B21" i="5"/>
  <c r="P21" i="5" s="1"/>
  <c r="M23" i="5"/>
  <c r="L23" i="5"/>
  <c r="K23" i="5"/>
  <c r="J23" i="5"/>
  <c r="I23" i="5"/>
  <c r="B23" i="5"/>
  <c r="P23" i="5" s="1"/>
  <c r="M22" i="5"/>
  <c r="L22" i="5"/>
  <c r="K22" i="5"/>
  <c r="J22" i="5"/>
  <c r="I22" i="5"/>
  <c r="B22" i="5"/>
  <c r="P22" i="5" s="1"/>
  <c r="M19" i="5"/>
  <c r="L19" i="5"/>
  <c r="K19" i="5"/>
  <c r="J19" i="5"/>
  <c r="I19" i="5"/>
  <c r="B19" i="5"/>
  <c r="P19" i="5" s="1"/>
  <c r="M18" i="5"/>
  <c r="L18" i="5"/>
  <c r="K18" i="5"/>
  <c r="J18" i="5"/>
  <c r="I18" i="5"/>
  <c r="B18" i="5"/>
  <c r="P18" i="5" s="1"/>
  <c r="M17" i="5"/>
  <c r="L17" i="5"/>
  <c r="K17" i="5"/>
  <c r="J17" i="5"/>
  <c r="I17" i="5"/>
  <c r="B17" i="5"/>
  <c r="P17" i="5" s="1"/>
  <c r="M16" i="5"/>
  <c r="L16" i="5"/>
  <c r="K16" i="5"/>
  <c r="J16" i="5"/>
  <c r="I16" i="5"/>
  <c r="B16" i="5"/>
  <c r="P16" i="5" s="1"/>
  <c r="M15" i="5"/>
  <c r="L15" i="5"/>
  <c r="K15" i="5"/>
  <c r="J15" i="5"/>
  <c r="I15" i="5"/>
  <c r="B15" i="5"/>
  <c r="P15" i="5" s="1"/>
  <c r="M14" i="5"/>
  <c r="L14" i="5"/>
  <c r="K14" i="5"/>
  <c r="J14" i="5"/>
  <c r="I14" i="5"/>
  <c r="B14" i="5"/>
  <c r="P14" i="5" s="1"/>
  <c r="M13" i="5"/>
  <c r="L13" i="5"/>
  <c r="K13" i="5"/>
  <c r="J13" i="5"/>
  <c r="I13" i="5"/>
  <c r="B13" i="5"/>
  <c r="P13" i="5" s="1"/>
  <c r="M12" i="5"/>
  <c r="L12" i="5"/>
  <c r="K12" i="5"/>
  <c r="J12" i="5"/>
  <c r="I12" i="5"/>
  <c r="B12" i="5"/>
  <c r="P12" i="5" s="1"/>
  <c r="M11" i="5"/>
  <c r="L11" i="5"/>
  <c r="K11" i="5"/>
  <c r="J11" i="5"/>
  <c r="I11" i="5"/>
  <c r="B11" i="5"/>
  <c r="P11" i="5" s="1"/>
  <c r="M10" i="5"/>
  <c r="L10" i="5"/>
  <c r="K10" i="5"/>
  <c r="J10" i="5"/>
  <c r="I10" i="5"/>
  <c r="B10" i="5"/>
  <c r="P10" i="5" s="1"/>
  <c r="M9" i="5"/>
  <c r="L9" i="5"/>
  <c r="K9" i="5"/>
  <c r="J9" i="5"/>
  <c r="I9" i="5"/>
  <c r="B9" i="5"/>
  <c r="P9" i="5" s="1"/>
  <c r="M8" i="5"/>
  <c r="L8" i="5"/>
  <c r="K8" i="5"/>
  <c r="J8" i="5"/>
  <c r="I8" i="5"/>
  <c r="M7" i="5"/>
  <c r="L7" i="5"/>
  <c r="K7" i="5"/>
  <c r="J7" i="5"/>
  <c r="I7" i="5"/>
  <c r="D7" i="5"/>
  <c r="B7" i="5"/>
  <c r="P7" i="5" s="1"/>
  <c r="M6" i="5"/>
  <c r="L6" i="5"/>
  <c r="K6" i="5"/>
  <c r="J6" i="5"/>
  <c r="I6" i="5"/>
  <c r="M5" i="5"/>
  <c r="L5" i="5"/>
  <c r="K5" i="5"/>
  <c r="J5" i="5"/>
  <c r="I5" i="5"/>
  <c r="D5" i="5"/>
  <c r="M4" i="5"/>
  <c r="L4" i="5"/>
  <c r="K4" i="5"/>
  <c r="J4" i="5"/>
  <c r="I4" i="5"/>
  <c r="D4" i="5"/>
  <c r="M3" i="5"/>
  <c r="L3" i="5"/>
  <c r="K3" i="5"/>
  <c r="J3" i="5"/>
  <c r="I3" i="5"/>
  <c r="B3" i="5"/>
  <c r="P3" i="5" s="1"/>
  <c r="M2" i="5"/>
  <c r="L2" i="5"/>
  <c r="K2" i="5"/>
  <c r="J2" i="5"/>
  <c r="I2" i="5"/>
  <c r="AU1072" i="4"/>
  <c r="AS1072" i="4"/>
  <c r="AQ1072" i="4"/>
  <c r="AM1072" i="4"/>
  <c r="AI1072" i="4"/>
  <c r="AE1072" i="4"/>
  <c r="I1072" i="4"/>
  <c r="C1072" i="4"/>
  <c r="AU1071" i="4"/>
  <c r="AS1071" i="4"/>
  <c r="AQ1071" i="4"/>
  <c r="AM1071" i="4"/>
  <c r="AI1071" i="4"/>
  <c r="AE1071" i="4"/>
  <c r="I1071" i="4"/>
  <c r="C1071" i="4"/>
  <c r="AU1070" i="4"/>
  <c r="AS1070" i="4"/>
  <c r="AQ1070" i="4"/>
  <c r="AM1070" i="4"/>
  <c r="AI1070" i="4"/>
  <c r="AE1070" i="4"/>
  <c r="I1070" i="4"/>
  <c r="C1070" i="4"/>
  <c r="AU1069" i="4"/>
  <c r="AS1069" i="4"/>
  <c r="AQ1069" i="4"/>
  <c r="AM1069" i="4"/>
  <c r="AI1069" i="4"/>
  <c r="AE1069" i="4"/>
  <c r="I1069" i="4"/>
  <c r="C1069" i="4"/>
  <c r="AU1068" i="4"/>
  <c r="AS1068" i="4"/>
  <c r="AQ1068" i="4"/>
  <c r="AM1068" i="4"/>
  <c r="AI1068" i="4"/>
  <c r="AE1068" i="4"/>
  <c r="I1068" i="4"/>
  <c r="C1068" i="4"/>
  <c r="AU1067" i="4"/>
  <c r="AS1067" i="4"/>
  <c r="AQ1067" i="4"/>
  <c r="AM1067" i="4"/>
  <c r="AI1067" i="4"/>
  <c r="AE1067" i="4"/>
  <c r="I1067" i="4"/>
  <c r="C1067" i="4"/>
  <c r="AU1066" i="4"/>
  <c r="AS1066" i="4"/>
  <c r="AQ1066" i="4"/>
  <c r="AM1066" i="4"/>
  <c r="AI1066" i="4"/>
  <c r="AE1066" i="4"/>
  <c r="I1066" i="4"/>
  <c r="C1066" i="4"/>
  <c r="AU1065" i="4"/>
  <c r="AS1065" i="4"/>
  <c r="AQ1065" i="4"/>
  <c r="AM1065" i="4"/>
  <c r="AI1065" i="4"/>
  <c r="AE1065" i="4"/>
  <c r="I1065" i="4"/>
  <c r="C1065" i="4"/>
  <c r="AU1064" i="4"/>
  <c r="AS1064" i="4"/>
  <c r="AQ1064" i="4"/>
  <c r="AM1064" i="4"/>
  <c r="AI1064" i="4"/>
  <c r="AE1064" i="4"/>
  <c r="C1064" i="4"/>
  <c r="AU1063" i="4"/>
  <c r="AS1063" i="4"/>
  <c r="AQ1063" i="4"/>
  <c r="AM1063" i="4"/>
  <c r="AI1063" i="4"/>
  <c r="AE1063" i="4"/>
  <c r="I1063" i="4"/>
  <c r="C1063" i="4"/>
  <c r="AU1062" i="4"/>
  <c r="AS1062" i="4"/>
  <c r="AQ1062" i="4"/>
  <c r="AM1062" i="4"/>
  <c r="AI1062" i="4"/>
  <c r="C1062" i="4"/>
  <c r="AU1061" i="4"/>
  <c r="AS1061" i="4"/>
  <c r="AQ1061" i="4"/>
  <c r="AM1061" i="4"/>
  <c r="AI1061" i="4"/>
  <c r="AE1061" i="4"/>
  <c r="I1061" i="4"/>
  <c r="C1061" i="4"/>
  <c r="AU1060" i="4"/>
  <c r="AS1060" i="4"/>
  <c r="AQ1060" i="4"/>
  <c r="AM1060" i="4"/>
  <c r="AI1060" i="4"/>
  <c r="AE1060" i="4"/>
  <c r="I1060" i="4"/>
  <c r="C1060" i="4"/>
  <c r="AU1059" i="4"/>
  <c r="AS1059" i="4"/>
  <c r="AQ1059" i="4"/>
  <c r="AM1059" i="4"/>
  <c r="AI1059" i="4"/>
  <c r="AE1059" i="4"/>
  <c r="I1059" i="4"/>
  <c r="C1059" i="4"/>
  <c r="AU1058" i="4"/>
  <c r="AS1058" i="4"/>
  <c r="AQ1058" i="4"/>
  <c r="AM1058" i="4"/>
  <c r="AI1058" i="4"/>
  <c r="AE1058" i="4"/>
  <c r="I1058" i="4"/>
  <c r="C1058" i="4"/>
  <c r="AU1057" i="4"/>
  <c r="AS1057" i="4"/>
  <c r="AQ1057" i="4"/>
  <c r="AM1057" i="4"/>
  <c r="AI1057" i="4"/>
  <c r="AE1057" i="4"/>
  <c r="I1057" i="4"/>
  <c r="C1057" i="4"/>
  <c r="AU1056" i="4"/>
  <c r="AS1056" i="4"/>
  <c r="AQ1056" i="4"/>
  <c r="AM1056" i="4"/>
  <c r="AI1056" i="4"/>
  <c r="AE1056" i="4"/>
  <c r="I1056" i="4"/>
  <c r="C1056" i="4"/>
  <c r="AU1055" i="4"/>
  <c r="AS1055" i="4"/>
  <c r="AQ1055" i="4"/>
  <c r="AM1055" i="4"/>
  <c r="AI1055" i="4"/>
  <c r="AE1055" i="4"/>
  <c r="I1055" i="4"/>
  <c r="C1055" i="4"/>
  <c r="AU1054" i="4"/>
  <c r="AS1054" i="4"/>
  <c r="AQ1054" i="4"/>
  <c r="AM1054" i="4"/>
  <c r="C1054" i="4"/>
  <c r="AU1053" i="4"/>
  <c r="AS1053" i="4"/>
  <c r="AQ1053" i="4"/>
  <c r="AM1053" i="4"/>
  <c r="AI1053" i="4"/>
  <c r="AE1053" i="4"/>
  <c r="C1053" i="4"/>
  <c r="AU1052" i="4"/>
  <c r="AS1052" i="4"/>
  <c r="AQ1052" i="4"/>
  <c r="AM1052" i="4"/>
  <c r="AI1052" i="4"/>
  <c r="AE1052" i="4"/>
  <c r="C1052" i="4"/>
  <c r="AU1051" i="4"/>
  <c r="AS1051" i="4"/>
  <c r="AQ1051" i="4"/>
  <c r="AU1050" i="4"/>
  <c r="AS1050" i="4"/>
  <c r="AQ1050" i="4"/>
  <c r="AM1050" i="4"/>
  <c r="AI1050" i="4"/>
  <c r="AU1049" i="4"/>
  <c r="AS1049" i="4"/>
  <c r="AQ1049" i="4"/>
  <c r="AM1049" i="4"/>
  <c r="AI1049" i="4"/>
  <c r="AE1049" i="4"/>
  <c r="AU1048" i="4"/>
  <c r="AS1048" i="4"/>
  <c r="AQ1048" i="4"/>
  <c r="AM1048" i="4"/>
  <c r="AI1048" i="4"/>
  <c r="AE1048" i="4"/>
  <c r="AU1047" i="4"/>
  <c r="AS1047" i="4"/>
  <c r="AQ1047" i="4"/>
  <c r="AM1047" i="4"/>
  <c r="AU1046" i="4"/>
  <c r="AS1046" i="4"/>
  <c r="AQ1046" i="4"/>
  <c r="AM1046" i="4"/>
  <c r="AU1044" i="4"/>
  <c r="AS1044" i="4"/>
  <c r="AQ1044" i="4"/>
  <c r="AM1044" i="4"/>
  <c r="AU1042" i="4"/>
  <c r="AS1042" i="4"/>
  <c r="AQ1042" i="4"/>
  <c r="AM1042" i="4"/>
  <c r="AI1042" i="4"/>
  <c r="AU1043" i="4"/>
  <c r="AS1043" i="4"/>
  <c r="AQ1043" i="4"/>
  <c r="AM1043" i="4"/>
  <c r="AI1043" i="4"/>
  <c r="AE1043" i="4"/>
  <c r="AU1041" i="4"/>
  <c r="AS1041" i="4"/>
  <c r="AQ1041" i="4"/>
  <c r="AM1041" i="4"/>
  <c r="AI1041" i="4"/>
  <c r="AE1041" i="4"/>
  <c r="AU1040" i="4"/>
  <c r="AS1040" i="4"/>
  <c r="AQ1040" i="4"/>
  <c r="AM1040" i="4"/>
  <c r="AI1040" i="4"/>
  <c r="AE1040" i="4"/>
  <c r="AS1039" i="4"/>
  <c r="AQ1039" i="4"/>
  <c r="AM1039" i="4"/>
  <c r="AI1039" i="4"/>
  <c r="AE1039" i="4"/>
  <c r="AU1035" i="4"/>
  <c r="AS1035" i="4"/>
  <c r="AQ1035" i="4"/>
  <c r="AM1035" i="4"/>
  <c r="AI1035" i="4"/>
  <c r="AE1035" i="4"/>
  <c r="AU1034" i="4"/>
  <c r="AS1034" i="4"/>
  <c r="AQ1034" i="4"/>
  <c r="AM1034" i="4"/>
  <c r="AI1034" i="4"/>
  <c r="AE1034" i="4"/>
  <c r="AU1029" i="4"/>
  <c r="AS1029" i="4"/>
  <c r="AQ1029" i="4"/>
  <c r="AM1029" i="4"/>
  <c r="AI1029" i="4"/>
  <c r="AE1029" i="4"/>
  <c r="AU1028" i="4"/>
  <c r="AS1028" i="4"/>
  <c r="AQ1028" i="4"/>
  <c r="AM1028" i="4"/>
  <c r="AI1028" i="4"/>
  <c r="AE1028" i="4"/>
  <c r="AU1025" i="4"/>
  <c r="AS1025" i="4"/>
  <c r="AQ1025" i="4"/>
  <c r="AM1025" i="4"/>
  <c r="AI1025" i="4"/>
  <c r="AE1025" i="4"/>
  <c r="AU1024" i="4"/>
  <c r="AS1024" i="4"/>
  <c r="AQ1024" i="4"/>
  <c r="AM1024" i="4"/>
  <c r="AI1024" i="4"/>
  <c r="AE1024" i="4"/>
  <c r="I1024" i="4"/>
  <c r="C1024" i="4"/>
  <c r="AU1023" i="4"/>
  <c r="AS1023" i="4"/>
  <c r="AQ1023" i="4"/>
  <c r="AM1023" i="4"/>
  <c r="AI1023" i="4"/>
  <c r="AE1023" i="4"/>
  <c r="I1023" i="4"/>
  <c r="C1023" i="4"/>
  <c r="AU1022" i="4"/>
  <c r="AS1022" i="4"/>
  <c r="AQ1022" i="4"/>
  <c r="AM1022" i="4"/>
  <c r="AI1022" i="4"/>
  <c r="AE1022" i="4"/>
  <c r="I1022" i="4"/>
  <c r="C1022" i="4"/>
  <c r="AU1021" i="4"/>
  <c r="AS1021" i="4"/>
  <c r="AQ1021" i="4"/>
  <c r="AM1021" i="4"/>
  <c r="AI1021" i="4"/>
  <c r="AE1021" i="4"/>
  <c r="I1021" i="4"/>
  <c r="C1021" i="4"/>
  <c r="AU1020" i="4"/>
  <c r="AS1020" i="4"/>
  <c r="AQ1020" i="4"/>
  <c r="AM1020" i="4"/>
  <c r="AI1020" i="4"/>
  <c r="AE1020" i="4"/>
  <c r="I1020" i="4"/>
  <c r="C1020" i="4"/>
  <c r="AU1019" i="4"/>
  <c r="AS1019" i="4"/>
  <c r="AQ1019" i="4"/>
  <c r="AM1019" i="4"/>
  <c r="AI1019" i="4"/>
  <c r="AE1019" i="4"/>
  <c r="I1019" i="4"/>
  <c r="C1019" i="4"/>
  <c r="AU1018" i="4"/>
  <c r="AS1018" i="4"/>
  <c r="AQ1018" i="4"/>
  <c r="AM1018" i="4"/>
  <c r="AI1018" i="4"/>
  <c r="AE1018" i="4"/>
  <c r="I1018" i="4"/>
  <c r="C1018" i="4"/>
  <c r="AU1017" i="4"/>
  <c r="AS1017" i="4"/>
  <c r="AQ1017" i="4"/>
  <c r="AM1017" i="4"/>
  <c r="AI1017" i="4"/>
  <c r="AE1017" i="4"/>
  <c r="I1017" i="4"/>
  <c r="C1017" i="4"/>
  <c r="AU1016" i="4"/>
  <c r="AS1016" i="4"/>
  <c r="AQ1016" i="4"/>
  <c r="AM1016" i="4"/>
  <c r="AI1016" i="4"/>
  <c r="AE1016" i="4"/>
  <c r="I1016" i="4"/>
  <c r="C1016" i="4"/>
  <c r="AU1015" i="4"/>
  <c r="AS1015" i="4"/>
  <c r="AQ1015" i="4"/>
  <c r="AM1015" i="4"/>
  <c r="AI1015" i="4"/>
  <c r="AE1015" i="4"/>
  <c r="I1015" i="4"/>
  <c r="C1015" i="4"/>
  <c r="AU1014" i="4"/>
  <c r="AS1014" i="4"/>
  <c r="AQ1014" i="4"/>
  <c r="AM1014" i="4"/>
  <c r="AI1014" i="4"/>
  <c r="AE1014" i="4"/>
  <c r="I1014" i="4"/>
  <c r="C1014" i="4"/>
  <c r="AU1013" i="4"/>
  <c r="AS1013" i="4"/>
  <c r="AQ1013" i="4"/>
  <c r="AM1013" i="4"/>
  <c r="AI1013" i="4"/>
  <c r="AE1013" i="4"/>
  <c r="I1013" i="4"/>
  <c r="C1013" i="4"/>
  <c r="AU1012" i="4"/>
  <c r="AS1012" i="4"/>
  <c r="AQ1012" i="4"/>
  <c r="AM1012" i="4"/>
  <c r="C1012" i="4"/>
  <c r="AU1011" i="4"/>
  <c r="AS1011" i="4"/>
  <c r="AQ1011" i="4"/>
  <c r="AM1011" i="4"/>
  <c r="AI1011" i="4"/>
  <c r="AE1011" i="4"/>
  <c r="I1011" i="4"/>
  <c r="C1011" i="4"/>
  <c r="AU1010" i="4"/>
  <c r="AS1010" i="4"/>
  <c r="AQ1010" i="4"/>
  <c r="AM1010" i="4"/>
  <c r="AI1010" i="4"/>
  <c r="AE1010" i="4"/>
  <c r="I1010" i="4"/>
  <c r="C1010" i="4"/>
  <c r="AU1008" i="4"/>
  <c r="AS1008" i="4"/>
  <c r="AQ1008" i="4"/>
  <c r="AM1008" i="4"/>
  <c r="AI1008" i="4"/>
  <c r="AE1008" i="4"/>
  <c r="I1008" i="4"/>
  <c r="C1008" i="4"/>
  <c r="AU1007" i="4"/>
  <c r="AS1007" i="4"/>
  <c r="AQ1007" i="4"/>
  <c r="AM1007" i="4"/>
  <c r="AI1007" i="4"/>
  <c r="AE1007" i="4"/>
  <c r="I1007" i="4"/>
  <c r="C1007" i="4"/>
  <c r="AU1006" i="4"/>
  <c r="AS1006" i="4"/>
  <c r="AQ1006" i="4"/>
  <c r="AM1006" i="4"/>
  <c r="AI1006" i="4"/>
  <c r="AE1006" i="4"/>
  <c r="I1006" i="4"/>
  <c r="C1006" i="4"/>
  <c r="AU1005" i="4"/>
  <c r="AS1005" i="4"/>
  <c r="AQ1005" i="4"/>
  <c r="AM1005" i="4"/>
  <c r="AI1005" i="4"/>
  <c r="AE1005" i="4"/>
  <c r="I1005" i="4"/>
  <c r="C1005" i="4"/>
  <c r="AU1004" i="4"/>
  <c r="AS1004" i="4"/>
  <c r="AQ1004" i="4"/>
  <c r="AM1004" i="4"/>
  <c r="C1004" i="4"/>
  <c r="AU1003" i="4"/>
  <c r="AS1003" i="4"/>
  <c r="AQ1003" i="4"/>
  <c r="AM1003" i="4"/>
  <c r="AI1003" i="4"/>
  <c r="AE1003" i="4"/>
  <c r="I1003" i="4"/>
  <c r="C1003" i="4"/>
  <c r="AU1002" i="4"/>
  <c r="AS1002" i="4"/>
  <c r="AQ1002" i="4"/>
  <c r="AM1002" i="4"/>
  <c r="AI1002" i="4"/>
  <c r="AE1002" i="4"/>
  <c r="I1002" i="4"/>
  <c r="C1002" i="4"/>
  <c r="AU1000" i="4"/>
  <c r="AS1000" i="4"/>
  <c r="AQ1000" i="4"/>
  <c r="AM1000" i="4"/>
  <c r="AI1000" i="4"/>
  <c r="AE1000" i="4"/>
  <c r="I1000" i="4"/>
  <c r="C1000" i="4"/>
  <c r="AU999" i="4"/>
  <c r="AS999" i="4"/>
  <c r="AQ999" i="4"/>
  <c r="AM999" i="4"/>
  <c r="AI999" i="4"/>
  <c r="AE999" i="4"/>
  <c r="I999" i="4"/>
  <c r="C999" i="4"/>
  <c r="AU998" i="4"/>
  <c r="AS998" i="4"/>
  <c r="AQ998" i="4"/>
  <c r="AM998" i="4"/>
  <c r="C998" i="4"/>
  <c r="AU997" i="4"/>
  <c r="AS997" i="4"/>
  <c r="AQ997" i="4"/>
  <c r="AM997" i="4"/>
  <c r="AI997" i="4"/>
  <c r="AE997" i="4"/>
  <c r="C997" i="4"/>
  <c r="AU996" i="4"/>
  <c r="AS996" i="4"/>
  <c r="AQ996" i="4"/>
  <c r="AM996" i="4"/>
  <c r="AI996" i="4"/>
  <c r="AE996" i="4"/>
  <c r="I996" i="4"/>
  <c r="C996" i="4"/>
  <c r="AU995" i="4"/>
  <c r="AS995" i="4"/>
  <c r="AQ995" i="4"/>
  <c r="AM995" i="4"/>
  <c r="AI995" i="4"/>
  <c r="AE995" i="4"/>
  <c r="I995" i="4"/>
  <c r="C995" i="4"/>
  <c r="AU994" i="4"/>
  <c r="AS994" i="4"/>
  <c r="AQ994" i="4"/>
  <c r="AM994" i="4"/>
  <c r="AI994" i="4"/>
  <c r="AE994" i="4"/>
  <c r="C994" i="4"/>
  <c r="AU993" i="4"/>
  <c r="AS993" i="4"/>
  <c r="AQ993" i="4"/>
  <c r="AM993" i="4"/>
  <c r="AI993" i="4"/>
  <c r="C993" i="4"/>
  <c r="AU992" i="4"/>
  <c r="AS992" i="4"/>
  <c r="AQ992" i="4"/>
  <c r="AM992" i="4"/>
  <c r="AI992" i="4"/>
  <c r="C992" i="4"/>
  <c r="AU991" i="4"/>
  <c r="AS991" i="4"/>
  <c r="AQ991" i="4"/>
  <c r="AM991" i="4"/>
  <c r="AI991" i="4"/>
  <c r="AE991" i="4"/>
  <c r="I991" i="4"/>
  <c r="C991" i="4"/>
  <c r="AU990" i="4"/>
  <c r="AS990" i="4"/>
  <c r="AQ990" i="4"/>
  <c r="AM990" i="4"/>
  <c r="AI990" i="4"/>
  <c r="AE990" i="4"/>
  <c r="I990" i="4"/>
  <c r="C990" i="4"/>
  <c r="AU988" i="4"/>
  <c r="AS988" i="4"/>
  <c r="AQ988" i="4"/>
  <c r="AM988" i="4"/>
  <c r="AI988" i="4"/>
  <c r="AE988" i="4"/>
  <c r="I988" i="4"/>
  <c r="C988" i="4"/>
  <c r="AU987" i="4"/>
  <c r="AS987" i="4"/>
  <c r="AQ987" i="4"/>
  <c r="AM987" i="4"/>
  <c r="AI987" i="4"/>
  <c r="C987" i="4"/>
  <c r="AU986" i="4"/>
  <c r="AS986" i="4"/>
  <c r="AQ986" i="4"/>
  <c r="AM986" i="4"/>
  <c r="AI986" i="4"/>
  <c r="C986" i="4"/>
  <c r="AU985" i="4"/>
  <c r="AS985" i="4"/>
  <c r="AQ985" i="4"/>
  <c r="AM985" i="4"/>
  <c r="AI985" i="4"/>
  <c r="AE985" i="4"/>
  <c r="I985" i="4"/>
  <c r="C985" i="4"/>
  <c r="AU984" i="4"/>
  <c r="AS984" i="4"/>
  <c r="C984" i="4"/>
  <c r="AU983" i="4"/>
  <c r="AS983" i="4"/>
  <c r="AQ983" i="4"/>
  <c r="AM983" i="4"/>
  <c r="AI983" i="4"/>
  <c r="AE983" i="4"/>
  <c r="I983" i="4"/>
  <c r="C983" i="4"/>
  <c r="AU982" i="4"/>
  <c r="AS982" i="4"/>
  <c r="AQ982" i="4"/>
  <c r="AM982" i="4"/>
  <c r="AI982" i="4"/>
  <c r="C982" i="4"/>
  <c r="AU981" i="4"/>
  <c r="AS981" i="4"/>
  <c r="AQ981" i="4"/>
  <c r="AM981" i="4"/>
  <c r="AI981" i="4"/>
  <c r="AE981" i="4"/>
  <c r="I981" i="4"/>
  <c r="C981" i="4"/>
  <c r="AU980" i="4"/>
  <c r="AS980" i="4"/>
  <c r="AQ980" i="4"/>
  <c r="AM980" i="4"/>
  <c r="AI980" i="4"/>
  <c r="C980" i="4"/>
  <c r="AU979" i="4"/>
  <c r="AS979" i="4"/>
  <c r="AQ979" i="4"/>
  <c r="AM979" i="4"/>
  <c r="AI979" i="4"/>
  <c r="C979" i="4"/>
  <c r="AU978" i="4"/>
  <c r="AS978" i="4"/>
  <c r="AQ978" i="4"/>
  <c r="AM978" i="4"/>
  <c r="AI978" i="4"/>
  <c r="C978" i="4"/>
  <c r="AU977" i="4"/>
  <c r="AS977" i="4"/>
  <c r="AQ977" i="4"/>
  <c r="AM977" i="4"/>
  <c r="AI977" i="4"/>
  <c r="AE977" i="4"/>
  <c r="I977" i="4"/>
  <c r="C977" i="4"/>
  <c r="AU976" i="4"/>
  <c r="AS976" i="4"/>
  <c r="AQ976" i="4"/>
  <c r="AM976" i="4"/>
  <c r="AI976" i="4"/>
  <c r="AE976" i="4"/>
  <c r="I976" i="4"/>
  <c r="C976" i="4"/>
  <c r="AU974" i="4"/>
  <c r="AS974" i="4"/>
  <c r="AQ974" i="4"/>
  <c r="AM974" i="4"/>
  <c r="AI974" i="4"/>
  <c r="AE974" i="4"/>
  <c r="I974" i="4"/>
  <c r="C974" i="4"/>
  <c r="AU973" i="4"/>
  <c r="AS973" i="4"/>
  <c r="AQ973" i="4"/>
  <c r="AM973" i="4"/>
  <c r="AI973" i="4"/>
  <c r="AE973" i="4"/>
  <c r="I973" i="4"/>
  <c r="C973" i="4"/>
  <c r="AU972" i="4"/>
  <c r="AS972" i="4"/>
  <c r="AQ972" i="4"/>
  <c r="AM972" i="4"/>
  <c r="AI972" i="4"/>
  <c r="AE972" i="4"/>
  <c r="I972" i="4"/>
  <c r="C972" i="4"/>
  <c r="AU971" i="4"/>
  <c r="AS971" i="4"/>
  <c r="AQ971" i="4"/>
  <c r="AM971" i="4"/>
  <c r="AI971" i="4"/>
  <c r="AE971" i="4"/>
  <c r="I971" i="4"/>
  <c r="C971" i="4"/>
  <c r="AU970" i="4"/>
  <c r="AS970" i="4"/>
  <c r="C970" i="4"/>
  <c r="AU969" i="4"/>
  <c r="AS969" i="4"/>
  <c r="AQ969" i="4"/>
  <c r="AM969" i="4"/>
  <c r="C969" i="4"/>
  <c r="AU968" i="4"/>
  <c r="AS968" i="4"/>
  <c r="AQ968" i="4"/>
  <c r="AM968" i="4"/>
  <c r="AI968" i="4"/>
  <c r="AE968" i="4"/>
  <c r="I968" i="4"/>
  <c r="C968" i="4"/>
  <c r="AU967" i="4"/>
  <c r="AS967" i="4"/>
  <c r="AQ967" i="4"/>
  <c r="AM967" i="4"/>
  <c r="AI967" i="4"/>
  <c r="AE967" i="4"/>
  <c r="I967" i="4"/>
  <c r="C967" i="4"/>
  <c r="AU966" i="4"/>
  <c r="AS966" i="4"/>
  <c r="AQ966" i="4"/>
  <c r="AM966" i="4"/>
  <c r="AI966" i="4"/>
  <c r="AE966" i="4"/>
  <c r="I966" i="4"/>
  <c r="C966" i="4"/>
  <c r="AU965" i="4"/>
  <c r="AS965" i="4"/>
  <c r="AQ965" i="4"/>
  <c r="AM965" i="4"/>
  <c r="AI965" i="4"/>
  <c r="AE965" i="4"/>
  <c r="I965" i="4"/>
  <c r="C965" i="4"/>
  <c r="AU963" i="4"/>
  <c r="AS963" i="4"/>
  <c r="AQ963" i="4"/>
  <c r="AM963" i="4"/>
  <c r="AI963" i="4"/>
  <c r="AE963" i="4"/>
  <c r="I963" i="4"/>
  <c r="C963" i="4"/>
  <c r="AU962" i="4"/>
  <c r="AS962" i="4"/>
  <c r="AQ962" i="4"/>
  <c r="AM962" i="4"/>
  <c r="AI962" i="4"/>
  <c r="AE962" i="4"/>
  <c r="I962" i="4"/>
  <c r="C962" i="4"/>
  <c r="AU961" i="4"/>
  <c r="AS961" i="4"/>
  <c r="AQ961" i="4"/>
  <c r="AM961" i="4"/>
  <c r="AI961" i="4"/>
  <c r="AE961" i="4"/>
  <c r="I961" i="4"/>
  <c r="C961" i="4"/>
  <c r="AU960" i="4"/>
  <c r="AS960" i="4"/>
  <c r="AQ960" i="4"/>
  <c r="AM960" i="4"/>
  <c r="AI960" i="4"/>
  <c r="AE960" i="4"/>
  <c r="I960" i="4"/>
  <c r="C960" i="4"/>
  <c r="AU959" i="4"/>
  <c r="AS959" i="4"/>
  <c r="I959" i="4"/>
  <c r="C959" i="4"/>
  <c r="AU958" i="4"/>
  <c r="AS958" i="4"/>
  <c r="I958" i="4"/>
  <c r="C958" i="4"/>
  <c r="AU957" i="4"/>
  <c r="AS957" i="4"/>
  <c r="I957" i="4"/>
  <c r="C957" i="4"/>
  <c r="AU956" i="4"/>
  <c r="AS956" i="4"/>
  <c r="AQ956" i="4"/>
  <c r="AM956" i="4"/>
  <c r="I956" i="4"/>
  <c r="C956" i="4"/>
  <c r="I955" i="4"/>
  <c r="C955" i="4"/>
  <c r="I954" i="4"/>
  <c r="C954" i="4"/>
  <c r="I953" i="4"/>
  <c r="C953" i="4"/>
  <c r="AU952" i="4"/>
  <c r="AS952" i="4"/>
  <c r="AQ952" i="4"/>
  <c r="AM952" i="4"/>
  <c r="AI952" i="4"/>
  <c r="AE952" i="4"/>
  <c r="I952" i="4"/>
  <c r="C952" i="4"/>
  <c r="AU951" i="4"/>
  <c r="AS951" i="4"/>
  <c r="AQ951" i="4"/>
  <c r="AM951" i="4"/>
  <c r="AI951" i="4"/>
  <c r="AE951" i="4"/>
  <c r="I951" i="4"/>
  <c r="C951" i="4"/>
  <c r="AU950" i="4"/>
  <c r="AS950" i="4"/>
  <c r="AQ950" i="4"/>
  <c r="AM950" i="4"/>
  <c r="AI950" i="4"/>
  <c r="AE950" i="4"/>
  <c r="I950" i="4"/>
  <c r="C950" i="4"/>
  <c r="AU949" i="4"/>
  <c r="AS949" i="4"/>
  <c r="AQ949" i="4"/>
  <c r="AM949" i="4"/>
  <c r="AI949" i="4"/>
  <c r="AE949" i="4"/>
  <c r="I949" i="4"/>
  <c r="C949" i="4"/>
  <c r="AU948" i="4"/>
  <c r="AS948" i="4"/>
  <c r="AQ948" i="4"/>
  <c r="AM948" i="4"/>
  <c r="AI948" i="4"/>
  <c r="AE948" i="4"/>
  <c r="I948" i="4"/>
  <c r="C948" i="4"/>
  <c r="AU947" i="4"/>
  <c r="AS947" i="4"/>
  <c r="AQ947" i="4"/>
  <c r="AM947" i="4"/>
  <c r="AI947" i="4"/>
  <c r="AE947" i="4"/>
  <c r="I947" i="4"/>
  <c r="C947" i="4"/>
  <c r="AU946" i="4"/>
  <c r="AS946" i="4"/>
  <c r="AQ946" i="4"/>
  <c r="AM946" i="4"/>
  <c r="AI946" i="4"/>
  <c r="AE946" i="4"/>
  <c r="I946" i="4"/>
  <c r="C946" i="4"/>
  <c r="AU945" i="4"/>
  <c r="AS945" i="4"/>
  <c r="AQ945" i="4"/>
  <c r="C945" i="4"/>
  <c r="AU944" i="4"/>
  <c r="AS944" i="4"/>
  <c r="AQ944" i="4"/>
  <c r="AM944" i="4"/>
  <c r="AI944" i="4"/>
  <c r="AE944" i="4"/>
  <c r="I944" i="4"/>
  <c r="C944" i="4"/>
  <c r="AU943" i="4"/>
  <c r="AS943" i="4"/>
  <c r="AQ943" i="4"/>
  <c r="AM943" i="4"/>
  <c r="AI943" i="4"/>
  <c r="AE943" i="4"/>
  <c r="I943" i="4"/>
  <c r="C943" i="4"/>
  <c r="AU942" i="4"/>
  <c r="AS942" i="4"/>
  <c r="AQ942" i="4"/>
  <c r="AM942" i="4"/>
  <c r="AI942" i="4"/>
  <c r="AE942" i="4"/>
  <c r="AU941" i="4"/>
  <c r="AS941" i="4"/>
  <c r="AQ941" i="4"/>
  <c r="AM941" i="4"/>
  <c r="AI941" i="4"/>
  <c r="AE941" i="4"/>
  <c r="I941" i="4"/>
  <c r="C941" i="4"/>
  <c r="AU940" i="4"/>
  <c r="AS940" i="4"/>
  <c r="AQ940" i="4"/>
  <c r="AM940" i="4"/>
  <c r="AI940" i="4"/>
  <c r="AE940" i="4"/>
  <c r="I940" i="4"/>
  <c r="C940" i="4"/>
  <c r="AU939" i="4"/>
  <c r="AS939" i="4"/>
  <c r="AQ939" i="4"/>
  <c r="AM939" i="4"/>
  <c r="AI939" i="4"/>
  <c r="AE939" i="4"/>
  <c r="I939" i="4"/>
  <c r="C939" i="4"/>
  <c r="AU938" i="4"/>
  <c r="AS938" i="4"/>
  <c r="AQ938" i="4"/>
  <c r="AM938" i="4"/>
  <c r="AI938" i="4"/>
  <c r="AE938" i="4"/>
  <c r="I938" i="4"/>
  <c r="C938" i="4"/>
  <c r="AU937" i="4"/>
  <c r="AS937" i="4"/>
  <c r="AQ937" i="4"/>
  <c r="AM937" i="4"/>
  <c r="AI937" i="4"/>
  <c r="AE937" i="4"/>
  <c r="I937" i="4"/>
  <c r="C937" i="4"/>
  <c r="AU936" i="4"/>
  <c r="AS936" i="4"/>
  <c r="AQ936" i="4"/>
  <c r="AM936" i="4"/>
  <c r="AI936" i="4"/>
  <c r="AE936" i="4"/>
  <c r="I936" i="4"/>
  <c r="C936" i="4"/>
  <c r="AU935" i="4"/>
  <c r="AS935" i="4"/>
  <c r="AQ935" i="4"/>
  <c r="AM935" i="4"/>
  <c r="AI935" i="4"/>
  <c r="AE935" i="4"/>
  <c r="I935" i="4"/>
  <c r="C935" i="4"/>
  <c r="AU934" i="4"/>
  <c r="AS934" i="4"/>
  <c r="AQ934" i="4"/>
  <c r="AM934" i="4"/>
  <c r="AI934" i="4"/>
  <c r="AE934" i="4"/>
  <c r="I934" i="4"/>
  <c r="C934" i="4"/>
  <c r="AU933" i="4"/>
  <c r="AS933" i="4"/>
  <c r="AQ933" i="4"/>
  <c r="AM933" i="4"/>
  <c r="AI933" i="4"/>
  <c r="AE933" i="4"/>
  <c r="I933" i="4"/>
  <c r="C933" i="4"/>
  <c r="AU932" i="4"/>
  <c r="AS932" i="4"/>
  <c r="AQ932" i="4"/>
  <c r="AM932" i="4"/>
  <c r="AI932" i="4"/>
  <c r="AE932" i="4"/>
  <c r="I932" i="4"/>
  <c r="C932" i="4"/>
  <c r="AU931" i="4"/>
  <c r="AS931" i="4"/>
  <c r="AQ931" i="4"/>
  <c r="AM931" i="4"/>
  <c r="AI931" i="4"/>
  <c r="AE931" i="4"/>
  <c r="I931" i="4"/>
  <c r="C931" i="4"/>
  <c r="AU930" i="4"/>
  <c r="AS930" i="4"/>
  <c r="AQ930" i="4"/>
  <c r="AM930" i="4"/>
  <c r="AI930" i="4"/>
  <c r="AE930" i="4"/>
  <c r="I930" i="4"/>
  <c r="C930" i="4"/>
  <c r="AU929" i="4"/>
  <c r="AS929" i="4"/>
  <c r="AQ929" i="4"/>
  <c r="AM929" i="4"/>
  <c r="AI929" i="4"/>
  <c r="AE929" i="4"/>
  <c r="I929" i="4"/>
  <c r="C929" i="4"/>
  <c r="AU928" i="4"/>
  <c r="AS928" i="4"/>
  <c r="AQ928" i="4"/>
  <c r="AM928" i="4"/>
  <c r="AI928" i="4"/>
  <c r="AE928" i="4"/>
  <c r="I928" i="4"/>
  <c r="C928" i="4"/>
  <c r="AU927" i="4"/>
  <c r="AS927" i="4"/>
  <c r="AQ927" i="4"/>
  <c r="AM927" i="4"/>
  <c r="AI927" i="4"/>
  <c r="AE927" i="4"/>
  <c r="I927" i="4"/>
  <c r="C927" i="4"/>
  <c r="AU926" i="4"/>
  <c r="AS926" i="4"/>
  <c r="AQ926" i="4"/>
  <c r="AM926" i="4"/>
  <c r="AI926" i="4"/>
  <c r="AE926" i="4"/>
  <c r="I926" i="4"/>
  <c r="C926" i="4"/>
  <c r="AU925" i="4"/>
  <c r="AS925" i="4"/>
  <c r="AQ925" i="4"/>
  <c r="AM925" i="4"/>
  <c r="AI925" i="4"/>
  <c r="AE925" i="4"/>
  <c r="I925" i="4"/>
  <c r="C925" i="4"/>
  <c r="AU924" i="4"/>
  <c r="AS924" i="4"/>
  <c r="AQ924" i="4"/>
  <c r="AM924" i="4"/>
  <c r="AI924" i="4"/>
  <c r="AE924" i="4"/>
  <c r="I924" i="4"/>
  <c r="C924" i="4"/>
  <c r="AU923" i="4"/>
  <c r="AS923" i="4"/>
  <c r="AQ923" i="4"/>
  <c r="AM923" i="4"/>
  <c r="AI923" i="4"/>
  <c r="AE923" i="4"/>
  <c r="I923" i="4"/>
  <c r="C923" i="4"/>
  <c r="AU922" i="4"/>
  <c r="AS922" i="4"/>
  <c r="AQ922" i="4"/>
  <c r="AM922" i="4"/>
  <c r="AI922" i="4"/>
  <c r="AE922" i="4"/>
  <c r="I922" i="4"/>
  <c r="C922" i="4"/>
  <c r="AU921" i="4"/>
  <c r="AS921" i="4"/>
  <c r="AQ921" i="4"/>
  <c r="AM921" i="4"/>
  <c r="AI921" i="4"/>
  <c r="AE921" i="4"/>
  <c r="I921" i="4"/>
  <c r="C921" i="4"/>
  <c r="AU920" i="4"/>
  <c r="AS920" i="4"/>
  <c r="AQ920" i="4"/>
  <c r="AM920" i="4"/>
  <c r="AI920" i="4"/>
  <c r="AE920" i="4"/>
  <c r="I920" i="4"/>
  <c r="C920" i="4"/>
  <c r="AU919" i="4"/>
  <c r="AS919" i="4"/>
  <c r="AQ919" i="4"/>
  <c r="AM919" i="4"/>
  <c r="AI919" i="4"/>
  <c r="AE919" i="4"/>
  <c r="I919" i="4"/>
  <c r="C919" i="4"/>
  <c r="AU918" i="4"/>
  <c r="AS918" i="4"/>
  <c r="AQ918" i="4"/>
  <c r="AM918" i="4"/>
  <c r="AI918" i="4"/>
  <c r="AE918" i="4"/>
  <c r="I918" i="4"/>
  <c r="C918" i="4"/>
  <c r="AU917" i="4"/>
  <c r="AS917" i="4"/>
  <c r="AQ917" i="4"/>
  <c r="AU916" i="4"/>
  <c r="AS916" i="4"/>
  <c r="AQ916" i="4"/>
  <c r="AM916" i="4"/>
  <c r="AI916" i="4"/>
  <c r="AE916" i="4"/>
  <c r="I916" i="4"/>
  <c r="AU915" i="4"/>
  <c r="AS915" i="4"/>
  <c r="AQ915" i="4"/>
  <c r="AM915" i="4"/>
  <c r="AI915" i="4"/>
  <c r="AE915" i="4"/>
  <c r="AU914" i="4"/>
  <c r="AS914" i="4"/>
  <c r="AQ914" i="4"/>
  <c r="AM914" i="4"/>
  <c r="AI914" i="4"/>
  <c r="AE914" i="4"/>
  <c r="AU913" i="4"/>
  <c r="AS913" i="4"/>
  <c r="AQ913" i="4"/>
  <c r="AM913" i="4"/>
  <c r="AI913" i="4"/>
  <c r="AE913" i="4"/>
  <c r="I913" i="4"/>
  <c r="AU912" i="4"/>
  <c r="AS912" i="4"/>
  <c r="AU911" i="4"/>
  <c r="AS911" i="4"/>
  <c r="AQ911" i="4"/>
  <c r="AM911" i="4"/>
  <c r="AI911" i="4"/>
  <c r="AU910" i="4"/>
  <c r="AS910" i="4"/>
  <c r="AQ910" i="4"/>
  <c r="AM910" i="4"/>
  <c r="AU909" i="4"/>
  <c r="AS909" i="4"/>
  <c r="AQ909" i="4"/>
  <c r="AM909" i="4"/>
  <c r="AI909" i="4"/>
  <c r="AE909" i="4"/>
  <c r="I909" i="4"/>
  <c r="AU908" i="4"/>
  <c r="AS908" i="4"/>
  <c r="AQ908" i="4"/>
  <c r="AM908" i="4"/>
  <c r="AI908" i="4"/>
  <c r="AE908" i="4"/>
  <c r="AU907" i="4"/>
  <c r="AS907" i="4"/>
  <c r="AQ907" i="4"/>
  <c r="AM907" i="4"/>
  <c r="AI907" i="4"/>
  <c r="AE907" i="4"/>
  <c r="AU906" i="4"/>
  <c r="AS906" i="4"/>
  <c r="AQ906" i="4"/>
  <c r="AM906" i="4"/>
  <c r="AI906" i="4"/>
  <c r="AE906" i="4"/>
  <c r="AU905" i="4"/>
  <c r="AQ905" i="4"/>
  <c r="AM905" i="4"/>
  <c r="AI905" i="4"/>
  <c r="AU904" i="4"/>
  <c r="AS904" i="4"/>
  <c r="AQ904" i="4"/>
  <c r="AM904" i="4"/>
  <c r="AI904" i="4"/>
  <c r="AE904" i="4"/>
  <c r="I904" i="4"/>
  <c r="AU903" i="4"/>
  <c r="AS903" i="4"/>
  <c r="AQ903" i="4"/>
  <c r="AM903" i="4"/>
  <c r="AI903" i="4"/>
  <c r="AU902" i="4"/>
  <c r="AS902" i="4"/>
  <c r="AQ902" i="4"/>
  <c r="AM902" i="4"/>
  <c r="AU901" i="4"/>
  <c r="AS901" i="4"/>
  <c r="AQ901" i="4"/>
  <c r="AM901" i="4"/>
  <c r="AI901" i="4"/>
  <c r="AU900" i="4"/>
  <c r="AS900" i="4"/>
  <c r="AQ900" i="4"/>
  <c r="AM900" i="4"/>
  <c r="AU899" i="4"/>
  <c r="AQ899" i="4"/>
  <c r="AM899" i="4"/>
  <c r="AI899" i="4"/>
  <c r="AE899" i="4"/>
  <c r="AU898" i="4"/>
  <c r="AS898" i="4"/>
  <c r="AQ898" i="4"/>
  <c r="AM898" i="4"/>
  <c r="AI898" i="4"/>
  <c r="AE898" i="4"/>
  <c r="AU897" i="4"/>
  <c r="AS897" i="4"/>
  <c r="AQ897" i="4"/>
  <c r="AM897" i="4"/>
  <c r="AU896" i="4"/>
  <c r="AS896" i="4"/>
  <c r="AQ896" i="4"/>
  <c r="AM896" i="4"/>
  <c r="AI896" i="4"/>
  <c r="AE896" i="4"/>
  <c r="I896" i="4"/>
  <c r="AU895" i="4"/>
  <c r="AS895" i="4"/>
  <c r="AQ895" i="4"/>
  <c r="AM895" i="4"/>
  <c r="AI895" i="4"/>
  <c r="AU894" i="4"/>
  <c r="AQ894" i="4"/>
  <c r="AM894" i="4"/>
  <c r="AI894" i="4"/>
  <c r="AU893" i="4"/>
  <c r="AS893" i="4"/>
  <c r="AQ893" i="4"/>
  <c r="AM893" i="4"/>
  <c r="AU892" i="4"/>
  <c r="AS892" i="4"/>
  <c r="AQ892" i="4"/>
  <c r="AM892" i="4"/>
  <c r="AI892" i="4"/>
  <c r="AE892" i="4"/>
  <c r="I892" i="4"/>
  <c r="AU891" i="4"/>
  <c r="AS891" i="4"/>
  <c r="AQ891" i="4"/>
  <c r="AM891" i="4"/>
  <c r="AB891" i="4"/>
  <c r="AU890" i="4"/>
  <c r="AS890" i="4"/>
  <c r="AQ890" i="4"/>
  <c r="AM890" i="4"/>
  <c r="I890" i="4"/>
  <c r="AU889" i="4"/>
  <c r="AS889" i="4"/>
  <c r="AQ889" i="4"/>
  <c r="AM889" i="4"/>
  <c r="AI889" i="4"/>
  <c r="AU888" i="4"/>
  <c r="AS888" i="4"/>
  <c r="AQ888" i="4"/>
  <c r="AM888" i="4"/>
  <c r="AU887" i="4"/>
  <c r="AQ887" i="4"/>
  <c r="AM887" i="4"/>
  <c r="AI887" i="4"/>
  <c r="AU886" i="4"/>
  <c r="AS886" i="4"/>
  <c r="AQ886" i="4"/>
  <c r="AM886" i="4"/>
  <c r="AI886" i="4"/>
  <c r="AU885" i="4"/>
  <c r="AS885" i="4"/>
  <c r="AQ885" i="4"/>
  <c r="AM885" i="4"/>
  <c r="AU884" i="4"/>
  <c r="AS884" i="4"/>
  <c r="AQ884" i="4"/>
  <c r="AM884" i="4"/>
  <c r="AI884" i="4"/>
  <c r="AE884" i="4"/>
  <c r="AU883" i="4"/>
  <c r="AS883" i="4"/>
  <c r="AQ883" i="4"/>
  <c r="AM883" i="4"/>
  <c r="AI883" i="4"/>
  <c r="AE883" i="4"/>
  <c r="AU882" i="4"/>
  <c r="AS882" i="4"/>
  <c r="AQ882" i="4"/>
  <c r="AM882" i="4"/>
  <c r="AI882" i="4"/>
  <c r="AE882" i="4"/>
  <c r="AU881" i="4"/>
  <c r="AS881" i="4"/>
  <c r="AQ881" i="4"/>
  <c r="AM881" i="4"/>
  <c r="AI881" i="4"/>
  <c r="AE881" i="4"/>
  <c r="AS880" i="4"/>
  <c r="AQ880" i="4"/>
  <c r="AM880" i="4"/>
  <c r="AI880" i="4"/>
  <c r="AE880" i="4"/>
  <c r="AU879" i="4"/>
  <c r="AS879" i="4"/>
  <c r="AQ879" i="4"/>
  <c r="AM879" i="4"/>
  <c r="AI879" i="4"/>
  <c r="AE879" i="4"/>
  <c r="I879" i="4"/>
  <c r="AU878" i="4"/>
  <c r="AQ878" i="4"/>
  <c r="AM878" i="4"/>
  <c r="AI878" i="4"/>
  <c r="AU877" i="4"/>
  <c r="AS877" i="4"/>
  <c r="AQ877" i="4"/>
  <c r="AM877" i="4"/>
  <c r="AI877" i="4"/>
  <c r="AE877" i="4"/>
  <c r="I877" i="4"/>
  <c r="AU876" i="4"/>
  <c r="AS876" i="4"/>
  <c r="AQ876" i="4"/>
  <c r="AM876" i="4"/>
  <c r="AI876" i="4"/>
  <c r="AE876" i="4"/>
  <c r="AU875" i="4"/>
  <c r="AS875" i="4"/>
  <c r="AQ875" i="4"/>
  <c r="AM875" i="4"/>
  <c r="AI875" i="4"/>
  <c r="AE875" i="4"/>
  <c r="I875" i="4"/>
  <c r="AU874" i="4"/>
  <c r="AS874" i="4"/>
  <c r="AQ874" i="4"/>
  <c r="AM874" i="4"/>
  <c r="AI874" i="4"/>
  <c r="AE874" i="4"/>
  <c r="I874" i="4"/>
  <c r="AU873" i="4"/>
  <c r="AS873" i="4"/>
  <c r="AQ873" i="4"/>
  <c r="AM873" i="4"/>
  <c r="AI873" i="4"/>
  <c r="AE873" i="4"/>
  <c r="I873" i="4"/>
  <c r="AU872" i="4"/>
  <c r="AS872" i="4"/>
  <c r="AQ872" i="4"/>
  <c r="AM872" i="4"/>
  <c r="AI872" i="4"/>
  <c r="AE872" i="4"/>
  <c r="I872" i="4"/>
  <c r="AU871" i="4"/>
  <c r="AS871" i="4"/>
  <c r="AQ871" i="4"/>
  <c r="AM871" i="4"/>
  <c r="AI871" i="4"/>
  <c r="AE871" i="4"/>
  <c r="I871" i="4"/>
  <c r="AU870" i="4"/>
  <c r="AS870" i="4"/>
  <c r="AQ870" i="4"/>
  <c r="AM870" i="4"/>
  <c r="AI870" i="4"/>
  <c r="AE870" i="4"/>
  <c r="AU869" i="4"/>
  <c r="AS869" i="4"/>
  <c r="AQ869" i="4"/>
  <c r="AM869" i="4"/>
  <c r="AI869" i="4"/>
  <c r="AE869" i="4"/>
  <c r="I869" i="4"/>
  <c r="AU868" i="4"/>
  <c r="AS868" i="4"/>
  <c r="AQ868" i="4"/>
  <c r="AM868" i="4"/>
  <c r="AI868" i="4"/>
  <c r="AE868" i="4"/>
  <c r="I868" i="4"/>
  <c r="AU867" i="4"/>
  <c r="AS867" i="4"/>
  <c r="AQ867" i="4"/>
  <c r="AM867" i="4"/>
  <c r="AI867" i="4"/>
  <c r="AE867" i="4"/>
  <c r="I867" i="4"/>
  <c r="AU866" i="4"/>
  <c r="AS866" i="4"/>
  <c r="AQ866" i="4"/>
  <c r="AM866" i="4"/>
  <c r="AI866" i="4"/>
  <c r="AE866" i="4"/>
  <c r="AU865" i="4"/>
  <c r="AS865" i="4"/>
  <c r="AQ865" i="4"/>
  <c r="AM865" i="4"/>
  <c r="AI865" i="4"/>
  <c r="AE865" i="4"/>
  <c r="I865" i="4"/>
  <c r="AU864" i="4"/>
  <c r="AS864" i="4"/>
  <c r="AQ864" i="4"/>
  <c r="AM864" i="4"/>
  <c r="AI864" i="4"/>
  <c r="AE864" i="4"/>
  <c r="I864" i="4"/>
  <c r="AU863" i="4"/>
  <c r="AS863" i="4"/>
  <c r="AQ863" i="4"/>
  <c r="AM863" i="4"/>
  <c r="AI863" i="4"/>
  <c r="AE863" i="4"/>
  <c r="I863" i="4"/>
  <c r="AU862" i="4"/>
  <c r="AS862" i="4"/>
  <c r="AQ862" i="4"/>
  <c r="I862" i="4"/>
  <c r="AU861" i="4"/>
  <c r="AS861" i="4"/>
  <c r="AQ861" i="4"/>
  <c r="AM861" i="4"/>
  <c r="AI861" i="4"/>
  <c r="I861" i="4"/>
  <c r="AU860" i="4"/>
  <c r="AS860" i="4"/>
  <c r="AQ860" i="4"/>
  <c r="I860" i="4"/>
  <c r="AU859" i="4"/>
  <c r="AS859" i="4"/>
  <c r="AQ859" i="4"/>
  <c r="AM859" i="4"/>
  <c r="AI859" i="4"/>
  <c r="I859" i="4"/>
  <c r="AU858" i="4"/>
  <c r="AS858" i="4"/>
  <c r="AQ858" i="4"/>
  <c r="I858" i="4"/>
  <c r="AU857" i="4"/>
  <c r="AS857" i="4"/>
  <c r="AQ857" i="4"/>
  <c r="AM857" i="4"/>
  <c r="AI857" i="4"/>
  <c r="I857" i="4"/>
  <c r="AU856" i="4"/>
  <c r="AS856" i="4"/>
  <c r="AQ856" i="4"/>
  <c r="AM856" i="4"/>
  <c r="AI856" i="4"/>
  <c r="AE856" i="4"/>
  <c r="I856" i="4"/>
  <c r="C856" i="4"/>
  <c r="AU855" i="4"/>
  <c r="AS855" i="4"/>
  <c r="AQ855" i="4"/>
  <c r="AM855" i="4"/>
  <c r="AI855" i="4"/>
  <c r="AE855" i="4"/>
  <c r="I855" i="4"/>
  <c r="C855" i="4"/>
  <c r="AU854" i="4"/>
  <c r="AS854" i="4"/>
  <c r="AQ854" i="4"/>
  <c r="AM854" i="4"/>
  <c r="AI854" i="4"/>
  <c r="AE854" i="4"/>
  <c r="I854" i="4"/>
  <c r="C854" i="4"/>
  <c r="AU853" i="4"/>
  <c r="AS853" i="4"/>
  <c r="AQ853" i="4"/>
  <c r="AM853" i="4"/>
  <c r="AI853" i="4"/>
  <c r="AE853" i="4"/>
  <c r="I853" i="4"/>
  <c r="C853" i="4"/>
  <c r="AU852" i="4"/>
  <c r="AS852" i="4"/>
  <c r="AQ852" i="4"/>
  <c r="AM852" i="4"/>
  <c r="AI852" i="4"/>
  <c r="AE852" i="4"/>
  <c r="I852" i="4"/>
  <c r="C852" i="4"/>
  <c r="AU851" i="4"/>
  <c r="AS851" i="4"/>
  <c r="C851" i="4"/>
  <c r="AU850" i="4"/>
  <c r="AS850" i="4"/>
  <c r="AQ850" i="4"/>
  <c r="AM850" i="4"/>
  <c r="C850" i="4"/>
  <c r="AU849" i="4"/>
  <c r="AS849" i="4"/>
  <c r="AQ849" i="4"/>
  <c r="AM849" i="4"/>
  <c r="C849" i="4"/>
  <c r="AU848" i="4"/>
  <c r="AS848" i="4"/>
  <c r="AQ848" i="4"/>
  <c r="AM848" i="4"/>
  <c r="AI848" i="4"/>
  <c r="C848" i="4"/>
  <c r="AU847" i="4"/>
  <c r="AS847" i="4"/>
  <c r="AQ847" i="4"/>
  <c r="AM847" i="4"/>
  <c r="AI847" i="4"/>
  <c r="AE847" i="4"/>
  <c r="I847" i="4"/>
  <c r="C847" i="4"/>
  <c r="AU846" i="4"/>
  <c r="AS846" i="4"/>
  <c r="AQ846" i="4"/>
  <c r="AM846" i="4"/>
  <c r="AI846" i="4"/>
  <c r="AE846" i="4"/>
  <c r="I846" i="4"/>
  <c r="C846" i="4"/>
  <c r="AU845" i="4"/>
  <c r="AS845" i="4"/>
  <c r="AQ845" i="4"/>
  <c r="AM845" i="4"/>
  <c r="AI845" i="4"/>
  <c r="AE845" i="4"/>
  <c r="I845" i="4"/>
  <c r="C845" i="4"/>
  <c r="AU844" i="4"/>
  <c r="AS844" i="4"/>
  <c r="AQ844" i="4"/>
  <c r="AM844" i="4"/>
  <c r="AI844" i="4"/>
  <c r="AE844" i="4"/>
  <c r="I844" i="4"/>
  <c r="C844" i="4"/>
  <c r="AU843" i="4"/>
  <c r="AS843" i="4"/>
  <c r="AQ843" i="4"/>
  <c r="AM843" i="4"/>
  <c r="AI843" i="4"/>
  <c r="AE843" i="4"/>
  <c r="I843" i="4"/>
  <c r="C843" i="4"/>
  <c r="AU842" i="4"/>
  <c r="AS842" i="4"/>
  <c r="AQ842" i="4"/>
  <c r="AM842" i="4"/>
  <c r="AI842" i="4"/>
  <c r="AE842" i="4"/>
  <c r="I842" i="4"/>
  <c r="C842" i="4"/>
  <c r="AU841" i="4"/>
  <c r="AS841" i="4"/>
  <c r="AQ841" i="4"/>
  <c r="AM841" i="4"/>
  <c r="AI841" i="4"/>
  <c r="AE841" i="4"/>
  <c r="I841" i="4"/>
  <c r="C841" i="4"/>
  <c r="AU840" i="4"/>
  <c r="AS840" i="4"/>
  <c r="AQ840" i="4"/>
  <c r="AM840" i="4"/>
  <c r="AI840" i="4"/>
  <c r="AE840" i="4"/>
  <c r="I840" i="4"/>
  <c r="C840" i="4"/>
  <c r="AU839" i="4"/>
  <c r="AS839" i="4"/>
  <c r="AQ839" i="4"/>
  <c r="AM839" i="4"/>
  <c r="AI839" i="4"/>
  <c r="AE839" i="4"/>
  <c r="I839" i="4"/>
  <c r="C839" i="4"/>
  <c r="AU838" i="4"/>
  <c r="AS838" i="4"/>
  <c r="AQ838" i="4"/>
  <c r="AM838" i="4"/>
  <c r="AI838" i="4"/>
  <c r="AE838" i="4"/>
  <c r="I838" i="4"/>
  <c r="C838" i="4"/>
  <c r="AU837" i="4"/>
  <c r="AS837" i="4"/>
  <c r="AQ837" i="4"/>
  <c r="AM837" i="4"/>
  <c r="AI837" i="4"/>
  <c r="AE837" i="4"/>
  <c r="I837" i="4"/>
  <c r="C837" i="4"/>
  <c r="AU836" i="4"/>
  <c r="AS836" i="4"/>
  <c r="AQ836" i="4"/>
  <c r="AM836" i="4"/>
  <c r="AI836" i="4"/>
  <c r="AE836" i="4"/>
  <c r="I836" i="4"/>
  <c r="C836" i="4"/>
  <c r="AU835" i="4"/>
  <c r="AS835" i="4"/>
  <c r="AQ835" i="4"/>
  <c r="AM835" i="4"/>
  <c r="AI835" i="4"/>
  <c r="AE835" i="4"/>
  <c r="I835" i="4"/>
  <c r="C835" i="4"/>
  <c r="AU834" i="4"/>
  <c r="AS834" i="4"/>
  <c r="AQ834" i="4"/>
  <c r="AM834" i="4"/>
  <c r="AI834" i="4"/>
  <c r="AE834" i="4"/>
  <c r="C834" i="4"/>
  <c r="AU833" i="4"/>
  <c r="AS833" i="4"/>
  <c r="AQ833" i="4"/>
  <c r="AM833" i="4"/>
  <c r="AI833" i="4"/>
  <c r="AE833" i="4"/>
  <c r="I833" i="4"/>
  <c r="C833" i="4"/>
  <c r="AU832" i="4"/>
  <c r="AS832" i="4"/>
  <c r="AQ832" i="4"/>
  <c r="AM832" i="4"/>
  <c r="AI832" i="4"/>
  <c r="AE832" i="4"/>
  <c r="I832" i="4"/>
  <c r="C832" i="4"/>
  <c r="AU831" i="4"/>
  <c r="AS831" i="4"/>
  <c r="AQ831" i="4"/>
  <c r="AM831" i="4"/>
  <c r="AI831" i="4"/>
  <c r="AE831" i="4"/>
  <c r="I831" i="4"/>
  <c r="C831" i="4"/>
  <c r="AU830" i="4"/>
  <c r="AS830" i="4"/>
  <c r="AQ830" i="4"/>
  <c r="AM830" i="4"/>
  <c r="AI830" i="4"/>
  <c r="AE830" i="4"/>
  <c r="I830" i="4"/>
  <c r="C830" i="4"/>
  <c r="AU829" i="4"/>
  <c r="AS829" i="4"/>
  <c r="AQ829" i="4"/>
  <c r="AM829" i="4"/>
  <c r="AI829" i="4"/>
  <c r="AE829" i="4"/>
  <c r="I829" i="4"/>
  <c r="C829" i="4"/>
  <c r="AU828" i="4"/>
  <c r="AS828" i="4"/>
  <c r="AQ828" i="4"/>
  <c r="AM828" i="4"/>
  <c r="AI828" i="4"/>
  <c r="AE828" i="4"/>
  <c r="I828" i="4"/>
  <c r="C828" i="4"/>
  <c r="AU827" i="4"/>
  <c r="AQ827" i="4"/>
  <c r="AM827" i="4"/>
  <c r="AI827" i="4"/>
  <c r="AE827" i="4"/>
  <c r="C827" i="4"/>
  <c r="AU826" i="4"/>
  <c r="AS826" i="4"/>
  <c r="AQ826" i="4"/>
  <c r="AM826" i="4"/>
  <c r="AI826" i="4"/>
  <c r="C826" i="4"/>
  <c r="AU825" i="4"/>
  <c r="AS825" i="4"/>
  <c r="AQ825" i="4"/>
  <c r="AM825" i="4"/>
  <c r="AI825" i="4"/>
  <c r="AE825" i="4"/>
  <c r="C825" i="4"/>
  <c r="AU824" i="4"/>
  <c r="AS824" i="4"/>
  <c r="AQ824" i="4"/>
  <c r="AM824" i="4"/>
  <c r="AI824" i="4"/>
  <c r="C824" i="4"/>
  <c r="AU823" i="4"/>
  <c r="AS823" i="4"/>
  <c r="AQ823" i="4"/>
  <c r="AM823" i="4"/>
  <c r="AI823" i="4"/>
  <c r="C823" i="4"/>
  <c r="AU822" i="4"/>
  <c r="AS822" i="4"/>
  <c r="AQ822" i="4"/>
  <c r="AM822" i="4"/>
  <c r="AI822" i="4"/>
  <c r="C822" i="4"/>
  <c r="AU821" i="4"/>
  <c r="AS821" i="4"/>
  <c r="AQ821" i="4"/>
  <c r="AM821" i="4"/>
  <c r="AI821" i="4"/>
  <c r="C821" i="4"/>
  <c r="AU820" i="4"/>
  <c r="AS820" i="4"/>
  <c r="AQ820" i="4"/>
  <c r="AM820" i="4"/>
  <c r="AI820" i="4"/>
  <c r="AE820" i="4"/>
  <c r="I820" i="4"/>
  <c r="C820" i="4"/>
  <c r="AU819" i="4"/>
  <c r="AS819" i="4"/>
  <c r="AQ819" i="4"/>
  <c r="AM819" i="4"/>
  <c r="C819" i="4"/>
  <c r="AU818" i="4"/>
  <c r="AS818" i="4"/>
  <c r="AQ818" i="4"/>
  <c r="AM818" i="4"/>
  <c r="AI818" i="4"/>
  <c r="AE818" i="4"/>
  <c r="I818" i="4"/>
  <c r="C818" i="4"/>
  <c r="AU817" i="4"/>
  <c r="AS817" i="4"/>
  <c r="AQ817" i="4"/>
  <c r="AM817" i="4"/>
  <c r="AI817" i="4"/>
  <c r="C817" i="4"/>
  <c r="AU816" i="4"/>
  <c r="AS816" i="4"/>
  <c r="AQ816" i="4"/>
  <c r="AM816" i="4"/>
  <c r="AI816" i="4"/>
  <c r="AE816" i="4"/>
  <c r="C816" i="4"/>
  <c r="AU815" i="4"/>
  <c r="AS815" i="4"/>
  <c r="AQ815" i="4"/>
  <c r="AM815" i="4"/>
  <c r="AI815" i="4"/>
  <c r="C815" i="4"/>
  <c r="AU814" i="4"/>
  <c r="AS814" i="4"/>
  <c r="AQ814" i="4"/>
  <c r="AM814" i="4"/>
  <c r="AI814" i="4"/>
  <c r="AE814" i="4"/>
  <c r="I814" i="4"/>
  <c r="C814" i="4"/>
  <c r="AU813" i="4"/>
  <c r="AS813" i="4"/>
  <c r="AQ813" i="4"/>
  <c r="AM813" i="4"/>
  <c r="AI813" i="4"/>
  <c r="AE813" i="4"/>
  <c r="I813" i="4"/>
  <c r="C813" i="4"/>
  <c r="AU812" i="4"/>
  <c r="AS812" i="4"/>
  <c r="AQ812" i="4"/>
  <c r="AM812" i="4"/>
  <c r="AI812" i="4"/>
  <c r="AE812" i="4"/>
  <c r="C812" i="4"/>
  <c r="AU811" i="4"/>
  <c r="AS811" i="4"/>
  <c r="AQ811" i="4"/>
  <c r="AM811" i="4"/>
  <c r="C811" i="4"/>
  <c r="AU810" i="4"/>
  <c r="AS810" i="4"/>
  <c r="AQ810" i="4"/>
  <c r="AM810" i="4"/>
  <c r="AI810" i="4"/>
  <c r="C810" i="4"/>
  <c r="AU809" i="4"/>
  <c r="AS809" i="4"/>
  <c r="AQ809" i="4"/>
  <c r="AM809" i="4"/>
  <c r="AI809" i="4"/>
  <c r="C809" i="4"/>
  <c r="AU808" i="4"/>
  <c r="AS808" i="4"/>
  <c r="AQ808" i="4"/>
  <c r="AM808" i="4"/>
  <c r="AI808" i="4"/>
  <c r="AE808" i="4"/>
  <c r="I808" i="4"/>
  <c r="C808" i="4"/>
  <c r="AU807" i="4"/>
  <c r="AS807" i="4"/>
  <c r="AQ807" i="4"/>
  <c r="AM807" i="4"/>
  <c r="AI807" i="4"/>
  <c r="C807" i="4"/>
  <c r="AU806" i="4"/>
  <c r="AS806" i="4"/>
  <c r="AQ806" i="4"/>
  <c r="AM806" i="4"/>
  <c r="C806" i="4"/>
  <c r="AU805" i="4"/>
  <c r="AS805" i="4"/>
  <c r="AQ805" i="4"/>
  <c r="AM805" i="4"/>
  <c r="AI805" i="4"/>
  <c r="AE805" i="4"/>
  <c r="I805" i="4"/>
  <c r="C805" i="4"/>
  <c r="AU804" i="4"/>
  <c r="AS804" i="4"/>
  <c r="AQ804" i="4"/>
  <c r="AM804" i="4"/>
  <c r="C804" i="4"/>
  <c r="AU803" i="4"/>
  <c r="AS803" i="4"/>
  <c r="AQ803" i="4"/>
  <c r="AM803" i="4"/>
  <c r="AI803" i="4"/>
  <c r="C803" i="4"/>
  <c r="AU802" i="4"/>
  <c r="AS802" i="4"/>
  <c r="AQ802" i="4"/>
  <c r="AM802" i="4"/>
  <c r="AI802" i="4"/>
  <c r="C802" i="4"/>
  <c r="AU801" i="4"/>
  <c r="AS801" i="4"/>
  <c r="AQ801" i="4"/>
  <c r="AM801" i="4"/>
  <c r="C801" i="4"/>
  <c r="AU800" i="4"/>
  <c r="AS800" i="4"/>
  <c r="AQ800" i="4"/>
  <c r="AM800" i="4"/>
  <c r="AI800" i="4"/>
  <c r="AE800" i="4"/>
  <c r="I800" i="4"/>
  <c r="C800" i="4"/>
  <c r="AU799" i="4"/>
  <c r="AS799" i="4"/>
  <c r="AQ799" i="4"/>
  <c r="AM799" i="4"/>
  <c r="AI799" i="4"/>
  <c r="AE799" i="4"/>
  <c r="I799" i="4"/>
  <c r="C799" i="4"/>
  <c r="AU798" i="4"/>
  <c r="AS798" i="4"/>
  <c r="AQ798" i="4"/>
  <c r="AM798" i="4"/>
  <c r="AI798" i="4"/>
  <c r="AE798" i="4"/>
  <c r="C798" i="4"/>
  <c r="AU797" i="4"/>
  <c r="AS797" i="4"/>
  <c r="AQ797" i="4"/>
  <c r="AM797" i="4"/>
  <c r="AI797" i="4"/>
  <c r="AE797" i="4"/>
  <c r="I797" i="4"/>
  <c r="C797" i="4"/>
  <c r="AU796" i="4"/>
  <c r="AS796" i="4"/>
  <c r="AQ796" i="4"/>
  <c r="AM796" i="4"/>
  <c r="AI796" i="4"/>
  <c r="AE796" i="4"/>
  <c r="I796" i="4"/>
  <c r="C796" i="4"/>
  <c r="AU795" i="4"/>
  <c r="AS795" i="4"/>
  <c r="AQ795" i="4"/>
  <c r="AM795" i="4"/>
  <c r="AI795" i="4"/>
  <c r="AE795" i="4"/>
  <c r="I795" i="4"/>
  <c r="C795" i="4"/>
  <c r="AU794" i="4"/>
  <c r="AS794" i="4"/>
  <c r="AQ794" i="4"/>
  <c r="AM794" i="4"/>
  <c r="AI794" i="4"/>
  <c r="AE794" i="4"/>
  <c r="I794" i="4"/>
  <c r="C794" i="4"/>
  <c r="AU793" i="4"/>
  <c r="AS793" i="4"/>
  <c r="AQ793" i="4"/>
  <c r="AM793" i="4"/>
  <c r="AI793" i="4"/>
  <c r="AE793" i="4"/>
  <c r="I793" i="4"/>
  <c r="C793" i="4"/>
  <c r="AU792" i="4"/>
  <c r="AS792" i="4"/>
  <c r="AQ792" i="4"/>
  <c r="AM792" i="4"/>
  <c r="AI792" i="4"/>
  <c r="AE792" i="4"/>
  <c r="I792" i="4"/>
  <c r="C792" i="4"/>
  <c r="AU791" i="4"/>
  <c r="AS791" i="4"/>
  <c r="AQ791" i="4"/>
  <c r="AM791" i="4"/>
  <c r="I791" i="4"/>
  <c r="C791" i="4"/>
  <c r="AU790" i="4"/>
  <c r="AS790" i="4"/>
  <c r="AQ790" i="4"/>
  <c r="AM790" i="4"/>
  <c r="I790" i="4"/>
  <c r="C790" i="4"/>
  <c r="AU789" i="4"/>
  <c r="AS789" i="4"/>
  <c r="AQ789" i="4"/>
  <c r="AM789" i="4"/>
  <c r="I789" i="4"/>
  <c r="C789" i="4"/>
  <c r="AU788" i="4"/>
  <c r="AS788" i="4"/>
  <c r="AQ788" i="4"/>
  <c r="AM788" i="4"/>
  <c r="I788" i="4"/>
  <c r="C788" i="4"/>
  <c r="AU787" i="4"/>
  <c r="AS787" i="4"/>
  <c r="AQ787" i="4"/>
  <c r="AM787" i="4"/>
  <c r="I787" i="4"/>
  <c r="C787" i="4"/>
  <c r="AU786" i="4"/>
  <c r="AS786" i="4"/>
  <c r="AQ786" i="4"/>
  <c r="AM786" i="4"/>
  <c r="I786" i="4"/>
  <c r="C786" i="4"/>
  <c r="AU785" i="4"/>
  <c r="AS785" i="4"/>
  <c r="AQ785" i="4"/>
  <c r="AM785" i="4"/>
  <c r="AI785" i="4"/>
  <c r="AE785" i="4"/>
  <c r="I785" i="4"/>
  <c r="C785" i="4"/>
  <c r="AU784" i="4"/>
  <c r="AS784" i="4"/>
  <c r="AQ784" i="4"/>
  <c r="AM784" i="4"/>
  <c r="AI784" i="4"/>
  <c r="AE784" i="4"/>
  <c r="I784" i="4"/>
  <c r="C784" i="4"/>
  <c r="AU783" i="4"/>
  <c r="AS783" i="4"/>
  <c r="AQ783" i="4"/>
  <c r="AM783" i="4"/>
  <c r="AI783" i="4"/>
  <c r="AE783" i="4"/>
  <c r="I783" i="4"/>
  <c r="C783" i="4"/>
  <c r="AU782" i="4"/>
  <c r="AS782" i="4"/>
  <c r="AQ782" i="4"/>
  <c r="AM782" i="4"/>
  <c r="AI782" i="4"/>
  <c r="AE782" i="4"/>
  <c r="I782" i="4"/>
  <c r="C782" i="4"/>
  <c r="AU781" i="4"/>
  <c r="AS781" i="4"/>
  <c r="AQ781" i="4"/>
  <c r="AM781" i="4"/>
  <c r="AI781" i="4"/>
  <c r="AE781" i="4"/>
  <c r="I781" i="4"/>
  <c r="C781" i="4"/>
  <c r="AU780" i="4"/>
  <c r="AS780" i="4"/>
  <c r="AQ780" i="4"/>
  <c r="AM780" i="4"/>
  <c r="AI780" i="4"/>
  <c r="AE780" i="4"/>
  <c r="I780" i="4"/>
  <c r="C780" i="4"/>
  <c r="AU779" i="4"/>
  <c r="AS779" i="4"/>
  <c r="AQ779" i="4"/>
  <c r="AM779" i="4"/>
  <c r="AI779" i="4"/>
  <c r="AE779" i="4"/>
  <c r="I779" i="4"/>
  <c r="C779" i="4"/>
  <c r="AU778" i="4"/>
  <c r="AS778" i="4"/>
  <c r="AQ778" i="4"/>
  <c r="AM778" i="4"/>
  <c r="AI778" i="4"/>
  <c r="AE778" i="4"/>
  <c r="I778" i="4"/>
  <c r="C778" i="4"/>
  <c r="AU777" i="4"/>
  <c r="AS777" i="4"/>
  <c r="AQ777" i="4"/>
  <c r="AM777" i="4"/>
  <c r="AI777" i="4"/>
  <c r="AE777" i="4"/>
  <c r="I777" i="4"/>
  <c r="C777" i="4"/>
  <c r="AU776" i="4"/>
  <c r="AS776" i="4"/>
  <c r="AQ776" i="4"/>
  <c r="AM776" i="4"/>
  <c r="AI776" i="4"/>
  <c r="AE776" i="4"/>
  <c r="I776" i="4"/>
  <c r="C776" i="4"/>
  <c r="AU775" i="4"/>
  <c r="AS775" i="4"/>
  <c r="AQ775" i="4"/>
  <c r="AM775" i="4"/>
  <c r="AI775" i="4"/>
  <c r="AE775" i="4"/>
  <c r="I775" i="4"/>
  <c r="C775" i="4"/>
  <c r="AU774" i="4"/>
  <c r="AS774" i="4"/>
  <c r="AQ774" i="4"/>
  <c r="AM774" i="4"/>
  <c r="AI774" i="4"/>
  <c r="AE774" i="4"/>
  <c r="I774" i="4"/>
  <c r="C774" i="4"/>
  <c r="AU773" i="4"/>
  <c r="AS773" i="4"/>
  <c r="AQ773" i="4"/>
  <c r="AM773" i="4"/>
  <c r="AI773" i="4"/>
  <c r="AE773" i="4"/>
  <c r="I773" i="4"/>
  <c r="C773" i="4"/>
  <c r="AU772" i="4"/>
  <c r="AS772" i="4"/>
  <c r="AQ772" i="4"/>
  <c r="AM772" i="4"/>
  <c r="AI772" i="4"/>
  <c r="AE772" i="4"/>
  <c r="I772" i="4"/>
  <c r="C772" i="4"/>
  <c r="AU771" i="4"/>
  <c r="AS771" i="4"/>
  <c r="AQ771" i="4"/>
  <c r="AM771" i="4"/>
  <c r="AI771" i="4"/>
  <c r="AE771" i="4"/>
  <c r="I771" i="4"/>
  <c r="C771" i="4"/>
  <c r="AU770" i="4"/>
  <c r="AS770" i="4"/>
  <c r="AQ770" i="4"/>
  <c r="AM770" i="4"/>
  <c r="AI770" i="4"/>
  <c r="AE770" i="4"/>
  <c r="I770" i="4"/>
  <c r="C770" i="4"/>
  <c r="AU769" i="4"/>
  <c r="AS769" i="4"/>
  <c r="AQ769" i="4"/>
  <c r="AM769" i="4"/>
  <c r="AI769" i="4"/>
  <c r="AE769" i="4"/>
  <c r="I769" i="4"/>
  <c r="C769" i="4"/>
  <c r="AU768" i="4"/>
  <c r="AS768" i="4"/>
  <c r="AQ768" i="4"/>
  <c r="AM768" i="4"/>
  <c r="AI768" i="4"/>
  <c r="C768" i="4"/>
  <c r="AU767" i="4"/>
  <c r="AS767" i="4"/>
  <c r="AQ767" i="4"/>
  <c r="AM767" i="4"/>
  <c r="AI767" i="4"/>
  <c r="AE767" i="4"/>
  <c r="I767" i="4"/>
  <c r="C767" i="4"/>
  <c r="AU766" i="4"/>
  <c r="AS766" i="4"/>
  <c r="AQ766" i="4"/>
  <c r="AM766" i="4"/>
  <c r="AI766" i="4"/>
  <c r="AE766" i="4"/>
  <c r="I766" i="4"/>
  <c r="AU765" i="4"/>
  <c r="AS765" i="4"/>
  <c r="AQ765" i="4"/>
  <c r="AM765" i="4"/>
  <c r="AI765" i="4"/>
  <c r="AE765" i="4"/>
  <c r="I765" i="4"/>
  <c r="AU764" i="4"/>
  <c r="AS764" i="4"/>
  <c r="AQ764" i="4"/>
  <c r="AM764" i="4"/>
  <c r="AI764" i="4"/>
  <c r="AE764" i="4"/>
  <c r="I764" i="4"/>
  <c r="AU763" i="4"/>
  <c r="AS763" i="4"/>
  <c r="AQ763" i="4"/>
  <c r="AM763" i="4"/>
  <c r="AI763" i="4"/>
  <c r="AE763" i="4"/>
  <c r="I763" i="4"/>
  <c r="AU762" i="4"/>
  <c r="AS762" i="4"/>
  <c r="AQ762" i="4"/>
  <c r="AM762" i="4"/>
  <c r="AI762" i="4"/>
  <c r="AE762" i="4"/>
  <c r="I762" i="4"/>
  <c r="AU761" i="4"/>
  <c r="AS761" i="4"/>
  <c r="AQ761" i="4"/>
  <c r="AM761" i="4"/>
  <c r="AI761" i="4"/>
  <c r="I761" i="4"/>
  <c r="AU760" i="4"/>
  <c r="AS760" i="4"/>
  <c r="AQ760" i="4"/>
  <c r="AM760" i="4"/>
  <c r="AI760" i="4"/>
  <c r="I760" i="4"/>
  <c r="AU759" i="4"/>
  <c r="AS759" i="4"/>
  <c r="AQ759" i="4"/>
  <c r="AM759" i="4"/>
  <c r="AI759" i="4"/>
  <c r="I759" i="4"/>
  <c r="AU758" i="4"/>
  <c r="AS758" i="4"/>
  <c r="AQ758" i="4"/>
  <c r="AM758" i="4"/>
  <c r="AI758" i="4"/>
  <c r="AE758" i="4"/>
  <c r="I758" i="4"/>
  <c r="C758" i="4"/>
  <c r="AU757" i="4"/>
  <c r="AS757" i="4"/>
  <c r="AQ757" i="4"/>
  <c r="AM757" i="4"/>
  <c r="AI757" i="4"/>
  <c r="AE757" i="4"/>
  <c r="I757" i="4"/>
  <c r="C757" i="4"/>
  <c r="AU756" i="4"/>
  <c r="AS756" i="4"/>
  <c r="AQ756" i="4"/>
  <c r="AM756" i="4"/>
  <c r="AI756" i="4"/>
  <c r="AE756" i="4"/>
  <c r="I756" i="4"/>
  <c r="C756" i="4"/>
  <c r="AU755" i="4"/>
  <c r="AS755" i="4"/>
  <c r="AQ755" i="4"/>
  <c r="AM755" i="4"/>
  <c r="AI755" i="4"/>
  <c r="AE755" i="4"/>
  <c r="I755" i="4"/>
  <c r="C755" i="4"/>
  <c r="AU754" i="4"/>
  <c r="AS754" i="4"/>
  <c r="AQ754" i="4"/>
  <c r="AM754" i="4"/>
  <c r="AI754" i="4"/>
  <c r="AE754" i="4"/>
  <c r="I754" i="4"/>
  <c r="C754" i="4"/>
  <c r="AU753" i="4"/>
  <c r="AS753" i="4"/>
  <c r="AQ753" i="4"/>
  <c r="AM753" i="4"/>
  <c r="AI753" i="4"/>
  <c r="AE753" i="4"/>
  <c r="I753" i="4"/>
  <c r="AU752" i="4"/>
  <c r="AS752" i="4"/>
  <c r="AQ752" i="4"/>
  <c r="AM752" i="4"/>
  <c r="AI752" i="4"/>
  <c r="AE752" i="4"/>
  <c r="I752" i="4"/>
  <c r="AU751" i="4"/>
  <c r="AS751" i="4"/>
  <c r="AQ751" i="4"/>
  <c r="AM751" i="4"/>
  <c r="AI751" i="4"/>
  <c r="AE751" i="4"/>
  <c r="I751" i="4"/>
  <c r="AU750" i="4"/>
  <c r="AS750" i="4"/>
  <c r="AQ750" i="4"/>
  <c r="AM750" i="4"/>
  <c r="AI750" i="4"/>
  <c r="AE750" i="4"/>
  <c r="I750" i="4"/>
  <c r="AU749" i="4"/>
  <c r="AS749" i="4"/>
  <c r="AQ749" i="4"/>
  <c r="AM749" i="4"/>
  <c r="AI749" i="4"/>
  <c r="AE749" i="4"/>
  <c r="I749" i="4"/>
  <c r="AU748" i="4"/>
  <c r="AS748" i="4"/>
  <c r="AQ748" i="4"/>
  <c r="AM748" i="4"/>
  <c r="AI748" i="4"/>
  <c r="AE748" i="4"/>
  <c r="I748" i="4"/>
  <c r="AU747" i="4"/>
  <c r="AS747" i="4"/>
  <c r="AQ747" i="4"/>
  <c r="AM747" i="4"/>
  <c r="AI747" i="4"/>
  <c r="AE747" i="4"/>
  <c r="I747" i="4"/>
  <c r="C747" i="4"/>
  <c r="AU746" i="4"/>
  <c r="AS746" i="4"/>
  <c r="AQ746" i="4"/>
  <c r="AM746" i="4"/>
  <c r="AI746" i="4"/>
  <c r="AE746" i="4"/>
  <c r="I746" i="4"/>
  <c r="C746" i="4"/>
  <c r="AU745" i="4"/>
  <c r="AS745" i="4"/>
  <c r="AQ745" i="4"/>
  <c r="AM745" i="4"/>
  <c r="AI745" i="4"/>
  <c r="AE745" i="4"/>
  <c r="I745" i="4"/>
  <c r="C745" i="4"/>
  <c r="AU744" i="4"/>
  <c r="AS744" i="4"/>
  <c r="AQ744" i="4"/>
  <c r="AM744" i="4"/>
  <c r="AI744" i="4"/>
  <c r="AE744" i="4"/>
  <c r="I744" i="4"/>
  <c r="C744" i="4"/>
  <c r="AU743" i="4"/>
  <c r="AS743" i="4"/>
  <c r="AQ743" i="4"/>
  <c r="AM743" i="4"/>
  <c r="AI743" i="4"/>
  <c r="AE743" i="4"/>
  <c r="I743" i="4"/>
  <c r="C743" i="4"/>
  <c r="AU742" i="4"/>
  <c r="AS742" i="4"/>
  <c r="AQ742" i="4"/>
  <c r="AM742" i="4"/>
  <c r="AI742" i="4"/>
  <c r="AE742" i="4"/>
  <c r="I742" i="4"/>
  <c r="C742" i="4"/>
  <c r="AU741" i="4"/>
  <c r="AS741" i="4"/>
  <c r="AQ741" i="4"/>
  <c r="AM741" i="4"/>
  <c r="AI741" i="4"/>
  <c r="AE741" i="4"/>
  <c r="I741" i="4"/>
  <c r="C741" i="4"/>
  <c r="AU740" i="4"/>
  <c r="AS740" i="4"/>
  <c r="AQ740" i="4"/>
  <c r="AM740" i="4"/>
  <c r="AI740" i="4"/>
  <c r="AE740" i="4"/>
  <c r="I740" i="4"/>
  <c r="C740" i="4"/>
  <c r="AU739" i="4"/>
  <c r="AS739" i="4"/>
  <c r="AQ739" i="4"/>
  <c r="AM739" i="4"/>
  <c r="AI739" i="4"/>
  <c r="AE739" i="4"/>
  <c r="I739" i="4"/>
  <c r="C739" i="4"/>
  <c r="AU738" i="4"/>
  <c r="AS738" i="4"/>
  <c r="AQ738" i="4"/>
  <c r="AM738" i="4"/>
  <c r="AI738" i="4"/>
  <c r="AE738" i="4"/>
  <c r="I738" i="4"/>
  <c r="C738" i="4"/>
  <c r="AU737" i="4"/>
  <c r="AS737" i="4"/>
  <c r="AQ737" i="4"/>
  <c r="AM737" i="4"/>
  <c r="AI737" i="4"/>
  <c r="AE737" i="4"/>
  <c r="I737" i="4"/>
  <c r="C737" i="4"/>
  <c r="AU736" i="4"/>
  <c r="AS736" i="4"/>
  <c r="AQ736" i="4"/>
  <c r="AM736" i="4"/>
  <c r="AI736" i="4"/>
  <c r="AE736" i="4"/>
  <c r="I736" i="4"/>
  <c r="C736" i="4"/>
  <c r="AU735" i="4"/>
  <c r="AS735" i="4"/>
  <c r="AQ735" i="4"/>
  <c r="AM735" i="4"/>
  <c r="AI735" i="4"/>
  <c r="AE735" i="4"/>
  <c r="I735" i="4"/>
  <c r="C735" i="4"/>
  <c r="AU734" i="4"/>
  <c r="AS734" i="4"/>
  <c r="AQ734" i="4"/>
  <c r="AM734" i="4"/>
  <c r="AI734" i="4"/>
  <c r="AE734" i="4"/>
  <c r="I734" i="4"/>
  <c r="C734" i="4"/>
  <c r="AU733" i="4"/>
  <c r="AS733" i="4"/>
  <c r="AQ733" i="4"/>
  <c r="AM733" i="4"/>
  <c r="AI733" i="4"/>
  <c r="AE733" i="4"/>
  <c r="I733" i="4"/>
  <c r="C733" i="4"/>
  <c r="AU732" i="4"/>
  <c r="AS732" i="4"/>
  <c r="AQ732" i="4"/>
  <c r="AM732" i="4"/>
  <c r="AI732" i="4"/>
  <c r="AE732" i="4"/>
  <c r="I732" i="4"/>
  <c r="C732" i="4"/>
  <c r="AU731" i="4"/>
  <c r="AS731" i="4"/>
  <c r="AQ731" i="4"/>
  <c r="AM731" i="4"/>
  <c r="AI731" i="4"/>
  <c r="AE731" i="4"/>
  <c r="I731" i="4"/>
  <c r="C731" i="4"/>
  <c r="AU730" i="4"/>
  <c r="AS730" i="4"/>
  <c r="AQ730" i="4"/>
  <c r="AM730" i="4"/>
  <c r="AI730" i="4"/>
  <c r="AE730" i="4"/>
  <c r="I730" i="4"/>
  <c r="C730" i="4"/>
  <c r="AU729" i="4"/>
  <c r="AS729" i="4"/>
  <c r="AQ729" i="4"/>
  <c r="AM729" i="4"/>
  <c r="AI729" i="4"/>
  <c r="AE729" i="4"/>
  <c r="I729" i="4"/>
  <c r="C729" i="4"/>
  <c r="AU728" i="4"/>
  <c r="AS728" i="4"/>
  <c r="AQ728" i="4"/>
  <c r="AM728" i="4"/>
  <c r="AI728" i="4"/>
  <c r="AE728" i="4"/>
  <c r="I728" i="4"/>
  <c r="C728" i="4"/>
  <c r="AU727" i="4"/>
  <c r="AS727" i="4"/>
  <c r="AQ727" i="4"/>
  <c r="AM727" i="4"/>
  <c r="AI727" i="4"/>
  <c r="AE727" i="4"/>
  <c r="I727" i="4"/>
  <c r="C727" i="4"/>
  <c r="AU726" i="4"/>
  <c r="AS726" i="4"/>
  <c r="AQ726" i="4"/>
  <c r="AM726" i="4"/>
  <c r="AI726" i="4"/>
  <c r="AE726" i="4"/>
  <c r="I726" i="4"/>
  <c r="C726" i="4"/>
  <c r="AU725" i="4"/>
  <c r="AS725" i="4"/>
  <c r="AQ725" i="4"/>
  <c r="AM725" i="4"/>
  <c r="AI725" i="4"/>
  <c r="AE725" i="4"/>
  <c r="I725" i="4"/>
  <c r="C725" i="4"/>
  <c r="AU724" i="4"/>
  <c r="AQ724" i="4"/>
  <c r="AM724" i="4"/>
  <c r="AI724" i="4"/>
  <c r="AE724" i="4"/>
  <c r="I724" i="4"/>
  <c r="C724" i="4"/>
  <c r="AU723" i="4"/>
  <c r="AQ723" i="4"/>
  <c r="AM723" i="4"/>
  <c r="AI723" i="4"/>
  <c r="AE723" i="4"/>
  <c r="I723" i="4"/>
  <c r="C723" i="4"/>
  <c r="AU722" i="4"/>
  <c r="AQ722" i="4"/>
  <c r="AM722" i="4"/>
  <c r="AI722" i="4"/>
  <c r="AE722" i="4"/>
  <c r="I722" i="4"/>
  <c r="C722" i="4"/>
  <c r="AU721" i="4"/>
  <c r="AS721" i="4"/>
  <c r="AQ721" i="4"/>
  <c r="AM721" i="4"/>
  <c r="AI721" i="4"/>
  <c r="AE721" i="4"/>
  <c r="I721" i="4"/>
  <c r="C721" i="4"/>
  <c r="AU720" i="4"/>
  <c r="AS720" i="4"/>
  <c r="AQ720" i="4"/>
  <c r="AM720" i="4"/>
  <c r="AI720" i="4"/>
  <c r="AE720" i="4"/>
  <c r="I720" i="4"/>
  <c r="C720" i="4"/>
  <c r="AU719" i="4"/>
  <c r="AS719" i="4"/>
  <c r="AQ719" i="4"/>
  <c r="AM719" i="4"/>
  <c r="AI719" i="4"/>
  <c r="AE719" i="4"/>
  <c r="I719" i="4"/>
  <c r="C719" i="4"/>
  <c r="AU718" i="4"/>
  <c r="AS718" i="4"/>
  <c r="AQ718" i="4"/>
  <c r="AM718" i="4"/>
  <c r="AI718" i="4"/>
  <c r="AE718" i="4"/>
  <c r="I718" i="4"/>
  <c r="C718" i="4"/>
  <c r="AU717" i="4"/>
  <c r="AS717" i="4"/>
  <c r="AQ717" i="4"/>
  <c r="AM717" i="4"/>
  <c r="AI717" i="4"/>
  <c r="AE717" i="4"/>
  <c r="I717" i="4"/>
  <c r="C717" i="4"/>
  <c r="AU716" i="4"/>
  <c r="AS716" i="4"/>
  <c r="AQ716" i="4"/>
  <c r="AM716" i="4"/>
  <c r="AI716" i="4"/>
  <c r="AE716" i="4"/>
  <c r="I716" i="4"/>
  <c r="C716" i="4"/>
  <c r="AU715" i="4"/>
  <c r="AS715" i="4"/>
  <c r="AQ715" i="4"/>
  <c r="AM715" i="4"/>
  <c r="AI715" i="4"/>
  <c r="AE715" i="4"/>
  <c r="I715" i="4"/>
  <c r="C715" i="4"/>
  <c r="AU714" i="4"/>
  <c r="AS714" i="4"/>
  <c r="AQ714" i="4"/>
  <c r="AM714" i="4"/>
  <c r="AI714" i="4"/>
  <c r="C714" i="4"/>
  <c r="AU713" i="4"/>
  <c r="AS713" i="4"/>
  <c r="AQ713" i="4"/>
  <c r="AM713" i="4"/>
  <c r="AI713" i="4"/>
  <c r="AE713" i="4"/>
  <c r="I713" i="4"/>
  <c r="C713" i="4"/>
  <c r="AU712" i="4"/>
  <c r="AS712" i="4"/>
  <c r="AQ712" i="4"/>
  <c r="AM712" i="4"/>
  <c r="AI712" i="4"/>
  <c r="AE712" i="4"/>
  <c r="I712" i="4"/>
  <c r="C712" i="4"/>
  <c r="AU711" i="4"/>
  <c r="AS711" i="4"/>
  <c r="AQ711" i="4"/>
  <c r="AM711" i="4"/>
  <c r="AI711" i="4"/>
  <c r="AE711" i="4"/>
  <c r="C711" i="4"/>
  <c r="AU710" i="4"/>
  <c r="AS710" i="4"/>
  <c r="AQ710" i="4"/>
  <c r="AM710" i="4"/>
  <c r="AI710" i="4"/>
  <c r="AE710" i="4"/>
  <c r="I710" i="4"/>
  <c r="C710" i="4"/>
  <c r="AU709" i="4"/>
  <c r="AS709" i="4"/>
  <c r="AQ709" i="4"/>
  <c r="AM709" i="4"/>
  <c r="AI709" i="4"/>
  <c r="AE709" i="4"/>
  <c r="C709" i="4"/>
  <c r="AU708" i="4"/>
  <c r="AS708" i="4"/>
  <c r="AQ708" i="4"/>
  <c r="AM708" i="4"/>
  <c r="AI708" i="4"/>
  <c r="AE708" i="4"/>
  <c r="I708" i="4"/>
  <c r="C708" i="4"/>
  <c r="AU707" i="4"/>
  <c r="AS707" i="4"/>
  <c r="AQ707" i="4"/>
  <c r="AM707" i="4"/>
  <c r="AI707" i="4"/>
  <c r="AE707" i="4"/>
  <c r="I707" i="4"/>
  <c r="C707" i="4"/>
  <c r="AU706" i="4"/>
  <c r="AS706" i="4"/>
  <c r="AQ706" i="4"/>
  <c r="AM706" i="4"/>
  <c r="AI706" i="4"/>
  <c r="AE706" i="4"/>
  <c r="I706" i="4"/>
  <c r="C706" i="4"/>
  <c r="AU705" i="4"/>
  <c r="AS705" i="4"/>
  <c r="AQ705" i="4"/>
  <c r="AM705" i="4"/>
  <c r="AI705" i="4"/>
  <c r="AE705" i="4"/>
  <c r="I705" i="4"/>
  <c r="C705" i="4"/>
  <c r="AU704" i="4"/>
  <c r="AS704" i="4"/>
  <c r="AQ704" i="4"/>
  <c r="AM704" i="4"/>
  <c r="AI704" i="4"/>
  <c r="AE704" i="4"/>
  <c r="I704" i="4"/>
  <c r="C704" i="4"/>
  <c r="AU703" i="4"/>
  <c r="AS703" i="4"/>
  <c r="AQ703" i="4"/>
  <c r="AM703" i="4"/>
  <c r="AI703" i="4"/>
  <c r="AE703" i="4"/>
  <c r="I703" i="4"/>
  <c r="C703" i="4"/>
  <c r="AU702" i="4"/>
  <c r="AS702" i="4"/>
  <c r="AQ702" i="4"/>
  <c r="AM702" i="4"/>
  <c r="AI702" i="4"/>
  <c r="AE702" i="4"/>
  <c r="I702" i="4"/>
  <c r="C702" i="4"/>
  <c r="AU701" i="4"/>
  <c r="AS701" i="4"/>
  <c r="AQ701" i="4"/>
  <c r="AM701" i="4"/>
  <c r="AI701" i="4"/>
  <c r="AE701" i="4"/>
  <c r="I701" i="4"/>
  <c r="C701" i="4"/>
  <c r="AU700" i="4"/>
  <c r="AS700" i="4"/>
  <c r="AQ700" i="4"/>
  <c r="AM700" i="4"/>
  <c r="AI700" i="4"/>
  <c r="AE700" i="4"/>
  <c r="I700" i="4"/>
  <c r="C700" i="4"/>
  <c r="AU699" i="4"/>
  <c r="AQ699" i="4"/>
  <c r="AM699" i="4"/>
  <c r="AI699" i="4"/>
  <c r="C699" i="4"/>
  <c r="AU697" i="4"/>
  <c r="AS697" i="4"/>
  <c r="AQ697" i="4"/>
  <c r="AM697" i="4"/>
  <c r="AI697" i="4"/>
  <c r="C697" i="4"/>
  <c r="AU696" i="4"/>
  <c r="AS696" i="4"/>
  <c r="AQ696" i="4"/>
  <c r="AM696" i="4"/>
  <c r="AI696" i="4"/>
  <c r="AE696" i="4"/>
  <c r="I696" i="4"/>
  <c r="C696" i="4"/>
  <c r="AU695" i="4"/>
  <c r="AS695" i="4"/>
  <c r="AQ695" i="4"/>
  <c r="AM695" i="4"/>
  <c r="AI695" i="4"/>
  <c r="AE695" i="4"/>
  <c r="I695" i="4"/>
  <c r="C695" i="4"/>
  <c r="AU694" i="4"/>
  <c r="AS694" i="4"/>
  <c r="AQ694" i="4"/>
  <c r="AM694" i="4"/>
  <c r="AI694" i="4"/>
  <c r="AE694" i="4"/>
  <c r="I694" i="4"/>
  <c r="C694" i="4"/>
  <c r="AU693" i="4"/>
  <c r="AQ693" i="4"/>
  <c r="AM693" i="4"/>
  <c r="AI693" i="4"/>
  <c r="AE693" i="4"/>
  <c r="I693" i="4"/>
  <c r="C693" i="4"/>
  <c r="AU692" i="4"/>
  <c r="AQ692" i="4"/>
  <c r="AM692" i="4"/>
  <c r="AI692" i="4"/>
  <c r="AE692" i="4"/>
  <c r="I692" i="4"/>
  <c r="C692" i="4"/>
  <c r="AU691" i="4"/>
  <c r="AQ691" i="4"/>
  <c r="AM691" i="4"/>
  <c r="AI691" i="4"/>
  <c r="AE691" i="4"/>
  <c r="I691" i="4"/>
  <c r="C691" i="4"/>
  <c r="AU690" i="4"/>
  <c r="AS690" i="4"/>
  <c r="AQ690" i="4"/>
  <c r="AM690" i="4"/>
  <c r="AI690" i="4"/>
  <c r="AE690" i="4"/>
  <c r="C690" i="4"/>
  <c r="AU689" i="4"/>
  <c r="AS689" i="4"/>
  <c r="AQ689" i="4"/>
  <c r="AM689" i="4"/>
  <c r="AI689" i="4"/>
  <c r="AE689" i="4"/>
  <c r="I689" i="4"/>
  <c r="C689" i="4"/>
  <c r="AU688" i="4"/>
  <c r="AS688" i="4"/>
  <c r="AQ688" i="4"/>
  <c r="AM688" i="4"/>
  <c r="AI688" i="4"/>
  <c r="AE688" i="4"/>
  <c r="C688" i="4"/>
  <c r="AU687" i="4"/>
  <c r="AS687" i="4"/>
  <c r="AQ687" i="4"/>
  <c r="AM687" i="4"/>
  <c r="AI687" i="4"/>
  <c r="AE687" i="4"/>
  <c r="I687" i="4"/>
  <c r="C687" i="4"/>
  <c r="AU686" i="4"/>
  <c r="AS686" i="4"/>
  <c r="AQ686" i="4"/>
  <c r="AM686" i="4"/>
  <c r="C686" i="4"/>
  <c r="AU685" i="4"/>
  <c r="AS685" i="4"/>
  <c r="AQ685" i="4"/>
  <c r="AM685" i="4"/>
  <c r="AI685" i="4"/>
  <c r="AE685" i="4"/>
  <c r="I685" i="4"/>
  <c r="C685" i="4"/>
  <c r="AU684" i="4"/>
  <c r="AS684" i="4"/>
  <c r="AQ684" i="4"/>
  <c r="AM684" i="4"/>
  <c r="AI684" i="4"/>
  <c r="AE684" i="4"/>
  <c r="I684" i="4"/>
  <c r="C684" i="4"/>
  <c r="AU683" i="4"/>
  <c r="AS683" i="4"/>
  <c r="AQ683" i="4"/>
  <c r="AM683" i="4"/>
  <c r="AI683" i="4"/>
  <c r="AE683" i="4"/>
  <c r="I683" i="4"/>
  <c r="C683" i="4"/>
  <c r="AU682" i="4"/>
  <c r="AS682" i="4"/>
  <c r="AQ682" i="4"/>
  <c r="AM682" i="4"/>
  <c r="AI682" i="4"/>
  <c r="AE682" i="4"/>
  <c r="I682" i="4"/>
  <c r="C682" i="4"/>
  <c r="AU681" i="4"/>
  <c r="AS681" i="4"/>
  <c r="C681" i="4"/>
  <c r="AU680" i="4"/>
  <c r="AS680" i="4"/>
  <c r="AQ680" i="4"/>
  <c r="AM680" i="4"/>
  <c r="AI680" i="4"/>
  <c r="AE680" i="4"/>
  <c r="C680" i="4"/>
  <c r="AU679" i="4"/>
  <c r="AS679" i="4"/>
  <c r="AQ679" i="4"/>
  <c r="AM679" i="4"/>
  <c r="AI679" i="4"/>
  <c r="C679" i="4"/>
  <c r="AU678" i="4"/>
  <c r="AS678" i="4"/>
  <c r="AQ678" i="4"/>
  <c r="AM678" i="4"/>
  <c r="AI678" i="4"/>
  <c r="AE678" i="4"/>
  <c r="I678" i="4"/>
  <c r="C678" i="4"/>
  <c r="AU677" i="4"/>
  <c r="AS677" i="4"/>
  <c r="AQ677" i="4"/>
  <c r="AM677" i="4"/>
  <c r="AI677" i="4"/>
  <c r="AE677" i="4"/>
  <c r="C677" i="4"/>
  <c r="AU676" i="4"/>
  <c r="AS676" i="4"/>
  <c r="AQ676" i="4"/>
  <c r="AM676" i="4"/>
  <c r="AI676" i="4"/>
  <c r="C676" i="4"/>
  <c r="AU675" i="4"/>
  <c r="AS675" i="4"/>
  <c r="AQ675" i="4"/>
  <c r="AM675" i="4"/>
  <c r="AI675" i="4"/>
  <c r="I675" i="4"/>
  <c r="C675" i="4"/>
  <c r="AU674" i="4"/>
  <c r="AS674" i="4"/>
  <c r="AQ674" i="4"/>
  <c r="AM674" i="4"/>
  <c r="AI674" i="4"/>
  <c r="AE674" i="4"/>
  <c r="I674" i="4"/>
  <c r="C674" i="4"/>
  <c r="AU673" i="4"/>
  <c r="AS673" i="4"/>
  <c r="AQ673" i="4"/>
  <c r="AM673" i="4"/>
  <c r="AI673" i="4"/>
  <c r="AE673" i="4"/>
  <c r="I673" i="4"/>
  <c r="C673" i="4"/>
  <c r="AU672" i="4"/>
  <c r="AS672" i="4"/>
  <c r="AQ672" i="4"/>
  <c r="AM672" i="4"/>
  <c r="AI672" i="4"/>
  <c r="AE672" i="4"/>
  <c r="I672" i="4"/>
  <c r="C672" i="4"/>
  <c r="AU671" i="4"/>
  <c r="AS671" i="4"/>
  <c r="AQ671" i="4"/>
  <c r="AM671" i="4"/>
  <c r="AI671" i="4"/>
  <c r="AE671" i="4"/>
  <c r="I671" i="4"/>
  <c r="C671" i="4"/>
  <c r="AU670" i="4"/>
  <c r="AS670" i="4"/>
  <c r="AQ670" i="4"/>
  <c r="AM670" i="4"/>
  <c r="C670" i="4"/>
  <c r="AU669" i="4"/>
  <c r="AS669" i="4"/>
  <c r="AQ669" i="4"/>
  <c r="AM669" i="4"/>
  <c r="AI669" i="4"/>
  <c r="AE669" i="4"/>
  <c r="C669" i="4"/>
  <c r="AU668" i="4"/>
  <c r="AS668" i="4"/>
  <c r="AQ668" i="4"/>
  <c r="AM668" i="4"/>
  <c r="C668" i="4"/>
  <c r="AU667" i="4"/>
  <c r="AS667" i="4"/>
  <c r="AQ667" i="4"/>
  <c r="AM667" i="4"/>
  <c r="AI667" i="4"/>
  <c r="AE667" i="4"/>
  <c r="I667" i="4"/>
  <c r="C667" i="4"/>
  <c r="AU666" i="4"/>
  <c r="AS666" i="4"/>
  <c r="AQ666" i="4"/>
  <c r="AM666" i="4"/>
  <c r="AI666" i="4"/>
  <c r="C666" i="4"/>
  <c r="AU665" i="4"/>
  <c r="AS665" i="4"/>
  <c r="AQ665" i="4"/>
  <c r="AM665" i="4"/>
  <c r="AI665" i="4"/>
  <c r="AE665" i="4"/>
  <c r="I665" i="4"/>
  <c r="C665" i="4"/>
  <c r="AU664" i="4"/>
  <c r="AS664" i="4"/>
  <c r="AQ664" i="4"/>
  <c r="AM664" i="4"/>
  <c r="AI664" i="4"/>
  <c r="AE664" i="4"/>
  <c r="I664" i="4"/>
  <c r="C664" i="4"/>
  <c r="AU663" i="4"/>
  <c r="AS663" i="4"/>
  <c r="AQ663" i="4"/>
  <c r="AM663" i="4"/>
  <c r="AI663" i="4"/>
  <c r="AE663" i="4"/>
  <c r="I663" i="4"/>
  <c r="C663" i="4"/>
  <c r="AU662" i="4"/>
  <c r="AS662" i="4"/>
  <c r="AQ662" i="4"/>
  <c r="AM662" i="4"/>
  <c r="AI662" i="4"/>
  <c r="AE662" i="4"/>
  <c r="I662" i="4"/>
  <c r="C662" i="4"/>
  <c r="AU661" i="4"/>
  <c r="AS661" i="4"/>
  <c r="AQ661" i="4"/>
  <c r="AM661" i="4"/>
  <c r="AI661" i="4"/>
  <c r="AE661" i="4"/>
  <c r="I661" i="4"/>
  <c r="C661" i="4"/>
  <c r="AU660" i="4"/>
  <c r="AS660" i="4"/>
  <c r="AQ660" i="4"/>
  <c r="AM660" i="4"/>
  <c r="AI660" i="4"/>
  <c r="C660" i="4"/>
  <c r="AU659" i="4"/>
  <c r="AS659" i="4"/>
  <c r="AQ659" i="4"/>
  <c r="AM659" i="4"/>
  <c r="AI659" i="4"/>
  <c r="C659" i="4"/>
  <c r="AU658" i="4"/>
  <c r="AS658" i="4"/>
  <c r="AQ658" i="4"/>
  <c r="AM658" i="4"/>
  <c r="C658" i="4"/>
  <c r="AU657" i="4"/>
  <c r="AS657" i="4"/>
  <c r="AQ657" i="4"/>
  <c r="AM657" i="4"/>
  <c r="AI657" i="4"/>
  <c r="C657" i="4"/>
  <c r="AU656" i="4"/>
  <c r="AS656" i="4"/>
  <c r="AQ656" i="4"/>
  <c r="AM656" i="4"/>
  <c r="AI656" i="4"/>
  <c r="AE656" i="4"/>
  <c r="I656" i="4"/>
  <c r="C656" i="4"/>
  <c r="AU655" i="4"/>
  <c r="AS655" i="4"/>
  <c r="AQ655" i="4"/>
  <c r="AM655" i="4"/>
  <c r="AI655" i="4"/>
  <c r="AE655" i="4"/>
  <c r="I655" i="4"/>
  <c r="C655" i="4"/>
  <c r="AU654" i="4"/>
  <c r="AS654" i="4"/>
  <c r="AQ654" i="4"/>
  <c r="AM654" i="4"/>
  <c r="AI654" i="4"/>
  <c r="AE654" i="4"/>
  <c r="I654" i="4"/>
  <c r="C654" i="4"/>
  <c r="AU653" i="4"/>
  <c r="AS653" i="4"/>
  <c r="AQ653" i="4"/>
  <c r="AM653" i="4"/>
  <c r="AI653" i="4"/>
  <c r="AE653" i="4"/>
  <c r="I653" i="4"/>
  <c r="C653" i="4"/>
  <c r="AU652" i="4"/>
  <c r="AS652" i="4"/>
  <c r="AQ652" i="4"/>
  <c r="AM652" i="4"/>
  <c r="C652" i="4"/>
  <c r="AU651" i="4"/>
  <c r="AS651" i="4"/>
  <c r="AQ651" i="4"/>
  <c r="AM651" i="4"/>
  <c r="AI651" i="4"/>
  <c r="AE651" i="4"/>
  <c r="I651" i="4"/>
  <c r="C651" i="4"/>
  <c r="AU650" i="4"/>
  <c r="AS650" i="4"/>
  <c r="AQ650" i="4"/>
  <c r="AM650" i="4"/>
  <c r="AI650" i="4"/>
  <c r="AE650" i="4"/>
  <c r="I650" i="4"/>
  <c r="C650" i="4"/>
  <c r="AU649" i="4"/>
  <c r="AS649" i="4"/>
  <c r="AQ649" i="4"/>
  <c r="AM649" i="4"/>
  <c r="AI649" i="4"/>
  <c r="AE649" i="4"/>
  <c r="I649" i="4"/>
  <c r="C649" i="4"/>
  <c r="AU648" i="4"/>
  <c r="AS648" i="4"/>
  <c r="AQ648" i="4"/>
  <c r="AM648" i="4"/>
  <c r="AI648" i="4"/>
  <c r="AE648" i="4"/>
  <c r="C648" i="4"/>
  <c r="AU647" i="4"/>
  <c r="AS647" i="4"/>
  <c r="AQ647" i="4"/>
  <c r="AM647" i="4"/>
  <c r="AI647" i="4"/>
  <c r="AE647" i="4"/>
  <c r="I647" i="4"/>
  <c r="C647" i="4"/>
  <c r="AU646" i="4"/>
  <c r="AS646" i="4"/>
  <c r="AQ646" i="4"/>
  <c r="AM646" i="4"/>
  <c r="AI646" i="4"/>
  <c r="AE646" i="4"/>
  <c r="I646" i="4"/>
  <c r="C646" i="4"/>
  <c r="AU645" i="4"/>
  <c r="AS645" i="4"/>
  <c r="AQ645" i="4"/>
  <c r="AM645" i="4"/>
  <c r="AI645" i="4"/>
  <c r="AE645" i="4"/>
  <c r="I645" i="4"/>
  <c r="C645" i="4"/>
  <c r="AU644" i="4"/>
  <c r="AS644" i="4"/>
  <c r="AQ644" i="4"/>
  <c r="AM644" i="4"/>
  <c r="AI644" i="4"/>
  <c r="AE644" i="4"/>
  <c r="I644" i="4"/>
  <c r="C644" i="4"/>
  <c r="AU643" i="4"/>
  <c r="I643" i="4"/>
  <c r="C643" i="4"/>
  <c r="AU642" i="4"/>
  <c r="I642" i="4"/>
  <c r="C642" i="4"/>
  <c r="AU641" i="4"/>
  <c r="I641" i="4"/>
  <c r="C641" i="4"/>
  <c r="AU640" i="4"/>
  <c r="AQ640" i="4"/>
  <c r="I640" i="4"/>
  <c r="C640" i="4"/>
  <c r="AU639" i="4"/>
  <c r="AQ639" i="4"/>
  <c r="I639" i="4"/>
  <c r="C639" i="4"/>
  <c r="AU638" i="4"/>
  <c r="AS638" i="4"/>
  <c r="AQ638" i="4"/>
  <c r="AM638" i="4"/>
  <c r="AI638" i="4"/>
  <c r="C638" i="4"/>
  <c r="AU637" i="4"/>
  <c r="AQ637" i="4"/>
  <c r="I637" i="4"/>
  <c r="C637" i="4"/>
  <c r="AU636" i="4"/>
  <c r="AS636" i="4"/>
  <c r="AQ636" i="4"/>
  <c r="AM636" i="4"/>
  <c r="AI636" i="4"/>
  <c r="AE636" i="4"/>
  <c r="I636" i="4"/>
  <c r="C636" i="4"/>
  <c r="AU635" i="4"/>
  <c r="AS635" i="4"/>
  <c r="AQ635" i="4"/>
  <c r="AM635" i="4"/>
  <c r="AI635" i="4"/>
  <c r="AE635" i="4"/>
  <c r="I635" i="4"/>
  <c r="C635" i="4"/>
  <c r="AU634" i="4"/>
  <c r="AS634" i="4"/>
  <c r="AQ634" i="4"/>
  <c r="AM634" i="4"/>
  <c r="AI634" i="4"/>
  <c r="AE634" i="4"/>
  <c r="I634" i="4"/>
  <c r="C634" i="4"/>
  <c r="AU633" i="4"/>
  <c r="AS633" i="4"/>
  <c r="AQ633" i="4"/>
  <c r="AM633" i="4"/>
  <c r="AI633" i="4"/>
  <c r="AE633" i="4"/>
  <c r="I633" i="4"/>
  <c r="C633" i="4"/>
  <c r="AU632" i="4"/>
  <c r="AS632" i="4"/>
  <c r="AQ632" i="4"/>
  <c r="AM632" i="4"/>
  <c r="AI632" i="4"/>
  <c r="AE632" i="4"/>
  <c r="I632" i="4"/>
  <c r="C632" i="4"/>
  <c r="AU631" i="4"/>
  <c r="AS631" i="4"/>
  <c r="AQ631" i="4"/>
  <c r="AM631" i="4"/>
  <c r="AI631" i="4"/>
  <c r="AE631" i="4"/>
  <c r="I631" i="4"/>
  <c r="C631" i="4"/>
  <c r="AU630" i="4"/>
  <c r="AS630" i="4"/>
  <c r="AQ630" i="4"/>
  <c r="AM630" i="4"/>
  <c r="AI630" i="4"/>
  <c r="AE630" i="4"/>
  <c r="I630" i="4"/>
  <c r="C630" i="4"/>
  <c r="AU629" i="4"/>
  <c r="AS629" i="4"/>
  <c r="AQ629" i="4"/>
  <c r="AM629" i="4"/>
  <c r="AI629" i="4"/>
  <c r="AE629" i="4"/>
  <c r="I629" i="4"/>
  <c r="C629" i="4"/>
  <c r="AU628" i="4"/>
  <c r="AS628" i="4"/>
  <c r="AQ628" i="4"/>
  <c r="AM628" i="4"/>
  <c r="AI628" i="4"/>
  <c r="AE628" i="4"/>
  <c r="I628" i="4"/>
  <c r="C628" i="4"/>
  <c r="AU626" i="4"/>
  <c r="AS626" i="4"/>
  <c r="AQ626" i="4"/>
  <c r="AM626" i="4"/>
  <c r="AI626" i="4"/>
  <c r="AE626" i="4"/>
  <c r="I626" i="4"/>
  <c r="C626" i="4"/>
  <c r="AU625" i="4"/>
  <c r="AS625" i="4"/>
  <c r="AQ625" i="4"/>
  <c r="AM625" i="4"/>
  <c r="AI625" i="4"/>
  <c r="AE625" i="4"/>
  <c r="I625" i="4"/>
  <c r="C625" i="4"/>
  <c r="AU624" i="4"/>
  <c r="AS624" i="4"/>
  <c r="AQ624" i="4"/>
  <c r="AM624" i="4"/>
  <c r="AI624" i="4"/>
  <c r="AE624" i="4"/>
  <c r="I624" i="4"/>
  <c r="C624" i="4"/>
  <c r="AU623" i="4"/>
  <c r="AS623" i="4"/>
  <c r="AQ623" i="4"/>
  <c r="AM623" i="4"/>
  <c r="AI623" i="4"/>
  <c r="AE623" i="4"/>
  <c r="I623" i="4"/>
  <c r="C623" i="4"/>
  <c r="AU622" i="4"/>
  <c r="AS622" i="4"/>
  <c r="AQ622" i="4"/>
  <c r="AM622" i="4"/>
  <c r="AI622" i="4"/>
  <c r="AE622" i="4"/>
  <c r="I622" i="4"/>
  <c r="C622" i="4"/>
  <c r="AU621" i="4"/>
  <c r="AS621" i="4"/>
  <c r="AQ621" i="4"/>
  <c r="AM621" i="4"/>
  <c r="AI621" i="4"/>
  <c r="AE621" i="4"/>
  <c r="I621" i="4"/>
  <c r="C621" i="4"/>
  <c r="AU620" i="4"/>
  <c r="AS620" i="4"/>
  <c r="AQ620" i="4"/>
  <c r="AM620" i="4"/>
  <c r="AI620" i="4"/>
  <c r="AE620" i="4"/>
  <c r="I620" i="4"/>
  <c r="C620" i="4"/>
  <c r="AU619" i="4"/>
  <c r="AS619" i="4"/>
  <c r="AQ619" i="4"/>
  <c r="AM619" i="4"/>
  <c r="AI619" i="4"/>
  <c r="AE619" i="4"/>
  <c r="I619" i="4"/>
  <c r="C619" i="4"/>
  <c r="AU618" i="4"/>
  <c r="AS618" i="4"/>
  <c r="AQ618" i="4"/>
  <c r="AM618" i="4"/>
  <c r="I618" i="4"/>
  <c r="C618" i="4"/>
  <c r="AU617" i="4"/>
  <c r="AS617" i="4"/>
  <c r="AQ617" i="4"/>
  <c r="AM617" i="4"/>
  <c r="I617" i="4"/>
  <c r="C617" i="4"/>
  <c r="AU616" i="4"/>
  <c r="AS616" i="4"/>
  <c r="AQ616" i="4"/>
  <c r="AM616" i="4"/>
  <c r="I616" i="4"/>
  <c r="C616" i="4"/>
  <c r="AU615" i="4"/>
  <c r="AS615" i="4"/>
  <c r="AQ615" i="4"/>
  <c r="AM615" i="4"/>
  <c r="AI615" i="4"/>
  <c r="AE615" i="4"/>
  <c r="I615" i="4"/>
  <c r="C615" i="4"/>
  <c r="AU614" i="4"/>
  <c r="AS614" i="4"/>
  <c r="AQ614" i="4"/>
  <c r="AM614" i="4"/>
  <c r="AI614" i="4"/>
  <c r="AE614" i="4"/>
  <c r="I614" i="4"/>
  <c r="C614" i="4"/>
  <c r="AU613" i="4"/>
  <c r="AS613" i="4"/>
  <c r="AQ613" i="4"/>
  <c r="AM613" i="4"/>
  <c r="AI613" i="4"/>
  <c r="AE613" i="4"/>
  <c r="I613" i="4"/>
  <c r="C613" i="4"/>
  <c r="AU612" i="4"/>
  <c r="AS612" i="4"/>
  <c r="AQ612" i="4"/>
  <c r="AM612" i="4"/>
  <c r="AI612" i="4"/>
  <c r="AE612" i="4"/>
  <c r="I612" i="4"/>
  <c r="C612" i="4"/>
  <c r="AU611" i="4"/>
  <c r="AS611" i="4"/>
  <c r="AQ611" i="4"/>
  <c r="AM611" i="4"/>
  <c r="AI611" i="4"/>
  <c r="AE611" i="4"/>
  <c r="I611" i="4"/>
  <c r="C611" i="4"/>
  <c r="AU610" i="4"/>
  <c r="AS610" i="4"/>
  <c r="AQ610" i="4"/>
  <c r="AM610" i="4"/>
  <c r="AI610" i="4"/>
  <c r="AE610" i="4"/>
  <c r="I610" i="4"/>
  <c r="C610" i="4"/>
  <c r="AU609" i="4"/>
  <c r="AS609" i="4"/>
  <c r="AQ609" i="4"/>
  <c r="AM609" i="4"/>
  <c r="AI609" i="4"/>
  <c r="AE609" i="4"/>
  <c r="I609" i="4"/>
  <c r="C609" i="4"/>
  <c r="AU608" i="4"/>
  <c r="AS608" i="4"/>
  <c r="AQ608" i="4"/>
  <c r="AM608" i="4"/>
  <c r="AI608" i="4"/>
  <c r="AE608" i="4"/>
  <c r="I608" i="4"/>
  <c r="C608" i="4"/>
  <c r="AU607" i="4"/>
  <c r="AS607" i="4"/>
  <c r="AQ607" i="4"/>
  <c r="AM607" i="4"/>
  <c r="AI607" i="4"/>
  <c r="AE607" i="4"/>
  <c r="I607" i="4"/>
  <c r="C607" i="4"/>
  <c r="AU606" i="4"/>
  <c r="AS606" i="4"/>
  <c r="AQ606" i="4"/>
  <c r="AM606" i="4"/>
  <c r="AI606" i="4"/>
  <c r="AE606" i="4"/>
  <c r="I606" i="4"/>
  <c r="C606" i="4"/>
  <c r="AU605" i="4"/>
  <c r="AS605" i="4"/>
  <c r="AQ605" i="4"/>
  <c r="AM605" i="4"/>
  <c r="AI605" i="4"/>
  <c r="AE605" i="4"/>
  <c r="I605" i="4"/>
  <c r="C605" i="4"/>
  <c r="AU604" i="4"/>
  <c r="AS604" i="4"/>
  <c r="AQ604" i="4"/>
  <c r="AM604" i="4"/>
  <c r="AI604" i="4"/>
  <c r="AE604" i="4"/>
  <c r="I604" i="4"/>
  <c r="C604" i="4"/>
  <c r="AU602" i="4"/>
  <c r="AS602" i="4"/>
  <c r="AQ602" i="4"/>
  <c r="AM602" i="4"/>
  <c r="AI602" i="4"/>
  <c r="AE602" i="4"/>
  <c r="C602" i="4"/>
  <c r="AU601" i="4"/>
  <c r="AS601" i="4"/>
  <c r="AQ601" i="4"/>
  <c r="AM601" i="4"/>
  <c r="AI601" i="4"/>
  <c r="AE601" i="4"/>
  <c r="I601" i="4"/>
  <c r="C601" i="4"/>
  <c r="AU600" i="4"/>
  <c r="AS600" i="4"/>
  <c r="AQ600" i="4"/>
  <c r="AM600" i="4"/>
  <c r="AI600" i="4"/>
  <c r="AE600" i="4"/>
  <c r="I600" i="4"/>
  <c r="C600" i="4"/>
  <c r="AU599" i="4"/>
  <c r="AS599" i="4"/>
  <c r="AQ599" i="4"/>
  <c r="AM599" i="4"/>
  <c r="C599" i="4"/>
  <c r="AU598" i="4"/>
  <c r="AS598" i="4"/>
  <c r="AQ598" i="4"/>
  <c r="AM598" i="4"/>
  <c r="AI598" i="4"/>
  <c r="AE598" i="4"/>
  <c r="I598" i="4"/>
  <c r="C598" i="4"/>
  <c r="AU597" i="4"/>
  <c r="AS597" i="4"/>
  <c r="AQ597" i="4"/>
  <c r="AM597" i="4"/>
  <c r="C597" i="4"/>
  <c r="AU596" i="4"/>
  <c r="AS596" i="4"/>
  <c r="AQ596" i="4"/>
  <c r="AM596" i="4"/>
  <c r="C596" i="4"/>
  <c r="AU595" i="4"/>
  <c r="AS595" i="4"/>
  <c r="AQ595" i="4"/>
  <c r="AM595" i="4"/>
  <c r="AI595" i="4"/>
  <c r="C595" i="4"/>
  <c r="AU594" i="4"/>
  <c r="AS594" i="4"/>
  <c r="AQ594" i="4"/>
  <c r="AM594" i="4"/>
  <c r="AI594" i="4"/>
  <c r="AE594" i="4"/>
  <c r="I594" i="4"/>
  <c r="C594" i="4"/>
  <c r="AU593" i="4"/>
  <c r="AS593" i="4"/>
  <c r="AQ593" i="4"/>
  <c r="AM593" i="4"/>
  <c r="C593" i="4"/>
  <c r="AU592" i="4"/>
  <c r="AS592" i="4"/>
  <c r="AQ592" i="4"/>
  <c r="AM592" i="4"/>
  <c r="AI592" i="4"/>
  <c r="AE592" i="4"/>
  <c r="I592" i="4"/>
  <c r="C592" i="4"/>
  <c r="AU591" i="4"/>
  <c r="AS591" i="4"/>
  <c r="AQ591" i="4"/>
  <c r="AM591" i="4"/>
  <c r="AI591" i="4"/>
  <c r="AE591" i="4"/>
  <c r="I591" i="4"/>
  <c r="C591" i="4"/>
  <c r="AU590" i="4"/>
  <c r="AS590" i="4"/>
  <c r="AQ590" i="4"/>
  <c r="AM590" i="4"/>
  <c r="AI590" i="4"/>
  <c r="AE590" i="4"/>
  <c r="I590" i="4"/>
  <c r="C590" i="4"/>
  <c r="AU589" i="4"/>
  <c r="AQ589" i="4"/>
  <c r="AM589" i="4"/>
  <c r="AI589" i="4"/>
  <c r="AE589" i="4"/>
  <c r="C589" i="4"/>
  <c r="AU588" i="4"/>
  <c r="AS588" i="4"/>
  <c r="AQ588" i="4"/>
  <c r="AM588" i="4"/>
  <c r="AI588" i="4"/>
  <c r="C588" i="4"/>
  <c r="AU587" i="4"/>
  <c r="AS587" i="4"/>
  <c r="AQ587" i="4"/>
  <c r="C587" i="4"/>
  <c r="AU586" i="4"/>
  <c r="AS586" i="4"/>
  <c r="AQ586" i="4"/>
  <c r="AM586" i="4"/>
  <c r="AI586" i="4"/>
  <c r="C586" i="4"/>
  <c r="AU585" i="4"/>
  <c r="AS585" i="4"/>
  <c r="AQ585" i="4"/>
  <c r="AM585" i="4"/>
  <c r="AI585" i="4"/>
  <c r="AE585" i="4"/>
  <c r="I585" i="4"/>
  <c r="C585" i="4"/>
  <c r="AU584" i="4"/>
  <c r="AS584" i="4"/>
  <c r="AQ584" i="4"/>
  <c r="AM584" i="4"/>
  <c r="AI584" i="4"/>
  <c r="AE584" i="4"/>
  <c r="I584" i="4"/>
  <c r="C584" i="4"/>
  <c r="AU583" i="4"/>
  <c r="AS583" i="4"/>
  <c r="AQ583" i="4"/>
  <c r="AM583" i="4"/>
  <c r="AI583" i="4"/>
  <c r="C583" i="4"/>
  <c r="AU582" i="4"/>
  <c r="AS582" i="4"/>
  <c r="AQ582" i="4"/>
  <c r="AM582" i="4"/>
  <c r="AI582" i="4"/>
  <c r="AE582" i="4"/>
  <c r="I582" i="4"/>
  <c r="C582" i="4"/>
  <c r="AU581" i="4"/>
  <c r="AS581" i="4"/>
  <c r="AQ581" i="4"/>
  <c r="AM581" i="4"/>
  <c r="AI581" i="4"/>
  <c r="AE581" i="4"/>
  <c r="I581" i="4"/>
  <c r="C581" i="4"/>
  <c r="AU580" i="4"/>
  <c r="AS580" i="4"/>
  <c r="AQ580" i="4"/>
  <c r="AM580" i="4"/>
  <c r="AI580" i="4"/>
  <c r="AE580" i="4"/>
  <c r="I580" i="4"/>
  <c r="C580" i="4"/>
  <c r="AU579" i="4"/>
  <c r="AS579" i="4"/>
  <c r="AQ579" i="4"/>
  <c r="AM579" i="4"/>
  <c r="AI579" i="4"/>
  <c r="AE579" i="4"/>
  <c r="I579" i="4"/>
  <c r="C579" i="4"/>
  <c r="AU578" i="4"/>
  <c r="AS578" i="4"/>
  <c r="AQ578" i="4"/>
  <c r="AM578" i="4"/>
  <c r="AI578" i="4"/>
  <c r="AE578" i="4"/>
  <c r="I578" i="4"/>
  <c r="C578" i="4"/>
  <c r="AU577" i="4"/>
  <c r="AS577" i="4"/>
  <c r="AQ577" i="4"/>
  <c r="AM577" i="4"/>
  <c r="AI577" i="4"/>
  <c r="AE577" i="4"/>
  <c r="I577" i="4"/>
  <c r="C577" i="4"/>
  <c r="AU576" i="4"/>
  <c r="AS576" i="4"/>
  <c r="AQ576" i="4"/>
  <c r="AM576" i="4"/>
  <c r="AI576" i="4"/>
  <c r="AE576" i="4"/>
  <c r="I576" i="4"/>
  <c r="C576" i="4"/>
  <c r="AU575" i="4"/>
  <c r="AS575" i="4"/>
  <c r="AQ575" i="4"/>
  <c r="AM575" i="4"/>
  <c r="AI575" i="4"/>
  <c r="AE575" i="4"/>
  <c r="I575" i="4"/>
  <c r="C575" i="4"/>
  <c r="AU573" i="4"/>
  <c r="AS573" i="4"/>
  <c r="AQ573" i="4"/>
  <c r="AM573" i="4"/>
  <c r="AI573" i="4"/>
  <c r="AE573" i="4"/>
  <c r="I573" i="4"/>
  <c r="C573" i="4"/>
  <c r="AU572" i="4"/>
  <c r="AS572" i="4"/>
  <c r="AQ572" i="4"/>
  <c r="AM572" i="4"/>
  <c r="AI572" i="4"/>
  <c r="C572" i="4"/>
  <c r="AU571" i="4"/>
  <c r="AS571" i="4"/>
  <c r="AQ571" i="4"/>
  <c r="AM571" i="4"/>
  <c r="C571" i="4"/>
  <c r="AU570" i="4"/>
  <c r="AS570" i="4"/>
  <c r="AQ570" i="4"/>
  <c r="AM570" i="4"/>
  <c r="AI570" i="4"/>
  <c r="AE570" i="4"/>
  <c r="I570" i="4"/>
  <c r="C570" i="4"/>
  <c r="AU569" i="4"/>
  <c r="AS569" i="4"/>
  <c r="AQ569" i="4"/>
  <c r="AM569" i="4"/>
  <c r="AI569" i="4"/>
  <c r="AE569" i="4"/>
  <c r="I569" i="4"/>
  <c r="C569" i="4"/>
  <c r="AU568" i="4"/>
  <c r="AS568" i="4"/>
  <c r="AQ568" i="4"/>
  <c r="AM568" i="4"/>
  <c r="AI568" i="4"/>
  <c r="AE568" i="4"/>
  <c r="I568" i="4"/>
  <c r="C568" i="4"/>
  <c r="AU567" i="4"/>
  <c r="AS567" i="4"/>
  <c r="AQ567" i="4"/>
  <c r="AM567" i="4"/>
  <c r="AI567" i="4"/>
  <c r="C567" i="4"/>
  <c r="AU566" i="4"/>
  <c r="AS566" i="4"/>
  <c r="AQ566" i="4"/>
  <c r="AM566" i="4"/>
  <c r="AI566" i="4"/>
  <c r="AE566" i="4"/>
  <c r="I566" i="4"/>
  <c r="C566" i="4"/>
  <c r="AU565" i="4"/>
  <c r="AS565" i="4"/>
  <c r="AQ565" i="4"/>
  <c r="AM565" i="4"/>
  <c r="AI565" i="4"/>
  <c r="AE565" i="4"/>
  <c r="I565" i="4"/>
  <c r="C565" i="4"/>
  <c r="AU564" i="4"/>
  <c r="AS564" i="4"/>
  <c r="AQ564" i="4"/>
  <c r="AM564" i="4"/>
  <c r="AI564" i="4"/>
  <c r="AE564" i="4"/>
  <c r="I564" i="4"/>
  <c r="C564" i="4"/>
  <c r="AU563" i="4"/>
  <c r="AS563" i="4"/>
  <c r="AQ563" i="4"/>
  <c r="AM563" i="4"/>
  <c r="AI563" i="4"/>
  <c r="AE563" i="4"/>
  <c r="C563" i="4"/>
  <c r="AU562" i="4"/>
  <c r="AS562" i="4"/>
  <c r="AQ562" i="4"/>
  <c r="AM562" i="4"/>
  <c r="AI562" i="4"/>
  <c r="AE562" i="4"/>
  <c r="I562" i="4"/>
  <c r="C562" i="4"/>
  <c r="AU561" i="4"/>
  <c r="AS561" i="4"/>
  <c r="AQ561" i="4"/>
  <c r="AM561" i="4"/>
  <c r="AI561" i="4"/>
  <c r="AE561" i="4"/>
  <c r="I561" i="4"/>
  <c r="C561" i="4"/>
  <c r="AU560" i="4"/>
  <c r="AS560" i="4"/>
  <c r="AQ560" i="4"/>
  <c r="AM560" i="4"/>
  <c r="AI560" i="4"/>
  <c r="AE560" i="4"/>
  <c r="I560" i="4"/>
  <c r="C560" i="4"/>
  <c r="AU559" i="4"/>
  <c r="AS559" i="4"/>
  <c r="AQ559" i="4"/>
  <c r="AM559" i="4"/>
  <c r="AI559" i="4"/>
  <c r="AE559" i="4"/>
  <c r="I559" i="4"/>
  <c r="C559" i="4"/>
  <c r="AU558" i="4"/>
  <c r="AS558" i="4"/>
  <c r="AQ558" i="4"/>
  <c r="AM558" i="4"/>
  <c r="AI558" i="4"/>
  <c r="AE558" i="4"/>
  <c r="I558" i="4"/>
  <c r="C558" i="4"/>
  <c r="AU557" i="4"/>
  <c r="AS557" i="4"/>
  <c r="AQ557" i="4"/>
  <c r="AM557" i="4"/>
  <c r="I557" i="4"/>
  <c r="C557" i="4"/>
  <c r="AU556" i="4"/>
  <c r="AS556" i="4"/>
  <c r="AQ556" i="4"/>
  <c r="AM556" i="4"/>
  <c r="I556" i="4"/>
  <c r="C556" i="4"/>
  <c r="AU555" i="4"/>
  <c r="AS555" i="4"/>
  <c r="AQ555" i="4"/>
  <c r="AM555" i="4"/>
  <c r="I555" i="4"/>
  <c r="C555" i="4"/>
  <c r="AU554" i="4"/>
  <c r="AS554" i="4"/>
  <c r="AQ554" i="4"/>
  <c r="I554" i="4"/>
  <c r="C554" i="4"/>
  <c r="AU553" i="4"/>
  <c r="AS553" i="4"/>
  <c r="AQ553" i="4"/>
  <c r="AM553" i="4"/>
  <c r="AI553" i="4"/>
  <c r="I553" i="4"/>
  <c r="C553" i="4"/>
  <c r="AU552" i="4"/>
  <c r="AS552" i="4"/>
  <c r="AQ552" i="4"/>
  <c r="AM552" i="4"/>
  <c r="AI552" i="4"/>
  <c r="I552" i="4"/>
  <c r="C552" i="4"/>
  <c r="AU551" i="4"/>
  <c r="AS551" i="4"/>
  <c r="AQ551" i="4"/>
  <c r="I551" i="4"/>
  <c r="C551" i="4"/>
  <c r="AU550" i="4"/>
  <c r="AS550" i="4"/>
  <c r="AQ550" i="4"/>
  <c r="AM550" i="4"/>
  <c r="AI550" i="4"/>
  <c r="I550" i="4"/>
  <c r="C550" i="4"/>
  <c r="AU549" i="4"/>
  <c r="AS549" i="4"/>
  <c r="AQ549" i="4"/>
  <c r="AM549" i="4"/>
  <c r="AI549" i="4"/>
  <c r="I549" i="4"/>
  <c r="C549" i="4"/>
  <c r="AU548" i="4"/>
  <c r="AS548" i="4"/>
  <c r="AQ548" i="4"/>
  <c r="I548" i="4"/>
  <c r="C548" i="4"/>
  <c r="AU547" i="4"/>
  <c r="AS547" i="4"/>
  <c r="AQ547" i="4"/>
  <c r="AM547" i="4"/>
  <c r="AI547" i="4"/>
  <c r="I547" i="4"/>
  <c r="C547" i="4"/>
  <c r="AU603" i="4"/>
  <c r="AS603" i="4"/>
  <c r="AQ603" i="4"/>
  <c r="AM603" i="4"/>
  <c r="AI603" i="4"/>
  <c r="I603" i="4"/>
  <c r="C603" i="4"/>
  <c r="AU545" i="4"/>
  <c r="AS545" i="4"/>
  <c r="AQ545" i="4"/>
  <c r="AM545" i="4"/>
  <c r="AI545" i="4"/>
  <c r="AE545" i="4"/>
  <c r="I545" i="4"/>
  <c r="C545" i="4"/>
  <c r="AU544" i="4"/>
  <c r="AS544" i="4"/>
  <c r="AQ544" i="4"/>
  <c r="AM544" i="4"/>
  <c r="AI544" i="4"/>
  <c r="AE544" i="4"/>
  <c r="I544" i="4"/>
  <c r="C544" i="4"/>
  <c r="AU543" i="4"/>
  <c r="AS543" i="4"/>
  <c r="AQ543" i="4"/>
  <c r="AM543" i="4"/>
  <c r="AI543" i="4"/>
  <c r="AE543" i="4"/>
  <c r="I543" i="4"/>
  <c r="C543" i="4"/>
  <c r="AU542" i="4"/>
  <c r="AS542" i="4"/>
  <c r="AQ542" i="4"/>
  <c r="AM542" i="4"/>
  <c r="AI542" i="4"/>
  <c r="AE542" i="4"/>
  <c r="I542" i="4"/>
  <c r="C542" i="4"/>
  <c r="AU541" i="4"/>
  <c r="AS541" i="4"/>
  <c r="AQ541" i="4"/>
  <c r="AM541" i="4"/>
  <c r="AI541" i="4"/>
  <c r="AE541" i="4"/>
  <c r="I541" i="4"/>
  <c r="C541" i="4"/>
  <c r="AU540" i="4"/>
  <c r="AS540" i="4"/>
  <c r="AQ540" i="4"/>
  <c r="AM540" i="4"/>
  <c r="AI540" i="4"/>
  <c r="AE540" i="4"/>
  <c r="I540" i="4"/>
  <c r="C540" i="4"/>
  <c r="AU539" i="4"/>
  <c r="AS539" i="4"/>
  <c r="AQ539" i="4"/>
  <c r="AM539" i="4"/>
  <c r="AI539" i="4"/>
  <c r="AE539" i="4"/>
  <c r="I539" i="4"/>
  <c r="C539" i="4"/>
  <c r="AU538" i="4"/>
  <c r="AS538" i="4"/>
  <c r="AQ538" i="4"/>
  <c r="AM538" i="4"/>
  <c r="AI538" i="4"/>
  <c r="C538" i="4"/>
  <c r="AU537" i="4"/>
  <c r="AS537" i="4"/>
  <c r="AQ537" i="4"/>
  <c r="AM537" i="4"/>
  <c r="AI537" i="4"/>
  <c r="AE537" i="4"/>
  <c r="I537" i="4"/>
  <c r="C537" i="4"/>
  <c r="AU536" i="4"/>
  <c r="AS536" i="4"/>
  <c r="AQ536" i="4"/>
  <c r="AM536" i="4"/>
  <c r="AI536" i="4"/>
  <c r="AE536" i="4"/>
  <c r="I536" i="4"/>
  <c r="C536" i="4"/>
  <c r="AU535" i="4"/>
  <c r="AS535" i="4"/>
  <c r="AQ535" i="4"/>
  <c r="AM535" i="4"/>
  <c r="AI535" i="4"/>
  <c r="AE535" i="4"/>
  <c r="I535" i="4"/>
  <c r="C535" i="4"/>
  <c r="AU534" i="4"/>
  <c r="AS534" i="4"/>
  <c r="AQ534" i="4"/>
  <c r="AM534" i="4"/>
  <c r="AI534" i="4"/>
  <c r="AE534" i="4"/>
  <c r="I534" i="4"/>
  <c r="C534" i="4"/>
  <c r="AU533" i="4"/>
  <c r="AS533" i="4"/>
  <c r="AQ533" i="4"/>
  <c r="AM533" i="4"/>
  <c r="AI533" i="4"/>
  <c r="AE533" i="4"/>
  <c r="C533" i="4"/>
  <c r="AU532" i="4"/>
  <c r="AS532" i="4"/>
  <c r="AQ532" i="4"/>
  <c r="AM532" i="4"/>
  <c r="AI532" i="4"/>
  <c r="AE532" i="4"/>
  <c r="I532" i="4"/>
  <c r="C532" i="4"/>
  <c r="AU531" i="4"/>
  <c r="AS531" i="4"/>
  <c r="AQ531" i="4"/>
  <c r="AM531" i="4"/>
  <c r="AI531" i="4"/>
  <c r="AE531" i="4"/>
  <c r="I531" i="4"/>
  <c r="C531" i="4"/>
  <c r="AU530" i="4"/>
  <c r="AS530" i="4"/>
  <c r="AQ530" i="4"/>
  <c r="AM530" i="4"/>
  <c r="AI530" i="4"/>
  <c r="AE530" i="4"/>
  <c r="I530" i="4"/>
  <c r="C530" i="4"/>
  <c r="AU529" i="4"/>
  <c r="AS529" i="4"/>
  <c r="AQ529" i="4"/>
  <c r="AM529" i="4"/>
  <c r="AI529" i="4"/>
  <c r="AE529" i="4"/>
  <c r="I529" i="4"/>
  <c r="C529" i="4"/>
  <c r="AU528" i="4"/>
  <c r="AS528" i="4"/>
  <c r="AQ528" i="4"/>
  <c r="AM528" i="4"/>
  <c r="AI528" i="4"/>
  <c r="AE528" i="4"/>
  <c r="C528" i="4"/>
  <c r="AU527" i="4"/>
  <c r="AS527" i="4"/>
  <c r="AQ527" i="4"/>
  <c r="AM527" i="4"/>
  <c r="AI527" i="4"/>
  <c r="AE527" i="4"/>
  <c r="C527" i="4"/>
  <c r="AU526" i="4"/>
  <c r="AS526" i="4"/>
  <c r="AQ526" i="4"/>
  <c r="AM526" i="4"/>
  <c r="AI526" i="4"/>
  <c r="AE526" i="4"/>
  <c r="I526" i="4"/>
  <c r="C526" i="4"/>
  <c r="AU525" i="4"/>
  <c r="AS525" i="4"/>
  <c r="AQ525" i="4"/>
  <c r="AM525" i="4"/>
  <c r="AI525" i="4"/>
  <c r="C525" i="4"/>
  <c r="AU524" i="4"/>
  <c r="AS524" i="4"/>
  <c r="AQ524" i="4"/>
  <c r="AM524" i="4"/>
  <c r="AI524" i="4"/>
  <c r="AE524" i="4"/>
  <c r="C524" i="4"/>
  <c r="AU523" i="4"/>
  <c r="AS523" i="4"/>
  <c r="AQ523" i="4"/>
  <c r="AM523" i="4"/>
  <c r="AI523" i="4"/>
  <c r="AE523" i="4"/>
  <c r="I523" i="4"/>
  <c r="C523" i="4"/>
  <c r="AU522" i="4"/>
  <c r="AS522" i="4"/>
  <c r="AQ522" i="4"/>
  <c r="AM522" i="4"/>
  <c r="AI522" i="4"/>
  <c r="AE522" i="4"/>
  <c r="I522" i="4"/>
  <c r="C522" i="4"/>
  <c r="AU521" i="4"/>
  <c r="AS521" i="4"/>
  <c r="AQ521" i="4"/>
  <c r="AM521" i="4"/>
  <c r="AI521" i="4"/>
  <c r="AE521" i="4"/>
  <c r="C521" i="4"/>
  <c r="AU520" i="4"/>
  <c r="AS520" i="4"/>
  <c r="AQ520" i="4"/>
  <c r="AM520" i="4"/>
  <c r="AI520" i="4"/>
  <c r="AE520" i="4"/>
  <c r="C520" i="4"/>
  <c r="AU519" i="4"/>
  <c r="AS519" i="4"/>
  <c r="AQ519" i="4"/>
  <c r="AM519" i="4"/>
  <c r="AI519" i="4"/>
  <c r="AE519" i="4"/>
  <c r="I519" i="4"/>
  <c r="C519" i="4"/>
  <c r="AU518" i="4"/>
  <c r="AS518" i="4"/>
  <c r="AQ518" i="4"/>
  <c r="AM518" i="4"/>
  <c r="AI518" i="4"/>
  <c r="AE518" i="4"/>
  <c r="I518" i="4"/>
  <c r="C518" i="4"/>
  <c r="AU517" i="4"/>
  <c r="AS517" i="4"/>
  <c r="AQ517" i="4"/>
  <c r="AM517" i="4"/>
  <c r="AI517" i="4"/>
  <c r="C517" i="4"/>
  <c r="AU516" i="4"/>
  <c r="AS516" i="4"/>
  <c r="AQ516" i="4"/>
  <c r="AM516" i="4"/>
  <c r="C516" i="4"/>
  <c r="AU515" i="4"/>
  <c r="AS515" i="4"/>
  <c r="AQ515" i="4"/>
  <c r="AM515" i="4"/>
  <c r="AI515" i="4"/>
  <c r="AE515" i="4"/>
  <c r="I515" i="4"/>
  <c r="C515" i="4"/>
  <c r="AU514" i="4"/>
  <c r="AS514" i="4"/>
  <c r="AQ514" i="4"/>
  <c r="AM514" i="4"/>
  <c r="AI514" i="4"/>
  <c r="AE514" i="4"/>
  <c r="C514" i="4"/>
  <c r="AU513" i="4"/>
  <c r="AS513" i="4"/>
  <c r="AQ513" i="4"/>
  <c r="AM513" i="4"/>
  <c r="AI513" i="4"/>
  <c r="AE513" i="4"/>
  <c r="I513" i="4"/>
  <c r="C513" i="4"/>
  <c r="AU512" i="4"/>
  <c r="AS512" i="4"/>
  <c r="AQ512" i="4"/>
  <c r="AM512" i="4"/>
  <c r="AI512" i="4"/>
  <c r="AE512" i="4"/>
  <c r="I512" i="4"/>
  <c r="C512" i="4"/>
  <c r="AU511" i="4"/>
  <c r="AS511" i="4"/>
  <c r="AQ511" i="4"/>
  <c r="AM511" i="4"/>
  <c r="C511" i="4"/>
  <c r="AU510" i="4"/>
  <c r="AS510" i="4"/>
  <c r="AQ510" i="4"/>
  <c r="AM510" i="4"/>
  <c r="AI510" i="4"/>
  <c r="AE510" i="4"/>
  <c r="I510" i="4"/>
  <c r="C510" i="4"/>
  <c r="AU509" i="4"/>
  <c r="AS509" i="4"/>
  <c r="AQ509" i="4"/>
  <c r="AM509" i="4"/>
  <c r="AI509" i="4"/>
  <c r="AE509" i="4"/>
  <c r="I509" i="4"/>
  <c r="C509" i="4"/>
  <c r="AU508" i="4"/>
  <c r="AQ508" i="4"/>
  <c r="AM508" i="4"/>
  <c r="AI508" i="4"/>
  <c r="C508" i="4"/>
  <c r="AU507" i="4"/>
  <c r="AS507" i="4"/>
  <c r="AQ507" i="4"/>
  <c r="AM507" i="4"/>
  <c r="AI507" i="4"/>
  <c r="C507" i="4"/>
  <c r="AU506" i="4"/>
  <c r="AS506" i="4"/>
  <c r="AQ506" i="4"/>
  <c r="AM506" i="4"/>
  <c r="AI506" i="4"/>
  <c r="AE506" i="4"/>
  <c r="C506" i="4"/>
  <c r="AU505" i="4"/>
  <c r="AS505" i="4"/>
  <c r="AQ505" i="4"/>
  <c r="AM505" i="4"/>
  <c r="C505" i="4"/>
  <c r="AU504" i="4"/>
  <c r="AS504" i="4"/>
  <c r="AQ504" i="4"/>
  <c r="AM504" i="4"/>
  <c r="AI504" i="4"/>
  <c r="AE504" i="4"/>
  <c r="I504" i="4"/>
  <c r="C504" i="4"/>
  <c r="AU503" i="4"/>
  <c r="AS503" i="4"/>
  <c r="AQ503" i="4"/>
  <c r="AM503" i="4"/>
  <c r="AI503" i="4"/>
  <c r="AE503" i="4"/>
  <c r="C503" i="4"/>
  <c r="AU502" i="4"/>
  <c r="AS502" i="4"/>
  <c r="AQ502" i="4"/>
  <c r="AM502" i="4"/>
  <c r="AI502" i="4"/>
  <c r="AE502" i="4"/>
  <c r="I502" i="4"/>
  <c r="C502" i="4"/>
  <c r="AU501" i="4"/>
  <c r="AS501" i="4"/>
  <c r="AQ501" i="4"/>
  <c r="AM501" i="4"/>
  <c r="AI501" i="4"/>
  <c r="C501" i="4"/>
  <c r="AU500" i="4"/>
  <c r="AS500" i="4"/>
  <c r="AQ500" i="4"/>
  <c r="AM500" i="4"/>
  <c r="AI500" i="4"/>
  <c r="AE500" i="4"/>
  <c r="I500" i="4"/>
  <c r="C500" i="4"/>
  <c r="AU499" i="4"/>
  <c r="AS499" i="4"/>
  <c r="AQ499" i="4"/>
  <c r="AM499" i="4"/>
  <c r="AI499" i="4"/>
  <c r="C499" i="4"/>
  <c r="AU498" i="4"/>
  <c r="AS498" i="4"/>
  <c r="AQ498" i="4"/>
  <c r="AM498" i="4"/>
  <c r="AI498" i="4"/>
  <c r="AE498" i="4"/>
  <c r="I498" i="4"/>
  <c r="C498" i="4"/>
  <c r="AU497" i="4"/>
  <c r="AS497" i="4"/>
  <c r="AQ497" i="4"/>
  <c r="AM497" i="4"/>
  <c r="AI497" i="4"/>
  <c r="AE497" i="4"/>
  <c r="I497" i="4"/>
  <c r="C497" i="4"/>
  <c r="AU496" i="4"/>
  <c r="AS496" i="4"/>
  <c r="AQ496" i="4"/>
  <c r="AM496" i="4"/>
  <c r="AI496" i="4"/>
  <c r="AE496" i="4"/>
  <c r="C496" i="4"/>
  <c r="AU495" i="4"/>
  <c r="AS495" i="4"/>
  <c r="AQ495" i="4"/>
  <c r="AM495" i="4"/>
  <c r="AI495" i="4"/>
  <c r="AE495" i="4"/>
  <c r="I495" i="4"/>
  <c r="C495" i="4"/>
  <c r="AU494" i="4"/>
  <c r="AS494" i="4"/>
  <c r="AQ494" i="4"/>
  <c r="AM494" i="4"/>
  <c r="AI494" i="4"/>
  <c r="AE494" i="4"/>
  <c r="I494" i="4"/>
  <c r="C494" i="4"/>
  <c r="AU493" i="4"/>
  <c r="AS493" i="4"/>
  <c r="AQ493" i="4"/>
  <c r="AM493" i="4"/>
  <c r="AI493" i="4"/>
  <c r="C493" i="4"/>
  <c r="AU492" i="4"/>
  <c r="AS492" i="4"/>
  <c r="AQ492" i="4"/>
  <c r="AM492" i="4"/>
  <c r="AI492" i="4"/>
  <c r="AE492" i="4"/>
  <c r="I492" i="4"/>
  <c r="C492" i="4"/>
  <c r="AU491" i="4"/>
  <c r="AS491" i="4"/>
  <c r="AQ491" i="4"/>
  <c r="AM491" i="4"/>
  <c r="AI491" i="4"/>
  <c r="AE491" i="4"/>
  <c r="C491" i="4"/>
  <c r="AU490" i="4"/>
  <c r="AS490" i="4"/>
  <c r="AQ490" i="4"/>
  <c r="AM490" i="4"/>
  <c r="AI490" i="4"/>
  <c r="AE490" i="4"/>
  <c r="I490" i="4"/>
  <c r="C490" i="4"/>
  <c r="AU489" i="4"/>
  <c r="AS489" i="4"/>
  <c r="AQ489" i="4"/>
  <c r="AM489" i="4"/>
  <c r="AI489" i="4"/>
  <c r="AE489" i="4"/>
  <c r="I489" i="4"/>
  <c r="C489" i="4"/>
  <c r="AU488" i="4"/>
  <c r="AS488" i="4"/>
  <c r="AQ488" i="4"/>
  <c r="AM488" i="4"/>
  <c r="AI488" i="4"/>
  <c r="AE488" i="4"/>
  <c r="I488" i="4"/>
  <c r="C488" i="4"/>
  <c r="AU487" i="4"/>
  <c r="AS487" i="4"/>
  <c r="AQ487" i="4"/>
  <c r="AM487" i="4"/>
  <c r="AI487" i="4"/>
  <c r="AE487" i="4"/>
  <c r="I487" i="4"/>
  <c r="C487" i="4"/>
  <c r="AU486" i="4"/>
  <c r="AS486" i="4"/>
  <c r="AQ486" i="4"/>
  <c r="AM486" i="4"/>
  <c r="I486" i="4"/>
  <c r="C486" i="4"/>
  <c r="AU485" i="4"/>
  <c r="AS485" i="4"/>
  <c r="AQ485" i="4"/>
  <c r="AM485" i="4"/>
  <c r="I485" i="4"/>
  <c r="C485" i="4"/>
  <c r="AU484" i="4"/>
  <c r="AS484" i="4"/>
  <c r="AQ484" i="4"/>
  <c r="AM484" i="4"/>
  <c r="I484" i="4"/>
  <c r="C484" i="4"/>
  <c r="AU483" i="4"/>
  <c r="AS483" i="4"/>
  <c r="AQ483" i="4"/>
  <c r="AM483" i="4"/>
  <c r="AI483" i="4"/>
  <c r="C483" i="4"/>
  <c r="AU482" i="4"/>
  <c r="AS482" i="4"/>
  <c r="AQ482" i="4"/>
  <c r="AM482" i="4"/>
  <c r="AI482" i="4"/>
  <c r="C482" i="4"/>
  <c r="AU481" i="4"/>
  <c r="AS481" i="4"/>
  <c r="AQ481" i="4"/>
  <c r="AM481" i="4"/>
  <c r="AI481" i="4"/>
  <c r="AE481" i="4"/>
  <c r="I481" i="4"/>
  <c r="C481" i="4"/>
  <c r="AU480" i="4"/>
  <c r="AS480" i="4"/>
  <c r="AQ480" i="4"/>
  <c r="I480" i="4"/>
  <c r="AU479" i="4"/>
  <c r="AS479" i="4"/>
  <c r="AQ479" i="4"/>
  <c r="I479" i="4"/>
  <c r="AU478" i="4"/>
  <c r="AS478" i="4"/>
  <c r="AQ478" i="4"/>
  <c r="I478" i="4"/>
  <c r="AU477" i="4"/>
  <c r="AS477" i="4"/>
  <c r="AQ477" i="4"/>
  <c r="AM477" i="4"/>
  <c r="AU476" i="4"/>
  <c r="AS476" i="4"/>
  <c r="AQ476" i="4"/>
  <c r="AM476" i="4"/>
  <c r="AI476" i="4"/>
  <c r="AE476" i="4"/>
  <c r="I476" i="4"/>
  <c r="AU475" i="4"/>
  <c r="AS475" i="4"/>
  <c r="AQ475" i="4"/>
  <c r="AM475" i="4"/>
  <c r="AI475" i="4"/>
  <c r="AE475" i="4"/>
  <c r="I475" i="4"/>
  <c r="AU474" i="4"/>
  <c r="AS474" i="4"/>
  <c r="AQ474" i="4"/>
  <c r="AM474" i="4"/>
  <c r="AI474" i="4"/>
  <c r="AE474" i="4"/>
  <c r="I474" i="4"/>
  <c r="AU473" i="4"/>
  <c r="AS473" i="4"/>
  <c r="AQ473" i="4"/>
  <c r="AM473" i="4"/>
  <c r="AI473" i="4"/>
  <c r="AE473" i="4"/>
  <c r="I473" i="4"/>
  <c r="AU471" i="4"/>
  <c r="AS471" i="4"/>
  <c r="AQ471" i="4"/>
  <c r="AM471" i="4"/>
  <c r="AI471" i="4"/>
  <c r="AE471" i="4"/>
  <c r="I471" i="4"/>
  <c r="AU470" i="4"/>
  <c r="AS470" i="4"/>
  <c r="AQ470" i="4"/>
  <c r="AM470" i="4"/>
  <c r="AI470" i="4"/>
  <c r="AE470" i="4"/>
  <c r="I470" i="4"/>
  <c r="C470" i="4"/>
  <c r="AU469" i="4"/>
  <c r="AS469" i="4"/>
  <c r="AQ469" i="4"/>
  <c r="AM469" i="4"/>
  <c r="AI469" i="4"/>
  <c r="AE469" i="4"/>
  <c r="I469" i="4"/>
  <c r="C469" i="4"/>
  <c r="AU468" i="4"/>
  <c r="AS468" i="4"/>
  <c r="AQ468" i="4"/>
  <c r="AM468" i="4"/>
  <c r="C468" i="4"/>
  <c r="AU467" i="4"/>
  <c r="AS467" i="4"/>
  <c r="AQ467" i="4"/>
  <c r="AM467" i="4"/>
  <c r="AI467" i="4"/>
  <c r="AE467" i="4"/>
  <c r="I467" i="4"/>
  <c r="C467" i="4"/>
  <c r="AU466" i="4"/>
  <c r="AS466" i="4"/>
  <c r="AQ466" i="4"/>
  <c r="AM466" i="4"/>
  <c r="C466" i="4"/>
  <c r="AU465" i="4"/>
  <c r="AS465" i="4"/>
  <c r="AQ465" i="4"/>
  <c r="AM465" i="4"/>
  <c r="AI465" i="4"/>
  <c r="AE465" i="4"/>
  <c r="I465" i="4"/>
  <c r="C465" i="4"/>
  <c r="AU464" i="4"/>
  <c r="AS464" i="4"/>
  <c r="AQ464" i="4"/>
  <c r="AM464" i="4"/>
  <c r="AI464" i="4"/>
  <c r="AE464" i="4"/>
  <c r="I464" i="4"/>
  <c r="C464" i="4"/>
  <c r="AU463" i="4"/>
  <c r="AS463" i="4"/>
  <c r="AQ463" i="4"/>
  <c r="AU462" i="4"/>
  <c r="AS462" i="4"/>
  <c r="AQ462" i="4"/>
  <c r="AM462" i="4"/>
  <c r="AU461" i="4"/>
  <c r="AS461" i="4"/>
  <c r="AQ461" i="4"/>
  <c r="AM461" i="4"/>
  <c r="AI461" i="4"/>
  <c r="C461" i="4"/>
  <c r="AU460" i="4"/>
  <c r="AS460" i="4"/>
  <c r="AQ460" i="4"/>
  <c r="AM460" i="4"/>
  <c r="AI460" i="4"/>
  <c r="AE460" i="4"/>
  <c r="I460" i="4"/>
  <c r="C460" i="4"/>
  <c r="AU454" i="4"/>
  <c r="AS454" i="4"/>
  <c r="AQ454" i="4"/>
  <c r="AM454" i="4"/>
  <c r="AI454" i="4"/>
  <c r="AE454" i="4"/>
  <c r="C459" i="4"/>
  <c r="AU458" i="4"/>
  <c r="AS458" i="4"/>
  <c r="AQ458" i="4"/>
  <c r="AM458" i="4"/>
  <c r="C458" i="4"/>
  <c r="AU457" i="4"/>
  <c r="AS457" i="4"/>
  <c r="AQ457" i="4"/>
  <c r="AM457" i="4"/>
  <c r="AI457" i="4"/>
  <c r="AE457" i="4"/>
  <c r="I457" i="4"/>
  <c r="C457" i="4"/>
  <c r="AU456" i="4"/>
  <c r="AS456" i="4"/>
  <c r="AQ456" i="4"/>
  <c r="AM456" i="4"/>
  <c r="AI456" i="4"/>
  <c r="AE456" i="4"/>
  <c r="I456" i="4"/>
  <c r="C456" i="4"/>
  <c r="AU455" i="4"/>
  <c r="AS455" i="4"/>
  <c r="AQ455" i="4"/>
  <c r="AM455" i="4"/>
  <c r="AI455" i="4"/>
  <c r="C455" i="4"/>
  <c r="AU453" i="4"/>
  <c r="AS453" i="4"/>
  <c r="AQ453" i="4"/>
  <c r="AM453" i="4"/>
  <c r="AI453" i="4"/>
  <c r="AE453" i="4"/>
  <c r="I453" i="4"/>
  <c r="C453" i="4"/>
  <c r="AU452" i="4"/>
  <c r="AS452" i="4"/>
  <c r="AQ452" i="4"/>
  <c r="AM452" i="4"/>
  <c r="AI452" i="4"/>
  <c r="AE452" i="4"/>
  <c r="I452" i="4"/>
  <c r="C452" i="4"/>
  <c r="AU451" i="4"/>
  <c r="AS451" i="4"/>
  <c r="AQ451" i="4"/>
  <c r="AM451" i="4"/>
  <c r="AI451" i="4"/>
  <c r="AE451" i="4"/>
  <c r="I451" i="4"/>
  <c r="C451" i="4"/>
  <c r="AU450" i="4"/>
  <c r="AS450" i="4"/>
  <c r="AQ450" i="4"/>
  <c r="AM450" i="4"/>
  <c r="AI450" i="4"/>
  <c r="C450" i="4"/>
  <c r="AU449" i="4"/>
  <c r="AS449" i="4"/>
  <c r="AQ449" i="4"/>
  <c r="AM449" i="4"/>
  <c r="AI449" i="4"/>
  <c r="AE449" i="4"/>
  <c r="I449" i="4"/>
  <c r="C449" i="4"/>
  <c r="AU448" i="4"/>
  <c r="AS448" i="4"/>
  <c r="AQ448" i="4"/>
  <c r="AM448" i="4"/>
  <c r="AI448" i="4"/>
  <c r="C448" i="4"/>
  <c r="AU447" i="4"/>
  <c r="AS447" i="4"/>
  <c r="AQ447" i="4"/>
  <c r="AM447" i="4"/>
  <c r="AI447" i="4"/>
  <c r="AE447" i="4"/>
  <c r="I447" i="4"/>
  <c r="C447" i="4"/>
  <c r="AU446" i="4"/>
  <c r="AS446" i="4"/>
  <c r="AQ446" i="4"/>
  <c r="AM446" i="4"/>
  <c r="AI446" i="4"/>
  <c r="AE446" i="4"/>
  <c r="I446" i="4"/>
  <c r="C446" i="4"/>
  <c r="AU445" i="4"/>
  <c r="AS445" i="4"/>
  <c r="AQ445" i="4"/>
  <c r="AM445" i="4"/>
  <c r="AI445" i="4"/>
  <c r="AE445" i="4"/>
  <c r="I445" i="4"/>
  <c r="C445" i="4"/>
  <c r="AU444" i="4"/>
  <c r="AS444" i="4"/>
  <c r="AQ444" i="4"/>
  <c r="AM444" i="4"/>
  <c r="AI444" i="4"/>
  <c r="AE444" i="4"/>
  <c r="I444" i="4"/>
  <c r="C444" i="4"/>
  <c r="AU443" i="4"/>
  <c r="AS443" i="4"/>
  <c r="AQ443" i="4"/>
  <c r="AM443" i="4"/>
  <c r="I443" i="4"/>
  <c r="C443" i="4"/>
  <c r="AU442" i="4"/>
  <c r="AS442" i="4"/>
  <c r="AQ442" i="4"/>
  <c r="AM442" i="4"/>
  <c r="I442" i="4"/>
  <c r="C442" i="4"/>
  <c r="AU441" i="4"/>
  <c r="AS441" i="4"/>
  <c r="AQ441" i="4"/>
  <c r="AM441" i="4"/>
  <c r="I441" i="4"/>
  <c r="C441" i="4"/>
  <c r="AU440" i="4"/>
  <c r="AS440" i="4"/>
  <c r="AQ440" i="4"/>
  <c r="AM440" i="4"/>
  <c r="AI440" i="4"/>
  <c r="I440" i="4"/>
  <c r="C440" i="4"/>
  <c r="AU439" i="4"/>
  <c r="AS439" i="4"/>
  <c r="AQ439" i="4"/>
  <c r="AM439" i="4"/>
  <c r="AI439" i="4"/>
  <c r="I439" i="4"/>
  <c r="C439" i="4"/>
  <c r="AU438" i="4"/>
  <c r="AQ438" i="4"/>
  <c r="AM438" i="4"/>
  <c r="AI438" i="4"/>
  <c r="I438" i="4"/>
  <c r="C438" i="4"/>
  <c r="AU437" i="4"/>
  <c r="AS437" i="4"/>
  <c r="AQ437" i="4"/>
  <c r="AM437" i="4"/>
  <c r="AI437" i="4"/>
  <c r="AE437" i="4"/>
  <c r="C437" i="4"/>
  <c r="AU436" i="4"/>
  <c r="AS436" i="4"/>
  <c r="AQ436" i="4"/>
  <c r="AM436" i="4"/>
  <c r="AI436" i="4"/>
  <c r="AE436" i="4"/>
  <c r="C436" i="4"/>
  <c r="AU435" i="4"/>
  <c r="AS435" i="4"/>
  <c r="AQ435" i="4"/>
  <c r="AM435" i="4"/>
  <c r="AI435" i="4"/>
  <c r="AE435" i="4"/>
  <c r="C435" i="4"/>
  <c r="AU434" i="4"/>
  <c r="AS434" i="4"/>
  <c r="AQ434" i="4"/>
  <c r="AM434" i="4"/>
  <c r="AI434" i="4"/>
  <c r="AE434" i="4"/>
  <c r="C434" i="4"/>
  <c r="AU433" i="4"/>
  <c r="AS433" i="4"/>
  <c r="AQ433" i="4"/>
  <c r="AM433" i="4"/>
  <c r="AI433" i="4"/>
  <c r="AE433" i="4"/>
  <c r="C433" i="4"/>
  <c r="AU432" i="4"/>
  <c r="AS432" i="4"/>
  <c r="AQ432" i="4"/>
  <c r="AM432" i="4"/>
  <c r="AI432" i="4"/>
  <c r="AE432" i="4"/>
  <c r="C432" i="4"/>
  <c r="AU423" i="4"/>
  <c r="AS423" i="4"/>
  <c r="AQ423" i="4"/>
  <c r="AM423" i="4"/>
  <c r="AI423" i="4"/>
  <c r="C423" i="4"/>
  <c r="AU422" i="4"/>
  <c r="AS422" i="4"/>
  <c r="AQ422" i="4"/>
  <c r="AM422" i="4"/>
  <c r="AI422" i="4"/>
  <c r="AE422" i="4"/>
  <c r="I422" i="4"/>
  <c r="C422" i="4"/>
  <c r="AU421" i="4"/>
  <c r="AS421" i="4"/>
  <c r="AQ421" i="4"/>
  <c r="AM421" i="4"/>
  <c r="AI421" i="4"/>
  <c r="AE421" i="4"/>
  <c r="I421" i="4"/>
  <c r="C421" i="4"/>
  <c r="AU420" i="4"/>
  <c r="AS420" i="4"/>
  <c r="AQ420" i="4"/>
  <c r="AM420" i="4"/>
  <c r="AI420" i="4"/>
  <c r="AE420" i="4"/>
  <c r="I420" i="4"/>
  <c r="C420" i="4"/>
  <c r="AU419" i="4"/>
  <c r="AS419" i="4"/>
  <c r="AQ419" i="4"/>
  <c r="AM419" i="4"/>
  <c r="AI419" i="4"/>
  <c r="AE419" i="4"/>
  <c r="I419" i="4"/>
  <c r="C419" i="4"/>
  <c r="AU418" i="4"/>
  <c r="AS418" i="4"/>
  <c r="AQ418" i="4"/>
  <c r="AM418" i="4"/>
  <c r="AI418" i="4"/>
  <c r="C418" i="4"/>
  <c r="AU417" i="4"/>
  <c r="AS417" i="4"/>
  <c r="AQ417" i="4"/>
  <c r="AM417" i="4"/>
  <c r="AI417" i="4"/>
  <c r="AE417" i="4"/>
  <c r="I417" i="4"/>
  <c r="C417" i="4"/>
  <c r="AU416" i="4"/>
  <c r="AS416" i="4"/>
  <c r="AQ416" i="4"/>
  <c r="AM416" i="4"/>
  <c r="AI416" i="4"/>
  <c r="AE416" i="4"/>
  <c r="I416" i="4"/>
  <c r="C416" i="4"/>
  <c r="AU415" i="4"/>
  <c r="AS415" i="4"/>
  <c r="AQ415" i="4"/>
  <c r="AM415" i="4"/>
  <c r="AI415" i="4"/>
  <c r="AE415" i="4"/>
  <c r="I415" i="4"/>
  <c r="C415" i="4"/>
  <c r="AU414" i="4"/>
  <c r="AS414" i="4"/>
  <c r="AQ414" i="4"/>
  <c r="AM414" i="4"/>
  <c r="AI414" i="4"/>
  <c r="AE414" i="4"/>
  <c r="I414" i="4"/>
  <c r="C414" i="4"/>
  <c r="AU413" i="4"/>
  <c r="AS413" i="4"/>
  <c r="AQ413" i="4"/>
  <c r="AM413" i="4"/>
  <c r="AI413" i="4"/>
  <c r="C413" i="4"/>
  <c r="AU412" i="4"/>
  <c r="AS412" i="4"/>
  <c r="AQ412" i="4"/>
  <c r="AM412" i="4"/>
  <c r="AI412" i="4"/>
  <c r="AE412" i="4"/>
  <c r="I412" i="4"/>
  <c r="C412" i="4"/>
  <c r="AU411" i="4"/>
  <c r="AS411" i="4"/>
  <c r="AQ411" i="4"/>
  <c r="AM411" i="4"/>
  <c r="AI411" i="4"/>
  <c r="AE411" i="4"/>
  <c r="I411" i="4"/>
  <c r="C411" i="4"/>
  <c r="AU410" i="4"/>
  <c r="AS410" i="4"/>
  <c r="AQ410" i="4"/>
  <c r="AM410" i="4"/>
  <c r="AI410" i="4"/>
  <c r="AE410" i="4"/>
  <c r="I410" i="4"/>
  <c r="C410" i="4"/>
  <c r="AU409" i="4"/>
  <c r="AS409" i="4"/>
  <c r="AQ409" i="4"/>
  <c r="AM409" i="4"/>
  <c r="AI409" i="4"/>
  <c r="AE409" i="4"/>
  <c r="I409" i="4"/>
  <c r="C409" i="4"/>
  <c r="AU408" i="4"/>
  <c r="AS408" i="4"/>
  <c r="AQ408" i="4"/>
  <c r="AM408" i="4"/>
  <c r="AI408" i="4"/>
  <c r="AE408" i="4"/>
  <c r="I408" i="4"/>
  <c r="C408" i="4"/>
  <c r="AU407" i="4"/>
  <c r="AS407" i="4"/>
  <c r="AQ407" i="4"/>
  <c r="AM407" i="4"/>
  <c r="AI407" i="4"/>
  <c r="AE407" i="4"/>
  <c r="I407" i="4"/>
  <c r="C407" i="4"/>
  <c r="AU406" i="4"/>
  <c r="AS406" i="4"/>
  <c r="AQ406" i="4"/>
  <c r="AM406" i="4"/>
  <c r="AI406" i="4"/>
  <c r="AE406" i="4"/>
  <c r="I406" i="4"/>
  <c r="C406" i="4"/>
  <c r="AU405" i="4"/>
  <c r="AS405" i="4"/>
  <c r="AQ405" i="4"/>
  <c r="AM405" i="4"/>
  <c r="AI405" i="4"/>
  <c r="AE405" i="4"/>
  <c r="I405" i="4"/>
  <c r="C405" i="4"/>
  <c r="AU404" i="4"/>
  <c r="AS404" i="4"/>
  <c r="AQ404" i="4"/>
  <c r="AM404" i="4"/>
  <c r="AI404" i="4"/>
  <c r="AE404" i="4"/>
  <c r="C404" i="4"/>
  <c r="AU403" i="4"/>
  <c r="AS403" i="4"/>
  <c r="AQ403" i="4"/>
  <c r="AM403" i="4"/>
  <c r="AI403" i="4"/>
  <c r="AE403" i="4"/>
  <c r="I403" i="4"/>
  <c r="C403" i="4"/>
  <c r="AU402" i="4"/>
  <c r="AS402" i="4"/>
  <c r="AQ402" i="4"/>
  <c r="AM402" i="4"/>
  <c r="AI402" i="4"/>
  <c r="AE402" i="4"/>
  <c r="I402" i="4"/>
  <c r="C402" i="4"/>
  <c r="AU401" i="4"/>
  <c r="AS401" i="4"/>
  <c r="AQ401" i="4"/>
  <c r="AM401" i="4"/>
  <c r="AI401" i="4"/>
  <c r="AE401" i="4"/>
  <c r="I401" i="4"/>
  <c r="C401" i="4"/>
  <c r="AU400" i="4"/>
  <c r="AS400" i="4"/>
  <c r="AQ400" i="4"/>
  <c r="AM400" i="4"/>
  <c r="AI400" i="4"/>
  <c r="C400" i="4"/>
  <c r="AU399" i="4"/>
  <c r="AS399" i="4"/>
  <c r="AQ399" i="4"/>
  <c r="AM399" i="4"/>
  <c r="AI399" i="4"/>
  <c r="C399" i="4"/>
  <c r="AU398" i="4"/>
  <c r="AS398" i="4"/>
  <c r="AQ398" i="4"/>
  <c r="AM398" i="4"/>
  <c r="AI398" i="4"/>
  <c r="AE398" i="4"/>
  <c r="I398" i="4"/>
  <c r="C398" i="4"/>
  <c r="AU397" i="4"/>
  <c r="AS397" i="4"/>
  <c r="AQ397" i="4"/>
  <c r="AM397" i="4"/>
  <c r="AI397" i="4"/>
  <c r="AE397" i="4"/>
  <c r="I397" i="4"/>
  <c r="C397" i="4"/>
  <c r="AU396" i="4"/>
  <c r="AS396" i="4"/>
  <c r="AQ396" i="4"/>
  <c r="AM396" i="4"/>
  <c r="AI396" i="4"/>
  <c r="AE396" i="4"/>
  <c r="I396" i="4"/>
  <c r="C396" i="4"/>
  <c r="AU395" i="4"/>
  <c r="AS395" i="4"/>
  <c r="AQ395" i="4"/>
  <c r="AM395" i="4"/>
  <c r="AI395" i="4"/>
  <c r="AE395" i="4"/>
  <c r="I395" i="4"/>
  <c r="C395" i="4"/>
  <c r="AU394" i="4"/>
  <c r="AS394" i="4"/>
  <c r="AQ394" i="4"/>
  <c r="AM394" i="4"/>
  <c r="AI394" i="4"/>
  <c r="C394" i="4"/>
  <c r="AU393" i="4"/>
  <c r="AS393" i="4"/>
  <c r="AQ393" i="4"/>
  <c r="AM393" i="4"/>
  <c r="AI393" i="4"/>
  <c r="AE393" i="4"/>
  <c r="I393" i="4"/>
  <c r="C393" i="4"/>
  <c r="AU392" i="4"/>
  <c r="AS392" i="4"/>
  <c r="AQ392" i="4"/>
  <c r="AM392" i="4"/>
  <c r="AI392" i="4"/>
  <c r="AE392" i="4"/>
  <c r="C392" i="4"/>
  <c r="AU391" i="4"/>
  <c r="AS391" i="4"/>
  <c r="AQ391" i="4"/>
  <c r="AM391" i="4"/>
  <c r="AI391" i="4"/>
  <c r="C391" i="4"/>
  <c r="AU390" i="4"/>
  <c r="AS390" i="4"/>
  <c r="AQ390" i="4"/>
  <c r="AM390" i="4"/>
  <c r="AI390" i="4"/>
  <c r="AE390" i="4"/>
  <c r="C390" i="4"/>
  <c r="AU389" i="4"/>
  <c r="AS389" i="4"/>
  <c r="AQ389" i="4"/>
  <c r="AM389" i="4"/>
  <c r="AI389" i="4"/>
  <c r="AE389" i="4"/>
  <c r="I389" i="4"/>
  <c r="C389" i="4"/>
  <c r="AU388" i="4"/>
  <c r="AS388" i="4"/>
  <c r="AQ388" i="4"/>
  <c r="AM388" i="4"/>
  <c r="AI388" i="4"/>
  <c r="C388" i="4"/>
  <c r="AU387" i="4"/>
  <c r="AS387" i="4"/>
  <c r="AQ387" i="4"/>
  <c r="AM387" i="4"/>
  <c r="AI387" i="4"/>
  <c r="AE387" i="4"/>
  <c r="I387" i="4"/>
  <c r="C387" i="4"/>
  <c r="AU386" i="4"/>
  <c r="AS386" i="4"/>
  <c r="AQ386" i="4"/>
  <c r="AM386" i="4"/>
  <c r="AI386" i="4"/>
  <c r="C386" i="4"/>
  <c r="AU385" i="4"/>
  <c r="AS385" i="4"/>
  <c r="AQ385" i="4"/>
  <c r="AM385" i="4"/>
  <c r="AI385" i="4"/>
  <c r="C385" i="4"/>
  <c r="AU384" i="4"/>
  <c r="AS384" i="4"/>
  <c r="AQ384" i="4"/>
  <c r="AM384" i="4"/>
  <c r="AI384" i="4"/>
  <c r="AE384" i="4"/>
  <c r="C384" i="4"/>
  <c r="AU383" i="4"/>
  <c r="AS383" i="4"/>
  <c r="AQ383" i="4"/>
  <c r="AM383" i="4"/>
  <c r="AI383" i="4"/>
  <c r="AE383" i="4"/>
  <c r="I383" i="4"/>
  <c r="C383" i="4"/>
  <c r="AU382" i="4"/>
  <c r="AQ382" i="4"/>
  <c r="AM382" i="4"/>
  <c r="AI382" i="4"/>
  <c r="C382" i="4"/>
  <c r="AU381" i="4"/>
  <c r="AS381" i="4"/>
  <c r="AQ381" i="4"/>
  <c r="AM381" i="4"/>
  <c r="AI381" i="4"/>
  <c r="AE381" i="4"/>
  <c r="I381" i="4"/>
  <c r="C381" i="4"/>
  <c r="AU380" i="4"/>
  <c r="AS380" i="4"/>
  <c r="AQ380" i="4"/>
  <c r="AM380" i="4"/>
  <c r="AI380" i="4"/>
  <c r="AE380" i="4"/>
  <c r="I380" i="4"/>
  <c r="C380" i="4"/>
  <c r="AU379" i="4"/>
  <c r="AS379" i="4"/>
  <c r="AQ379" i="4"/>
  <c r="AM379" i="4"/>
  <c r="C379" i="4"/>
  <c r="AU378" i="4"/>
  <c r="AS378" i="4"/>
  <c r="AQ378" i="4"/>
  <c r="AM378" i="4"/>
  <c r="AI378" i="4"/>
  <c r="AE378" i="4"/>
  <c r="I378" i="4"/>
  <c r="C378" i="4"/>
  <c r="AU377" i="4"/>
  <c r="AS377" i="4"/>
  <c r="AQ377" i="4"/>
  <c r="AM377" i="4"/>
  <c r="AI377" i="4"/>
  <c r="AE377" i="4"/>
  <c r="I377" i="4"/>
  <c r="C377" i="4"/>
  <c r="AU376" i="4"/>
  <c r="AS376" i="4"/>
  <c r="AQ376" i="4"/>
  <c r="AM376" i="4"/>
  <c r="C376" i="4"/>
  <c r="AU375" i="4"/>
  <c r="AS375" i="4"/>
  <c r="C375" i="4"/>
  <c r="AU374" i="4"/>
  <c r="AS374" i="4"/>
  <c r="AQ374" i="4"/>
  <c r="AM374" i="4"/>
  <c r="AI374" i="4"/>
  <c r="C374" i="4"/>
  <c r="AU373" i="4"/>
  <c r="AS373" i="4"/>
  <c r="AQ373" i="4"/>
  <c r="AM373" i="4"/>
  <c r="AI373" i="4"/>
  <c r="AE373" i="4"/>
  <c r="I373" i="4"/>
  <c r="C373" i="4"/>
  <c r="AU372" i="4"/>
  <c r="AS372" i="4"/>
  <c r="AQ372" i="4"/>
  <c r="AM372" i="4"/>
  <c r="AI372" i="4"/>
  <c r="AE372" i="4"/>
  <c r="I372" i="4"/>
  <c r="C372" i="4"/>
  <c r="AU370" i="4"/>
  <c r="AS370" i="4"/>
  <c r="AQ370" i="4"/>
  <c r="AM370" i="4"/>
  <c r="AI370" i="4"/>
  <c r="AE370" i="4"/>
  <c r="I370" i="4"/>
  <c r="C370" i="4"/>
  <c r="AU369" i="4"/>
  <c r="AS369" i="4"/>
  <c r="AQ369" i="4"/>
  <c r="AM369" i="4"/>
  <c r="AI369" i="4"/>
  <c r="C369" i="4"/>
  <c r="AU368" i="4"/>
  <c r="AS368" i="4"/>
  <c r="AQ368" i="4"/>
  <c r="AM368" i="4"/>
  <c r="C368" i="4"/>
  <c r="AU367" i="4"/>
  <c r="AS367" i="4"/>
  <c r="AQ367" i="4"/>
  <c r="AM367" i="4"/>
  <c r="AI367" i="4"/>
  <c r="AE367" i="4"/>
  <c r="I367" i="4"/>
  <c r="C367" i="4"/>
  <c r="AU366" i="4"/>
  <c r="AS366" i="4"/>
  <c r="AQ366" i="4"/>
  <c r="AM366" i="4"/>
  <c r="AI366" i="4"/>
  <c r="AE366" i="4"/>
  <c r="I366" i="4"/>
  <c r="C366" i="4"/>
  <c r="AU365" i="4"/>
  <c r="AS365" i="4"/>
  <c r="AQ365" i="4"/>
  <c r="AM365" i="4"/>
  <c r="AI365" i="4"/>
  <c r="AE365" i="4"/>
  <c r="I365" i="4"/>
  <c r="C365" i="4"/>
  <c r="AU364" i="4"/>
  <c r="AS364" i="4"/>
  <c r="AQ364" i="4"/>
  <c r="AM364" i="4"/>
  <c r="AI364" i="4"/>
  <c r="AE364" i="4"/>
  <c r="I364" i="4"/>
  <c r="C364" i="4"/>
  <c r="AU363" i="4"/>
  <c r="AS363" i="4"/>
  <c r="AQ363" i="4"/>
  <c r="AM363" i="4"/>
  <c r="AI363" i="4"/>
  <c r="AE363" i="4"/>
  <c r="I363" i="4"/>
  <c r="C363" i="4"/>
  <c r="AU362" i="4"/>
  <c r="AS362" i="4"/>
  <c r="AQ362" i="4"/>
  <c r="AM362" i="4"/>
  <c r="AI362" i="4"/>
  <c r="AE362" i="4"/>
  <c r="I362" i="4"/>
  <c r="C362" i="4"/>
  <c r="AU361" i="4"/>
  <c r="AS361" i="4"/>
  <c r="AQ361" i="4"/>
  <c r="AM361" i="4"/>
  <c r="AI361" i="4"/>
  <c r="AE361" i="4"/>
  <c r="I361" i="4"/>
  <c r="C361" i="4"/>
  <c r="AU360" i="4"/>
  <c r="AS360" i="4"/>
  <c r="AQ360" i="4"/>
  <c r="AM360" i="4"/>
  <c r="AI360" i="4"/>
  <c r="AE360" i="4"/>
  <c r="I360" i="4"/>
  <c r="C360" i="4"/>
  <c r="AU359" i="4"/>
  <c r="AS359" i="4"/>
  <c r="AQ359" i="4"/>
  <c r="AM359" i="4"/>
  <c r="AI359" i="4"/>
  <c r="AE359" i="4"/>
  <c r="I359" i="4"/>
  <c r="C359" i="4"/>
  <c r="AU358" i="4"/>
  <c r="AS358" i="4"/>
  <c r="AQ358" i="4"/>
  <c r="AM358" i="4"/>
  <c r="AI358" i="4"/>
  <c r="AE358" i="4"/>
  <c r="I358" i="4"/>
  <c r="C358" i="4"/>
  <c r="AU357" i="4"/>
  <c r="AS357" i="4"/>
  <c r="AQ357" i="4"/>
  <c r="AM357" i="4"/>
  <c r="AI357" i="4"/>
  <c r="AE357" i="4"/>
  <c r="I357" i="4"/>
  <c r="C357" i="4"/>
  <c r="AU356" i="4"/>
  <c r="AS356" i="4"/>
  <c r="AQ356" i="4"/>
  <c r="AM356" i="4"/>
  <c r="AI356" i="4"/>
  <c r="AE356" i="4"/>
  <c r="I356" i="4"/>
  <c r="C356" i="4"/>
  <c r="AU355" i="4"/>
  <c r="AS355" i="4"/>
  <c r="I355" i="4"/>
  <c r="C355" i="4"/>
  <c r="AU354" i="4"/>
  <c r="AS354" i="4"/>
  <c r="I354" i="4"/>
  <c r="C354" i="4"/>
  <c r="AU353" i="4"/>
  <c r="AS353" i="4"/>
  <c r="I353" i="4"/>
  <c r="C353" i="4"/>
  <c r="AU352" i="4"/>
  <c r="AS352" i="4"/>
  <c r="AQ352" i="4"/>
  <c r="I352" i="4"/>
  <c r="C352" i="4"/>
  <c r="AU351" i="4"/>
  <c r="AS351" i="4"/>
  <c r="AQ351" i="4"/>
  <c r="I351" i="4"/>
  <c r="C351" i="4"/>
  <c r="AU350" i="4"/>
  <c r="AS350" i="4"/>
  <c r="AQ350" i="4"/>
  <c r="I350" i="4"/>
  <c r="C350" i="4"/>
  <c r="AU349" i="4"/>
  <c r="AS349" i="4"/>
  <c r="AQ349" i="4"/>
  <c r="I349" i="4"/>
  <c r="C349" i="4"/>
  <c r="AU348" i="4"/>
  <c r="AS348" i="4"/>
  <c r="AQ348" i="4"/>
  <c r="I348" i="4"/>
  <c r="C348" i="4"/>
  <c r="AU347" i="4"/>
  <c r="AS347" i="4"/>
  <c r="AQ347" i="4"/>
  <c r="I347" i="4"/>
  <c r="C347" i="4"/>
  <c r="AU346" i="4"/>
  <c r="AQ346" i="4"/>
  <c r="AM346" i="4"/>
  <c r="AI346" i="4"/>
  <c r="I346" i="4"/>
  <c r="C346" i="4"/>
  <c r="AU345" i="4"/>
  <c r="AQ345" i="4"/>
  <c r="AM345" i="4"/>
  <c r="AI345" i="4"/>
  <c r="I345" i="4"/>
  <c r="C345" i="4"/>
  <c r="AU344" i="4"/>
  <c r="AQ344" i="4"/>
  <c r="AM344" i="4"/>
  <c r="AI344" i="4"/>
  <c r="I344" i="4"/>
  <c r="C344" i="4"/>
  <c r="AU343" i="4"/>
  <c r="AS343" i="4"/>
  <c r="AQ343" i="4"/>
  <c r="AM343" i="4"/>
  <c r="AI343" i="4"/>
  <c r="AE343" i="4"/>
  <c r="AU342" i="4"/>
  <c r="AS342" i="4"/>
  <c r="AQ342" i="4"/>
  <c r="AM342" i="4"/>
  <c r="AI342" i="4"/>
  <c r="AE342" i="4"/>
  <c r="AU341" i="4"/>
  <c r="AS341" i="4"/>
  <c r="AQ341" i="4"/>
  <c r="AM341" i="4"/>
  <c r="AI341" i="4"/>
  <c r="AE341" i="4"/>
  <c r="I341" i="4"/>
  <c r="C341" i="4"/>
  <c r="AU340" i="4"/>
  <c r="AS340" i="4"/>
  <c r="AQ340" i="4"/>
  <c r="AM340" i="4"/>
  <c r="AI340" i="4"/>
  <c r="AE340" i="4"/>
  <c r="I340" i="4"/>
  <c r="C340" i="4"/>
  <c r="AU339" i="4"/>
  <c r="AS339" i="4"/>
  <c r="AQ339" i="4"/>
  <c r="AM339" i="4"/>
  <c r="AI339" i="4"/>
  <c r="AE339" i="4"/>
  <c r="I339" i="4"/>
  <c r="AU337" i="4"/>
  <c r="AS337" i="4"/>
  <c r="AQ337" i="4"/>
  <c r="AM337" i="4"/>
  <c r="AI337" i="4"/>
  <c r="C337" i="4"/>
  <c r="AU336" i="4"/>
  <c r="AS336" i="4"/>
  <c r="AQ336" i="4"/>
  <c r="AM336" i="4"/>
  <c r="AI336" i="4"/>
  <c r="C336" i="4"/>
  <c r="AU335" i="4"/>
  <c r="AS335" i="4"/>
  <c r="AQ335" i="4"/>
  <c r="AM335" i="4"/>
  <c r="AI335" i="4"/>
  <c r="AE335" i="4"/>
  <c r="I335" i="4"/>
  <c r="C335" i="4"/>
  <c r="AU334" i="4"/>
  <c r="AS334" i="4"/>
  <c r="AQ334" i="4"/>
  <c r="AM334" i="4"/>
  <c r="AI334" i="4"/>
  <c r="AE334" i="4"/>
  <c r="I334" i="4"/>
  <c r="C334" i="4"/>
  <c r="AU333" i="4"/>
  <c r="AS333" i="4"/>
  <c r="AQ333" i="4"/>
  <c r="AM333" i="4"/>
  <c r="AI333" i="4"/>
  <c r="AE333" i="4"/>
  <c r="I333" i="4"/>
  <c r="C333" i="4"/>
  <c r="AU332" i="4"/>
  <c r="AS332" i="4"/>
  <c r="AQ332" i="4"/>
  <c r="AM332" i="4"/>
  <c r="AI332" i="4"/>
  <c r="AE332" i="4"/>
  <c r="I332" i="4"/>
  <c r="C332" i="4"/>
  <c r="AU331" i="4"/>
  <c r="AS331" i="4"/>
  <c r="AQ331" i="4"/>
  <c r="AM331" i="4"/>
  <c r="AI331" i="4"/>
  <c r="AE331" i="4"/>
  <c r="I331" i="4"/>
  <c r="C331" i="4"/>
  <c r="AU330" i="4"/>
  <c r="AS330" i="4"/>
  <c r="AQ330" i="4"/>
  <c r="AM330" i="4"/>
  <c r="AI330" i="4"/>
  <c r="AE330" i="4"/>
  <c r="I330" i="4"/>
  <c r="C330" i="4"/>
  <c r="AU329" i="4"/>
  <c r="AS329" i="4"/>
  <c r="AQ329" i="4"/>
  <c r="AM329" i="4"/>
  <c r="AI329" i="4"/>
  <c r="AE329" i="4"/>
  <c r="I329" i="4"/>
  <c r="C329" i="4"/>
  <c r="AU310" i="4"/>
  <c r="AS310" i="4"/>
  <c r="AQ310" i="4"/>
  <c r="AM310" i="4"/>
  <c r="AI310" i="4"/>
  <c r="AE310" i="4"/>
  <c r="I310" i="4"/>
  <c r="C310" i="4"/>
  <c r="AU309" i="4"/>
  <c r="AS309" i="4"/>
  <c r="AQ309" i="4"/>
  <c r="AM309" i="4"/>
  <c r="AI309" i="4"/>
  <c r="AE309" i="4"/>
  <c r="I309" i="4"/>
  <c r="C309" i="4"/>
  <c r="AU308" i="4"/>
  <c r="AS308" i="4"/>
  <c r="AQ308" i="4"/>
  <c r="AM308" i="4"/>
  <c r="AI308" i="4"/>
  <c r="AE308" i="4"/>
  <c r="I308" i="4"/>
  <c r="C308" i="4"/>
  <c r="AU307" i="4"/>
  <c r="AS307" i="4"/>
  <c r="AQ307" i="4"/>
  <c r="AM307" i="4"/>
  <c r="AI307" i="4"/>
  <c r="AE307" i="4"/>
  <c r="I307" i="4"/>
  <c r="C307" i="4"/>
  <c r="AU306" i="4"/>
  <c r="AS306" i="4"/>
  <c r="AQ306" i="4"/>
  <c r="AM306" i="4"/>
  <c r="AI306" i="4"/>
  <c r="AE306" i="4"/>
  <c r="I306" i="4"/>
  <c r="C306" i="4"/>
  <c r="AU305" i="4"/>
  <c r="AS305" i="4"/>
  <c r="AQ305" i="4"/>
  <c r="AM305" i="4"/>
  <c r="AI305" i="4"/>
  <c r="I305" i="4"/>
  <c r="C305" i="4"/>
  <c r="AU304" i="4"/>
  <c r="AS304" i="4"/>
  <c r="AQ304" i="4"/>
  <c r="AM304" i="4"/>
  <c r="AI304" i="4"/>
  <c r="AE304" i="4"/>
  <c r="I304" i="4"/>
  <c r="C304" i="4"/>
  <c r="AU303" i="4"/>
  <c r="AS303" i="4"/>
  <c r="AQ303" i="4"/>
  <c r="AM303" i="4"/>
  <c r="AI303" i="4"/>
  <c r="AE303" i="4"/>
  <c r="I303" i="4"/>
  <c r="C303" i="4"/>
  <c r="AU302" i="4"/>
  <c r="AS302" i="4"/>
  <c r="AQ302" i="4"/>
  <c r="AM302" i="4"/>
  <c r="AI302" i="4"/>
  <c r="AE302" i="4"/>
  <c r="I302" i="4"/>
  <c r="C302" i="4"/>
  <c r="AS301" i="4"/>
  <c r="AQ301" i="4"/>
  <c r="AM301" i="4"/>
  <c r="I301" i="4"/>
  <c r="C301" i="4"/>
  <c r="AU300" i="4"/>
  <c r="AS300" i="4"/>
  <c r="AQ300" i="4"/>
  <c r="AM300" i="4"/>
  <c r="AI300" i="4"/>
  <c r="AE300" i="4"/>
  <c r="I300" i="4"/>
  <c r="C300" i="4"/>
  <c r="AU299" i="4"/>
  <c r="AS299" i="4"/>
  <c r="AQ299" i="4"/>
  <c r="AM299" i="4"/>
  <c r="AI299" i="4"/>
  <c r="AE299" i="4"/>
  <c r="I299" i="4"/>
  <c r="C299" i="4"/>
  <c r="AU298" i="4"/>
  <c r="AS298" i="4"/>
  <c r="AQ298" i="4"/>
  <c r="AM298" i="4"/>
  <c r="AI298" i="4"/>
  <c r="I298" i="4"/>
  <c r="C298" i="4"/>
  <c r="AU297" i="4"/>
  <c r="AS297" i="4"/>
  <c r="AQ297" i="4"/>
  <c r="AM297" i="4"/>
  <c r="AI297" i="4"/>
  <c r="AE297" i="4"/>
  <c r="C297" i="4"/>
  <c r="AU296" i="4"/>
  <c r="AS296" i="4"/>
  <c r="AQ296" i="4"/>
  <c r="AM296" i="4"/>
  <c r="AI296" i="4"/>
  <c r="AE296" i="4"/>
  <c r="I296" i="4"/>
  <c r="C296" i="4"/>
  <c r="AU295" i="4"/>
  <c r="AS295" i="4"/>
  <c r="AQ295" i="4"/>
  <c r="AM295" i="4"/>
  <c r="AI295" i="4"/>
  <c r="AE295" i="4"/>
  <c r="I295" i="4"/>
  <c r="C295" i="4"/>
  <c r="AU294" i="4"/>
  <c r="AS294" i="4"/>
  <c r="AQ294" i="4"/>
  <c r="AM294" i="4"/>
  <c r="AI294" i="4"/>
  <c r="AE294" i="4"/>
  <c r="I294" i="4"/>
  <c r="C294" i="4"/>
  <c r="AU293" i="4"/>
  <c r="AS293" i="4"/>
  <c r="AQ293" i="4"/>
  <c r="AM293" i="4"/>
  <c r="AI293" i="4"/>
  <c r="C293" i="4"/>
  <c r="AS292" i="4"/>
  <c r="AQ292" i="4"/>
  <c r="AM292" i="4"/>
  <c r="I292" i="4"/>
  <c r="C292" i="4"/>
  <c r="AU291" i="4"/>
  <c r="AS291" i="4"/>
  <c r="AQ291" i="4"/>
  <c r="AM291" i="4"/>
  <c r="AI291" i="4"/>
  <c r="C291" i="4"/>
  <c r="AU290" i="4"/>
  <c r="AS290" i="4"/>
  <c r="AQ290" i="4"/>
  <c r="AM290" i="4"/>
  <c r="AI290" i="4"/>
  <c r="AE290" i="4"/>
  <c r="I290" i="4"/>
  <c r="C290" i="4"/>
  <c r="AU289" i="4"/>
  <c r="AS289" i="4"/>
  <c r="AQ289" i="4"/>
  <c r="AM289" i="4"/>
  <c r="AI289" i="4"/>
  <c r="AE289" i="4"/>
  <c r="I289" i="4"/>
  <c r="C289" i="4"/>
  <c r="AU288" i="4"/>
  <c r="AS288" i="4"/>
  <c r="AQ288" i="4"/>
  <c r="AM288" i="4"/>
  <c r="C288" i="4"/>
  <c r="AU287" i="4"/>
  <c r="AS287" i="4"/>
  <c r="AQ287" i="4"/>
  <c r="AM287" i="4"/>
  <c r="AI287" i="4"/>
  <c r="AE287" i="4"/>
  <c r="I287" i="4"/>
  <c r="C287" i="4"/>
  <c r="AU286" i="4"/>
  <c r="AS286" i="4"/>
  <c r="AQ286" i="4"/>
  <c r="AM286" i="4"/>
  <c r="AI286" i="4"/>
  <c r="AE286" i="4"/>
  <c r="I286" i="4"/>
  <c r="C286" i="4"/>
  <c r="AU285" i="4"/>
  <c r="AS285" i="4"/>
  <c r="AQ285" i="4"/>
  <c r="AM285" i="4"/>
  <c r="AI285" i="4"/>
  <c r="AE285" i="4"/>
  <c r="C285" i="4"/>
  <c r="AU284" i="4"/>
  <c r="AS284" i="4"/>
  <c r="AQ284" i="4"/>
  <c r="AM284" i="4"/>
  <c r="C284" i="4"/>
  <c r="AU283" i="4"/>
  <c r="AS283" i="4"/>
  <c r="AQ283" i="4"/>
  <c r="AM283" i="4"/>
  <c r="AI283" i="4"/>
  <c r="AE283" i="4"/>
  <c r="I283" i="4"/>
  <c r="C283" i="4"/>
  <c r="AU282" i="4"/>
  <c r="AS282" i="4"/>
  <c r="AQ282" i="4"/>
  <c r="AM282" i="4"/>
  <c r="AI282" i="4"/>
  <c r="AE282" i="4"/>
  <c r="C282" i="4"/>
  <c r="AU281" i="4"/>
  <c r="AQ281" i="4"/>
  <c r="AM281" i="4"/>
  <c r="AI281" i="4"/>
  <c r="AE281" i="4"/>
  <c r="C281" i="4"/>
  <c r="AU280" i="4"/>
  <c r="AS280" i="4"/>
  <c r="AQ280" i="4"/>
  <c r="AM280" i="4"/>
  <c r="AI280" i="4"/>
  <c r="AE280" i="4"/>
  <c r="C280" i="4"/>
  <c r="AU279" i="4"/>
  <c r="AS279" i="4"/>
  <c r="AQ279" i="4"/>
  <c r="AM279" i="4"/>
  <c r="C279" i="4"/>
  <c r="AU278" i="4"/>
  <c r="AS278" i="4"/>
  <c r="AQ278" i="4"/>
  <c r="AM278" i="4"/>
  <c r="AI278" i="4"/>
  <c r="AE278" i="4"/>
  <c r="I278" i="4"/>
  <c r="C278" i="4"/>
  <c r="AU277" i="4"/>
  <c r="AS277" i="4"/>
  <c r="AQ277" i="4"/>
  <c r="AM277" i="4"/>
  <c r="AI277" i="4"/>
  <c r="AE277" i="4"/>
  <c r="I277" i="4"/>
  <c r="C277" i="4"/>
  <c r="AU276" i="4"/>
  <c r="AS276" i="4"/>
  <c r="AQ276" i="4"/>
  <c r="AM276" i="4"/>
  <c r="AI276" i="4"/>
  <c r="C276" i="4"/>
  <c r="AU275" i="4"/>
  <c r="AS275" i="4"/>
  <c r="AQ275" i="4"/>
  <c r="AM275" i="4"/>
  <c r="AI275" i="4"/>
  <c r="AE275" i="4"/>
  <c r="I275" i="4"/>
  <c r="C275" i="4"/>
  <c r="AU274" i="4"/>
  <c r="AS274" i="4"/>
  <c r="AQ274" i="4"/>
  <c r="AM274" i="4"/>
  <c r="AI274" i="4"/>
  <c r="AE274" i="4"/>
  <c r="I274" i="4"/>
  <c r="C274" i="4"/>
  <c r="AU273" i="4"/>
  <c r="AS273" i="4"/>
  <c r="AQ273" i="4"/>
  <c r="AM273" i="4"/>
  <c r="AI273" i="4"/>
  <c r="C273" i="4"/>
  <c r="AU272" i="4"/>
  <c r="AS272" i="4"/>
  <c r="AQ272" i="4"/>
  <c r="AM272" i="4"/>
  <c r="AI272" i="4"/>
  <c r="AE272" i="4"/>
  <c r="I272" i="4"/>
  <c r="C272" i="4"/>
  <c r="AU271" i="4"/>
  <c r="AS271" i="4"/>
  <c r="AQ271" i="4"/>
  <c r="AM271" i="4"/>
  <c r="AI271" i="4"/>
  <c r="C271" i="4"/>
  <c r="AU270" i="4"/>
  <c r="AS270" i="4"/>
  <c r="AQ270" i="4"/>
  <c r="AM270" i="4"/>
  <c r="AI270" i="4"/>
  <c r="AE270" i="4"/>
  <c r="I270" i="4"/>
  <c r="C270" i="4"/>
  <c r="AU269" i="4"/>
  <c r="AS269" i="4"/>
  <c r="AQ269" i="4"/>
  <c r="AM269" i="4"/>
  <c r="AI269" i="4"/>
  <c r="AE269" i="4"/>
  <c r="I269" i="4"/>
  <c r="C269" i="4"/>
  <c r="AU268" i="4"/>
  <c r="AS268" i="4"/>
  <c r="AQ268" i="4"/>
  <c r="AM268" i="4"/>
  <c r="C268" i="4"/>
  <c r="AU267" i="4"/>
  <c r="AS267" i="4"/>
  <c r="AQ267" i="4"/>
  <c r="C267" i="4"/>
  <c r="AU266" i="4"/>
  <c r="AS266" i="4"/>
  <c r="AQ266" i="4"/>
  <c r="AM266" i="4"/>
  <c r="AI266" i="4"/>
  <c r="AE266" i="4"/>
  <c r="I266" i="4"/>
  <c r="C266" i="4"/>
  <c r="AU265" i="4"/>
  <c r="AS265" i="4"/>
  <c r="AQ265" i="4"/>
  <c r="AM265" i="4"/>
  <c r="AI265" i="4"/>
  <c r="AE265" i="4"/>
  <c r="I265" i="4"/>
  <c r="C265" i="4"/>
  <c r="AU264" i="4"/>
  <c r="AS264" i="4"/>
  <c r="AQ264" i="4"/>
  <c r="AM264" i="4"/>
  <c r="AI264" i="4"/>
  <c r="AE264" i="4"/>
  <c r="I264" i="4"/>
  <c r="C264" i="4"/>
  <c r="AU263" i="4"/>
  <c r="AS263" i="4"/>
  <c r="AQ263" i="4"/>
  <c r="AM263" i="4"/>
  <c r="AI263" i="4"/>
  <c r="AE263" i="4"/>
  <c r="I263" i="4"/>
  <c r="C263" i="4"/>
  <c r="AU262" i="4"/>
  <c r="AS262" i="4"/>
  <c r="AQ262" i="4"/>
  <c r="AM262" i="4"/>
  <c r="AI262" i="4"/>
  <c r="AE262" i="4"/>
  <c r="I262" i="4"/>
  <c r="C262" i="4"/>
  <c r="AU261" i="4"/>
  <c r="AS261" i="4"/>
  <c r="AQ261" i="4"/>
  <c r="AM261" i="4"/>
  <c r="AI261" i="4"/>
  <c r="AE261" i="4"/>
  <c r="I261" i="4"/>
  <c r="C261" i="4"/>
  <c r="AU260" i="4"/>
  <c r="AS260" i="4"/>
  <c r="AQ260" i="4"/>
  <c r="AM260" i="4"/>
  <c r="AI260" i="4"/>
  <c r="AE260" i="4"/>
  <c r="I260" i="4"/>
  <c r="C260" i="4"/>
  <c r="AU259" i="4"/>
  <c r="AS259" i="4"/>
  <c r="AQ259" i="4"/>
  <c r="AM259" i="4"/>
  <c r="AI259" i="4"/>
  <c r="I259" i="4"/>
  <c r="C259" i="4"/>
  <c r="AU258" i="4"/>
  <c r="AS258" i="4"/>
  <c r="AQ258" i="4"/>
  <c r="AM258" i="4"/>
  <c r="AI258" i="4"/>
  <c r="AE258" i="4"/>
  <c r="C258" i="4"/>
  <c r="AU257" i="4"/>
  <c r="AS257" i="4"/>
  <c r="AQ257" i="4"/>
  <c r="I257" i="4"/>
  <c r="C257" i="4"/>
  <c r="AU256" i="4"/>
  <c r="AS256" i="4"/>
  <c r="AQ256" i="4"/>
  <c r="I256" i="4"/>
  <c r="C256" i="4"/>
  <c r="AS255" i="4"/>
  <c r="AQ255" i="4"/>
  <c r="AM255" i="4"/>
  <c r="I255" i="4"/>
  <c r="C255" i="4"/>
  <c r="AU254" i="4"/>
  <c r="AS254" i="4"/>
  <c r="AQ254" i="4"/>
  <c r="I254" i="4"/>
  <c r="C254" i="4"/>
  <c r="AU253" i="4"/>
  <c r="AS253" i="4"/>
  <c r="AQ253" i="4"/>
  <c r="AM253" i="4"/>
  <c r="AI253" i="4"/>
  <c r="AE253" i="4"/>
  <c r="I253" i="4"/>
  <c r="C253" i="4"/>
  <c r="AU252" i="4"/>
  <c r="AS252" i="4"/>
  <c r="AQ252" i="4"/>
  <c r="AM252" i="4"/>
  <c r="AI252" i="4"/>
  <c r="AE252" i="4"/>
  <c r="I252" i="4"/>
  <c r="C252" i="4"/>
  <c r="AU251" i="4"/>
  <c r="AS251" i="4"/>
  <c r="AQ251" i="4"/>
  <c r="AM251" i="4"/>
  <c r="AI251" i="4"/>
  <c r="AE251" i="4"/>
  <c r="I251" i="4"/>
  <c r="C251" i="4"/>
  <c r="AU250" i="4"/>
  <c r="AS250" i="4"/>
  <c r="AQ250" i="4"/>
  <c r="AM250" i="4"/>
  <c r="AI250" i="4"/>
  <c r="AE250" i="4"/>
  <c r="I250" i="4"/>
  <c r="C250" i="4"/>
  <c r="AU249" i="4"/>
  <c r="AS249" i="4"/>
  <c r="AQ249" i="4"/>
  <c r="AM249" i="4"/>
  <c r="AI249" i="4"/>
  <c r="AE249" i="4"/>
  <c r="I249" i="4"/>
  <c r="C249" i="4"/>
  <c r="AU248" i="4"/>
  <c r="AS248" i="4"/>
  <c r="AQ248" i="4"/>
  <c r="AM248" i="4"/>
  <c r="AI248" i="4"/>
  <c r="AE248" i="4"/>
  <c r="I248" i="4"/>
  <c r="C248" i="4"/>
  <c r="AU247" i="4"/>
  <c r="AS247" i="4"/>
  <c r="AQ247" i="4"/>
  <c r="AM247" i="4"/>
  <c r="AI247" i="4"/>
  <c r="AE247" i="4"/>
  <c r="I247" i="4"/>
  <c r="C247" i="4"/>
  <c r="AU246" i="4"/>
  <c r="AS246" i="4"/>
  <c r="AQ246" i="4"/>
  <c r="AM246" i="4"/>
  <c r="AI246" i="4"/>
  <c r="AE246" i="4"/>
  <c r="I246" i="4"/>
  <c r="C246" i="4"/>
  <c r="AU245" i="4"/>
  <c r="AS245" i="4"/>
  <c r="AQ245" i="4"/>
  <c r="AM245" i="4"/>
  <c r="AI245" i="4"/>
  <c r="AE245" i="4"/>
  <c r="I245" i="4"/>
  <c r="C245" i="4"/>
  <c r="AU244" i="4"/>
  <c r="AS244" i="4"/>
  <c r="AQ244" i="4"/>
  <c r="AM244" i="4"/>
  <c r="AI244" i="4"/>
  <c r="AE244" i="4"/>
  <c r="I244" i="4"/>
  <c r="C244" i="4"/>
  <c r="AU243" i="4"/>
  <c r="AS243" i="4"/>
  <c r="AQ243" i="4"/>
  <c r="AM243" i="4"/>
  <c r="AI243" i="4"/>
  <c r="AE243" i="4"/>
  <c r="I243" i="4"/>
  <c r="C243" i="4"/>
  <c r="AU242" i="4"/>
  <c r="AS242" i="4"/>
  <c r="AQ242" i="4"/>
  <c r="AM242" i="4"/>
  <c r="AI242" i="4"/>
  <c r="AE242" i="4"/>
  <c r="I242" i="4"/>
  <c r="C242" i="4"/>
  <c r="AU241" i="4"/>
  <c r="AS241" i="4"/>
  <c r="AQ241" i="4"/>
  <c r="AM241" i="4"/>
  <c r="AI241" i="4"/>
  <c r="AE241" i="4"/>
  <c r="I241" i="4"/>
  <c r="C241" i="4"/>
  <c r="AU240" i="4"/>
  <c r="AS240" i="4"/>
  <c r="AQ240" i="4"/>
  <c r="AM240" i="4"/>
  <c r="AI240" i="4"/>
  <c r="AE240" i="4"/>
  <c r="I240" i="4"/>
  <c r="C240" i="4"/>
  <c r="AU239" i="4"/>
  <c r="AS239" i="4"/>
  <c r="AQ239" i="4"/>
  <c r="AM239" i="4"/>
  <c r="C239" i="4"/>
  <c r="AU238" i="4"/>
  <c r="AS238" i="4"/>
  <c r="AQ238" i="4"/>
  <c r="AM238" i="4"/>
  <c r="AI238" i="4"/>
  <c r="AE238" i="4"/>
  <c r="I238" i="4"/>
  <c r="C238" i="4"/>
  <c r="AU237" i="4"/>
  <c r="AS237" i="4"/>
  <c r="AQ237" i="4"/>
  <c r="AM237" i="4"/>
  <c r="AI237" i="4"/>
  <c r="AE237" i="4"/>
  <c r="I237" i="4"/>
  <c r="C237" i="4"/>
  <c r="AU236" i="4"/>
  <c r="AS236" i="4"/>
  <c r="AQ236" i="4"/>
  <c r="AM236" i="4"/>
  <c r="AI236" i="4"/>
  <c r="AE236" i="4"/>
  <c r="I236" i="4"/>
  <c r="C236" i="4"/>
  <c r="AU235" i="4"/>
  <c r="AS235" i="4"/>
  <c r="AQ235" i="4"/>
  <c r="AM235" i="4"/>
  <c r="AI235" i="4"/>
  <c r="AE235" i="4"/>
  <c r="I235" i="4"/>
  <c r="C235" i="4"/>
  <c r="AU234" i="4"/>
  <c r="AS234" i="4"/>
  <c r="AQ234" i="4"/>
  <c r="AM234" i="4"/>
  <c r="C234" i="4"/>
  <c r="AU233" i="4"/>
  <c r="AS233" i="4"/>
  <c r="AQ233" i="4"/>
  <c r="AM233" i="4"/>
  <c r="AI233" i="4"/>
  <c r="AE233" i="4"/>
  <c r="I233" i="4"/>
  <c r="C233" i="4"/>
  <c r="AS232" i="4"/>
  <c r="AQ232" i="4"/>
  <c r="AM232" i="4"/>
  <c r="AI232" i="4"/>
  <c r="AE232" i="4"/>
  <c r="C232" i="4"/>
  <c r="AU231" i="4"/>
  <c r="AS231" i="4"/>
  <c r="AQ231" i="4"/>
  <c r="AM231" i="4"/>
  <c r="C231" i="4"/>
  <c r="AU230" i="4"/>
  <c r="AS230" i="4"/>
  <c r="AQ230" i="4"/>
  <c r="AM230" i="4"/>
  <c r="AI230" i="4"/>
  <c r="AE230" i="4"/>
  <c r="I230" i="4"/>
  <c r="C230" i="4"/>
  <c r="AU229" i="4"/>
  <c r="AS229" i="4"/>
  <c r="AQ229" i="4"/>
  <c r="AM229" i="4"/>
  <c r="AI229" i="4"/>
  <c r="C229" i="4"/>
  <c r="AU228" i="4"/>
  <c r="AS228" i="4"/>
  <c r="AQ228" i="4"/>
  <c r="AM228" i="4"/>
  <c r="AI228" i="4"/>
  <c r="C228" i="4"/>
  <c r="AU227" i="4"/>
  <c r="AS227" i="4"/>
  <c r="AQ227" i="4"/>
  <c r="AM227" i="4"/>
  <c r="AI227" i="4"/>
  <c r="C227" i="4"/>
  <c r="AU226" i="4"/>
  <c r="AS226" i="4"/>
  <c r="AQ226" i="4"/>
  <c r="AM226" i="4"/>
  <c r="AI226" i="4"/>
  <c r="AE226" i="4"/>
  <c r="I226" i="4"/>
  <c r="C226" i="4"/>
  <c r="AU225" i="4"/>
  <c r="AS225" i="4"/>
  <c r="AQ225" i="4"/>
  <c r="AM225" i="4"/>
  <c r="AI225" i="4"/>
  <c r="AE225" i="4"/>
  <c r="I225" i="4"/>
  <c r="C225" i="4"/>
  <c r="AU224" i="4"/>
  <c r="AS224" i="4"/>
  <c r="AQ224" i="4"/>
  <c r="AM224" i="4"/>
  <c r="AI224" i="4"/>
  <c r="AE224" i="4"/>
  <c r="I224" i="4"/>
  <c r="C224" i="4"/>
  <c r="AU223" i="4"/>
  <c r="AS223" i="4"/>
  <c r="AQ223" i="4"/>
  <c r="AM223" i="4"/>
  <c r="AI223" i="4"/>
  <c r="AE223" i="4"/>
  <c r="I223" i="4"/>
  <c r="C223" i="4"/>
  <c r="AU222" i="4"/>
  <c r="AS222" i="4"/>
  <c r="AQ222" i="4"/>
  <c r="AM222" i="4"/>
  <c r="AI222" i="4"/>
  <c r="AE222" i="4"/>
  <c r="I222" i="4"/>
  <c r="C222" i="4"/>
  <c r="AU221" i="4"/>
  <c r="AS221" i="4"/>
  <c r="AQ221" i="4"/>
  <c r="AM221" i="4"/>
  <c r="AI221" i="4"/>
  <c r="AE221" i="4"/>
  <c r="C221" i="4"/>
  <c r="AU220" i="4"/>
  <c r="AS220" i="4"/>
  <c r="AQ220" i="4"/>
  <c r="AM220" i="4"/>
  <c r="AI220" i="4"/>
  <c r="AE220" i="4"/>
  <c r="I220" i="4"/>
  <c r="C220" i="4"/>
  <c r="AU219" i="4"/>
  <c r="AS219" i="4"/>
  <c r="AQ219" i="4"/>
  <c r="AM219" i="4"/>
  <c r="AI219" i="4"/>
  <c r="AE219" i="4"/>
  <c r="I219" i="4"/>
  <c r="C219" i="4"/>
  <c r="AU218" i="4"/>
  <c r="AS218" i="4"/>
  <c r="AQ218" i="4"/>
  <c r="AM218" i="4"/>
  <c r="AI218" i="4"/>
  <c r="C218" i="4"/>
  <c r="AU217" i="4"/>
  <c r="AS217" i="4"/>
  <c r="AQ217" i="4"/>
  <c r="AM217" i="4"/>
  <c r="AI217" i="4"/>
  <c r="C217" i="4"/>
  <c r="AU216" i="4"/>
  <c r="AS216" i="4"/>
  <c r="AQ216" i="4"/>
  <c r="AM216" i="4"/>
  <c r="AI216" i="4"/>
  <c r="AE216" i="4"/>
  <c r="I216" i="4"/>
  <c r="C216" i="4"/>
  <c r="AU215" i="4"/>
  <c r="AS215" i="4"/>
  <c r="AQ215" i="4"/>
  <c r="AM215" i="4"/>
  <c r="AI215" i="4"/>
  <c r="AE215" i="4"/>
  <c r="I215" i="4"/>
  <c r="C215" i="4"/>
  <c r="AU214" i="4"/>
  <c r="AS214" i="4"/>
  <c r="AQ214" i="4"/>
  <c r="AM214" i="4"/>
  <c r="AI214" i="4"/>
  <c r="AE214" i="4"/>
  <c r="I214" i="4"/>
  <c r="C214" i="4"/>
  <c r="AU213" i="4"/>
  <c r="AS213" i="4"/>
  <c r="AQ213" i="4"/>
  <c r="AM213" i="4"/>
  <c r="AI213" i="4"/>
  <c r="AE213" i="4"/>
  <c r="I213" i="4"/>
  <c r="C213" i="4"/>
  <c r="AU212" i="4"/>
  <c r="AS212" i="4"/>
  <c r="AQ212" i="4"/>
  <c r="AM212" i="4"/>
  <c r="C212" i="4"/>
  <c r="AU211" i="4"/>
  <c r="AS211" i="4"/>
  <c r="AQ211" i="4"/>
  <c r="AM211" i="4"/>
  <c r="AI211" i="4"/>
  <c r="AE211" i="4"/>
  <c r="I211" i="4"/>
  <c r="C211" i="4"/>
  <c r="AU210" i="4"/>
  <c r="AS210" i="4"/>
  <c r="AQ210" i="4"/>
  <c r="AM210" i="4"/>
  <c r="AI210" i="4"/>
  <c r="C210" i="4"/>
  <c r="AU209" i="4"/>
  <c r="AS209" i="4"/>
  <c r="AQ209" i="4"/>
  <c r="AM209" i="4"/>
  <c r="AI209" i="4"/>
  <c r="AE209" i="4"/>
  <c r="C209" i="4"/>
  <c r="AU208" i="4"/>
  <c r="AS208" i="4"/>
  <c r="AQ208" i="4"/>
  <c r="AM208" i="4"/>
  <c r="AI208" i="4"/>
  <c r="AE208" i="4"/>
  <c r="I208" i="4"/>
  <c r="C208" i="4"/>
  <c r="AU207" i="4"/>
  <c r="AS207" i="4"/>
  <c r="AQ207" i="4"/>
  <c r="AM207" i="4"/>
  <c r="AI207" i="4"/>
  <c r="AE207" i="4"/>
  <c r="I207" i="4"/>
  <c r="C207" i="4"/>
  <c r="AS205" i="4"/>
  <c r="AQ205" i="4"/>
  <c r="AM205" i="4"/>
  <c r="AI205" i="4"/>
  <c r="AE205" i="4"/>
  <c r="C205" i="4"/>
  <c r="AU204" i="4"/>
  <c r="AS204" i="4"/>
  <c r="AQ204" i="4"/>
  <c r="AM204" i="4"/>
  <c r="AI204" i="4"/>
  <c r="AE204" i="4"/>
  <c r="I204" i="4"/>
  <c r="C204" i="4"/>
  <c r="AU203" i="4"/>
  <c r="AS203" i="4"/>
  <c r="AQ203" i="4"/>
  <c r="AM203" i="4"/>
  <c r="AI203" i="4"/>
  <c r="C203" i="4"/>
  <c r="AU202" i="4"/>
  <c r="AS202" i="4"/>
  <c r="AQ202" i="4"/>
  <c r="AM202" i="4"/>
  <c r="AI202" i="4"/>
  <c r="C202" i="4"/>
  <c r="AU201" i="4"/>
  <c r="AS201" i="4"/>
  <c r="AQ201" i="4"/>
  <c r="AM201" i="4"/>
  <c r="AI201" i="4"/>
  <c r="C201" i="4"/>
  <c r="AU200" i="4"/>
  <c r="AS200" i="4"/>
  <c r="AQ200" i="4"/>
  <c r="AM200" i="4"/>
  <c r="AI200" i="4"/>
  <c r="AE200" i="4"/>
  <c r="I200" i="4"/>
  <c r="C200" i="4"/>
  <c r="AU199" i="4"/>
  <c r="AS199" i="4"/>
  <c r="AQ199" i="4"/>
  <c r="AM199" i="4"/>
  <c r="AI199" i="4"/>
  <c r="AE199" i="4"/>
  <c r="C199" i="4"/>
  <c r="AU197" i="4"/>
  <c r="AS197" i="4"/>
  <c r="AQ197" i="4"/>
  <c r="AM197" i="4"/>
  <c r="AI197" i="4"/>
  <c r="AE197" i="4"/>
  <c r="I197" i="4"/>
  <c r="C197" i="4"/>
  <c r="AU196" i="4"/>
  <c r="AS196" i="4"/>
  <c r="AQ196" i="4"/>
  <c r="AM196" i="4"/>
  <c r="AI196" i="4"/>
  <c r="AE196" i="4"/>
  <c r="I196" i="4"/>
  <c r="C196" i="4"/>
  <c r="AU195" i="4"/>
  <c r="AS195" i="4"/>
  <c r="AQ195" i="4"/>
  <c r="AM195" i="4"/>
  <c r="AI195" i="4"/>
  <c r="AE195" i="4"/>
  <c r="C195" i="4"/>
  <c r="AU194" i="4"/>
  <c r="AS194" i="4"/>
  <c r="AQ194" i="4"/>
  <c r="AM194" i="4"/>
  <c r="AI194" i="4"/>
  <c r="AE194" i="4"/>
  <c r="I194" i="4"/>
  <c r="C194" i="4"/>
  <c r="AU193" i="4"/>
  <c r="AS193" i="4"/>
  <c r="AQ193" i="4"/>
  <c r="AM193" i="4"/>
  <c r="AI193" i="4"/>
  <c r="AE193" i="4"/>
  <c r="I193" i="4"/>
  <c r="C193" i="4"/>
  <c r="AU192" i="4"/>
  <c r="AS192" i="4"/>
  <c r="AQ192" i="4"/>
  <c r="AM192" i="4"/>
  <c r="AI192" i="4"/>
  <c r="AE192" i="4"/>
  <c r="I192" i="4"/>
  <c r="C192" i="4"/>
  <c r="AU191" i="4"/>
  <c r="AS191" i="4"/>
  <c r="AQ191" i="4"/>
  <c r="AM191" i="4"/>
  <c r="AI191" i="4"/>
  <c r="AE191" i="4"/>
  <c r="I191" i="4"/>
  <c r="C191" i="4"/>
  <c r="AU190" i="4"/>
  <c r="AS190" i="4"/>
  <c r="AQ190" i="4"/>
  <c r="AM190" i="4"/>
  <c r="AI190" i="4"/>
  <c r="AE190" i="4"/>
  <c r="I190" i="4"/>
  <c r="C190" i="4"/>
  <c r="AU189" i="4"/>
  <c r="AS189" i="4"/>
  <c r="AQ189" i="4"/>
  <c r="AM189" i="4"/>
  <c r="AI189" i="4"/>
  <c r="AE189" i="4"/>
  <c r="I189" i="4"/>
  <c r="C189" i="4"/>
  <c r="AU188" i="4"/>
  <c r="AS188" i="4"/>
  <c r="AQ188" i="4"/>
  <c r="AM188" i="4"/>
  <c r="AI188" i="4"/>
  <c r="AE188" i="4"/>
  <c r="I188" i="4"/>
  <c r="C188" i="4"/>
  <c r="AU187" i="4"/>
  <c r="AS187" i="4"/>
  <c r="AQ187" i="4"/>
  <c r="AM187" i="4"/>
  <c r="AI187" i="4"/>
  <c r="AE187" i="4"/>
  <c r="I187" i="4"/>
  <c r="C187" i="4"/>
  <c r="AU186" i="4"/>
  <c r="AS186" i="4"/>
  <c r="AQ186" i="4"/>
  <c r="AM186" i="4"/>
  <c r="C186" i="4"/>
  <c r="AU185" i="4"/>
  <c r="AS185" i="4"/>
  <c r="AQ185" i="4"/>
  <c r="AM185" i="4"/>
  <c r="AI185" i="4"/>
  <c r="AE185" i="4"/>
  <c r="I185" i="4"/>
  <c r="C185" i="4"/>
  <c r="AU184" i="4"/>
  <c r="AS184" i="4"/>
  <c r="AQ184" i="4"/>
  <c r="I184" i="4"/>
  <c r="C184" i="4"/>
  <c r="AU183" i="4"/>
  <c r="AS183" i="4"/>
  <c r="AQ183" i="4"/>
  <c r="I183" i="4"/>
  <c r="C183" i="4"/>
  <c r="AU182" i="4"/>
  <c r="AS182" i="4"/>
  <c r="AQ182" i="4"/>
  <c r="I182" i="4"/>
  <c r="C182" i="4"/>
  <c r="AU181" i="4"/>
  <c r="AS181" i="4"/>
  <c r="AQ181" i="4"/>
  <c r="AM181" i="4"/>
  <c r="AI181" i="4"/>
  <c r="AE181" i="4"/>
  <c r="I181" i="4"/>
  <c r="C181" i="4"/>
  <c r="AU180" i="4"/>
  <c r="AS180" i="4"/>
  <c r="AQ180" i="4"/>
  <c r="AM180" i="4"/>
  <c r="AI180" i="4"/>
  <c r="AE180" i="4"/>
  <c r="I180" i="4"/>
  <c r="C180" i="4"/>
  <c r="AU179" i="4"/>
  <c r="AS179" i="4"/>
  <c r="AQ179" i="4"/>
  <c r="AM179" i="4"/>
  <c r="AI179" i="4"/>
  <c r="AE179" i="4"/>
  <c r="I179" i="4"/>
  <c r="C179" i="4"/>
  <c r="AU178" i="4"/>
  <c r="AS178" i="4"/>
  <c r="AQ178" i="4"/>
  <c r="AM178" i="4"/>
  <c r="AI178" i="4"/>
  <c r="AE178" i="4"/>
  <c r="I178" i="4"/>
  <c r="C178" i="4"/>
  <c r="AU177" i="4"/>
  <c r="AS177" i="4"/>
  <c r="AQ177" i="4"/>
  <c r="AM177" i="4"/>
  <c r="AI177" i="4"/>
  <c r="AE177" i="4"/>
  <c r="I177" i="4"/>
  <c r="C177" i="4"/>
  <c r="AU171" i="4"/>
  <c r="AS171" i="4"/>
  <c r="AQ171" i="4"/>
  <c r="C171" i="4"/>
  <c r="AU170" i="4"/>
  <c r="AS170" i="4"/>
  <c r="AQ170" i="4"/>
  <c r="C170" i="4"/>
  <c r="AU169" i="4"/>
  <c r="AS169" i="4"/>
  <c r="AQ169" i="4"/>
  <c r="AM169" i="4"/>
  <c r="AI169" i="4"/>
  <c r="AE169" i="4"/>
  <c r="C169" i="4"/>
  <c r="AU168" i="4"/>
  <c r="AS168" i="4"/>
  <c r="AQ168" i="4"/>
  <c r="AM168" i="4"/>
  <c r="AI168" i="4"/>
  <c r="C168" i="4"/>
  <c r="AU167" i="4"/>
  <c r="AS167" i="4"/>
  <c r="C167" i="4"/>
  <c r="AU166" i="4"/>
  <c r="AS166" i="4"/>
  <c r="AQ166" i="4"/>
  <c r="AM166" i="4"/>
  <c r="AI166" i="4"/>
  <c r="C166" i="4"/>
  <c r="AU165" i="4"/>
  <c r="AS165" i="4"/>
  <c r="AQ165" i="4"/>
  <c r="AM165" i="4"/>
  <c r="AI165" i="4"/>
  <c r="C165" i="4"/>
  <c r="AU164" i="4"/>
  <c r="AS164" i="4"/>
  <c r="AQ164" i="4"/>
  <c r="AM164" i="4"/>
  <c r="C164" i="4"/>
  <c r="AU163" i="4"/>
  <c r="AS163" i="4"/>
  <c r="AQ163" i="4"/>
  <c r="AM163" i="4"/>
  <c r="AI163" i="4"/>
  <c r="C163" i="4"/>
  <c r="AS162" i="4"/>
  <c r="AQ162" i="4"/>
  <c r="AM162" i="4"/>
  <c r="C162" i="4"/>
  <c r="AU161" i="4"/>
  <c r="AS161" i="4"/>
  <c r="AQ161" i="4"/>
  <c r="AM161" i="4"/>
  <c r="AI161" i="4"/>
  <c r="C161" i="4"/>
  <c r="AU160" i="4"/>
  <c r="AS160" i="4"/>
  <c r="AQ160" i="4"/>
  <c r="AM160" i="4"/>
  <c r="AI160" i="4"/>
  <c r="C160" i="4"/>
  <c r="AS159" i="4"/>
  <c r="AQ159" i="4"/>
  <c r="AM159" i="4"/>
  <c r="AI159" i="4"/>
  <c r="AE159" i="4"/>
  <c r="C159" i="4"/>
  <c r="AU158" i="4"/>
  <c r="AS158" i="4"/>
  <c r="AQ158" i="4"/>
  <c r="AM158" i="4"/>
  <c r="AI158" i="4"/>
  <c r="AE158" i="4"/>
  <c r="C158" i="4"/>
  <c r="AU157" i="4"/>
  <c r="AS157" i="4"/>
  <c r="AQ157" i="4"/>
  <c r="AM157" i="4"/>
  <c r="AI157" i="4"/>
  <c r="AE157" i="4"/>
  <c r="C157" i="4"/>
  <c r="AU156" i="4"/>
  <c r="AS156" i="4"/>
  <c r="AQ156" i="4"/>
  <c r="AM156" i="4"/>
  <c r="AI156" i="4"/>
  <c r="AE156" i="4"/>
  <c r="I156" i="4"/>
  <c r="C156" i="4"/>
  <c r="AU155" i="4"/>
  <c r="AS155" i="4"/>
  <c r="AQ155" i="4"/>
  <c r="AM155" i="4"/>
  <c r="AI155" i="4"/>
  <c r="AE155" i="4"/>
  <c r="I155" i="4"/>
  <c r="C155" i="4"/>
  <c r="AU154" i="4"/>
  <c r="AS154" i="4"/>
  <c r="AQ154" i="4"/>
  <c r="AM154" i="4"/>
  <c r="AI154" i="4"/>
  <c r="AE154" i="4"/>
  <c r="I154" i="4"/>
  <c r="C154" i="4"/>
  <c r="AU153" i="4"/>
  <c r="AS153" i="4"/>
  <c r="AQ153" i="4"/>
  <c r="AM153" i="4"/>
  <c r="AI153" i="4"/>
  <c r="AE153" i="4"/>
  <c r="I153" i="4"/>
  <c r="C153" i="4"/>
  <c r="AU152" i="4"/>
  <c r="AS152" i="4"/>
  <c r="AQ152" i="4"/>
  <c r="AM152" i="4"/>
  <c r="AI152" i="4"/>
  <c r="AE152" i="4"/>
  <c r="I152" i="4"/>
  <c r="C152" i="4"/>
  <c r="AU151" i="4"/>
  <c r="AS151" i="4"/>
  <c r="AQ151" i="4"/>
  <c r="AM151" i="4"/>
  <c r="AI151" i="4"/>
  <c r="AE151" i="4"/>
  <c r="I151" i="4"/>
  <c r="C151" i="4"/>
  <c r="AU150" i="4"/>
  <c r="AS150" i="4"/>
  <c r="AQ150" i="4"/>
  <c r="AM150" i="4"/>
  <c r="AI150" i="4"/>
  <c r="AE150" i="4"/>
  <c r="I150" i="4"/>
  <c r="C150" i="4"/>
  <c r="AU149" i="4"/>
  <c r="AS149" i="4"/>
  <c r="AQ149" i="4"/>
  <c r="AM149" i="4"/>
  <c r="AI149" i="4"/>
  <c r="AE149" i="4"/>
  <c r="I149" i="4"/>
  <c r="C149" i="4"/>
  <c r="AU148" i="4"/>
  <c r="AS148" i="4"/>
  <c r="AQ148" i="4"/>
  <c r="AM148" i="4"/>
  <c r="AI148" i="4"/>
  <c r="AE148" i="4"/>
  <c r="I148" i="4"/>
  <c r="C148" i="4"/>
  <c r="AU147" i="4"/>
  <c r="AS147" i="4"/>
  <c r="AQ147" i="4"/>
  <c r="AM147" i="4"/>
  <c r="AI147" i="4"/>
  <c r="AE147" i="4"/>
  <c r="I147" i="4"/>
  <c r="C147" i="4"/>
  <c r="AU146" i="4"/>
  <c r="AS146" i="4"/>
  <c r="AQ146" i="4"/>
  <c r="AM146" i="4"/>
  <c r="AI146" i="4"/>
  <c r="AE146" i="4"/>
  <c r="I146" i="4"/>
  <c r="C146" i="4"/>
  <c r="AU145" i="4"/>
  <c r="AS145" i="4"/>
  <c r="AQ145" i="4"/>
  <c r="AM145" i="4"/>
  <c r="AI145" i="4"/>
  <c r="AE145" i="4"/>
  <c r="I145" i="4"/>
  <c r="C145" i="4"/>
  <c r="AU144" i="4"/>
  <c r="AS144" i="4"/>
  <c r="AQ144" i="4"/>
  <c r="AM144" i="4"/>
  <c r="AI144" i="4"/>
  <c r="AE144" i="4"/>
  <c r="I144" i="4"/>
  <c r="C144" i="4"/>
  <c r="AU143" i="4"/>
  <c r="AS143" i="4"/>
  <c r="AQ143" i="4"/>
  <c r="AM143" i="4"/>
  <c r="AI143" i="4"/>
  <c r="AE143" i="4"/>
  <c r="I143" i="4"/>
  <c r="C143" i="4"/>
  <c r="AU142" i="4"/>
  <c r="AS142" i="4"/>
  <c r="AQ142" i="4"/>
  <c r="AM142" i="4"/>
  <c r="AI142" i="4"/>
  <c r="AE142" i="4"/>
  <c r="I142" i="4"/>
  <c r="C142" i="4"/>
  <c r="AU141" i="4"/>
  <c r="AS141" i="4"/>
  <c r="AQ141" i="4"/>
  <c r="AM141" i="4"/>
  <c r="AI141" i="4"/>
  <c r="AE141" i="4"/>
  <c r="I141" i="4"/>
  <c r="C141" i="4"/>
  <c r="AU140" i="4"/>
  <c r="AS140" i="4"/>
  <c r="AQ140" i="4"/>
  <c r="AM140" i="4"/>
  <c r="AI140" i="4"/>
  <c r="AE140" i="4"/>
  <c r="I140" i="4"/>
  <c r="C140" i="4"/>
  <c r="AU139" i="4"/>
  <c r="AS139" i="4"/>
  <c r="AQ139" i="4"/>
  <c r="AM139" i="4"/>
  <c r="AI139" i="4"/>
  <c r="AE139" i="4"/>
  <c r="I139" i="4"/>
  <c r="C139" i="4"/>
  <c r="AU138" i="4"/>
  <c r="AS138" i="4"/>
  <c r="AQ138" i="4"/>
  <c r="AM138" i="4"/>
  <c r="AI138" i="4"/>
  <c r="AE138" i="4"/>
  <c r="I138" i="4"/>
  <c r="C138" i="4"/>
  <c r="AU137" i="4"/>
  <c r="AS137" i="4"/>
  <c r="AQ137" i="4"/>
  <c r="AM137" i="4"/>
  <c r="AI137" i="4"/>
  <c r="AE137" i="4"/>
  <c r="I137" i="4"/>
  <c r="C137" i="4"/>
  <c r="AU136" i="4"/>
  <c r="AS136" i="4"/>
  <c r="AQ136" i="4"/>
  <c r="AM136" i="4"/>
  <c r="AI136" i="4"/>
  <c r="AE136" i="4"/>
  <c r="I136" i="4"/>
  <c r="C136" i="4"/>
  <c r="AU135" i="4"/>
  <c r="AS135" i="4"/>
  <c r="AQ135" i="4"/>
  <c r="AM135" i="4"/>
  <c r="AI135" i="4"/>
  <c r="AE135" i="4"/>
  <c r="I135" i="4"/>
  <c r="C135" i="4"/>
  <c r="AU134" i="4"/>
  <c r="AS134" i="4"/>
  <c r="AQ134" i="4"/>
  <c r="AM134" i="4"/>
  <c r="AI134" i="4"/>
  <c r="AE134" i="4"/>
  <c r="I134" i="4"/>
  <c r="C134" i="4"/>
  <c r="AU133" i="4"/>
  <c r="AS133" i="4"/>
  <c r="AQ133" i="4"/>
  <c r="AM133" i="4"/>
  <c r="AI133" i="4"/>
  <c r="AE133" i="4"/>
  <c r="I133" i="4"/>
  <c r="C133" i="4"/>
  <c r="AU132" i="4"/>
  <c r="AS132" i="4"/>
  <c r="AQ132" i="4"/>
  <c r="AM132" i="4"/>
  <c r="AI132" i="4"/>
  <c r="AE132" i="4"/>
  <c r="I132" i="4"/>
  <c r="C132" i="4"/>
  <c r="AU131" i="4"/>
  <c r="AS131" i="4"/>
  <c r="AQ131" i="4"/>
  <c r="AM131" i="4"/>
  <c r="AI131" i="4"/>
  <c r="AE131" i="4"/>
  <c r="I131" i="4"/>
  <c r="C131" i="4"/>
  <c r="AU130" i="4"/>
  <c r="AS130" i="4"/>
  <c r="AQ130" i="4"/>
  <c r="AM130" i="4"/>
  <c r="AI130" i="4"/>
  <c r="AE130" i="4"/>
  <c r="I130" i="4"/>
  <c r="C130" i="4"/>
  <c r="AU129" i="4"/>
  <c r="AS129" i="4"/>
  <c r="AQ129" i="4"/>
  <c r="AM129" i="4"/>
  <c r="AI129" i="4"/>
  <c r="AE129" i="4"/>
  <c r="I129" i="4"/>
  <c r="C129" i="4"/>
  <c r="AU128" i="4"/>
  <c r="AS128" i="4"/>
  <c r="AQ128" i="4"/>
  <c r="AM128" i="4"/>
  <c r="AI128" i="4"/>
  <c r="AE128" i="4"/>
  <c r="I128" i="4"/>
  <c r="C128" i="4"/>
  <c r="AU127" i="4"/>
  <c r="AS127" i="4"/>
  <c r="AQ127" i="4"/>
  <c r="AM127" i="4"/>
  <c r="AI127" i="4"/>
  <c r="AE127" i="4"/>
  <c r="I127" i="4"/>
  <c r="C127" i="4"/>
  <c r="AU126" i="4"/>
  <c r="AS126" i="4"/>
  <c r="AQ126" i="4"/>
  <c r="AM126" i="4"/>
  <c r="AI126" i="4"/>
  <c r="AE126" i="4"/>
  <c r="I126" i="4"/>
  <c r="C126" i="4"/>
  <c r="AU125" i="4"/>
  <c r="AS125" i="4"/>
  <c r="AQ125" i="4"/>
  <c r="AM125" i="4"/>
  <c r="AI125" i="4"/>
  <c r="AE125" i="4"/>
  <c r="I125" i="4"/>
  <c r="C125" i="4"/>
  <c r="AU124" i="4"/>
  <c r="AS124" i="4"/>
  <c r="AQ124" i="4"/>
  <c r="AM124" i="4"/>
  <c r="AI124" i="4"/>
  <c r="AE124" i="4"/>
  <c r="I124" i="4"/>
  <c r="C124" i="4"/>
  <c r="AU123" i="4"/>
  <c r="AS123" i="4"/>
  <c r="AQ123" i="4"/>
  <c r="AM123" i="4"/>
  <c r="AI123" i="4"/>
  <c r="AE123" i="4"/>
  <c r="I123" i="4"/>
  <c r="C123" i="4"/>
  <c r="AU122" i="4"/>
  <c r="AS122" i="4"/>
  <c r="AQ122" i="4"/>
  <c r="AM122" i="4"/>
  <c r="AI122" i="4"/>
  <c r="AE122" i="4"/>
  <c r="I122" i="4"/>
  <c r="C122" i="4"/>
  <c r="AU121" i="4"/>
  <c r="AS121" i="4"/>
  <c r="AQ121" i="4"/>
  <c r="AM121" i="4"/>
  <c r="AI121" i="4"/>
  <c r="AE121" i="4"/>
  <c r="I121" i="4"/>
  <c r="C121" i="4"/>
  <c r="AU120" i="4"/>
  <c r="AS120" i="4"/>
  <c r="AQ120" i="4"/>
  <c r="AM120" i="4"/>
  <c r="AI120" i="4"/>
  <c r="AE120" i="4"/>
  <c r="I120" i="4"/>
  <c r="C120" i="4"/>
  <c r="AU119" i="4"/>
  <c r="AS119" i="4"/>
  <c r="AQ119" i="4"/>
  <c r="AM119" i="4"/>
  <c r="AI119" i="4"/>
  <c r="AE119" i="4"/>
  <c r="I119" i="4"/>
  <c r="C119" i="4"/>
  <c r="AU118" i="4"/>
  <c r="AS118" i="4"/>
  <c r="AQ118" i="4"/>
  <c r="AM118" i="4"/>
  <c r="AI118" i="4"/>
  <c r="AE118" i="4"/>
  <c r="I118" i="4"/>
  <c r="C118" i="4"/>
  <c r="AU117" i="4"/>
  <c r="AS117" i="4"/>
  <c r="AQ117" i="4"/>
  <c r="AM117" i="4"/>
  <c r="AI117" i="4"/>
  <c r="AE117" i="4"/>
  <c r="I117" i="4"/>
  <c r="C117" i="4"/>
  <c r="AU116" i="4"/>
  <c r="AS116" i="4"/>
  <c r="AQ116" i="4"/>
  <c r="AM116" i="4"/>
  <c r="AI116" i="4"/>
  <c r="AE116" i="4"/>
  <c r="I116" i="4"/>
  <c r="C116" i="4"/>
  <c r="AU115" i="4"/>
  <c r="AS115" i="4"/>
  <c r="AQ115" i="4"/>
  <c r="AM115" i="4"/>
  <c r="AI115" i="4"/>
  <c r="AE115" i="4"/>
  <c r="I115" i="4"/>
  <c r="C115" i="4"/>
  <c r="AU114" i="4"/>
  <c r="AS114" i="4"/>
  <c r="AQ114" i="4"/>
  <c r="AM114" i="4"/>
  <c r="AI114" i="4"/>
  <c r="AE114" i="4"/>
  <c r="I114" i="4"/>
  <c r="C114" i="4"/>
  <c r="AU113" i="4"/>
  <c r="AS113" i="4"/>
  <c r="AQ113" i="4"/>
  <c r="AM113" i="4"/>
  <c r="AI113" i="4"/>
  <c r="AE113" i="4"/>
  <c r="I113" i="4"/>
  <c r="C113" i="4"/>
  <c r="AU112" i="4"/>
  <c r="AS112" i="4"/>
  <c r="AQ112" i="4"/>
  <c r="AM112" i="4"/>
  <c r="AI112" i="4"/>
  <c r="AE112" i="4"/>
  <c r="I112" i="4"/>
  <c r="C112" i="4"/>
  <c r="AU111" i="4"/>
  <c r="AS111" i="4"/>
  <c r="AQ111" i="4"/>
  <c r="AM111" i="4"/>
  <c r="AI111" i="4"/>
  <c r="AE111" i="4"/>
  <c r="I111" i="4"/>
  <c r="C111" i="4"/>
  <c r="AU110" i="4"/>
  <c r="AS110" i="4"/>
  <c r="AQ110" i="4"/>
  <c r="AM110" i="4"/>
  <c r="AI110" i="4"/>
  <c r="AE110" i="4"/>
  <c r="I110" i="4"/>
  <c r="C110" i="4"/>
  <c r="AU109" i="4"/>
  <c r="AS109" i="4"/>
  <c r="AQ109" i="4"/>
  <c r="AM109" i="4"/>
  <c r="AI109" i="4"/>
  <c r="AE109" i="4"/>
  <c r="I109" i="4"/>
  <c r="C109" i="4"/>
  <c r="AU108" i="4"/>
  <c r="AS108" i="4"/>
  <c r="AQ108" i="4"/>
  <c r="AM108" i="4"/>
  <c r="AI108" i="4"/>
  <c r="AE108" i="4"/>
  <c r="I108" i="4"/>
  <c r="C108" i="4"/>
  <c r="AU107" i="4"/>
  <c r="AS107" i="4"/>
  <c r="AQ107" i="4"/>
  <c r="AM107" i="4"/>
  <c r="AI107" i="4"/>
  <c r="AE107" i="4"/>
  <c r="I107" i="4"/>
  <c r="C107" i="4"/>
  <c r="AU106" i="4"/>
  <c r="AS106" i="4"/>
  <c r="AQ106" i="4"/>
  <c r="AM106" i="4"/>
  <c r="AI106" i="4"/>
  <c r="AE106" i="4"/>
  <c r="I106" i="4"/>
  <c r="C106" i="4"/>
  <c r="AU105" i="4"/>
  <c r="AS105" i="4"/>
  <c r="AQ105" i="4"/>
  <c r="AM105" i="4"/>
  <c r="AI105" i="4"/>
  <c r="AE105" i="4"/>
  <c r="I105" i="4"/>
  <c r="C105" i="4"/>
  <c r="AU104" i="4"/>
  <c r="AS104" i="4"/>
  <c r="AQ104" i="4"/>
  <c r="AM104" i="4"/>
  <c r="AI104" i="4"/>
  <c r="AE104" i="4"/>
  <c r="I104" i="4"/>
  <c r="C104" i="4"/>
  <c r="AU103" i="4"/>
  <c r="AS103" i="4"/>
  <c r="AQ103" i="4"/>
  <c r="AM103" i="4"/>
  <c r="AI103" i="4"/>
  <c r="AE103" i="4"/>
  <c r="I103" i="4"/>
  <c r="C103" i="4"/>
  <c r="AU102" i="4"/>
  <c r="AS102" i="4"/>
  <c r="AQ102" i="4"/>
  <c r="AM102" i="4"/>
  <c r="AI102" i="4"/>
  <c r="AE102" i="4"/>
  <c r="I102" i="4"/>
  <c r="C102" i="4"/>
  <c r="AU101" i="4"/>
  <c r="AS101" i="4"/>
  <c r="AQ101" i="4"/>
  <c r="AM101" i="4"/>
  <c r="AI101" i="4"/>
  <c r="AE101" i="4"/>
  <c r="I101" i="4"/>
  <c r="C101" i="4"/>
  <c r="AU100" i="4"/>
  <c r="AS100" i="4"/>
  <c r="AQ100" i="4"/>
  <c r="AM100" i="4"/>
  <c r="AI100" i="4"/>
  <c r="AE100" i="4"/>
  <c r="I100" i="4"/>
  <c r="C100" i="4"/>
  <c r="AU99" i="4"/>
  <c r="AS99" i="4"/>
  <c r="AQ99" i="4"/>
  <c r="AM99" i="4"/>
  <c r="AI99" i="4"/>
  <c r="AE99" i="4"/>
  <c r="I99" i="4"/>
  <c r="C99" i="4"/>
  <c r="AU98" i="4"/>
  <c r="AS98" i="4"/>
  <c r="AQ98" i="4"/>
  <c r="AM98" i="4"/>
  <c r="AI98" i="4"/>
  <c r="AE98" i="4"/>
  <c r="I98" i="4"/>
  <c r="C98" i="4"/>
  <c r="AU97" i="4"/>
  <c r="AS97" i="4"/>
  <c r="AQ97" i="4"/>
  <c r="AM97" i="4"/>
  <c r="AI97" i="4"/>
  <c r="AE97" i="4"/>
  <c r="I97" i="4"/>
  <c r="C97" i="4"/>
  <c r="AU96" i="4"/>
  <c r="AS96" i="4"/>
  <c r="AQ96" i="4"/>
  <c r="AM96" i="4"/>
  <c r="AI96" i="4"/>
  <c r="AE96" i="4"/>
  <c r="I96" i="4"/>
  <c r="C96" i="4"/>
  <c r="AU95" i="4"/>
  <c r="AS95" i="4"/>
  <c r="AQ95" i="4"/>
  <c r="AM95" i="4"/>
  <c r="AI95" i="4"/>
  <c r="AE95" i="4"/>
  <c r="I95" i="4"/>
  <c r="C95" i="4"/>
  <c r="AU94" i="4"/>
  <c r="AS94" i="4"/>
  <c r="AQ94" i="4"/>
  <c r="AM94" i="4"/>
  <c r="AI94" i="4"/>
  <c r="AE94" i="4"/>
  <c r="I94" i="4"/>
  <c r="C94" i="4"/>
  <c r="AU93" i="4"/>
  <c r="AS93" i="4"/>
  <c r="AQ93" i="4"/>
  <c r="AM93" i="4"/>
  <c r="AI93" i="4"/>
  <c r="AE93" i="4"/>
  <c r="I93" i="4"/>
  <c r="C93" i="4"/>
  <c r="AU92" i="4"/>
  <c r="AS92" i="4"/>
  <c r="AQ92" i="4"/>
  <c r="AM92" i="4"/>
  <c r="AI92" i="4"/>
  <c r="AE92" i="4"/>
  <c r="I92" i="4"/>
  <c r="C92" i="4"/>
  <c r="AU91" i="4"/>
  <c r="AS91" i="4"/>
  <c r="AQ91" i="4"/>
  <c r="AM91" i="4"/>
  <c r="AI91" i="4"/>
  <c r="AE91" i="4"/>
  <c r="I91" i="4"/>
  <c r="C91" i="4"/>
  <c r="AU90" i="4"/>
  <c r="AS90" i="4"/>
  <c r="AQ90" i="4"/>
  <c r="AM90" i="4"/>
  <c r="AI90" i="4"/>
  <c r="AE90" i="4"/>
  <c r="I90" i="4"/>
  <c r="C90" i="4"/>
  <c r="AU89" i="4"/>
  <c r="AS89" i="4"/>
  <c r="AQ89" i="4"/>
  <c r="AM89" i="4"/>
  <c r="AI89" i="4"/>
  <c r="AE89" i="4"/>
  <c r="I89" i="4"/>
  <c r="C89" i="4"/>
  <c r="AU88" i="4"/>
  <c r="AS88" i="4"/>
  <c r="AQ88" i="4"/>
  <c r="AM88" i="4"/>
  <c r="AI88" i="4"/>
  <c r="AE88" i="4"/>
  <c r="I88" i="4"/>
  <c r="C88" i="4"/>
  <c r="AU87" i="4"/>
  <c r="AS87" i="4"/>
  <c r="AQ87" i="4"/>
  <c r="AM87" i="4"/>
  <c r="AI87" i="4"/>
  <c r="AE87" i="4"/>
  <c r="I87" i="4"/>
  <c r="C87" i="4"/>
  <c r="AU86" i="4"/>
  <c r="AS86" i="4"/>
  <c r="AQ86" i="4"/>
  <c r="AM86" i="4"/>
  <c r="AI86" i="4"/>
  <c r="AE86" i="4"/>
  <c r="I86" i="4"/>
  <c r="C86" i="4"/>
  <c r="AU85" i="4"/>
  <c r="AS85" i="4"/>
  <c r="AQ85" i="4"/>
  <c r="AM85" i="4"/>
  <c r="AI85" i="4"/>
  <c r="C85" i="4"/>
  <c r="AU84" i="4"/>
  <c r="AS84" i="4"/>
  <c r="AQ84" i="4"/>
  <c r="AM84" i="4"/>
  <c r="AI84" i="4"/>
  <c r="AE84" i="4"/>
  <c r="I84" i="4"/>
  <c r="C84" i="4"/>
  <c r="AU83" i="4"/>
  <c r="AS83" i="4"/>
  <c r="AQ83" i="4"/>
  <c r="AM83" i="4"/>
  <c r="AI83" i="4"/>
  <c r="AE83" i="4"/>
  <c r="I83" i="4"/>
  <c r="C83" i="4"/>
  <c r="AU82" i="4"/>
  <c r="AS82" i="4"/>
  <c r="AQ82" i="4"/>
  <c r="AM82" i="4"/>
  <c r="AI82" i="4"/>
  <c r="AE82" i="4"/>
  <c r="I82" i="4"/>
  <c r="C82" i="4"/>
  <c r="AU81" i="4"/>
  <c r="AS81" i="4"/>
  <c r="AQ81" i="4"/>
  <c r="AM81" i="4"/>
  <c r="AI81" i="4"/>
  <c r="AE81" i="4"/>
  <c r="I81" i="4"/>
  <c r="C81" i="4"/>
  <c r="AU80" i="4"/>
  <c r="AS80" i="4"/>
  <c r="AQ80" i="4"/>
  <c r="AM80" i="4"/>
  <c r="AI80" i="4"/>
  <c r="AE80" i="4"/>
  <c r="I80" i="4"/>
  <c r="C80" i="4"/>
  <c r="AU79" i="4"/>
  <c r="AS79" i="4"/>
  <c r="AQ79" i="4"/>
  <c r="AM79" i="4"/>
  <c r="AI79" i="4"/>
  <c r="AE79" i="4"/>
  <c r="I79" i="4"/>
  <c r="C79" i="4"/>
  <c r="AU78" i="4"/>
  <c r="AS78" i="4"/>
  <c r="AQ78" i="4"/>
  <c r="AM78" i="4"/>
  <c r="AI78" i="4"/>
  <c r="AE78" i="4"/>
  <c r="I78" i="4"/>
  <c r="C78" i="4"/>
  <c r="AU77" i="4"/>
  <c r="AS77" i="4"/>
  <c r="AQ77" i="4"/>
  <c r="AM77" i="4"/>
  <c r="AI77" i="4"/>
  <c r="AE77" i="4"/>
  <c r="I77" i="4"/>
  <c r="C77" i="4"/>
  <c r="AU76" i="4"/>
  <c r="AS76" i="4"/>
  <c r="AQ76" i="4"/>
  <c r="AM76" i="4"/>
  <c r="AI76" i="4"/>
  <c r="AE76" i="4"/>
  <c r="I76" i="4"/>
  <c r="C76" i="4"/>
  <c r="AU75" i="4"/>
  <c r="AS75" i="4"/>
  <c r="AQ75" i="4"/>
  <c r="AM75" i="4"/>
  <c r="C75" i="4"/>
  <c r="AU74" i="4"/>
  <c r="AS74" i="4"/>
  <c r="AQ74" i="4"/>
  <c r="AM74" i="4"/>
  <c r="AI74" i="4"/>
  <c r="AE74" i="4"/>
  <c r="I74" i="4"/>
  <c r="C74" i="4"/>
  <c r="AU73" i="4"/>
  <c r="AS73" i="4"/>
  <c r="AQ73" i="4"/>
  <c r="AM73" i="4"/>
  <c r="AI73" i="4"/>
  <c r="AE73" i="4"/>
  <c r="I73" i="4"/>
  <c r="C73" i="4"/>
  <c r="AU72" i="4"/>
  <c r="AS72" i="4"/>
  <c r="AQ72" i="4"/>
  <c r="AM72" i="4"/>
  <c r="AI72" i="4"/>
  <c r="AE72" i="4"/>
  <c r="I72" i="4"/>
  <c r="C72" i="4"/>
  <c r="AU71" i="4"/>
  <c r="AS71" i="4"/>
  <c r="AQ71" i="4"/>
  <c r="AM71" i="4"/>
  <c r="AI71" i="4"/>
  <c r="AE71" i="4"/>
  <c r="C71" i="4"/>
  <c r="AU70" i="4"/>
  <c r="AS70" i="4"/>
  <c r="AQ70" i="4"/>
  <c r="AM70" i="4"/>
  <c r="AI70" i="4"/>
  <c r="AE70" i="4"/>
  <c r="I70" i="4"/>
  <c r="C70" i="4"/>
  <c r="AU69" i="4"/>
  <c r="AS69" i="4"/>
  <c r="AQ69" i="4"/>
  <c r="AM69" i="4"/>
  <c r="AI69" i="4"/>
  <c r="AE69" i="4"/>
  <c r="I69" i="4"/>
  <c r="C69" i="4"/>
  <c r="AU68" i="4"/>
  <c r="AS68" i="4"/>
  <c r="AQ68" i="4"/>
  <c r="AM68" i="4"/>
  <c r="AI68" i="4"/>
  <c r="AE68" i="4"/>
  <c r="I68" i="4"/>
  <c r="C68" i="4"/>
  <c r="AU67" i="4"/>
  <c r="AS67" i="4"/>
  <c r="AQ67" i="4"/>
  <c r="AM67" i="4"/>
  <c r="AI67" i="4"/>
  <c r="AE67" i="4"/>
  <c r="I67" i="4"/>
  <c r="C67" i="4"/>
  <c r="AU66" i="4"/>
  <c r="AS66" i="4"/>
  <c r="AQ66" i="4"/>
  <c r="AM66" i="4"/>
  <c r="AI66" i="4"/>
  <c r="AE66" i="4"/>
  <c r="I66" i="4"/>
  <c r="C66" i="4"/>
  <c r="AU65" i="4"/>
  <c r="AS65" i="4"/>
  <c r="AQ65" i="4"/>
  <c r="AM65" i="4"/>
  <c r="AI65" i="4"/>
  <c r="AE65" i="4"/>
  <c r="I65" i="4"/>
  <c r="C65" i="4"/>
  <c r="AU38" i="4"/>
  <c r="AS38" i="4"/>
  <c r="AQ38" i="4"/>
  <c r="AM38" i="4"/>
  <c r="AI38" i="4"/>
  <c r="AE38" i="4"/>
  <c r="C38" i="4"/>
  <c r="AU64" i="4"/>
  <c r="AS64" i="4"/>
  <c r="AQ64" i="4"/>
  <c r="AM64" i="4"/>
  <c r="AI64" i="4"/>
  <c r="AE64" i="4"/>
  <c r="I64" i="4"/>
  <c r="C64" i="4"/>
  <c r="AU63" i="4"/>
  <c r="AS63" i="4"/>
  <c r="AQ63" i="4"/>
  <c r="AM63" i="4"/>
  <c r="AI63" i="4"/>
  <c r="AE63" i="4"/>
  <c r="I63" i="4"/>
  <c r="C63" i="4"/>
  <c r="AU62" i="4"/>
  <c r="AS62" i="4"/>
  <c r="AQ62" i="4"/>
  <c r="AM62" i="4"/>
  <c r="AI62" i="4"/>
  <c r="AE62" i="4"/>
  <c r="I62" i="4"/>
  <c r="C62" i="4"/>
  <c r="AU61" i="4"/>
  <c r="AS61" i="4"/>
  <c r="AQ61" i="4"/>
  <c r="AM61" i="4"/>
  <c r="AI61" i="4"/>
  <c r="AE61" i="4"/>
  <c r="I61" i="4"/>
  <c r="C61" i="4"/>
  <c r="AU60" i="4"/>
  <c r="AS60" i="4"/>
  <c r="AQ60" i="4"/>
  <c r="AM60" i="4"/>
  <c r="AI60" i="4"/>
  <c r="AE60" i="4"/>
  <c r="C60" i="4"/>
  <c r="AU59" i="4"/>
  <c r="AS59" i="4"/>
  <c r="AQ59" i="4"/>
  <c r="AM59" i="4"/>
  <c r="AI59" i="4"/>
  <c r="AE59" i="4"/>
  <c r="I59" i="4"/>
  <c r="C59" i="4"/>
  <c r="AU58" i="4"/>
  <c r="AS58" i="4"/>
  <c r="AQ58" i="4"/>
  <c r="AM58" i="4"/>
  <c r="AI58" i="4"/>
  <c r="AE58" i="4"/>
  <c r="I58" i="4"/>
  <c r="C58" i="4"/>
  <c r="AU57" i="4"/>
  <c r="AS57" i="4"/>
  <c r="AQ57" i="4"/>
  <c r="AM57" i="4"/>
  <c r="AI57" i="4"/>
  <c r="AE57" i="4"/>
  <c r="C57" i="4"/>
  <c r="AU56" i="4"/>
  <c r="AS56" i="4"/>
  <c r="AQ56" i="4"/>
  <c r="AM56" i="4"/>
  <c r="AI56" i="4"/>
  <c r="AE56" i="4"/>
  <c r="I56" i="4"/>
  <c r="C56" i="4"/>
  <c r="AU55" i="4"/>
  <c r="AS55" i="4"/>
  <c r="AQ55" i="4"/>
  <c r="AM55" i="4"/>
  <c r="AI55" i="4"/>
  <c r="AE55" i="4"/>
  <c r="I55" i="4"/>
  <c r="C55" i="4"/>
  <c r="AU54" i="4"/>
  <c r="AS54" i="4"/>
  <c r="AQ54" i="4"/>
  <c r="AM54" i="4"/>
  <c r="AI54" i="4"/>
  <c r="C54" i="4"/>
  <c r="AU53" i="4"/>
  <c r="AS53" i="4"/>
  <c r="AQ53" i="4"/>
  <c r="AM53" i="4"/>
  <c r="AI53" i="4"/>
  <c r="AE53" i="4"/>
  <c r="I53" i="4"/>
  <c r="C53" i="4"/>
  <c r="AU52" i="4"/>
  <c r="AS52" i="4"/>
  <c r="AQ52" i="4"/>
  <c r="AM52" i="4"/>
  <c r="AI52" i="4"/>
  <c r="AE52" i="4"/>
  <c r="C52" i="4"/>
  <c r="AU51" i="4"/>
  <c r="AS51" i="4"/>
  <c r="AQ51" i="4"/>
  <c r="AM51" i="4"/>
  <c r="AI51" i="4"/>
  <c r="AE51" i="4"/>
  <c r="I51" i="4"/>
  <c r="C51" i="4"/>
  <c r="AU50" i="4"/>
  <c r="AS50" i="4"/>
  <c r="AQ50" i="4"/>
  <c r="AM50" i="4"/>
  <c r="AI50" i="4"/>
  <c r="AE50" i="4"/>
  <c r="C50" i="4"/>
  <c r="AU49" i="4"/>
  <c r="AS49" i="4"/>
  <c r="AQ49" i="4"/>
  <c r="AM49" i="4"/>
  <c r="AI49" i="4"/>
  <c r="AE49" i="4"/>
  <c r="I49" i="4"/>
  <c r="C49" i="4"/>
  <c r="AU48" i="4"/>
  <c r="AS48" i="4"/>
  <c r="AQ48" i="4"/>
  <c r="AM48" i="4"/>
  <c r="AI48" i="4"/>
  <c r="AE48" i="4"/>
  <c r="I48" i="4"/>
  <c r="C48" i="4"/>
  <c r="AU47" i="4"/>
  <c r="AS47" i="4"/>
  <c r="AQ47" i="4"/>
  <c r="AM47" i="4"/>
  <c r="AI47" i="4"/>
  <c r="C47" i="4"/>
  <c r="AU46" i="4"/>
  <c r="AS46" i="4"/>
  <c r="AQ46" i="4"/>
  <c r="AM46" i="4"/>
  <c r="AI46" i="4"/>
  <c r="AE46" i="4"/>
  <c r="I46" i="4"/>
  <c r="C46" i="4"/>
  <c r="AU45" i="4"/>
  <c r="AS45" i="4"/>
  <c r="AQ45" i="4"/>
  <c r="AM45" i="4"/>
  <c r="AI45" i="4"/>
  <c r="AE45" i="4"/>
  <c r="I45" i="4"/>
  <c r="C45" i="4"/>
  <c r="AU44" i="4"/>
  <c r="AS44" i="4"/>
  <c r="AQ44" i="4"/>
  <c r="AM44" i="4"/>
  <c r="AI44" i="4"/>
  <c r="AE44" i="4"/>
  <c r="I44" i="4"/>
  <c r="C44" i="4"/>
  <c r="AU43" i="4"/>
  <c r="AS43" i="4"/>
  <c r="AQ43" i="4"/>
  <c r="AM43" i="4"/>
  <c r="AI43" i="4"/>
  <c r="C43" i="4"/>
  <c r="AU42" i="4"/>
  <c r="AS42" i="4"/>
  <c r="AQ42" i="4"/>
  <c r="AM42" i="4"/>
  <c r="AI42" i="4"/>
  <c r="AE42" i="4"/>
  <c r="I42" i="4"/>
  <c r="C42" i="4"/>
  <c r="AU41" i="4"/>
  <c r="AS41" i="4"/>
  <c r="AQ41" i="4"/>
  <c r="AM41" i="4"/>
  <c r="AI41" i="4"/>
  <c r="AE41" i="4"/>
  <c r="I41" i="4"/>
  <c r="C41" i="4"/>
  <c r="AU40" i="4"/>
  <c r="AS40" i="4"/>
  <c r="AQ40" i="4"/>
  <c r="AM40" i="4"/>
  <c r="AI40" i="4"/>
  <c r="AE40" i="4"/>
  <c r="C40" i="4"/>
  <c r="AU39" i="4"/>
  <c r="AS39" i="4"/>
  <c r="AQ39" i="4"/>
  <c r="AM39" i="4"/>
  <c r="AI39" i="4"/>
  <c r="AE39" i="4"/>
  <c r="I39" i="4"/>
  <c r="C39" i="4"/>
  <c r="AU37" i="4"/>
  <c r="AS37" i="4"/>
  <c r="AQ37" i="4"/>
  <c r="AM37" i="4"/>
  <c r="AI37" i="4"/>
  <c r="AE37" i="4"/>
  <c r="I37" i="4"/>
  <c r="C37" i="4"/>
  <c r="AU36" i="4"/>
  <c r="AS36" i="4"/>
  <c r="AQ36" i="4"/>
  <c r="AM36" i="4"/>
  <c r="AI36" i="4"/>
  <c r="AE36" i="4"/>
  <c r="I36" i="4"/>
  <c r="C36" i="4"/>
  <c r="AU35" i="4"/>
  <c r="AS35" i="4"/>
  <c r="AQ35" i="4"/>
  <c r="AM35" i="4"/>
  <c r="AI35" i="4"/>
  <c r="C35" i="4"/>
  <c r="AU34" i="4"/>
  <c r="AS34" i="4"/>
  <c r="AQ34" i="4"/>
  <c r="AM34" i="4"/>
  <c r="AI34" i="4"/>
  <c r="AE34" i="4"/>
  <c r="I34" i="4"/>
  <c r="C34" i="4"/>
  <c r="AU33" i="4"/>
  <c r="AQ33" i="4"/>
  <c r="AM33" i="4"/>
  <c r="AI33" i="4"/>
  <c r="I33" i="4"/>
  <c r="C33" i="4"/>
  <c r="AU32" i="4"/>
  <c r="AQ32" i="4"/>
  <c r="AM32" i="4"/>
  <c r="AI32" i="4"/>
  <c r="I32" i="4"/>
  <c r="C32" i="4"/>
  <c r="AU31" i="4"/>
  <c r="AQ31" i="4"/>
  <c r="AM31" i="4"/>
  <c r="AI31" i="4"/>
  <c r="I31" i="4"/>
  <c r="C31" i="4"/>
  <c r="AU30" i="4"/>
  <c r="AS30" i="4"/>
  <c r="AQ30" i="4"/>
  <c r="I30" i="4"/>
  <c r="C30" i="4"/>
  <c r="AU29" i="4"/>
  <c r="AS29" i="4"/>
  <c r="AQ29" i="4"/>
  <c r="I29" i="4"/>
  <c r="C29" i="4"/>
  <c r="AU28" i="4"/>
  <c r="AS28" i="4"/>
  <c r="AQ28" i="4"/>
  <c r="I28" i="4"/>
  <c r="C28" i="4"/>
  <c r="AU27" i="4"/>
  <c r="AS27" i="4"/>
  <c r="AQ27" i="4"/>
  <c r="AM27" i="4"/>
  <c r="AI27" i="4"/>
  <c r="AE27" i="4"/>
  <c r="I27" i="4"/>
  <c r="C27" i="4"/>
  <c r="AU26" i="4"/>
  <c r="AS26" i="4"/>
  <c r="AQ26" i="4"/>
  <c r="AM26" i="4"/>
  <c r="AI26" i="4"/>
  <c r="AE26" i="4"/>
  <c r="I26" i="4"/>
  <c r="C26" i="4"/>
  <c r="AU25" i="4"/>
  <c r="AS25" i="4"/>
  <c r="AQ25" i="4"/>
  <c r="AM25" i="4"/>
  <c r="AI25" i="4"/>
  <c r="AE25" i="4"/>
  <c r="I25" i="4"/>
  <c r="C25" i="4"/>
  <c r="AU24" i="4"/>
  <c r="AS24" i="4"/>
  <c r="AQ24" i="4"/>
  <c r="AM24" i="4"/>
  <c r="AI24" i="4"/>
  <c r="AE24" i="4"/>
  <c r="I24" i="4"/>
  <c r="C24" i="4"/>
  <c r="AU23" i="4"/>
  <c r="AS23" i="4"/>
  <c r="AQ23" i="4"/>
  <c r="AM23" i="4"/>
  <c r="AI23" i="4"/>
  <c r="AE23" i="4"/>
  <c r="I23" i="4"/>
  <c r="C23" i="4"/>
  <c r="AU22" i="4"/>
  <c r="AS22" i="4"/>
  <c r="AQ22" i="4"/>
  <c r="AM22" i="4"/>
  <c r="AI22" i="4"/>
  <c r="AE22" i="4"/>
  <c r="I22" i="4"/>
  <c r="C22" i="4"/>
  <c r="AU21" i="4"/>
  <c r="AS21" i="4"/>
  <c r="AQ21" i="4"/>
  <c r="AM21" i="4"/>
  <c r="AI21" i="4"/>
  <c r="AE21" i="4"/>
  <c r="I21" i="4"/>
  <c r="C21" i="4"/>
  <c r="AU20" i="4"/>
  <c r="AS20" i="4"/>
  <c r="AQ20" i="4"/>
  <c r="AM20" i="4"/>
  <c r="AI20" i="4"/>
  <c r="AE20" i="4"/>
  <c r="I20" i="4"/>
  <c r="C20" i="4"/>
  <c r="AU19" i="4"/>
  <c r="AS19" i="4"/>
  <c r="AQ19" i="4"/>
  <c r="AM19" i="4"/>
  <c r="AI19" i="4"/>
  <c r="AE19" i="4"/>
  <c r="I19" i="4"/>
  <c r="C19" i="4"/>
  <c r="AU18" i="4"/>
  <c r="AS18" i="4"/>
  <c r="AQ18" i="4"/>
  <c r="AM18" i="4"/>
  <c r="AI18" i="4"/>
  <c r="AE18" i="4"/>
  <c r="I18" i="4"/>
  <c r="C18" i="4"/>
  <c r="AU17" i="4"/>
  <c r="AS17" i="4"/>
  <c r="AQ17" i="4"/>
  <c r="AM17" i="4"/>
  <c r="AI17" i="4"/>
  <c r="AE17" i="4"/>
  <c r="I17" i="4"/>
  <c r="C17" i="4"/>
  <c r="AU16" i="4"/>
  <c r="AS16" i="4"/>
  <c r="AQ16" i="4"/>
  <c r="AM16" i="4"/>
  <c r="AI16" i="4"/>
  <c r="AE16" i="4"/>
  <c r="I16" i="4"/>
  <c r="C16" i="4"/>
  <c r="AU15" i="4"/>
  <c r="AS15" i="4"/>
  <c r="AQ15" i="4"/>
  <c r="AM15" i="4"/>
  <c r="AI15" i="4"/>
  <c r="AE15" i="4"/>
  <c r="I15" i="4"/>
  <c r="C15" i="4"/>
  <c r="AU14" i="4"/>
  <c r="AS14" i="4"/>
  <c r="AQ14" i="4"/>
  <c r="AM14" i="4"/>
  <c r="AI14" i="4"/>
  <c r="AE14" i="4"/>
  <c r="I14" i="4"/>
  <c r="C14" i="4"/>
  <c r="AU13" i="4"/>
  <c r="AS13" i="4"/>
  <c r="AQ13" i="4"/>
  <c r="AM13" i="4"/>
  <c r="AI13" i="4"/>
  <c r="AE13" i="4"/>
  <c r="I13" i="4"/>
  <c r="C13" i="4"/>
  <c r="AU12" i="4"/>
  <c r="AS12" i="4"/>
  <c r="AQ12" i="4"/>
  <c r="AM12" i="4"/>
  <c r="AI12" i="4"/>
  <c r="AE12" i="4"/>
  <c r="I12" i="4"/>
  <c r="C12" i="4"/>
  <c r="AS11" i="4"/>
  <c r="AQ11" i="4"/>
  <c r="AS10" i="4"/>
  <c r="AQ10" i="4"/>
  <c r="AS9" i="4"/>
  <c r="AQ9" i="4"/>
  <c r="AU8" i="4"/>
  <c r="AS8" i="4"/>
  <c r="AQ8" i="4"/>
  <c r="AM8" i="4"/>
  <c r="AI8" i="4"/>
  <c r="AE8" i="4"/>
  <c r="AU7" i="4"/>
  <c r="AS7" i="4"/>
  <c r="AQ7" i="4"/>
  <c r="AM7" i="4"/>
  <c r="AI7" i="4"/>
  <c r="AE7" i="4"/>
  <c r="I7" i="4"/>
  <c r="C7" i="4"/>
  <c r="AU6" i="4"/>
  <c r="AS6" i="4"/>
  <c r="AQ6" i="4"/>
  <c r="AM6" i="4"/>
  <c r="AI6" i="4"/>
  <c r="AE6" i="4"/>
  <c r="I6" i="4"/>
  <c r="C6" i="4"/>
  <c r="AU5" i="4"/>
  <c r="AS5" i="4"/>
  <c r="AQ5" i="4"/>
  <c r="AM5" i="4"/>
  <c r="AI5" i="4"/>
  <c r="AE5" i="4"/>
  <c r="I5" i="4"/>
  <c r="C5" i="4"/>
  <c r="AU4" i="4"/>
  <c r="AS4" i="4"/>
  <c r="AQ4" i="4"/>
  <c r="AM4" i="4"/>
  <c r="AI4" i="4"/>
  <c r="AE4" i="4"/>
  <c r="I4" i="4"/>
  <c r="C4" i="4"/>
  <c r="AU3" i="4"/>
  <c r="AS3" i="4"/>
  <c r="AQ3" i="4"/>
  <c r="AM3" i="4"/>
  <c r="AI3" i="4"/>
  <c r="AE3" i="4"/>
  <c r="I3" i="4"/>
  <c r="C3" i="4"/>
  <c r="M241" i="2"/>
  <c r="F241" i="2"/>
  <c r="G241" i="2" s="1"/>
  <c r="M240" i="2"/>
  <c r="G240" i="2"/>
  <c r="M239" i="2"/>
  <c r="F239" i="2"/>
  <c r="G239" i="2" s="1"/>
  <c r="M238" i="2"/>
  <c r="F238" i="2"/>
  <c r="G238" i="2" s="1"/>
  <c r="M237" i="2"/>
  <c r="F237" i="2"/>
  <c r="G237" i="2" s="1"/>
  <c r="M236" i="2"/>
  <c r="M230" i="2"/>
  <c r="M229" i="2"/>
  <c r="F229" i="2"/>
  <c r="G229" i="2" s="1"/>
  <c r="B229" i="2"/>
  <c r="T229" i="2" s="1"/>
  <c r="M228" i="2"/>
  <c r="F228" i="2"/>
  <c r="G228" i="2" s="1"/>
  <c r="M227" i="2"/>
  <c r="M226" i="2"/>
  <c r="F226" i="2"/>
  <c r="G226" i="2" s="1"/>
  <c r="B226" i="2"/>
  <c r="T226" i="2" s="1"/>
  <c r="M225" i="2"/>
  <c r="M224" i="2"/>
  <c r="F224" i="2"/>
  <c r="G224" i="2" s="1"/>
  <c r="M223" i="2"/>
  <c r="M222" i="2"/>
  <c r="F222" i="2"/>
  <c r="G222" i="2" s="1"/>
  <c r="M220" i="2"/>
  <c r="F220" i="2"/>
  <c r="G220" i="2" s="1"/>
  <c r="M219" i="2"/>
  <c r="F219" i="2"/>
  <c r="G219" i="2" s="1"/>
  <c r="M218" i="2"/>
  <c r="F218" i="2"/>
  <c r="G218" i="2" s="1"/>
  <c r="M217" i="2"/>
  <c r="F217" i="2"/>
  <c r="G217" i="2" s="1"/>
  <c r="M216" i="2"/>
  <c r="F216" i="2"/>
  <c r="G216" i="2" s="1"/>
  <c r="M215" i="2"/>
  <c r="F215" i="2"/>
  <c r="G215" i="2" s="1"/>
  <c r="M214" i="2"/>
  <c r="F214" i="2"/>
  <c r="G214" i="2" s="1"/>
  <c r="M213" i="2"/>
  <c r="F213" i="2"/>
  <c r="G213" i="2" s="1"/>
  <c r="M212" i="2"/>
  <c r="F212" i="2"/>
  <c r="G212" i="2" s="1"/>
  <c r="M211" i="2"/>
  <c r="F211" i="2"/>
  <c r="G211" i="2" s="1"/>
  <c r="M210" i="2"/>
  <c r="F210" i="2"/>
  <c r="G210" i="2" s="1"/>
  <c r="M209" i="2"/>
  <c r="F209" i="2"/>
  <c r="G209" i="2" s="1"/>
  <c r="M208" i="2"/>
  <c r="M207" i="2"/>
  <c r="F207" i="2"/>
  <c r="G207" i="2" s="1"/>
  <c r="M206" i="2"/>
  <c r="F206" i="2"/>
  <c r="G206" i="2" s="1"/>
  <c r="M205" i="2"/>
  <c r="F205" i="2"/>
  <c r="G205" i="2" s="1"/>
  <c r="M204" i="2"/>
  <c r="G204" i="2"/>
  <c r="M203" i="2"/>
  <c r="F203" i="2"/>
  <c r="G203" i="2" s="1"/>
  <c r="M202" i="2"/>
  <c r="M201" i="2"/>
  <c r="G201" i="2"/>
  <c r="M200" i="2"/>
  <c r="H200" i="2"/>
  <c r="F200" i="2" s="1"/>
  <c r="G200" i="2" s="1"/>
  <c r="M199" i="2"/>
  <c r="F199" i="2"/>
  <c r="G199" i="2" s="1"/>
  <c r="M198" i="2"/>
  <c r="F198" i="2"/>
  <c r="G198" i="2" s="1"/>
  <c r="M197" i="2"/>
  <c r="H197" i="2"/>
  <c r="F197" i="2" s="1"/>
  <c r="G197" i="2" s="1"/>
  <c r="M196" i="2"/>
  <c r="G196" i="2"/>
  <c r="M195" i="2"/>
  <c r="F195" i="2"/>
  <c r="G195" i="2" s="1"/>
  <c r="M194" i="2"/>
  <c r="F194" i="2"/>
  <c r="G194" i="2" s="1"/>
  <c r="M193" i="2"/>
  <c r="M191" i="2"/>
  <c r="F191" i="2"/>
  <c r="G191" i="2" s="1"/>
  <c r="M190" i="2"/>
  <c r="F190" i="2"/>
  <c r="G190" i="2" s="1"/>
  <c r="M189" i="2"/>
  <c r="M188" i="2"/>
  <c r="M187" i="2"/>
  <c r="F187" i="2"/>
  <c r="G187" i="2" s="1"/>
  <c r="M186" i="2"/>
  <c r="F186" i="2"/>
  <c r="G186" i="2" s="1"/>
  <c r="M185" i="2"/>
  <c r="F185" i="2"/>
  <c r="G185" i="2" s="1"/>
  <c r="M184" i="2"/>
  <c r="M183" i="2"/>
  <c r="F183" i="2"/>
  <c r="G183" i="2" s="1"/>
  <c r="M182" i="2"/>
  <c r="F182" i="2"/>
  <c r="G182" i="2" s="1"/>
  <c r="M181" i="2"/>
  <c r="F181" i="2"/>
  <c r="G181" i="2" s="1"/>
  <c r="M180" i="2"/>
  <c r="F180" i="2"/>
  <c r="G180" i="2" s="1"/>
  <c r="M179" i="2"/>
  <c r="F179" i="2"/>
  <c r="G179" i="2" s="1"/>
  <c r="M178" i="2"/>
  <c r="F178" i="2"/>
  <c r="G178" i="2" s="1"/>
  <c r="M177" i="2"/>
  <c r="F177" i="2"/>
  <c r="G177" i="2" s="1"/>
  <c r="M176" i="2"/>
  <c r="F176" i="2"/>
  <c r="G176" i="2" s="1"/>
  <c r="M175" i="2"/>
  <c r="F175" i="2"/>
  <c r="G175" i="2" s="1"/>
  <c r="M174" i="2"/>
  <c r="M173" i="2"/>
  <c r="F173" i="2"/>
  <c r="G173" i="2" s="1"/>
  <c r="M172" i="2"/>
  <c r="M171" i="2"/>
  <c r="F171" i="2"/>
  <c r="G171" i="2" s="1"/>
  <c r="M170" i="2"/>
  <c r="F170" i="2"/>
  <c r="G170" i="2" s="1"/>
  <c r="M169" i="2"/>
  <c r="F169" i="2"/>
  <c r="G169" i="2" s="1"/>
  <c r="M168" i="2"/>
  <c r="H168" i="2"/>
  <c r="F168" i="2" s="1"/>
  <c r="G168" i="2" s="1"/>
  <c r="M167" i="2"/>
  <c r="M166" i="2"/>
  <c r="F166" i="2"/>
  <c r="G166" i="2" s="1"/>
  <c r="M165" i="2"/>
  <c r="H165" i="2"/>
  <c r="F165" i="2" s="1"/>
  <c r="G165" i="2" s="1"/>
  <c r="M164" i="2"/>
  <c r="F164" i="2"/>
  <c r="G164" i="2" s="1"/>
  <c r="M163" i="2"/>
  <c r="M162" i="2"/>
  <c r="F162" i="2"/>
  <c r="G162" i="2" s="1"/>
  <c r="M161" i="2"/>
  <c r="F161" i="2"/>
  <c r="G161" i="2" s="1"/>
  <c r="M160" i="2"/>
  <c r="F160" i="2"/>
  <c r="G160" i="2" s="1"/>
  <c r="M159" i="2"/>
  <c r="M158" i="2"/>
  <c r="F158" i="2"/>
  <c r="G158" i="2" s="1"/>
  <c r="M157" i="2"/>
  <c r="M156" i="2"/>
  <c r="G156" i="2"/>
  <c r="M155" i="2"/>
  <c r="M154" i="2"/>
  <c r="F154" i="2"/>
  <c r="G154" i="2" s="1"/>
  <c r="M153" i="2"/>
  <c r="M152" i="2"/>
  <c r="F152" i="2"/>
  <c r="G152" i="2" s="1"/>
  <c r="M151" i="2"/>
  <c r="F151" i="2"/>
  <c r="G151" i="2" s="1"/>
  <c r="M150" i="2"/>
  <c r="F150" i="2"/>
  <c r="G150" i="2" s="1"/>
  <c r="M149" i="2"/>
  <c r="F149" i="2"/>
  <c r="G149" i="2" s="1"/>
  <c r="M148" i="2"/>
  <c r="F148" i="2"/>
  <c r="G148" i="2" s="1"/>
  <c r="M147" i="2"/>
  <c r="F147" i="2"/>
  <c r="G147" i="2" s="1"/>
  <c r="M146" i="2"/>
  <c r="F146" i="2"/>
  <c r="G146" i="2" s="1"/>
  <c r="M145" i="2"/>
  <c r="M144" i="2"/>
  <c r="M143" i="2"/>
  <c r="F143" i="2"/>
  <c r="G143" i="2" s="1"/>
  <c r="M142" i="2"/>
  <c r="F142" i="2"/>
  <c r="G142" i="2" s="1"/>
  <c r="M141" i="2"/>
  <c r="M140" i="2"/>
  <c r="M139" i="2"/>
  <c r="F139" i="2"/>
  <c r="G139" i="2" s="1"/>
  <c r="M138" i="2"/>
  <c r="F138" i="2"/>
  <c r="G138" i="2" s="1"/>
  <c r="M137" i="2"/>
  <c r="F137" i="2"/>
  <c r="G137" i="2" s="1"/>
  <c r="M136" i="2"/>
  <c r="F136" i="2"/>
  <c r="G136" i="2" s="1"/>
  <c r="M135" i="2"/>
  <c r="F135" i="2"/>
  <c r="G135" i="2" s="1"/>
  <c r="M134" i="2"/>
  <c r="F134" i="2"/>
  <c r="G134" i="2" s="1"/>
  <c r="M133" i="2"/>
  <c r="F133" i="2"/>
  <c r="G133" i="2" s="1"/>
  <c r="M132" i="2"/>
  <c r="F132" i="2"/>
  <c r="G132" i="2" s="1"/>
  <c r="M131" i="2"/>
  <c r="F131" i="2"/>
  <c r="G131" i="2" s="1"/>
  <c r="M130" i="2"/>
  <c r="F130" i="2"/>
  <c r="G130" i="2" s="1"/>
  <c r="B130" i="2"/>
  <c r="T130" i="2" s="1"/>
  <c r="M129" i="2"/>
  <c r="F129" i="2"/>
  <c r="G129" i="2" s="1"/>
  <c r="B129" i="2"/>
  <c r="T129" i="2" s="1"/>
  <c r="M127" i="2"/>
  <c r="F127" i="2"/>
  <c r="G127" i="2" s="1"/>
  <c r="M126" i="2"/>
  <c r="F126" i="2"/>
  <c r="G126" i="2" s="1"/>
  <c r="M125" i="2"/>
  <c r="F125" i="2"/>
  <c r="G125" i="2" s="1"/>
  <c r="M124" i="2"/>
  <c r="M123" i="2"/>
  <c r="M122" i="2"/>
  <c r="M121" i="2"/>
  <c r="F121" i="2"/>
  <c r="G121" i="2" s="1"/>
  <c r="M120" i="2"/>
  <c r="F120" i="2"/>
  <c r="G120" i="2" s="1"/>
  <c r="M119" i="2"/>
  <c r="F119" i="2"/>
  <c r="G119" i="2" s="1"/>
  <c r="M118" i="2"/>
  <c r="F118" i="2"/>
  <c r="G118" i="2" s="1"/>
  <c r="M117" i="2"/>
  <c r="F117" i="2"/>
  <c r="G117" i="2" s="1"/>
  <c r="M116" i="2"/>
  <c r="F116" i="2"/>
  <c r="G116" i="2" s="1"/>
  <c r="M115" i="2"/>
  <c r="M114" i="2"/>
  <c r="F114" i="2"/>
  <c r="G114" i="2" s="1"/>
  <c r="M113" i="2"/>
  <c r="F113" i="2"/>
  <c r="G113" i="2" s="1"/>
  <c r="M112" i="2"/>
  <c r="F112" i="2"/>
  <c r="G112" i="2" s="1"/>
  <c r="M111" i="2"/>
  <c r="F111" i="2"/>
  <c r="G111" i="2" s="1"/>
  <c r="M110" i="2"/>
  <c r="M109" i="2"/>
  <c r="F109" i="2"/>
  <c r="G109" i="2" s="1"/>
  <c r="M108" i="2"/>
  <c r="F108" i="2"/>
  <c r="G108" i="2" s="1"/>
  <c r="M107" i="2"/>
  <c r="F107" i="2"/>
  <c r="G107" i="2" s="1"/>
  <c r="M106" i="2"/>
  <c r="F106" i="2"/>
  <c r="G106" i="2" s="1"/>
  <c r="M105" i="2"/>
  <c r="F105" i="2"/>
  <c r="G105" i="2" s="1"/>
  <c r="M103" i="2"/>
  <c r="F103" i="2"/>
  <c r="G103" i="2" s="1"/>
  <c r="M102" i="2"/>
  <c r="M101" i="2"/>
  <c r="F101" i="2"/>
  <c r="G101" i="2" s="1"/>
  <c r="B101" i="2"/>
  <c r="T101" i="2" s="1"/>
  <c r="M100" i="2"/>
  <c r="F100" i="2"/>
  <c r="G100" i="2" s="1"/>
  <c r="M99" i="2"/>
  <c r="F99" i="2"/>
  <c r="G99" i="2" s="1"/>
  <c r="M98" i="2"/>
  <c r="F98" i="2"/>
  <c r="G98" i="2" s="1"/>
  <c r="M97" i="2"/>
  <c r="F97" i="2"/>
  <c r="G97" i="2" s="1"/>
  <c r="M96" i="2"/>
  <c r="F96" i="2"/>
  <c r="G96" i="2" s="1"/>
  <c r="M95" i="2"/>
  <c r="F95" i="2"/>
  <c r="G95" i="2" s="1"/>
  <c r="M94" i="2"/>
  <c r="F94" i="2"/>
  <c r="G94" i="2" s="1"/>
  <c r="M93" i="2"/>
  <c r="F93" i="2"/>
  <c r="G93" i="2" s="1"/>
  <c r="M92" i="2"/>
  <c r="F92" i="2"/>
  <c r="G92" i="2" s="1"/>
  <c r="M91" i="2"/>
  <c r="F91" i="2"/>
  <c r="G91" i="2" s="1"/>
  <c r="M90" i="2"/>
  <c r="F90" i="2"/>
  <c r="G90" i="2" s="1"/>
  <c r="M89" i="2"/>
  <c r="F89" i="2"/>
  <c r="G89" i="2" s="1"/>
  <c r="M84" i="2"/>
  <c r="F84" i="2"/>
  <c r="G84" i="2" s="1"/>
  <c r="M83" i="2"/>
  <c r="F83" i="2"/>
  <c r="G83" i="2" s="1"/>
  <c r="M82" i="2"/>
  <c r="M81" i="2"/>
  <c r="F81" i="2"/>
  <c r="G81" i="2" s="1"/>
  <c r="M80" i="2"/>
  <c r="F80" i="2"/>
  <c r="G80" i="2" s="1"/>
  <c r="M79" i="2"/>
  <c r="F79" i="2"/>
  <c r="G79" i="2" s="1"/>
  <c r="M78" i="2"/>
  <c r="M77" i="2"/>
  <c r="F77" i="2"/>
  <c r="G77" i="2" s="1"/>
  <c r="M76" i="2"/>
  <c r="F76" i="2"/>
  <c r="G76" i="2" s="1"/>
  <c r="M75" i="2"/>
  <c r="F75" i="2"/>
  <c r="G75" i="2" s="1"/>
  <c r="M74" i="2"/>
  <c r="F74" i="2"/>
  <c r="G74" i="2" s="1"/>
  <c r="M73" i="2"/>
  <c r="F73" i="2"/>
  <c r="G73" i="2" s="1"/>
  <c r="M72" i="2"/>
  <c r="F72" i="2"/>
  <c r="G72" i="2" s="1"/>
  <c r="M71" i="2"/>
  <c r="M70" i="2"/>
  <c r="F70" i="2"/>
  <c r="G70" i="2" s="1"/>
  <c r="M69" i="2"/>
  <c r="F69" i="2"/>
  <c r="G69" i="2" s="1"/>
  <c r="M68" i="2"/>
  <c r="F68" i="2"/>
  <c r="G68" i="2" s="1"/>
  <c r="M67" i="2"/>
  <c r="F67" i="2"/>
  <c r="G67" i="2" s="1"/>
  <c r="M66" i="2"/>
  <c r="F66" i="2"/>
  <c r="G66" i="2" s="1"/>
  <c r="M65" i="2"/>
  <c r="F65" i="2"/>
  <c r="G65" i="2" s="1"/>
  <c r="M64" i="2"/>
  <c r="F64" i="2"/>
  <c r="G64" i="2" s="1"/>
  <c r="M63" i="2"/>
  <c r="F63" i="2"/>
  <c r="G63" i="2" s="1"/>
  <c r="M62" i="2"/>
  <c r="F62" i="2"/>
  <c r="G62" i="2" s="1"/>
  <c r="M60" i="2"/>
  <c r="F60" i="2"/>
  <c r="G60" i="2" s="1"/>
  <c r="M59" i="2"/>
  <c r="F59" i="2"/>
  <c r="G59" i="2" s="1"/>
  <c r="M58" i="2"/>
  <c r="F58" i="2"/>
  <c r="G58" i="2" s="1"/>
  <c r="M57" i="2"/>
  <c r="F57" i="2"/>
  <c r="G57" i="2" s="1"/>
  <c r="M56" i="2"/>
  <c r="F56" i="2"/>
  <c r="G56" i="2" s="1"/>
  <c r="M55" i="2"/>
  <c r="F55" i="2"/>
  <c r="G55" i="2" s="1"/>
  <c r="M54" i="2"/>
  <c r="F54" i="2"/>
  <c r="G54" i="2" s="1"/>
  <c r="M53" i="2"/>
  <c r="F53" i="2"/>
  <c r="G53" i="2" s="1"/>
  <c r="M52" i="2"/>
  <c r="F52" i="2"/>
  <c r="G52" i="2" s="1"/>
  <c r="M51" i="2"/>
  <c r="F51" i="2"/>
  <c r="G51" i="2" s="1"/>
  <c r="M50" i="2"/>
  <c r="F50" i="2"/>
  <c r="G50" i="2" s="1"/>
  <c r="M49" i="2"/>
  <c r="F49" i="2"/>
  <c r="G49" i="2" s="1"/>
  <c r="M48" i="2"/>
  <c r="F48" i="2"/>
  <c r="G48" i="2" s="1"/>
  <c r="M47" i="2"/>
  <c r="F47" i="2"/>
  <c r="G47" i="2" s="1"/>
  <c r="M46" i="2"/>
  <c r="F46" i="2"/>
  <c r="G46" i="2" s="1"/>
  <c r="M45" i="2"/>
  <c r="F45" i="2"/>
  <c r="G45" i="2" s="1"/>
  <c r="M44" i="2"/>
  <c r="F44" i="2"/>
  <c r="G44" i="2" s="1"/>
  <c r="M43" i="2"/>
  <c r="F43" i="2"/>
  <c r="G43" i="2" s="1"/>
  <c r="M42" i="2"/>
  <c r="F42" i="2"/>
  <c r="G42" i="2" s="1"/>
  <c r="M41" i="2"/>
  <c r="F41" i="2"/>
  <c r="G41" i="2" s="1"/>
  <c r="M40" i="2"/>
  <c r="F40" i="2"/>
  <c r="G40" i="2" s="1"/>
  <c r="M39" i="2"/>
  <c r="F39" i="2"/>
  <c r="G39" i="2" s="1"/>
  <c r="M38" i="2"/>
  <c r="F38" i="2"/>
  <c r="G38" i="2" s="1"/>
  <c r="M37" i="2"/>
  <c r="F37" i="2"/>
  <c r="G37" i="2" s="1"/>
  <c r="M36" i="2"/>
  <c r="F36" i="2"/>
  <c r="G36" i="2" s="1"/>
  <c r="M35" i="2"/>
  <c r="F35" i="2"/>
  <c r="G35" i="2" s="1"/>
  <c r="M34" i="2"/>
  <c r="M32" i="2"/>
  <c r="F32" i="2"/>
  <c r="G32" i="2" s="1"/>
  <c r="M30" i="2"/>
  <c r="F30" i="2"/>
  <c r="G30" i="2" s="1"/>
  <c r="M29" i="2"/>
  <c r="F29" i="2"/>
  <c r="G29" i="2" s="1"/>
  <c r="M28" i="2"/>
  <c r="M27" i="2"/>
  <c r="F27" i="2"/>
  <c r="G27" i="2" s="1"/>
  <c r="M26" i="2"/>
  <c r="F26" i="2"/>
  <c r="G26" i="2" s="1"/>
  <c r="M25" i="2"/>
  <c r="F25" i="2"/>
  <c r="G25" i="2" s="1"/>
  <c r="B25" i="2"/>
  <c r="T25" i="2" s="1"/>
  <c r="M24" i="2"/>
  <c r="F24" i="2"/>
  <c r="G24" i="2" s="1"/>
  <c r="M23" i="2"/>
  <c r="B23" i="2"/>
  <c r="T23" i="2" s="1"/>
  <c r="M22" i="2"/>
  <c r="F22" i="2"/>
  <c r="G22" i="2" s="1"/>
  <c r="M21" i="2"/>
  <c r="F21" i="2"/>
  <c r="G21" i="2" s="1"/>
  <c r="M17" i="2"/>
  <c r="F17" i="2"/>
  <c r="G17" i="2" s="1"/>
  <c r="M16" i="2"/>
  <c r="F16" i="2"/>
  <c r="G16" i="2" s="1"/>
  <c r="M14" i="2"/>
  <c r="F14" i="2"/>
  <c r="G14" i="2" s="1"/>
  <c r="M13" i="2"/>
  <c r="M12" i="2"/>
  <c r="F12" i="2"/>
  <c r="G12" i="2" s="1"/>
  <c r="M11" i="2"/>
  <c r="F11" i="2"/>
  <c r="G11" i="2" s="1"/>
  <c r="M10" i="2"/>
  <c r="F10" i="2"/>
  <c r="G10" i="2" s="1"/>
  <c r="M9" i="2"/>
  <c r="F9" i="2"/>
  <c r="G9" i="2" s="1"/>
  <c r="M8" i="2"/>
  <c r="F8" i="2"/>
  <c r="G8" i="2" s="1"/>
  <c r="M7" i="2"/>
  <c r="F7" i="2"/>
  <c r="G7" i="2" s="1"/>
  <c r="M6" i="2"/>
  <c r="M5" i="2"/>
  <c r="F5" i="2"/>
  <c r="G5" i="2" s="1"/>
  <c r="M4" i="2"/>
  <c r="F4" i="2"/>
  <c r="G4" i="2" s="1"/>
  <c r="M3" i="2"/>
  <c r="F3" i="2"/>
  <c r="G3" i="2" s="1"/>
  <c r="M2" i="2"/>
  <c r="F2" i="2"/>
  <c r="G2" i="2" s="1"/>
  <c r="H267" i="1"/>
  <c r="H266" i="1"/>
  <c r="H265" i="1"/>
  <c r="H264" i="1"/>
  <c r="H263" i="1"/>
  <c r="H262" i="1"/>
  <c r="H261" i="1"/>
  <c r="H260" i="1"/>
  <c r="H259" i="1"/>
  <c r="H258" i="1"/>
  <c r="H257" i="1"/>
  <c r="H256" i="1"/>
  <c r="H255" i="1"/>
  <c r="H254"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6" i="1"/>
  <c r="H227" i="1"/>
  <c r="H225" i="1"/>
  <c r="H224" i="1"/>
  <c r="H223" i="1"/>
  <c r="H222" i="1"/>
  <c r="H221" i="1"/>
  <c r="H220" i="1"/>
  <c r="H219" i="1"/>
  <c r="H218" i="1"/>
  <c r="H217" i="1"/>
  <c r="H216" i="1"/>
  <c r="H215" i="1"/>
  <c r="H214" i="1"/>
  <c r="H213" i="1"/>
  <c r="H212" i="1"/>
  <c r="H211"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G175" i="1"/>
  <c r="F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7" i="1"/>
  <c r="C137" i="1"/>
  <c r="I137" i="1" s="1"/>
  <c r="H136" i="1"/>
  <c r="C136" i="1"/>
  <c r="I136" i="1" s="1"/>
  <c r="H135" i="1"/>
  <c r="C135" i="1"/>
  <c r="I135" i="1" s="1"/>
  <c r="H134" i="1"/>
  <c r="C134" i="1"/>
  <c r="I134" i="1" s="1"/>
  <c r="H133" i="1"/>
  <c r="C133" i="1"/>
  <c r="I133" i="1" s="1"/>
  <c r="H132" i="1"/>
  <c r="C132" i="1"/>
  <c r="I132" i="1" s="1"/>
  <c r="H131" i="1"/>
  <c r="C131" i="1"/>
  <c r="I131" i="1" s="1"/>
  <c r="H130" i="1"/>
  <c r="C130" i="1"/>
  <c r="I130" i="1" s="1"/>
  <c r="H129" i="1"/>
  <c r="C129" i="1"/>
  <c r="I129" i="1" s="1"/>
  <c r="H128" i="1"/>
  <c r="C128" i="1"/>
  <c r="I128" i="1" s="1"/>
  <c r="H127" i="1"/>
  <c r="C127" i="1"/>
  <c r="I127" i="1" s="1"/>
  <c r="H126" i="1"/>
  <c r="C126" i="1"/>
  <c r="I126" i="1" s="1"/>
  <c r="H125" i="1"/>
  <c r="C125" i="1"/>
  <c r="I125" i="1" s="1"/>
  <c r="H124" i="1"/>
  <c r="C124" i="1"/>
  <c r="I124" i="1" s="1"/>
  <c r="H123" i="1"/>
  <c r="C123" i="1"/>
  <c r="I123" i="1" s="1"/>
  <c r="H122" i="1"/>
  <c r="C122" i="1"/>
  <c r="I122" i="1" s="1"/>
  <c r="H121" i="1"/>
  <c r="C121" i="1"/>
  <c r="I121" i="1" s="1"/>
  <c r="H120" i="1"/>
  <c r="C120" i="1"/>
  <c r="I120" i="1" s="1"/>
  <c r="H119" i="1"/>
  <c r="C119" i="1"/>
  <c r="I119" i="1" s="1"/>
  <c r="H118" i="1"/>
  <c r="C118" i="1"/>
  <c r="I118" i="1" s="1"/>
  <c r="H117" i="1"/>
  <c r="C117" i="1"/>
  <c r="I117" i="1" s="1"/>
  <c r="H116" i="1"/>
  <c r="C116" i="1"/>
  <c r="I116" i="1" s="1"/>
  <c r="H115" i="1"/>
  <c r="C115" i="1"/>
  <c r="I115" i="1" s="1"/>
  <c r="H114" i="1"/>
  <c r="C114" i="1"/>
  <c r="I114" i="1" s="1"/>
  <c r="H111" i="1"/>
  <c r="C111" i="1"/>
  <c r="I111" i="1" s="1"/>
  <c r="H110" i="1"/>
  <c r="C110" i="1"/>
  <c r="I110" i="1" s="1"/>
  <c r="H109" i="1"/>
  <c r="C109" i="1"/>
  <c r="I109" i="1" s="1"/>
  <c r="H108" i="1"/>
  <c r="C108" i="1"/>
  <c r="I108" i="1" s="1"/>
  <c r="H107" i="1"/>
  <c r="C107" i="1"/>
  <c r="I107" i="1" s="1"/>
  <c r="H106" i="1"/>
  <c r="C106" i="1"/>
  <c r="I106" i="1" s="1"/>
  <c r="H105" i="1"/>
  <c r="C105" i="1"/>
  <c r="I105" i="1" s="1"/>
  <c r="H104" i="1"/>
  <c r="C104" i="1"/>
  <c r="I104" i="1" s="1"/>
  <c r="H103" i="1"/>
  <c r="C103" i="1"/>
  <c r="I103" i="1" s="1"/>
  <c r="H102" i="1"/>
  <c r="C102" i="1"/>
  <c r="I102" i="1" s="1"/>
  <c r="H101" i="1"/>
  <c r="H100" i="1"/>
  <c r="C100" i="1"/>
  <c r="I100" i="1" s="1"/>
  <c r="H98" i="1"/>
  <c r="C98" i="1"/>
  <c r="I98" i="1" s="1"/>
  <c r="H97" i="1"/>
  <c r="C97" i="1"/>
  <c r="I97" i="1" s="1"/>
  <c r="H96" i="1"/>
  <c r="C96" i="1"/>
  <c r="I96" i="1" s="1"/>
  <c r="H95" i="1"/>
  <c r="C95" i="1"/>
  <c r="I95" i="1" s="1"/>
  <c r="H94" i="1"/>
  <c r="C94" i="1"/>
  <c r="I94" i="1" s="1"/>
  <c r="H93" i="1"/>
  <c r="C93" i="1"/>
  <c r="I93" i="1" s="1"/>
  <c r="H92" i="1"/>
  <c r="C92" i="1"/>
  <c r="I92" i="1" s="1"/>
  <c r="H91" i="1"/>
  <c r="C91" i="1"/>
  <c r="I91" i="1" s="1"/>
  <c r="H90" i="1"/>
  <c r="C90" i="1"/>
  <c r="I90" i="1" s="1"/>
  <c r="H89" i="1"/>
  <c r="C89" i="1"/>
  <c r="I89" i="1" s="1"/>
  <c r="H88" i="1"/>
  <c r="C88" i="1"/>
  <c r="I88" i="1" s="1"/>
  <c r="H87" i="1"/>
  <c r="C87" i="1"/>
  <c r="I87" i="1" s="1"/>
  <c r="H86" i="1"/>
  <c r="C86" i="1"/>
  <c r="I86" i="1" s="1"/>
  <c r="H85" i="1"/>
  <c r="C85" i="1"/>
  <c r="I85" i="1" s="1"/>
  <c r="H84" i="1"/>
  <c r="C84" i="1"/>
  <c r="I84" i="1" s="1"/>
  <c r="H83" i="1"/>
  <c r="C83" i="1"/>
  <c r="I83" i="1" s="1"/>
  <c r="H82" i="1"/>
  <c r="C82" i="1"/>
  <c r="I82" i="1" s="1"/>
  <c r="H81" i="1"/>
  <c r="C81" i="1"/>
  <c r="I81" i="1" s="1"/>
  <c r="H80" i="1"/>
  <c r="C80" i="1"/>
  <c r="I80" i="1" s="1"/>
  <c r="H79" i="1"/>
  <c r="C79" i="1"/>
  <c r="I79" i="1" s="1"/>
  <c r="H78" i="1"/>
  <c r="C78" i="1"/>
  <c r="I78" i="1" s="1"/>
  <c r="H77" i="1"/>
  <c r="C77" i="1"/>
  <c r="I77" i="1" s="1"/>
  <c r="H76" i="1"/>
  <c r="C76" i="1"/>
  <c r="I76" i="1" s="1"/>
  <c r="H75" i="1"/>
  <c r="C75" i="1"/>
  <c r="I75" i="1" s="1"/>
  <c r="H74" i="1"/>
  <c r="C74" i="1"/>
  <c r="I74" i="1" s="1"/>
  <c r="H73" i="1"/>
  <c r="C73" i="1"/>
  <c r="I73" i="1" s="1"/>
  <c r="H70" i="1"/>
  <c r="C70" i="1"/>
  <c r="I70" i="1" s="1"/>
  <c r="H69" i="1"/>
  <c r="C69" i="1"/>
  <c r="I69" i="1" s="1"/>
  <c r="H68" i="1"/>
  <c r="C68" i="1"/>
  <c r="I68" i="1" s="1"/>
  <c r="H67" i="1"/>
  <c r="C67" i="1"/>
  <c r="I67" i="1" s="1"/>
  <c r="H66" i="1"/>
  <c r="C66" i="1"/>
  <c r="I66" i="1" s="1"/>
  <c r="H65" i="1"/>
  <c r="C65" i="1"/>
  <c r="I65" i="1" s="1"/>
  <c r="H64" i="1"/>
  <c r="C64" i="1"/>
  <c r="I64" i="1" s="1"/>
  <c r="H62" i="1"/>
  <c r="C62" i="1"/>
  <c r="I62" i="1" s="1"/>
  <c r="H61" i="1"/>
  <c r="C61" i="1"/>
  <c r="I61" i="1" s="1"/>
  <c r="H60" i="1"/>
  <c r="C60" i="1"/>
  <c r="I60" i="1" s="1"/>
  <c r="H59" i="1"/>
  <c r="C59" i="1"/>
  <c r="I59" i="1" s="1"/>
  <c r="H58" i="1"/>
  <c r="C58" i="1"/>
  <c r="I58" i="1" s="1"/>
  <c r="H57" i="1"/>
  <c r="C57" i="1"/>
  <c r="I57" i="1" s="1"/>
  <c r="H56" i="1"/>
  <c r="C56" i="1"/>
  <c r="I56" i="1" s="1"/>
  <c r="H55" i="1"/>
  <c r="C55" i="1"/>
  <c r="I55" i="1" s="1"/>
  <c r="H54" i="1"/>
  <c r="C54" i="1"/>
  <c r="I54" i="1" s="1"/>
  <c r="H53" i="1"/>
  <c r="G53" i="1"/>
  <c r="F53" i="1"/>
  <c r="C53" i="1"/>
  <c r="I53" i="1" s="1"/>
  <c r="H52" i="1"/>
  <c r="C52" i="1"/>
  <c r="I52" i="1" s="1"/>
  <c r="H112" i="1"/>
  <c r="C112" i="1"/>
  <c r="I112" i="1" s="1"/>
  <c r="H51" i="1"/>
  <c r="C51" i="1"/>
  <c r="I51" i="1" s="1"/>
  <c r="H50" i="1"/>
  <c r="C50" i="1"/>
  <c r="I50" i="1" s="1"/>
  <c r="H49" i="1"/>
  <c r="C49" i="1"/>
  <c r="I49" i="1" s="1"/>
  <c r="H48" i="1"/>
  <c r="C48" i="1"/>
  <c r="I48" i="1" s="1"/>
  <c r="H47" i="1"/>
  <c r="C47" i="1"/>
  <c r="I47" i="1" s="1"/>
  <c r="H46" i="1"/>
  <c r="C46" i="1"/>
  <c r="I46" i="1" s="1"/>
  <c r="H45" i="1"/>
  <c r="C45" i="1"/>
  <c r="I45" i="1" s="1"/>
  <c r="H44" i="1"/>
  <c r="C44" i="1"/>
  <c r="I44" i="1" s="1"/>
  <c r="H43" i="1"/>
  <c r="C43" i="1"/>
  <c r="I43" i="1" s="1"/>
  <c r="H42" i="1"/>
  <c r="C42" i="1"/>
  <c r="I42" i="1" s="1"/>
  <c r="H41" i="1"/>
  <c r="C41" i="1"/>
  <c r="I41" i="1" s="1"/>
  <c r="H40" i="1"/>
  <c r="C40" i="1"/>
  <c r="I40" i="1" s="1"/>
  <c r="H39" i="1"/>
  <c r="C39" i="1"/>
  <c r="I39" i="1" s="1"/>
  <c r="H38" i="1"/>
  <c r="C38" i="1"/>
  <c r="I38" i="1" s="1"/>
  <c r="H37" i="1"/>
  <c r="C37" i="1"/>
  <c r="I37" i="1" s="1"/>
  <c r="H36" i="1"/>
  <c r="C36" i="1"/>
  <c r="I36" i="1" s="1"/>
  <c r="H35" i="1"/>
  <c r="C35" i="1"/>
  <c r="I35" i="1" s="1"/>
  <c r="H34" i="1"/>
  <c r="C34" i="1"/>
  <c r="I34" i="1" s="1"/>
  <c r="H33" i="1"/>
  <c r="C33" i="1"/>
  <c r="I33" i="1" s="1"/>
  <c r="H32" i="1"/>
  <c r="C32" i="1"/>
  <c r="I32" i="1" s="1"/>
  <c r="H31" i="1"/>
  <c r="C31" i="1"/>
  <c r="I31" i="1" s="1"/>
  <c r="H30" i="1"/>
  <c r="C30" i="1"/>
  <c r="I30" i="1" s="1"/>
  <c r="H29" i="1"/>
  <c r="C29" i="1"/>
  <c r="I29" i="1" s="1"/>
  <c r="H28" i="1"/>
  <c r="C28" i="1"/>
  <c r="I28" i="1" s="1"/>
  <c r="H27" i="1"/>
  <c r="C27" i="1"/>
  <c r="I27" i="1" s="1"/>
  <c r="H26" i="1"/>
  <c r="C26" i="1"/>
  <c r="I26" i="1" s="1"/>
  <c r="H25" i="1"/>
  <c r="C25" i="1"/>
  <c r="I25" i="1" s="1"/>
  <c r="H24" i="1"/>
  <c r="C24" i="1"/>
  <c r="I24" i="1" s="1"/>
  <c r="H23" i="1"/>
  <c r="C23" i="1"/>
  <c r="I23" i="1" s="1"/>
  <c r="H22" i="1"/>
  <c r="C22" i="1"/>
  <c r="I22" i="1" s="1"/>
  <c r="H21" i="1"/>
  <c r="C21" i="1"/>
  <c r="I21" i="1" s="1"/>
  <c r="H20" i="1"/>
  <c r="C20" i="1"/>
  <c r="I20" i="1" s="1"/>
  <c r="H19" i="1"/>
  <c r="C19" i="1"/>
  <c r="I19" i="1" s="1"/>
  <c r="H18" i="1"/>
  <c r="C18" i="1"/>
  <c r="I18" i="1" s="1"/>
  <c r="H17" i="1"/>
  <c r="C17" i="1"/>
  <c r="I17" i="1" s="1"/>
  <c r="H16" i="1"/>
  <c r="C16" i="1"/>
  <c r="I16" i="1" s="1"/>
  <c r="H15" i="1"/>
  <c r="C15" i="1"/>
  <c r="I15" i="1" s="1"/>
  <c r="H14" i="1"/>
  <c r="C14" i="1"/>
  <c r="I14" i="1" s="1"/>
  <c r="H13" i="1"/>
  <c r="C13" i="1"/>
  <c r="I13" i="1" s="1"/>
  <c r="H12" i="1"/>
  <c r="C12" i="1"/>
  <c r="I12" i="1" s="1"/>
  <c r="H11" i="1"/>
  <c r="C11" i="1"/>
  <c r="I11" i="1" s="1"/>
  <c r="H10" i="1"/>
  <c r="C10" i="1"/>
  <c r="I10" i="1" s="1"/>
  <c r="H9" i="1"/>
  <c r="C9" i="1"/>
  <c r="I9" i="1" s="1"/>
  <c r="H8" i="1"/>
  <c r="C8" i="1"/>
  <c r="I8" i="1" s="1"/>
  <c r="H7" i="1"/>
  <c r="C7" i="1"/>
  <c r="I7" i="1" s="1"/>
  <c r="H6" i="1"/>
  <c r="C6" i="1"/>
  <c r="I6" i="1" s="1"/>
  <c r="H5" i="1"/>
  <c r="C5" i="1"/>
  <c r="I5" i="1" s="1"/>
  <c r="H4" i="1"/>
  <c r="C4" i="1"/>
  <c r="I4" i="1" s="1"/>
  <c r="H3" i="1"/>
  <c r="C3" i="1"/>
  <c r="I3" i="1" s="1"/>
  <c r="H2" i="1"/>
  <c r="C2" i="1"/>
  <c r="I2" i="1" s="1"/>
  <c r="C55" i="28"/>
  <c r="C54" i="28"/>
  <c r="C50" i="28"/>
  <c r="C49" i="28"/>
  <c r="C53" i="28"/>
  <c r="C52" i="28"/>
  <c r="C51" i="28"/>
  <c r="C48" i="28"/>
  <c r="C47" i="28"/>
  <c r="C46" i="28"/>
  <c r="C45" i="28"/>
  <c r="C44" i="28"/>
  <c r="C43" i="28"/>
  <c r="C42" i="28"/>
  <c r="C41" i="28"/>
  <c r="C40" i="28"/>
  <c r="C39" i="28"/>
  <c r="C38" i="28"/>
  <c r="C37" i="28"/>
  <c r="H36" i="28"/>
  <c r="C36" i="28"/>
  <c r="C35" i="28"/>
  <c r="C33" i="28"/>
  <c r="C32" i="28"/>
  <c r="C31" i="28"/>
  <c r="C30" i="28"/>
  <c r="C28" i="28"/>
  <c r="C27" i="28"/>
  <c r="C26" i="28"/>
  <c r="C23" i="28"/>
  <c r="C25" i="28"/>
  <c r="C22" i="28"/>
  <c r="C24" i="28"/>
  <c r="C21" i="28"/>
  <c r="C19" i="28"/>
  <c r="C20" i="28"/>
  <c r="C18" i="28"/>
  <c r="C8" i="28"/>
  <c r="C7" i="28"/>
  <c r="AE50" i="27"/>
  <c r="AD50" i="27"/>
  <c r="L50" i="27"/>
  <c r="J50" i="27"/>
  <c r="F50" i="27"/>
  <c r="E50" i="27"/>
  <c r="AE49" i="27"/>
  <c r="AD49" i="27"/>
  <c r="AF49" i="27" s="1"/>
  <c r="L49" i="27"/>
  <c r="J49" i="27"/>
  <c r="F49" i="27"/>
  <c r="E49" i="27"/>
  <c r="AE48" i="27"/>
  <c r="AD48" i="27"/>
  <c r="L48" i="27"/>
  <c r="J48" i="27"/>
  <c r="F48" i="27"/>
  <c r="E48" i="27"/>
  <c r="AE47" i="27"/>
  <c r="AD47" i="27"/>
  <c r="AF47" i="27" s="1"/>
  <c r="L47" i="27"/>
  <c r="J47" i="27"/>
  <c r="F47" i="27"/>
  <c r="E47" i="27"/>
  <c r="AE46" i="27"/>
  <c r="AF46" i="27" s="1"/>
  <c r="AD46" i="27"/>
  <c r="L46" i="27"/>
  <c r="J46" i="27"/>
  <c r="F46" i="27"/>
  <c r="E46" i="27"/>
  <c r="AE45" i="27"/>
  <c r="AD45" i="27"/>
  <c r="L45" i="27"/>
  <c r="J45" i="27"/>
  <c r="F45" i="27"/>
  <c r="E45" i="27"/>
  <c r="AE44" i="27"/>
  <c r="AD44" i="27"/>
  <c r="L44" i="27"/>
  <c r="J44" i="27"/>
  <c r="F44" i="27"/>
  <c r="E44" i="27"/>
  <c r="AE43" i="27"/>
  <c r="AD43" i="27"/>
  <c r="AF43" i="27" s="1"/>
  <c r="L43" i="27"/>
  <c r="J43" i="27"/>
  <c r="F43" i="27"/>
  <c r="E43" i="27"/>
  <c r="L37" i="27"/>
  <c r="J37" i="27"/>
  <c r="F37" i="27"/>
  <c r="E37" i="27"/>
  <c r="K37" i="27" s="1"/>
  <c r="L36" i="27"/>
  <c r="J36" i="27"/>
  <c r="F36" i="27"/>
  <c r="E36" i="27"/>
  <c r="K36" i="27" s="1"/>
  <c r="L35" i="27"/>
  <c r="J35" i="27"/>
  <c r="F35" i="27"/>
  <c r="E35" i="27"/>
  <c r="K35" i="27" s="1"/>
  <c r="L34" i="27"/>
  <c r="J34" i="27"/>
  <c r="F34" i="27"/>
  <c r="E34" i="27"/>
  <c r="K34" i="27" s="1"/>
  <c r="P28" i="27"/>
  <c r="N28" i="27"/>
  <c r="L28" i="27"/>
  <c r="K28" i="27"/>
  <c r="J28" i="27"/>
  <c r="F28" i="27"/>
  <c r="E28" i="27"/>
  <c r="P27" i="27"/>
  <c r="N27" i="27"/>
  <c r="L27" i="27"/>
  <c r="K27" i="27"/>
  <c r="J27" i="27"/>
  <c r="F27" i="27"/>
  <c r="E27" i="27"/>
  <c r="P26" i="27"/>
  <c r="L26" i="27"/>
  <c r="K26" i="27"/>
  <c r="J26" i="27"/>
  <c r="F26" i="27"/>
  <c r="E26" i="27"/>
  <c r="N26" i="27" s="1"/>
  <c r="Z21" i="27"/>
  <c r="W19" i="27"/>
  <c r="W18" i="27"/>
  <c r="R17" i="27"/>
  <c r="D16" i="27"/>
  <c r="D15" i="27"/>
  <c r="I14" i="27"/>
  <c r="Q21" i="27" s="1"/>
  <c r="J13" i="27"/>
  <c r="F6" i="28" s="1"/>
  <c r="I13" i="27"/>
  <c r="R18" i="27" s="1"/>
  <c r="H13" i="27"/>
  <c r="J12" i="27"/>
  <c r="I12" i="27"/>
  <c r="AA17" i="27" s="1"/>
  <c r="H12" i="27"/>
  <c r="D6" i="27"/>
  <c r="L5" i="27"/>
  <c r="G5" i="27"/>
  <c r="P4" i="27"/>
  <c r="AC52" i="25"/>
  <c r="W52" i="25"/>
  <c r="T52" i="25"/>
  <c r="S52" i="25"/>
  <c r="R52" i="25"/>
  <c r="Q52" i="25"/>
  <c r="A52" i="25"/>
  <c r="T51" i="25"/>
  <c r="A51" i="25"/>
  <c r="AC50" i="25"/>
  <c r="W50" i="25"/>
  <c r="T50" i="25"/>
  <c r="S50" i="25"/>
  <c r="R50" i="25"/>
  <c r="Q50" i="25"/>
  <c r="A50" i="25"/>
  <c r="AC49" i="25"/>
  <c r="W49" i="25"/>
  <c r="T49" i="25"/>
  <c r="S49" i="25"/>
  <c r="R49" i="25"/>
  <c r="Q49" i="25"/>
  <c r="A49" i="25"/>
  <c r="AC48" i="25"/>
  <c r="W48" i="25"/>
  <c r="T48" i="25"/>
  <c r="S48" i="25"/>
  <c r="R48" i="25"/>
  <c r="Q48" i="25"/>
  <c r="A48" i="25"/>
  <c r="AC47" i="25"/>
  <c r="W47" i="25"/>
  <c r="T47" i="25"/>
  <c r="S47" i="25"/>
  <c r="R47" i="25"/>
  <c r="Q47" i="25"/>
  <c r="A47" i="25"/>
  <c r="A46" i="25"/>
  <c r="A45" i="25"/>
  <c r="AC44" i="25"/>
  <c r="W44" i="25"/>
  <c r="T44" i="25"/>
  <c r="S44" i="25"/>
  <c r="R44" i="25"/>
  <c r="Q44" i="25"/>
  <c r="A44" i="25"/>
  <c r="AC43" i="25"/>
  <c r="W43" i="25"/>
  <c r="T43" i="25"/>
  <c r="S43" i="25"/>
  <c r="R43" i="25"/>
  <c r="Q43" i="25"/>
  <c r="A43" i="25"/>
  <c r="AC42" i="25"/>
  <c r="W42" i="25"/>
  <c r="T42" i="25"/>
  <c r="S42" i="25"/>
  <c r="R42" i="25"/>
  <c r="Q42" i="25"/>
  <c r="A42" i="25"/>
  <c r="AC41" i="25"/>
  <c r="W41" i="25"/>
  <c r="T41" i="25"/>
  <c r="S41" i="25"/>
  <c r="R41" i="25"/>
  <c r="Q41" i="25"/>
  <c r="A41" i="25"/>
  <c r="AC40" i="25"/>
  <c r="W40" i="25"/>
  <c r="T40" i="25"/>
  <c r="S40" i="25"/>
  <c r="R40" i="25"/>
  <c r="Q40" i="25"/>
  <c r="A40" i="25"/>
  <c r="AC39" i="25"/>
  <c r="W39" i="25"/>
  <c r="T39" i="25"/>
  <c r="S39" i="25"/>
  <c r="R39" i="25"/>
  <c r="Q39" i="25"/>
  <c r="A39" i="25"/>
  <c r="AC38" i="25"/>
  <c r="W38" i="25"/>
  <c r="T38" i="25"/>
  <c r="S38" i="25"/>
  <c r="R38" i="25"/>
  <c r="Q38" i="25"/>
  <c r="A38" i="25"/>
  <c r="AC37" i="25"/>
  <c r="W37" i="25"/>
  <c r="T37" i="25"/>
  <c r="S37" i="25"/>
  <c r="R37" i="25"/>
  <c r="Q37" i="25"/>
  <c r="A37" i="25"/>
  <c r="AM36" i="25"/>
  <c r="AK36" i="25"/>
  <c r="AC36" i="25"/>
  <c r="W36" i="25"/>
  <c r="T36" i="25"/>
  <c r="S36" i="25"/>
  <c r="R36" i="25"/>
  <c r="Q36" i="25"/>
  <c r="A36" i="25"/>
  <c r="AI30" i="25"/>
  <c r="AD30" i="25"/>
  <c r="AC30" i="25"/>
  <c r="AA30" i="25"/>
  <c r="X30" i="25"/>
  <c r="W30" i="25"/>
  <c r="V30" i="25"/>
  <c r="U30" i="25"/>
  <c r="Q30" i="25"/>
  <c r="A30" i="25"/>
  <c r="AI29" i="25"/>
  <c r="AD29" i="25"/>
  <c r="AC29" i="25"/>
  <c r="AA29" i="25"/>
  <c r="X29" i="25"/>
  <c r="W29" i="25"/>
  <c r="V29" i="25"/>
  <c r="U29" i="25"/>
  <c r="Q29" i="25"/>
  <c r="A29" i="25"/>
  <c r="AI28" i="25"/>
  <c r="AD28" i="25"/>
  <c r="AC28" i="25"/>
  <c r="AA28" i="25"/>
  <c r="X28" i="25"/>
  <c r="W28" i="25"/>
  <c r="V28" i="25"/>
  <c r="U28" i="25"/>
  <c r="Q28" i="25"/>
  <c r="A28" i="25"/>
  <c r="AI27" i="25"/>
  <c r="AD27" i="25"/>
  <c r="AC27" i="25"/>
  <c r="AA27" i="25"/>
  <c r="X27" i="25"/>
  <c r="W27" i="25"/>
  <c r="V27" i="25"/>
  <c r="U27" i="25"/>
  <c r="Q27" i="25"/>
  <c r="A27" i="25"/>
  <c r="AM21" i="25"/>
  <c r="AJ21" i="25"/>
  <c r="AH21" i="25"/>
  <c r="X21" i="25"/>
  <c r="AM20" i="25"/>
  <c r="AJ20" i="25"/>
  <c r="AH20" i="25"/>
  <c r="X20" i="25"/>
  <c r="AM19" i="25"/>
  <c r="AJ19" i="25"/>
  <c r="AH19" i="25"/>
  <c r="X19" i="25"/>
  <c r="AM18" i="25"/>
  <c r="AJ18" i="25"/>
  <c r="AH18" i="25"/>
  <c r="X18" i="25"/>
  <c r="AM17" i="25"/>
  <c r="AJ17" i="25"/>
  <c r="AH17" i="25"/>
  <c r="X17" i="25"/>
  <c r="AM16" i="25"/>
  <c r="AJ16" i="25"/>
  <c r="AH16" i="25"/>
  <c r="X16" i="25"/>
  <c r="AM15" i="25"/>
  <c r="AJ15" i="25"/>
  <c r="AH15" i="25"/>
  <c r="X15" i="25"/>
  <c r="Q10" i="25"/>
  <c r="S8" i="25"/>
  <c r="R8" i="25"/>
  <c r="Q8" i="25"/>
  <c r="P8" i="25"/>
  <c r="O8" i="25"/>
  <c r="N8" i="25"/>
  <c r="M8" i="25"/>
  <c r="L8" i="25"/>
  <c r="K8" i="25"/>
  <c r="J8" i="25"/>
  <c r="I8" i="25"/>
  <c r="H8" i="25"/>
  <c r="G8" i="25"/>
  <c r="F8" i="25"/>
  <c r="E8" i="25"/>
  <c r="B8" i="25"/>
  <c r="S7" i="25"/>
  <c r="R7" i="25"/>
  <c r="Q7" i="25"/>
  <c r="P7" i="25"/>
  <c r="O7" i="25"/>
  <c r="N7" i="25"/>
  <c r="M7" i="25"/>
  <c r="L7" i="25"/>
  <c r="K7" i="25"/>
  <c r="J7" i="25"/>
  <c r="I7" i="25"/>
  <c r="H7" i="25"/>
  <c r="G7" i="25"/>
  <c r="F7" i="25"/>
  <c r="E7" i="25"/>
  <c r="S6" i="25"/>
  <c r="R6" i="25"/>
  <c r="Q6" i="25"/>
  <c r="P6" i="25"/>
  <c r="O6" i="25"/>
  <c r="N6" i="25"/>
  <c r="M6" i="25"/>
  <c r="L6" i="25"/>
  <c r="K6" i="25"/>
  <c r="J6" i="25"/>
  <c r="I6" i="25"/>
  <c r="H6" i="25"/>
  <c r="G6" i="25"/>
  <c r="F6" i="25"/>
  <c r="E6" i="25"/>
  <c r="S5" i="25"/>
  <c r="R5" i="25"/>
  <c r="Q5" i="25"/>
  <c r="P5" i="25"/>
  <c r="O5" i="25"/>
  <c r="N5" i="25"/>
  <c r="M5" i="25"/>
  <c r="L5" i="25"/>
  <c r="K5" i="25"/>
  <c r="J5" i="25"/>
  <c r="I5" i="25"/>
  <c r="H5" i="25"/>
  <c r="G5" i="25"/>
  <c r="F5" i="25"/>
  <c r="E5" i="25"/>
  <c r="S4" i="25"/>
  <c r="R4" i="25"/>
  <c r="Q4" i="25"/>
  <c r="P4" i="25"/>
  <c r="O4" i="25"/>
  <c r="N4" i="25"/>
  <c r="M4" i="25"/>
  <c r="L4" i="25"/>
  <c r="K4" i="25"/>
  <c r="J4" i="25"/>
  <c r="I4" i="25"/>
  <c r="H4" i="25"/>
  <c r="G4" i="25"/>
  <c r="F4" i="25"/>
  <c r="E4" i="25"/>
  <c r="Q19" i="21"/>
  <c r="P19" i="21"/>
  <c r="M19" i="21"/>
  <c r="L19" i="21"/>
  <c r="K19" i="21"/>
  <c r="J19" i="21"/>
  <c r="I19" i="21"/>
  <c r="H19" i="21"/>
  <c r="G19" i="21"/>
  <c r="F19" i="21"/>
  <c r="E19" i="21"/>
  <c r="D19" i="21"/>
  <c r="A19" i="21"/>
  <c r="Q18" i="21"/>
  <c r="P18" i="21"/>
  <c r="M18" i="21"/>
  <c r="L18" i="21"/>
  <c r="K18" i="21"/>
  <c r="J18" i="21"/>
  <c r="I18" i="21"/>
  <c r="H18" i="21"/>
  <c r="G18" i="21"/>
  <c r="F18" i="21"/>
  <c r="E18" i="21"/>
  <c r="D18" i="21"/>
  <c r="A18" i="21"/>
  <c r="Q17" i="21"/>
  <c r="P17" i="21"/>
  <c r="M17" i="21"/>
  <c r="L17" i="21"/>
  <c r="K17" i="21"/>
  <c r="J17" i="21"/>
  <c r="I17" i="21"/>
  <c r="H17" i="21"/>
  <c r="G17" i="21"/>
  <c r="F17" i="21"/>
  <c r="E17" i="21"/>
  <c r="D17" i="21"/>
  <c r="A17" i="21"/>
  <c r="Q16" i="21"/>
  <c r="P16" i="21"/>
  <c r="M16" i="21"/>
  <c r="L16" i="21"/>
  <c r="K16" i="21"/>
  <c r="J16" i="21"/>
  <c r="I16" i="21"/>
  <c r="H16" i="21"/>
  <c r="G16" i="21"/>
  <c r="F16" i="21"/>
  <c r="E16" i="21"/>
  <c r="D16" i="21"/>
  <c r="A16" i="21"/>
  <c r="Q15" i="21"/>
  <c r="P15" i="21"/>
  <c r="M15" i="21"/>
  <c r="L15" i="21"/>
  <c r="K15" i="21"/>
  <c r="J15" i="21"/>
  <c r="I15" i="21"/>
  <c r="H15" i="21"/>
  <c r="G15" i="21"/>
  <c r="F15" i="21"/>
  <c r="E15" i="21"/>
  <c r="D15" i="21"/>
  <c r="A15" i="21"/>
  <c r="Q14" i="21"/>
  <c r="P14" i="21"/>
  <c r="M14" i="21"/>
  <c r="L14" i="21"/>
  <c r="K14" i="21"/>
  <c r="J14" i="21"/>
  <c r="I14" i="21"/>
  <c r="H14" i="21"/>
  <c r="G14" i="21"/>
  <c r="F14" i="21"/>
  <c r="E14" i="21"/>
  <c r="D14" i="21"/>
  <c r="A14" i="21"/>
  <c r="Q13" i="21"/>
  <c r="P13" i="21"/>
  <c r="M13" i="21"/>
  <c r="L13" i="21"/>
  <c r="K13" i="21"/>
  <c r="J13" i="21"/>
  <c r="I13" i="21"/>
  <c r="H13" i="21"/>
  <c r="G13" i="21"/>
  <c r="F13" i="21"/>
  <c r="E13" i="21"/>
  <c r="D13" i="21"/>
  <c r="A13" i="21"/>
  <c r="Q12" i="21"/>
  <c r="P12" i="21"/>
  <c r="M12" i="21"/>
  <c r="L12" i="21"/>
  <c r="K12" i="21"/>
  <c r="J12" i="21"/>
  <c r="I12" i="21"/>
  <c r="H12" i="21"/>
  <c r="G12" i="21"/>
  <c r="F12" i="21"/>
  <c r="E12" i="21"/>
  <c r="D12" i="21"/>
  <c r="A12" i="21"/>
  <c r="Q11" i="21"/>
  <c r="P11" i="21"/>
  <c r="M11" i="21"/>
  <c r="L11" i="21"/>
  <c r="K11" i="21"/>
  <c r="J11" i="21"/>
  <c r="I11" i="21"/>
  <c r="H11" i="21"/>
  <c r="G11" i="21"/>
  <c r="F11" i="21"/>
  <c r="E11" i="21"/>
  <c r="D11" i="21"/>
  <c r="A11" i="21"/>
  <c r="Q10" i="21"/>
  <c r="P10" i="21"/>
  <c r="M10" i="21"/>
  <c r="L10" i="21"/>
  <c r="K10" i="21"/>
  <c r="J10" i="21"/>
  <c r="I10" i="21"/>
  <c r="H10" i="21"/>
  <c r="G10" i="21"/>
  <c r="F10" i="21"/>
  <c r="E10" i="21"/>
  <c r="D10" i="21"/>
  <c r="A10" i="21"/>
  <c r="Q9" i="21"/>
  <c r="P9" i="21"/>
  <c r="M9" i="21"/>
  <c r="L9" i="21"/>
  <c r="K9" i="21"/>
  <c r="J9" i="21"/>
  <c r="I9" i="21"/>
  <c r="H9" i="21"/>
  <c r="G9" i="21"/>
  <c r="F9" i="21"/>
  <c r="E9" i="21"/>
  <c r="D9" i="21"/>
  <c r="A9" i="21"/>
  <c r="Q8" i="21"/>
  <c r="P8" i="21"/>
  <c r="M8" i="21"/>
  <c r="L8" i="21"/>
  <c r="K8" i="21"/>
  <c r="J8" i="21"/>
  <c r="I8" i="21"/>
  <c r="H8" i="21"/>
  <c r="G8" i="21"/>
  <c r="F8" i="21"/>
  <c r="E8" i="21"/>
  <c r="D8" i="21"/>
  <c r="A8" i="21"/>
  <c r="Q7" i="21"/>
  <c r="P7" i="21"/>
  <c r="M7" i="21"/>
  <c r="L7" i="21"/>
  <c r="K7" i="21"/>
  <c r="J7" i="21"/>
  <c r="I7" i="21"/>
  <c r="H7" i="21"/>
  <c r="G7" i="21"/>
  <c r="F7" i="21"/>
  <c r="E7" i="21"/>
  <c r="D7" i="21"/>
  <c r="A7" i="21"/>
  <c r="Q6" i="21"/>
  <c r="P6" i="21"/>
  <c r="M6" i="21"/>
  <c r="L6" i="21"/>
  <c r="K6" i="21"/>
  <c r="J6" i="21"/>
  <c r="I6" i="21"/>
  <c r="H6" i="21"/>
  <c r="G6" i="21"/>
  <c r="F6" i="21"/>
  <c r="E6" i="21"/>
  <c r="D6" i="21"/>
  <c r="A6" i="21"/>
  <c r="Q5" i="21"/>
  <c r="P5" i="21"/>
  <c r="M5" i="21"/>
  <c r="L5" i="21"/>
  <c r="K5" i="21"/>
  <c r="J5" i="21"/>
  <c r="I5" i="21"/>
  <c r="H5" i="21"/>
  <c r="G5" i="21"/>
  <c r="F5" i="21"/>
  <c r="E5" i="21"/>
  <c r="D5" i="21"/>
  <c r="A5" i="21"/>
  <c r="Q4" i="21"/>
  <c r="P4" i="21"/>
  <c r="M4" i="21"/>
  <c r="L4" i="21"/>
  <c r="K4" i="21"/>
  <c r="J4" i="21"/>
  <c r="I4" i="21"/>
  <c r="H4" i="21"/>
  <c r="G4" i="21"/>
  <c r="F4" i="21"/>
  <c r="E4" i="21"/>
  <c r="D4" i="21"/>
  <c r="A4" i="21"/>
  <c r="Q3" i="21"/>
  <c r="P3" i="21"/>
  <c r="M3" i="21"/>
  <c r="L3" i="21"/>
  <c r="K3" i="21"/>
  <c r="J3" i="21"/>
  <c r="I3" i="21"/>
  <c r="H3" i="21"/>
  <c r="G3" i="21"/>
  <c r="F3" i="21"/>
  <c r="E3" i="21"/>
  <c r="D3" i="21"/>
  <c r="A3" i="21"/>
  <c r="O34" i="20"/>
  <c r="M34" i="20"/>
  <c r="F34" i="20"/>
  <c r="E34" i="20"/>
  <c r="D34" i="20"/>
  <c r="O33" i="20"/>
  <c r="M33" i="20"/>
  <c r="F33" i="20"/>
  <c r="E33" i="20"/>
  <c r="D33" i="20"/>
  <c r="O32" i="20"/>
  <c r="M32" i="20"/>
  <c r="F32" i="20"/>
  <c r="E32" i="20"/>
  <c r="D32" i="20"/>
  <c r="O31" i="20"/>
  <c r="M31" i="20"/>
  <c r="F31" i="20"/>
  <c r="E31" i="20"/>
  <c r="D31" i="20"/>
  <c r="O30" i="20"/>
  <c r="M30" i="20"/>
  <c r="F30" i="20"/>
  <c r="D30" i="20"/>
  <c r="O26" i="20"/>
  <c r="M26" i="20"/>
  <c r="F26" i="20"/>
  <c r="E26" i="20"/>
  <c r="D26" i="20"/>
  <c r="O25" i="20"/>
  <c r="M25" i="20"/>
  <c r="F25" i="20"/>
  <c r="E25" i="20"/>
  <c r="D25" i="20"/>
  <c r="O24" i="20"/>
  <c r="M24" i="20"/>
  <c r="F24" i="20"/>
  <c r="E24" i="20"/>
  <c r="D24" i="20"/>
  <c r="O23" i="20"/>
  <c r="M23" i="20"/>
  <c r="F23" i="20"/>
  <c r="D23" i="20"/>
  <c r="O22" i="20"/>
  <c r="M22" i="20"/>
  <c r="F22" i="20"/>
  <c r="D22" i="20"/>
  <c r="O6" i="20"/>
  <c r="M6" i="20"/>
  <c r="L6" i="20"/>
  <c r="J6" i="20"/>
  <c r="I6" i="20"/>
  <c r="G6" i="20"/>
  <c r="F6" i="20"/>
  <c r="E6" i="20"/>
  <c r="D6" i="20"/>
  <c r="O5" i="20"/>
  <c r="M5" i="20"/>
  <c r="L5" i="20"/>
  <c r="J5" i="20"/>
  <c r="I5" i="20"/>
  <c r="G5" i="20"/>
  <c r="F5" i="20"/>
  <c r="E5" i="20"/>
  <c r="D5" i="20"/>
  <c r="F60" i="17"/>
  <c r="T56" i="17"/>
  <c r="R56" i="17"/>
  <c r="S56" i="17" s="1"/>
  <c r="T55" i="17"/>
  <c r="R55" i="17"/>
  <c r="S55" i="17" s="1"/>
  <c r="T54" i="17"/>
  <c r="T53" i="17"/>
  <c r="T52" i="17"/>
  <c r="R52" i="17"/>
  <c r="S52" i="17" s="1"/>
  <c r="J52" i="17"/>
  <c r="F52" i="17"/>
  <c r="R54" i="17" s="1"/>
  <c r="S54" i="17" s="1"/>
  <c r="T51" i="17"/>
  <c r="J51" i="17"/>
  <c r="F51" i="17"/>
  <c r="R53" i="17" s="1"/>
  <c r="S53" i="17" s="1"/>
  <c r="T50" i="17"/>
  <c r="T49" i="17"/>
  <c r="R49" i="17"/>
  <c r="S49" i="17" s="1"/>
  <c r="N49" i="17"/>
  <c r="J49" i="17"/>
  <c r="I49" i="17"/>
  <c r="F49" i="17"/>
  <c r="R51" i="17" s="1"/>
  <c r="S51" i="17" s="1"/>
  <c r="N48" i="17"/>
  <c r="L48" i="17"/>
  <c r="J48" i="17"/>
  <c r="H48" i="17"/>
  <c r="R50" i="17"/>
  <c r="S50" i="17" s="1"/>
  <c r="BJ44" i="17"/>
  <c r="BI44" i="17"/>
  <c r="BH44" i="17"/>
  <c r="BG44" i="17"/>
  <c r="BF44" i="17"/>
  <c r="BE44" i="17"/>
  <c r="BD44" i="17"/>
  <c r="BC44" i="17"/>
  <c r="BB44" i="17"/>
  <c r="BA44" i="17"/>
  <c r="AZ44" i="17"/>
  <c r="AY44" i="17"/>
  <c r="AX44" i="17"/>
  <c r="AW44" i="17"/>
  <c r="AV44" i="17"/>
  <c r="AT44" i="17"/>
  <c r="AS44" i="17"/>
  <c r="AQ44" i="17"/>
  <c r="X44" i="17" s="1"/>
  <c r="AO44" i="17"/>
  <c r="AP44" i="17" s="1"/>
  <c r="AN44" i="17"/>
  <c r="AM44" i="17"/>
  <c r="AH44" i="17"/>
  <c r="Y44" i="17"/>
  <c r="W44" i="17"/>
  <c r="V44" i="17"/>
  <c r="U44" i="17"/>
  <c r="T44" i="17"/>
  <c r="AL44" i="17" s="1"/>
  <c r="M44" i="17"/>
  <c r="L44" i="17"/>
  <c r="BJ43" i="17"/>
  <c r="BI43" i="17"/>
  <c r="BH43" i="17"/>
  <c r="BG43" i="17"/>
  <c r="BF43" i="17"/>
  <c r="BE43" i="17"/>
  <c r="BD43" i="17"/>
  <c r="BC43" i="17"/>
  <c r="BB43" i="17"/>
  <c r="BA43" i="17"/>
  <c r="AZ43" i="17"/>
  <c r="AY43" i="17"/>
  <c r="AX43" i="17"/>
  <c r="AW43" i="17"/>
  <c r="AV43" i="17"/>
  <c r="AT43" i="17"/>
  <c r="AS43" i="17"/>
  <c r="AQ43" i="17"/>
  <c r="X43" i="17" s="1"/>
  <c r="AO43" i="17"/>
  <c r="AP43" i="17" s="1"/>
  <c r="AN43" i="17"/>
  <c r="AM43" i="17"/>
  <c r="AH43" i="17"/>
  <c r="Y43" i="17"/>
  <c r="W43" i="17"/>
  <c r="V43" i="17"/>
  <c r="U43" i="17"/>
  <c r="T43" i="17"/>
  <c r="AL43" i="17" s="1"/>
  <c r="M43" i="17"/>
  <c r="L43" i="17"/>
  <c r="BJ42" i="17"/>
  <c r="BI42" i="17"/>
  <c r="BH42" i="17"/>
  <c r="BG42" i="17"/>
  <c r="BF42" i="17"/>
  <c r="BE42" i="17"/>
  <c r="BD42" i="17"/>
  <c r="BC42" i="17"/>
  <c r="BB42" i="17"/>
  <c r="BA42" i="17"/>
  <c r="AZ42" i="17"/>
  <c r="AY42" i="17"/>
  <c r="AX42" i="17"/>
  <c r="AW42" i="17"/>
  <c r="AV42" i="17"/>
  <c r="AT42" i="17"/>
  <c r="AS42" i="17"/>
  <c r="X42" i="17"/>
  <c r="AO42" i="17"/>
  <c r="AP42" i="17" s="1"/>
  <c r="AN42" i="17"/>
  <c r="AM42" i="17"/>
  <c r="AH42" i="17"/>
  <c r="Y42" i="17"/>
  <c r="W42" i="17"/>
  <c r="V42" i="17"/>
  <c r="U42" i="17"/>
  <c r="T42" i="17"/>
  <c r="AL42" i="17" s="1"/>
  <c r="M42" i="17"/>
  <c r="L42" i="17"/>
  <c r="BJ41" i="17"/>
  <c r="BI41" i="17"/>
  <c r="BH41" i="17"/>
  <c r="BG41" i="17"/>
  <c r="BF41" i="17"/>
  <c r="BE41" i="17"/>
  <c r="BD41" i="17"/>
  <c r="BC41" i="17"/>
  <c r="BB41" i="17"/>
  <c r="BA41" i="17"/>
  <c r="AZ41" i="17"/>
  <c r="AY41" i="17"/>
  <c r="AX41" i="17"/>
  <c r="AW41" i="17"/>
  <c r="AV41" i="17"/>
  <c r="AT41" i="17"/>
  <c r="AS41" i="17"/>
  <c r="AQ41" i="17"/>
  <c r="X41" i="17" s="1"/>
  <c r="AO41" i="17"/>
  <c r="AP41" i="17" s="1"/>
  <c r="AN41" i="17"/>
  <c r="AM41" i="17"/>
  <c r="AH41" i="17"/>
  <c r="Y41" i="17"/>
  <c r="W41" i="17"/>
  <c r="V41" i="17"/>
  <c r="U41" i="17"/>
  <c r="T41" i="17"/>
  <c r="AL41" i="17" s="1"/>
  <c r="M41" i="17"/>
  <c r="L41" i="17"/>
  <c r="BJ40" i="17"/>
  <c r="BI40" i="17"/>
  <c r="BH40" i="17"/>
  <c r="BG40" i="17"/>
  <c r="BF40" i="17"/>
  <c r="BE40" i="17"/>
  <c r="BD40" i="17"/>
  <c r="BC40" i="17"/>
  <c r="BB40" i="17"/>
  <c r="BA40" i="17"/>
  <c r="AZ40" i="17"/>
  <c r="AY40" i="17"/>
  <c r="AX40" i="17"/>
  <c r="AW40" i="17"/>
  <c r="AV40" i="17"/>
  <c r="AT40" i="17"/>
  <c r="AS40" i="17"/>
  <c r="AQ40" i="17"/>
  <c r="X40" i="17" s="1"/>
  <c r="AO40" i="17"/>
  <c r="AP40" i="17" s="1"/>
  <c r="AN40" i="17"/>
  <c r="AM40" i="17"/>
  <c r="AH40" i="17"/>
  <c r="Y40" i="17"/>
  <c r="W40" i="17"/>
  <c r="V40" i="17"/>
  <c r="U40" i="17"/>
  <c r="T40" i="17"/>
  <c r="AL40" i="17" s="1"/>
  <c r="M40" i="17"/>
  <c r="L40" i="17"/>
  <c r="BJ39" i="17"/>
  <c r="BI39" i="17"/>
  <c r="BH39" i="17"/>
  <c r="BG39" i="17"/>
  <c r="BF39" i="17"/>
  <c r="BE39" i="17"/>
  <c r="BD39" i="17"/>
  <c r="BC39" i="17"/>
  <c r="BB39" i="17"/>
  <c r="BA39" i="17"/>
  <c r="AZ39" i="17"/>
  <c r="AY39" i="17"/>
  <c r="AX39" i="17"/>
  <c r="AW39" i="17"/>
  <c r="AV39" i="17"/>
  <c r="AT39" i="17"/>
  <c r="AS39" i="17"/>
  <c r="AQ39" i="17"/>
  <c r="X39" i="17" s="1"/>
  <c r="AO39" i="17"/>
  <c r="AP39" i="17" s="1"/>
  <c r="AN39" i="17"/>
  <c r="AM39" i="17"/>
  <c r="AH39" i="17"/>
  <c r="Y39" i="17"/>
  <c r="W39" i="17"/>
  <c r="V39" i="17"/>
  <c r="U39" i="17"/>
  <c r="T39" i="17"/>
  <c r="AL39" i="17" s="1"/>
  <c r="M39" i="17"/>
  <c r="L39" i="17"/>
  <c r="BJ38" i="17"/>
  <c r="BI38" i="17"/>
  <c r="BH38" i="17"/>
  <c r="BG38" i="17"/>
  <c r="BF38" i="17"/>
  <c r="BE38" i="17"/>
  <c r="BD38" i="17"/>
  <c r="BC38" i="17"/>
  <c r="BB38" i="17"/>
  <c r="BA38" i="17"/>
  <c r="AZ38" i="17"/>
  <c r="AY38" i="17"/>
  <c r="AX38" i="17"/>
  <c r="AW38" i="17"/>
  <c r="AV38" i="17"/>
  <c r="AT38" i="17"/>
  <c r="AS38" i="17"/>
  <c r="AQ38" i="17"/>
  <c r="X38" i="17" s="1"/>
  <c r="AO38" i="17"/>
  <c r="AP38" i="17" s="1"/>
  <c r="AN38" i="17"/>
  <c r="AM38" i="17"/>
  <c r="AH38" i="17"/>
  <c r="Y38" i="17"/>
  <c r="W38" i="17"/>
  <c r="V38" i="17"/>
  <c r="U38" i="17"/>
  <c r="T38" i="17"/>
  <c r="AL38" i="17" s="1"/>
  <c r="M38" i="17"/>
  <c r="L38" i="17"/>
  <c r="BJ37" i="17"/>
  <c r="BI37" i="17"/>
  <c r="BH37" i="17"/>
  <c r="BG37" i="17"/>
  <c r="BF37" i="17"/>
  <c r="BE37" i="17"/>
  <c r="BD37" i="17"/>
  <c r="BC37" i="17"/>
  <c r="BB37" i="17"/>
  <c r="BA37" i="17"/>
  <c r="AZ37" i="17"/>
  <c r="AY37" i="17"/>
  <c r="AX37" i="17"/>
  <c r="AW37" i="17"/>
  <c r="AV37" i="17"/>
  <c r="AT37" i="17"/>
  <c r="AS37" i="17"/>
  <c r="AQ37" i="17"/>
  <c r="X37" i="17" s="1"/>
  <c r="AO37" i="17"/>
  <c r="AP37" i="17" s="1"/>
  <c r="AN37" i="17"/>
  <c r="AM37" i="17"/>
  <c r="AH37" i="17"/>
  <c r="Y37" i="17"/>
  <c r="W37" i="17"/>
  <c r="V37" i="17"/>
  <c r="U37" i="17"/>
  <c r="T37" i="17"/>
  <c r="AL37" i="17" s="1"/>
  <c r="M37" i="17"/>
  <c r="L37" i="17"/>
  <c r="BJ36" i="17"/>
  <c r="BI36" i="17"/>
  <c r="BH36" i="17"/>
  <c r="BG36" i="17"/>
  <c r="BF36" i="17"/>
  <c r="BE36" i="17"/>
  <c r="BD36" i="17"/>
  <c r="BC36" i="17"/>
  <c r="BB36" i="17"/>
  <c r="BA36" i="17"/>
  <c r="AZ36" i="17"/>
  <c r="AY36" i="17"/>
  <c r="AX36" i="17"/>
  <c r="AW36" i="17"/>
  <c r="AV36" i="17"/>
  <c r="AT36" i="17"/>
  <c r="AS36" i="17"/>
  <c r="AQ36" i="17"/>
  <c r="X36" i="17" s="1"/>
  <c r="AO36" i="17"/>
  <c r="AP36" i="17" s="1"/>
  <c r="AN36" i="17"/>
  <c r="AM36" i="17"/>
  <c r="AH36" i="17"/>
  <c r="Y36" i="17"/>
  <c r="W36" i="17"/>
  <c r="V36" i="17"/>
  <c r="U36" i="17"/>
  <c r="T36" i="17"/>
  <c r="AL36" i="17" s="1"/>
  <c r="M36" i="17"/>
  <c r="L36" i="17"/>
  <c r="BJ35" i="17"/>
  <c r="BI35" i="17"/>
  <c r="BH35" i="17"/>
  <c r="BG35" i="17"/>
  <c r="BF35" i="17"/>
  <c r="BE35" i="17"/>
  <c r="BD35" i="17"/>
  <c r="BC35" i="17"/>
  <c r="BB35" i="17"/>
  <c r="BA35" i="17"/>
  <c r="AZ35" i="17"/>
  <c r="AY35" i="17"/>
  <c r="AX35" i="17"/>
  <c r="AW35" i="17"/>
  <c r="AV35" i="17"/>
  <c r="AT35" i="17"/>
  <c r="AS35" i="17"/>
  <c r="AQ35" i="17"/>
  <c r="X35" i="17" s="1"/>
  <c r="AO35" i="17"/>
  <c r="AP35" i="17" s="1"/>
  <c r="AN35" i="17"/>
  <c r="AM35" i="17"/>
  <c r="AH35" i="17"/>
  <c r="Y35" i="17"/>
  <c r="W35" i="17"/>
  <c r="V35" i="17"/>
  <c r="U35" i="17"/>
  <c r="T35" i="17"/>
  <c r="AL35" i="17" s="1"/>
  <c r="M35" i="17"/>
  <c r="L35" i="17"/>
  <c r="BJ34" i="17"/>
  <c r="BI34" i="17"/>
  <c r="BH34" i="17"/>
  <c r="BG34" i="17"/>
  <c r="BF34" i="17"/>
  <c r="BE34" i="17"/>
  <c r="BD34" i="17"/>
  <c r="BC34" i="17"/>
  <c r="BB34" i="17"/>
  <c r="BA34" i="17"/>
  <c r="AZ34" i="17"/>
  <c r="AY34" i="17"/>
  <c r="AX34" i="17"/>
  <c r="AW34" i="17"/>
  <c r="AV34" i="17"/>
  <c r="AT34" i="17"/>
  <c r="AS34" i="17"/>
  <c r="AQ34" i="17"/>
  <c r="X34" i="17" s="1"/>
  <c r="AO34" i="17"/>
  <c r="AP34" i="17" s="1"/>
  <c r="AN34" i="17"/>
  <c r="AM34" i="17"/>
  <c r="AH34" i="17"/>
  <c r="Y34" i="17"/>
  <c r="W34" i="17"/>
  <c r="V34" i="17"/>
  <c r="U34" i="17"/>
  <c r="T34" i="17"/>
  <c r="AL34" i="17" s="1"/>
  <c r="M34" i="17"/>
  <c r="L34" i="17"/>
  <c r="BJ33" i="17"/>
  <c r="BI33" i="17"/>
  <c r="BH33" i="17"/>
  <c r="BG33" i="17"/>
  <c r="BF33" i="17"/>
  <c r="BE33" i="17"/>
  <c r="BD33" i="17"/>
  <c r="BC33" i="17"/>
  <c r="BB33" i="17"/>
  <c r="BA33" i="17"/>
  <c r="AZ33" i="17"/>
  <c r="AY33" i="17"/>
  <c r="AX33" i="17"/>
  <c r="AW33" i="17"/>
  <c r="AV33" i="17"/>
  <c r="AT33" i="17"/>
  <c r="AS33" i="17"/>
  <c r="AH33" i="17"/>
  <c r="Y33" i="17"/>
  <c r="V33" i="17"/>
  <c r="M33" i="17"/>
  <c r="T33" i="17" s="1"/>
  <c r="L33" i="17"/>
  <c r="BJ32" i="17"/>
  <c r="BI32" i="17"/>
  <c r="BH32" i="17"/>
  <c r="BG32" i="17"/>
  <c r="BF32" i="17"/>
  <c r="BE32" i="17"/>
  <c r="BD32" i="17"/>
  <c r="BC32" i="17"/>
  <c r="BB32" i="17"/>
  <c r="BA32" i="17"/>
  <c r="AZ32" i="17"/>
  <c r="AY32" i="17"/>
  <c r="AX32" i="17"/>
  <c r="AW32" i="17"/>
  <c r="AV32" i="17"/>
  <c r="AT32" i="17"/>
  <c r="AS32" i="17"/>
  <c r="AH32" i="17"/>
  <c r="Y32" i="17"/>
  <c r="V32" i="17"/>
  <c r="M32" i="17"/>
  <c r="AN32" i="17" s="1"/>
  <c r="L32" i="17"/>
  <c r="F222" i="19" s="1"/>
  <c r="BJ31" i="17"/>
  <c r="BI31" i="17"/>
  <c r="BH31" i="17"/>
  <c r="BG31" i="17"/>
  <c r="BF31" i="17"/>
  <c r="BE31" i="17"/>
  <c r="BD31" i="17"/>
  <c r="BC31" i="17"/>
  <c r="BB31" i="17"/>
  <c r="BA31" i="17"/>
  <c r="AZ31" i="17"/>
  <c r="AY31" i="17"/>
  <c r="AX31" i="17"/>
  <c r="AW31" i="17"/>
  <c r="AV31" i="17"/>
  <c r="AT31" i="17"/>
  <c r="AS31" i="17"/>
  <c r="AH31" i="17"/>
  <c r="Y31" i="17"/>
  <c r="V31" i="17"/>
  <c r="M31" i="17"/>
  <c r="L31" i="17"/>
  <c r="E95" i="19" s="1"/>
  <c r="BJ30" i="17"/>
  <c r="BI30" i="17"/>
  <c r="BH30" i="17"/>
  <c r="BG30" i="17"/>
  <c r="BF30" i="17"/>
  <c r="BE30" i="17"/>
  <c r="BD30" i="17"/>
  <c r="BC30" i="17"/>
  <c r="BB30" i="17"/>
  <c r="BA30" i="17"/>
  <c r="AZ30" i="17"/>
  <c r="AY30" i="17"/>
  <c r="AX30" i="17"/>
  <c r="AW30" i="17"/>
  <c r="AV30" i="17"/>
  <c r="AT30" i="17"/>
  <c r="AS30" i="17"/>
  <c r="AH30" i="17"/>
  <c r="Y30" i="17"/>
  <c r="V30" i="17"/>
  <c r="M30" i="17"/>
  <c r="L30" i="17"/>
  <c r="D226" i="19" s="1"/>
  <c r="BJ29" i="17"/>
  <c r="BI29" i="17"/>
  <c r="BH29" i="17"/>
  <c r="BG29" i="17"/>
  <c r="BF29" i="17"/>
  <c r="BE29" i="17"/>
  <c r="BD29" i="17"/>
  <c r="BC29" i="17"/>
  <c r="BB29" i="17"/>
  <c r="BA29" i="17"/>
  <c r="AZ29" i="17"/>
  <c r="AY29" i="17"/>
  <c r="AX29" i="17"/>
  <c r="AW29" i="17"/>
  <c r="AV29" i="17"/>
  <c r="AT29" i="17"/>
  <c r="AS29" i="17"/>
  <c r="AH29" i="17"/>
  <c r="Y29" i="17"/>
  <c r="V29" i="17"/>
  <c r="M29" i="17"/>
  <c r="L29" i="17"/>
  <c r="C312" i="19" s="1"/>
  <c r="BJ28" i="17"/>
  <c r="BI28" i="17"/>
  <c r="BH28" i="17"/>
  <c r="BG28" i="17"/>
  <c r="BF28" i="17"/>
  <c r="BE28" i="17"/>
  <c r="BD28" i="17"/>
  <c r="BC28" i="17"/>
  <c r="BB28" i="17"/>
  <c r="BA28" i="17"/>
  <c r="AZ28" i="17"/>
  <c r="AY28" i="17"/>
  <c r="AX28" i="17"/>
  <c r="AW28" i="17"/>
  <c r="AV28" i="17"/>
  <c r="AT28" i="17"/>
  <c r="AS28" i="17"/>
  <c r="AH28" i="17"/>
  <c r="Y28" i="17"/>
  <c r="V28" i="17"/>
  <c r="M28" i="17"/>
  <c r="L28" i="17"/>
  <c r="B352" i="19" s="1"/>
  <c r="I25" i="17"/>
  <c r="B25" i="17"/>
  <c r="G23" i="17"/>
  <c r="B22" i="17"/>
  <c r="M20" i="17"/>
  <c r="Y15" i="17"/>
  <c r="AI13" i="17"/>
  <c r="AA12" i="17"/>
  <c r="U7" i="17"/>
  <c r="J7" i="17"/>
  <c r="J3" i="1" l="1"/>
  <c r="J11" i="1"/>
  <c r="J19" i="1"/>
  <c r="J27" i="1"/>
  <c r="J35" i="1"/>
  <c r="J43" i="1"/>
  <c r="J51" i="1"/>
  <c r="J59" i="1"/>
  <c r="J67" i="1"/>
  <c r="J75" i="1"/>
  <c r="J83" i="1"/>
  <c r="J91" i="1"/>
  <c r="J99" i="1"/>
  <c r="J107" i="1"/>
  <c r="J115" i="1"/>
  <c r="J123" i="1"/>
  <c r="J131" i="1"/>
  <c r="J139" i="1"/>
  <c r="J147" i="1"/>
  <c r="J155" i="1"/>
  <c r="J163" i="1"/>
  <c r="J171" i="1"/>
  <c r="J179" i="1"/>
  <c r="J187" i="1"/>
  <c r="J195" i="1"/>
  <c r="J203" i="1"/>
  <c r="J211" i="1"/>
  <c r="J219" i="1"/>
  <c r="J227" i="1"/>
  <c r="J235" i="1"/>
  <c r="J243" i="1"/>
  <c r="J251" i="1"/>
  <c r="J259" i="1"/>
  <c r="J267" i="1"/>
  <c r="J2" i="1"/>
  <c r="J4" i="1"/>
  <c r="J12" i="1"/>
  <c r="J20" i="1"/>
  <c r="J28" i="1"/>
  <c r="J36" i="1"/>
  <c r="J44" i="1"/>
  <c r="J52" i="1"/>
  <c r="J60" i="1"/>
  <c r="J68" i="1"/>
  <c r="J76" i="1"/>
  <c r="J84" i="1"/>
  <c r="J92" i="1"/>
  <c r="J100" i="1"/>
  <c r="J108" i="1"/>
  <c r="J116" i="1"/>
  <c r="J124" i="1"/>
  <c r="J132" i="1"/>
  <c r="J140" i="1"/>
  <c r="J148" i="1"/>
  <c r="J156" i="1"/>
  <c r="J164" i="1"/>
  <c r="J172" i="1"/>
  <c r="J180" i="1"/>
  <c r="J188" i="1"/>
  <c r="J196" i="1"/>
  <c r="J204" i="1"/>
  <c r="J212" i="1"/>
  <c r="J220" i="1"/>
  <c r="J228" i="1"/>
  <c r="J236" i="1"/>
  <c r="J244" i="1"/>
  <c r="J252" i="1"/>
  <c r="J260" i="1"/>
  <c r="J5" i="1"/>
  <c r="J13" i="1"/>
  <c r="J21" i="1"/>
  <c r="J29" i="1"/>
  <c r="J37" i="1"/>
  <c r="J45" i="1"/>
  <c r="J53" i="1"/>
  <c r="J61" i="1"/>
  <c r="J69" i="1"/>
  <c r="J77" i="1"/>
  <c r="J85" i="1"/>
  <c r="J93" i="1"/>
  <c r="J101" i="1"/>
  <c r="J109" i="1"/>
  <c r="J117" i="1"/>
  <c r="J125" i="1"/>
  <c r="J133" i="1"/>
  <c r="J141" i="1"/>
  <c r="J149" i="1"/>
  <c r="J157" i="1"/>
  <c r="J165" i="1"/>
  <c r="J173" i="1"/>
  <c r="J181" i="1"/>
  <c r="J189" i="1"/>
  <c r="J197" i="1"/>
  <c r="J205" i="1"/>
  <c r="J213" i="1"/>
  <c r="J221" i="1"/>
  <c r="J229" i="1"/>
  <c r="J237" i="1"/>
  <c r="J245" i="1"/>
  <c r="K245" i="1" s="1"/>
  <c r="J253" i="1"/>
  <c r="J261" i="1"/>
  <c r="J239" i="1"/>
  <c r="J255" i="1"/>
  <c r="J248" i="1"/>
  <c r="J264" i="1"/>
  <c r="J50" i="1"/>
  <c r="J66" i="1"/>
  <c r="K66" i="1" s="1"/>
  <c r="J90" i="1"/>
  <c r="J114" i="1"/>
  <c r="J146" i="1"/>
  <c r="J178" i="1"/>
  <c r="J210" i="1"/>
  <c r="J250" i="1"/>
  <c r="J6" i="1"/>
  <c r="J14" i="1"/>
  <c r="K14" i="1" s="1"/>
  <c r="J22" i="1"/>
  <c r="J30" i="1"/>
  <c r="J38" i="1"/>
  <c r="J46" i="1"/>
  <c r="J54" i="1"/>
  <c r="J62" i="1"/>
  <c r="J70" i="1"/>
  <c r="J78" i="1"/>
  <c r="K78" i="1" s="1"/>
  <c r="J86" i="1"/>
  <c r="J94" i="1"/>
  <c r="J102" i="1"/>
  <c r="J110" i="1"/>
  <c r="J118" i="1"/>
  <c r="J126" i="1"/>
  <c r="J134" i="1"/>
  <c r="J142" i="1"/>
  <c r="K142" i="1" s="1"/>
  <c r="J150" i="1"/>
  <c r="J158" i="1"/>
  <c r="J166" i="1"/>
  <c r="J174" i="1"/>
  <c r="J182" i="1"/>
  <c r="J190" i="1"/>
  <c r="J198" i="1"/>
  <c r="J206" i="1"/>
  <c r="K206" i="1" s="1"/>
  <c r="J214" i="1"/>
  <c r="J222" i="1"/>
  <c r="J230" i="1"/>
  <c r="J238" i="1"/>
  <c r="J246" i="1"/>
  <c r="J254" i="1"/>
  <c r="J262" i="1"/>
  <c r="J247" i="1"/>
  <c r="J263" i="1"/>
  <c r="J256" i="1"/>
  <c r="J34" i="1"/>
  <c r="J74" i="1"/>
  <c r="J98" i="1"/>
  <c r="J122" i="1"/>
  <c r="J162" i="1"/>
  <c r="J202" i="1"/>
  <c r="K202" i="1" s="1"/>
  <c r="J242" i="1"/>
  <c r="J7" i="1"/>
  <c r="J15" i="1"/>
  <c r="J23" i="1"/>
  <c r="J31" i="1"/>
  <c r="J39" i="1"/>
  <c r="J47" i="1"/>
  <c r="J55" i="1"/>
  <c r="J63" i="1"/>
  <c r="J71" i="1"/>
  <c r="J79" i="1"/>
  <c r="J87" i="1"/>
  <c r="J95" i="1"/>
  <c r="J103" i="1"/>
  <c r="J111" i="1"/>
  <c r="J119" i="1"/>
  <c r="J127" i="1"/>
  <c r="J135" i="1"/>
  <c r="J143" i="1"/>
  <c r="J151" i="1"/>
  <c r="J159" i="1"/>
  <c r="J167" i="1"/>
  <c r="J175" i="1"/>
  <c r="J183" i="1"/>
  <c r="J191" i="1"/>
  <c r="J199" i="1"/>
  <c r="J207" i="1"/>
  <c r="J215" i="1"/>
  <c r="J223" i="1"/>
  <c r="J231" i="1"/>
  <c r="J154" i="1"/>
  <c r="J218" i="1"/>
  <c r="K218" i="1" s="1"/>
  <c r="J266" i="1"/>
  <c r="J8" i="1"/>
  <c r="J16" i="1"/>
  <c r="J24" i="1"/>
  <c r="J32" i="1"/>
  <c r="J40" i="1"/>
  <c r="J48" i="1"/>
  <c r="J56" i="1"/>
  <c r="K56" i="1" s="1"/>
  <c r="J64" i="1"/>
  <c r="J72" i="1"/>
  <c r="J80" i="1"/>
  <c r="J88" i="1"/>
  <c r="J96" i="1"/>
  <c r="J104" i="1"/>
  <c r="J112" i="1"/>
  <c r="J120" i="1"/>
  <c r="J128" i="1"/>
  <c r="J136" i="1"/>
  <c r="J144" i="1"/>
  <c r="J152" i="1"/>
  <c r="J160" i="1"/>
  <c r="J168" i="1"/>
  <c r="J176" i="1"/>
  <c r="J184" i="1"/>
  <c r="J192" i="1"/>
  <c r="J200" i="1"/>
  <c r="J208" i="1"/>
  <c r="J216" i="1"/>
  <c r="J224" i="1"/>
  <c r="J232" i="1"/>
  <c r="J240" i="1"/>
  <c r="K240" i="1" s="1"/>
  <c r="J138" i="1"/>
  <c r="K138" i="1" s="1"/>
  <c r="J186" i="1"/>
  <c r="J226" i="1"/>
  <c r="J258" i="1"/>
  <c r="J9" i="1"/>
  <c r="J17" i="1"/>
  <c r="J25" i="1"/>
  <c r="J33" i="1"/>
  <c r="J41" i="1"/>
  <c r="K41" i="1" s="1"/>
  <c r="J49" i="1"/>
  <c r="J57" i="1"/>
  <c r="J65" i="1"/>
  <c r="J73" i="1"/>
  <c r="J81" i="1"/>
  <c r="J89" i="1"/>
  <c r="J97" i="1"/>
  <c r="J105" i="1"/>
  <c r="K105" i="1" s="1"/>
  <c r="J113" i="1"/>
  <c r="J121" i="1"/>
  <c r="J129" i="1"/>
  <c r="J137" i="1"/>
  <c r="J145" i="1"/>
  <c r="J153" i="1"/>
  <c r="J161" i="1"/>
  <c r="J169" i="1"/>
  <c r="K169" i="1" s="1"/>
  <c r="J177" i="1"/>
  <c r="J185" i="1"/>
  <c r="K185" i="1" s="1"/>
  <c r="J193" i="1"/>
  <c r="J201" i="1"/>
  <c r="J209" i="1"/>
  <c r="J217" i="1"/>
  <c r="J225" i="1"/>
  <c r="J233" i="1"/>
  <c r="K233" i="1" s="1"/>
  <c r="J241" i="1"/>
  <c r="J249" i="1"/>
  <c r="K249" i="1" s="1"/>
  <c r="J257" i="1"/>
  <c r="J265" i="1"/>
  <c r="J10" i="1"/>
  <c r="J18" i="1"/>
  <c r="K18" i="1" s="1"/>
  <c r="J26" i="1"/>
  <c r="K26" i="1" s="1"/>
  <c r="J42" i="1"/>
  <c r="K42" i="1" s="1"/>
  <c r="J58" i="1"/>
  <c r="J82" i="1"/>
  <c r="K82" i="1" s="1"/>
  <c r="J106" i="1"/>
  <c r="J130" i="1"/>
  <c r="J170" i="1"/>
  <c r="J194" i="1"/>
  <c r="J234" i="1"/>
  <c r="K234" i="1" s="1"/>
  <c r="N53" i="5"/>
  <c r="K2" i="1"/>
  <c r="K3" i="1"/>
  <c r="K10" i="1"/>
  <c r="K16" i="1"/>
  <c r="K29" i="1"/>
  <c r="K35" i="1"/>
  <c r="K48" i="1"/>
  <c r="K61" i="1"/>
  <c r="K67" i="1"/>
  <c r="K74" i="1"/>
  <c r="K80" i="1"/>
  <c r="K93" i="1"/>
  <c r="K99" i="1"/>
  <c r="K106" i="1"/>
  <c r="K112" i="1"/>
  <c r="K125" i="1"/>
  <c r="K131" i="1"/>
  <c r="K144" i="1"/>
  <c r="K157" i="1"/>
  <c r="K163" i="1"/>
  <c r="K170" i="1"/>
  <c r="K176" i="1"/>
  <c r="K189" i="1"/>
  <c r="K195" i="1"/>
  <c r="K208" i="1"/>
  <c r="K221" i="1"/>
  <c r="K227" i="1"/>
  <c r="K253" i="1"/>
  <c r="K259" i="1"/>
  <c r="K266" i="1"/>
  <c r="K4" i="1"/>
  <c r="K17" i="1"/>
  <c r="K23" i="1"/>
  <c r="K30" i="1"/>
  <c r="K36" i="1"/>
  <c r="K49" i="1"/>
  <c r="K55" i="1"/>
  <c r="K62" i="1"/>
  <c r="K68" i="1"/>
  <c r="K81" i="1"/>
  <c r="K87" i="1"/>
  <c r="K94" i="1"/>
  <c r="K100" i="1"/>
  <c r="K113" i="1"/>
  <c r="K119" i="1"/>
  <c r="K126" i="1"/>
  <c r="K132" i="1"/>
  <c r="K145" i="1"/>
  <c r="K151" i="1"/>
  <c r="K158" i="1"/>
  <c r="K164" i="1"/>
  <c r="K177" i="1"/>
  <c r="K183" i="1"/>
  <c r="K190" i="1"/>
  <c r="K196" i="1"/>
  <c r="K209" i="1"/>
  <c r="K215" i="1"/>
  <c r="K222" i="1"/>
  <c r="K228" i="1"/>
  <c r="K241" i="1"/>
  <c r="K247" i="1"/>
  <c r="K254" i="1"/>
  <c r="K260" i="1"/>
  <c r="K5" i="1"/>
  <c r="K11" i="1"/>
  <c r="K24" i="1"/>
  <c r="K37" i="1"/>
  <c r="K43" i="1"/>
  <c r="K50" i="1"/>
  <c r="K69" i="1"/>
  <c r="K75" i="1"/>
  <c r="K88" i="1"/>
  <c r="K101" i="1"/>
  <c r="K107" i="1"/>
  <c r="K114" i="1"/>
  <c r="K120" i="1"/>
  <c r="K133" i="1"/>
  <c r="K139" i="1"/>
  <c r="K146" i="1"/>
  <c r="K152" i="1"/>
  <c r="K165" i="1"/>
  <c r="K171" i="1"/>
  <c r="K178" i="1"/>
  <c r="K184" i="1"/>
  <c r="K197" i="1"/>
  <c r="K203" i="1"/>
  <c r="K210" i="1"/>
  <c r="K216" i="1"/>
  <c r="K229" i="1"/>
  <c r="K235" i="1"/>
  <c r="K242" i="1"/>
  <c r="K248" i="1"/>
  <c r="K261" i="1"/>
  <c r="K267" i="1"/>
  <c r="K6" i="1"/>
  <c r="K12" i="1"/>
  <c r="K25" i="1"/>
  <c r="K31" i="1"/>
  <c r="K38" i="1"/>
  <c r="K44" i="1"/>
  <c r="K57" i="1"/>
  <c r="K63" i="1"/>
  <c r="K70" i="1"/>
  <c r="K76" i="1"/>
  <c r="K89" i="1"/>
  <c r="K95" i="1"/>
  <c r="K102" i="1"/>
  <c r="K108" i="1"/>
  <c r="K121" i="1"/>
  <c r="K127" i="1"/>
  <c r="K134" i="1"/>
  <c r="K140" i="1"/>
  <c r="K153" i="1"/>
  <c r="K159" i="1"/>
  <c r="K166" i="1"/>
  <c r="K172" i="1"/>
  <c r="K191" i="1"/>
  <c r="K198" i="1"/>
  <c r="K204" i="1"/>
  <c r="K217" i="1"/>
  <c r="K223" i="1"/>
  <c r="K230" i="1"/>
  <c r="K236" i="1"/>
  <c r="K255" i="1"/>
  <c r="K262" i="1"/>
  <c r="K13" i="1"/>
  <c r="K19" i="1"/>
  <c r="K32" i="1"/>
  <c r="K45" i="1"/>
  <c r="K51" i="1"/>
  <c r="K58" i="1"/>
  <c r="K64" i="1"/>
  <c r="K77" i="1"/>
  <c r="K83" i="1"/>
  <c r="K90" i="1"/>
  <c r="K96" i="1"/>
  <c r="K109" i="1"/>
  <c r="K115" i="1"/>
  <c r="K122" i="1"/>
  <c r="K128" i="1"/>
  <c r="K141" i="1"/>
  <c r="K147" i="1"/>
  <c r="K154" i="1"/>
  <c r="K160" i="1"/>
  <c r="K173" i="1"/>
  <c r="K179" i="1"/>
  <c r="K186" i="1"/>
  <c r="K192" i="1"/>
  <c r="K205" i="1"/>
  <c r="K211" i="1"/>
  <c r="K224" i="1"/>
  <c r="K237" i="1"/>
  <c r="K243" i="1"/>
  <c r="K250" i="1"/>
  <c r="K256" i="1"/>
  <c r="K7" i="1"/>
  <c r="K20" i="1"/>
  <c r="K33" i="1"/>
  <c r="K39" i="1"/>
  <c r="K46" i="1"/>
  <c r="K52" i="1"/>
  <c r="K65" i="1"/>
  <c r="K71" i="1"/>
  <c r="K84" i="1"/>
  <c r="K97" i="1"/>
  <c r="K103" i="1"/>
  <c r="K110" i="1"/>
  <c r="K116" i="1"/>
  <c r="K129" i="1"/>
  <c r="K135" i="1"/>
  <c r="K148" i="1"/>
  <c r="K161" i="1"/>
  <c r="K167" i="1"/>
  <c r="K174" i="1"/>
  <c r="K180" i="1"/>
  <c r="K193" i="1"/>
  <c r="K199" i="1"/>
  <c r="K212" i="1"/>
  <c r="K225" i="1"/>
  <c r="K231" i="1"/>
  <c r="K238" i="1"/>
  <c r="K244" i="1"/>
  <c r="K257" i="1"/>
  <c r="K8" i="1"/>
  <c r="K21" i="1"/>
  <c r="K27" i="1"/>
  <c r="K34" i="1"/>
  <c r="K40" i="1"/>
  <c r="K53" i="1"/>
  <c r="K59" i="1"/>
  <c r="K72" i="1"/>
  <c r="K85" i="1"/>
  <c r="K91" i="1"/>
  <c r="K98" i="1"/>
  <c r="K104" i="1"/>
  <c r="K117" i="1"/>
  <c r="K123" i="1"/>
  <c r="K130" i="1"/>
  <c r="K136" i="1"/>
  <c r="K149" i="1"/>
  <c r="K155" i="1"/>
  <c r="K162" i="1"/>
  <c r="K168" i="1"/>
  <c r="K181" i="1"/>
  <c r="K187" i="1"/>
  <c r="K194" i="1"/>
  <c r="K200" i="1"/>
  <c r="K213" i="1"/>
  <c r="K219" i="1"/>
  <c r="K226" i="1"/>
  <c r="K232" i="1"/>
  <c r="K251" i="1"/>
  <c r="K258" i="1"/>
  <c r="K264" i="1"/>
  <c r="K9" i="1"/>
  <c r="K60" i="1"/>
  <c r="K111" i="1"/>
  <c r="K214" i="1"/>
  <c r="K263" i="1"/>
  <c r="K15" i="1"/>
  <c r="K118" i="1"/>
  <c r="K220" i="1"/>
  <c r="K265" i="1"/>
  <c r="K22" i="1"/>
  <c r="K73" i="1"/>
  <c r="K124" i="1"/>
  <c r="K175" i="1"/>
  <c r="K28" i="1"/>
  <c r="K79" i="1"/>
  <c r="K182" i="1"/>
  <c r="K86" i="1"/>
  <c r="K137" i="1"/>
  <c r="K188" i="1"/>
  <c r="K239" i="1"/>
  <c r="K92" i="1"/>
  <c r="K143" i="1"/>
  <c r="K246" i="1"/>
  <c r="K47" i="1"/>
  <c r="K150" i="1"/>
  <c r="K201" i="1"/>
  <c r="K252" i="1"/>
  <c r="K54" i="1"/>
  <c r="K156" i="1"/>
  <c r="K207" i="1"/>
  <c r="AF50" i="27"/>
  <c r="AI698" i="4"/>
  <c r="G427" i="19"/>
  <c r="G435" i="19"/>
  <c r="G443" i="19"/>
  <c r="G452" i="19"/>
  <c r="F4" i="28"/>
  <c r="R19" i="27"/>
  <c r="L3" i="27"/>
  <c r="W17" i="27"/>
  <c r="AF48" i="27"/>
  <c r="AA3" i="27"/>
  <c r="N116" i="6"/>
  <c r="F17" i="28"/>
  <c r="G431" i="19"/>
  <c r="G446" i="19"/>
  <c r="G456" i="19"/>
  <c r="G465" i="19"/>
  <c r="G473" i="19"/>
  <c r="G482" i="19"/>
  <c r="G490" i="19"/>
  <c r="G498" i="19"/>
  <c r="G506" i="19"/>
  <c r="G530" i="19"/>
  <c r="G538" i="19"/>
  <c r="G546" i="19"/>
  <c r="G554" i="19"/>
  <c r="G562" i="19"/>
  <c r="G570" i="19"/>
  <c r="G578" i="19"/>
  <c r="G586" i="19"/>
  <c r="G602" i="19"/>
  <c r="G610" i="19"/>
  <c r="G618" i="19"/>
  <c r="G626" i="19"/>
  <c r="G634" i="19"/>
  <c r="G642" i="19"/>
  <c r="G650" i="19"/>
  <c r="G658" i="19"/>
  <c r="G666" i="19"/>
  <c r="G674" i="19"/>
  <c r="G682" i="19"/>
  <c r="G690" i="19"/>
  <c r="G706" i="19"/>
  <c r="G714" i="19"/>
  <c r="G722" i="19"/>
  <c r="G731" i="19"/>
  <c r="G740" i="19"/>
  <c r="G748" i="19"/>
  <c r="G756" i="19"/>
  <c r="G764" i="19"/>
  <c r="G773" i="19"/>
  <c r="G781" i="19"/>
  <c r="G789" i="19"/>
  <c r="G797" i="19"/>
  <c r="G805" i="19"/>
  <c r="G813" i="19"/>
  <c r="G821" i="19"/>
  <c r="G829" i="19"/>
  <c r="G837" i="19"/>
  <c r="A68" i="12" s="1"/>
  <c r="I68" i="12" s="1"/>
  <c r="G845" i="19"/>
  <c r="G853" i="19"/>
  <c r="G861" i="19"/>
  <c r="G869" i="19"/>
  <c r="G877" i="19"/>
  <c r="G885" i="19"/>
  <c r="N114" i="6"/>
  <c r="D5" i="27"/>
  <c r="T3" i="27"/>
  <c r="AF45" i="27"/>
  <c r="AF51" i="27" s="1"/>
  <c r="AF44" i="27"/>
  <c r="F5" i="28"/>
  <c r="G514" i="19"/>
  <c r="G594" i="19"/>
  <c r="G698" i="19"/>
  <c r="AL33" i="17"/>
  <c r="AM33" i="17" s="1"/>
  <c r="U33" i="17"/>
  <c r="AN33" i="17"/>
  <c r="T32" i="17"/>
  <c r="I8" i="19"/>
  <c r="B87" i="2"/>
  <c r="T87" i="2" s="1"/>
  <c r="N118" i="6"/>
  <c r="G461" i="19"/>
  <c r="G469" i="19"/>
  <c r="G478" i="19"/>
  <c r="G486" i="19"/>
  <c r="G494" i="19"/>
  <c r="G502" i="19"/>
  <c r="G510" i="19"/>
  <c r="G534" i="19"/>
  <c r="G542" i="19"/>
  <c r="G550" i="19"/>
  <c r="G558" i="19"/>
  <c r="AS641" i="4" s="1"/>
  <c r="G566" i="19"/>
  <c r="G574" i="19"/>
  <c r="G582" i="19"/>
  <c r="G590" i="19"/>
  <c r="G598" i="19"/>
  <c r="G606" i="19"/>
  <c r="G614" i="19"/>
  <c r="G622" i="19"/>
  <c r="G630" i="19"/>
  <c r="G638" i="19"/>
  <c r="G646" i="19"/>
  <c r="G654" i="19"/>
  <c r="G662" i="19"/>
  <c r="G670" i="19"/>
  <c r="G678" i="19"/>
  <c r="G686" i="19"/>
  <c r="G694" i="19"/>
  <c r="G702" i="19"/>
  <c r="G710" i="19"/>
  <c r="G718" i="19"/>
  <c r="G726" i="19"/>
  <c r="G744" i="19"/>
  <c r="G752" i="19"/>
  <c r="G760" i="19"/>
  <c r="G768" i="19"/>
  <c r="G777" i="19"/>
  <c r="G785" i="19"/>
  <c r="G793" i="19"/>
  <c r="G801" i="19"/>
  <c r="G809" i="19"/>
  <c r="G817" i="19"/>
  <c r="G825" i="19"/>
  <c r="G833" i="19"/>
  <c r="G841" i="19"/>
  <c r="G849" i="19"/>
  <c r="G857" i="19"/>
  <c r="G865" i="19"/>
  <c r="G873" i="19"/>
  <c r="G881" i="19"/>
  <c r="W16" i="27"/>
  <c r="D4" i="27" s="1"/>
  <c r="G4" i="27" s="1"/>
  <c r="R16" i="27" s="1"/>
  <c r="X5" i="27"/>
  <c r="N71" i="6"/>
  <c r="N113" i="6"/>
  <c r="N117" i="6"/>
  <c r="G429" i="19"/>
  <c r="G437" i="19"/>
  <c r="G447" i="19"/>
  <c r="G454" i="19"/>
  <c r="G463" i="19"/>
  <c r="G471" i="19"/>
  <c r="G480" i="19"/>
  <c r="G488" i="19"/>
  <c r="G496" i="19"/>
  <c r="G504" i="19"/>
  <c r="G512" i="19"/>
  <c r="G536" i="19"/>
  <c r="G544" i="19"/>
  <c r="G552" i="19"/>
  <c r="AS382" i="4" s="1"/>
  <c r="G560" i="19"/>
  <c r="G568" i="19"/>
  <c r="G576" i="19"/>
  <c r="G584" i="19"/>
  <c r="G592" i="19"/>
  <c r="G600" i="19"/>
  <c r="G608" i="19"/>
  <c r="G616" i="19"/>
  <c r="AS639" i="4" s="1"/>
  <c r="G624" i="19"/>
  <c r="G632" i="19"/>
  <c r="G640" i="19"/>
  <c r="G648" i="19"/>
  <c r="G656" i="19"/>
  <c r="G664" i="19"/>
  <c r="G672" i="19"/>
  <c r="G680" i="19"/>
  <c r="G688" i="19"/>
  <c r="G696" i="19"/>
  <c r="G704" i="19"/>
  <c r="G712" i="19"/>
  <c r="G720" i="19"/>
  <c r="G728" i="19"/>
  <c r="G737" i="19"/>
  <c r="G746" i="19"/>
  <c r="G754" i="19"/>
  <c r="G762" i="19"/>
  <c r="G770" i="19"/>
  <c r="G779" i="19"/>
  <c r="G787" i="19"/>
  <c r="G795" i="19"/>
  <c r="G803" i="19"/>
  <c r="G811" i="19"/>
  <c r="G819" i="19"/>
  <c r="G827" i="19"/>
  <c r="G835" i="19"/>
  <c r="G843" i="19"/>
  <c r="G851" i="19"/>
  <c r="G859" i="19"/>
  <c r="G867" i="19"/>
  <c r="G875" i="19"/>
  <c r="G883" i="19"/>
  <c r="AA16" i="27"/>
  <c r="E51" i="27"/>
  <c r="G439" i="19"/>
  <c r="M15" i="28"/>
  <c r="E29" i="27"/>
  <c r="N115" i="6"/>
  <c r="J8" i="19"/>
  <c r="B117" i="6" s="1"/>
  <c r="Q117" i="6" s="1"/>
  <c r="G433" i="19"/>
  <c r="G441" i="19"/>
  <c r="G449" i="19"/>
  <c r="G459" i="19"/>
  <c r="G467" i="19"/>
  <c r="G475" i="19"/>
  <c r="G484" i="19"/>
  <c r="G492" i="19"/>
  <c r="G500" i="19"/>
  <c r="G508" i="19"/>
  <c r="G516" i="19"/>
  <c r="G532" i="19"/>
  <c r="G540" i="19"/>
  <c r="G548" i="19"/>
  <c r="G556" i="19"/>
  <c r="G564" i="19"/>
  <c r="G572" i="19"/>
  <c r="G580" i="19"/>
  <c r="G588" i="19"/>
  <c r="G596" i="19"/>
  <c r="AS827" i="4" s="1"/>
  <c r="AV827" i="4" s="1"/>
  <c r="G604" i="19"/>
  <c r="G612" i="19"/>
  <c r="G620" i="19"/>
  <c r="G628" i="19"/>
  <c r="G644" i="19"/>
  <c r="G652" i="19"/>
  <c r="G660" i="19"/>
  <c r="G668" i="19"/>
  <c r="G676" i="19"/>
  <c r="G684" i="19"/>
  <c r="G692" i="19"/>
  <c r="G700" i="19"/>
  <c r="G708" i="19"/>
  <c r="G716" i="19"/>
  <c r="G724" i="19"/>
  <c r="G733" i="19"/>
  <c r="G742" i="19"/>
  <c r="G750" i="19"/>
  <c r="G758" i="19"/>
  <c r="G766" i="19"/>
  <c r="G775" i="19"/>
  <c r="AU1033" i="4" s="1"/>
  <c r="AV1033" i="4" s="1"/>
  <c r="G783" i="19"/>
  <c r="G791" i="19"/>
  <c r="G799" i="19"/>
  <c r="G807" i="19"/>
  <c r="G815" i="19"/>
  <c r="G823" i="19"/>
  <c r="G831" i="19"/>
  <c r="G839" i="19"/>
  <c r="G847" i="19"/>
  <c r="G855" i="19"/>
  <c r="G863" i="19"/>
  <c r="G871" i="19"/>
  <c r="G879" i="19"/>
  <c r="G887" i="19"/>
  <c r="E38" i="27"/>
  <c r="G889" i="19"/>
  <c r="AE325" i="4"/>
  <c r="AV325" i="4" s="1"/>
  <c r="G891" i="19"/>
  <c r="G893" i="19"/>
  <c r="G895" i="19"/>
  <c r="G897" i="19"/>
  <c r="H8" i="17" s="1"/>
  <c r="N122" i="6"/>
  <c r="G428" i="19"/>
  <c r="G430" i="19"/>
  <c r="G432" i="19"/>
  <c r="G434" i="19"/>
  <c r="G436" i="19"/>
  <c r="G438" i="19"/>
  <c r="G440" i="19"/>
  <c r="G442" i="19"/>
  <c r="G444" i="19"/>
  <c r="G448" i="19"/>
  <c r="G445" i="19"/>
  <c r="G451" i="19"/>
  <c r="G453" i="19"/>
  <c r="G455" i="19"/>
  <c r="G458" i="19"/>
  <c r="G460" i="19"/>
  <c r="G462" i="19"/>
  <c r="G464" i="19"/>
  <c r="G466" i="19"/>
  <c r="G468" i="19"/>
  <c r="G470" i="19"/>
  <c r="G472" i="19"/>
  <c r="G474" i="19"/>
  <c r="G477" i="19"/>
  <c r="G479" i="19"/>
  <c r="G481" i="19"/>
  <c r="G483" i="19"/>
  <c r="G485" i="19"/>
  <c r="G487" i="19"/>
  <c r="G489" i="19"/>
  <c r="G491" i="19"/>
  <c r="G493" i="19"/>
  <c r="G495" i="19"/>
  <c r="G497" i="19"/>
  <c r="G499" i="19"/>
  <c r="G501" i="19"/>
  <c r="G503" i="19"/>
  <c r="G505" i="19"/>
  <c r="G507" i="19"/>
  <c r="G509" i="19"/>
  <c r="G511" i="19"/>
  <c r="G513" i="19"/>
  <c r="G515" i="19"/>
  <c r="G529" i="19"/>
  <c r="G531" i="19"/>
  <c r="G533" i="19"/>
  <c r="G535" i="19"/>
  <c r="G537" i="19"/>
  <c r="G539" i="19"/>
  <c r="G541" i="19"/>
  <c r="G543" i="19"/>
  <c r="G545" i="19"/>
  <c r="G547" i="19"/>
  <c r="G549" i="19"/>
  <c r="G551" i="19"/>
  <c r="G553" i="19"/>
  <c r="G555" i="19"/>
  <c r="AS699" i="4" s="1"/>
  <c r="G557" i="19"/>
  <c r="G559" i="19"/>
  <c r="G561" i="19"/>
  <c r="G563" i="19"/>
  <c r="G565" i="19"/>
  <c r="G567" i="19"/>
  <c r="G569" i="19"/>
  <c r="G571" i="19"/>
  <c r="G573" i="19"/>
  <c r="G575" i="19"/>
  <c r="AS887" i="4" s="1"/>
  <c r="G577" i="19"/>
  <c r="AS894" i="4" s="1"/>
  <c r="G579" i="19"/>
  <c r="G581" i="19"/>
  <c r="G583" i="19"/>
  <c r="G585" i="19"/>
  <c r="G587" i="19"/>
  <c r="G589" i="19"/>
  <c r="G591" i="19"/>
  <c r="G593" i="19"/>
  <c r="G595" i="19"/>
  <c r="AS1032" i="4" s="1"/>
  <c r="G597" i="19"/>
  <c r="AS346" i="4" s="1"/>
  <c r="G599" i="19"/>
  <c r="G601" i="19"/>
  <c r="G603" i="19"/>
  <c r="G605" i="19"/>
  <c r="G607" i="19"/>
  <c r="G609" i="19"/>
  <c r="G611" i="19"/>
  <c r="G613" i="19"/>
  <c r="G615" i="19"/>
  <c r="G617" i="19"/>
  <c r="G619" i="19"/>
  <c r="G621" i="19"/>
  <c r="G623" i="19"/>
  <c r="G625" i="19"/>
  <c r="G627" i="19"/>
  <c r="G629" i="19"/>
  <c r="G631" i="19"/>
  <c r="G633" i="19"/>
  <c r="G635" i="19"/>
  <c r="G637" i="19"/>
  <c r="G639" i="19"/>
  <c r="G641" i="19"/>
  <c r="G643" i="19"/>
  <c r="G645" i="19"/>
  <c r="G647" i="19"/>
  <c r="G649" i="19"/>
  <c r="G651" i="19"/>
  <c r="G653" i="19"/>
  <c r="G655" i="19"/>
  <c r="G657" i="19"/>
  <c r="G659" i="19"/>
  <c r="G661" i="19"/>
  <c r="G663" i="19"/>
  <c r="G665" i="19"/>
  <c r="G667" i="19"/>
  <c r="G669" i="19"/>
  <c r="G671" i="19"/>
  <c r="G673" i="19"/>
  <c r="G675" i="19"/>
  <c r="G677" i="19"/>
  <c r="G679" i="19"/>
  <c r="G681" i="19"/>
  <c r="G683" i="19"/>
  <c r="G685" i="19"/>
  <c r="G687" i="19"/>
  <c r="G689" i="19"/>
  <c r="G691" i="19"/>
  <c r="G693" i="19"/>
  <c r="G695" i="19"/>
  <c r="G697" i="19"/>
  <c r="G699" i="19"/>
  <c r="G701" i="19"/>
  <c r="G703" i="19"/>
  <c r="G705" i="19"/>
  <c r="G707" i="19"/>
  <c r="G709" i="19"/>
  <c r="G711" i="19"/>
  <c r="G713" i="19"/>
  <c r="G715" i="19"/>
  <c r="G717" i="19"/>
  <c r="G719" i="19"/>
  <c r="G721" i="19"/>
  <c r="G723" i="19"/>
  <c r="G725" i="19"/>
  <c r="G727" i="19"/>
  <c r="G729" i="19"/>
  <c r="G732" i="19"/>
  <c r="I7" i="17" s="1"/>
  <c r="E61" i="12" s="1"/>
  <c r="G734" i="19"/>
  <c r="G736" i="19"/>
  <c r="G738" i="19"/>
  <c r="N2" i="5"/>
  <c r="N3" i="5"/>
  <c r="N4" i="5"/>
  <c r="N5" i="5"/>
  <c r="N7" i="5"/>
  <c r="N38" i="5"/>
  <c r="N39" i="5"/>
  <c r="N40" i="5"/>
  <c r="N41" i="5"/>
  <c r="N42" i="5"/>
  <c r="N43" i="5"/>
  <c r="N44" i="5"/>
  <c r="N54" i="5"/>
  <c r="N56" i="5"/>
  <c r="N58" i="5"/>
  <c r="N60" i="5"/>
  <c r="N62" i="5"/>
  <c r="N65" i="5"/>
  <c r="N67" i="5"/>
  <c r="N70" i="5"/>
  <c r="N72" i="5"/>
  <c r="N75" i="5"/>
  <c r="N77" i="5"/>
  <c r="N79" i="5"/>
  <c r="N91" i="5"/>
  <c r="N104" i="5"/>
  <c r="N106" i="5"/>
  <c r="N113" i="5"/>
  <c r="N115" i="5"/>
  <c r="N117" i="5"/>
  <c r="N119" i="5"/>
  <c r="N121" i="5"/>
  <c r="N122" i="5"/>
  <c r="N124" i="5"/>
  <c r="N126" i="5"/>
  <c r="N127" i="5"/>
  <c r="N128" i="5"/>
  <c r="N129" i="5"/>
  <c r="N136" i="5"/>
  <c r="N138" i="5"/>
  <c r="N140" i="5"/>
  <c r="N142" i="5"/>
  <c r="AS49" i="17" s="1"/>
  <c r="N143" i="5"/>
  <c r="N144" i="5"/>
  <c r="N145" i="5"/>
  <c r="N146" i="5"/>
  <c r="N147" i="5"/>
  <c r="N148" i="5"/>
  <c r="N149" i="5"/>
  <c r="N150" i="5"/>
  <c r="N159" i="5"/>
  <c r="N161" i="5"/>
  <c r="N162" i="5"/>
  <c r="N164" i="5"/>
  <c r="N166" i="5"/>
  <c r="N168" i="5"/>
  <c r="N172" i="5"/>
  <c r="N175" i="5"/>
  <c r="N176" i="5"/>
  <c r="N177" i="5"/>
  <c r="N179" i="5"/>
  <c r="N180" i="5"/>
  <c r="N181" i="5"/>
  <c r="N183" i="5"/>
  <c r="N185" i="5"/>
  <c r="N187" i="5"/>
  <c r="N189" i="5"/>
  <c r="N197" i="5"/>
  <c r="N198" i="5"/>
  <c r="N201" i="5"/>
  <c r="N202" i="5"/>
  <c r="N220" i="5"/>
  <c r="N223" i="5"/>
  <c r="N224"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1" i="5"/>
  <c r="N263" i="5"/>
  <c r="N265" i="5"/>
  <c r="N267" i="5"/>
  <c r="N271" i="5"/>
  <c r="N276" i="5"/>
  <c r="N278" i="5"/>
  <c r="N280" i="5"/>
  <c r="N282" i="5"/>
  <c r="N284" i="5"/>
  <c r="N285" i="5"/>
  <c r="N286" i="5"/>
  <c r="N287" i="5"/>
  <c r="N288" i="5"/>
  <c r="N289" i="5"/>
  <c r="N290" i="5"/>
  <c r="N291" i="5"/>
  <c r="N292" i="5"/>
  <c r="N293" i="5"/>
  <c r="N295" i="5"/>
  <c r="N296" i="5"/>
  <c r="N297" i="5"/>
  <c r="N298" i="5"/>
  <c r="N299" i="5"/>
  <c r="N300" i="5"/>
  <c r="N301" i="5"/>
  <c r="N302" i="5"/>
  <c r="N303" i="5"/>
  <c r="N306" i="5"/>
  <c r="N309" i="5"/>
  <c r="N312" i="5"/>
  <c r="N313" i="5"/>
  <c r="N6" i="5"/>
  <c r="N8" i="5"/>
  <c r="N9" i="5"/>
  <c r="N10" i="5"/>
  <c r="N11" i="5"/>
  <c r="N12" i="5"/>
  <c r="N13" i="5"/>
  <c r="N14" i="5"/>
  <c r="N15" i="5"/>
  <c r="N16" i="5"/>
  <c r="N17" i="5"/>
  <c r="N18" i="5"/>
  <c r="N19" i="5"/>
  <c r="N22" i="5"/>
  <c r="N23" i="5"/>
  <c r="N21" i="5"/>
  <c r="N20" i="5"/>
  <c r="N24" i="5"/>
  <c r="N26" i="5"/>
  <c r="N27" i="5"/>
  <c r="N28" i="5"/>
  <c r="N29" i="5"/>
  <c r="N30" i="5"/>
  <c r="N31" i="5"/>
  <c r="N32" i="5"/>
  <c r="N34" i="5"/>
  <c r="N35" i="5"/>
  <c r="N36" i="5"/>
  <c r="N37" i="5"/>
  <c r="N45" i="5"/>
  <c r="N46" i="5"/>
  <c r="N47" i="5"/>
  <c r="N48" i="5"/>
  <c r="N49" i="5"/>
  <c r="N50" i="5"/>
  <c r="N52" i="5"/>
  <c r="D173" i="6"/>
  <c r="N55" i="5"/>
  <c r="N57" i="5"/>
  <c r="N59" i="5"/>
  <c r="N61" i="5"/>
  <c r="N63" i="5"/>
  <c r="N64" i="5"/>
  <c r="N66" i="5"/>
  <c r="N68" i="5"/>
  <c r="N69" i="5"/>
  <c r="N71" i="5"/>
  <c r="N73" i="5"/>
  <c r="N74" i="5"/>
  <c r="N76" i="5"/>
  <c r="AB62" i="17" s="1"/>
  <c r="N78" i="5"/>
  <c r="N80" i="5"/>
  <c r="N81" i="5"/>
  <c r="N82" i="5"/>
  <c r="N83" i="5"/>
  <c r="N84" i="5"/>
  <c r="N85" i="5"/>
  <c r="N86" i="5"/>
  <c r="N87" i="5"/>
  <c r="N88" i="5"/>
  <c r="N89" i="5"/>
  <c r="N90" i="5"/>
  <c r="N105" i="5"/>
  <c r="N107" i="5"/>
  <c r="N108" i="5"/>
  <c r="N109" i="5"/>
  <c r="N110" i="5"/>
  <c r="N111" i="5"/>
  <c r="N112" i="5"/>
  <c r="N114" i="5"/>
  <c r="N116" i="5"/>
  <c r="N118" i="5"/>
  <c r="N120" i="5"/>
  <c r="N123" i="5"/>
  <c r="N125" i="5"/>
  <c r="N130" i="5"/>
  <c r="N131" i="5"/>
  <c r="N132" i="5"/>
  <c r="N133" i="5"/>
  <c r="N134" i="5"/>
  <c r="N135" i="5"/>
  <c r="N137" i="5"/>
  <c r="N139" i="5"/>
  <c r="N141" i="5"/>
  <c r="N151" i="5"/>
  <c r="N152" i="5"/>
  <c r="N153" i="5"/>
  <c r="N154" i="5"/>
  <c r="N155" i="5"/>
  <c r="N156" i="5"/>
  <c r="N157" i="5"/>
  <c r="N158" i="5"/>
  <c r="N160" i="5"/>
  <c r="N163" i="5"/>
  <c r="N165" i="5"/>
  <c r="N167" i="5"/>
  <c r="N169" i="5"/>
  <c r="N170" i="5"/>
  <c r="N171" i="5"/>
  <c r="N173" i="5"/>
  <c r="N174" i="5"/>
  <c r="N178" i="5"/>
  <c r="N182" i="5"/>
  <c r="N184" i="5"/>
  <c r="N186" i="5"/>
  <c r="N188" i="5"/>
  <c r="N190" i="5"/>
  <c r="N191" i="5"/>
  <c r="N192" i="5"/>
  <c r="N193" i="5"/>
  <c r="N194" i="5"/>
  <c r="N195" i="5"/>
  <c r="N196" i="5"/>
  <c r="N199" i="5"/>
  <c r="N200" i="5"/>
  <c r="N203" i="5"/>
  <c r="N204" i="5"/>
  <c r="N205" i="5"/>
  <c r="N206" i="5"/>
  <c r="N207" i="5"/>
  <c r="N208" i="5"/>
  <c r="N209" i="5"/>
  <c r="N210" i="5"/>
  <c r="N212" i="5"/>
  <c r="N213" i="5"/>
  <c r="N214" i="5"/>
  <c r="N215" i="5"/>
  <c r="N216" i="5"/>
  <c r="N217" i="5"/>
  <c r="N218" i="5"/>
  <c r="N219" i="5"/>
  <c r="N221" i="5"/>
  <c r="N222" i="5"/>
  <c r="N225" i="5"/>
  <c r="N226" i="5"/>
  <c r="N227" i="5"/>
  <c r="N260" i="5"/>
  <c r="N262" i="5"/>
  <c r="AS56" i="17" s="1"/>
  <c r="N264" i="5"/>
  <c r="N266" i="5"/>
  <c r="N268" i="5"/>
  <c r="N269" i="5"/>
  <c r="N270" i="5"/>
  <c r="N272" i="5"/>
  <c r="N273" i="5"/>
  <c r="N274" i="5"/>
  <c r="N275" i="5"/>
  <c r="N277" i="5"/>
  <c r="N279" i="5"/>
  <c r="N281" i="5"/>
  <c r="N283" i="5"/>
  <c r="N294" i="5"/>
  <c r="N304" i="5"/>
  <c r="N307" i="5"/>
  <c r="N308" i="5"/>
  <c r="N311" i="5"/>
  <c r="N141" i="6"/>
  <c r="G905" i="19"/>
  <c r="G907" i="19"/>
  <c r="G909" i="19"/>
  <c r="G911" i="19"/>
  <c r="N13" i="6"/>
  <c r="N15" i="6"/>
  <c r="N17" i="6"/>
  <c r="N19" i="6"/>
  <c r="N23" i="6"/>
  <c r="N25" i="6"/>
  <c r="N27" i="6"/>
  <c r="N29" i="6"/>
  <c r="N31" i="6"/>
  <c r="N48" i="6"/>
  <c r="N50" i="6"/>
  <c r="N52" i="6"/>
  <c r="N54" i="6"/>
  <c r="N56" i="6"/>
  <c r="N65" i="6"/>
  <c r="N67" i="6"/>
  <c r="N73" i="6"/>
  <c r="N75" i="6"/>
  <c r="N77" i="6"/>
  <c r="N79" i="6"/>
  <c r="N81" i="6"/>
  <c r="N83" i="6"/>
  <c r="N85" i="6"/>
  <c r="N87" i="6"/>
  <c r="N89" i="6"/>
  <c r="N91" i="6"/>
  <c r="N94" i="6"/>
  <c r="N96" i="6"/>
  <c r="N99" i="6"/>
  <c r="N102" i="6"/>
  <c r="N104" i="6"/>
  <c r="N106" i="6"/>
  <c r="N108" i="6"/>
  <c r="N110" i="6"/>
  <c r="N120" i="6"/>
  <c r="N125" i="6"/>
  <c r="N127" i="6"/>
  <c r="N129" i="6"/>
  <c r="N131" i="6"/>
  <c r="N133" i="6"/>
  <c r="N135" i="6"/>
  <c r="N137" i="6"/>
  <c r="N139" i="6"/>
  <c r="N143" i="6"/>
  <c r="N145" i="6"/>
  <c r="N147" i="6"/>
  <c r="N149" i="6"/>
  <c r="N151" i="6"/>
  <c r="N153" i="6"/>
  <c r="N155" i="6"/>
  <c r="N157" i="6"/>
  <c r="N159" i="6"/>
  <c r="N170" i="6"/>
  <c r="N173" i="6"/>
  <c r="N175" i="6"/>
  <c r="N10" i="6"/>
  <c r="N16" i="6"/>
  <c r="N18" i="6"/>
  <c r="N22" i="6"/>
  <c r="N24" i="6"/>
  <c r="N26" i="6"/>
  <c r="N28" i="6"/>
  <c r="N30" i="6"/>
  <c r="N35" i="6"/>
  <c r="N49" i="6"/>
  <c r="N51" i="6"/>
  <c r="N55" i="6"/>
  <c r="N57" i="6"/>
  <c r="N60" i="6"/>
  <c r="N64" i="6"/>
  <c r="N66" i="6"/>
  <c r="N74" i="6"/>
  <c r="N76" i="6"/>
  <c r="N78" i="6"/>
  <c r="N80" i="6"/>
  <c r="N82" i="6"/>
  <c r="N84" i="6"/>
  <c r="N86" i="6"/>
  <c r="N88" i="6"/>
  <c r="N90" i="6"/>
  <c r="N92" i="6"/>
  <c r="N93" i="6"/>
  <c r="N95" i="6"/>
  <c r="N97" i="6"/>
  <c r="N98" i="6"/>
  <c r="N100" i="6"/>
  <c r="N103" i="6"/>
  <c r="N105" i="6"/>
  <c r="N107" i="6"/>
  <c r="N109" i="6"/>
  <c r="N111" i="6"/>
  <c r="N119" i="6"/>
  <c r="N124" i="6"/>
  <c r="N126" i="6"/>
  <c r="N128" i="6"/>
  <c r="N130" i="6"/>
  <c r="N132" i="6"/>
  <c r="N134" i="6"/>
  <c r="N136" i="6"/>
  <c r="N138" i="6"/>
  <c r="N140" i="6"/>
  <c r="N142" i="6"/>
  <c r="N144" i="6"/>
  <c r="N146" i="6"/>
  <c r="N156" i="6"/>
  <c r="N158" i="6"/>
  <c r="N160" i="6"/>
  <c r="N169" i="6"/>
  <c r="N172" i="6"/>
  <c r="N174" i="6"/>
  <c r="G741" i="19"/>
  <c r="G743" i="19"/>
  <c r="G745" i="19"/>
  <c r="G747" i="19"/>
  <c r="G749" i="19"/>
  <c r="G751" i="19"/>
  <c r="G753" i="19"/>
  <c r="G755" i="19"/>
  <c r="G757" i="19"/>
  <c r="G759" i="19"/>
  <c r="G761" i="19"/>
  <c r="G763" i="19"/>
  <c r="G765" i="19"/>
  <c r="G767" i="19"/>
  <c r="G769" i="19"/>
  <c r="G771" i="19"/>
  <c r="G774" i="19"/>
  <c r="G776" i="19"/>
  <c r="G778" i="19"/>
  <c r="G780" i="19"/>
  <c r="G782" i="19"/>
  <c r="G784" i="19"/>
  <c r="G786" i="19"/>
  <c r="G788" i="19"/>
  <c r="G790" i="19"/>
  <c r="G792" i="19"/>
  <c r="G794" i="19"/>
  <c r="G796" i="19"/>
  <c r="G798" i="19"/>
  <c r="G800" i="19"/>
  <c r="G802" i="19"/>
  <c r="G804" i="19"/>
  <c r="G806" i="19"/>
  <c r="G808" i="19"/>
  <c r="G810" i="19"/>
  <c r="G812" i="19"/>
  <c r="G814" i="19"/>
  <c r="G816" i="19"/>
  <c r="G818" i="19"/>
  <c r="G820" i="19"/>
  <c r="G822" i="19"/>
  <c r="G824" i="19"/>
  <c r="G826" i="19"/>
  <c r="G828" i="19"/>
  <c r="G830" i="19"/>
  <c r="G832" i="19"/>
  <c r="G834" i="19"/>
  <c r="G836" i="19"/>
  <c r="G838" i="19"/>
  <c r="G840" i="19"/>
  <c r="G842" i="19"/>
  <c r="G844" i="19"/>
  <c r="G846" i="19"/>
  <c r="G848" i="19"/>
  <c r="G850" i="19"/>
  <c r="G852" i="19"/>
  <c r="G854" i="19"/>
  <c r="G856" i="19"/>
  <c r="G858" i="19"/>
  <c r="G860" i="19"/>
  <c r="G862" i="19"/>
  <c r="AU880" i="4" s="1"/>
  <c r="AV880" i="4" s="1"/>
  <c r="G864" i="19"/>
  <c r="G866" i="19"/>
  <c r="G868" i="19"/>
  <c r="G870" i="19"/>
  <c r="G872" i="19"/>
  <c r="G874" i="19"/>
  <c r="G876" i="19"/>
  <c r="G878" i="19"/>
  <c r="G880" i="19"/>
  <c r="G882" i="19"/>
  <c r="G884" i="19"/>
  <c r="G886" i="19"/>
  <c r="G888" i="19"/>
  <c r="G890" i="19"/>
  <c r="G892" i="19"/>
  <c r="G894" i="19"/>
  <c r="AU10" i="4" s="1"/>
  <c r="G896" i="19"/>
  <c r="G906" i="19"/>
  <c r="G910" i="19"/>
  <c r="G912" i="19"/>
  <c r="A6" i="12"/>
  <c r="I6" i="12" s="1"/>
  <c r="A8" i="12"/>
  <c r="I8" i="12" s="1"/>
  <c r="A32" i="12"/>
  <c r="I32" i="12" s="1"/>
  <c r="A34" i="12"/>
  <c r="I34" i="12" s="1"/>
  <c r="A52" i="12"/>
  <c r="I52" i="12" s="1"/>
  <c r="A54" i="12"/>
  <c r="I54" i="12" s="1"/>
  <c r="B517" i="19"/>
  <c r="G517" i="19" s="1"/>
  <c r="N2" i="6"/>
  <c r="N5" i="6"/>
  <c r="N7" i="6"/>
  <c r="N9" i="6"/>
  <c r="N11" i="6"/>
  <c r="N21" i="6"/>
  <c r="N33" i="6"/>
  <c r="N36" i="6"/>
  <c r="N38" i="6"/>
  <c r="N40" i="6"/>
  <c r="N42" i="6"/>
  <c r="N44" i="6"/>
  <c r="N46" i="6"/>
  <c r="N61" i="6"/>
  <c r="N63" i="6"/>
  <c r="N69" i="6"/>
  <c r="N3" i="6"/>
  <c r="N4" i="6"/>
  <c r="N6" i="6"/>
  <c r="N8" i="6"/>
  <c r="O3" i="6" s="1"/>
  <c r="N12" i="6"/>
  <c r="N14" i="6"/>
  <c r="N20" i="6"/>
  <c r="N32" i="6"/>
  <c r="N37" i="6"/>
  <c r="N39" i="6"/>
  <c r="N41" i="6"/>
  <c r="N43" i="6"/>
  <c r="N45" i="6"/>
  <c r="N47" i="6"/>
  <c r="N53" i="6"/>
  <c r="N58" i="6"/>
  <c r="N62" i="6"/>
  <c r="N68" i="6"/>
  <c r="N70" i="6"/>
  <c r="N72" i="6"/>
  <c r="N112" i="6"/>
  <c r="N121" i="6"/>
  <c r="N123" i="6"/>
  <c r="N148" i="6"/>
  <c r="N150" i="6"/>
  <c r="N152" i="6"/>
  <c r="N154" i="6"/>
  <c r="N59" i="6"/>
  <c r="N168" i="6"/>
  <c r="D268" i="5"/>
  <c r="D267" i="5"/>
  <c r="D266" i="5"/>
  <c r="D265" i="5"/>
  <c r="D264" i="5"/>
  <c r="B104" i="2"/>
  <c r="T104" i="2" s="1"/>
  <c r="B86" i="2"/>
  <c r="T86" i="2" s="1"/>
  <c r="B61" i="2"/>
  <c r="T61" i="2" s="1"/>
  <c r="B85" i="2"/>
  <c r="T85" i="2" s="1"/>
  <c r="B33" i="2"/>
  <c r="T33" i="2" s="1"/>
  <c r="B20" i="2"/>
  <c r="T20" i="2" s="1"/>
  <c r="B31" i="2"/>
  <c r="T31" i="2" s="1"/>
  <c r="B19" i="2"/>
  <c r="T19" i="2" s="1"/>
  <c r="B15" i="2"/>
  <c r="T15" i="2" s="1"/>
  <c r="B18" i="2"/>
  <c r="T18" i="2" s="1"/>
  <c r="AS637" i="4"/>
  <c r="S414" i="19"/>
  <c r="AE903" i="4" s="1"/>
  <c r="AV903" i="4" s="1"/>
  <c r="S416" i="19"/>
  <c r="S417" i="19"/>
  <c r="S420" i="19"/>
  <c r="S424" i="19"/>
  <c r="AI1054" i="4" s="1"/>
  <c r="S342" i="19"/>
  <c r="S346" i="19"/>
  <c r="S350" i="19"/>
  <c r="AE168" i="4" s="1"/>
  <c r="AV168" i="4" s="1"/>
  <c r="S354" i="19"/>
  <c r="S358" i="19"/>
  <c r="S362" i="19"/>
  <c r="S367" i="19"/>
  <c r="S379" i="19"/>
  <c r="S383" i="19"/>
  <c r="S387" i="19"/>
  <c r="S391" i="19"/>
  <c r="AM984" i="4" s="1"/>
  <c r="S395" i="19"/>
  <c r="S399" i="19"/>
  <c r="AE698" i="4" s="1"/>
  <c r="AV698" i="4" s="1"/>
  <c r="S409" i="19"/>
  <c r="S19" i="19"/>
  <c r="S23" i="19"/>
  <c r="S24" i="19"/>
  <c r="S27" i="19"/>
  <c r="S28" i="19"/>
  <c r="S31" i="19"/>
  <c r="S32" i="19"/>
  <c r="AE699" i="4" s="1"/>
  <c r="S35" i="19"/>
  <c r="S36" i="19"/>
  <c r="S39" i="19"/>
  <c r="AE501" i="4" s="1"/>
  <c r="AV501" i="4" s="1"/>
  <c r="S40" i="19"/>
  <c r="S43" i="19"/>
  <c r="S44" i="19"/>
  <c r="S47" i="19"/>
  <c r="S48" i="19"/>
  <c r="S51" i="19"/>
  <c r="AE1054" i="4" s="1"/>
  <c r="S52" i="19"/>
  <c r="S55" i="19"/>
  <c r="S56" i="19"/>
  <c r="S59" i="19"/>
  <c r="S60" i="19"/>
  <c r="S63" i="19"/>
  <c r="S64" i="19"/>
  <c r="S67" i="19"/>
  <c r="AE525" i="4" s="1"/>
  <c r="AV525" i="4" s="1"/>
  <c r="S68" i="19"/>
  <c r="S71" i="19"/>
  <c r="S72" i="19"/>
  <c r="S75" i="19"/>
  <c r="S76" i="19"/>
  <c r="S79" i="19"/>
  <c r="S80" i="19"/>
  <c r="S83" i="19"/>
  <c r="S84" i="19"/>
  <c r="AE823" i="4" s="1"/>
  <c r="AV823" i="4" s="1"/>
  <c r="S87" i="19"/>
  <c r="S88" i="19"/>
  <c r="S91" i="19"/>
  <c r="S92" i="19"/>
  <c r="S95" i="19"/>
  <c r="AI284" i="4" s="1"/>
  <c r="S96" i="19"/>
  <c r="S99" i="19"/>
  <c r="S100" i="19"/>
  <c r="S103" i="19"/>
  <c r="AE768" i="4" s="1"/>
  <c r="AV768" i="4" s="1"/>
  <c r="S104" i="19"/>
  <c r="S107" i="19"/>
  <c r="S108" i="19"/>
  <c r="AI860" i="4" s="1"/>
  <c r="S111" i="19"/>
  <c r="S112" i="19"/>
  <c r="S115" i="19"/>
  <c r="S402" i="19"/>
  <c r="AE627" i="4" s="1"/>
  <c r="S116" i="19"/>
  <c r="S119" i="19"/>
  <c r="S120" i="19"/>
  <c r="AE815" i="4" s="1"/>
  <c r="AV815" i="4" s="1"/>
  <c r="S124" i="19"/>
  <c r="S125" i="19"/>
  <c r="S128" i="19"/>
  <c r="S129" i="19"/>
  <c r="AE271" i="4" s="1"/>
  <c r="AV271" i="4" s="1"/>
  <c r="S132" i="19"/>
  <c r="S133" i="19"/>
  <c r="AE958" i="4" s="1"/>
  <c r="S136" i="19"/>
  <c r="S137" i="19"/>
  <c r="AE804" i="4" s="1"/>
  <c r="S140" i="19"/>
  <c r="AE887" i="4" s="1"/>
  <c r="S141" i="19"/>
  <c r="S144" i="19"/>
  <c r="S145" i="19"/>
  <c r="S148" i="19"/>
  <c r="S149" i="19"/>
  <c r="S152" i="19"/>
  <c r="S153" i="19"/>
  <c r="AI554" i="4" s="1"/>
  <c r="S156" i="19"/>
  <c r="S157" i="19"/>
  <c r="S160" i="19"/>
  <c r="S161" i="19"/>
  <c r="S164" i="19"/>
  <c r="S165" i="19"/>
  <c r="S168" i="19"/>
  <c r="S169" i="19"/>
  <c r="S172" i="19"/>
  <c r="S173" i="19"/>
  <c r="S176" i="19"/>
  <c r="AE161" i="4" s="1"/>
  <c r="AV161" i="4" s="1"/>
  <c r="S177" i="19"/>
  <c r="S180" i="19"/>
  <c r="S181" i="19"/>
  <c r="S184" i="19"/>
  <c r="AI162" i="4" s="1"/>
  <c r="S185" i="19"/>
  <c r="S188" i="19"/>
  <c r="S189" i="19"/>
  <c r="S193" i="19"/>
  <c r="AE809" i="4" s="1"/>
  <c r="AV809" i="4" s="1"/>
  <c r="S194" i="19"/>
  <c r="AE163" i="4" s="1"/>
  <c r="AV163" i="4" s="1"/>
  <c r="S197" i="19"/>
  <c r="S198" i="19"/>
  <c r="S201" i="19"/>
  <c r="S202" i="19"/>
  <c r="S205" i="19"/>
  <c r="S206" i="19"/>
  <c r="S209" i="19"/>
  <c r="S210" i="19"/>
  <c r="S213" i="19"/>
  <c r="S214" i="19"/>
  <c r="S217" i="19"/>
  <c r="S218" i="19"/>
  <c r="AE618" i="4" s="1"/>
  <c r="S221" i="19"/>
  <c r="S222" i="19"/>
  <c r="S225" i="19"/>
  <c r="S226" i="19"/>
  <c r="AE477" i="4" s="1"/>
  <c r="S229" i="19"/>
  <c r="S230" i="19"/>
  <c r="S233" i="19"/>
  <c r="S234" i="19"/>
  <c r="S237" i="19"/>
  <c r="S238" i="19"/>
  <c r="S246" i="19"/>
  <c r="S250" i="19"/>
  <c r="AI1044" i="4" s="1"/>
  <c r="S254" i="19"/>
  <c r="S258" i="19"/>
  <c r="S262" i="19"/>
  <c r="S266" i="19"/>
  <c r="AI1012" i="4" s="1"/>
  <c r="S270" i="19"/>
  <c r="S274" i="19"/>
  <c r="S286" i="19"/>
  <c r="S290" i="19"/>
  <c r="S294" i="19"/>
  <c r="S297" i="19"/>
  <c r="S298" i="19"/>
  <c r="AE810" i="4" s="1"/>
  <c r="AV810" i="4" s="1"/>
  <c r="S302" i="19"/>
  <c r="S306" i="19"/>
  <c r="S310" i="19"/>
  <c r="S314" i="19"/>
  <c r="S318" i="19"/>
  <c r="S322" i="19"/>
  <c r="S326" i="19"/>
  <c r="S330" i="19"/>
  <c r="S334" i="19"/>
  <c r="S338" i="19"/>
  <c r="S401" i="19"/>
  <c r="S405" i="19"/>
  <c r="S412" i="19"/>
  <c r="S406" i="19"/>
  <c r="S278" i="19"/>
  <c r="S282" i="19"/>
  <c r="S371" i="19"/>
  <c r="S375" i="19"/>
  <c r="S403" i="19"/>
  <c r="AI596" i="4" s="1"/>
  <c r="S20" i="19"/>
  <c r="S21" i="19"/>
  <c r="S25" i="19"/>
  <c r="S26" i="19"/>
  <c r="S29" i="19"/>
  <c r="S30" i="19"/>
  <c r="S33" i="19"/>
  <c r="S34" i="19"/>
  <c r="AE466" i="4" s="1"/>
  <c r="S37" i="19"/>
  <c r="S38" i="19"/>
  <c r="S41" i="19"/>
  <c r="S42" i="19"/>
  <c r="S45" i="19"/>
  <c r="S46" i="19"/>
  <c r="S49" i="19"/>
  <c r="S50" i="19"/>
  <c r="AE167" i="4" s="1"/>
  <c r="S53" i="19"/>
  <c r="AE455" i="4" s="1"/>
  <c r="AV455" i="4" s="1"/>
  <c r="S54" i="19"/>
  <c r="S57" i="19"/>
  <c r="AE337" i="4" s="1"/>
  <c r="AV337" i="4" s="1"/>
  <c r="S58" i="19"/>
  <c r="AE448" i="4" s="1"/>
  <c r="AV448" i="4" s="1"/>
  <c r="S61" i="19"/>
  <c r="S62" i="19"/>
  <c r="S65" i="19"/>
  <c r="S66" i="19"/>
  <c r="S69" i="19"/>
  <c r="S70" i="19"/>
  <c r="AI668" i="4" s="1"/>
  <c r="S73" i="19"/>
  <c r="S74" i="19"/>
  <c r="S77" i="19"/>
  <c r="S78" i="19"/>
  <c r="S81" i="19"/>
  <c r="S82" i="19"/>
  <c r="S85" i="19"/>
  <c r="AE480" i="4" s="1"/>
  <c r="S86" i="19"/>
  <c r="S89" i="19"/>
  <c r="S90" i="19"/>
  <c r="S93" i="19"/>
  <c r="S94" i="19"/>
  <c r="AI477" i="4" s="1"/>
  <c r="S97" i="19"/>
  <c r="S98" i="19"/>
  <c r="AE400" i="4" s="1"/>
  <c r="AV400" i="4" s="1"/>
  <c r="S101" i="19"/>
  <c r="S102" i="19"/>
  <c r="S105" i="19"/>
  <c r="AI288" i="4" s="1"/>
  <c r="S106" i="19"/>
  <c r="S109" i="19"/>
  <c r="S110" i="19"/>
  <c r="S113" i="19"/>
  <c r="S114" i="19"/>
  <c r="S117" i="19"/>
  <c r="AE1047" i="4" s="1"/>
  <c r="S118" i="19"/>
  <c r="S122" i="19"/>
  <c r="AM587" i="4" s="1"/>
  <c r="S123" i="19"/>
  <c r="S126" i="19"/>
  <c r="S127" i="19"/>
  <c r="S130" i="19"/>
  <c r="S131" i="19"/>
  <c r="S134" i="19"/>
  <c r="S135" i="19"/>
  <c r="AE276" i="4" s="1"/>
  <c r="AV276" i="4" s="1"/>
  <c r="S138" i="19"/>
  <c r="S139" i="19"/>
  <c r="S142" i="19"/>
  <c r="AE374" i="4" s="1"/>
  <c r="AV374" i="4" s="1"/>
  <c r="S143" i="19"/>
  <c r="S146" i="19"/>
  <c r="S147" i="19"/>
  <c r="S150" i="19"/>
  <c r="S151" i="19"/>
  <c r="S154" i="19"/>
  <c r="S155" i="19"/>
  <c r="S158" i="19"/>
  <c r="S159" i="19"/>
  <c r="AI819" i="4" s="1"/>
  <c r="S162" i="19"/>
  <c r="S163" i="19"/>
  <c r="S166" i="19"/>
  <c r="S167" i="19"/>
  <c r="AE9" i="4" s="1"/>
  <c r="S170" i="19"/>
  <c r="S171" i="19"/>
  <c r="S174" i="19"/>
  <c r="S175" i="19"/>
  <c r="S178" i="19"/>
  <c r="AE388" i="4" s="1"/>
  <c r="AV388" i="4" s="1"/>
  <c r="S179" i="19"/>
  <c r="S182" i="19"/>
  <c r="S183" i="19"/>
  <c r="S186" i="19"/>
  <c r="S187" i="19"/>
  <c r="S190" i="19"/>
  <c r="AE675" i="4" s="1"/>
  <c r="AV675" i="4" s="1"/>
  <c r="S192" i="19"/>
  <c r="S195" i="19"/>
  <c r="S196" i="19"/>
  <c r="S199" i="19"/>
  <c r="S200" i="19"/>
  <c r="S203" i="19"/>
  <c r="S204" i="19"/>
  <c r="S207" i="19"/>
  <c r="S208" i="19"/>
  <c r="S211" i="19"/>
  <c r="S212" i="19"/>
  <c r="S215" i="19"/>
  <c r="S216" i="19"/>
  <c r="S219" i="19"/>
  <c r="S220" i="19"/>
  <c r="S223" i="19"/>
  <c r="S224" i="19"/>
  <c r="S227" i="19"/>
  <c r="S228" i="19"/>
  <c r="S231" i="19"/>
  <c r="S232" i="19"/>
  <c r="AE228" i="4" s="1"/>
  <c r="AV228" i="4" s="1"/>
  <c r="S235" i="19"/>
  <c r="S236" i="19"/>
  <c r="S239" i="19"/>
  <c r="S240" i="19"/>
  <c r="AE643" i="4" s="1"/>
  <c r="S244" i="19"/>
  <c r="S248" i="19"/>
  <c r="S252" i="19"/>
  <c r="S256" i="19"/>
  <c r="S260" i="19"/>
  <c r="S264" i="19"/>
  <c r="S268" i="19"/>
  <c r="S272" i="19"/>
  <c r="S276" i="19"/>
  <c r="S280" i="19"/>
  <c r="S284" i="19"/>
  <c r="AI368" i="4" s="1"/>
  <c r="S288" i="19"/>
  <c r="S292" i="19"/>
  <c r="S295" i="19"/>
  <c r="S296" i="19"/>
  <c r="S299" i="19"/>
  <c r="S300" i="19"/>
  <c r="S304" i="19"/>
  <c r="S308" i="19"/>
  <c r="S312" i="19"/>
  <c r="S316" i="19"/>
  <c r="S320" i="19"/>
  <c r="S324" i="19"/>
  <c r="S328" i="19"/>
  <c r="AE203" i="4" s="1"/>
  <c r="AV203" i="4" s="1"/>
  <c r="S332" i="19"/>
  <c r="S340" i="19"/>
  <c r="S344" i="19"/>
  <c r="S348" i="19"/>
  <c r="S352" i="19"/>
  <c r="S356" i="19"/>
  <c r="S360" i="19"/>
  <c r="AI597" i="4" s="1"/>
  <c r="S365" i="19"/>
  <c r="S369" i="19"/>
  <c r="S373" i="19"/>
  <c r="S377" i="19"/>
  <c r="S381" i="19"/>
  <c r="S385" i="19"/>
  <c r="S389" i="19"/>
  <c r="AI984" i="4" s="1"/>
  <c r="S393" i="19"/>
  <c r="S397" i="19"/>
  <c r="S413" i="19"/>
  <c r="M4" i="23" s="1"/>
  <c r="S245" i="19"/>
  <c r="S249" i="19"/>
  <c r="S253" i="19"/>
  <c r="S257" i="19"/>
  <c r="S261" i="19"/>
  <c r="S265" i="19"/>
  <c r="S269" i="19"/>
  <c r="S273" i="19"/>
  <c r="S277" i="19"/>
  <c r="S281" i="19"/>
  <c r="S285" i="19"/>
  <c r="S289" i="19"/>
  <c r="S293" i="19"/>
  <c r="S301" i="19"/>
  <c r="S305" i="19"/>
  <c r="S309" i="19"/>
  <c r="S313" i="19"/>
  <c r="S317" i="19"/>
  <c r="S321" i="19"/>
  <c r="S325" i="19"/>
  <c r="S329" i="19"/>
  <c r="S333" i="19"/>
  <c r="AE538" i="4" s="1"/>
  <c r="AV538" i="4" s="1"/>
  <c r="S336" i="19"/>
  <c r="S337" i="19"/>
  <c r="S341" i="19"/>
  <c r="S345" i="19"/>
  <c r="S349" i="19"/>
  <c r="S353" i="19"/>
  <c r="S357" i="19"/>
  <c r="S361" i="19"/>
  <c r="S366" i="19"/>
  <c r="S370" i="19"/>
  <c r="S374" i="19"/>
  <c r="S382" i="19"/>
  <c r="S386" i="19"/>
  <c r="S390" i="19"/>
  <c r="AE984" i="4" s="1"/>
  <c r="S394" i="19"/>
  <c r="S398" i="19"/>
  <c r="S410" i="19"/>
  <c r="AI1032" i="4" s="1"/>
  <c r="S421" i="19"/>
  <c r="S425" i="19"/>
  <c r="I21" i="23" s="1"/>
  <c r="S407" i="19"/>
  <c r="S411" i="19"/>
  <c r="S415" i="19"/>
  <c r="AI627" i="4" s="1"/>
  <c r="S418" i="19"/>
  <c r="I184" i="23" s="1"/>
  <c r="S422" i="19"/>
  <c r="G899" i="19"/>
  <c r="G901" i="19"/>
  <c r="G903" i="19"/>
  <c r="S243" i="19"/>
  <c r="S247" i="19"/>
  <c r="S251" i="19"/>
  <c r="S255" i="19"/>
  <c r="S259" i="19"/>
  <c r="S263" i="19"/>
  <c r="S267" i="19"/>
  <c r="S271" i="19"/>
  <c r="S275" i="19"/>
  <c r="S279" i="19"/>
  <c r="AE806" i="4" s="1"/>
  <c r="S283" i="19"/>
  <c r="S287" i="19"/>
  <c r="AI466" i="4" s="1"/>
  <c r="S291" i="19"/>
  <c r="S303" i="19"/>
  <c r="S307" i="19"/>
  <c r="S311" i="19"/>
  <c r="S315" i="19"/>
  <c r="S319" i="19"/>
  <c r="S323" i="19"/>
  <c r="S327" i="19"/>
  <c r="S331" i="19"/>
  <c r="AQ167" i="4" s="1"/>
  <c r="S335" i="19"/>
  <c r="S339" i="19"/>
  <c r="S343" i="19"/>
  <c r="S347" i="19"/>
  <c r="S351" i="19"/>
  <c r="AI167" i="4" s="1"/>
  <c r="S355" i="19"/>
  <c r="S359" i="19"/>
  <c r="S363" i="19"/>
  <c r="S368" i="19"/>
  <c r="AE894" i="4" s="1"/>
  <c r="S372" i="19"/>
  <c r="S376" i="19"/>
  <c r="S380" i="19"/>
  <c r="S384" i="19"/>
  <c r="S388" i="19"/>
  <c r="AE978" i="4" s="1"/>
  <c r="AV978" i="4" s="1"/>
  <c r="S392" i="19"/>
  <c r="S396" i="19"/>
  <c r="S400" i="19"/>
  <c r="S404" i="19"/>
  <c r="AE1030" i="4" s="1"/>
  <c r="S408" i="19"/>
  <c r="S419" i="19"/>
  <c r="S423" i="19"/>
  <c r="AM170" i="4" s="1"/>
  <c r="AE10" i="4"/>
  <c r="AE890" i="4"/>
  <c r="AI505" i="4"/>
  <c r="AE886" i="4"/>
  <c r="AV886" i="4" s="1"/>
  <c r="AE859" i="4"/>
  <c r="AV859" i="4" s="1"/>
  <c r="AE548" i="4"/>
  <c r="AE861" i="4"/>
  <c r="AV861" i="4" s="1"/>
  <c r="AE599" i="4"/>
  <c r="AE957" i="4"/>
  <c r="AE482" i="4"/>
  <c r="AV482" i="4" s="1"/>
  <c r="AI11" i="4"/>
  <c r="AI9" i="4"/>
  <c r="AE1004" i="4"/>
  <c r="AI10" i="4"/>
  <c r="Q216" i="23"/>
  <c r="Q228" i="23"/>
  <c r="S241" i="19"/>
  <c r="S242" i="19"/>
  <c r="Q221" i="23"/>
  <c r="R378" i="19"/>
  <c r="AE426" i="4"/>
  <c r="AV426" i="4" s="1"/>
  <c r="O123" i="6"/>
  <c r="AV669" i="4"/>
  <c r="AV297" i="4"/>
  <c r="AV299" i="4"/>
  <c r="AV300" i="4"/>
  <c r="AV302" i="4"/>
  <c r="AV303" i="4"/>
  <c r="AV304" i="4"/>
  <c r="AV306" i="4"/>
  <c r="AV307" i="4"/>
  <c r="AV308" i="4"/>
  <c r="AV309" i="4"/>
  <c r="AV310" i="4"/>
  <c r="AV329" i="4"/>
  <c r="AV330" i="4"/>
  <c r="AV331" i="4"/>
  <c r="AV332" i="4"/>
  <c r="AV333" i="4"/>
  <c r="AV334" i="4"/>
  <c r="AV339" i="4"/>
  <c r="AV340" i="4"/>
  <c r="AV341" i="4"/>
  <c r="AV342" i="4"/>
  <c r="AV343" i="4"/>
  <c r="AV591" i="4"/>
  <c r="AV592" i="4"/>
  <c r="AV648" i="4"/>
  <c r="AV649" i="4"/>
  <c r="AV650" i="4"/>
  <c r="AV651" i="4"/>
  <c r="AV960" i="4"/>
  <c r="AV961" i="4"/>
  <c r="AV962" i="4"/>
  <c r="AV963" i="4"/>
  <c r="AV965" i="4"/>
  <c r="AV966" i="4"/>
  <c r="AV967" i="4"/>
  <c r="AV968" i="4"/>
  <c r="AV970" i="4"/>
  <c r="AV971" i="4"/>
  <c r="AV972" i="4"/>
  <c r="AV973" i="4"/>
  <c r="AV974" i="4"/>
  <c r="AV976" i="4"/>
  <c r="AV977" i="4"/>
  <c r="AV983" i="4"/>
  <c r="AV994" i="4"/>
  <c r="AV995" i="4"/>
  <c r="AV996" i="4"/>
  <c r="AV999" i="4"/>
  <c r="AV1000" i="4"/>
  <c r="AV1002" i="4"/>
  <c r="AV1003" i="4"/>
  <c r="AV1013" i="4"/>
  <c r="AV1014" i="4"/>
  <c r="AV1015" i="4"/>
  <c r="AV1016" i="4"/>
  <c r="AV1017" i="4"/>
  <c r="AV1018" i="4"/>
  <c r="AV1019" i="4"/>
  <c r="AV1020" i="4"/>
  <c r="AV1021" i="4"/>
  <c r="AV1022" i="4"/>
  <c r="AV1023" i="4"/>
  <c r="AV1024" i="4"/>
  <c r="AV1025" i="4"/>
  <c r="AV1028" i="4"/>
  <c r="AV1029" i="4"/>
  <c r="AV1034" i="4"/>
  <c r="AV1035" i="4"/>
  <c r="AV1040" i="4"/>
  <c r="AV1041" i="4"/>
  <c r="AV1043" i="4"/>
  <c r="AV1048" i="4"/>
  <c r="AV1049" i="4"/>
  <c r="AV1053" i="4"/>
  <c r="AV335" i="4"/>
  <c r="AV584" i="4"/>
  <c r="AV585" i="4"/>
  <c r="AV667" i="4"/>
  <c r="AV682" i="4"/>
  <c r="AV683" i="4"/>
  <c r="AV684" i="4"/>
  <c r="AV685" i="4"/>
  <c r="AV688" i="4"/>
  <c r="AV689" i="4"/>
  <c r="AV709" i="4"/>
  <c r="AV710" i="4"/>
  <c r="AV715" i="4"/>
  <c r="AV716" i="4"/>
  <c r="AV717" i="4"/>
  <c r="AV718" i="4"/>
  <c r="AV719" i="4"/>
  <c r="AV720" i="4"/>
  <c r="AV721" i="4"/>
  <c r="AV725" i="4"/>
  <c r="AV726" i="4"/>
  <c r="AV727" i="4"/>
  <c r="AV728" i="4"/>
  <c r="AV729" i="4"/>
  <c r="AV730" i="4"/>
  <c r="AV731" i="4"/>
  <c r="AV732" i="4"/>
  <c r="AV733" i="4"/>
  <c r="AV734" i="4"/>
  <c r="AV735" i="4"/>
  <c r="AV736" i="4"/>
  <c r="AV737" i="4"/>
  <c r="AV738" i="4"/>
  <c r="AV739" i="4"/>
  <c r="AV740" i="4"/>
  <c r="AV741" i="4"/>
  <c r="AV742" i="4"/>
  <c r="AV743" i="4"/>
  <c r="AV744" i="4"/>
  <c r="AV745" i="4"/>
  <c r="AV746" i="4"/>
  <c r="AV747" i="4"/>
  <c r="AV749" i="4"/>
  <c r="AV751" i="4"/>
  <c r="AV753" i="4"/>
  <c r="AV754" i="4"/>
  <c r="AV755" i="4"/>
  <c r="AV756" i="4"/>
  <c r="AV757" i="4"/>
  <c r="AV758" i="4"/>
  <c r="AV762" i="4"/>
  <c r="AV764" i="4"/>
  <c r="AV766" i="4"/>
  <c r="AV767" i="4"/>
  <c r="AV798" i="4"/>
  <c r="AV799" i="4"/>
  <c r="AV800" i="4"/>
  <c r="AV835" i="4"/>
  <c r="AV836" i="4"/>
  <c r="AV837" i="4"/>
  <c r="AV838" i="4"/>
  <c r="AV839" i="4"/>
  <c r="AV840" i="4"/>
  <c r="AV841" i="4"/>
  <c r="AV842" i="4"/>
  <c r="AV843" i="4"/>
  <c r="AV844" i="4"/>
  <c r="AV845" i="4"/>
  <c r="AV846" i="4"/>
  <c r="AV847" i="4"/>
  <c r="AV598" i="4"/>
  <c r="AV602" i="4"/>
  <c r="AV604" i="4"/>
  <c r="AV606" i="4"/>
  <c r="AV607" i="4"/>
  <c r="AV608" i="4"/>
  <c r="AV610" i="4"/>
  <c r="AV611" i="4"/>
  <c r="AV612" i="4"/>
  <c r="AV613" i="4"/>
  <c r="AV614" i="4"/>
  <c r="AV615" i="4"/>
  <c r="AV619" i="4"/>
  <c r="AV620" i="4"/>
  <c r="AV621" i="4"/>
  <c r="AV622" i="4"/>
  <c r="AV623" i="4"/>
  <c r="AV624" i="4"/>
  <c r="AV625" i="4"/>
  <c r="AV626" i="4"/>
  <c r="AV628" i="4"/>
  <c r="AV629" i="4"/>
  <c r="AV630" i="4"/>
  <c r="AV631" i="4"/>
  <c r="AV632" i="4"/>
  <c r="AV633" i="4"/>
  <c r="AV634" i="4"/>
  <c r="AV635" i="4"/>
  <c r="AV636" i="4"/>
  <c r="AV8" i="4"/>
  <c r="AV12" i="4"/>
  <c r="AV13" i="4"/>
  <c r="AV14" i="4"/>
  <c r="AV15" i="4"/>
  <c r="AV16" i="4"/>
  <c r="AV17" i="4"/>
  <c r="AV18" i="4"/>
  <c r="AV19" i="4"/>
  <c r="AV20" i="4"/>
  <c r="AV21" i="4"/>
  <c r="AV22" i="4"/>
  <c r="AV23" i="4"/>
  <c r="AV24" i="4"/>
  <c r="AV25" i="4"/>
  <c r="AV26" i="4"/>
  <c r="AV27" i="4"/>
  <c r="AV80" i="4"/>
  <c r="AV81" i="4"/>
  <c r="AV82" i="4"/>
  <c r="AV83" i="4"/>
  <c r="AV84" i="4"/>
  <c r="AV157" i="4"/>
  <c r="AV169" i="4"/>
  <c r="AV177" i="4"/>
  <c r="AV178" i="4"/>
  <c r="AV179" i="4"/>
  <c r="AV180" i="4"/>
  <c r="AV181" i="4"/>
  <c r="AV185" i="4"/>
  <c r="AV195" i="4"/>
  <c r="AV196" i="4"/>
  <c r="AV197" i="4"/>
  <c r="AV204" i="4"/>
  <c r="AV209" i="4"/>
  <c r="AV213" i="4"/>
  <c r="AV214" i="4"/>
  <c r="AV215" i="4"/>
  <c r="AV219" i="4"/>
  <c r="AV220" i="4"/>
  <c r="AV240" i="4"/>
  <c r="AV241" i="4"/>
  <c r="AV242" i="4"/>
  <c r="AV243" i="4"/>
  <c r="AV244" i="4"/>
  <c r="AV245" i="4"/>
  <c r="AV246" i="4"/>
  <c r="AV247" i="4"/>
  <c r="AV248" i="4"/>
  <c r="AV249" i="4"/>
  <c r="AV250" i="4"/>
  <c r="AV251" i="4"/>
  <c r="AV252" i="4"/>
  <c r="AV253" i="4"/>
  <c r="AV1064" i="4"/>
  <c r="AV1065" i="4"/>
  <c r="AV1066" i="4"/>
  <c r="AV1067" i="4"/>
  <c r="AV1068" i="4"/>
  <c r="AV34" i="4"/>
  <c r="AV40" i="4"/>
  <c r="AV41" i="4"/>
  <c r="AV42" i="4"/>
  <c r="AV48" i="4"/>
  <c r="AV49" i="4"/>
  <c r="AV52" i="4"/>
  <c r="AV53" i="4"/>
  <c r="AV57" i="4"/>
  <c r="AV58" i="4"/>
  <c r="AV59" i="4"/>
  <c r="AV38" i="4"/>
  <c r="AV65" i="4"/>
  <c r="AV66" i="4"/>
  <c r="AV67" i="4"/>
  <c r="AV68" i="4"/>
  <c r="AV69" i="4"/>
  <c r="AV70" i="4"/>
  <c r="AV76" i="4"/>
  <c r="AV77" i="4"/>
  <c r="AV78" i="4"/>
  <c r="AV79" i="4"/>
  <c r="AV230" i="4"/>
  <c r="AV233" i="4"/>
  <c r="AV272" i="4"/>
  <c r="AV277" i="4"/>
  <c r="AV278" i="4"/>
  <c r="AV280" i="4"/>
  <c r="AV282" i="4"/>
  <c r="AV283" i="4"/>
  <c r="AV285" i="4"/>
  <c r="AV286" i="4"/>
  <c r="AV287" i="4"/>
  <c r="AV496" i="4"/>
  <c r="AV497" i="4"/>
  <c r="AV498" i="4"/>
  <c r="AV502" i="4"/>
  <c r="AV512" i="4"/>
  <c r="AV513" i="4"/>
  <c r="AV520" i="4"/>
  <c r="AV524" i="4"/>
  <c r="AV527" i="4"/>
  <c r="AV533" i="4"/>
  <c r="AV534" i="4"/>
  <c r="AV535" i="4"/>
  <c r="AV536" i="4"/>
  <c r="AV537" i="4"/>
  <c r="AV564" i="4"/>
  <c r="AV565" i="4"/>
  <c r="AV566" i="4"/>
  <c r="AV805" i="4"/>
  <c r="AV808" i="4"/>
  <c r="AV812" i="4"/>
  <c r="AV813" i="4"/>
  <c r="AV814" i="4"/>
  <c r="AV816" i="4"/>
  <c r="AV820" i="4"/>
  <c r="AV834" i="4"/>
  <c r="AV852" i="4"/>
  <c r="AV853" i="4"/>
  <c r="AV854" i="4"/>
  <c r="AV855" i="4"/>
  <c r="AV856" i="4"/>
  <c r="AV864" i="4"/>
  <c r="AV867" i="4"/>
  <c r="AV869" i="4"/>
  <c r="AV870" i="4"/>
  <c r="AV872" i="4"/>
  <c r="AV874" i="4"/>
  <c r="AV877" i="4"/>
  <c r="AV892" i="4"/>
  <c r="AV904" i="4"/>
  <c r="AV906" i="4"/>
  <c r="AV907" i="4"/>
  <c r="AV908" i="4"/>
  <c r="AV946" i="4"/>
  <c r="AV947" i="4"/>
  <c r="AV948" i="4"/>
  <c r="AV949" i="4"/>
  <c r="AV950" i="4"/>
  <c r="AV951" i="4"/>
  <c r="AV952" i="4"/>
  <c r="AV377" i="4"/>
  <c r="AV378" i="4"/>
  <c r="AV383" i="4"/>
  <c r="AV389" i="4"/>
  <c r="AV395" i="4"/>
  <c r="AV396" i="4"/>
  <c r="AV397" i="4"/>
  <c r="AV398" i="4"/>
  <c r="AV401" i="4"/>
  <c r="AV402" i="4"/>
  <c r="AV403" i="4"/>
  <c r="AV414" i="4"/>
  <c r="AV415" i="4"/>
  <c r="AV416" i="4"/>
  <c r="AV417" i="4"/>
  <c r="AV433" i="4"/>
  <c r="AV435" i="4"/>
  <c r="AV437" i="4"/>
  <c r="AV444" i="4"/>
  <c r="AV445" i="4"/>
  <c r="AV446" i="4"/>
  <c r="AV447" i="4"/>
  <c r="AV451" i="4"/>
  <c r="AV452" i="4"/>
  <c r="AV453" i="4"/>
  <c r="AV464" i="4"/>
  <c r="AV465" i="4"/>
  <c r="AV469" i="4"/>
  <c r="AV470" i="4"/>
  <c r="AV473" i="4"/>
  <c r="AV475" i="4"/>
  <c r="AV481" i="4"/>
  <c r="AV487" i="4"/>
  <c r="AV488" i="4"/>
  <c r="AV489" i="4"/>
  <c r="AV490" i="4"/>
  <c r="AV916" i="4"/>
  <c r="AV1069" i="4"/>
  <c r="AV1070" i="4"/>
  <c r="AV1071" i="4"/>
  <c r="AV356" i="4"/>
  <c r="AV357" i="4"/>
  <c r="AV358" i="4"/>
  <c r="AV359" i="4"/>
  <c r="AV360" i="4"/>
  <c r="AV361" i="4"/>
  <c r="AV362" i="4"/>
  <c r="AV363" i="4"/>
  <c r="AV364" i="4"/>
  <c r="AV365" i="4"/>
  <c r="AV366" i="4"/>
  <c r="AV367" i="4"/>
  <c r="AV370" i="4"/>
  <c r="AV372" i="4"/>
  <c r="AV373" i="4"/>
  <c r="AV380" i="4"/>
  <c r="AV381" i="4"/>
  <c r="AV384" i="4"/>
  <c r="AV387" i="4"/>
  <c r="AV390" i="4"/>
  <c r="AV392" i="4"/>
  <c r="AV393" i="4"/>
  <c r="AV404" i="4"/>
  <c r="AV405" i="4"/>
  <c r="AV406" i="4"/>
  <c r="AV407" i="4"/>
  <c r="AV408" i="4"/>
  <c r="AV409" i="4"/>
  <c r="AV410" i="4"/>
  <c r="AV411" i="4"/>
  <c r="AV412" i="4"/>
  <c r="AV419" i="4"/>
  <c r="AV420" i="4"/>
  <c r="AV421" i="4"/>
  <c r="AV422" i="4"/>
  <c r="AV432" i="4"/>
  <c r="AV434" i="4"/>
  <c r="AV436" i="4"/>
  <c r="AV449" i="4"/>
  <c r="AV456" i="4"/>
  <c r="AV457" i="4"/>
  <c r="AV454" i="4"/>
  <c r="AV460" i="4"/>
  <c r="AV467" i="4"/>
  <c r="AV471" i="4"/>
  <c r="AV474" i="4"/>
  <c r="AV476" i="4"/>
  <c r="AV491" i="4"/>
  <c r="AV492" i="4"/>
  <c r="AV3" i="4"/>
  <c r="AV4" i="4"/>
  <c r="AV5" i="4"/>
  <c r="AV6" i="4"/>
  <c r="AV7" i="4"/>
  <c r="AV36" i="4"/>
  <c r="AV37" i="4"/>
  <c r="AV39" i="4"/>
  <c r="AV44" i="4"/>
  <c r="AV45" i="4"/>
  <c r="AV46" i="4"/>
  <c r="AV50" i="4"/>
  <c r="AV51" i="4"/>
  <c r="AV55" i="4"/>
  <c r="AV56" i="4"/>
  <c r="AV60" i="4"/>
  <c r="AV61" i="4"/>
  <c r="AV62" i="4"/>
  <c r="AV63" i="4"/>
  <c r="AV64" i="4"/>
  <c r="AV71" i="4"/>
  <c r="AV72" i="4"/>
  <c r="AV73" i="4"/>
  <c r="AV74"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8" i="4"/>
  <c r="AV187" i="4"/>
  <c r="AV188" i="4"/>
  <c r="AV189" i="4"/>
  <c r="AV190" i="4"/>
  <c r="AV191" i="4"/>
  <c r="AV192" i="4"/>
  <c r="AV193" i="4"/>
  <c r="AV194" i="4"/>
  <c r="AV199" i="4"/>
  <c r="AV200" i="4"/>
  <c r="AV205" i="4"/>
  <c r="AV208" i="4"/>
  <c r="AV211" i="4"/>
  <c r="AV222" i="4"/>
  <c r="AV223" i="4"/>
  <c r="AV224" i="4"/>
  <c r="AV225" i="4"/>
  <c r="AV226" i="4"/>
  <c r="AV235" i="4"/>
  <c r="AV236" i="4"/>
  <c r="AV237" i="4"/>
  <c r="AV238" i="4"/>
  <c r="AV258" i="4"/>
  <c r="AV260" i="4"/>
  <c r="AV261" i="4"/>
  <c r="AV262" i="4"/>
  <c r="AV263" i="4"/>
  <c r="AV264" i="4"/>
  <c r="AV265" i="4"/>
  <c r="AV266" i="4"/>
  <c r="AV269" i="4"/>
  <c r="AV270" i="4"/>
  <c r="AV274" i="4"/>
  <c r="AV275" i="4"/>
  <c r="AV289" i="4"/>
  <c r="AV290" i="4"/>
  <c r="AV294" i="4"/>
  <c r="AV295" i="4"/>
  <c r="AV296" i="4"/>
  <c r="AV494" i="4"/>
  <c r="AV495" i="4"/>
  <c r="AV500" i="4"/>
  <c r="AV503" i="4"/>
  <c r="AV504" i="4"/>
  <c r="AV506" i="4"/>
  <c r="AV509" i="4"/>
  <c r="AV510" i="4"/>
  <c r="AV514" i="4"/>
  <c r="AV515" i="4"/>
  <c r="AV518" i="4"/>
  <c r="AV519" i="4"/>
  <c r="AV521" i="4"/>
  <c r="AV522" i="4"/>
  <c r="AV523" i="4"/>
  <c r="AV526" i="4"/>
  <c r="AV528" i="4"/>
  <c r="AV529" i="4"/>
  <c r="AV530" i="4"/>
  <c r="AV531" i="4"/>
  <c r="AV532" i="4"/>
  <c r="AV539" i="4"/>
  <c r="AV540" i="4"/>
  <c r="AV541" i="4"/>
  <c r="AV542" i="4"/>
  <c r="AV543" i="4"/>
  <c r="AV544" i="4"/>
  <c r="AV545" i="4"/>
  <c r="AV558" i="4"/>
  <c r="AV559" i="4"/>
  <c r="AV561" i="4"/>
  <c r="AV562" i="4"/>
  <c r="AV569" i="4"/>
  <c r="AV570" i="4"/>
  <c r="AV573" i="4"/>
  <c r="AV575" i="4"/>
  <c r="AV576" i="4"/>
  <c r="AV578" i="4"/>
  <c r="AV579" i="4"/>
  <c r="AV580" i="4"/>
  <c r="AV582" i="4"/>
  <c r="AV594" i="4"/>
  <c r="AV600" i="4"/>
  <c r="AV644" i="4"/>
  <c r="AV645" i="4"/>
  <c r="AV646" i="4"/>
  <c r="AV647" i="4"/>
  <c r="AV653" i="4"/>
  <c r="AV654" i="4"/>
  <c r="AV655" i="4"/>
  <c r="AV656" i="4"/>
  <c r="AV661" i="4"/>
  <c r="AV662" i="4"/>
  <c r="AV663" i="4"/>
  <c r="AV664" i="4"/>
  <c r="AV665" i="4"/>
  <c r="AV671" i="4"/>
  <c r="AV672" i="4"/>
  <c r="AV673" i="4"/>
  <c r="AV674" i="4"/>
  <c r="AV677" i="4"/>
  <c r="AV678" i="4"/>
  <c r="AV680" i="4"/>
  <c r="AV687" i="4"/>
  <c r="AV690" i="4"/>
  <c r="AV694" i="4"/>
  <c r="AV695" i="4"/>
  <c r="AV696" i="4"/>
  <c r="AV700" i="4"/>
  <c r="AV701" i="4"/>
  <c r="AV702" i="4"/>
  <c r="AV703" i="4"/>
  <c r="AV704" i="4"/>
  <c r="AV705" i="4"/>
  <c r="AV706" i="4"/>
  <c r="AV707" i="4"/>
  <c r="AV708" i="4"/>
  <c r="AV711" i="4"/>
  <c r="AV712" i="4"/>
  <c r="AV713" i="4"/>
  <c r="AV748" i="4"/>
  <c r="AV750" i="4"/>
  <c r="AV752" i="4"/>
  <c r="AV763" i="4"/>
  <c r="AV765" i="4"/>
  <c r="AV769" i="4"/>
  <c r="AV770" i="4"/>
  <c r="AV771" i="4"/>
  <c r="AV772" i="4"/>
  <c r="AV773" i="4"/>
  <c r="AV774" i="4"/>
  <c r="AV775" i="4"/>
  <c r="AV776" i="4"/>
  <c r="AV777" i="4"/>
  <c r="AV778" i="4"/>
  <c r="AV779" i="4"/>
  <c r="AV780" i="4"/>
  <c r="AV781" i="4"/>
  <c r="AV782" i="4"/>
  <c r="AV783" i="4"/>
  <c r="AV784" i="4"/>
  <c r="AV785" i="4"/>
  <c r="AV792" i="4"/>
  <c r="AV793" i="4"/>
  <c r="AV794" i="4"/>
  <c r="AV795" i="4"/>
  <c r="AV796" i="4"/>
  <c r="AV797" i="4"/>
  <c r="AV818" i="4"/>
  <c r="AV825" i="4"/>
  <c r="AV828" i="4"/>
  <c r="AV829" i="4"/>
  <c r="AV830" i="4"/>
  <c r="AV831" i="4"/>
  <c r="AV832" i="4"/>
  <c r="AV833" i="4"/>
  <c r="AV863" i="4"/>
  <c r="AV865" i="4"/>
  <c r="AV866" i="4"/>
  <c r="AV868" i="4"/>
  <c r="AV871" i="4"/>
  <c r="AV873" i="4"/>
  <c r="AV875" i="4"/>
  <c r="AV876" i="4"/>
  <c r="AV879" i="4"/>
  <c r="AV881" i="4"/>
  <c r="AV882" i="4"/>
  <c r="AV883" i="4"/>
  <c r="AV884" i="4"/>
  <c r="AV896" i="4"/>
  <c r="AV913" i="4"/>
  <c r="AV914" i="4"/>
  <c r="AV915" i="4"/>
  <c r="AV1063" i="4"/>
  <c r="G908" i="19"/>
  <c r="AV898" i="4"/>
  <c r="AV909" i="4"/>
  <c r="AV918" i="4"/>
  <c r="AV919" i="4"/>
  <c r="AV920" i="4"/>
  <c r="AV921" i="4"/>
  <c r="AV922" i="4"/>
  <c r="AV923" i="4"/>
  <c r="AV924" i="4"/>
  <c r="AV925" i="4"/>
  <c r="AV926" i="4"/>
  <c r="AV927" i="4"/>
  <c r="AV928" i="4"/>
  <c r="AV929" i="4"/>
  <c r="AV930" i="4"/>
  <c r="AV931" i="4"/>
  <c r="AV932" i="4"/>
  <c r="AV933" i="4"/>
  <c r="AV934" i="4"/>
  <c r="AV935" i="4"/>
  <c r="AV936" i="4"/>
  <c r="AV937" i="4"/>
  <c r="AV938" i="4"/>
  <c r="AV939" i="4"/>
  <c r="AV940" i="4"/>
  <c r="AV941" i="4"/>
  <c r="AV942" i="4"/>
  <c r="AV943" i="4"/>
  <c r="AV944" i="4"/>
  <c r="AV981" i="4"/>
  <c r="AV985" i="4"/>
  <c r="AV988" i="4"/>
  <c r="AV990" i="4"/>
  <c r="AV991" i="4"/>
  <c r="AV997" i="4"/>
  <c r="AV1005" i="4"/>
  <c r="AV1006" i="4"/>
  <c r="AV1007" i="4"/>
  <c r="AV1008" i="4"/>
  <c r="AV1010" i="4"/>
  <c r="AV1011" i="4"/>
  <c r="AV1052" i="4"/>
  <c r="AV1055" i="4"/>
  <c r="AV1056" i="4"/>
  <c r="AV1057" i="4"/>
  <c r="AV1058" i="4"/>
  <c r="AV1059" i="4"/>
  <c r="AV1060" i="4"/>
  <c r="AV1061" i="4"/>
  <c r="AV1072" i="4"/>
  <c r="Q229" i="23"/>
  <c r="G518" i="19"/>
  <c r="G519" i="19"/>
  <c r="G520" i="19"/>
  <c r="G521" i="19"/>
  <c r="G522" i="19"/>
  <c r="G523" i="19"/>
  <c r="G524" i="19"/>
  <c r="G525" i="19"/>
  <c r="G526" i="19"/>
  <c r="G527" i="19"/>
  <c r="G528" i="19"/>
  <c r="G636" i="19"/>
  <c r="G735" i="19"/>
  <c r="G898" i="19"/>
  <c r="G900" i="19"/>
  <c r="G902" i="19"/>
  <c r="G904" i="19"/>
  <c r="AV207" i="4"/>
  <c r="AV216" i="4"/>
  <c r="AV221" i="4"/>
  <c r="AV577" i="4"/>
  <c r="AV581" i="4"/>
  <c r="AV590" i="4"/>
  <c r="AV560" i="4"/>
  <c r="AV563" i="4"/>
  <c r="AV568" i="4"/>
  <c r="AV601" i="4"/>
  <c r="AV605" i="4"/>
  <c r="AV609" i="4"/>
  <c r="J92" i="5"/>
  <c r="L92" i="5"/>
  <c r="I92" i="5"/>
  <c r="K92" i="5"/>
  <c r="L93" i="5"/>
  <c r="M93" i="5"/>
  <c r="I93" i="5"/>
  <c r="K93" i="5"/>
  <c r="I94" i="5"/>
  <c r="K94" i="5"/>
  <c r="M94" i="5"/>
  <c r="I95" i="5"/>
  <c r="K95" i="5"/>
  <c r="M95" i="5"/>
  <c r="I96" i="5"/>
  <c r="K96" i="5"/>
  <c r="M96" i="5"/>
  <c r="I97" i="5"/>
  <c r="K97" i="5"/>
  <c r="M97" i="5"/>
  <c r="I98" i="5"/>
  <c r="K98" i="5"/>
  <c r="M98" i="5"/>
  <c r="I99" i="5"/>
  <c r="K99" i="5"/>
  <c r="M99" i="5"/>
  <c r="I100" i="5"/>
  <c r="K100" i="5"/>
  <c r="M100" i="5"/>
  <c r="I101" i="5"/>
  <c r="K101" i="5"/>
  <c r="M101" i="5"/>
  <c r="I102" i="5"/>
  <c r="K102" i="5"/>
  <c r="M102" i="5"/>
  <c r="I103" i="5"/>
  <c r="K103" i="5"/>
  <c r="M103" i="5"/>
  <c r="J211" i="5"/>
  <c r="L211" i="5"/>
  <c r="I310" i="5"/>
  <c r="K310" i="5"/>
  <c r="M310" i="5"/>
  <c r="J161" i="6"/>
  <c r="L161" i="6"/>
  <c r="J162" i="6"/>
  <c r="L162" i="6"/>
  <c r="I163" i="6"/>
  <c r="K163" i="6"/>
  <c r="M163" i="6"/>
  <c r="J164" i="6"/>
  <c r="L164" i="6"/>
  <c r="J165" i="6"/>
  <c r="L165" i="6"/>
  <c r="J166" i="6"/>
  <c r="L166" i="6"/>
  <c r="J167" i="6"/>
  <c r="L167" i="6"/>
  <c r="I171" i="6"/>
  <c r="K171" i="6"/>
  <c r="M171" i="6"/>
  <c r="C378" i="19"/>
  <c r="E378" i="19"/>
  <c r="G378" i="19"/>
  <c r="I378" i="19"/>
  <c r="K378" i="19"/>
  <c r="M378" i="19"/>
  <c r="O378" i="19"/>
  <c r="Q378" i="19"/>
  <c r="J94" i="5"/>
  <c r="J95" i="5"/>
  <c r="J96" i="5"/>
  <c r="J97" i="5"/>
  <c r="J98" i="5"/>
  <c r="J99" i="5"/>
  <c r="J100" i="5"/>
  <c r="J101" i="5"/>
  <c r="J102" i="5"/>
  <c r="J103" i="5"/>
  <c r="I211" i="5"/>
  <c r="K211" i="5"/>
  <c r="J310" i="5"/>
  <c r="I161" i="6"/>
  <c r="K161" i="6"/>
  <c r="I162" i="6"/>
  <c r="K162" i="6"/>
  <c r="J163" i="6"/>
  <c r="I164" i="6"/>
  <c r="K164" i="6"/>
  <c r="I165" i="6"/>
  <c r="K165" i="6"/>
  <c r="I166" i="6"/>
  <c r="K166" i="6"/>
  <c r="I167" i="6"/>
  <c r="K167" i="6"/>
  <c r="J171" i="6"/>
  <c r="B378" i="19"/>
  <c r="D378" i="19"/>
  <c r="F378" i="19"/>
  <c r="H378" i="19"/>
  <c r="J378" i="19"/>
  <c r="L378" i="19"/>
  <c r="N378" i="19"/>
  <c r="P378" i="19"/>
  <c r="D14" i="19"/>
  <c r="N14" i="17" s="1"/>
  <c r="B5" i="19"/>
  <c r="B6" i="19"/>
  <c r="B7" i="19"/>
  <c r="B8" i="19"/>
  <c r="B9" i="19"/>
  <c r="B10" i="19"/>
  <c r="B11" i="19"/>
  <c r="B12" i="19"/>
  <c r="B13" i="19"/>
  <c r="C5" i="19"/>
  <c r="C6" i="19"/>
  <c r="C7" i="19"/>
  <c r="C8" i="19"/>
  <c r="C9" i="19"/>
  <c r="C10" i="19"/>
  <c r="C11" i="19"/>
  <c r="C12" i="19"/>
  <c r="C13" i="19"/>
  <c r="B88" i="2" l="1"/>
  <c r="T88" i="2" s="1"/>
  <c r="B2" i="2"/>
  <c r="T2" i="2" s="1"/>
  <c r="B192" i="2"/>
  <c r="T192" i="2" s="1"/>
  <c r="B203" i="5"/>
  <c r="P203" i="5" s="1"/>
  <c r="X4" i="27"/>
  <c r="AM1030" i="4"/>
  <c r="AV699" i="4"/>
  <c r="AI804" i="4"/>
  <c r="AV804" i="4" s="1"/>
  <c r="AU953" i="4"/>
  <c r="AU954" i="4"/>
  <c r="A50" i="12"/>
  <c r="I50" i="12" s="1"/>
  <c r="A26" i="12"/>
  <c r="I26" i="12" s="1"/>
  <c r="A4" i="12"/>
  <c r="I4" i="12" s="1"/>
  <c r="AE554" i="4"/>
  <c r="A48" i="12"/>
  <c r="I48" i="12" s="1"/>
  <c r="A24" i="12"/>
  <c r="I24" i="12" s="1"/>
  <c r="A2" i="12"/>
  <c r="I2" i="12" s="1"/>
  <c r="AU301" i="4"/>
  <c r="A66" i="12"/>
  <c r="I66" i="12" s="1"/>
  <c r="A42" i="12"/>
  <c r="I42" i="12" s="1"/>
  <c r="A21" i="12"/>
  <c r="I21" i="12" s="1"/>
  <c r="A64" i="12"/>
  <c r="I64" i="12" s="1"/>
  <c r="A40" i="12"/>
  <c r="I40" i="12" s="1"/>
  <c r="A19" i="12"/>
  <c r="I19" i="12" s="1"/>
  <c r="A55" i="12"/>
  <c r="I55" i="12" s="1"/>
  <c r="A58" i="12"/>
  <c r="I58" i="12" s="1"/>
  <c r="A38" i="12"/>
  <c r="I38" i="12" s="1"/>
  <c r="A16" i="12"/>
  <c r="I16" i="12" s="1"/>
  <c r="A67" i="12"/>
  <c r="I67" i="12" s="1"/>
  <c r="A56" i="12"/>
  <c r="I56" i="12" s="1"/>
  <c r="A36" i="12"/>
  <c r="I36" i="12" s="1"/>
  <c r="A14" i="12"/>
  <c r="I14" i="12" s="1"/>
  <c r="AE574" i="4"/>
  <c r="AV574" i="4" s="1"/>
  <c r="AV1054" i="4"/>
  <c r="AI551" i="4"/>
  <c r="AE1050" i="4"/>
  <c r="AV1050" i="4" s="1"/>
  <c r="A69" i="12"/>
  <c r="I69" i="12" s="1"/>
  <c r="A45" i="12"/>
  <c r="I45" i="12" s="1"/>
  <c r="A29" i="12"/>
  <c r="I29" i="12" s="1"/>
  <c r="A11" i="12"/>
  <c r="I11" i="12" s="1"/>
  <c r="A39" i="12"/>
  <c r="I39" i="12" s="1"/>
  <c r="A65" i="12"/>
  <c r="I65" i="12" s="1"/>
  <c r="A43" i="12"/>
  <c r="I43" i="12" s="1"/>
  <c r="A27" i="12"/>
  <c r="I27" i="12" s="1"/>
  <c r="A9" i="12"/>
  <c r="I9" i="12" s="1"/>
  <c r="B159" i="5"/>
  <c r="P159" i="5" s="1"/>
  <c r="B155" i="5"/>
  <c r="P155" i="5" s="1"/>
  <c r="A61" i="12"/>
  <c r="I61" i="12" s="1"/>
  <c r="A41" i="12"/>
  <c r="I41" i="12" s="1"/>
  <c r="A25" i="12"/>
  <c r="I25" i="12" s="1"/>
  <c r="A7" i="12"/>
  <c r="I7" i="12" s="1"/>
  <c r="A5" i="12"/>
  <c r="I5" i="12" s="1"/>
  <c r="A53" i="12"/>
  <c r="I53" i="12" s="1"/>
  <c r="A37" i="12"/>
  <c r="I37" i="12" s="1"/>
  <c r="A20" i="12"/>
  <c r="I20" i="12" s="1"/>
  <c r="A3" i="12"/>
  <c r="I3" i="12" s="1"/>
  <c r="B156" i="5"/>
  <c r="P156" i="5" s="1"/>
  <c r="A51" i="12"/>
  <c r="I51" i="12" s="1"/>
  <c r="A35" i="12"/>
  <c r="I35" i="12" s="1"/>
  <c r="A17" i="12"/>
  <c r="I17" i="12" s="1"/>
  <c r="B157" i="5"/>
  <c r="P157" i="5" s="1"/>
  <c r="B153" i="5"/>
  <c r="P153" i="5" s="1"/>
  <c r="A22" i="12"/>
  <c r="I22" i="12" s="1"/>
  <c r="A49" i="12"/>
  <c r="I49" i="12" s="1"/>
  <c r="A33" i="12"/>
  <c r="I33" i="12" s="1"/>
  <c r="A15" i="12"/>
  <c r="I15" i="12" s="1"/>
  <c r="A57" i="12"/>
  <c r="I57" i="12" s="1"/>
  <c r="A47" i="12"/>
  <c r="I47" i="12" s="1"/>
  <c r="A31" i="12"/>
  <c r="I31" i="12" s="1"/>
  <c r="A13" i="12"/>
  <c r="I13" i="12" s="1"/>
  <c r="B158" i="5"/>
  <c r="P158" i="5" s="1"/>
  <c r="B154" i="5"/>
  <c r="P154" i="5" s="1"/>
  <c r="A62" i="12"/>
  <c r="I62" i="12" s="1"/>
  <c r="A46" i="12"/>
  <c r="I46" i="12" s="1"/>
  <c r="A30" i="12"/>
  <c r="I30" i="12" s="1"/>
  <c r="A12" i="12"/>
  <c r="I12" i="12" s="1"/>
  <c r="A59" i="12"/>
  <c r="I59" i="12" s="1"/>
  <c r="AU9" i="4"/>
  <c r="A60" i="12"/>
  <c r="I60" i="12" s="1"/>
  <c r="A44" i="12"/>
  <c r="I44" i="12" s="1"/>
  <c r="A28" i="12"/>
  <c r="I28" i="12" s="1"/>
  <c r="A10" i="12"/>
  <c r="I10" i="12" s="1"/>
  <c r="A63" i="12"/>
  <c r="I63" i="12" s="1"/>
  <c r="AU292" i="4"/>
  <c r="AU1039" i="4"/>
  <c r="AV1039" i="4" s="1"/>
  <c r="D195" i="5"/>
  <c r="D147" i="5"/>
  <c r="D143" i="5"/>
  <c r="D196" i="5"/>
  <c r="D192" i="5"/>
  <c r="D148" i="5"/>
  <c r="D144" i="5"/>
  <c r="D193" i="5"/>
  <c r="D145" i="5"/>
  <c r="D222" i="5"/>
  <c r="D194" i="5"/>
  <c r="D146" i="5"/>
  <c r="AM167" i="4"/>
  <c r="AV167" i="4" s="1"/>
  <c r="AE354" i="4"/>
  <c r="AE617" i="4"/>
  <c r="AO33" i="17"/>
  <c r="AP33" i="17" s="1"/>
  <c r="AQ33" i="17" s="1"/>
  <c r="X33" i="17" s="1"/>
  <c r="AE811" i="4"/>
  <c r="AI862" i="4"/>
  <c r="AE217" i="4"/>
  <c r="AV217" i="4" s="1"/>
  <c r="AE801" i="4"/>
  <c r="AM183" i="4"/>
  <c r="AL32" i="17"/>
  <c r="AM32" i="17" s="1"/>
  <c r="U32" i="17"/>
  <c r="AE959" i="4"/>
  <c r="AV477" i="4"/>
  <c r="AS51" i="17"/>
  <c r="AS344" i="4"/>
  <c r="AS345" i="4"/>
  <c r="AS643" i="4"/>
  <c r="AS642" i="4"/>
  <c r="B221" i="2"/>
  <c r="T221" i="2" s="1"/>
  <c r="B128" i="2"/>
  <c r="T128" i="2" s="1"/>
  <c r="AS50" i="17"/>
  <c r="AS508" i="4"/>
  <c r="AS53" i="17"/>
  <c r="B208" i="5"/>
  <c r="P208" i="5" s="1"/>
  <c r="B225" i="2"/>
  <c r="T225" i="2" s="1"/>
  <c r="B222" i="2"/>
  <c r="T222" i="2" s="1"/>
  <c r="B213" i="2"/>
  <c r="T213" i="2" s="1"/>
  <c r="B199" i="2"/>
  <c r="T199" i="2" s="1"/>
  <c r="B178" i="2"/>
  <c r="T178" i="2" s="1"/>
  <c r="B172" i="2"/>
  <c r="T172" i="2" s="1"/>
  <c r="B157" i="2"/>
  <c r="T157" i="2" s="1"/>
  <c r="B154" i="2"/>
  <c r="T154" i="2" s="1"/>
  <c r="B151" i="2"/>
  <c r="T151" i="2" s="1"/>
  <c r="B139" i="2"/>
  <c r="T139" i="2" s="1"/>
  <c r="B131" i="2"/>
  <c r="T131" i="2" s="1"/>
  <c r="B121" i="2"/>
  <c r="T121" i="2" s="1"/>
  <c r="B107" i="2"/>
  <c r="T107" i="2" s="1"/>
  <c r="B95" i="2"/>
  <c r="T95" i="2" s="1"/>
  <c r="B83" i="2"/>
  <c r="T83" i="2" s="1"/>
  <c r="B80" i="2"/>
  <c r="T80" i="2" s="1"/>
  <c r="B77" i="2"/>
  <c r="T77" i="2" s="1"/>
  <c r="B66" i="2"/>
  <c r="T66" i="2" s="1"/>
  <c r="B57" i="2"/>
  <c r="T57" i="2" s="1"/>
  <c r="B49" i="2"/>
  <c r="T49" i="2" s="1"/>
  <c r="B41" i="2"/>
  <c r="T41" i="2" s="1"/>
  <c r="B22" i="2"/>
  <c r="T22" i="2" s="1"/>
  <c r="B7" i="2"/>
  <c r="T7" i="2" s="1"/>
  <c r="B4" i="2"/>
  <c r="T4" i="2" s="1"/>
  <c r="B194" i="2"/>
  <c r="T194" i="2" s="1"/>
  <c r="B134" i="2"/>
  <c r="T134" i="2" s="1"/>
  <c r="B69" i="2"/>
  <c r="T69" i="2" s="1"/>
  <c r="B44" i="2"/>
  <c r="T44" i="2" s="1"/>
  <c r="B239" i="2"/>
  <c r="T239" i="2" s="1"/>
  <c r="B236" i="2"/>
  <c r="T236" i="2" s="1"/>
  <c r="B228" i="2"/>
  <c r="T228" i="2" s="1"/>
  <c r="B218" i="2"/>
  <c r="T218" i="2" s="1"/>
  <c r="B210" i="2"/>
  <c r="T210" i="2" s="1"/>
  <c r="B207" i="2"/>
  <c r="T207" i="2" s="1"/>
  <c r="B196" i="2"/>
  <c r="T196" i="2" s="1"/>
  <c r="B193" i="2"/>
  <c r="T193" i="2" s="1"/>
  <c r="B189" i="2"/>
  <c r="T189" i="2" s="1"/>
  <c r="B186" i="2"/>
  <c r="T186" i="2" s="1"/>
  <c r="B183" i="2"/>
  <c r="T183" i="2" s="1"/>
  <c r="B175" i="2"/>
  <c r="T175" i="2" s="1"/>
  <c r="B169" i="2"/>
  <c r="T169" i="2" s="1"/>
  <c r="B166" i="2"/>
  <c r="T166" i="2" s="1"/>
  <c r="B163" i="2"/>
  <c r="T163" i="2" s="1"/>
  <c r="B148" i="2"/>
  <c r="T148" i="2" s="1"/>
  <c r="B145" i="2"/>
  <c r="T145" i="2" s="1"/>
  <c r="B142" i="2"/>
  <c r="T142" i="2" s="1"/>
  <c r="B136" i="2"/>
  <c r="T136" i="2" s="1"/>
  <c r="B127" i="2"/>
  <c r="T127" i="2" s="1"/>
  <c r="B124" i="2"/>
  <c r="T124" i="2" s="1"/>
  <c r="B118" i="2"/>
  <c r="T118" i="2" s="1"/>
  <c r="B115" i="2"/>
  <c r="T115" i="2" s="1"/>
  <c r="B103" i="2"/>
  <c r="T103" i="2" s="1"/>
  <c r="B100" i="2"/>
  <c r="T100" i="2" s="1"/>
  <c r="B92" i="2"/>
  <c r="T92" i="2" s="1"/>
  <c r="B74" i="2"/>
  <c r="T74" i="2" s="1"/>
  <c r="B71" i="2"/>
  <c r="T71" i="2" s="1"/>
  <c r="B63" i="2"/>
  <c r="T63" i="2" s="1"/>
  <c r="B54" i="2"/>
  <c r="T54" i="2" s="1"/>
  <c r="B46" i="2"/>
  <c r="T46" i="2" s="1"/>
  <c r="B38" i="2"/>
  <c r="T38" i="2" s="1"/>
  <c r="B16" i="2"/>
  <c r="T16" i="2" s="1"/>
  <c r="B12" i="2"/>
  <c r="T12" i="2" s="1"/>
  <c r="B205" i="2"/>
  <c r="T205" i="2" s="1"/>
  <c r="B146" i="2"/>
  <c r="T146" i="2" s="1"/>
  <c r="B110" i="2"/>
  <c r="T110" i="2" s="1"/>
  <c r="B60" i="2"/>
  <c r="T60" i="2" s="1"/>
  <c r="B215" i="2"/>
  <c r="T215" i="2" s="1"/>
  <c r="B204" i="2"/>
  <c r="T204" i="2" s="1"/>
  <c r="B180" i="2"/>
  <c r="T180" i="2" s="1"/>
  <c r="B160" i="2"/>
  <c r="T160" i="2" s="1"/>
  <c r="B153" i="2"/>
  <c r="T153" i="2" s="1"/>
  <c r="B133" i="2"/>
  <c r="T133" i="2" s="1"/>
  <c r="B112" i="2"/>
  <c r="T112" i="2" s="1"/>
  <c r="B109" i="2"/>
  <c r="T109" i="2" s="1"/>
  <c r="B97" i="2"/>
  <c r="T97" i="2" s="1"/>
  <c r="B89" i="2"/>
  <c r="T89" i="2" s="1"/>
  <c r="B82" i="2"/>
  <c r="T82" i="2" s="1"/>
  <c r="B68" i="2"/>
  <c r="T68" i="2" s="1"/>
  <c r="B59" i="2"/>
  <c r="T59" i="2" s="1"/>
  <c r="B51" i="2"/>
  <c r="T51" i="2" s="1"/>
  <c r="B43" i="2"/>
  <c r="T43" i="2" s="1"/>
  <c r="B35" i="2"/>
  <c r="T35" i="2" s="1"/>
  <c r="B30" i="2"/>
  <c r="T30" i="2" s="1"/>
  <c r="B27" i="2"/>
  <c r="T27" i="2" s="1"/>
  <c r="B9" i="2"/>
  <c r="T9" i="2" s="1"/>
  <c r="B6" i="2"/>
  <c r="T6" i="2" s="1"/>
  <c r="B190" i="2"/>
  <c r="T190" i="2" s="1"/>
  <c r="B164" i="2"/>
  <c r="T164" i="2" s="1"/>
  <c r="B116" i="2"/>
  <c r="T116" i="2" s="1"/>
  <c r="B36" i="2"/>
  <c r="T36" i="2" s="1"/>
  <c r="B241" i="2"/>
  <c r="T241" i="2" s="1"/>
  <c r="B230" i="2"/>
  <c r="T230" i="2" s="1"/>
  <c r="B227" i="2"/>
  <c r="T227" i="2" s="1"/>
  <c r="B224" i="2"/>
  <c r="T224" i="2" s="1"/>
  <c r="B220" i="2"/>
  <c r="T220" i="2" s="1"/>
  <c r="B212" i="2"/>
  <c r="T212" i="2" s="1"/>
  <c r="B198" i="2"/>
  <c r="T198" i="2" s="1"/>
  <c r="B188" i="2"/>
  <c r="T188" i="2" s="1"/>
  <c r="B177" i="2"/>
  <c r="T177" i="2" s="1"/>
  <c r="B174" i="2"/>
  <c r="T174" i="2" s="1"/>
  <c r="B171" i="2"/>
  <c r="T171" i="2" s="1"/>
  <c r="B156" i="2"/>
  <c r="T156" i="2" s="1"/>
  <c r="B150" i="2"/>
  <c r="T150" i="2" s="1"/>
  <c r="B144" i="2"/>
  <c r="T144" i="2" s="1"/>
  <c r="B141" i="2"/>
  <c r="T141" i="2" s="1"/>
  <c r="B138" i="2"/>
  <c r="T138" i="2" s="1"/>
  <c r="B123" i="2"/>
  <c r="T123" i="2" s="1"/>
  <c r="B120" i="2"/>
  <c r="T120" i="2" s="1"/>
  <c r="B106" i="2"/>
  <c r="T106" i="2" s="1"/>
  <c r="B102" i="2"/>
  <c r="T102" i="2" s="1"/>
  <c r="B94" i="2"/>
  <c r="T94" i="2" s="1"/>
  <c r="B79" i="2"/>
  <c r="T79" i="2" s="1"/>
  <c r="B76" i="2"/>
  <c r="T76" i="2" s="1"/>
  <c r="B65" i="2"/>
  <c r="T65" i="2" s="1"/>
  <c r="B56" i="2"/>
  <c r="T56" i="2" s="1"/>
  <c r="B48" i="2"/>
  <c r="T48" i="2" s="1"/>
  <c r="B40" i="2"/>
  <c r="T40" i="2" s="1"/>
  <c r="B24" i="2"/>
  <c r="T24" i="2" s="1"/>
  <c r="B21" i="2"/>
  <c r="T21" i="2" s="1"/>
  <c r="B3" i="2"/>
  <c r="T3" i="2" s="1"/>
  <c r="B216" i="2"/>
  <c r="T216" i="2" s="1"/>
  <c r="B181" i="2"/>
  <c r="T181" i="2" s="1"/>
  <c r="B90" i="2"/>
  <c r="T90" i="2" s="1"/>
  <c r="B52" i="2"/>
  <c r="T52" i="2" s="1"/>
  <c r="B10" i="2"/>
  <c r="T10" i="2" s="1"/>
  <c r="B238" i="2"/>
  <c r="T238" i="2" s="1"/>
  <c r="B217" i="2"/>
  <c r="T217" i="2" s="1"/>
  <c r="B209" i="2"/>
  <c r="T209" i="2" s="1"/>
  <c r="B206" i="2"/>
  <c r="T206" i="2" s="1"/>
  <c r="B195" i="2"/>
  <c r="T195" i="2" s="1"/>
  <c r="B191" i="2"/>
  <c r="T191" i="2" s="1"/>
  <c r="B185" i="2"/>
  <c r="T185" i="2" s="1"/>
  <c r="B182" i="2"/>
  <c r="T182" i="2" s="1"/>
  <c r="B168" i="2"/>
  <c r="T168" i="2" s="1"/>
  <c r="B165" i="2"/>
  <c r="T165" i="2" s="1"/>
  <c r="B162" i="2"/>
  <c r="T162" i="2" s="1"/>
  <c r="B147" i="2"/>
  <c r="T147" i="2" s="1"/>
  <c r="B135" i="2"/>
  <c r="T135" i="2" s="1"/>
  <c r="B126" i="2"/>
  <c r="T126" i="2" s="1"/>
  <c r="B117" i="2"/>
  <c r="T117" i="2" s="1"/>
  <c r="B114" i="2"/>
  <c r="T114" i="2" s="1"/>
  <c r="B99" i="2"/>
  <c r="T99" i="2" s="1"/>
  <c r="B91" i="2"/>
  <c r="T91" i="2" s="1"/>
  <c r="B73" i="2"/>
  <c r="T73" i="2" s="1"/>
  <c r="B70" i="2"/>
  <c r="T70" i="2" s="1"/>
  <c r="B62" i="2"/>
  <c r="T62" i="2" s="1"/>
  <c r="B53" i="2"/>
  <c r="T53" i="2" s="1"/>
  <c r="B45" i="2"/>
  <c r="T45" i="2" s="1"/>
  <c r="B37" i="2"/>
  <c r="T37" i="2" s="1"/>
  <c r="B34" i="2"/>
  <c r="T34" i="2" s="1"/>
  <c r="B14" i="2"/>
  <c r="T14" i="2" s="1"/>
  <c r="B11" i="2"/>
  <c r="T11" i="2" s="1"/>
  <c r="B202" i="2"/>
  <c r="T202" i="2" s="1"/>
  <c r="B125" i="2"/>
  <c r="T125" i="2" s="1"/>
  <c r="B98" i="2"/>
  <c r="T98" i="2" s="1"/>
  <c r="B28" i="2"/>
  <c r="T28" i="2" s="1"/>
  <c r="B223" i="2"/>
  <c r="T223" i="2" s="1"/>
  <c r="B214" i="2"/>
  <c r="T214" i="2" s="1"/>
  <c r="B203" i="2"/>
  <c r="T203" i="2" s="1"/>
  <c r="B200" i="2"/>
  <c r="T200" i="2" s="1"/>
  <c r="B179" i="2"/>
  <c r="T179" i="2" s="1"/>
  <c r="B155" i="2"/>
  <c r="T155" i="2" s="1"/>
  <c r="B152" i="2"/>
  <c r="T152" i="2" s="1"/>
  <c r="B140" i="2"/>
  <c r="T140" i="2" s="1"/>
  <c r="B132" i="2"/>
  <c r="T132" i="2" s="1"/>
  <c r="B122" i="2"/>
  <c r="T122" i="2" s="1"/>
  <c r="B111" i="2"/>
  <c r="T111" i="2" s="1"/>
  <c r="B108" i="2"/>
  <c r="T108" i="2" s="1"/>
  <c r="B96" i="2"/>
  <c r="T96" i="2" s="1"/>
  <c r="B84" i="2"/>
  <c r="T84" i="2" s="1"/>
  <c r="B81" i="2"/>
  <c r="T81" i="2" s="1"/>
  <c r="B78" i="2"/>
  <c r="T78" i="2" s="1"/>
  <c r="B67" i="2"/>
  <c r="T67" i="2" s="1"/>
  <c r="B58" i="2"/>
  <c r="T58" i="2" s="1"/>
  <c r="B50" i="2"/>
  <c r="T50" i="2" s="1"/>
  <c r="B42" i="2"/>
  <c r="T42" i="2" s="1"/>
  <c r="B29" i="2"/>
  <c r="T29" i="2" s="1"/>
  <c r="B26" i="2"/>
  <c r="T26" i="2" s="1"/>
  <c r="B8" i="2"/>
  <c r="T8" i="2" s="1"/>
  <c r="B5" i="2"/>
  <c r="T5" i="2" s="1"/>
  <c r="B72" i="2"/>
  <c r="T72" i="2" s="1"/>
  <c r="B240" i="2"/>
  <c r="T240" i="2" s="1"/>
  <c r="B219" i="2"/>
  <c r="T219" i="2" s="1"/>
  <c r="B211" i="2"/>
  <c r="T211" i="2" s="1"/>
  <c r="B208" i="2"/>
  <c r="T208" i="2" s="1"/>
  <c r="B197" i="2"/>
  <c r="T197" i="2" s="1"/>
  <c r="B187" i="2"/>
  <c r="T187" i="2" s="1"/>
  <c r="B184" i="2"/>
  <c r="T184" i="2" s="1"/>
  <c r="B176" i="2"/>
  <c r="T176" i="2" s="1"/>
  <c r="B173" i="2"/>
  <c r="T173" i="2" s="1"/>
  <c r="B170" i="2"/>
  <c r="T170" i="2" s="1"/>
  <c r="B167" i="2"/>
  <c r="T167" i="2" s="1"/>
  <c r="B158" i="2"/>
  <c r="T158" i="2" s="1"/>
  <c r="B149" i="2"/>
  <c r="T149" i="2" s="1"/>
  <c r="B143" i="2"/>
  <c r="T143" i="2" s="1"/>
  <c r="B137" i="2"/>
  <c r="T137" i="2" s="1"/>
  <c r="B119" i="2"/>
  <c r="T119" i="2" s="1"/>
  <c r="B105" i="2"/>
  <c r="T105" i="2" s="1"/>
  <c r="B93" i="2"/>
  <c r="T93" i="2" s="1"/>
  <c r="B75" i="2"/>
  <c r="T75" i="2" s="1"/>
  <c r="B64" i="2"/>
  <c r="T64" i="2" s="1"/>
  <c r="B55" i="2"/>
  <c r="T55" i="2" s="1"/>
  <c r="B47" i="2"/>
  <c r="T47" i="2" s="1"/>
  <c r="B39" i="2"/>
  <c r="T39" i="2" s="1"/>
  <c r="B17" i="2"/>
  <c r="T17" i="2" s="1"/>
  <c r="B13" i="2"/>
  <c r="T13" i="2" s="1"/>
  <c r="B237" i="2"/>
  <c r="T237" i="2" s="1"/>
  <c r="B161" i="2"/>
  <c r="T161" i="2" s="1"/>
  <c r="B113" i="2"/>
  <c r="T113" i="2" s="1"/>
  <c r="B32" i="2"/>
  <c r="T32" i="2" s="1"/>
  <c r="AS54" i="17"/>
  <c r="O265" i="5"/>
  <c r="AI36" i="25"/>
  <c r="O230" i="5"/>
  <c r="O143" i="5"/>
  <c r="H506" i="19"/>
  <c r="AS954" i="4" s="1"/>
  <c r="AS52" i="17"/>
  <c r="AS724" i="4"/>
  <c r="AV724" i="4" s="1"/>
  <c r="AS723" i="4"/>
  <c r="AV723" i="4" s="1"/>
  <c r="AS722" i="4"/>
  <c r="AV722" i="4" s="1"/>
  <c r="B223" i="5"/>
  <c r="P223" i="5" s="1"/>
  <c r="B162" i="5"/>
  <c r="P162" i="5" s="1"/>
  <c r="B170" i="6"/>
  <c r="Q170" i="6" s="1"/>
  <c r="B207" i="5"/>
  <c r="P207" i="5" s="1"/>
  <c r="B29" i="26"/>
  <c r="B24" i="26"/>
  <c r="B46" i="26"/>
  <c r="E69" i="12"/>
  <c r="B52" i="26"/>
  <c r="B25" i="26"/>
  <c r="B47" i="26"/>
  <c r="B20" i="26"/>
  <c r="B38" i="26"/>
  <c r="B15" i="26"/>
  <c r="B34" i="26"/>
  <c r="N218" i="7"/>
  <c r="B206" i="5"/>
  <c r="P206" i="5" s="1"/>
  <c r="B227" i="5"/>
  <c r="P227" i="5" s="1"/>
  <c r="AU162" i="4"/>
  <c r="AU159" i="4"/>
  <c r="AV159" i="4" s="1"/>
  <c r="B205" i="5"/>
  <c r="P205" i="5" s="1"/>
  <c r="B201" i="5"/>
  <c r="P201" i="5" s="1"/>
  <c r="Z11" i="27"/>
  <c r="Z13" i="27"/>
  <c r="Z10" i="27"/>
  <c r="Z9" i="27"/>
  <c r="Z8" i="27"/>
  <c r="Z7" i="27"/>
  <c r="AU232" i="4"/>
  <c r="AV232" i="4" s="1"/>
  <c r="B114" i="6"/>
  <c r="Q114" i="6" s="1"/>
  <c r="B204" i="5"/>
  <c r="P204" i="5" s="1"/>
  <c r="B110" i="5"/>
  <c r="P110" i="5" s="1"/>
  <c r="B116" i="6"/>
  <c r="Q116" i="6" s="1"/>
  <c r="B107" i="5"/>
  <c r="P107" i="5" s="1"/>
  <c r="B109" i="5"/>
  <c r="P109" i="5" s="1"/>
  <c r="B118" i="6"/>
  <c r="Q118" i="6" s="1"/>
  <c r="B210" i="5"/>
  <c r="P210" i="5" s="1"/>
  <c r="B106" i="5"/>
  <c r="P106" i="5" s="1"/>
  <c r="B202" i="5"/>
  <c r="P202" i="5" s="1"/>
  <c r="B108" i="5"/>
  <c r="P108" i="5" s="1"/>
  <c r="AS640" i="4"/>
  <c r="B115" i="6"/>
  <c r="Q115" i="6" s="1"/>
  <c r="B209" i="5"/>
  <c r="P209" i="5" s="1"/>
  <c r="H638" i="19"/>
  <c r="AS692" i="4" s="1"/>
  <c r="AV692" i="4" s="1"/>
  <c r="AE616" i="4"/>
  <c r="AI548" i="4"/>
  <c r="AE353" i="4"/>
  <c r="AE355" i="4"/>
  <c r="AI234" i="4"/>
  <c r="AI463" i="4"/>
  <c r="AM1036" i="4"/>
  <c r="AM1037" i="4"/>
  <c r="AM1038" i="4"/>
  <c r="AS589" i="4"/>
  <c r="AV589" i="4" s="1"/>
  <c r="AU11" i="4"/>
  <c r="AU955" i="4"/>
  <c r="AS281" i="4"/>
  <c r="AV281" i="4" s="1"/>
  <c r="AS878" i="4"/>
  <c r="N7" i="17"/>
  <c r="AS1031" i="4"/>
  <c r="AS1030" i="4"/>
  <c r="AM1032" i="4"/>
  <c r="AM1031" i="4"/>
  <c r="AE472" i="4"/>
  <c r="AV472" i="4" s="1"/>
  <c r="AI1031" i="4"/>
  <c r="AI1037" i="4"/>
  <c r="AI1038" i="4"/>
  <c r="AI1036" i="4"/>
  <c r="AI349" i="4"/>
  <c r="AQ1031" i="4"/>
  <c r="AQ1032" i="4"/>
  <c r="AQ1030" i="4"/>
  <c r="N3" i="23"/>
  <c r="N7" i="23"/>
  <c r="N4" i="23"/>
  <c r="AE1036" i="4"/>
  <c r="AE1037" i="4"/>
  <c r="AE1038" i="4"/>
  <c r="AZ986" i="4"/>
  <c r="AZ864" i="4"/>
  <c r="AZ697" i="4"/>
  <c r="AZ659" i="4"/>
  <c r="AZ413" i="4"/>
  <c r="AZ404" i="4"/>
  <c r="AZ766" i="4"/>
  <c r="AZ895" i="4"/>
  <c r="AZ765" i="4"/>
  <c r="AZ760" i="4"/>
  <c r="AZ59" i="4"/>
  <c r="AZ54" i="4"/>
  <c r="AZ57" i="4"/>
  <c r="AZ46" i="4"/>
  <c r="AV627" i="4"/>
  <c r="AI1030" i="4"/>
  <c r="AE1032" i="4"/>
  <c r="AE1031" i="4"/>
  <c r="E14" i="19"/>
  <c r="AZ609" i="4"/>
  <c r="AZ564" i="4"/>
  <c r="B52" i="13"/>
  <c r="AE23" i="25"/>
  <c r="AG23" i="25" s="1"/>
  <c r="AV894" i="4"/>
  <c r="H721" i="19"/>
  <c r="AS905" i="4"/>
  <c r="AS899" i="4"/>
  <c r="AV899" i="4" s="1"/>
  <c r="AV887" i="4"/>
  <c r="O213" i="5"/>
  <c r="O81" i="5"/>
  <c r="AU255" i="4"/>
  <c r="AU50" i="17"/>
  <c r="AU52" i="17"/>
  <c r="AU54" i="17"/>
  <c r="AU49" i="17"/>
  <c r="AT51" i="17"/>
  <c r="AT53" i="17"/>
  <c r="AT56" i="17"/>
  <c r="AU51" i="17"/>
  <c r="AU53" i="17"/>
  <c r="AU56" i="17"/>
  <c r="AT50" i="17"/>
  <c r="AT52" i="17"/>
  <c r="AT54" i="17"/>
  <c r="AT49" i="17"/>
  <c r="AV49" i="17"/>
  <c r="AV52" i="17"/>
  <c r="AV54" i="17"/>
  <c r="AV50" i="17"/>
  <c r="AV51" i="17"/>
  <c r="AV53" i="17"/>
  <c r="AV56" i="17"/>
  <c r="AE587" i="4"/>
  <c r="AE787" i="4"/>
  <c r="AE511" i="4"/>
  <c r="AE479" i="4"/>
  <c r="AE901" i="4"/>
  <c r="AV901" i="4" s="1"/>
  <c r="AE210" i="4"/>
  <c r="AV210" i="4" s="1"/>
  <c r="AE642" i="4"/>
  <c r="AE679" i="4"/>
  <c r="AV679" i="4" s="1"/>
  <c r="AI849" i="4"/>
  <c r="AI348" i="4"/>
  <c r="AE786" i="4"/>
  <c r="AE788" i="4"/>
  <c r="AI1046" i="4"/>
  <c r="AE478" i="4"/>
  <c r="S364" i="19"/>
  <c r="AV466" i="4"/>
  <c r="AM182" i="4"/>
  <c r="AM184" i="4"/>
  <c r="AI858" i="4"/>
  <c r="AE170" i="4"/>
  <c r="AE450" i="4"/>
  <c r="AV450" i="4" s="1"/>
  <c r="AE857" i="4"/>
  <c r="AV857" i="4" s="1"/>
  <c r="AE239" i="4"/>
  <c r="AE551" i="4"/>
  <c r="AE641" i="4"/>
  <c r="AI347" i="4"/>
  <c r="AI900" i="4"/>
  <c r="AI642" i="4"/>
  <c r="AI212" i="4"/>
  <c r="AI658" i="4"/>
  <c r="AI643" i="4"/>
  <c r="AI641" i="4"/>
  <c r="AM640" i="4"/>
  <c r="AM639" i="4"/>
  <c r="AM637" i="4"/>
  <c r="AI958" i="4"/>
  <c r="AI956" i="4"/>
  <c r="AI945" i="4"/>
  <c r="AI639" i="4"/>
  <c r="AI480" i="4"/>
  <c r="AI478" i="4"/>
  <c r="AM354" i="4"/>
  <c r="AI959" i="4"/>
  <c r="AI957" i="4"/>
  <c r="AE900" i="4"/>
  <c r="AI640" i="4"/>
  <c r="AI637" i="4"/>
  <c r="AI479" i="4"/>
  <c r="AM355" i="4"/>
  <c r="AM353" i="4"/>
  <c r="AE218" i="4"/>
  <c r="AV218" i="4" s="1"/>
  <c r="AI850" i="4"/>
  <c r="AI670" i="4"/>
  <c r="AE652" i="4"/>
  <c r="AI376" i="4"/>
  <c r="AE30" i="4"/>
  <c r="AE29" i="4"/>
  <c r="AE28" i="4"/>
  <c r="AE268" i="4"/>
  <c r="AI1004" i="4"/>
  <c r="AV1004" i="4" s="1"/>
  <c r="AI902" i="4"/>
  <c r="AI184" i="4"/>
  <c r="AI182" i="4"/>
  <c r="AE54" i="4"/>
  <c r="AV54" i="4" s="1"/>
  <c r="AE895" i="4"/>
  <c r="AV895" i="4" s="1"/>
  <c r="AI183" i="4"/>
  <c r="AM955" i="4"/>
  <c r="AM953" i="4"/>
  <c r="AI806" i="4"/>
  <c r="AV806" i="4" s="1"/>
  <c r="AE458" i="4"/>
  <c r="AI443" i="4"/>
  <c r="AI441" i="4"/>
  <c r="AM954" i="4"/>
  <c r="AI888" i="4"/>
  <c r="AI801" i="4"/>
  <c r="AI442" i="4"/>
  <c r="AI352" i="4"/>
  <c r="AI350" i="4"/>
  <c r="AI351" i="4"/>
  <c r="AI164" i="4"/>
  <c r="AI681" i="4"/>
  <c r="AI851" i="4"/>
  <c r="AQ375" i="4"/>
  <c r="AE267" i="4"/>
  <c r="AE858" i="4"/>
  <c r="AE547" i="4"/>
  <c r="AV547" i="4" s="1"/>
  <c r="AE603" i="4"/>
  <c r="AV603" i="4" s="1"/>
  <c r="AE186" i="4"/>
  <c r="AD25" i="17"/>
  <c r="AE911" i="4"/>
  <c r="AV911" i="4" s="1"/>
  <c r="AE860" i="4"/>
  <c r="AE697" i="4"/>
  <c r="AV697" i="4" s="1"/>
  <c r="AE596" i="4"/>
  <c r="AV596" i="4" s="1"/>
  <c r="AE862" i="4"/>
  <c r="AE659" i="4"/>
  <c r="AV659" i="4" s="1"/>
  <c r="AE597" i="4"/>
  <c r="AV597" i="4" s="1"/>
  <c r="AE588" i="4"/>
  <c r="AV588" i="4" s="1"/>
  <c r="AE553" i="4"/>
  <c r="AV553" i="4" s="1"/>
  <c r="AE552" i="4"/>
  <c r="AV552" i="4" s="1"/>
  <c r="AE413" i="4"/>
  <c r="AV413" i="4" s="1"/>
  <c r="AE212" i="4"/>
  <c r="AV212" i="4" s="1"/>
  <c r="AE571" i="4"/>
  <c r="AE550" i="4"/>
  <c r="AV550" i="4" s="1"/>
  <c r="AE549" i="4"/>
  <c r="AV549" i="4" s="1"/>
  <c r="AE463" i="4"/>
  <c r="AE440" i="4"/>
  <c r="AV440" i="4" s="1"/>
  <c r="AE439" i="4"/>
  <c r="AV439" i="4" s="1"/>
  <c r="AE438" i="4"/>
  <c r="N11" i="23"/>
  <c r="M10" i="23"/>
  <c r="N5" i="23"/>
  <c r="AE394" i="4"/>
  <c r="AV394" i="4" s="1"/>
  <c r="M11" i="23"/>
  <c r="N8" i="23"/>
  <c r="N6" i="23"/>
  <c r="M5" i="23"/>
  <c r="AE423" i="4"/>
  <c r="AV423" i="4" s="1"/>
  <c r="M12" i="23"/>
  <c r="N9" i="23"/>
  <c r="M8" i="23"/>
  <c r="M6" i="23"/>
  <c r="M3" i="23"/>
  <c r="AE714" i="4"/>
  <c r="AV714" i="4" s="1"/>
  <c r="AE517" i="4"/>
  <c r="AV517" i="4" s="1"/>
  <c r="AE291" i="4"/>
  <c r="AV291" i="4" s="1"/>
  <c r="N10" i="23"/>
  <c r="M9" i="23"/>
  <c r="M7" i="23"/>
  <c r="AE803" i="4"/>
  <c r="AV803" i="4" s="1"/>
  <c r="AE638" i="4"/>
  <c r="AV638" i="4" s="1"/>
  <c r="AE227" i="4"/>
  <c r="AV227" i="4" s="1"/>
  <c r="J59" i="17"/>
  <c r="AE878" i="4"/>
  <c r="AI516" i="4"/>
  <c r="AE484" i="4"/>
  <c r="AE288" i="4"/>
  <c r="AV288" i="4" s="1"/>
  <c r="AI885" i="4"/>
  <c r="AE572" i="4"/>
  <c r="AV572" i="4" s="1"/>
  <c r="AE485" i="4"/>
  <c r="AE468" i="4"/>
  <c r="AE486" i="4"/>
  <c r="AI893" i="4"/>
  <c r="AE508" i="4"/>
  <c r="AE910" i="4"/>
  <c r="AE462" i="4"/>
  <c r="AE229" i="4"/>
  <c r="AV229" i="4" s="1"/>
  <c r="AI231" i="4"/>
  <c r="AM30" i="4"/>
  <c r="AM29" i="4"/>
  <c r="AM28" i="4"/>
  <c r="AE202" i="4"/>
  <c r="AV202" i="4" s="1"/>
  <c r="AE586" i="4"/>
  <c r="AV586" i="4" s="1"/>
  <c r="AE819" i="4"/>
  <c r="AV819" i="4" s="1"/>
  <c r="AE567" i="4"/>
  <c r="AV567" i="4" s="1"/>
  <c r="AE945" i="4"/>
  <c r="AE897" i="4"/>
  <c r="AE998" i="4"/>
  <c r="AE917" i="4"/>
  <c r="AE893" i="4"/>
  <c r="AE686" i="4"/>
  <c r="AE516" i="4"/>
  <c r="AE162" i="4"/>
  <c r="AE75" i="4"/>
  <c r="AE376" i="4"/>
  <c r="AI652" i="4"/>
  <c r="AQ957" i="4"/>
  <c r="I187" i="23"/>
  <c r="AQ958" i="4"/>
  <c r="AM917" i="4"/>
  <c r="I188" i="23"/>
  <c r="I182" i="23"/>
  <c r="AQ959" i="4"/>
  <c r="I183" i="23"/>
  <c r="AE992" i="4"/>
  <c r="AV992" i="4" s="1"/>
  <c r="AI891" i="4"/>
  <c r="K38" i="23"/>
  <c r="I36" i="23"/>
  <c r="I32" i="23"/>
  <c r="I31" i="23"/>
  <c r="I29" i="23"/>
  <c r="K25" i="23"/>
  <c r="K24" i="23"/>
  <c r="K39" i="23"/>
  <c r="I38" i="23"/>
  <c r="K34" i="23"/>
  <c r="K33" i="23"/>
  <c r="K27" i="23"/>
  <c r="K26" i="23"/>
  <c r="I25" i="23"/>
  <c r="I24" i="23"/>
  <c r="K22" i="23"/>
  <c r="I39" i="23"/>
  <c r="I37" i="23"/>
  <c r="I35" i="23"/>
  <c r="I34" i="23"/>
  <c r="I33" i="23"/>
  <c r="K30" i="23"/>
  <c r="I28" i="23"/>
  <c r="I27" i="23"/>
  <c r="I26" i="23"/>
  <c r="K23" i="23"/>
  <c r="I22" i="23"/>
  <c r="I40" i="23"/>
  <c r="K31" i="23"/>
  <c r="I30" i="23"/>
  <c r="I23" i="23"/>
  <c r="AE443" i="4"/>
  <c r="AE442" i="4"/>
  <c r="AE441" i="4"/>
  <c r="AI969" i="4"/>
  <c r="AE379" i="4"/>
  <c r="AE955" i="4"/>
  <c r="AE954" i="4"/>
  <c r="AE953" i="4"/>
  <c r="AE284" i="4"/>
  <c r="AV284" i="4" s="1"/>
  <c r="AE888" i="4"/>
  <c r="AE352" i="4"/>
  <c r="AE351" i="4"/>
  <c r="AE350" i="4"/>
  <c r="AE164" i="4"/>
  <c r="AM375" i="4"/>
  <c r="AQ851" i="4"/>
  <c r="AQ681" i="4"/>
  <c r="AM267" i="4"/>
  <c r="AM851" i="4"/>
  <c r="AM681" i="4"/>
  <c r="AI375" i="4"/>
  <c r="AI267" i="4"/>
  <c r="AQ642" i="4"/>
  <c r="AI257" i="4"/>
  <c r="AI256" i="4"/>
  <c r="AI254" i="4"/>
  <c r="AE824" i="4"/>
  <c r="AV824" i="4" s="1"/>
  <c r="AI791" i="4"/>
  <c r="AI790" i="4"/>
  <c r="AI789" i="4"/>
  <c r="AQ643" i="4"/>
  <c r="AI1051" i="4"/>
  <c r="AI486" i="4"/>
  <c r="AI485" i="4"/>
  <c r="AI484" i="4"/>
  <c r="AQ641" i="4"/>
  <c r="AE160" i="4"/>
  <c r="AV160" i="4" s="1"/>
  <c r="AI268" i="4"/>
  <c r="AE171" i="4"/>
  <c r="AE47" i="4"/>
  <c r="AV47" i="4" s="1"/>
  <c r="AE33" i="4"/>
  <c r="AE32" i="4"/>
  <c r="AE31" i="4"/>
  <c r="AI354" i="4"/>
  <c r="AI355" i="4"/>
  <c r="AI353" i="4"/>
  <c r="AI511" i="4"/>
  <c r="AE347" i="4"/>
  <c r="AE293" i="4"/>
  <c r="AV293" i="4" s="1"/>
  <c r="AI910" i="4"/>
  <c r="AI462" i="4"/>
  <c r="AE349" i="4"/>
  <c r="AE982" i="4"/>
  <c r="AV982" i="4" s="1"/>
  <c r="AE593" i="4"/>
  <c r="AE368" i="4"/>
  <c r="AV368" i="4" s="1"/>
  <c r="AI279" i="4"/>
  <c r="AE257" i="4"/>
  <c r="AE254" i="4"/>
  <c r="AI30" i="4"/>
  <c r="AI29" i="4"/>
  <c r="AI28" i="4"/>
  <c r="AE348" i="4"/>
  <c r="AE256" i="4"/>
  <c r="AI811" i="4"/>
  <c r="AM641" i="4"/>
  <c r="AE821" i="4"/>
  <c r="AV821" i="4" s="1"/>
  <c r="AM642" i="4"/>
  <c r="AE1046" i="4"/>
  <c r="AE1012" i="4"/>
  <c r="AV1012" i="4" s="1"/>
  <c r="AE969" i="4"/>
  <c r="AE791" i="4"/>
  <c r="AE790" i="4"/>
  <c r="AE789" i="4"/>
  <c r="AM643" i="4"/>
  <c r="AE259" i="4"/>
  <c r="AV259" i="4" s="1"/>
  <c r="AE234" i="4"/>
  <c r="AE1051" i="4"/>
  <c r="AE298" i="4"/>
  <c r="AV298" i="4" s="1"/>
  <c r="AE305" i="4"/>
  <c r="AV305" i="4" s="1"/>
  <c r="AE11" i="4"/>
  <c r="AI787" i="4"/>
  <c r="AE979" i="4"/>
  <c r="AV979" i="4" s="1"/>
  <c r="AI788" i="4"/>
  <c r="AI786" i="4"/>
  <c r="AM348" i="4"/>
  <c r="AI301" i="4"/>
  <c r="AI255" i="4"/>
  <c r="AM1051" i="4"/>
  <c r="AE660" i="4"/>
  <c r="AV660" i="4" s="1"/>
  <c r="AI557" i="4"/>
  <c r="AI556" i="4"/>
  <c r="AI555" i="4"/>
  <c r="AI292" i="4"/>
  <c r="AE483" i="4"/>
  <c r="AV483" i="4" s="1"/>
  <c r="AM347" i="4"/>
  <c r="AE165" i="4"/>
  <c r="AV165" i="4" s="1"/>
  <c r="AM349" i="4"/>
  <c r="AE273" i="4"/>
  <c r="AV273" i="4" s="1"/>
  <c r="AM11" i="4"/>
  <c r="AM10" i="4"/>
  <c r="AV10" i="4" s="1"/>
  <c r="AM9" i="4"/>
  <c r="AM171" i="4"/>
  <c r="AI170" i="4"/>
  <c r="AE826" i="4"/>
  <c r="AV826" i="4" s="1"/>
  <c r="AI186" i="4"/>
  <c r="AE346" i="4"/>
  <c r="AV346" i="4" s="1"/>
  <c r="AE345" i="4"/>
  <c r="AE344" i="4"/>
  <c r="AE851" i="4"/>
  <c r="AE681" i="4"/>
  <c r="AE375" i="4"/>
  <c r="AI239" i="4"/>
  <c r="AI599" i="4"/>
  <c r="AV599" i="4" s="1"/>
  <c r="N181" i="23"/>
  <c r="N179" i="23"/>
  <c r="N177" i="23"/>
  <c r="N174" i="23"/>
  <c r="AQ912" i="4"/>
  <c r="AI468" i="4"/>
  <c r="AE369" i="4"/>
  <c r="AV369" i="4" s="1"/>
  <c r="N180" i="23"/>
  <c r="N178" i="23"/>
  <c r="N175" i="23"/>
  <c r="AI75" i="4"/>
  <c r="AE399" i="4"/>
  <c r="AV399" i="4" s="1"/>
  <c r="AE912" i="4"/>
  <c r="AE182" i="4"/>
  <c r="AE183" i="4"/>
  <c r="AE184" i="4"/>
  <c r="AE986" i="4"/>
  <c r="AV986" i="4" s="1"/>
  <c r="AE987" i="4"/>
  <c r="AV987" i="4" s="1"/>
  <c r="AI1047" i="4"/>
  <c r="AV1047" i="4" s="1"/>
  <c r="AE817" i="4"/>
  <c r="AV817" i="4" s="1"/>
  <c r="AE279" i="4"/>
  <c r="AE505" i="4"/>
  <c r="AV505" i="4" s="1"/>
  <c r="AE85" i="4"/>
  <c r="AV85" i="4" s="1"/>
  <c r="AE35" i="4"/>
  <c r="AV35" i="4" s="1"/>
  <c r="AE658" i="4"/>
  <c r="AE637" i="4"/>
  <c r="AE231" i="4"/>
  <c r="AE902" i="4"/>
  <c r="AE640" i="4"/>
  <c r="AE639" i="4"/>
  <c r="AE493" i="4"/>
  <c r="AV493" i="4" s="1"/>
  <c r="AE386" i="4"/>
  <c r="AV386" i="4" s="1"/>
  <c r="AE507" i="4"/>
  <c r="AV507" i="4" s="1"/>
  <c r="AE885" i="4"/>
  <c r="AM862" i="4"/>
  <c r="AM860" i="4"/>
  <c r="AM858" i="4"/>
  <c r="AE583" i="4"/>
  <c r="AV583" i="4" s="1"/>
  <c r="AI379" i="4"/>
  <c r="AQ984" i="4"/>
  <c r="AV984" i="4" s="1"/>
  <c r="AM912" i="4"/>
  <c r="AE676" i="4"/>
  <c r="AV676" i="4" s="1"/>
  <c r="AE461" i="4"/>
  <c r="AV461" i="4" s="1"/>
  <c r="AE418" i="4"/>
  <c r="AV418" i="4" s="1"/>
  <c r="AE1042" i="4"/>
  <c r="AV1042" i="4" s="1"/>
  <c r="AE980" i="4"/>
  <c r="AV980" i="4" s="1"/>
  <c r="AE905" i="4"/>
  <c r="AE802" i="4"/>
  <c r="AV802" i="4" s="1"/>
  <c r="AI593" i="4"/>
  <c r="AE292" i="4"/>
  <c r="AE301" i="4"/>
  <c r="AM254" i="4"/>
  <c r="AM256" i="4"/>
  <c r="AE255" i="4"/>
  <c r="AM257" i="4"/>
  <c r="AE761" i="4"/>
  <c r="AV761" i="4" s="1"/>
  <c r="AE595" i="4"/>
  <c r="AV595" i="4" s="1"/>
  <c r="AE759" i="4"/>
  <c r="AV759" i="4" s="1"/>
  <c r="AE382" i="4"/>
  <c r="AV382" i="4" s="1"/>
  <c r="AE760" i="4"/>
  <c r="AV760" i="4" s="1"/>
  <c r="S63" i="17"/>
  <c r="AI686" i="4"/>
  <c r="AE557" i="4"/>
  <c r="AE556" i="4"/>
  <c r="AE555" i="4"/>
  <c r="AI998" i="4"/>
  <c r="AE666" i="4"/>
  <c r="AV666" i="4" s="1"/>
  <c r="AM554" i="4"/>
  <c r="AM548" i="4"/>
  <c r="AM551" i="4"/>
  <c r="AE1062" i="4"/>
  <c r="AV1062" i="4" s="1"/>
  <c r="AE993" i="4"/>
  <c r="AV993" i="4" s="1"/>
  <c r="AM945" i="4"/>
  <c r="AE891" i="4"/>
  <c r="AM479" i="4"/>
  <c r="AM957" i="4"/>
  <c r="AI955" i="4"/>
  <c r="AI954" i="4"/>
  <c r="AI953" i="4"/>
  <c r="AE889" i="4"/>
  <c r="AV889" i="4" s="1"/>
  <c r="AM958" i="4"/>
  <c r="AE956" i="4"/>
  <c r="AI917" i="4"/>
  <c r="AI890" i="4"/>
  <c r="AV890" i="4" s="1"/>
  <c r="AM480" i="4"/>
  <c r="AM478" i="4"/>
  <c r="AQ354" i="4"/>
  <c r="AM959" i="4"/>
  <c r="AE499" i="4"/>
  <c r="AV499" i="4" s="1"/>
  <c r="AQ355" i="4"/>
  <c r="AQ353" i="4"/>
  <c r="AE43" i="4"/>
  <c r="AV43" i="4" s="1"/>
  <c r="AE1044" i="4"/>
  <c r="AV1044" i="4" s="1"/>
  <c r="AE668" i="4"/>
  <c r="AV668" i="4" s="1"/>
  <c r="AE850" i="4"/>
  <c r="AI616" i="4"/>
  <c r="AI571" i="4"/>
  <c r="AE848" i="4"/>
  <c r="AV848" i="4" s="1"/>
  <c r="AI617" i="4"/>
  <c r="AV617" i="4" s="1"/>
  <c r="AE849" i="4"/>
  <c r="AV849" i="4" s="1"/>
  <c r="AE670" i="4"/>
  <c r="AE657" i="4"/>
  <c r="AV657" i="4" s="1"/>
  <c r="AI618" i="4"/>
  <c r="AV618" i="4" s="1"/>
  <c r="AE201" i="4"/>
  <c r="AV201" i="4" s="1"/>
  <c r="AE336" i="4"/>
  <c r="AV336" i="4" s="1"/>
  <c r="AI171" i="4"/>
  <c r="AE391" i="4"/>
  <c r="AV391" i="4" s="1"/>
  <c r="AE166" i="4"/>
  <c r="AV166" i="4" s="1"/>
  <c r="AE807" i="4"/>
  <c r="AV807" i="4" s="1"/>
  <c r="AM463" i="4"/>
  <c r="AI587" i="4"/>
  <c r="AI458" i="4"/>
  <c r="AQ955" i="4"/>
  <c r="AQ954" i="4"/>
  <c r="AQ953" i="4"/>
  <c r="AM352" i="4"/>
  <c r="AM350" i="4"/>
  <c r="AM351" i="4"/>
  <c r="AI897" i="4"/>
  <c r="AI912" i="4"/>
  <c r="AE385" i="4"/>
  <c r="AV385" i="4" s="1"/>
  <c r="AE822" i="4"/>
  <c r="AV822" i="4" s="1"/>
  <c r="N166" i="6"/>
  <c r="N211" i="5"/>
  <c r="N167" i="6"/>
  <c r="N165" i="6"/>
  <c r="N164" i="6"/>
  <c r="D13" i="19"/>
  <c r="M13" i="17" s="1"/>
  <c r="D11" i="19"/>
  <c r="D9" i="19"/>
  <c r="E17" i="17" s="1"/>
  <c r="D7" i="19"/>
  <c r="N16" i="17" s="1"/>
  <c r="N93" i="5"/>
  <c r="N92" i="5"/>
  <c r="N163" i="6"/>
  <c r="N103" i="5"/>
  <c r="N101" i="5"/>
  <c r="N99" i="5"/>
  <c r="N97" i="5"/>
  <c r="N95" i="5"/>
  <c r="S378" i="19"/>
  <c r="N162" i="6"/>
  <c r="N161" i="6"/>
  <c r="N171" i="6"/>
  <c r="N310" i="5"/>
  <c r="N102" i="5"/>
  <c r="N100" i="5"/>
  <c r="N98" i="5"/>
  <c r="N96" i="5"/>
  <c r="N94" i="5"/>
  <c r="D12" i="19"/>
  <c r="E14" i="17" s="1"/>
  <c r="D10" i="19"/>
  <c r="F13" i="17" s="1"/>
  <c r="D8" i="19"/>
  <c r="M17" i="17" s="1"/>
  <c r="D6" i="19"/>
  <c r="D16" i="17" s="1"/>
  <c r="I158" i="23" s="1"/>
  <c r="J53" i="12" l="1"/>
  <c r="K53" i="12" s="1"/>
  <c r="J61" i="12"/>
  <c r="K61" i="12" s="1"/>
  <c r="J69" i="12"/>
  <c r="K69" i="12" s="1"/>
  <c r="J37" i="12"/>
  <c r="K37" i="12" s="1"/>
  <c r="J26" i="12"/>
  <c r="K26" i="12" s="1"/>
  <c r="J23" i="12"/>
  <c r="K23" i="12" s="1"/>
  <c r="J20" i="12"/>
  <c r="K20" i="12" s="1"/>
  <c r="J25" i="12"/>
  <c r="K25" i="12" s="1"/>
  <c r="J38" i="12"/>
  <c r="K38" i="12" s="1"/>
  <c r="J35" i="12"/>
  <c r="K35" i="12" s="1"/>
  <c r="J24" i="12"/>
  <c r="K24" i="12" s="1"/>
  <c r="J21" i="12"/>
  <c r="K21" i="12" s="1"/>
  <c r="J18" i="12"/>
  <c r="K18" i="12" s="1"/>
  <c r="J15" i="12"/>
  <c r="K15" i="12" s="1"/>
  <c r="J12" i="12"/>
  <c r="K12" i="12" s="1"/>
  <c r="J17" i="12"/>
  <c r="K17" i="12" s="1"/>
  <c r="J30" i="12"/>
  <c r="K30" i="12" s="1"/>
  <c r="J27" i="12"/>
  <c r="K27" i="12" s="1"/>
  <c r="J16" i="12"/>
  <c r="K16" i="12" s="1"/>
  <c r="J5" i="12"/>
  <c r="K5" i="12" s="1"/>
  <c r="J10" i="12"/>
  <c r="K10" i="12" s="1"/>
  <c r="J7" i="12"/>
  <c r="K7" i="12" s="1"/>
  <c r="J4" i="12"/>
  <c r="K4" i="12" s="1"/>
  <c r="J9" i="12"/>
  <c r="K9" i="12" s="1"/>
  <c r="J22" i="12"/>
  <c r="K22" i="12" s="1"/>
  <c r="J19" i="12"/>
  <c r="K19" i="12" s="1"/>
  <c r="J58" i="12"/>
  <c r="K58" i="12" s="1"/>
  <c r="J55" i="12"/>
  <c r="K55" i="12" s="1"/>
  <c r="J52" i="12"/>
  <c r="K52" i="12" s="1"/>
  <c r="J57" i="12"/>
  <c r="K57" i="12" s="1"/>
  <c r="J2" i="12"/>
  <c r="K2" i="12" s="1"/>
  <c r="J6" i="12"/>
  <c r="K6" i="12" s="1"/>
  <c r="J56" i="12"/>
  <c r="K56" i="12" s="1"/>
  <c r="J66" i="12"/>
  <c r="K66" i="12" s="1"/>
  <c r="J63" i="12"/>
  <c r="K63" i="12" s="1"/>
  <c r="J60" i="12"/>
  <c r="K60" i="12" s="1"/>
  <c r="J65" i="12"/>
  <c r="K65" i="12" s="1"/>
  <c r="J68" i="12"/>
  <c r="K68" i="12" s="1"/>
  <c r="J14" i="12"/>
  <c r="K14" i="12" s="1"/>
  <c r="J11" i="12"/>
  <c r="K11" i="12" s="1"/>
  <c r="J50" i="12"/>
  <c r="K50" i="12" s="1"/>
  <c r="J47" i="12"/>
  <c r="K47" i="12" s="1"/>
  <c r="J44" i="12"/>
  <c r="K44" i="12" s="1"/>
  <c r="J49" i="12"/>
  <c r="K49" i="12" s="1"/>
  <c r="J62" i="12"/>
  <c r="K62" i="12" s="1"/>
  <c r="J59" i="12"/>
  <c r="K59" i="12" s="1"/>
  <c r="J48" i="12"/>
  <c r="K48" i="12" s="1"/>
  <c r="J34" i="12"/>
  <c r="K34" i="12" s="1"/>
  <c r="J33" i="12"/>
  <c r="K33" i="12" s="1"/>
  <c r="J43" i="12"/>
  <c r="K43" i="12" s="1"/>
  <c r="J42" i="12"/>
  <c r="K42" i="12" s="1"/>
  <c r="J39" i="12"/>
  <c r="K39" i="12" s="1"/>
  <c r="J36" i="12"/>
  <c r="K36" i="12" s="1"/>
  <c r="J41" i="12"/>
  <c r="K41" i="12" s="1"/>
  <c r="J54" i="12"/>
  <c r="K54" i="12" s="1"/>
  <c r="J51" i="12"/>
  <c r="K51" i="12" s="1"/>
  <c r="J40" i="12"/>
  <c r="K40" i="12" s="1"/>
  <c r="J31" i="12"/>
  <c r="K31" i="12" s="1"/>
  <c r="J28" i="12"/>
  <c r="K28" i="12" s="1"/>
  <c r="J46" i="12"/>
  <c r="K46" i="12" s="1"/>
  <c r="J32" i="12"/>
  <c r="K32" i="12" s="1"/>
  <c r="J3" i="12"/>
  <c r="K3" i="12" s="1"/>
  <c r="J64" i="12"/>
  <c r="K64" i="12" s="1"/>
  <c r="J67" i="12"/>
  <c r="K67" i="12" s="1"/>
  <c r="J45" i="12"/>
  <c r="K45" i="12" s="1"/>
  <c r="J13" i="12"/>
  <c r="K13" i="12" s="1"/>
  <c r="J8" i="12"/>
  <c r="K8" i="12" s="1"/>
  <c r="J29" i="12"/>
  <c r="K29" i="12" s="1"/>
  <c r="U13" i="2"/>
  <c r="V13" i="2" s="1"/>
  <c r="U173" i="2"/>
  <c r="V173" i="2" s="1"/>
  <c r="U93" i="2"/>
  <c r="V93" i="2" s="1"/>
  <c r="U181" i="2"/>
  <c r="V181" i="2" s="1"/>
  <c r="U4" i="2"/>
  <c r="V4" i="2" s="1"/>
  <c r="U109" i="2"/>
  <c r="V109" i="2" s="1"/>
  <c r="U21" i="2"/>
  <c r="V21" i="2" s="1"/>
  <c r="U194" i="2"/>
  <c r="V194" i="2" s="1"/>
  <c r="U130" i="2"/>
  <c r="V130" i="2" s="1"/>
  <c r="U66" i="2"/>
  <c r="V66" i="2" s="1"/>
  <c r="U221" i="2"/>
  <c r="V221" i="2" s="1"/>
  <c r="U183" i="2"/>
  <c r="V183" i="2" s="1"/>
  <c r="U119" i="2"/>
  <c r="V119" i="2" s="1"/>
  <c r="U55" i="2"/>
  <c r="V55" i="2" s="1"/>
  <c r="U188" i="2"/>
  <c r="V188" i="2" s="1"/>
  <c r="U124" i="2"/>
  <c r="V124" i="2" s="1"/>
  <c r="U60" i="2"/>
  <c r="V60" i="2" s="1"/>
  <c r="U177" i="2"/>
  <c r="V177" i="2" s="1"/>
  <c r="U49" i="2"/>
  <c r="V49" i="2" s="1"/>
  <c r="U166" i="2"/>
  <c r="V166" i="2" s="1"/>
  <c r="U203" i="2"/>
  <c r="V203" i="2" s="1"/>
  <c r="U75" i="2"/>
  <c r="V75" i="2" s="1"/>
  <c r="U128" i="2"/>
  <c r="V128" i="2" s="1"/>
  <c r="U172" i="2"/>
  <c r="V172" i="2" s="1"/>
  <c r="U225" i="2"/>
  <c r="V225" i="2" s="1"/>
  <c r="U214" i="2"/>
  <c r="V214" i="2" s="1"/>
  <c r="U187" i="2"/>
  <c r="V187" i="2" s="1"/>
  <c r="U176" i="2"/>
  <c r="V176" i="2" s="1"/>
  <c r="U205" i="2"/>
  <c r="V205" i="2" s="1"/>
  <c r="U5" i="2"/>
  <c r="V5" i="2" s="1"/>
  <c r="U186" i="2"/>
  <c r="V186" i="2" s="1"/>
  <c r="U122" i="2"/>
  <c r="V122" i="2" s="1"/>
  <c r="U58" i="2"/>
  <c r="V58" i="2" s="1"/>
  <c r="U197" i="2"/>
  <c r="V197" i="2" s="1"/>
  <c r="U175" i="2"/>
  <c r="V175" i="2" s="1"/>
  <c r="U111" i="2"/>
  <c r="V111" i="2" s="1"/>
  <c r="U47" i="2"/>
  <c r="V47" i="2" s="1"/>
  <c r="U53" i="2"/>
  <c r="V53" i="2" s="1"/>
  <c r="U180" i="2"/>
  <c r="V180" i="2" s="1"/>
  <c r="U116" i="2"/>
  <c r="V116" i="2" s="1"/>
  <c r="U52" i="2"/>
  <c r="V52" i="2" s="1"/>
  <c r="U241" i="2"/>
  <c r="V241" i="2" s="1"/>
  <c r="U169" i="2"/>
  <c r="V169" i="2" s="1"/>
  <c r="U105" i="2"/>
  <c r="V105" i="2" s="1"/>
  <c r="U41" i="2"/>
  <c r="V41" i="2" s="1"/>
  <c r="U222" i="2"/>
  <c r="V222" i="2" s="1"/>
  <c r="U158" i="2"/>
  <c r="V158" i="2" s="1"/>
  <c r="U94" i="2"/>
  <c r="V94" i="2" s="1"/>
  <c r="U30" i="2"/>
  <c r="V30" i="2" s="1"/>
  <c r="U195" i="2"/>
  <c r="V195" i="2" s="1"/>
  <c r="U131" i="2"/>
  <c r="V131" i="2" s="1"/>
  <c r="U67" i="2"/>
  <c r="V67" i="2" s="1"/>
  <c r="U3" i="2"/>
  <c r="V3" i="2" s="1"/>
  <c r="U184" i="2"/>
  <c r="V184" i="2" s="1"/>
  <c r="U120" i="2"/>
  <c r="V120" i="2" s="1"/>
  <c r="U56" i="2"/>
  <c r="V56" i="2" s="1"/>
  <c r="U213" i="2"/>
  <c r="V213" i="2" s="1"/>
  <c r="U2" i="2"/>
  <c r="U178" i="2"/>
  <c r="V178" i="2" s="1"/>
  <c r="U114" i="2"/>
  <c r="V114" i="2" s="1"/>
  <c r="U50" i="2"/>
  <c r="V50" i="2" s="1"/>
  <c r="U125" i="2"/>
  <c r="V125" i="2" s="1"/>
  <c r="U167" i="2"/>
  <c r="V167" i="2" s="1"/>
  <c r="U142" i="2"/>
  <c r="V142" i="2" s="1"/>
  <c r="U51" i="2"/>
  <c r="V51" i="2" s="1"/>
  <c r="U32" i="2"/>
  <c r="V32" i="2" s="1"/>
  <c r="U103" i="2"/>
  <c r="V103" i="2" s="1"/>
  <c r="U39" i="2"/>
  <c r="V39" i="2" s="1"/>
  <c r="U44" i="2"/>
  <c r="V44" i="2" s="1"/>
  <c r="U97" i="2"/>
  <c r="V97" i="2" s="1"/>
  <c r="U22" i="2"/>
  <c r="V22" i="2" s="1"/>
  <c r="U112" i="2"/>
  <c r="V112" i="2" s="1"/>
  <c r="U100" i="2"/>
  <c r="V100" i="2" s="1"/>
  <c r="U25" i="2"/>
  <c r="V25" i="2" s="1"/>
  <c r="U179" i="2"/>
  <c r="V179" i="2" s="1"/>
  <c r="U229" i="2"/>
  <c r="V229" i="2" s="1"/>
  <c r="U234" i="2"/>
  <c r="V234" i="2" s="1"/>
  <c r="U170" i="2"/>
  <c r="V170" i="2" s="1"/>
  <c r="U106" i="2"/>
  <c r="V106" i="2" s="1"/>
  <c r="U42" i="2"/>
  <c r="V42" i="2" s="1"/>
  <c r="U223" i="2"/>
  <c r="V223" i="2" s="1"/>
  <c r="U159" i="2"/>
  <c r="V159" i="2" s="1"/>
  <c r="U95" i="2"/>
  <c r="V95" i="2" s="1"/>
  <c r="U31" i="2"/>
  <c r="V31" i="2" s="1"/>
  <c r="U164" i="2"/>
  <c r="V164" i="2" s="1"/>
  <c r="U217" i="2"/>
  <c r="V217" i="2" s="1"/>
  <c r="U206" i="2"/>
  <c r="V206" i="2" s="1"/>
  <c r="U115" i="2"/>
  <c r="V115" i="2" s="1"/>
  <c r="U237" i="2"/>
  <c r="V237" i="2" s="1"/>
  <c r="U226" i="2"/>
  <c r="V226" i="2" s="1"/>
  <c r="U162" i="2"/>
  <c r="V162" i="2" s="1"/>
  <c r="U98" i="2"/>
  <c r="V98" i="2" s="1"/>
  <c r="U34" i="2"/>
  <c r="V34" i="2" s="1"/>
  <c r="U215" i="2"/>
  <c r="V215" i="2" s="1"/>
  <c r="U151" i="2"/>
  <c r="V151" i="2" s="1"/>
  <c r="U87" i="2"/>
  <c r="V87" i="2" s="1"/>
  <c r="U23" i="2"/>
  <c r="V23" i="2" s="1"/>
  <c r="U220" i="2"/>
  <c r="V220" i="2" s="1"/>
  <c r="U156" i="2"/>
  <c r="V156" i="2" s="1"/>
  <c r="U92" i="2"/>
  <c r="V92" i="2" s="1"/>
  <c r="U28" i="2"/>
  <c r="V28" i="2" s="1"/>
  <c r="U209" i="2"/>
  <c r="V209" i="2" s="1"/>
  <c r="U145" i="2"/>
  <c r="V145" i="2" s="1"/>
  <c r="U81" i="2"/>
  <c r="V81" i="2" s="1"/>
  <c r="U17" i="2"/>
  <c r="V17" i="2" s="1"/>
  <c r="U198" i="2"/>
  <c r="V198" i="2" s="1"/>
  <c r="U134" i="2"/>
  <c r="V134" i="2" s="1"/>
  <c r="U70" i="2"/>
  <c r="V70" i="2" s="1"/>
  <c r="U6" i="2"/>
  <c r="V6" i="2" s="1"/>
  <c r="U171" i="2"/>
  <c r="V171" i="2" s="1"/>
  <c r="U107" i="2"/>
  <c r="V107" i="2" s="1"/>
  <c r="U43" i="2"/>
  <c r="V43" i="2" s="1"/>
  <c r="U224" i="2"/>
  <c r="V224" i="2" s="1"/>
  <c r="U160" i="2"/>
  <c r="V160" i="2" s="1"/>
  <c r="U96" i="2"/>
  <c r="V96" i="2" s="1"/>
  <c r="U24" i="2"/>
  <c r="V24" i="2" s="1"/>
  <c r="U165" i="2"/>
  <c r="V165" i="2" s="1"/>
  <c r="U218" i="2"/>
  <c r="V218" i="2" s="1"/>
  <c r="U154" i="2"/>
  <c r="V154" i="2" s="1"/>
  <c r="U90" i="2"/>
  <c r="V90" i="2" s="1"/>
  <c r="U26" i="2"/>
  <c r="V26" i="2" s="1"/>
  <c r="U207" i="2"/>
  <c r="V207" i="2" s="1"/>
  <c r="U143" i="2"/>
  <c r="V143" i="2" s="1"/>
  <c r="U79" i="2"/>
  <c r="V79" i="2" s="1"/>
  <c r="U15" i="2"/>
  <c r="V15" i="2" s="1"/>
  <c r="U212" i="2"/>
  <c r="V212" i="2" s="1"/>
  <c r="U148" i="2"/>
  <c r="V148" i="2" s="1"/>
  <c r="U84" i="2"/>
  <c r="V84" i="2" s="1"/>
  <c r="U20" i="2"/>
  <c r="V20" i="2" s="1"/>
  <c r="U201" i="2"/>
  <c r="V201" i="2" s="1"/>
  <c r="U137" i="2"/>
  <c r="V137" i="2" s="1"/>
  <c r="U73" i="2"/>
  <c r="V73" i="2" s="1"/>
  <c r="U9" i="2"/>
  <c r="V9" i="2" s="1"/>
  <c r="U190" i="2"/>
  <c r="V190" i="2" s="1"/>
  <c r="U126" i="2"/>
  <c r="V126" i="2" s="1"/>
  <c r="U62" i="2"/>
  <c r="V62" i="2" s="1"/>
  <c r="U227" i="2"/>
  <c r="V227" i="2" s="1"/>
  <c r="U163" i="2"/>
  <c r="V163" i="2" s="1"/>
  <c r="U99" i="2"/>
  <c r="V99" i="2" s="1"/>
  <c r="U35" i="2"/>
  <c r="V35" i="2" s="1"/>
  <c r="U216" i="2"/>
  <c r="V216" i="2" s="1"/>
  <c r="U152" i="2"/>
  <c r="V152" i="2" s="1"/>
  <c r="U88" i="2"/>
  <c r="V88" i="2" s="1"/>
  <c r="U16" i="2"/>
  <c r="V16" i="2" s="1"/>
  <c r="U118" i="2"/>
  <c r="V118" i="2" s="1"/>
  <c r="U219" i="2"/>
  <c r="V219" i="2" s="1"/>
  <c r="U91" i="2"/>
  <c r="V91" i="2" s="1"/>
  <c r="U208" i="2"/>
  <c r="V208" i="2" s="1"/>
  <c r="U80" i="2"/>
  <c r="V80" i="2" s="1"/>
  <c r="U104" i="2"/>
  <c r="V104" i="2" s="1"/>
  <c r="U117" i="2"/>
  <c r="V117" i="2" s="1"/>
  <c r="U210" i="2"/>
  <c r="V210" i="2" s="1"/>
  <c r="U146" i="2"/>
  <c r="V146" i="2" s="1"/>
  <c r="U82" i="2"/>
  <c r="V82" i="2" s="1"/>
  <c r="U18" i="2"/>
  <c r="V18" i="2" s="1"/>
  <c r="U199" i="2"/>
  <c r="V199" i="2" s="1"/>
  <c r="U135" i="2"/>
  <c r="V135" i="2" s="1"/>
  <c r="U71" i="2"/>
  <c r="V71" i="2" s="1"/>
  <c r="U7" i="2"/>
  <c r="V7" i="2" s="1"/>
  <c r="U204" i="2"/>
  <c r="V204" i="2" s="1"/>
  <c r="U140" i="2"/>
  <c r="V140" i="2" s="1"/>
  <c r="U76" i="2"/>
  <c r="V76" i="2" s="1"/>
  <c r="U12" i="2"/>
  <c r="V12" i="2" s="1"/>
  <c r="U193" i="2"/>
  <c r="V193" i="2" s="1"/>
  <c r="U129" i="2"/>
  <c r="V129" i="2" s="1"/>
  <c r="U65" i="2"/>
  <c r="V65" i="2" s="1"/>
  <c r="U233" i="2"/>
  <c r="V233" i="2" s="1"/>
  <c r="U182" i="2"/>
  <c r="V182" i="2" s="1"/>
  <c r="U54" i="2"/>
  <c r="V54" i="2" s="1"/>
  <c r="U155" i="2"/>
  <c r="V155" i="2" s="1"/>
  <c r="U27" i="2"/>
  <c r="V27" i="2" s="1"/>
  <c r="U144" i="2"/>
  <c r="V144" i="2" s="1"/>
  <c r="U72" i="2"/>
  <c r="V72" i="2" s="1"/>
  <c r="U149" i="2"/>
  <c r="V149" i="2" s="1"/>
  <c r="U239" i="2"/>
  <c r="V239" i="2" s="1"/>
  <c r="U113" i="2"/>
  <c r="V113" i="2" s="1"/>
  <c r="U230" i="2"/>
  <c r="V230" i="2" s="1"/>
  <c r="U102" i="2"/>
  <c r="V102" i="2" s="1"/>
  <c r="U38" i="2"/>
  <c r="V38" i="2" s="1"/>
  <c r="U139" i="2"/>
  <c r="V139" i="2" s="1"/>
  <c r="U192" i="2"/>
  <c r="V192" i="2" s="1"/>
  <c r="U236" i="2"/>
  <c r="V236" i="2" s="1"/>
  <c r="U33" i="2"/>
  <c r="V33" i="2" s="1"/>
  <c r="U86" i="2"/>
  <c r="V86" i="2" s="1"/>
  <c r="U59" i="2"/>
  <c r="V59" i="2" s="1"/>
  <c r="U48" i="2"/>
  <c r="V48" i="2" s="1"/>
  <c r="U36" i="2"/>
  <c r="V36" i="2" s="1"/>
  <c r="U89" i="2"/>
  <c r="V89" i="2" s="1"/>
  <c r="U78" i="2"/>
  <c r="V78" i="2" s="1"/>
  <c r="U232" i="2"/>
  <c r="V232" i="2" s="1"/>
  <c r="U29" i="2"/>
  <c r="V29" i="2" s="1"/>
  <c r="U202" i="2"/>
  <c r="V202" i="2" s="1"/>
  <c r="U138" i="2"/>
  <c r="V138" i="2" s="1"/>
  <c r="U74" i="2"/>
  <c r="V74" i="2" s="1"/>
  <c r="U10" i="2"/>
  <c r="V10" i="2" s="1"/>
  <c r="U191" i="2"/>
  <c r="V191" i="2" s="1"/>
  <c r="U127" i="2"/>
  <c r="V127" i="2" s="1"/>
  <c r="U63" i="2"/>
  <c r="V63" i="2" s="1"/>
  <c r="U189" i="2"/>
  <c r="V189" i="2" s="1"/>
  <c r="U196" i="2"/>
  <c r="V196" i="2" s="1"/>
  <c r="U132" i="2"/>
  <c r="V132" i="2" s="1"/>
  <c r="U68" i="2"/>
  <c r="V68" i="2" s="1"/>
  <c r="U45" i="2"/>
  <c r="V45" i="2" s="1"/>
  <c r="U185" i="2"/>
  <c r="V185" i="2" s="1"/>
  <c r="U121" i="2"/>
  <c r="V121" i="2" s="1"/>
  <c r="U57" i="2"/>
  <c r="V57" i="2" s="1"/>
  <c r="U238" i="2"/>
  <c r="V238" i="2" s="1"/>
  <c r="U174" i="2"/>
  <c r="V174" i="2" s="1"/>
  <c r="U110" i="2"/>
  <c r="V110" i="2" s="1"/>
  <c r="U46" i="2"/>
  <c r="V46" i="2" s="1"/>
  <c r="U211" i="2"/>
  <c r="V211" i="2" s="1"/>
  <c r="U147" i="2"/>
  <c r="V147" i="2" s="1"/>
  <c r="U83" i="2"/>
  <c r="V83" i="2" s="1"/>
  <c r="U19" i="2"/>
  <c r="V19" i="2" s="1"/>
  <c r="U200" i="2"/>
  <c r="V200" i="2" s="1"/>
  <c r="U136" i="2"/>
  <c r="V136" i="2" s="1"/>
  <c r="U11" i="2"/>
  <c r="V11" i="2" s="1"/>
  <c r="U64" i="2"/>
  <c r="V64" i="2" s="1"/>
  <c r="U108" i="2"/>
  <c r="V108" i="2" s="1"/>
  <c r="U161" i="2"/>
  <c r="V161" i="2" s="1"/>
  <c r="U150" i="2"/>
  <c r="V150" i="2" s="1"/>
  <c r="U123" i="2"/>
  <c r="V123" i="2" s="1"/>
  <c r="U240" i="2"/>
  <c r="V240" i="2" s="1"/>
  <c r="U228" i="2"/>
  <c r="V228" i="2" s="1"/>
  <c r="U153" i="2"/>
  <c r="V153" i="2" s="1"/>
  <c r="U14" i="2"/>
  <c r="V14" i="2" s="1"/>
  <c r="U168" i="2"/>
  <c r="V168" i="2" s="1"/>
  <c r="U157" i="2"/>
  <c r="V157" i="2" s="1"/>
  <c r="U69" i="2"/>
  <c r="V69" i="2" s="1"/>
  <c r="U231" i="2"/>
  <c r="V231" i="2" s="1"/>
  <c r="U8" i="2"/>
  <c r="V8" i="2" s="1"/>
  <c r="U133" i="2"/>
  <c r="V133" i="2" s="1"/>
  <c r="U141" i="2"/>
  <c r="V141" i="2" s="1"/>
  <c r="U235" i="2"/>
  <c r="V235" i="2" s="1"/>
  <c r="U101" i="2"/>
  <c r="V101" i="2" s="1"/>
  <c r="U40" i="2"/>
  <c r="V40" i="2" s="1"/>
  <c r="U85" i="2"/>
  <c r="V85" i="2" s="1"/>
  <c r="U37" i="2"/>
  <c r="V37" i="2" s="1"/>
  <c r="U77" i="2"/>
  <c r="V77" i="2" s="1"/>
  <c r="U61" i="2"/>
  <c r="V61" i="2" s="1"/>
  <c r="AV231" i="4"/>
  <c r="AV616" i="4"/>
  <c r="I151" i="23"/>
  <c r="I172" i="23"/>
  <c r="I150" i="23"/>
  <c r="I173" i="23"/>
  <c r="AV811" i="4"/>
  <c r="AV554" i="4"/>
  <c r="AV9" i="4"/>
  <c r="AV344" i="4"/>
  <c r="AV234" i="4"/>
  <c r="AV345" i="4"/>
  <c r="AV186" i="4"/>
  <c r="AV162" i="4"/>
  <c r="AS953" i="4"/>
  <c r="AS438" i="4"/>
  <c r="AV438" i="4" s="1"/>
  <c r="I280" i="23"/>
  <c r="I154" i="23"/>
  <c r="I79" i="23"/>
  <c r="I279" i="23"/>
  <c r="I178" i="23"/>
  <c r="I170" i="23"/>
  <c r="I162" i="23"/>
  <c r="I95" i="23"/>
  <c r="I57" i="23"/>
  <c r="I277" i="23"/>
  <c r="I179" i="23"/>
  <c r="I169" i="23"/>
  <c r="I161" i="23"/>
  <c r="I152" i="23"/>
  <c r="I143" i="23"/>
  <c r="I96" i="23"/>
  <c r="I78" i="23"/>
  <c r="I56" i="23"/>
  <c r="I278" i="23"/>
  <c r="I177" i="23"/>
  <c r="I168" i="23"/>
  <c r="I160" i="23"/>
  <c r="I102" i="23"/>
  <c r="I94" i="23"/>
  <c r="I55" i="23"/>
  <c r="I20" i="23"/>
  <c r="I84" i="23"/>
  <c r="I77" i="23"/>
  <c r="I167" i="23"/>
  <c r="I101" i="23"/>
  <c r="I54" i="23"/>
  <c r="I19" i="23"/>
  <c r="I276" i="23"/>
  <c r="I176" i="23"/>
  <c r="I159" i="23"/>
  <c r="I149" i="23"/>
  <c r="I76" i="23"/>
  <c r="I185" i="23"/>
  <c r="I175" i="23"/>
  <c r="I166" i="23"/>
  <c r="I157" i="23"/>
  <c r="I148" i="23"/>
  <c r="I99" i="23"/>
  <c r="I83" i="23"/>
  <c r="I75" i="23"/>
  <c r="I53" i="23"/>
  <c r="I17" i="23"/>
  <c r="I155" i="23"/>
  <c r="I98" i="23"/>
  <c r="I59" i="23"/>
  <c r="I16" i="23"/>
  <c r="I180" i="23"/>
  <c r="I163" i="23"/>
  <c r="I97" i="23"/>
  <c r="I80" i="23"/>
  <c r="I50" i="23"/>
  <c r="I144" i="23"/>
  <c r="I13" i="23"/>
  <c r="I174" i="23"/>
  <c r="I165" i="23"/>
  <c r="I156" i="23"/>
  <c r="I147" i="23"/>
  <c r="I100" i="23"/>
  <c r="I82" i="23"/>
  <c r="I74" i="23"/>
  <c r="I52" i="23"/>
  <c r="I18" i="23"/>
  <c r="I181" i="23"/>
  <c r="I164" i="23"/>
  <c r="I146" i="23"/>
  <c r="I81" i="23"/>
  <c r="I51" i="23"/>
  <c r="I171" i="23"/>
  <c r="I145" i="23"/>
  <c r="I58" i="23"/>
  <c r="I15" i="23"/>
  <c r="I153" i="23"/>
  <c r="I14" i="23"/>
  <c r="AV801" i="4"/>
  <c r="AV670" i="4"/>
  <c r="AO32" i="17"/>
  <c r="AP32" i="17" s="1"/>
  <c r="AQ32" i="17" s="1"/>
  <c r="X32" i="17" s="1"/>
  <c r="W33" i="17"/>
  <c r="AV1036" i="4"/>
  <c r="AV511" i="4"/>
  <c r="W32" i="17"/>
  <c r="AN31" i="17"/>
  <c r="T29" i="17"/>
  <c r="T30" i="17"/>
  <c r="AN29" i="17"/>
  <c r="AN28" i="17"/>
  <c r="T28" i="17"/>
  <c r="T31" i="17"/>
  <c r="AN30" i="17"/>
  <c r="AV548" i="4"/>
  <c r="AV508" i="4"/>
  <c r="AS691" i="4"/>
  <c r="AV691" i="4" s="1"/>
  <c r="AV878" i="4"/>
  <c r="AS693" i="4"/>
  <c r="AV693" i="4" s="1"/>
  <c r="J4" i="20"/>
  <c r="I4" i="20"/>
  <c r="G4" i="20"/>
  <c r="F4" i="20"/>
  <c r="E4" i="20"/>
  <c r="L4" i="20"/>
  <c r="O4" i="20"/>
  <c r="D4" i="20"/>
  <c r="W3" i="17"/>
  <c r="H19" i="17" s="1"/>
  <c r="M4" i="20"/>
  <c r="AI41" i="25"/>
  <c r="E7" i="17"/>
  <c r="AS955" i="4"/>
  <c r="AV955" i="4" s="1"/>
  <c r="AV1030" i="4"/>
  <c r="AW52" i="17"/>
  <c r="AM52" i="17" s="1"/>
  <c r="E8" i="19"/>
  <c r="E55" i="12"/>
  <c r="E47" i="12"/>
  <c r="B9" i="26"/>
  <c r="AW54" i="17"/>
  <c r="AM54" i="17" s="1"/>
  <c r="AV1032" i="4"/>
  <c r="AV1037" i="4"/>
  <c r="AV1031" i="4"/>
  <c r="AV1038" i="4"/>
  <c r="AZ961" i="4"/>
  <c r="AZ888" i="4"/>
  <c r="AZ780" i="4"/>
  <c r="AZ768" i="4"/>
  <c r="AZ450" i="4"/>
  <c r="AZ691" i="4"/>
  <c r="AZ441" i="4"/>
  <c r="D56" i="6"/>
  <c r="AZ755" i="4"/>
  <c r="AZ529" i="4"/>
  <c r="AZ723" i="4"/>
  <c r="AZ683" i="4"/>
  <c r="AZ80" i="4"/>
  <c r="AZ29" i="4"/>
  <c r="AZ72" i="4"/>
  <c r="AZ61" i="4"/>
  <c r="AZ42" i="4"/>
  <c r="AZ34" i="4"/>
  <c r="AZ30" i="4"/>
  <c r="AZ909" i="4"/>
  <c r="AZ200" i="4"/>
  <c r="E7" i="19"/>
  <c r="AZ517" i="4"/>
  <c r="E12" i="19"/>
  <c r="AZ679" i="4"/>
  <c r="AZ661" i="4"/>
  <c r="AZ491" i="4"/>
  <c r="AZ250" i="4"/>
  <c r="AZ164" i="4"/>
  <c r="AZ825" i="4"/>
  <c r="AZ636" i="4"/>
  <c r="AZ632" i="4"/>
  <c r="AZ442" i="4"/>
  <c r="AZ635" i="4"/>
  <c r="AZ631" i="4"/>
  <c r="AZ262" i="4"/>
  <c r="AZ163" i="4"/>
  <c r="E13" i="19"/>
  <c r="AZ471" i="4"/>
  <c r="AZ385" i="4"/>
  <c r="AZ382" i="4"/>
  <c r="AZ265" i="4"/>
  <c r="AV557" i="4"/>
  <c r="AV301" i="4"/>
  <c r="AV29" i="4"/>
  <c r="AV787" i="4"/>
  <c r="AV551" i="4"/>
  <c r="AV170" i="4"/>
  <c r="AV788" i="4"/>
  <c r="AV905" i="4"/>
  <c r="AV555" i="4"/>
  <c r="AV279" i="4"/>
  <c r="AV969" i="4"/>
  <c r="AV268" i="4"/>
  <c r="AV485" i="4"/>
  <c r="AV900" i="4"/>
  <c r="AV458" i="4"/>
  <c r="AV556" i="4"/>
  <c r="AV184" i="4"/>
  <c r="AV28" i="4"/>
  <c r="AV292" i="4"/>
  <c r="AV468" i="4"/>
  <c r="AV642" i="4"/>
  <c r="AV30" i="4"/>
  <c r="AV441" i="4"/>
  <c r="AV587" i="4"/>
  <c r="AV255" i="4"/>
  <c r="AS33" i="4"/>
  <c r="AV33" i="4" s="1"/>
  <c r="AS32" i="4"/>
  <c r="AV32" i="4" s="1"/>
  <c r="AS31" i="4"/>
  <c r="AV31" i="4" s="1"/>
  <c r="AW53" i="17"/>
  <c r="AM53" i="17" s="1"/>
  <c r="AW50" i="17"/>
  <c r="AM50" i="17" s="1"/>
  <c r="AW56" i="17"/>
  <c r="AM56" i="17" s="1"/>
  <c r="AW51" i="17"/>
  <c r="AM51" i="17" s="1"/>
  <c r="AW49" i="17"/>
  <c r="AM49" i="17" s="1"/>
  <c r="AV786" i="4"/>
  <c r="AV1046" i="4"/>
  <c r="AV858" i="4"/>
  <c r="AV239" i="4"/>
  <c r="AV478" i="4"/>
  <c r="AV956" i="4"/>
  <c r="AV463" i="4"/>
  <c r="AV959" i="4"/>
  <c r="AV957" i="4"/>
  <c r="AV891" i="4"/>
  <c r="AV860" i="4"/>
  <c r="AV885" i="4"/>
  <c r="AV639" i="4"/>
  <c r="AV902" i="4"/>
  <c r="AV637" i="4"/>
  <c r="AV182" i="4"/>
  <c r="AV375" i="4"/>
  <c r="AV851" i="4"/>
  <c r="AV484" i="4"/>
  <c r="AV443" i="4"/>
  <c r="AV376" i="4"/>
  <c r="AV571" i="4"/>
  <c r="AV850" i="4"/>
  <c r="AV480" i="4"/>
  <c r="AV958" i="4"/>
  <c r="AV479" i="4"/>
  <c r="AV862" i="4"/>
  <c r="AV640" i="4"/>
  <c r="AV658" i="4"/>
  <c r="AV183" i="4"/>
  <c r="AV681" i="4"/>
  <c r="AV643" i="4"/>
  <c r="AV790" i="4"/>
  <c r="AV267" i="4"/>
  <c r="AV164" i="4"/>
  <c r="AV888" i="4"/>
  <c r="AV442" i="4"/>
  <c r="AV652" i="4"/>
  <c r="AV516" i="4"/>
  <c r="AV893" i="4"/>
  <c r="AV486" i="4"/>
  <c r="AV789" i="4"/>
  <c r="AV791" i="4"/>
  <c r="AV641" i="4"/>
  <c r="AV912" i="4"/>
  <c r="AV348" i="4"/>
  <c r="AV254" i="4"/>
  <c r="AV593" i="4"/>
  <c r="AV353" i="4"/>
  <c r="AV998" i="4"/>
  <c r="AV462" i="4"/>
  <c r="AV1051" i="4"/>
  <c r="AV257" i="4"/>
  <c r="AV355" i="4"/>
  <c r="AV350" i="4"/>
  <c r="AV379" i="4"/>
  <c r="AV686" i="4"/>
  <c r="AV897" i="4"/>
  <c r="AV910" i="4"/>
  <c r="AV11" i="4"/>
  <c r="AV349" i="4"/>
  <c r="AV347" i="4"/>
  <c r="AV354" i="4"/>
  <c r="AV351" i="4"/>
  <c r="AV953" i="4"/>
  <c r="AV75" i="4"/>
  <c r="AV945" i="4"/>
  <c r="AV256" i="4"/>
  <c r="AV171" i="4"/>
  <c r="AV352" i="4"/>
  <c r="AV954" i="4"/>
  <c r="AV917" i="4"/>
  <c r="I17" i="17"/>
  <c r="AI12" i="17"/>
  <c r="AB13" i="17" s="1"/>
  <c r="I16" i="17"/>
  <c r="E9" i="19"/>
  <c r="AF25" i="17"/>
  <c r="D61" i="5"/>
  <c r="D59" i="5"/>
  <c r="D57" i="5"/>
  <c r="D62" i="5"/>
  <c r="D60" i="5"/>
  <c r="D58" i="5"/>
  <c r="D56" i="5"/>
  <c r="AD40" i="18"/>
  <c r="A26" i="23"/>
  <c r="AD89" i="18"/>
  <c r="Q63" i="17"/>
  <c r="E6" i="19"/>
  <c r="A56" i="23"/>
  <c r="H17" i="17"/>
  <c r="E10" i="19"/>
  <c r="H16" i="17"/>
  <c r="V2" i="2" l="1"/>
  <c r="AZ1014" i="4"/>
  <c r="AZ574" i="4"/>
  <c r="AL31" i="17"/>
  <c r="AM31" i="17" s="1"/>
  <c r="U31" i="17"/>
  <c r="AO31" i="17" s="1"/>
  <c r="AL30" i="17"/>
  <c r="AM30" i="17" s="1"/>
  <c r="U30" i="17"/>
  <c r="AL28" i="17"/>
  <c r="AM28" i="17" s="1"/>
  <c r="U28" i="17"/>
  <c r="AL29" i="17"/>
  <c r="AM29" i="17" s="1"/>
  <c r="U29" i="17"/>
  <c r="B45" i="13"/>
  <c r="N171" i="7"/>
  <c r="AZ925" i="4"/>
  <c r="AZ717" i="4"/>
  <c r="E11" i="19"/>
  <c r="B8" i="13"/>
  <c r="N169" i="7"/>
  <c r="AZ882" i="4"/>
  <c r="AZ704" i="4"/>
  <c r="AZ174" i="4"/>
  <c r="S25" i="17"/>
  <c r="N602" i="7"/>
  <c r="N165" i="7"/>
  <c r="AZ1066" i="4"/>
  <c r="AZ791" i="4"/>
  <c r="AZ530" i="4"/>
  <c r="AZ158" i="4"/>
  <c r="AC11" i="18"/>
  <c r="N593" i="7"/>
  <c r="N167" i="7"/>
  <c r="AZ1062" i="4"/>
  <c r="AZ827" i="4"/>
  <c r="AZ439" i="4"/>
  <c r="AZ142" i="4"/>
  <c r="B3" i="13"/>
  <c r="N592" i="7"/>
  <c r="N164" i="7"/>
  <c r="AZ929" i="4"/>
  <c r="AZ782" i="4"/>
  <c r="AZ332" i="4"/>
  <c r="AZ20" i="4"/>
  <c r="AC8" i="18"/>
  <c r="N591" i="7"/>
  <c r="N100" i="7"/>
  <c r="AZ914" i="4"/>
  <c r="AZ759" i="4"/>
  <c r="AZ285" i="4"/>
  <c r="AC10" i="18"/>
  <c r="AC12" i="18"/>
  <c r="N588" i="7"/>
  <c r="AZ1010" i="4"/>
  <c r="AZ781" i="4"/>
  <c r="AZ226" i="4"/>
  <c r="AC7" i="18"/>
  <c r="AC9" i="18"/>
  <c r="AZ32" i="4"/>
  <c r="N232" i="7"/>
  <c r="AZ933" i="4"/>
  <c r="AZ762" i="4"/>
  <c r="AZ44" i="4"/>
  <c r="N88" i="7"/>
  <c r="AZ608" i="4"/>
  <c r="AZ899" i="4"/>
  <c r="AZ532" i="4"/>
  <c r="AZ452" i="4"/>
  <c r="AZ918" i="4"/>
  <c r="AZ696" i="4"/>
  <c r="AZ923" i="4"/>
  <c r="AZ468" i="4"/>
  <c r="AZ1047" i="4"/>
  <c r="AZ601" i="4"/>
  <c r="AZ569" i="4"/>
  <c r="AZ879" i="4"/>
  <c r="AZ700" i="4"/>
  <c r="AZ361" i="4"/>
  <c r="E41" i="12"/>
  <c r="AZ922" i="4"/>
  <c r="AZ590" i="4"/>
  <c r="AZ558" i="4"/>
  <c r="AZ522" i="4"/>
  <c r="N444" i="7"/>
  <c r="AZ915" i="4"/>
  <c r="AZ573" i="4"/>
  <c r="AZ593" i="4"/>
  <c r="AZ583" i="4"/>
  <c r="N302" i="7"/>
  <c r="AZ911" i="4"/>
  <c r="AZ563" i="4"/>
  <c r="AZ490" i="4"/>
  <c r="AZ865" i="4"/>
  <c r="AZ449" i="4"/>
  <c r="D66" i="5"/>
  <c r="D93" i="6"/>
  <c r="D17" i="6"/>
  <c r="E30" i="20" s="1"/>
  <c r="D124" i="5"/>
  <c r="D94" i="6"/>
  <c r="D125" i="5"/>
  <c r="D294" i="5"/>
  <c r="D12" i="6"/>
  <c r="D91" i="6"/>
  <c r="B41" i="6"/>
  <c r="Q41" i="6" s="1"/>
  <c r="D30" i="6"/>
  <c r="D92" i="6"/>
  <c r="D75" i="5"/>
  <c r="D70" i="5"/>
  <c r="D169" i="5"/>
  <c r="D90" i="6"/>
  <c r="D304" i="5"/>
  <c r="D73" i="5"/>
  <c r="D45" i="6"/>
  <c r="D67" i="5"/>
  <c r="D6" i="5"/>
  <c r="D97" i="6"/>
  <c r="D168" i="5"/>
  <c r="D123" i="5"/>
  <c r="D157" i="6"/>
  <c r="D46" i="6"/>
  <c r="D272" i="5"/>
  <c r="D71" i="5"/>
  <c r="B39" i="6"/>
  <c r="Q39" i="6" s="1"/>
  <c r="D124" i="6"/>
  <c r="D72" i="5"/>
  <c r="D221" i="5"/>
  <c r="D271" i="5"/>
  <c r="D96" i="6"/>
  <c r="B38" i="6"/>
  <c r="Q38" i="6" s="1"/>
  <c r="B35" i="6"/>
  <c r="Q35" i="6" s="1"/>
  <c r="D26" i="6"/>
  <c r="D147" i="6"/>
  <c r="D44" i="6"/>
  <c r="D228" i="5"/>
  <c r="D69" i="5"/>
  <c r="D19" i="6"/>
  <c r="D100" i="6"/>
  <c r="D76" i="5"/>
  <c r="D99" i="6"/>
  <c r="D142" i="5"/>
  <c r="E22" i="20" s="1"/>
  <c r="B40" i="6"/>
  <c r="Q40" i="6" s="1"/>
  <c r="D68" i="5"/>
  <c r="D114" i="5"/>
  <c r="D197" i="5"/>
  <c r="D95" i="6"/>
  <c r="N350" i="7"/>
  <c r="N339" i="7"/>
  <c r="N316" i="7"/>
  <c r="N193" i="7"/>
  <c r="N298" i="7"/>
  <c r="N296" i="7"/>
  <c r="N116" i="7"/>
  <c r="N115" i="7"/>
  <c r="N111" i="7"/>
  <c r="N119" i="7"/>
  <c r="N114" i="7"/>
  <c r="N109" i="7"/>
  <c r="N120" i="7"/>
  <c r="N107" i="7"/>
  <c r="N103" i="7"/>
  <c r="N68" i="7"/>
  <c r="N67" i="7"/>
  <c r="N105" i="7"/>
  <c r="N61" i="7"/>
  <c r="N487" i="7"/>
  <c r="N450" i="7"/>
  <c r="N472" i="7"/>
  <c r="N467" i="7"/>
  <c r="N464" i="7"/>
  <c r="N460" i="7"/>
  <c r="N443" i="7"/>
  <c r="N242" i="7"/>
  <c r="N356" i="7"/>
  <c r="N439" i="7"/>
  <c r="N433" i="7"/>
  <c r="N138" i="7"/>
  <c r="N133" i="7"/>
  <c r="N137" i="7"/>
  <c r="N144" i="7"/>
  <c r="N132" i="7"/>
  <c r="N85" i="7"/>
  <c r="N84" i="7"/>
  <c r="N550" i="7"/>
  <c r="N520" i="7"/>
  <c r="B56" i="26"/>
  <c r="B26" i="26"/>
  <c r="N545" i="7"/>
  <c r="N534" i="7"/>
  <c r="E37" i="12"/>
  <c r="N557" i="7"/>
  <c r="N511" i="7"/>
  <c r="B37" i="26"/>
  <c r="E20" i="12"/>
  <c r="N509" i="7"/>
  <c r="N495" i="7"/>
  <c r="N559" i="7"/>
  <c r="N154" i="7"/>
  <c r="N150" i="7"/>
  <c r="N156" i="7"/>
  <c r="N152" i="7"/>
  <c r="N151" i="7"/>
  <c r="N149" i="7"/>
  <c r="N157" i="7"/>
  <c r="N147" i="7"/>
  <c r="N155" i="7"/>
  <c r="N24" i="7"/>
  <c r="N96" i="7"/>
  <c r="N95" i="7"/>
  <c r="N93" i="7"/>
  <c r="N91" i="7"/>
  <c r="N89" i="7"/>
  <c r="B3" i="26"/>
  <c r="B6" i="26"/>
  <c r="B2" i="13"/>
  <c r="N478" i="7"/>
  <c r="N396" i="7"/>
  <c r="N390" i="7"/>
  <c r="N385" i="7"/>
  <c r="N383" i="7"/>
  <c r="N381" i="7"/>
  <c r="N397" i="7"/>
  <c r="N418" i="7"/>
  <c r="N375" i="7"/>
  <c r="N409" i="7"/>
  <c r="N374" i="7"/>
  <c r="N126" i="7"/>
  <c r="N128" i="7"/>
  <c r="N125" i="7"/>
  <c r="N121" i="7"/>
  <c r="N131" i="7"/>
  <c r="N79" i="7"/>
  <c r="N74" i="7"/>
  <c r="N139" i="7"/>
  <c r="AE49" i="17"/>
  <c r="AE50" i="17" s="1"/>
  <c r="AZ1008" i="4"/>
  <c r="AZ1015" i="4"/>
  <c r="AZ808" i="4"/>
  <c r="AZ804" i="4"/>
  <c r="AZ670" i="4"/>
  <c r="AZ508" i="4"/>
  <c r="AZ276" i="4"/>
  <c r="AZ431" i="4"/>
  <c r="AZ315" i="4"/>
  <c r="AZ89" i="4"/>
  <c r="AZ196" i="4"/>
  <c r="AZ151" i="4"/>
  <c r="AZ141" i="4"/>
  <c r="AZ92" i="4"/>
  <c r="AZ64" i="4"/>
  <c r="AZ199" i="4"/>
  <c r="AZ195" i="4"/>
  <c r="AZ120" i="4"/>
  <c r="AZ91" i="4"/>
  <c r="AZ944" i="4"/>
  <c r="AZ809" i="4"/>
  <c r="AZ567" i="4"/>
  <c r="AZ482" i="4"/>
  <c r="AZ741" i="4"/>
  <c r="AZ641" i="4"/>
  <c r="AZ480" i="4"/>
  <c r="AZ267" i="4"/>
  <c r="B29" i="13"/>
  <c r="AZ1052" i="4"/>
  <c r="AZ775" i="4"/>
  <c r="AZ739" i="4"/>
  <c r="AZ476" i="4"/>
  <c r="AZ536" i="4"/>
  <c r="AZ394" i="4"/>
  <c r="AZ360" i="4"/>
  <c r="B19" i="13"/>
  <c r="AZ964" i="4"/>
  <c r="AZ831" i="4"/>
  <c r="AZ660" i="4"/>
  <c r="AZ161" i="4"/>
  <c r="AZ36" i="4"/>
  <c r="B22" i="13"/>
  <c r="B79" i="13"/>
  <c r="L5" i="17"/>
  <c r="R5" i="17" s="1"/>
  <c r="B17" i="13"/>
  <c r="B220" i="5"/>
  <c r="P220" i="5" s="1"/>
  <c r="B37" i="13"/>
  <c r="AQ22" i="17"/>
  <c r="AK22" i="17"/>
  <c r="B46" i="13"/>
  <c r="B20" i="13"/>
  <c r="AE22" i="17"/>
  <c r="Q8" i="5" l="1"/>
  <c r="R8" i="5" s="1"/>
  <c r="Q72" i="5"/>
  <c r="R72" i="5" s="1"/>
  <c r="Q136" i="5"/>
  <c r="R136" i="5" s="1"/>
  <c r="Q200" i="5"/>
  <c r="R200" i="5" s="1"/>
  <c r="Q41" i="5"/>
  <c r="R41" i="5" s="1"/>
  <c r="Q105" i="5"/>
  <c r="R105" i="5" s="1"/>
  <c r="Q169" i="5"/>
  <c r="R169" i="5" s="1"/>
  <c r="Q233" i="5"/>
  <c r="R233" i="5" s="1"/>
  <c r="Q297" i="5"/>
  <c r="R297" i="5" s="1"/>
  <c r="Q50" i="5"/>
  <c r="R50" i="5" s="1"/>
  <c r="Q114" i="5"/>
  <c r="R114" i="5" s="1"/>
  <c r="Q178" i="5"/>
  <c r="R178" i="5" s="1"/>
  <c r="Q242" i="5"/>
  <c r="R242" i="5" s="1"/>
  <c r="Q306" i="5"/>
  <c r="R306" i="5" s="1"/>
  <c r="Q51" i="5"/>
  <c r="R51" i="5" s="1"/>
  <c r="Q115" i="5"/>
  <c r="R115" i="5" s="1"/>
  <c r="Q179" i="5"/>
  <c r="R179" i="5" s="1"/>
  <c r="Q243" i="5"/>
  <c r="R243" i="5" s="1"/>
  <c r="Q307" i="5"/>
  <c r="R307" i="5" s="1"/>
  <c r="Q60" i="5"/>
  <c r="R60" i="5" s="1"/>
  <c r="Q124" i="5"/>
  <c r="R124" i="5" s="1"/>
  <c r="Q188" i="5"/>
  <c r="R188" i="5" s="1"/>
  <c r="Q252" i="5"/>
  <c r="R252" i="5" s="1"/>
  <c r="Q5" i="5"/>
  <c r="R5" i="5" s="1"/>
  <c r="Q69" i="5"/>
  <c r="R69" i="5" s="1"/>
  <c r="Q133" i="5"/>
  <c r="R133" i="5" s="1"/>
  <c r="Q197" i="5"/>
  <c r="R197" i="5" s="1"/>
  <c r="Q261" i="5"/>
  <c r="R261" i="5" s="1"/>
  <c r="Q7" i="5"/>
  <c r="R7" i="5" s="1"/>
  <c r="Q71" i="5"/>
  <c r="R71" i="5" s="1"/>
  <c r="Q135" i="5"/>
  <c r="R135" i="5" s="1"/>
  <c r="Q199" i="5"/>
  <c r="R199" i="5" s="1"/>
  <c r="Q263" i="5"/>
  <c r="R263" i="5" s="1"/>
  <c r="Q78" i="5"/>
  <c r="R78" i="5" s="1"/>
  <c r="Q86" i="5"/>
  <c r="R86" i="5" s="1"/>
  <c r="Q222" i="5"/>
  <c r="R222" i="5" s="1"/>
  <c r="Q230" i="5"/>
  <c r="R230" i="5" s="1"/>
  <c r="Q264" i="5"/>
  <c r="R264" i="5" s="1"/>
  <c r="Q270" i="5"/>
  <c r="R270" i="5" s="1"/>
  <c r="Q16" i="5"/>
  <c r="R16" i="5" s="1"/>
  <c r="Q80" i="5"/>
  <c r="R80" i="5" s="1"/>
  <c r="Q144" i="5"/>
  <c r="R144" i="5" s="1"/>
  <c r="Q208" i="5"/>
  <c r="R208" i="5" s="1"/>
  <c r="Q49" i="5"/>
  <c r="R49" i="5" s="1"/>
  <c r="Q113" i="5"/>
  <c r="R113" i="5" s="1"/>
  <c r="Q177" i="5"/>
  <c r="R177" i="5" s="1"/>
  <c r="Q241" i="5"/>
  <c r="R241" i="5" s="1"/>
  <c r="Q305" i="5"/>
  <c r="R305" i="5" s="1"/>
  <c r="Q58" i="5"/>
  <c r="R58" i="5" s="1"/>
  <c r="Q122" i="5"/>
  <c r="R122" i="5" s="1"/>
  <c r="Q186" i="5"/>
  <c r="R186" i="5" s="1"/>
  <c r="Q250" i="5"/>
  <c r="R250" i="5" s="1"/>
  <c r="Q2" i="5"/>
  <c r="Q59" i="5"/>
  <c r="R59" i="5" s="1"/>
  <c r="Q123" i="5"/>
  <c r="R123" i="5" s="1"/>
  <c r="Q187" i="5"/>
  <c r="R187" i="5" s="1"/>
  <c r="Q251" i="5"/>
  <c r="R251" i="5" s="1"/>
  <c r="Q4" i="5"/>
  <c r="R4" i="5" s="1"/>
  <c r="Q68" i="5"/>
  <c r="R68" i="5" s="1"/>
  <c r="Q132" i="5"/>
  <c r="R132" i="5" s="1"/>
  <c r="Q196" i="5"/>
  <c r="R196" i="5" s="1"/>
  <c r="Q260" i="5"/>
  <c r="R260" i="5" s="1"/>
  <c r="Q13" i="5"/>
  <c r="R13" i="5" s="1"/>
  <c r="Q77" i="5"/>
  <c r="R77" i="5" s="1"/>
  <c r="Q141" i="5"/>
  <c r="R141" i="5" s="1"/>
  <c r="Q205" i="5"/>
  <c r="R205" i="5" s="1"/>
  <c r="Q269" i="5"/>
  <c r="R269" i="5" s="1"/>
  <c r="Q15" i="5"/>
  <c r="R15" i="5" s="1"/>
  <c r="Q79" i="5"/>
  <c r="R79" i="5" s="1"/>
  <c r="Q143" i="5"/>
  <c r="R143" i="5" s="1"/>
  <c r="Q207" i="5"/>
  <c r="R207" i="5" s="1"/>
  <c r="Q271" i="5"/>
  <c r="R271" i="5" s="1"/>
  <c r="Q142" i="5"/>
  <c r="R142" i="5" s="1"/>
  <c r="Q150" i="5"/>
  <c r="R150" i="5" s="1"/>
  <c r="Q256" i="5"/>
  <c r="R256" i="5" s="1"/>
  <c r="Q262" i="5"/>
  <c r="R262" i="5" s="1"/>
  <c r="Q296" i="5"/>
  <c r="R296" i="5" s="1"/>
  <c r="Q302" i="5"/>
  <c r="R302" i="5" s="1"/>
  <c r="Q24" i="5"/>
  <c r="R24" i="5" s="1"/>
  <c r="Q88" i="5"/>
  <c r="R88" i="5" s="1"/>
  <c r="Q152" i="5"/>
  <c r="R152" i="5" s="1"/>
  <c r="Q216" i="5"/>
  <c r="R216" i="5" s="1"/>
  <c r="Q57" i="5"/>
  <c r="R57" i="5" s="1"/>
  <c r="Q121" i="5"/>
  <c r="R121" i="5" s="1"/>
  <c r="Q185" i="5"/>
  <c r="R185" i="5" s="1"/>
  <c r="Q249" i="5"/>
  <c r="R249" i="5" s="1"/>
  <c r="Q313" i="5"/>
  <c r="R313" i="5" s="1"/>
  <c r="Q66" i="5"/>
  <c r="R66" i="5" s="1"/>
  <c r="Q130" i="5"/>
  <c r="R130" i="5" s="1"/>
  <c r="Q194" i="5"/>
  <c r="R194" i="5" s="1"/>
  <c r="Q258" i="5"/>
  <c r="R258" i="5" s="1"/>
  <c r="Q3" i="5"/>
  <c r="R3" i="5" s="1"/>
  <c r="Q67" i="5"/>
  <c r="R67" i="5" s="1"/>
  <c r="Q131" i="5"/>
  <c r="R131" i="5" s="1"/>
  <c r="Q195" i="5"/>
  <c r="R195" i="5" s="1"/>
  <c r="Q259" i="5"/>
  <c r="R259" i="5" s="1"/>
  <c r="Q12" i="5"/>
  <c r="R12" i="5" s="1"/>
  <c r="Q76" i="5"/>
  <c r="R76" i="5" s="1"/>
  <c r="Q140" i="5"/>
  <c r="R140" i="5" s="1"/>
  <c r="Q204" i="5"/>
  <c r="R204" i="5" s="1"/>
  <c r="Q268" i="5"/>
  <c r="R268" i="5" s="1"/>
  <c r="Q21" i="5"/>
  <c r="R21" i="5" s="1"/>
  <c r="Q85" i="5"/>
  <c r="R85" i="5" s="1"/>
  <c r="Q149" i="5"/>
  <c r="R149" i="5" s="1"/>
  <c r="Q213" i="5"/>
  <c r="R213" i="5" s="1"/>
  <c r="Q277" i="5"/>
  <c r="R277" i="5" s="1"/>
  <c r="Q23" i="5"/>
  <c r="R23" i="5" s="1"/>
  <c r="Q87" i="5"/>
  <c r="R87" i="5" s="1"/>
  <c r="Q151" i="5"/>
  <c r="R151" i="5" s="1"/>
  <c r="Q215" i="5"/>
  <c r="R215" i="5" s="1"/>
  <c r="Q279" i="5"/>
  <c r="R279" i="5" s="1"/>
  <c r="Q206" i="5"/>
  <c r="R206" i="5" s="1"/>
  <c r="Q214" i="5"/>
  <c r="R214" i="5" s="1"/>
  <c r="Q288" i="5"/>
  <c r="R288" i="5" s="1"/>
  <c r="Q294" i="5"/>
  <c r="R294" i="5" s="1"/>
  <c r="Q126" i="5"/>
  <c r="R126" i="5" s="1"/>
  <c r="Q62" i="5"/>
  <c r="R62" i="5" s="1"/>
  <c r="Q32" i="5"/>
  <c r="R32" i="5" s="1"/>
  <c r="Q96" i="5"/>
  <c r="R96" i="5" s="1"/>
  <c r="Q160" i="5"/>
  <c r="R160" i="5" s="1"/>
  <c r="Q224" i="5"/>
  <c r="R224" i="5" s="1"/>
  <c r="Q65" i="5"/>
  <c r="R65" i="5" s="1"/>
  <c r="Q129" i="5"/>
  <c r="R129" i="5" s="1"/>
  <c r="Q193" i="5"/>
  <c r="R193" i="5" s="1"/>
  <c r="Q257" i="5"/>
  <c r="R257" i="5" s="1"/>
  <c r="Q10" i="5"/>
  <c r="R10" i="5" s="1"/>
  <c r="Q74" i="5"/>
  <c r="R74" i="5" s="1"/>
  <c r="Q138" i="5"/>
  <c r="R138" i="5" s="1"/>
  <c r="Q202" i="5"/>
  <c r="R202" i="5" s="1"/>
  <c r="Q266" i="5"/>
  <c r="R266" i="5" s="1"/>
  <c r="Q11" i="5"/>
  <c r="R11" i="5" s="1"/>
  <c r="Q75" i="5"/>
  <c r="R75" i="5" s="1"/>
  <c r="Q139" i="5"/>
  <c r="R139" i="5" s="1"/>
  <c r="Q203" i="5"/>
  <c r="R203" i="5" s="1"/>
  <c r="Q267" i="5"/>
  <c r="R267" i="5" s="1"/>
  <c r="Q20" i="5"/>
  <c r="R20" i="5" s="1"/>
  <c r="Q84" i="5"/>
  <c r="R84" i="5" s="1"/>
  <c r="Q148" i="5"/>
  <c r="R148" i="5" s="1"/>
  <c r="Q212" i="5"/>
  <c r="R212" i="5" s="1"/>
  <c r="Q276" i="5"/>
  <c r="R276" i="5" s="1"/>
  <c r="Q29" i="5"/>
  <c r="R29" i="5" s="1"/>
  <c r="Q93" i="5"/>
  <c r="R93" i="5" s="1"/>
  <c r="Q157" i="5"/>
  <c r="R157" i="5" s="1"/>
  <c r="Q221" i="5"/>
  <c r="R221" i="5" s="1"/>
  <c r="Q285" i="5"/>
  <c r="R285" i="5" s="1"/>
  <c r="Q31" i="5"/>
  <c r="R31" i="5" s="1"/>
  <c r="Q95" i="5"/>
  <c r="R95" i="5" s="1"/>
  <c r="Q159" i="5"/>
  <c r="R159" i="5" s="1"/>
  <c r="Q223" i="5"/>
  <c r="R223" i="5" s="1"/>
  <c r="Q287" i="5"/>
  <c r="R287" i="5" s="1"/>
  <c r="Q248" i="5"/>
  <c r="R248" i="5" s="1"/>
  <c r="Q254" i="5"/>
  <c r="R254" i="5" s="1"/>
  <c r="Q190" i="5"/>
  <c r="R190" i="5" s="1"/>
  <c r="Q240" i="5"/>
  <c r="R240" i="5" s="1"/>
  <c r="Q310" i="5"/>
  <c r="R310" i="5" s="1"/>
  <c r="Q272" i="5"/>
  <c r="R272" i="5" s="1"/>
  <c r="Q40" i="5"/>
  <c r="R40" i="5" s="1"/>
  <c r="Q104" i="5"/>
  <c r="R104" i="5" s="1"/>
  <c r="Q168" i="5"/>
  <c r="R168" i="5" s="1"/>
  <c r="Q9" i="5"/>
  <c r="R9" i="5" s="1"/>
  <c r="Q73" i="5"/>
  <c r="R73" i="5" s="1"/>
  <c r="Q137" i="5"/>
  <c r="R137" i="5" s="1"/>
  <c r="Q201" i="5"/>
  <c r="R201" i="5" s="1"/>
  <c r="Q265" i="5"/>
  <c r="R265" i="5" s="1"/>
  <c r="Q18" i="5"/>
  <c r="R18" i="5" s="1"/>
  <c r="Q82" i="5"/>
  <c r="R82" i="5" s="1"/>
  <c r="Q146" i="5"/>
  <c r="R146" i="5" s="1"/>
  <c r="Q210" i="5"/>
  <c r="R210" i="5" s="1"/>
  <c r="Q274" i="5"/>
  <c r="R274" i="5" s="1"/>
  <c r="Q19" i="5"/>
  <c r="R19" i="5" s="1"/>
  <c r="Q83" i="5"/>
  <c r="R83" i="5" s="1"/>
  <c r="Q147" i="5"/>
  <c r="R147" i="5" s="1"/>
  <c r="Q211" i="5"/>
  <c r="R211" i="5" s="1"/>
  <c r="Q275" i="5"/>
  <c r="R275" i="5" s="1"/>
  <c r="Q28" i="5"/>
  <c r="R28" i="5" s="1"/>
  <c r="Q92" i="5"/>
  <c r="R92" i="5" s="1"/>
  <c r="Q156" i="5"/>
  <c r="R156" i="5" s="1"/>
  <c r="Q220" i="5"/>
  <c r="R220" i="5" s="1"/>
  <c r="Q284" i="5"/>
  <c r="R284" i="5" s="1"/>
  <c r="Q37" i="5"/>
  <c r="R37" i="5" s="1"/>
  <c r="Q101" i="5"/>
  <c r="R101" i="5" s="1"/>
  <c r="Q165" i="5"/>
  <c r="R165" i="5" s="1"/>
  <c r="Q229" i="5"/>
  <c r="R229" i="5" s="1"/>
  <c r="Q293" i="5"/>
  <c r="R293" i="5" s="1"/>
  <c r="Q39" i="5"/>
  <c r="R39" i="5" s="1"/>
  <c r="Q103" i="5"/>
  <c r="R103" i="5" s="1"/>
  <c r="Q167" i="5"/>
  <c r="R167" i="5" s="1"/>
  <c r="Q231" i="5"/>
  <c r="R231" i="5" s="1"/>
  <c r="Q295" i="5"/>
  <c r="R295" i="5" s="1"/>
  <c r="Q280" i="5"/>
  <c r="R280" i="5" s="1"/>
  <c r="Q286" i="5"/>
  <c r="R286" i="5" s="1"/>
  <c r="Q304" i="5"/>
  <c r="R304" i="5" s="1"/>
  <c r="Q46" i="5"/>
  <c r="R46" i="5" s="1"/>
  <c r="Q54" i="5"/>
  <c r="R54" i="5" s="1"/>
  <c r="Q70" i="5"/>
  <c r="R70" i="5" s="1"/>
  <c r="Q48" i="5"/>
  <c r="R48" i="5" s="1"/>
  <c r="Q112" i="5"/>
  <c r="R112" i="5" s="1"/>
  <c r="Q176" i="5"/>
  <c r="R176" i="5" s="1"/>
  <c r="Q17" i="5"/>
  <c r="R17" i="5" s="1"/>
  <c r="Q81" i="5"/>
  <c r="R81" i="5" s="1"/>
  <c r="Q145" i="5"/>
  <c r="R145" i="5" s="1"/>
  <c r="Q209" i="5"/>
  <c r="R209" i="5" s="1"/>
  <c r="Q273" i="5"/>
  <c r="R273" i="5" s="1"/>
  <c r="Q26" i="5"/>
  <c r="R26" i="5" s="1"/>
  <c r="Q90" i="5"/>
  <c r="R90" i="5" s="1"/>
  <c r="Q154" i="5"/>
  <c r="R154" i="5" s="1"/>
  <c r="Q218" i="5"/>
  <c r="R218" i="5" s="1"/>
  <c r="Q282" i="5"/>
  <c r="R282" i="5" s="1"/>
  <c r="Q27" i="5"/>
  <c r="R27" i="5" s="1"/>
  <c r="Q91" i="5"/>
  <c r="R91" i="5" s="1"/>
  <c r="Q155" i="5"/>
  <c r="R155" i="5" s="1"/>
  <c r="Q219" i="5"/>
  <c r="R219" i="5" s="1"/>
  <c r="Q283" i="5"/>
  <c r="R283" i="5" s="1"/>
  <c r="Q36" i="5"/>
  <c r="R36" i="5" s="1"/>
  <c r="Q100" i="5"/>
  <c r="R100" i="5" s="1"/>
  <c r="Q164" i="5"/>
  <c r="R164" i="5" s="1"/>
  <c r="Q228" i="5"/>
  <c r="R228" i="5" s="1"/>
  <c r="Q292" i="5"/>
  <c r="R292" i="5" s="1"/>
  <c r="Q45" i="5"/>
  <c r="R45" i="5" s="1"/>
  <c r="Q109" i="5"/>
  <c r="R109" i="5" s="1"/>
  <c r="Q173" i="5"/>
  <c r="R173" i="5" s="1"/>
  <c r="Q237" i="5"/>
  <c r="R237" i="5" s="1"/>
  <c r="Q301" i="5"/>
  <c r="R301" i="5" s="1"/>
  <c r="Q47" i="5"/>
  <c r="R47" i="5" s="1"/>
  <c r="Q111" i="5"/>
  <c r="R111" i="5" s="1"/>
  <c r="Q175" i="5"/>
  <c r="R175" i="5" s="1"/>
  <c r="Q239" i="5"/>
  <c r="R239" i="5" s="1"/>
  <c r="Q303" i="5"/>
  <c r="R303" i="5" s="1"/>
  <c r="Q312" i="5"/>
  <c r="R312" i="5" s="1"/>
  <c r="Q30" i="5"/>
  <c r="R30" i="5" s="1"/>
  <c r="Q38" i="5"/>
  <c r="R38" i="5" s="1"/>
  <c r="Q110" i="5"/>
  <c r="R110" i="5" s="1"/>
  <c r="Q118" i="5"/>
  <c r="R118" i="5" s="1"/>
  <c r="Q134" i="5"/>
  <c r="R134" i="5" s="1"/>
  <c r="Q56" i="5"/>
  <c r="R56" i="5" s="1"/>
  <c r="Q120" i="5"/>
  <c r="R120" i="5" s="1"/>
  <c r="Q184" i="5"/>
  <c r="R184" i="5" s="1"/>
  <c r="Q25" i="5"/>
  <c r="R25" i="5" s="1"/>
  <c r="Q89" i="5"/>
  <c r="R89" i="5" s="1"/>
  <c r="Q153" i="5"/>
  <c r="R153" i="5" s="1"/>
  <c r="Q217" i="5"/>
  <c r="R217" i="5" s="1"/>
  <c r="Q281" i="5"/>
  <c r="R281" i="5" s="1"/>
  <c r="Q34" i="5"/>
  <c r="R34" i="5" s="1"/>
  <c r="Q98" i="5"/>
  <c r="R98" i="5" s="1"/>
  <c r="Q162" i="5"/>
  <c r="R162" i="5" s="1"/>
  <c r="Q226" i="5"/>
  <c r="R226" i="5" s="1"/>
  <c r="Q290" i="5"/>
  <c r="R290" i="5" s="1"/>
  <c r="Q35" i="5"/>
  <c r="R35" i="5" s="1"/>
  <c r="Q99" i="5"/>
  <c r="R99" i="5" s="1"/>
  <c r="Q163" i="5"/>
  <c r="R163" i="5" s="1"/>
  <c r="Q227" i="5"/>
  <c r="R227" i="5" s="1"/>
  <c r="Q291" i="5"/>
  <c r="R291" i="5" s="1"/>
  <c r="Q44" i="5"/>
  <c r="R44" i="5" s="1"/>
  <c r="Q108" i="5"/>
  <c r="R108" i="5" s="1"/>
  <c r="Q172" i="5"/>
  <c r="R172" i="5" s="1"/>
  <c r="Q236" i="5"/>
  <c r="R236" i="5" s="1"/>
  <c r="Q300" i="5"/>
  <c r="R300" i="5" s="1"/>
  <c r="Q53" i="5"/>
  <c r="R53" i="5" s="1"/>
  <c r="Q117" i="5"/>
  <c r="R117" i="5" s="1"/>
  <c r="Q181" i="5"/>
  <c r="R181" i="5" s="1"/>
  <c r="Q245" i="5"/>
  <c r="R245" i="5" s="1"/>
  <c r="Q309" i="5"/>
  <c r="R309" i="5" s="1"/>
  <c r="Q55" i="5"/>
  <c r="R55" i="5" s="1"/>
  <c r="Q119" i="5"/>
  <c r="R119" i="5" s="1"/>
  <c r="Q183" i="5"/>
  <c r="R183" i="5" s="1"/>
  <c r="Q247" i="5"/>
  <c r="R247" i="5" s="1"/>
  <c r="Q311" i="5"/>
  <c r="R311" i="5" s="1"/>
  <c r="Q278" i="5"/>
  <c r="R278" i="5" s="1"/>
  <c r="Q94" i="5"/>
  <c r="R94" i="5" s="1"/>
  <c r="Q102" i="5"/>
  <c r="R102" i="5" s="1"/>
  <c r="Q174" i="5"/>
  <c r="R174" i="5" s="1"/>
  <c r="Q182" i="5"/>
  <c r="R182" i="5" s="1"/>
  <c r="Q198" i="5"/>
  <c r="R198" i="5" s="1"/>
  <c r="Q64" i="5"/>
  <c r="R64" i="5" s="1"/>
  <c r="Q128" i="5"/>
  <c r="R128" i="5" s="1"/>
  <c r="Q192" i="5"/>
  <c r="R192" i="5" s="1"/>
  <c r="Q33" i="5"/>
  <c r="R33" i="5" s="1"/>
  <c r="Q97" i="5"/>
  <c r="R97" i="5" s="1"/>
  <c r="Q161" i="5"/>
  <c r="R161" i="5" s="1"/>
  <c r="Q225" i="5"/>
  <c r="R225" i="5" s="1"/>
  <c r="Q289" i="5"/>
  <c r="R289" i="5" s="1"/>
  <c r="Q42" i="5"/>
  <c r="R42" i="5" s="1"/>
  <c r="Q106" i="5"/>
  <c r="R106" i="5" s="1"/>
  <c r="Q170" i="5"/>
  <c r="R170" i="5" s="1"/>
  <c r="Q234" i="5"/>
  <c r="R234" i="5" s="1"/>
  <c r="Q298" i="5"/>
  <c r="R298" i="5" s="1"/>
  <c r="Q43" i="5"/>
  <c r="R43" i="5" s="1"/>
  <c r="Q107" i="5"/>
  <c r="R107" i="5" s="1"/>
  <c r="Q171" i="5"/>
  <c r="R171" i="5" s="1"/>
  <c r="Q235" i="5"/>
  <c r="R235" i="5" s="1"/>
  <c r="Q299" i="5"/>
  <c r="R299" i="5" s="1"/>
  <c r="Q52" i="5"/>
  <c r="R52" i="5" s="1"/>
  <c r="Q116" i="5"/>
  <c r="R116" i="5" s="1"/>
  <c r="Q180" i="5"/>
  <c r="R180" i="5" s="1"/>
  <c r="Q244" i="5"/>
  <c r="R244" i="5" s="1"/>
  <c r="Q308" i="5"/>
  <c r="R308" i="5" s="1"/>
  <c r="Q61" i="5"/>
  <c r="R61" i="5" s="1"/>
  <c r="Q125" i="5"/>
  <c r="R125" i="5" s="1"/>
  <c r="Q189" i="5"/>
  <c r="R189" i="5" s="1"/>
  <c r="Q253" i="5"/>
  <c r="R253" i="5" s="1"/>
  <c r="Q6" i="5"/>
  <c r="R6" i="5" s="1"/>
  <c r="Q63" i="5"/>
  <c r="R63" i="5" s="1"/>
  <c r="Q127" i="5"/>
  <c r="R127" i="5" s="1"/>
  <c r="Q191" i="5"/>
  <c r="R191" i="5" s="1"/>
  <c r="Q255" i="5"/>
  <c r="R255" i="5" s="1"/>
  <c r="Q14" i="5"/>
  <c r="R14" i="5" s="1"/>
  <c r="Q22" i="5"/>
  <c r="R22" i="5" s="1"/>
  <c r="Q158" i="5"/>
  <c r="R158" i="5" s="1"/>
  <c r="Q166" i="5"/>
  <c r="R166" i="5" s="1"/>
  <c r="Q232" i="5"/>
  <c r="R232" i="5" s="1"/>
  <c r="Q238" i="5"/>
  <c r="R238" i="5" s="1"/>
  <c r="Q246" i="5"/>
  <c r="R246" i="5" s="1"/>
  <c r="A698" i="4"/>
  <c r="BJ698" i="4" s="1"/>
  <c r="A338" i="4"/>
  <c r="BJ338" i="4" s="1"/>
  <c r="N124" i="7"/>
  <c r="A462" i="4"/>
  <c r="BJ462" i="4" s="1"/>
  <c r="A470" i="4"/>
  <c r="BJ470" i="4" s="1"/>
  <c r="A478" i="4"/>
  <c r="BJ478" i="4" s="1"/>
  <c r="A486" i="4"/>
  <c r="BJ486" i="4" s="1"/>
  <c r="A502" i="4"/>
  <c r="BJ502" i="4" s="1"/>
  <c r="A510" i="4"/>
  <c r="BJ510" i="4" s="1"/>
  <c r="A526" i="4"/>
  <c r="BJ526" i="4" s="1"/>
  <c r="A542" i="4"/>
  <c r="BJ542" i="4" s="1"/>
  <c r="A535" i="4"/>
  <c r="BJ535" i="4" s="1"/>
  <c r="A463" i="4"/>
  <c r="BJ463" i="4" s="1"/>
  <c r="A471" i="4"/>
  <c r="BJ471" i="4" s="1"/>
  <c r="A479" i="4"/>
  <c r="BJ479" i="4" s="1"/>
  <c r="A487" i="4"/>
  <c r="BJ487" i="4" s="1"/>
  <c r="A495" i="4"/>
  <c r="BJ495" i="4" s="1"/>
  <c r="A503" i="4"/>
  <c r="BJ503" i="4" s="1"/>
  <c r="A511" i="4"/>
  <c r="BJ511" i="4" s="1"/>
  <c r="A519" i="4"/>
  <c r="BJ519" i="4" s="1"/>
  <c r="A527" i="4"/>
  <c r="BJ527" i="4" s="1"/>
  <c r="A464" i="4"/>
  <c r="BJ464" i="4" s="1"/>
  <c r="A472" i="4"/>
  <c r="BJ472" i="4" s="1"/>
  <c r="A480" i="4"/>
  <c r="BJ480" i="4" s="1"/>
  <c r="A488" i="4"/>
  <c r="BJ488" i="4" s="1"/>
  <c r="A496" i="4"/>
  <c r="BJ496" i="4" s="1"/>
  <c r="A504" i="4"/>
  <c r="BJ504" i="4" s="1"/>
  <c r="A512" i="4"/>
  <c r="BJ512" i="4" s="1"/>
  <c r="A520" i="4"/>
  <c r="BJ520" i="4" s="1"/>
  <c r="A528" i="4"/>
  <c r="BJ528" i="4" s="1"/>
  <c r="A536" i="4"/>
  <c r="BJ536" i="4" s="1"/>
  <c r="A544" i="4"/>
  <c r="BJ544" i="4" s="1"/>
  <c r="A552" i="4"/>
  <c r="BJ552" i="4" s="1"/>
  <c r="A560" i="4"/>
  <c r="BJ560" i="4" s="1"/>
  <c r="A568" i="4"/>
  <c r="BJ568" i="4" s="1"/>
  <c r="A546" i="4"/>
  <c r="BJ546" i="4" s="1"/>
  <c r="A562" i="4"/>
  <c r="BJ562" i="4" s="1"/>
  <c r="A475" i="4"/>
  <c r="BJ475" i="4" s="1"/>
  <c r="A507" i="4"/>
  <c r="BJ507" i="4" s="1"/>
  <c r="A539" i="4"/>
  <c r="BJ539" i="4" s="1"/>
  <c r="A571" i="4"/>
  <c r="BJ571" i="4" s="1"/>
  <c r="A550" i="4"/>
  <c r="BJ550" i="4" s="1"/>
  <c r="A465" i="4"/>
  <c r="BJ465" i="4" s="1"/>
  <c r="A473" i="4"/>
  <c r="BJ473" i="4" s="1"/>
  <c r="A481" i="4"/>
  <c r="BJ481" i="4" s="1"/>
  <c r="A489" i="4"/>
  <c r="BJ489" i="4" s="1"/>
  <c r="A497" i="4"/>
  <c r="BJ497" i="4" s="1"/>
  <c r="A505" i="4"/>
  <c r="BJ505" i="4" s="1"/>
  <c r="A513" i="4"/>
  <c r="BJ513" i="4" s="1"/>
  <c r="A521" i="4"/>
  <c r="BJ521" i="4" s="1"/>
  <c r="A529" i="4"/>
  <c r="BJ529" i="4" s="1"/>
  <c r="A537" i="4"/>
  <c r="BJ537" i="4" s="1"/>
  <c r="A545" i="4"/>
  <c r="BJ545" i="4" s="1"/>
  <c r="A553" i="4"/>
  <c r="BJ553" i="4" s="1"/>
  <c r="A561" i="4"/>
  <c r="BJ561" i="4" s="1"/>
  <c r="A569" i="4"/>
  <c r="BJ569" i="4" s="1"/>
  <c r="A458" i="4"/>
  <c r="BJ458" i="4" s="1"/>
  <c r="A466" i="4"/>
  <c r="BJ466" i="4" s="1"/>
  <c r="A474" i="4"/>
  <c r="BJ474" i="4" s="1"/>
  <c r="A482" i="4"/>
  <c r="BJ482" i="4" s="1"/>
  <c r="A490" i="4"/>
  <c r="BJ490" i="4" s="1"/>
  <c r="A506" i="4"/>
  <c r="BJ506" i="4" s="1"/>
  <c r="A514" i="4"/>
  <c r="BJ514" i="4" s="1"/>
  <c r="A522" i="4"/>
  <c r="BJ522" i="4" s="1"/>
  <c r="A530" i="4"/>
  <c r="BJ530" i="4" s="1"/>
  <c r="A538" i="4"/>
  <c r="BJ538" i="4" s="1"/>
  <c r="A554" i="4"/>
  <c r="BJ554" i="4" s="1"/>
  <c r="A483" i="4"/>
  <c r="BJ483" i="4" s="1"/>
  <c r="A515" i="4"/>
  <c r="BJ515" i="4" s="1"/>
  <c r="A547" i="4"/>
  <c r="BJ547" i="4" s="1"/>
  <c r="A558" i="4"/>
  <c r="BJ558" i="4" s="1"/>
  <c r="A543" i="4"/>
  <c r="BJ543" i="4" s="1"/>
  <c r="A498" i="4"/>
  <c r="BJ498" i="4" s="1"/>
  <c r="A570" i="4"/>
  <c r="BJ570" i="4" s="1"/>
  <c r="A499" i="4"/>
  <c r="BJ499" i="4" s="1"/>
  <c r="A531" i="4"/>
  <c r="BJ531" i="4" s="1"/>
  <c r="A563" i="4"/>
  <c r="BJ563" i="4" s="1"/>
  <c r="A566" i="4"/>
  <c r="BJ566" i="4" s="1"/>
  <c r="A559" i="4"/>
  <c r="BJ559" i="4" s="1"/>
  <c r="A459" i="4"/>
  <c r="BJ459" i="4" s="1"/>
  <c r="A467" i="4"/>
  <c r="BJ467" i="4" s="1"/>
  <c r="A491" i="4"/>
  <c r="BJ491" i="4" s="1"/>
  <c r="A523" i="4"/>
  <c r="BJ523" i="4" s="1"/>
  <c r="A555" i="4"/>
  <c r="BJ555" i="4" s="1"/>
  <c r="A574" i="4"/>
  <c r="BJ574" i="4" s="1"/>
  <c r="A567" i="4"/>
  <c r="BJ567" i="4" s="1"/>
  <c r="A460" i="4"/>
  <c r="BJ460" i="4" s="1"/>
  <c r="A468" i="4"/>
  <c r="BJ468" i="4" s="1"/>
  <c r="A476" i="4"/>
  <c r="BJ476" i="4" s="1"/>
  <c r="A484" i="4"/>
  <c r="BJ484" i="4" s="1"/>
  <c r="A492" i="4"/>
  <c r="BJ492" i="4" s="1"/>
  <c r="A500" i="4"/>
  <c r="BJ500" i="4" s="1"/>
  <c r="A508" i="4"/>
  <c r="BJ508" i="4" s="1"/>
  <c r="A516" i="4"/>
  <c r="BJ516" i="4" s="1"/>
  <c r="A524" i="4"/>
  <c r="BJ524" i="4" s="1"/>
  <c r="A532" i="4"/>
  <c r="BJ532" i="4" s="1"/>
  <c r="A540" i="4"/>
  <c r="BJ540" i="4" s="1"/>
  <c r="A548" i="4"/>
  <c r="BJ548" i="4" s="1"/>
  <c r="A556" i="4"/>
  <c r="BJ556" i="4" s="1"/>
  <c r="A564" i="4"/>
  <c r="BJ564" i="4" s="1"/>
  <c r="A572" i="4"/>
  <c r="BJ572" i="4" s="1"/>
  <c r="A461" i="4"/>
  <c r="BJ461" i="4" s="1"/>
  <c r="A469" i="4"/>
  <c r="BJ469" i="4" s="1"/>
  <c r="A477" i="4"/>
  <c r="BJ477" i="4" s="1"/>
  <c r="A485" i="4"/>
  <c r="BJ485" i="4" s="1"/>
  <c r="A493" i="4"/>
  <c r="BJ493" i="4" s="1"/>
  <c r="A501" i="4"/>
  <c r="BJ501" i="4" s="1"/>
  <c r="A509" i="4"/>
  <c r="BJ509" i="4" s="1"/>
  <c r="A517" i="4"/>
  <c r="BJ517" i="4" s="1"/>
  <c r="A525" i="4"/>
  <c r="BJ525" i="4" s="1"/>
  <c r="A533" i="4"/>
  <c r="BJ533" i="4" s="1"/>
  <c r="A541" i="4"/>
  <c r="BJ541" i="4" s="1"/>
  <c r="A549" i="4"/>
  <c r="BJ549" i="4" s="1"/>
  <c r="A557" i="4"/>
  <c r="BJ557" i="4" s="1"/>
  <c r="A565" i="4"/>
  <c r="BJ565" i="4" s="1"/>
  <c r="A573" i="4"/>
  <c r="BJ573" i="4" s="1"/>
  <c r="A494" i="4"/>
  <c r="BJ494" i="4" s="1"/>
  <c r="A518" i="4"/>
  <c r="BJ518" i="4" s="1"/>
  <c r="A534" i="4"/>
  <c r="BJ534" i="4" s="1"/>
  <c r="A551" i="4"/>
  <c r="BJ551" i="4" s="1"/>
  <c r="A371" i="4"/>
  <c r="BJ371" i="4" s="1"/>
  <c r="A206" i="4"/>
  <c r="BJ206" i="4" s="1"/>
  <c r="AO30" i="17"/>
  <c r="AP30" i="17" s="1"/>
  <c r="AQ30" i="17" s="1"/>
  <c r="X30" i="17" s="1"/>
  <c r="AO28" i="17"/>
  <c r="AP28" i="17" s="1"/>
  <c r="AQ28" i="17" s="1"/>
  <c r="X28" i="17" s="1"/>
  <c r="W28" i="17"/>
  <c r="W30" i="17"/>
  <c r="AP31" i="17"/>
  <c r="AQ31" i="17" s="1"/>
  <c r="X31" i="17" s="1"/>
  <c r="W31" i="17"/>
  <c r="AO29" i="17"/>
  <c r="E23" i="20"/>
  <c r="N122" i="7"/>
  <c r="N104" i="7"/>
  <c r="N540" i="7"/>
  <c r="N488" i="7"/>
  <c r="N565" i="7"/>
  <c r="N106" i="7"/>
  <c r="N175" i="7"/>
  <c r="N145" i="7"/>
  <c r="N130" i="7"/>
  <c r="N217" i="7"/>
  <c r="N451" i="7"/>
  <c r="N455" i="7"/>
  <c r="N118" i="7"/>
  <c r="A325" i="4"/>
  <c r="BJ325" i="4" s="1"/>
  <c r="A324" i="4"/>
  <c r="BJ324" i="4" s="1"/>
  <c r="A321" i="4"/>
  <c r="BJ321" i="4" s="1"/>
  <c r="A323" i="4"/>
  <c r="BJ323" i="4" s="1"/>
  <c r="A322" i="4"/>
  <c r="BJ322" i="4" s="1"/>
  <c r="A326" i="4"/>
  <c r="BJ326" i="4" s="1"/>
  <c r="A328" i="4"/>
  <c r="BJ328" i="4" s="1"/>
  <c r="A327" i="4"/>
  <c r="BJ327" i="4" s="1"/>
  <c r="AZ1017" i="4"/>
  <c r="AZ884" i="4"/>
  <c r="AZ544" i="4"/>
  <c r="AZ132" i="4"/>
  <c r="AZ1033" i="4"/>
  <c r="AZ1027" i="4"/>
  <c r="AZ1026" i="4"/>
  <c r="A1026" i="4"/>
  <c r="BJ1026" i="4" s="1"/>
  <c r="A1027" i="4"/>
  <c r="BJ1027" i="4" s="1"/>
  <c r="A1025" i="4"/>
  <c r="BJ1025" i="4" s="1"/>
  <c r="AZ194" i="4"/>
  <c r="A1035" i="4"/>
  <c r="BJ1035" i="4" s="1"/>
  <c r="A1036" i="4"/>
  <c r="BJ1036" i="4" s="1"/>
  <c r="A1037" i="4"/>
  <c r="BJ1037" i="4" s="1"/>
  <c r="A1044" i="4"/>
  <c r="BJ1044" i="4" s="1"/>
  <c r="A1038" i="4"/>
  <c r="BJ1038" i="4" s="1"/>
  <c r="A1034" i="4"/>
  <c r="BJ1034" i="4" s="1"/>
  <c r="A1033" i="4"/>
  <c r="BJ1033" i="4" s="1"/>
  <c r="A1032" i="4"/>
  <c r="BJ1032" i="4" s="1"/>
  <c r="A627" i="4"/>
  <c r="BJ627" i="4" s="1"/>
  <c r="A964" i="4"/>
  <c r="BJ964" i="4" s="1"/>
  <c r="AZ989" i="4"/>
  <c r="AZ975" i="4"/>
  <c r="A1001" i="4"/>
  <c r="BJ1001" i="4" s="1"/>
  <c r="A1009" i="4"/>
  <c r="BJ1009" i="4" s="1"/>
  <c r="A989" i="4"/>
  <c r="BJ989" i="4" s="1"/>
  <c r="A975" i="4"/>
  <c r="BJ975" i="4" s="1"/>
  <c r="AL62" i="17"/>
  <c r="AI62" i="17" s="1"/>
  <c r="B28" i="13"/>
  <c r="B76" i="13"/>
  <c r="B27" i="13"/>
  <c r="B78" i="13"/>
  <c r="AE51" i="17"/>
  <c r="AE52" i="17" s="1"/>
  <c r="AE53" i="17" s="1"/>
  <c r="AE54" i="17" s="1"/>
  <c r="AE56" i="17" s="1"/>
  <c r="AE58" i="17" s="1"/>
  <c r="AH50" i="17"/>
  <c r="A316" i="4"/>
  <c r="BJ316" i="4" s="1"/>
  <c r="A319" i="4"/>
  <c r="BJ319" i="4" s="1"/>
  <c r="A317" i="4"/>
  <c r="BJ317" i="4" s="1"/>
  <c r="A320" i="4"/>
  <c r="BJ320" i="4" s="1"/>
  <c r="A318" i="4"/>
  <c r="BJ318" i="4" s="1"/>
  <c r="A198" i="4"/>
  <c r="BJ198" i="4" s="1"/>
  <c r="A430" i="4"/>
  <c r="BJ430" i="4" s="1"/>
  <c r="A431" i="4"/>
  <c r="BJ431" i="4" s="1"/>
  <c r="A424" i="4"/>
  <c r="BJ424" i="4" s="1"/>
  <c r="A426" i="4"/>
  <c r="BJ426" i="4" s="1"/>
  <c r="A429" i="4"/>
  <c r="BJ429" i="4" s="1"/>
  <c r="A428" i="4"/>
  <c r="BJ428" i="4" s="1"/>
  <c r="A425" i="4"/>
  <c r="BJ425" i="4" s="1"/>
  <c r="A427" i="4"/>
  <c r="BJ427" i="4" s="1"/>
  <c r="A311" i="4"/>
  <c r="BJ311" i="4" s="1"/>
  <c r="A315" i="4"/>
  <c r="BJ315" i="4" s="1"/>
  <c r="A313" i="4"/>
  <c r="BJ313" i="4" s="1"/>
  <c r="A314" i="4"/>
  <c r="BJ314" i="4" s="1"/>
  <c r="A312" i="4"/>
  <c r="BJ312" i="4" s="1"/>
  <c r="A175" i="4"/>
  <c r="BJ175" i="4" s="1"/>
  <c r="A173" i="4"/>
  <c r="BJ173" i="4" s="1"/>
  <c r="A172" i="4"/>
  <c r="BJ172" i="4" s="1"/>
  <c r="A176" i="4"/>
  <c r="BJ176" i="4" s="1"/>
  <c r="A174" i="4"/>
  <c r="BJ174" i="4" s="1"/>
  <c r="W22" i="17"/>
  <c r="Z22" i="17"/>
  <c r="A1072" i="4"/>
  <c r="BJ1072" i="4" s="1"/>
  <c r="A1070" i="4"/>
  <c r="BJ1070" i="4" s="1"/>
  <c r="A1068" i="4"/>
  <c r="BJ1068" i="4" s="1"/>
  <c r="A1066" i="4"/>
  <c r="BJ1066" i="4" s="1"/>
  <c r="A1062" i="4"/>
  <c r="BJ1062" i="4" s="1"/>
  <c r="A1060" i="4"/>
  <c r="BJ1060" i="4" s="1"/>
  <c r="A1058" i="4"/>
  <c r="BJ1058" i="4" s="1"/>
  <c r="A1056" i="4"/>
  <c r="BJ1056" i="4" s="1"/>
  <c r="A1053" i="4"/>
  <c r="BJ1053" i="4" s="1"/>
  <c r="A1011" i="4"/>
  <c r="BJ1011" i="4" s="1"/>
  <c r="A1008" i="4"/>
  <c r="BJ1008" i="4" s="1"/>
  <c r="A1006" i="4"/>
  <c r="BJ1006" i="4" s="1"/>
  <c r="A998" i="4"/>
  <c r="BJ998" i="4" s="1"/>
  <c r="A992" i="4"/>
  <c r="BJ992" i="4" s="1"/>
  <c r="A990" i="4"/>
  <c r="BJ990" i="4" s="1"/>
  <c r="A986" i="4"/>
  <c r="BJ986" i="4" s="1"/>
  <c r="A982" i="4"/>
  <c r="BJ982" i="4" s="1"/>
  <c r="A979" i="4"/>
  <c r="BJ979" i="4" s="1"/>
  <c r="A945" i="4"/>
  <c r="BJ945" i="4" s="1"/>
  <c r="A943" i="4"/>
  <c r="BJ943" i="4" s="1"/>
  <c r="A941" i="4"/>
  <c r="BJ941" i="4" s="1"/>
  <c r="A939" i="4"/>
  <c r="BJ939" i="4" s="1"/>
  <c r="B6" i="6"/>
  <c r="Q6" i="6" s="1"/>
  <c r="A1051" i="4"/>
  <c r="BJ1051" i="4" s="1"/>
  <c r="A1049" i="4"/>
  <c r="BJ1049" i="4" s="1"/>
  <c r="A1047" i="4"/>
  <c r="BJ1047" i="4" s="1"/>
  <c r="A1045" i="4"/>
  <c r="BJ1045" i="4" s="1"/>
  <c r="A1042" i="4"/>
  <c r="BJ1042" i="4" s="1"/>
  <c r="A1040" i="4"/>
  <c r="BJ1040" i="4" s="1"/>
  <c r="A1030" i="4"/>
  <c r="BJ1030" i="4" s="1"/>
  <c r="A1028" i="4"/>
  <c r="BJ1028" i="4" s="1"/>
  <c r="A1023" i="4"/>
  <c r="BJ1023" i="4" s="1"/>
  <c r="A1021" i="4"/>
  <c r="BJ1021" i="4" s="1"/>
  <c r="A1019" i="4"/>
  <c r="BJ1019" i="4" s="1"/>
  <c r="A1017" i="4"/>
  <c r="BJ1017" i="4" s="1"/>
  <c r="A1015" i="4"/>
  <c r="BJ1015" i="4" s="1"/>
  <c r="A1013" i="4"/>
  <c r="BJ1013" i="4" s="1"/>
  <c r="A996" i="4"/>
  <c r="BJ996" i="4" s="1"/>
  <c r="A978" i="4"/>
  <c r="BJ978" i="4" s="1"/>
  <c r="A976" i="4"/>
  <c r="BJ976" i="4" s="1"/>
  <c r="A973" i="4"/>
  <c r="BJ973" i="4" s="1"/>
  <c r="A971" i="4"/>
  <c r="BJ971" i="4" s="1"/>
  <c r="A936" i="4"/>
  <c r="BJ936" i="4" s="1"/>
  <c r="A934" i="4"/>
  <c r="BJ934" i="4" s="1"/>
  <c r="A932" i="4"/>
  <c r="BJ932" i="4" s="1"/>
  <c r="A930" i="4"/>
  <c r="BJ930" i="4" s="1"/>
  <c r="A928" i="4"/>
  <c r="BJ928" i="4" s="1"/>
  <c r="A926" i="4"/>
  <c r="BJ926" i="4" s="1"/>
  <c r="A924" i="4"/>
  <c r="BJ924" i="4" s="1"/>
  <c r="A922" i="4"/>
  <c r="BJ922" i="4" s="1"/>
  <c r="A920" i="4"/>
  <c r="BJ920" i="4" s="1"/>
  <c r="A987" i="4"/>
  <c r="BJ987" i="4" s="1"/>
  <c r="A983" i="4"/>
  <c r="BJ983" i="4" s="1"/>
  <c r="A919" i="4"/>
  <c r="BJ919" i="4" s="1"/>
  <c r="A917" i="4"/>
  <c r="BJ917" i="4" s="1"/>
  <c r="A912" i="4"/>
  <c r="BJ912" i="4" s="1"/>
  <c r="A910" i="4"/>
  <c r="BJ910" i="4" s="1"/>
  <c r="A903" i="4"/>
  <c r="BJ903" i="4" s="1"/>
  <c r="A901" i="4"/>
  <c r="BJ901" i="4" s="1"/>
  <c r="A899" i="4"/>
  <c r="BJ899" i="4" s="1"/>
  <c r="A897" i="4"/>
  <c r="BJ897" i="4" s="1"/>
  <c r="A890" i="4"/>
  <c r="BJ890" i="4" s="1"/>
  <c r="A888" i="4"/>
  <c r="BJ888" i="4" s="1"/>
  <c r="A886" i="4"/>
  <c r="BJ886" i="4" s="1"/>
  <c r="A884" i="4"/>
  <c r="BJ884" i="4" s="1"/>
  <c r="A882" i="4"/>
  <c r="BJ882" i="4" s="1"/>
  <c r="A880" i="4"/>
  <c r="BJ880" i="4" s="1"/>
  <c r="A876" i="4"/>
  <c r="BJ876" i="4" s="1"/>
  <c r="A872" i="4"/>
  <c r="BJ872" i="4" s="1"/>
  <c r="A867" i="4"/>
  <c r="BJ867" i="4" s="1"/>
  <c r="A864" i="4"/>
  <c r="BJ864" i="4" s="1"/>
  <c r="A860" i="4"/>
  <c r="BJ860" i="4" s="1"/>
  <c r="A851" i="4"/>
  <c r="BJ851" i="4" s="1"/>
  <c r="A834" i="4"/>
  <c r="BJ834" i="4" s="1"/>
  <c r="A832" i="4"/>
  <c r="BJ832" i="4" s="1"/>
  <c r="A830" i="4"/>
  <c r="BJ830" i="4" s="1"/>
  <c r="A828" i="4"/>
  <c r="BJ828" i="4" s="1"/>
  <c r="A824" i="4"/>
  <c r="BJ824" i="4" s="1"/>
  <c r="A819" i="4"/>
  <c r="BJ819" i="4" s="1"/>
  <c r="A816" i="4"/>
  <c r="BJ816" i="4" s="1"/>
  <c r="A810" i="4"/>
  <c r="BJ810" i="4" s="1"/>
  <c r="A804" i="4"/>
  <c r="BJ804" i="4" s="1"/>
  <c r="A798" i="4"/>
  <c r="BJ798" i="4" s="1"/>
  <c r="A1071" i="4"/>
  <c r="BJ1071" i="4" s="1"/>
  <c r="A1069" i="4"/>
  <c r="BJ1069" i="4" s="1"/>
  <c r="A1067" i="4"/>
  <c r="BJ1067" i="4" s="1"/>
  <c r="A1065" i="4"/>
  <c r="BJ1065" i="4" s="1"/>
  <c r="A1061" i="4"/>
  <c r="BJ1061" i="4" s="1"/>
  <c r="A1059" i="4"/>
  <c r="BJ1059" i="4" s="1"/>
  <c r="A1057" i="4"/>
  <c r="BJ1057" i="4" s="1"/>
  <c r="A1055" i="4"/>
  <c r="BJ1055" i="4" s="1"/>
  <c r="A1012" i="4"/>
  <c r="BJ1012" i="4" s="1"/>
  <c r="A1010" i="4"/>
  <c r="BJ1010" i="4" s="1"/>
  <c r="A1007" i="4"/>
  <c r="BJ1007" i="4" s="1"/>
  <c r="A1005" i="4"/>
  <c r="BJ1005" i="4" s="1"/>
  <c r="A994" i="4"/>
  <c r="BJ994" i="4" s="1"/>
  <c r="A991" i="4"/>
  <c r="BJ991" i="4" s="1"/>
  <c r="A988" i="4"/>
  <c r="BJ988" i="4" s="1"/>
  <c r="A985" i="4"/>
  <c r="BJ985" i="4" s="1"/>
  <c r="A981" i="4"/>
  <c r="BJ981" i="4" s="1"/>
  <c r="A970" i="4"/>
  <c r="BJ970" i="4" s="1"/>
  <c r="A944" i="4"/>
  <c r="BJ944" i="4" s="1"/>
  <c r="A942" i="4"/>
  <c r="BJ942" i="4" s="1"/>
  <c r="A940" i="4"/>
  <c r="BJ940" i="4" s="1"/>
  <c r="A938" i="4"/>
  <c r="BJ938" i="4" s="1"/>
  <c r="A1052" i="4"/>
  <c r="BJ1052" i="4" s="1"/>
  <c r="A1050" i="4"/>
  <c r="BJ1050" i="4" s="1"/>
  <c r="A1048" i="4"/>
  <c r="BJ1048" i="4" s="1"/>
  <c r="A1046" i="4"/>
  <c r="BJ1046" i="4" s="1"/>
  <c r="A1043" i="4"/>
  <c r="BJ1043" i="4" s="1"/>
  <c r="A1041" i="4"/>
  <c r="BJ1041" i="4" s="1"/>
  <c r="A1039" i="4"/>
  <c r="BJ1039" i="4" s="1"/>
  <c r="A1031" i="4"/>
  <c r="BJ1031" i="4" s="1"/>
  <c r="A1029" i="4"/>
  <c r="BJ1029" i="4" s="1"/>
  <c r="A1024" i="4"/>
  <c r="BJ1024" i="4" s="1"/>
  <c r="A1022" i="4"/>
  <c r="BJ1022" i="4" s="1"/>
  <c r="A1020" i="4"/>
  <c r="BJ1020" i="4" s="1"/>
  <c r="A1018" i="4"/>
  <c r="BJ1018" i="4" s="1"/>
  <c r="A1016" i="4"/>
  <c r="BJ1016" i="4" s="1"/>
  <c r="A1014" i="4"/>
  <c r="BJ1014" i="4" s="1"/>
  <c r="A997" i="4"/>
  <c r="BJ997" i="4" s="1"/>
  <c r="A995" i="4"/>
  <c r="BJ995" i="4" s="1"/>
  <c r="A977" i="4"/>
  <c r="BJ977" i="4" s="1"/>
  <c r="A974" i="4"/>
  <c r="BJ974" i="4" s="1"/>
  <c r="A972" i="4"/>
  <c r="BJ972" i="4" s="1"/>
  <c r="A937" i="4"/>
  <c r="BJ937" i="4" s="1"/>
  <c r="A935" i="4"/>
  <c r="BJ935" i="4" s="1"/>
  <c r="A933" i="4"/>
  <c r="BJ933" i="4" s="1"/>
  <c r="A931" i="4"/>
  <c r="BJ931" i="4" s="1"/>
  <c r="A929" i="4"/>
  <c r="BJ929" i="4" s="1"/>
  <c r="A927" i="4"/>
  <c r="BJ927" i="4" s="1"/>
  <c r="A925" i="4"/>
  <c r="BJ925" i="4" s="1"/>
  <c r="A923" i="4"/>
  <c r="BJ923" i="4" s="1"/>
  <c r="A921" i="4"/>
  <c r="BJ921" i="4" s="1"/>
  <c r="A993" i="4"/>
  <c r="BJ993" i="4" s="1"/>
  <c r="A984" i="4"/>
  <c r="BJ984" i="4" s="1"/>
  <c r="A980" i="4"/>
  <c r="BJ980" i="4" s="1"/>
  <c r="A918" i="4"/>
  <c r="BJ918" i="4" s="1"/>
  <c r="A913" i="4"/>
  <c r="BJ913" i="4" s="1"/>
  <c r="A911" i="4"/>
  <c r="BJ911" i="4" s="1"/>
  <c r="A904" i="4"/>
  <c r="BJ904" i="4" s="1"/>
  <c r="A902" i="4"/>
  <c r="BJ902" i="4" s="1"/>
  <c r="A900" i="4"/>
  <c r="BJ900" i="4" s="1"/>
  <c r="A898" i="4"/>
  <c r="BJ898" i="4" s="1"/>
  <c r="A892" i="4"/>
  <c r="BJ892" i="4" s="1"/>
  <c r="A889" i="4"/>
  <c r="BJ889" i="4" s="1"/>
  <c r="A887" i="4"/>
  <c r="BJ887" i="4" s="1"/>
  <c r="A885" i="4"/>
  <c r="BJ885" i="4" s="1"/>
  <c r="A883" i="4"/>
  <c r="BJ883" i="4" s="1"/>
  <c r="A881" i="4"/>
  <c r="BJ881" i="4" s="1"/>
  <c r="A877" i="4"/>
  <c r="BJ877" i="4" s="1"/>
  <c r="A874" i="4"/>
  <c r="BJ874" i="4" s="1"/>
  <c r="A869" i="4"/>
  <c r="BJ869" i="4" s="1"/>
  <c r="A866" i="4"/>
  <c r="BJ866" i="4" s="1"/>
  <c r="A862" i="4"/>
  <c r="BJ862" i="4" s="1"/>
  <c r="A858" i="4"/>
  <c r="BJ858" i="4" s="1"/>
  <c r="A849" i="4"/>
  <c r="BJ849" i="4" s="1"/>
  <c r="A833" i="4"/>
  <c r="BJ833" i="4" s="1"/>
  <c r="A831" i="4"/>
  <c r="BJ831" i="4" s="1"/>
  <c r="A829" i="4"/>
  <c r="BJ829" i="4" s="1"/>
  <c r="A826" i="4"/>
  <c r="BJ826" i="4" s="1"/>
  <c r="A822" i="4"/>
  <c r="BJ822" i="4" s="1"/>
  <c r="A818" i="4"/>
  <c r="BJ818" i="4" s="1"/>
  <c r="A812" i="4"/>
  <c r="BJ812" i="4" s="1"/>
  <c r="A807" i="4"/>
  <c r="BJ807" i="4" s="1"/>
  <c r="A802" i="4"/>
  <c r="BJ802" i="4" s="1"/>
  <c r="A797" i="4"/>
  <c r="BJ797" i="4" s="1"/>
  <c r="A795" i="4"/>
  <c r="BJ795" i="4" s="1"/>
  <c r="A793" i="4"/>
  <c r="BJ793" i="4" s="1"/>
  <c r="A791" i="4"/>
  <c r="BJ791" i="4" s="1"/>
  <c r="A789" i="4"/>
  <c r="BJ789" i="4" s="1"/>
  <c r="A787" i="4"/>
  <c r="BJ787" i="4" s="1"/>
  <c r="A785" i="4"/>
  <c r="BJ785" i="4" s="1"/>
  <c r="A783" i="4"/>
  <c r="BJ783" i="4" s="1"/>
  <c r="A781" i="4"/>
  <c r="BJ781" i="4" s="1"/>
  <c r="A779" i="4"/>
  <c r="BJ779" i="4" s="1"/>
  <c r="A777" i="4"/>
  <c r="BJ777" i="4" s="1"/>
  <c r="A775" i="4"/>
  <c r="BJ775" i="4" s="1"/>
  <c r="A773" i="4"/>
  <c r="BJ773" i="4" s="1"/>
  <c r="A771" i="4"/>
  <c r="BJ771" i="4" s="1"/>
  <c r="A769" i="4"/>
  <c r="BJ769" i="4" s="1"/>
  <c r="A764" i="4"/>
  <c r="BJ764" i="4" s="1"/>
  <c r="A760" i="4"/>
  <c r="BJ760" i="4" s="1"/>
  <c r="A751" i="4"/>
  <c r="BJ751" i="4" s="1"/>
  <c r="A714" i="4"/>
  <c r="BJ714" i="4" s="1"/>
  <c r="A712" i="4"/>
  <c r="BJ712" i="4" s="1"/>
  <c r="A708" i="4"/>
  <c r="BJ708" i="4" s="1"/>
  <c r="A706" i="4"/>
  <c r="BJ706" i="4" s="1"/>
  <c r="A704" i="4"/>
  <c r="BJ704" i="4" s="1"/>
  <c r="A702" i="4"/>
  <c r="BJ702" i="4" s="1"/>
  <c r="A700" i="4"/>
  <c r="BJ700" i="4" s="1"/>
  <c r="A696" i="4"/>
  <c r="BJ696" i="4" s="1"/>
  <c r="A694" i="4"/>
  <c r="BJ694" i="4" s="1"/>
  <c r="A692" i="4"/>
  <c r="BJ692" i="4" s="1"/>
  <c r="A688" i="4"/>
  <c r="BJ688" i="4" s="1"/>
  <c r="A681" i="4"/>
  <c r="BJ681" i="4" s="1"/>
  <c r="A678" i="4"/>
  <c r="BJ678" i="4" s="1"/>
  <c r="A675" i="4"/>
  <c r="BJ675" i="4" s="1"/>
  <c r="A673" i="4"/>
  <c r="BJ673" i="4" s="1"/>
  <c r="A671" i="4"/>
  <c r="BJ671" i="4" s="1"/>
  <c r="A666" i="4"/>
  <c r="BJ666" i="4" s="1"/>
  <c r="A664" i="4"/>
  <c r="BJ664" i="4" s="1"/>
  <c r="A662" i="4"/>
  <c r="BJ662" i="4" s="1"/>
  <c r="A659" i="4"/>
  <c r="BJ659" i="4" s="1"/>
  <c r="A656" i="4"/>
  <c r="BJ656" i="4" s="1"/>
  <c r="A654" i="4"/>
  <c r="BJ654" i="4" s="1"/>
  <c r="A648" i="4"/>
  <c r="BJ648" i="4" s="1"/>
  <c r="A646" i="4"/>
  <c r="BJ646" i="4" s="1"/>
  <c r="A644" i="4"/>
  <c r="BJ644" i="4" s="1"/>
  <c r="A642" i="4"/>
  <c r="BJ642" i="4" s="1"/>
  <c r="A640" i="4"/>
  <c r="BJ640" i="4" s="1"/>
  <c r="A603" i="4"/>
  <c r="BJ603" i="4" s="1"/>
  <c r="A601" i="4"/>
  <c r="BJ601" i="4" s="1"/>
  <c r="A596" i="4"/>
  <c r="BJ596" i="4" s="1"/>
  <c r="A590" i="4"/>
  <c r="BJ590" i="4" s="1"/>
  <c r="A584" i="4"/>
  <c r="BJ584" i="4" s="1"/>
  <c r="A969" i="4"/>
  <c r="BJ969" i="4" s="1"/>
  <c r="A967" i="4"/>
  <c r="BJ967" i="4" s="1"/>
  <c r="A965" i="4"/>
  <c r="BJ965" i="4" s="1"/>
  <c r="A962" i="4"/>
  <c r="BJ962" i="4" s="1"/>
  <c r="A960" i="4"/>
  <c r="BJ960" i="4" s="1"/>
  <c r="A958" i="4"/>
  <c r="BJ958" i="4" s="1"/>
  <c r="A956" i="4"/>
  <c r="BJ956" i="4" s="1"/>
  <c r="A954" i="4"/>
  <c r="BJ954" i="4" s="1"/>
  <c r="A952" i="4"/>
  <c r="BJ952" i="4" s="1"/>
  <c r="A950" i="4"/>
  <c r="BJ950" i="4" s="1"/>
  <c r="A948" i="4"/>
  <c r="BJ948" i="4" s="1"/>
  <c r="A946" i="4"/>
  <c r="BJ946" i="4" s="1"/>
  <c r="A873" i="4"/>
  <c r="BJ873" i="4" s="1"/>
  <c r="A865" i="4"/>
  <c r="BJ865" i="4" s="1"/>
  <c r="A857" i="4"/>
  <c r="BJ857" i="4" s="1"/>
  <c r="A855" i="4"/>
  <c r="BJ855" i="4" s="1"/>
  <c r="A853" i="4"/>
  <c r="BJ853" i="4" s="1"/>
  <c r="A848" i="4"/>
  <c r="BJ848" i="4" s="1"/>
  <c r="A846" i="4"/>
  <c r="BJ846" i="4" s="1"/>
  <c r="A844" i="4"/>
  <c r="BJ844" i="4" s="1"/>
  <c r="A842" i="4"/>
  <c r="BJ842" i="4" s="1"/>
  <c r="A840" i="4"/>
  <c r="BJ840" i="4" s="1"/>
  <c r="A838" i="4"/>
  <c r="BJ838" i="4" s="1"/>
  <c r="A836" i="4"/>
  <c r="BJ836" i="4" s="1"/>
  <c r="A825" i="4"/>
  <c r="BJ825" i="4" s="1"/>
  <c r="A820" i="4"/>
  <c r="BJ820" i="4" s="1"/>
  <c r="A811" i="4"/>
  <c r="BJ811" i="4" s="1"/>
  <c r="A805" i="4"/>
  <c r="BJ805" i="4" s="1"/>
  <c r="A800" i="4"/>
  <c r="BJ800" i="4" s="1"/>
  <c r="A768" i="4"/>
  <c r="BJ768" i="4" s="1"/>
  <c r="A763" i="4"/>
  <c r="BJ763" i="4" s="1"/>
  <c r="A758" i="4"/>
  <c r="BJ758" i="4" s="1"/>
  <c r="A756" i="4"/>
  <c r="BJ756" i="4" s="1"/>
  <c r="A754" i="4"/>
  <c r="BJ754" i="4" s="1"/>
  <c r="A711" i="4"/>
  <c r="BJ711" i="4" s="1"/>
  <c r="A699" i="4"/>
  <c r="BJ699" i="4" s="1"/>
  <c r="A796" i="4"/>
  <c r="BJ796" i="4" s="1"/>
  <c r="A794" i="4"/>
  <c r="BJ794" i="4" s="1"/>
  <c r="A792" i="4"/>
  <c r="BJ792" i="4" s="1"/>
  <c r="A790" i="4"/>
  <c r="BJ790" i="4" s="1"/>
  <c r="A788" i="4"/>
  <c r="BJ788" i="4" s="1"/>
  <c r="A786" i="4"/>
  <c r="BJ786" i="4" s="1"/>
  <c r="A784" i="4"/>
  <c r="BJ784" i="4" s="1"/>
  <c r="A782" i="4"/>
  <c r="BJ782" i="4" s="1"/>
  <c r="A780" i="4"/>
  <c r="BJ780" i="4" s="1"/>
  <c r="A778" i="4"/>
  <c r="BJ778" i="4" s="1"/>
  <c r="A776" i="4"/>
  <c r="BJ776" i="4" s="1"/>
  <c r="A774" i="4"/>
  <c r="BJ774" i="4" s="1"/>
  <c r="A772" i="4"/>
  <c r="BJ772" i="4" s="1"/>
  <c r="A770" i="4"/>
  <c r="BJ770" i="4" s="1"/>
  <c r="A766" i="4"/>
  <c r="BJ766" i="4" s="1"/>
  <c r="A762" i="4"/>
  <c r="BJ762" i="4" s="1"/>
  <c r="A753" i="4"/>
  <c r="BJ753" i="4" s="1"/>
  <c r="A749" i="4"/>
  <c r="BJ749" i="4" s="1"/>
  <c r="A713" i="4"/>
  <c r="BJ713" i="4" s="1"/>
  <c r="A709" i="4"/>
  <c r="BJ709" i="4" s="1"/>
  <c r="A707" i="4"/>
  <c r="BJ707" i="4" s="1"/>
  <c r="A705" i="4"/>
  <c r="BJ705" i="4" s="1"/>
  <c r="A703" i="4"/>
  <c r="BJ703" i="4" s="1"/>
  <c r="A701" i="4"/>
  <c r="BJ701" i="4" s="1"/>
  <c r="A697" i="4"/>
  <c r="BJ697" i="4" s="1"/>
  <c r="A695" i="4"/>
  <c r="BJ695" i="4" s="1"/>
  <c r="A693" i="4"/>
  <c r="BJ693" i="4" s="1"/>
  <c r="A691" i="4"/>
  <c r="BJ691" i="4" s="1"/>
  <c r="A687" i="4"/>
  <c r="BJ687" i="4" s="1"/>
  <c r="A679" i="4"/>
  <c r="BJ679" i="4" s="1"/>
  <c r="A676" i="4"/>
  <c r="BJ676" i="4" s="1"/>
  <c r="A674" i="4"/>
  <c r="BJ674" i="4" s="1"/>
  <c r="A672" i="4"/>
  <c r="BJ672" i="4" s="1"/>
  <c r="A669" i="4"/>
  <c r="BJ669" i="4" s="1"/>
  <c r="A665" i="4"/>
  <c r="BJ665" i="4" s="1"/>
  <c r="A663" i="4"/>
  <c r="BJ663" i="4" s="1"/>
  <c r="A661" i="4"/>
  <c r="BJ661" i="4" s="1"/>
  <c r="A657" i="4"/>
  <c r="BJ657" i="4" s="1"/>
  <c r="A655" i="4"/>
  <c r="BJ655" i="4" s="1"/>
  <c r="A653" i="4"/>
  <c r="BJ653" i="4" s="1"/>
  <c r="A647" i="4"/>
  <c r="BJ647" i="4" s="1"/>
  <c r="A645" i="4"/>
  <c r="BJ645" i="4" s="1"/>
  <c r="A643" i="4"/>
  <c r="BJ643" i="4" s="1"/>
  <c r="A641" i="4"/>
  <c r="BJ641" i="4" s="1"/>
  <c r="A639" i="4"/>
  <c r="BJ639" i="4" s="1"/>
  <c r="A602" i="4"/>
  <c r="BJ602" i="4" s="1"/>
  <c r="A598" i="4"/>
  <c r="BJ598" i="4" s="1"/>
  <c r="A595" i="4"/>
  <c r="BJ595" i="4" s="1"/>
  <c r="A588" i="4"/>
  <c r="BJ588" i="4" s="1"/>
  <c r="A583" i="4"/>
  <c r="BJ583" i="4" s="1"/>
  <c r="A968" i="4"/>
  <c r="BJ968" i="4" s="1"/>
  <c r="A966" i="4"/>
  <c r="BJ966" i="4" s="1"/>
  <c r="A963" i="4"/>
  <c r="BJ963" i="4" s="1"/>
  <c r="A961" i="4"/>
  <c r="BJ961" i="4" s="1"/>
  <c r="A959" i="4"/>
  <c r="BJ959" i="4" s="1"/>
  <c r="A957" i="4"/>
  <c r="BJ957" i="4" s="1"/>
  <c r="A955" i="4"/>
  <c r="BJ955" i="4" s="1"/>
  <c r="A953" i="4"/>
  <c r="BJ953" i="4" s="1"/>
  <c r="A951" i="4"/>
  <c r="BJ951" i="4" s="1"/>
  <c r="A949" i="4"/>
  <c r="BJ949" i="4" s="1"/>
  <c r="A947" i="4"/>
  <c r="BJ947" i="4" s="1"/>
  <c r="A891" i="4"/>
  <c r="BJ891" i="4" s="1"/>
  <c r="A868" i="4"/>
  <c r="BJ868" i="4" s="1"/>
  <c r="A861" i="4"/>
  <c r="BJ861" i="4" s="1"/>
  <c r="A856" i="4"/>
  <c r="BJ856" i="4" s="1"/>
  <c r="A854" i="4"/>
  <c r="BJ854" i="4" s="1"/>
  <c r="A852" i="4"/>
  <c r="BJ852" i="4" s="1"/>
  <c r="A847" i="4"/>
  <c r="BJ847" i="4" s="1"/>
  <c r="A845" i="4"/>
  <c r="BJ845" i="4" s="1"/>
  <c r="A843" i="4"/>
  <c r="BJ843" i="4" s="1"/>
  <c r="A841" i="4"/>
  <c r="BJ841" i="4" s="1"/>
  <c r="A839" i="4"/>
  <c r="BJ839" i="4" s="1"/>
  <c r="A837" i="4"/>
  <c r="BJ837" i="4" s="1"/>
  <c r="A835" i="4"/>
  <c r="BJ835" i="4" s="1"/>
  <c r="A821" i="4"/>
  <c r="BJ821" i="4" s="1"/>
  <c r="A817" i="4"/>
  <c r="BJ817" i="4" s="1"/>
  <c r="A806" i="4"/>
  <c r="BJ806" i="4" s="1"/>
  <c r="A801" i="4"/>
  <c r="BJ801" i="4" s="1"/>
  <c r="A799" i="4"/>
  <c r="BJ799" i="4" s="1"/>
  <c r="A767" i="4"/>
  <c r="BJ767" i="4" s="1"/>
  <c r="A759" i="4"/>
  <c r="BJ759" i="4" s="1"/>
  <c r="A757" i="4"/>
  <c r="BJ757" i="4" s="1"/>
  <c r="A755" i="4"/>
  <c r="BJ755" i="4" s="1"/>
  <c r="A750" i="4"/>
  <c r="BJ750" i="4" s="1"/>
  <c r="A710" i="4"/>
  <c r="BJ710" i="4" s="1"/>
  <c r="A680" i="4"/>
  <c r="BJ680" i="4" s="1"/>
  <c r="A670" i="4"/>
  <c r="BJ670" i="4" s="1"/>
  <c r="A600" i="4"/>
  <c r="BJ600" i="4" s="1"/>
  <c r="A589" i="4"/>
  <c r="BJ589" i="4" s="1"/>
  <c r="A581" i="4"/>
  <c r="BJ581" i="4" s="1"/>
  <c r="A579" i="4"/>
  <c r="BJ579" i="4" s="1"/>
  <c r="A577" i="4"/>
  <c r="BJ577" i="4" s="1"/>
  <c r="A454" i="4"/>
  <c r="BJ454" i="4" s="1"/>
  <c r="A452" i="4"/>
  <c r="BJ452" i="4" s="1"/>
  <c r="A448" i="4"/>
  <c r="BJ448" i="4" s="1"/>
  <c r="A446" i="4"/>
  <c r="BJ446" i="4" s="1"/>
  <c r="A444" i="4"/>
  <c r="BJ444" i="4" s="1"/>
  <c r="A442" i="4"/>
  <c r="BJ442" i="4" s="1"/>
  <c r="A440" i="4"/>
  <c r="BJ440" i="4" s="1"/>
  <c r="A438" i="4"/>
  <c r="BJ438" i="4" s="1"/>
  <c r="A434" i="4"/>
  <c r="BJ434" i="4" s="1"/>
  <c r="A418" i="4"/>
  <c r="BJ418" i="4" s="1"/>
  <c r="A416" i="4"/>
  <c r="BJ416" i="4" s="1"/>
  <c r="A414" i="4"/>
  <c r="BJ414" i="4" s="1"/>
  <c r="A403" i="4"/>
  <c r="BJ403" i="4" s="1"/>
  <c r="A401" i="4"/>
  <c r="BJ401" i="4" s="1"/>
  <c r="A398" i="4"/>
  <c r="BJ398" i="4" s="1"/>
  <c r="A396" i="4"/>
  <c r="BJ396" i="4" s="1"/>
  <c r="A392" i="4"/>
  <c r="BJ392" i="4" s="1"/>
  <c r="A389" i="4"/>
  <c r="BJ389" i="4" s="1"/>
  <c r="A384" i="4"/>
  <c r="BJ384" i="4" s="1"/>
  <c r="A379" i="4"/>
  <c r="BJ379" i="4" s="1"/>
  <c r="A377" i="4"/>
  <c r="BJ377" i="4" s="1"/>
  <c r="A369" i="4"/>
  <c r="BJ369" i="4" s="1"/>
  <c r="A297" i="4"/>
  <c r="BJ297" i="4" s="1"/>
  <c r="A295" i="4"/>
  <c r="BJ295" i="4" s="1"/>
  <c r="A291" i="4"/>
  <c r="BJ291" i="4" s="1"/>
  <c r="A289" i="4"/>
  <c r="BJ289" i="4" s="1"/>
  <c r="A282" i="4"/>
  <c r="BJ282" i="4" s="1"/>
  <c r="A276" i="4"/>
  <c r="BJ276" i="4" s="1"/>
  <c r="A274" i="4"/>
  <c r="BJ274" i="4" s="1"/>
  <c r="A270" i="4"/>
  <c r="BJ270" i="4" s="1"/>
  <c r="A267" i="4"/>
  <c r="BJ267" i="4" s="1"/>
  <c r="A265" i="4"/>
  <c r="BJ265" i="4" s="1"/>
  <c r="A263" i="4"/>
  <c r="BJ263" i="4" s="1"/>
  <c r="A261" i="4"/>
  <c r="BJ261" i="4" s="1"/>
  <c r="A259" i="4"/>
  <c r="BJ259" i="4" s="1"/>
  <c r="A238" i="4"/>
  <c r="BJ238" i="4" s="1"/>
  <c r="A236" i="4"/>
  <c r="BJ236" i="4" s="1"/>
  <c r="A232" i="4"/>
  <c r="BJ232" i="4" s="1"/>
  <c r="A227" i="4"/>
  <c r="BJ227" i="4" s="1"/>
  <c r="A225" i="4"/>
  <c r="BJ225" i="4" s="1"/>
  <c r="A223" i="4"/>
  <c r="BJ223" i="4" s="1"/>
  <c r="A218" i="4"/>
  <c r="BJ218" i="4" s="1"/>
  <c r="A211" i="4"/>
  <c r="BJ211" i="4" s="1"/>
  <c r="A208" i="4"/>
  <c r="BJ208" i="4" s="1"/>
  <c r="A203" i="4"/>
  <c r="BJ203" i="4" s="1"/>
  <c r="A200" i="4"/>
  <c r="BJ200" i="4" s="1"/>
  <c r="A194" i="4"/>
  <c r="BJ194" i="4" s="1"/>
  <c r="A192" i="4"/>
  <c r="BJ192" i="4" s="1"/>
  <c r="A190" i="4"/>
  <c r="BJ190" i="4" s="1"/>
  <c r="A188" i="4"/>
  <c r="BJ188" i="4" s="1"/>
  <c r="A171" i="4"/>
  <c r="BJ171" i="4" s="1"/>
  <c r="A167" i="4"/>
  <c r="BJ167" i="4" s="1"/>
  <c r="A163" i="4"/>
  <c r="BJ163" i="4" s="1"/>
  <c r="A159" i="4"/>
  <c r="BJ159" i="4" s="1"/>
  <c r="A156" i="4"/>
  <c r="BJ156" i="4" s="1"/>
  <c r="A154" i="4"/>
  <c r="BJ154" i="4" s="1"/>
  <c r="A152" i="4"/>
  <c r="BJ152" i="4" s="1"/>
  <c r="A150" i="4"/>
  <c r="BJ150" i="4" s="1"/>
  <c r="A148" i="4"/>
  <c r="BJ148" i="4" s="1"/>
  <c r="A146" i="4"/>
  <c r="BJ146" i="4" s="1"/>
  <c r="A144" i="4"/>
  <c r="BJ144" i="4" s="1"/>
  <c r="A142" i="4"/>
  <c r="BJ142" i="4" s="1"/>
  <c r="A140" i="4"/>
  <c r="BJ140" i="4" s="1"/>
  <c r="A138" i="4"/>
  <c r="BJ138" i="4" s="1"/>
  <c r="A136" i="4"/>
  <c r="BJ136" i="4" s="1"/>
  <c r="A134" i="4"/>
  <c r="BJ134" i="4" s="1"/>
  <c r="A132" i="4"/>
  <c r="BJ132" i="4" s="1"/>
  <c r="A130" i="4"/>
  <c r="BJ130" i="4" s="1"/>
  <c r="A128" i="4"/>
  <c r="BJ128" i="4" s="1"/>
  <c r="A126" i="4"/>
  <c r="BJ126" i="4" s="1"/>
  <c r="A124" i="4"/>
  <c r="BJ124" i="4" s="1"/>
  <c r="A122" i="4"/>
  <c r="BJ122" i="4" s="1"/>
  <c r="A120" i="4"/>
  <c r="BJ120" i="4" s="1"/>
  <c r="A118" i="4"/>
  <c r="BJ118" i="4" s="1"/>
  <c r="A116" i="4"/>
  <c r="BJ116" i="4" s="1"/>
  <c r="A114" i="4"/>
  <c r="BJ114" i="4" s="1"/>
  <c r="A112" i="4"/>
  <c r="BJ112" i="4" s="1"/>
  <c r="A110" i="4"/>
  <c r="BJ110" i="4" s="1"/>
  <c r="A108" i="4"/>
  <c r="BJ108" i="4" s="1"/>
  <c r="A106" i="4"/>
  <c r="BJ106" i="4" s="1"/>
  <c r="A104" i="4"/>
  <c r="BJ104" i="4" s="1"/>
  <c r="A102" i="4"/>
  <c r="BJ102" i="4" s="1"/>
  <c r="A100" i="4"/>
  <c r="BJ100" i="4" s="1"/>
  <c r="A98" i="4"/>
  <c r="BJ98" i="4" s="1"/>
  <c r="A96" i="4"/>
  <c r="BJ96" i="4" s="1"/>
  <c r="A94" i="4"/>
  <c r="BJ94" i="4" s="1"/>
  <c r="A92" i="4"/>
  <c r="BJ92" i="4" s="1"/>
  <c r="A90" i="4"/>
  <c r="BJ90" i="4" s="1"/>
  <c r="A88" i="4"/>
  <c r="BJ88" i="4" s="1"/>
  <c r="A1063" i="4"/>
  <c r="BJ1063" i="4" s="1"/>
  <c r="A1004" i="4"/>
  <c r="BJ1004" i="4" s="1"/>
  <c r="A1002" i="4"/>
  <c r="BJ1002" i="4" s="1"/>
  <c r="A999" i="4"/>
  <c r="BJ999" i="4" s="1"/>
  <c r="A878" i="4"/>
  <c r="BJ878" i="4" s="1"/>
  <c r="A859" i="4"/>
  <c r="BJ859" i="4" s="1"/>
  <c r="A827" i="4"/>
  <c r="BJ827" i="4" s="1"/>
  <c r="A814" i="4"/>
  <c r="BJ814" i="4" s="1"/>
  <c r="A765" i="4"/>
  <c r="BJ765" i="4" s="1"/>
  <c r="A747" i="4"/>
  <c r="BJ747" i="4" s="1"/>
  <c r="A745" i="4"/>
  <c r="BJ745" i="4" s="1"/>
  <c r="A743" i="4"/>
  <c r="BJ743" i="4" s="1"/>
  <c r="A741" i="4"/>
  <c r="BJ741" i="4" s="1"/>
  <c r="A739" i="4"/>
  <c r="BJ739" i="4" s="1"/>
  <c r="A737" i="4"/>
  <c r="BJ737" i="4" s="1"/>
  <c r="A735" i="4"/>
  <c r="BJ735" i="4" s="1"/>
  <c r="A733" i="4"/>
  <c r="BJ733" i="4" s="1"/>
  <c r="A731" i="4"/>
  <c r="BJ731" i="4" s="1"/>
  <c r="A729" i="4"/>
  <c r="BJ729" i="4" s="1"/>
  <c r="A727" i="4"/>
  <c r="BJ727" i="4" s="1"/>
  <c r="A725" i="4"/>
  <c r="BJ725" i="4" s="1"/>
  <c r="A723" i="4"/>
  <c r="BJ723" i="4" s="1"/>
  <c r="A721" i="4"/>
  <c r="BJ721" i="4" s="1"/>
  <c r="A719" i="4"/>
  <c r="BJ719" i="4" s="1"/>
  <c r="A717" i="4"/>
  <c r="BJ717" i="4" s="1"/>
  <c r="A715" i="4"/>
  <c r="BJ715" i="4" s="1"/>
  <c r="A667" i="4"/>
  <c r="BJ667" i="4" s="1"/>
  <c r="A587" i="4"/>
  <c r="BJ587" i="4" s="1"/>
  <c r="A585" i="4"/>
  <c r="BJ585" i="4" s="1"/>
  <c r="A677" i="4"/>
  <c r="BJ677" i="4" s="1"/>
  <c r="A658" i="4"/>
  <c r="BJ658" i="4" s="1"/>
  <c r="A599" i="4"/>
  <c r="BJ599" i="4" s="1"/>
  <c r="A582" i="4"/>
  <c r="BJ582" i="4" s="1"/>
  <c r="A580" i="4"/>
  <c r="BJ580" i="4" s="1"/>
  <c r="A578" i="4"/>
  <c r="BJ578" i="4" s="1"/>
  <c r="A576" i="4"/>
  <c r="BJ576" i="4" s="1"/>
  <c r="A453" i="4"/>
  <c r="BJ453" i="4" s="1"/>
  <c r="A451" i="4"/>
  <c r="BJ451" i="4" s="1"/>
  <c r="A447" i="4"/>
  <c r="BJ447" i="4" s="1"/>
  <c r="A445" i="4"/>
  <c r="BJ445" i="4" s="1"/>
  <c r="A443" i="4"/>
  <c r="BJ443" i="4" s="1"/>
  <c r="A441" i="4"/>
  <c r="BJ441" i="4" s="1"/>
  <c r="A439" i="4"/>
  <c r="BJ439" i="4" s="1"/>
  <c r="A436" i="4"/>
  <c r="BJ436" i="4" s="1"/>
  <c r="A432" i="4"/>
  <c r="BJ432" i="4" s="1"/>
  <c r="A417" i="4"/>
  <c r="BJ417" i="4" s="1"/>
  <c r="A415" i="4"/>
  <c r="BJ415" i="4" s="1"/>
  <c r="A404" i="4"/>
  <c r="BJ404" i="4" s="1"/>
  <c r="A402" i="4"/>
  <c r="BJ402" i="4" s="1"/>
  <c r="A399" i="4"/>
  <c r="BJ399" i="4" s="1"/>
  <c r="A397" i="4"/>
  <c r="BJ397" i="4" s="1"/>
  <c r="A395" i="4"/>
  <c r="BJ395" i="4" s="1"/>
  <c r="A390" i="4"/>
  <c r="BJ390" i="4" s="1"/>
  <c r="A386" i="4"/>
  <c r="BJ386" i="4" s="1"/>
  <c r="A383" i="4"/>
  <c r="BJ383" i="4" s="1"/>
  <c r="A378" i="4"/>
  <c r="BJ378" i="4" s="1"/>
  <c r="A375" i="4"/>
  <c r="BJ375" i="4" s="1"/>
  <c r="A337" i="4"/>
  <c r="BJ337" i="4" s="1"/>
  <c r="A296" i="4"/>
  <c r="BJ296" i="4" s="1"/>
  <c r="A294" i="4"/>
  <c r="BJ294" i="4" s="1"/>
  <c r="A290" i="4"/>
  <c r="BJ290" i="4" s="1"/>
  <c r="A285" i="4"/>
  <c r="BJ285" i="4" s="1"/>
  <c r="A280" i="4"/>
  <c r="BJ280" i="4" s="1"/>
  <c r="A275" i="4"/>
  <c r="BJ275" i="4" s="1"/>
  <c r="A271" i="4"/>
  <c r="BJ271" i="4" s="1"/>
  <c r="A269" i="4"/>
  <c r="BJ269" i="4" s="1"/>
  <c r="A266" i="4"/>
  <c r="BJ266" i="4" s="1"/>
  <c r="A264" i="4"/>
  <c r="BJ264" i="4" s="1"/>
  <c r="A262" i="4"/>
  <c r="BJ262" i="4" s="1"/>
  <c r="A260" i="4"/>
  <c r="BJ260" i="4" s="1"/>
  <c r="A239" i="4"/>
  <c r="BJ239" i="4" s="1"/>
  <c r="A237" i="4"/>
  <c r="BJ237" i="4" s="1"/>
  <c r="A235" i="4"/>
  <c r="BJ235" i="4" s="1"/>
  <c r="A229" i="4"/>
  <c r="BJ229" i="4" s="1"/>
  <c r="A226" i="4"/>
  <c r="BJ226" i="4" s="1"/>
  <c r="A224" i="4"/>
  <c r="BJ224" i="4" s="1"/>
  <c r="A222" i="4"/>
  <c r="BJ222" i="4" s="1"/>
  <c r="A212" i="4"/>
  <c r="BJ212" i="4" s="1"/>
  <c r="A209" i="4"/>
  <c r="BJ209" i="4" s="1"/>
  <c r="A207" i="4"/>
  <c r="BJ207" i="4" s="1"/>
  <c r="A201" i="4"/>
  <c r="BJ201" i="4" s="1"/>
  <c r="A195" i="4"/>
  <c r="BJ195" i="4" s="1"/>
  <c r="A193" i="4"/>
  <c r="BJ193" i="4" s="1"/>
  <c r="A191" i="4"/>
  <c r="BJ191" i="4" s="1"/>
  <c r="A189" i="4"/>
  <c r="BJ189" i="4" s="1"/>
  <c r="A187" i="4"/>
  <c r="BJ187" i="4" s="1"/>
  <c r="A169" i="4"/>
  <c r="BJ169" i="4" s="1"/>
  <c r="A165" i="4"/>
  <c r="BJ165" i="4" s="1"/>
  <c r="A161" i="4"/>
  <c r="BJ161" i="4" s="1"/>
  <c r="A157" i="4"/>
  <c r="BJ157" i="4" s="1"/>
  <c r="A155" i="4"/>
  <c r="BJ155" i="4" s="1"/>
  <c r="A153" i="4"/>
  <c r="BJ153" i="4" s="1"/>
  <c r="A151" i="4"/>
  <c r="BJ151" i="4" s="1"/>
  <c r="A149" i="4"/>
  <c r="BJ149" i="4" s="1"/>
  <c r="A147" i="4"/>
  <c r="BJ147" i="4" s="1"/>
  <c r="A145" i="4"/>
  <c r="BJ145" i="4" s="1"/>
  <c r="A143" i="4"/>
  <c r="BJ143" i="4" s="1"/>
  <c r="A141" i="4"/>
  <c r="BJ141" i="4" s="1"/>
  <c r="A139" i="4"/>
  <c r="BJ139" i="4" s="1"/>
  <c r="A137" i="4"/>
  <c r="BJ137" i="4" s="1"/>
  <c r="A135" i="4"/>
  <c r="BJ135" i="4" s="1"/>
  <c r="A133" i="4"/>
  <c r="BJ133" i="4" s="1"/>
  <c r="A131" i="4"/>
  <c r="BJ131" i="4" s="1"/>
  <c r="A129" i="4"/>
  <c r="BJ129" i="4" s="1"/>
  <c r="A127" i="4"/>
  <c r="BJ127" i="4" s="1"/>
  <c r="A125" i="4"/>
  <c r="BJ125" i="4" s="1"/>
  <c r="A123" i="4"/>
  <c r="BJ123" i="4" s="1"/>
  <c r="A121" i="4"/>
  <c r="BJ121" i="4" s="1"/>
  <c r="A119" i="4"/>
  <c r="BJ119" i="4" s="1"/>
  <c r="A117" i="4"/>
  <c r="BJ117" i="4" s="1"/>
  <c r="A115" i="4"/>
  <c r="BJ115" i="4" s="1"/>
  <c r="A113" i="4"/>
  <c r="BJ113" i="4" s="1"/>
  <c r="A111" i="4"/>
  <c r="BJ111" i="4" s="1"/>
  <c r="A109" i="4"/>
  <c r="BJ109" i="4" s="1"/>
  <c r="A107" i="4"/>
  <c r="BJ107" i="4" s="1"/>
  <c r="A105" i="4"/>
  <c r="BJ105" i="4" s="1"/>
  <c r="A103" i="4"/>
  <c r="BJ103" i="4" s="1"/>
  <c r="A101" i="4"/>
  <c r="BJ101" i="4" s="1"/>
  <c r="A99" i="4"/>
  <c r="BJ99" i="4" s="1"/>
  <c r="A97" i="4"/>
  <c r="BJ97" i="4" s="1"/>
  <c r="A95" i="4"/>
  <c r="BJ95" i="4" s="1"/>
  <c r="A93" i="4"/>
  <c r="BJ93" i="4" s="1"/>
  <c r="A91" i="4"/>
  <c r="BJ91" i="4" s="1"/>
  <c r="A89" i="4"/>
  <c r="BJ89" i="4" s="1"/>
  <c r="A1064" i="4"/>
  <c r="BJ1064" i="4" s="1"/>
  <c r="A1054" i="4"/>
  <c r="BJ1054" i="4" s="1"/>
  <c r="A1003" i="4"/>
  <c r="BJ1003" i="4" s="1"/>
  <c r="A1000" i="4"/>
  <c r="BJ1000" i="4" s="1"/>
  <c r="A879" i="4"/>
  <c r="BJ879" i="4" s="1"/>
  <c r="A875" i="4"/>
  <c r="BJ875" i="4" s="1"/>
  <c r="A850" i="4"/>
  <c r="BJ850" i="4" s="1"/>
  <c r="A815" i="4"/>
  <c r="BJ815" i="4" s="1"/>
  <c r="A813" i="4"/>
  <c r="BJ813" i="4" s="1"/>
  <c r="A748" i="4"/>
  <c r="BJ748" i="4" s="1"/>
  <c r="A746" i="4"/>
  <c r="BJ746" i="4" s="1"/>
  <c r="A744" i="4"/>
  <c r="BJ744" i="4" s="1"/>
  <c r="A742" i="4"/>
  <c r="BJ742" i="4" s="1"/>
  <c r="A740" i="4"/>
  <c r="BJ740" i="4" s="1"/>
  <c r="A738" i="4"/>
  <c r="BJ738" i="4" s="1"/>
  <c r="A736" i="4"/>
  <c r="BJ736" i="4" s="1"/>
  <c r="A734" i="4"/>
  <c r="BJ734" i="4" s="1"/>
  <c r="A732" i="4"/>
  <c r="BJ732" i="4" s="1"/>
  <c r="A730" i="4"/>
  <c r="BJ730" i="4" s="1"/>
  <c r="A728" i="4"/>
  <c r="BJ728" i="4" s="1"/>
  <c r="A726" i="4"/>
  <c r="BJ726" i="4" s="1"/>
  <c r="A724" i="4"/>
  <c r="BJ724" i="4" s="1"/>
  <c r="A722" i="4"/>
  <c r="BJ722" i="4" s="1"/>
  <c r="A720" i="4"/>
  <c r="BJ720" i="4" s="1"/>
  <c r="A718" i="4"/>
  <c r="BJ718" i="4" s="1"/>
  <c r="A716" i="4"/>
  <c r="BJ716" i="4" s="1"/>
  <c r="A668" i="4"/>
  <c r="BJ668" i="4" s="1"/>
  <c r="A660" i="4"/>
  <c r="BJ660" i="4" s="1"/>
  <c r="A586" i="4"/>
  <c r="BJ586" i="4" s="1"/>
  <c r="A433" i="4"/>
  <c r="BJ433" i="4" s="1"/>
  <c r="A412" i="4"/>
  <c r="BJ412" i="4" s="1"/>
  <c r="A410" i="4"/>
  <c r="BJ410" i="4" s="1"/>
  <c r="A408" i="4"/>
  <c r="BJ408" i="4" s="1"/>
  <c r="A406" i="4"/>
  <c r="BJ406" i="4" s="1"/>
  <c r="A400" i="4"/>
  <c r="BJ400" i="4" s="1"/>
  <c r="A388" i="4"/>
  <c r="BJ388" i="4" s="1"/>
  <c r="A376" i="4"/>
  <c r="BJ376" i="4" s="1"/>
  <c r="A367" i="4"/>
  <c r="BJ367" i="4" s="1"/>
  <c r="A365" i="4"/>
  <c r="BJ365" i="4" s="1"/>
  <c r="A363" i="4"/>
  <c r="BJ363" i="4" s="1"/>
  <c r="A361" i="4"/>
  <c r="BJ361" i="4" s="1"/>
  <c r="A359" i="4"/>
  <c r="BJ359" i="4" s="1"/>
  <c r="A357" i="4"/>
  <c r="BJ357" i="4" s="1"/>
  <c r="A355" i="4"/>
  <c r="BJ355" i="4" s="1"/>
  <c r="A353" i="4"/>
  <c r="BJ353" i="4" s="1"/>
  <c r="A351" i="4"/>
  <c r="BJ351" i="4" s="1"/>
  <c r="A349" i="4"/>
  <c r="BJ349" i="4" s="1"/>
  <c r="A347" i="4"/>
  <c r="BJ347" i="4" s="1"/>
  <c r="A345" i="4"/>
  <c r="BJ345" i="4" s="1"/>
  <c r="A343" i="4"/>
  <c r="BJ343" i="4" s="1"/>
  <c r="A341" i="4"/>
  <c r="BJ341" i="4" s="1"/>
  <c r="A339" i="4"/>
  <c r="BJ339" i="4" s="1"/>
  <c r="A287" i="4"/>
  <c r="BJ287" i="4" s="1"/>
  <c r="A281" i="4"/>
  <c r="BJ281" i="4" s="1"/>
  <c r="A272" i="4"/>
  <c r="BJ272" i="4" s="1"/>
  <c r="A257" i="4"/>
  <c r="BJ257" i="4" s="1"/>
  <c r="A255" i="4"/>
  <c r="BJ255" i="4" s="1"/>
  <c r="A253" i="4"/>
  <c r="BJ253" i="4" s="1"/>
  <c r="A251" i="4"/>
  <c r="BJ251" i="4" s="1"/>
  <c r="A249" i="4"/>
  <c r="BJ249" i="4" s="1"/>
  <c r="A247" i="4"/>
  <c r="BJ247" i="4" s="1"/>
  <c r="A245" i="4"/>
  <c r="BJ245" i="4" s="1"/>
  <c r="A243" i="4"/>
  <c r="BJ243" i="4" s="1"/>
  <c r="A241" i="4"/>
  <c r="BJ241" i="4" s="1"/>
  <c r="A231" i="4"/>
  <c r="BJ231" i="4" s="1"/>
  <c r="A217" i="4"/>
  <c r="BJ217" i="4" s="1"/>
  <c r="A215" i="4"/>
  <c r="BJ215" i="4" s="1"/>
  <c r="A213" i="4"/>
  <c r="BJ213" i="4" s="1"/>
  <c r="A202" i="4"/>
  <c r="BJ202" i="4" s="1"/>
  <c r="A197" i="4"/>
  <c r="BJ197" i="4" s="1"/>
  <c r="A170" i="4"/>
  <c r="BJ170" i="4" s="1"/>
  <c r="A162" i="4"/>
  <c r="BJ162" i="4" s="1"/>
  <c r="A85" i="4"/>
  <c r="BJ85" i="4" s="1"/>
  <c r="A83" i="4"/>
  <c r="BJ83" i="4" s="1"/>
  <c r="A81" i="4"/>
  <c r="BJ81" i="4" s="1"/>
  <c r="A79" i="4"/>
  <c r="BJ79" i="4" s="1"/>
  <c r="A77" i="4"/>
  <c r="BJ77" i="4" s="1"/>
  <c r="A71" i="4"/>
  <c r="BJ71" i="4" s="1"/>
  <c r="A69" i="4"/>
  <c r="BJ69" i="4" s="1"/>
  <c r="A67" i="4"/>
  <c r="BJ67" i="4" s="1"/>
  <c r="A65" i="4"/>
  <c r="BJ65" i="4" s="1"/>
  <c r="A58" i="4"/>
  <c r="BJ58" i="4" s="1"/>
  <c r="A53" i="4"/>
  <c r="BJ53" i="4" s="1"/>
  <c r="A49" i="4"/>
  <c r="BJ49" i="4" s="1"/>
  <c r="A47" i="4"/>
  <c r="BJ47" i="4" s="1"/>
  <c r="A41" i="4"/>
  <c r="BJ41" i="4" s="1"/>
  <c r="A35" i="4"/>
  <c r="BJ35" i="4" s="1"/>
  <c r="A33" i="4"/>
  <c r="BJ33" i="4" s="1"/>
  <c r="A31" i="4"/>
  <c r="BJ31" i="4" s="1"/>
  <c r="A29" i="4"/>
  <c r="BJ29" i="4" s="1"/>
  <c r="A27" i="4"/>
  <c r="BJ27" i="4" s="1"/>
  <c r="A25" i="4"/>
  <c r="BJ25" i="4" s="1"/>
  <c r="A23" i="4"/>
  <c r="BJ23" i="4" s="1"/>
  <c r="A21" i="4"/>
  <c r="BJ21" i="4" s="1"/>
  <c r="A19" i="4"/>
  <c r="BJ19" i="4" s="1"/>
  <c r="A17" i="4"/>
  <c r="BJ17" i="4" s="1"/>
  <c r="A15" i="4"/>
  <c r="BJ15" i="4" s="1"/>
  <c r="A13" i="4"/>
  <c r="BJ13" i="4" s="1"/>
  <c r="A11" i="4"/>
  <c r="BJ11" i="4" s="1"/>
  <c r="A9" i="4"/>
  <c r="BJ9" i="4" s="1"/>
  <c r="A7" i="4"/>
  <c r="BJ7" i="4" s="1"/>
  <c r="A5" i="4"/>
  <c r="BJ5" i="4" s="1"/>
  <c r="A3" i="4"/>
  <c r="BJ3" i="4" s="1"/>
  <c r="A915" i="4"/>
  <c r="BJ915" i="4" s="1"/>
  <c r="A909" i="4"/>
  <c r="BJ909" i="4" s="1"/>
  <c r="A907" i="4"/>
  <c r="BJ907" i="4" s="1"/>
  <c r="A905" i="4"/>
  <c r="BJ905" i="4" s="1"/>
  <c r="A895" i="4"/>
  <c r="BJ895" i="4" s="1"/>
  <c r="A893" i="4"/>
  <c r="BJ893" i="4" s="1"/>
  <c r="A870" i="4"/>
  <c r="BJ870" i="4" s="1"/>
  <c r="A823" i="4"/>
  <c r="BJ823" i="4" s="1"/>
  <c r="A808" i="4"/>
  <c r="BJ808" i="4" s="1"/>
  <c r="A761" i="4"/>
  <c r="BJ761" i="4" s="1"/>
  <c r="A690" i="4"/>
  <c r="BJ690" i="4" s="1"/>
  <c r="A686" i="4"/>
  <c r="BJ686" i="4" s="1"/>
  <c r="A684" i="4"/>
  <c r="BJ684" i="4" s="1"/>
  <c r="A682" i="4"/>
  <c r="BJ682" i="4" s="1"/>
  <c r="A651" i="4"/>
  <c r="BJ651" i="4" s="1"/>
  <c r="A649" i="4"/>
  <c r="BJ649" i="4" s="1"/>
  <c r="A637" i="4"/>
  <c r="BJ637" i="4" s="1"/>
  <c r="A635" i="4"/>
  <c r="BJ635" i="4" s="1"/>
  <c r="A633" i="4"/>
  <c r="BJ633" i="4" s="1"/>
  <c r="A631" i="4"/>
  <c r="BJ631" i="4" s="1"/>
  <c r="A629" i="4"/>
  <c r="BJ629" i="4" s="1"/>
  <c r="A626" i="4"/>
  <c r="BJ626" i="4" s="1"/>
  <c r="A624" i="4"/>
  <c r="BJ624" i="4" s="1"/>
  <c r="A622" i="4"/>
  <c r="BJ622" i="4" s="1"/>
  <c r="A620" i="4"/>
  <c r="BJ620" i="4" s="1"/>
  <c r="A618" i="4"/>
  <c r="BJ618" i="4" s="1"/>
  <c r="A616" i="4"/>
  <c r="BJ616" i="4" s="1"/>
  <c r="A614" i="4"/>
  <c r="BJ614" i="4" s="1"/>
  <c r="A612" i="4"/>
  <c r="BJ612" i="4" s="1"/>
  <c r="A610" i="4"/>
  <c r="BJ610" i="4" s="1"/>
  <c r="A608" i="4"/>
  <c r="BJ608" i="4" s="1"/>
  <c r="A606" i="4"/>
  <c r="BJ606" i="4" s="1"/>
  <c r="A604" i="4"/>
  <c r="BJ604" i="4" s="1"/>
  <c r="A594" i="4"/>
  <c r="BJ594" i="4" s="1"/>
  <c r="A592" i="4"/>
  <c r="BJ592" i="4" s="1"/>
  <c r="A450" i="4"/>
  <c r="BJ450" i="4" s="1"/>
  <c r="A423" i="4"/>
  <c r="BJ423" i="4" s="1"/>
  <c r="A393" i="4"/>
  <c r="BJ393" i="4" s="1"/>
  <c r="A380" i="4"/>
  <c r="BJ380" i="4" s="1"/>
  <c r="A372" i="4"/>
  <c r="BJ372" i="4" s="1"/>
  <c r="A334" i="4"/>
  <c r="BJ334" i="4" s="1"/>
  <c r="A330" i="4"/>
  <c r="BJ330" i="4" s="1"/>
  <c r="A309" i="4"/>
  <c r="BJ309" i="4" s="1"/>
  <c r="A305" i="4"/>
  <c r="BJ305" i="4" s="1"/>
  <c r="A301" i="4"/>
  <c r="BJ301" i="4" s="1"/>
  <c r="A298" i="4"/>
  <c r="BJ298" i="4" s="1"/>
  <c r="A284" i="4"/>
  <c r="BJ284" i="4" s="1"/>
  <c r="A277" i="4"/>
  <c r="BJ277" i="4" s="1"/>
  <c r="A233" i="4"/>
  <c r="BJ233" i="4" s="1"/>
  <c r="A219" i="4"/>
  <c r="BJ219" i="4" s="1"/>
  <c r="A186" i="4"/>
  <c r="BJ186" i="4" s="1"/>
  <c r="A181" i="4"/>
  <c r="BJ181" i="4" s="1"/>
  <c r="A178" i="4"/>
  <c r="BJ178" i="4" s="1"/>
  <c r="A160" i="4"/>
  <c r="BJ160" i="4" s="1"/>
  <c r="A75" i="4"/>
  <c r="BJ75" i="4" s="1"/>
  <c r="A64" i="4"/>
  <c r="BJ64" i="4" s="1"/>
  <c r="A61" i="4"/>
  <c r="BJ61" i="4" s="1"/>
  <c r="A55" i="4"/>
  <c r="BJ55" i="4" s="1"/>
  <c r="A45" i="4"/>
  <c r="BJ45" i="4" s="1"/>
  <c r="A39" i="4"/>
  <c r="BJ39" i="4" s="1"/>
  <c r="AF10" i="17"/>
  <c r="AI10" i="17" s="1"/>
  <c r="A456" i="4"/>
  <c r="BJ456" i="4" s="1"/>
  <c r="A449" i="4"/>
  <c r="BJ449" i="4" s="1"/>
  <c r="A421" i="4"/>
  <c r="BJ421" i="4" s="1"/>
  <c r="A394" i="4"/>
  <c r="BJ394" i="4" s="1"/>
  <c r="A381" i="4"/>
  <c r="BJ381" i="4" s="1"/>
  <c r="A370" i="4"/>
  <c r="BJ370" i="4" s="1"/>
  <c r="A333" i="4"/>
  <c r="BJ333" i="4" s="1"/>
  <c r="A329" i="4"/>
  <c r="BJ329" i="4" s="1"/>
  <c r="A306" i="4"/>
  <c r="BJ306" i="4" s="1"/>
  <c r="A302" i="4"/>
  <c r="BJ302" i="4" s="1"/>
  <c r="A293" i="4"/>
  <c r="BJ293" i="4" s="1"/>
  <c r="A278" i="4"/>
  <c r="BJ278" i="4" s="1"/>
  <c r="A228" i="4"/>
  <c r="BJ228" i="4" s="1"/>
  <c r="A205" i="4"/>
  <c r="BJ205" i="4" s="1"/>
  <c r="A184" i="4"/>
  <c r="BJ184" i="4" s="1"/>
  <c r="A179" i="4"/>
  <c r="BJ179" i="4" s="1"/>
  <c r="A168" i="4"/>
  <c r="BJ168" i="4" s="1"/>
  <c r="A74" i="4"/>
  <c r="BJ74" i="4" s="1"/>
  <c r="A63" i="4"/>
  <c r="BJ63" i="4" s="1"/>
  <c r="A54" i="4"/>
  <c r="BJ54" i="4" s="1"/>
  <c r="A46" i="4"/>
  <c r="BJ46" i="4" s="1"/>
  <c r="A37" i="4"/>
  <c r="BJ37" i="4" s="1"/>
  <c r="J63" i="17"/>
  <c r="A437" i="4"/>
  <c r="BJ437" i="4" s="1"/>
  <c r="A413" i="4"/>
  <c r="BJ413" i="4" s="1"/>
  <c r="A411" i="4"/>
  <c r="BJ411" i="4" s="1"/>
  <c r="A409" i="4"/>
  <c r="BJ409" i="4" s="1"/>
  <c r="A407" i="4"/>
  <c r="BJ407" i="4" s="1"/>
  <c r="A405" i="4"/>
  <c r="BJ405" i="4" s="1"/>
  <c r="A391" i="4"/>
  <c r="BJ391" i="4" s="1"/>
  <c r="A387" i="4"/>
  <c r="BJ387" i="4" s="1"/>
  <c r="A368" i="4"/>
  <c r="BJ368" i="4" s="1"/>
  <c r="A366" i="4"/>
  <c r="BJ366" i="4" s="1"/>
  <c r="A364" i="4"/>
  <c r="BJ364" i="4" s="1"/>
  <c r="A362" i="4"/>
  <c r="BJ362" i="4" s="1"/>
  <c r="A360" i="4"/>
  <c r="BJ360" i="4" s="1"/>
  <c r="A358" i="4"/>
  <c r="BJ358" i="4" s="1"/>
  <c r="A356" i="4"/>
  <c r="BJ356" i="4" s="1"/>
  <c r="A354" i="4"/>
  <c r="BJ354" i="4" s="1"/>
  <c r="A352" i="4"/>
  <c r="BJ352" i="4" s="1"/>
  <c r="A350" i="4"/>
  <c r="BJ350" i="4" s="1"/>
  <c r="A348" i="4"/>
  <c r="BJ348" i="4" s="1"/>
  <c r="A346" i="4"/>
  <c r="BJ346" i="4" s="1"/>
  <c r="A344" i="4"/>
  <c r="BJ344" i="4" s="1"/>
  <c r="A342" i="4"/>
  <c r="BJ342" i="4" s="1"/>
  <c r="A340" i="4"/>
  <c r="BJ340" i="4" s="1"/>
  <c r="A288" i="4"/>
  <c r="BJ288" i="4" s="1"/>
  <c r="A286" i="4"/>
  <c r="BJ286" i="4" s="1"/>
  <c r="A273" i="4"/>
  <c r="BJ273" i="4" s="1"/>
  <c r="A258" i="4"/>
  <c r="BJ258" i="4" s="1"/>
  <c r="A256" i="4"/>
  <c r="BJ256" i="4" s="1"/>
  <c r="A254" i="4"/>
  <c r="BJ254" i="4" s="1"/>
  <c r="A252" i="4"/>
  <c r="BJ252" i="4" s="1"/>
  <c r="A250" i="4"/>
  <c r="BJ250" i="4" s="1"/>
  <c r="A248" i="4"/>
  <c r="BJ248" i="4" s="1"/>
  <c r="A246" i="4"/>
  <c r="BJ246" i="4" s="1"/>
  <c r="A244" i="4"/>
  <c r="BJ244" i="4" s="1"/>
  <c r="A242" i="4"/>
  <c r="BJ242" i="4" s="1"/>
  <c r="A240" i="4"/>
  <c r="BJ240" i="4" s="1"/>
  <c r="A230" i="4"/>
  <c r="BJ230" i="4" s="1"/>
  <c r="A216" i="4"/>
  <c r="BJ216" i="4" s="1"/>
  <c r="A214" i="4"/>
  <c r="BJ214" i="4" s="1"/>
  <c r="A210" i="4"/>
  <c r="BJ210" i="4" s="1"/>
  <c r="A199" i="4"/>
  <c r="BJ199" i="4" s="1"/>
  <c r="A196" i="4"/>
  <c r="BJ196" i="4" s="1"/>
  <c r="A166" i="4"/>
  <c r="BJ166" i="4" s="1"/>
  <c r="A158" i="4"/>
  <c r="BJ158" i="4" s="1"/>
  <c r="A84" i="4"/>
  <c r="BJ84" i="4" s="1"/>
  <c r="A82" i="4"/>
  <c r="BJ82" i="4" s="1"/>
  <c r="A80" i="4"/>
  <c r="BJ80" i="4" s="1"/>
  <c r="A78" i="4"/>
  <c r="BJ78" i="4" s="1"/>
  <c r="A76" i="4"/>
  <c r="BJ76" i="4" s="1"/>
  <c r="A70" i="4"/>
  <c r="BJ70" i="4" s="1"/>
  <c r="A68" i="4"/>
  <c r="BJ68" i="4" s="1"/>
  <c r="A66" i="4"/>
  <c r="BJ66" i="4" s="1"/>
  <c r="A59" i="4"/>
  <c r="BJ59" i="4" s="1"/>
  <c r="A57" i="4"/>
  <c r="BJ57" i="4" s="1"/>
  <c r="A52" i="4"/>
  <c r="BJ52" i="4" s="1"/>
  <c r="A48" i="4"/>
  <c r="BJ48" i="4" s="1"/>
  <c r="A42" i="4"/>
  <c r="BJ42" i="4" s="1"/>
  <c r="A40" i="4"/>
  <c r="BJ40" i="4" s="1"/>
  <c r="A34" i="4"/>
  <c r="BJ34" i="4" s="1"/>
  <c r="A32" i="4"/>
  <c r="BJ32" i="4" s="1"/>
  <c r="A30" i="4"/>
  <c r="BJ30" i="4" s="1"/>
  <c r="A28" i="4"/>
  <c r="BJ28" i="4" s="1"/>
  <c r="A26" i="4"/>
  <c r="BJ26" i="4" s="1"/>
  <c r="A24" i="4"/>
  <c r="BJ24" i="4" s="1"/>
  <c r="A22" i="4"/>
  <c r="BJ22" i="4" s="1"/>
  <c r="A20" i="4"/>
  <c r="BJ20" i="4" s="1"/>
  <c r="A18" i="4"/>
  <c r="BJ18" i="4" s="1"/>
  <c r="A16" i="4"/>
  <c r="BJ16" i="4" s="1"/>
  <c r="A14" i="4"/>
  <c r="BJ14" i="4" s="1"/>
  <c r="A12" i="4"/>
  <c r="BJ12" i="4" s="1"/>
  <c r="A10" i="4"/>
  <c r="BJ10" i="4" s="1"/>
  <c r="A8" i="4"/>
  <c r="BJ8" i="4" s="1"/>
  <c r="A6" i="4"/>
  <c r="BJ6" i="4" s="1"/>
  <c r="A4" i="4"/>
  <c r="BJ4" i="4" s="1"/>
  <c r="A916" i="4"/>
  <c r="BJ916" i="4" s="1"/>
  <c r="A914" i="4"/>
  <c r="BJ914" i="4" s="1"/>
  <c r="A908" i="4"/>
  <c r="BJ908" i="4" s="1"/>
  <c r="A906" i="4"/>
  <c r="BJ906" i="4" s="1"/>
  <c r="A896" i="4"/>
  <c r="BJ896" i="4" s="1"/>
  <c r="A894" i="4"/>
  <c r="BJ894" i="4" s="1"/>
  <c r="A871" i="4"/>
  <c r="BJ871" i="4" s="1"/>
  <c r="A863" i="4"/>
  <c r="BJ863" i="4" s="1"/>
  <c r="A809" i="4"/>
  <c r="BJ809" i="4" s="1"/>
  <c r="A803" i="4"/>
  <c r="BJ803" i="4" s="1"/>
  <c r="A752" i="4"/>
  <c r="BJ752" i="4" s="1"/>
  <c r="A689" i="4"/>
  <c r="BJ689" i="4" s="1"/>
  <c r="A685" i="4"/>
  <c r="BJ685" i="4" s="1"/>
  <c r="A683" i="4"/>
  <c r="BJ683" i="4" s="1"/>
  <c r="A652" i="4"/>
  <c r="BJ652" i="4" s="1"/>
  <c r="A650" i="4"/>
  <c r="BJ650" i="4" s="1"/>
  <c r="A638" i="4"/>
  <c r="BJ638" i="4" s="1"/>
  <c r="A636" i="4"/>
  <c r="BJ636" i="4" s="1"/>
  <c r="A634" i="4"/>
  <c r="BJ634" i="4" s="1"/>
  <c r="A632" i="4"/>
  <c r="BJ632" i="4" s="1"/>
  <c r="A630" i="4"/>
  <c r="BJ630" i="4" s="1"/>
  <c r="A628" i="4"/>
  <c r="BJ628" i="4" s="1"/>
  <c r="A625" i="4"/>
  <c r="BJ625" i="4" s="1"/>
  <c r="A623" i="4"/>
  <c r="BJ623" i="4" s="1"/>
  <c r="A621" i="4"/>
  <c r="BJ621" i="4" s="1"/>
  <c r="A619" i="4"/>
  <c r="BJ619" i="4" s="1"/>
  <c r="A617" i="4"/>
  <c r="BJ617" i="4" s="1"/>
  <c r="A615" i="4"/>
  <c r="BJ615" i="4" s="1"/>
  <c r="A613" i="4"/>
  <c r="BJ613" i="4" s="1"/>
  <c r="A611" i="4"/>
  <c r="BJ611" i="4" s="1"/>
  <c r="A609" i="4"/>
  <c r="BJ609" i="4" s="1"/>
  <c r="A607" i="4"/>
  <c r="BJ607" i="4" s="1"/>
  <c r="A605" i="4"/>
  <c r="BJ605" i="4" s="1"/>
  <c r="A597" i="4"/>
  <c r="BJ597" i="4" s="1"/>
  <c r="A593" i="4"/>
  <c r="BJ593" i="4" s="1"/>
  <c r="A591" i="4"/>
  <c r="BJ591" i="4" s="1"/>
  <c r="A457" i="4"/>
  <c r="BJ457" i="4" s="1"/>
  <c r="A435" i="4"/>
  <c r="BJ435" i="4" s="1"/>
  <c r="A420" i="4"/>
  <c r="BJ420" i="4" s="1"/>
  <c r="A382" i="4"/>
  <c r="BJ382" i="4" s="1"/>
  <c r="A373" i="4"/>
  <c r="BJ373" i="4" s="1"/>
  <c r="A336" i="4"/>
  <c r="BJ336" i="4" s="1"/>
  <c r="A332" i="4"/>
  <c r="BJ332" i="4" s="1"/>
  <c r="A310" i="4"/>
  <c r="BJ310" i="4" s="1"/>
  <c r="A307" i="4"/>
  <c r="BJ307" i="4" s="1"/>
  <c r="A304" i="4"/>
  <c r="BJ304" i="4" s="1"/>
  <c r="A299" i="4"/>
  <c r="BJ299" i="4" s="1"/>
  <c r="A292" i="4"/>
  <c r="BJ292" i="4" s="1"/>
  <c r="A279" i="4"/>
  <c r="BJ279" i="4" s="1"/>
  <c r="A268" i="4"/>
  <c r="BJ268" i="4" s="1"/>
  <c r="A220" i="4"/>
  <c r="BJ220" i="4" s="1"/>
  <c r="A204" i="4"/>
  <c r="BJ204" i="4" s="1"/>
  <c r="A183" i="4"/>
  <c r="BJ183" i="4" s="1"/>
  <c r="A180" i="4"/>
  <c r="BJ180" i="4" s="1"/>
  <c r="A164" i="4"/>
  <c r="BJ164" i="4" s="1"/>
  <c r="A87" i="4"/>
  <c r="BJ87" i="4" s="1"/>
  <c r="A73" i="4"/>
  <c r="BJ73" i="4" s="1"/>
  <c r="A62" i="4"/>
  <c r="BJ62" i="4" s="1"/>
  <c r="A56" i="4"/>
  <c r="BJ56" i="4" s="1"/>
  <c r="A50" i="4"/>
  <c r="BJ50" i="4" s="1"/>
  <c r="A43" i="4"/>
  <c r="BJ43" i="4" s="1"/>
  <c r="A38" i="4"/>
  <c r="BJ38" i="4" s="1"/>
  <c r="A455" i="4"/>
  <c r="BJ455" i="4" s="1"/>
  <c r="A422" i="4"/>
  <c r="BJ422" i="4" s="1"/>
  <c r="A419" i="4"/>
  <c r="BJ419" i="4" s="1"/>
  <c r="A385" i="4"/>
  <c r="BJ385" i="4" s="1"/>
  <c r="A374" i="4"/>
  <c r="BJ374" i="4" s="1"/>
  <c r="A335" i="4"/>
  <c r="BJ335" i="4" s="1"/>
  <c r="A331" i="4"/>
  <c r="BJ331" i="4" s="1"/>
  <c r="A308" i="4"/>
  <c r="BJ308" i="4" s="1"/>
  <c r="A303" i="4"/>
  <c r="BJ303" i="4" s="1"/>
  <c r="A300" i="4"/>
  <c r="BJ300" i="4" s="1"/>
  <c r="A283" i="4"/>
  <c r="BJ283" i="4" s="1"/>
  <c r="A234" i="4"/>
  <c r="BJ234" i="4" s="1"/>
  <c r="A221" i="4"/>
  <c r="BJ221" i="4" s="1"/>
  <c r="A185" i="4"/>
  <c r="BJ185" i="4" s="1"/>
  <c r="A182" i="4"/>
  <c r="BJ182" i="4" s="1"/>
  <c r="A177" i="4"/>
  <c r="BJ177" i="4" s="1"/>
  <c r="A86" i="4"/>
  <c r="BJ86" i="4" s="1"/>
  <c r="A72" i="4"/>
  <c r="BJ72" i="4" s="1"/>
  <c r="A60" i="4"/>
  <c r="BJ60" i="4" s="1"/>
  <c r="A51" i="4"/>
  <c r="BJ51" i="4" s="1"/>
  <c r="A44" i="4"/>
  <c r="BJ44" i="4" s="1"/>
  <c r="A36" i="4"/>
  <c r="BJ36" i="4" s="1"/>
  <c r="J57" i="17"/>
  <c r="R168" i="6" l="1"/>
  <c r="S168" i="6" s="1"/>
  <c r="R160" i="6"/>
  <c r="S160" i="6" s="1"/>
  <c r="R152" i="6"/>
  <c r="S152" i="6" s="1"/>
  <c r="R144" i="6"/>
  <c r="S144" i="6" s="1"/>
  <c r="R88" i="6"/>
  <c r="S88" i="6" s="1"/>
  <c r="R18" i="6"/>
  <c r="S18" i="6" s="1"/>
  <c r="R29" i="6"/>
  <c r="S29" i="6" s="1"/>
  <c r="R42" i="6"/>
  <c r="S42" i="6" s="1"/>
  <c r="R127" i="6"/>
  <c r="S127" i="6" s="1"/>
  <c r="R63" i="6"/>
  <c r="S63" i="6" s="1"/>
  <c r="R104" i="6"/>
  <c r="S104" i="6" s="1"/>
  <c r="R172" i="6"/>
  <c r="S172" i="6" s="1"/>
  <c r="R108" i="6"/>
  <c r="S108" i="6" s="1"/>
  <c r="R44" i="6"/>
  <c r="S44" i="6" s="1"/>
  <c r="R173" i="6"/>
  <c r="S173" i="6" s="1"/>
  <c r="R161" i="6"/>
  <c r="S161" i="6" s="1"/>
  <c r="R97" i="6"/>
  <c r="S97" i="6" s="1"/>
  <c r="R33" i="6"/>
  <c r="S33" i="6" s="1"/>
  <c r="R85" i="6"/>
  <c r="S85" i="6" s="1"/>
  <c r="R136" i="6"/>
  <c r="S136" i="6" s="1"/>
  <c r="R10" i="6"/>
  <c r="S10" i="6" s="1"/>
  <c r="R170" i="6"/>
  <c r="S170" i="6" s="1"/>
  <c r="R26" i="6"/>
  <c r="S26" i="6" s="1"/>
  <c r="R119" i="6"/>
  <c r="S119" i="6" s="1"/>
  <c r="R55" i="6"/>
  <c r="S55" i="6" s="1"/>
  <c r="R40" i="6"/>
  <c r="S40" i="6" s="1"/>
  <c r="R164" i="6"/>
  <c r="S164" i="6" s="1"/>
  <c r="R100" i="6"/>
  <c r="S100" i="6" s="1"/>
  <c r="R36" i="6"/>
  <c r="S36" i="6" s="1"/>
  <c r="R89" i="6"/>
  <c r="S89" i="6" s="1"/>
  <c r="R30" i="6"/>
  <c r="S30" i="6" s="1"/>
  <c r="R2" i="6"/>
  <c r="S2" i="6" s="1"/>
  <c r="R96" i="6"/>
  <c r="S96" i="6" s="1"/>
  <c r="R72" i="6"/>
  <c r="S72" i="6" s="1"/>
  <c r="R154" i="6"/>
  <c r="S154" i="6" s="1"/>
  <c r="R175" i="6"/>
  <c r="S175" i="6" s="1"/>
  <c r="R111" i="6"/>
  <c r="S111" i="6" s="1"/>
  <c r="R47" i="6"/>
  <c r="S47" i="6" s="1"/>
  <c r="R133" i="6"/>
  <c r="S133" i="6" s="1"/>
  <c r="R156" i="6"/>
  <c r="S156" i="6" s="1"/>
  <c r="R92" i="6"/>
  <c r="S92" i="6" s="1"/>
  <c r="R28" i="6"/>
  <c r="S28" i="6" s="1"/>
  <c r="R77" i="6"/>
  <c r="S77" i="6" s="1"/>
  <c r="R145" i="6"/>
  <c r="S145" i="6" s="1"/>
  <c r="R81" i="6"/>
  <c r="S81" i="6" s="1"/>
  <c r="R17" i="6"/>
  <c r="S17" i="6" s="1"/>
  <c r="R45" i="6"/>
  <c r="S45" i="6" s="1"/>
  <c r="R150" i="6"/>
  <c r="S150" i="6" s="1"/>
  <c r="R86" i="6"/>
  <c r="S86" i="6" s="1"/>
  <c r="R22" i="6"/>
  <c r="S22" i="6" s="1"/>
  <c r="R139" i="6"/>
  <c r="S139" i="6" s="1"/>
  <c r="R75" i="6"/>
  <c r="S75" i="6" s="1"/>
  <c r="R11" i="6"/>
  <c r="S11" i="6" s="1"/>
  <c r="R56" i="6"/>
  <c r="S56" i="6" s="1"/>
  <c r="R32" i="6"/>
  <c r="S32" i="6" s="1"/>
  <c r="R122" i="6"/>
  <c r="S122" i="6" s="1"/>
  <c r="R95" i="6"/>
  <c r="S95" i="6" s="1"/>
  <c r="R31" i="6"/>
  <c r="S31" i="6" s="1"/>
  <c r="R140" i="6"/>
  <c r="S140" i="6" s="1"/>
  <c r="R12" i="6"/>
  <c r="S12" i="6" s="1"/>
  <c r="R163" i="6"/>
  <c r="S163" i="6" s="1"/>
  <c r="R102" i="6"/>
  <c r="S102" i="6" s="1"/>
  <c r="R149" i="6"/>
  <c r="S149" i="6" s="1"/>
  <c r="R94" i="6"/>
  <c r="S94" i="6" s="1"/>
  <c r="R112" i="6"/>
  <c r="S112" i="6" s="1"/>
  <c r="R64" i="6"/>
  <c r="S64" i="6" s="1"/>
  <c r="R8" i="6"/>
  <c r="S8" i="6" s="1"/>
  <c r="R138" i="6"/>
  <c r="S138" i="6" s="1"/>
  <c r="R167" i="6"/>
  <c r="S167" i="6" s="1"/>
  <c r="R103" i="6"/>
  <c r="S103" i="6" s="1"/>
  <c r="R39" i="6"/>
  <c r="S39" i="6" s="1"/>
  <c r="R101" i="6"/>
  <c r="S101" i="6" s="1"/>
  <c r="R148" i="6"/>
  <c r="S148" i="6" s="1"/>
  <c r="R84" i="6"/>
  <c r="S84" i="6" s="1"/>
  <c r="R20" i="6"/>
  <c r="S20" i="6" s="1"/>
  <c r="R21" i="6"/>
  <c r="S21" i="6" s="1"/>
  <c r="R137" i="6"/>
  <c r="S137" i="6" s="1"/>
  <c r="R73" i="6"/>
  <c r="S73" i="6" s="1"/>
  <c r="R9" i="6"/>
  <c r="S9" i="6" s="1"/>
  <c r="R5" i="6"/>
  <c r="S5" i="6" s="1"/>
  <c r="R142" i="6"/>
  <c r="S142" i="6" s="1"/>
  <c r="R78" i="6"/>
  <c r="S78" i="6" s="1"/>
  <c r="R14" i="6"/>
  <c r="S14" i="6" s="1"/>
  <c r="R131" i="6"/>
  <c r="S131" i="6" s="1"/>
  <c r="R67" i="6"/>
  <c r="S67" i="6" s="1"/>
  <c r="R141" i="6"/>
  <c r="S141" i="6" s="1"/>
  <c r="R162" i="6"/>
  <c r="S162" i="6" s="1"/>
  <c r="R76" i="6"/>
  <c r="S76" i="6" s="1"/>
  <c r="R59" i="6"/>
  <c r="S59" i="6" s="1"/>
  <c r="R166" i="6"/>
  <c r="S166" i="6" s="1"/>
  <c r="R91" i="6"/>
  <c r="S91" i="6" s="1"/>
  <c r="R25" i="6"/>
  <c r="S25" i="6" s="1"/>
  <c r="R147" i="6"/>
  <c r="S147" i="6" s="1"/>
  <c r="R159" i="6"/>
  <c r="S159" i="6" s="1"/>
  <c r="R106" i="6"/>
  <c r="S106" i="6" s="1"/>
  <c r="R129" i="6"/>
  <c r="S129" i="6" s="1"/>
  <c r="R65" i="6"/>
  <c r="S65" i="6" s="1"/>
  <c r="R128" i="6"/>
  <c r="S128" i="6" s="1"/>
  <c r="R130" i="6"/>
  <c r="S130" i="6" s="1"/>
  <c r="R134" i="6"/>
  <c r="S134" i="6" s="1"/>
  <c r="R70" i="6"/>
  <c r="S70" i="6" s="1"/>
  <c r="R6" i="6"/>
  <c r="S6" i="6" s="1"/>
  <c r="R123" i="6"/>
  <c r="S123" i="6" s="1"/>
  <c r="R48" i="6"/>
  <c r="S48" i="6" s="1"/>
  <c r="R117" i="6"/>
  <c r="S117" i="6" s="1"/>
  <c r="R93" i="6"/>
  <c r="S93" i="6" s="1"/>
  <c r="R98" i="6"/>
  <c r="S98" i="6" s="1"/>
  <c r="R151" i="6"/>
  <c r="S151" i="6" s="1"/>
  <c r="R87" i="6"/>
  <c r="S87" i="6" s="1"/>
  <c r="R23" i="6"/>
  <c r="S23" i="6" s="1"/>
  <c r="R146" i="6"/>
  <c r="S146" i="6" s="1"/>
  <c r="R132" i="6"/>
  <c r="S132" i="6" s="1"/>
  <c r="R68" i="6"/>
  <c r="S68" i="6" s="1"/>
  <c r="R4" i="6"/>
  <c r="S4" i="6" s="1"/>
  <c r="R90" i="6"/>
  <c r="S90" i="6" s="1"/>
  <c r="R121" i="6"/>
  <c r="S121" i="6" s="1"/>
  <c r="R57" i="6"/>
  <c r="S57" i="6" s="1"/>
  <c r="R157" i="6"/>
  <c r="S157" i="6" s="1"/>
  <c r="R82" i="6"/>
  <c r="S82" i="6" s="1"/>
  <c r="R126" i="6"/>
  <c r="S126" i="6" s="1"/>
  <c r="R62" i="6"/>
  <c r="S62" i="6" s="1"/>
  <c r="R165" i="6"/>
  <c r="S165" i="6" s="1"/>
  <c r="R115" i="6"/>
  <c r="S115" i="6" s="1"/>
  <c r="R51" i="6"/>
  <c r="S51" i="6" s="1"/>
  <c r="R13" i="6"/>
  <c r="S13" i="6" s="1"/>
  <c r="R50" i="6"/>
  <c r="S50" i="6" s="1"/>
  <c r="R71" i="6"/>
  <c r="S71" i="6" s="1"/>
  <c r="R74" i="6"/>
  <c r="S74" i="6" s="1"/>
  <c r="R52" i="6"/>
  <c r="S52" i="6" s="1"/>
  <c r="R169" i="6"/>
  <c r="S169" i="6" s="1"/>
  <c r="R41" i="6"/>
  <c r="S41" i="6" s="1"/>
  <c r="R174" i="6"/>
  <c r="S174" i="6" s="1"/>
  <c r="R46" i="6"/>
  <c r="S46" i="6" s="1"/>
  <c r="R35" i="6"/>
  <c r="S35" i="6" s="1"/>
  <c r="R155" i="6"/>
  <c r="S155" i="6" s="1"/>
  <c r="R153" i="6"/>
  <c r="S153" i="6" s="1"/>
  <c r="R158" i="6"/>
  <c r="S158" i="6" s="1"/>
  <c r="R19" i="6"/>
  <c r="S19" i="6" s="1"/>
  <c r="R24" i="6"/>
  <c r="S24" i="6" s="1"/>
  <c r="R37" i="6"/>
  <c r="S37" i="6" s="1"/>
  <c r="R69" i="6"/>
  <c r="S69" i="6" s="1"/>
  <c r="R58" i="6"/>
  <c r="S58" i="6" s="1"/>
  <c r="R143" i="6"/>
  <c r="S143" i="6" s="1"/>
  <c r="R79" i="6"/>
  <c r="S79" i="6" s="1"/>
  <c r="R15" i="6"/>
  <c r="S15" i="6" s="1"/>
  <c r="R114" i="6"/>
  <c r="S114" i="6" s="1"/>
  <c r="R124" i="6"/>
  <c r="S124" i="6" s="1"/>
  <c r="R60" i="6"/>
  <c r="S60" i="6" s="1"/>
  <c r="R80" i="6"/>
  <c r="S80" i="6" s="1"/>
  <c r="R34" i="6"/>
  <c r="S34" i="6" s="1"/>
  <c r="R113" i="6"/>
  <c r="S113" i="6" s="1"/>
  <c r="R49" i="6"/>
  <c r="S49" i="6" s="1"/>
  <c r="R125" i="6"/>
  <c r="S125" i="6" s="1"/>
  <c r="R66" i="6"/>
  <c r="S66" i="6" s="1"/>
  <c r="R118" i="6"/>
  <c r="S118" i="6" s="1"/>
  <c r="R54" i="6"/>
  <c r="S54" i="6" s="1"/>
  <c r="R171" i="6"/>
  <c r="S171" i="6" s="1"/>
  <c r="R107" i="6"/>
  <c r="S107" i="6" s="1"/>
  <c r="R43" i="6"/>
  <c r="S43" i="6" s="1"/>
  <c r="R3" i="6"/>
  <c r="S3" i="6" s="1"/>
  <c r="R53" i="6"/>
  <c r="S53" i="6" s="1"/>
  <c r="R135" i="6"/>
  <c r="S135" i="6" s="1"/>
  <c r="R7" i="6"/>
  <c r="S7" i="6" s="1"/>
  <c r="R116" i="6"/>
  <c r="S116" i="6" s="1"/>
  <c r="R16" i="6"/>
  <c r="S16" i="6" s="1"/>
  <c r="R105" i="6"/>
  <c r="S105" i="6" s="1"/>
  <c r="R109" i="6"/>
  <c r="S109" i="6" s="1"/>
  <c r="R110" i="6"/>
  <c r="S110" i="6" s="1"/>
  <c r="R99" i="6"/>
  <c r="S99" i="6" s="1"/>
  <c r="R38" i="6"/>
  <c r="S38" i="6" s="1"/>
  <c r="R27" i="6"/>
  <c r="S27" i="6" s="1"/>
  <c r="R61" i="6"/>
  <c r="S61" i="6" s="1"/>
  <c r="R83" i="6"/>
  <c r="S83" i="6" s="1"/>
  <c r="R120" i="6"/>
  <c r="S120" i="6" s="1"/>
  <c r="R2" i="5"/>
  <c r="S92" i="5"/>
  <c r="BK4" i="4"/>
  <c r="BL4" i="4" s="1"/>
  <c r="BK5" i="4"/>
  <c r="BL5" i="4" s="1"/>
  <c r="BK6" i="4"/>
  <c r="BL6" i="4" s="1"/>
  <c r="BK14" i="4"/>
  <c r="BL14" i="4" s="1"/>
  <c r="BK22" i="4"/>
  <c r="BL22" i="4" s="1"/>
  <c r="BK30" i="4"/>
  <c r="BL30" i="4" s="1"/>
  <c r="BK38" i="4"/>
  <c r="BL38" i="4" s="1"/>
  <c r="BK46" i="4"/>
  <c r="BL46" i="4" s="1"/>
  <c r="BK54" i="4"/>
  <c r="BL54" i="4" s="1"/>
  <c r="BK62" i="4"/>
  <c r="BL62" i="4" s="1"/>
  <c r="BK70" i="4"/>
  <c r="BL70" i="4" s="1"/>
  <c r="BK78" i="4"/>
  <c r="BL78" i="4" s="1"/>
  <c r="BK86" i="4"/>
  <c r="BL86" i="4" s="1"/>
  <c r="BK94" i="4"/>
  <c r="BL94" i="4" s="1"/>
  <c r="BK102" i="4"/>
  <c r="BL102" i="4" s="1"/>
  <c r="BK110" i="4"/>
  <c r="BL110" i="4" s="1"/>
  <c r="BK118" i="4"/>
  <c r="BL118" i="4" s="1"/>
  <c r="BK126" i="4"/>
  <c r="BL126" i="4" s="1"/>
  <c r="BK134" i="4"/>
  <c r="BL134" i="4" s="1"/>
  <c r="BK142" i="4"/>
  <c r="BL142" i="4" s="1"/>
  <c r="BK150" i="4"/>
  <c r="BL150" i="4" s="1"/>
  <c r="BK158" i="4"/>
  <c r="BL158" i="4" s="1"/>
  <c r="BK166" i="4"/>
  <c r="BL166" i="4" s="1"/>
  <c r="BK174" i="4"/>
  <c r="BL174" i="4" s="1"/>
  <c r="BK182" i="4"/>
  <c r="BL182" i="4" s="1"/>
  <c r="BK190" i="4"/>
  <c r="BL190" i="4" s="1"/>
  <c r="BK198" i="4"/>
  <c r="BL198" i="4" s="1"/>
  <c r="BK206" i="4"/>
  <c r="BL206" i="4" s="1"/>
  <c r="BK214" i="4"/>
  <c r="BL214" i="4" s="1"/>
  <c r="BK222" i="4"/>
  <c r="BL222" i="4" s="1"/>
  <c r="BK230" i="4"/>
  <c r="BL230" i="4" s="1"/>
  <c r="BK238" i="4"/>
  <c r="BL238" i="4" s="1"/>
  <c r="BK246" i="4"/>
  <c r="BL246" i="4" s="1"/>
  <c r="BK254" i="4"/>
  <c r="BL254" i="4" s="1"/>
  <c r="BK7" i="4"/>
  <c r="BL7" i="4" s="1"/>
  <c r="BK15" i="4"/>
  <c r="BL15" i="4" s="1"/>
  <c r="BK23" i="4"/>
  <c r="BL23" i="4" s="1"/>
  <c r="BK31" i="4"/>
  <c r="BL31" i="4" s="1"/>
  <c r="BK39" i="4"/>
  <c r="BL39" i="4" s="1"/>
  <c r="BK47" i="4"/>
  <c r="BL47" i="4" s="1"/>
  <c r="BK55" i="4"/>
  <c r="BL55" i="4" s="1"/>
  <c r="BK63" i="4"/>
  <c r="BL63" i="4" s="1"/>
  <c r="BK71" i="4"/>
  <c r="BL71" i="4" s="1"/>
  <c r="BK79" i="4"/>
  <c r="BL79" i="4" s="1"/>
  <c r="BK87" i="4"/>
  <c r="BL87" i="4" s="1"/>
  <c r="BK95" i="4"/>
  <c r="BL95" i="4" s="1"/>
  <c r="BK103" i="4"/>
  <c r="BL103" i="4" s="1"/>
  <c r="BK111" i="4"/>
  <c r="BL111" i="4" s="1"/>
  <c r="BK119" i="4"/>
  <c r="BL119" i="4" s="1"/>
  <c r="BK127" i="4"/>
  <c r="BL127" i="4" s="1"/>
  <c r="BK135" i="4"/>
  <c r="BL135" i="4" s="1"/>
  <c r="BK143" i="4"/>
  <c r="BL143" i="4" s="1"/>
  <c r="BK151" i="4"/>
  <c r="BL151" i="4" s="1"/>
  <c r="BK159" i="4"/>
  <c r="BL159" i="4" s="1"/>
  <c r="BK167" i="4"/>
  <c r="BL167" i="4" s="1"/>
  <c r="BK175" i="4"/>
  <c r="BL175" i="4" s="1"/>
  <c r="BK183" i="4"/>
  <c r="BL183" i="4" s="1"/>
  <c r="BK191" i="4"/>
  <c r="BL191" i="4" s="1"/>
  <c r="BK199" i="4"/>
  <c r="BL199" i="4" s="1"/>
  <c r="BK207" i="4"/>
  <c r="BL207" i="4" s="1"/>
  <c r="BK8" i="4"/>
  <c r="BL8" i="4" s="1"/>
  <c r="BK9" i="4"/>
  <c r="BL9" i="4" s="1"/>
  <c r="BK10" i="4"/>
  <c r="BL10" i="4" s="1"/>
  <c r="BK18" i="4"/>
  <c r="BL18" i="4" s="1"/>
  <c r="BK26" i="4"/>
  <c r="BL26" i="4" s="1"/>
  <c r="BK34" i="4"/>
  <c r="BL34" i="4" s="1"/>
  <c r="BK42" i="4"/>
  <c r="BL42" i="4" s="1"/>
  <c r="BK50" i="4"/>
  <c r="BL50" i="4" s="1"/>
  <c r="BK58" i="4"/>
  <c r="BL58" i="4" s="1"/>
  <c r="BK66" i="4"/>
  <c r="BL66" i="4" s="1"/>
  <c r="BK74" i="4"/>
  <c r="BL74" i="4" s="1"/>
  <c r="BK82" i="4"/>
  <c r="BL82" i="4" s="1"/>
  <c r="BK90" i="4"/>
  <c r="BL90" i="4" s="1"/>
  <c r="BK98" i="4"/>
  <c r="BL98" i="4" s="1"/>
  <c r="BK106" i="4"/>
  <c r="BL106" i="4" s="1"/>
  <c r="BK114" i="4"/>
  <c r="BL114" i="4" s="1"/>
  <c r="BK122" i="4"/>
  <c r="BL122" i="4" s="1"/>
  <c r="BK130" i="4"/>
  <c r="BL130" i="4" s="1"/>
  <c r="BK138" i="4"/>
  <c r="BL138" i="4" s="1"/>
  <c r="BK146" i="4"/>
  <c r="BL146" i="4" s="1"/>
  <c r="BK154" i="4"/>
  <c r="BL154" i="4" s="1"/>
  <c r="BK162" i="4"/>
  <c r="BL162" i="4" s="1"/>
  <c r="BK170" i="4"/>
  <c r="BL170" i="4" s="1"/>
  <c r="BK178" i="4"/>
  <c r="BL178" i="4" s="1"/>
  <c r="BK186" i="4"/>
  <c r="BL186" i="4" s="1"/>
  <c r="BK194" i="4"/>
  <c r="BL194" i="4" s="1"/>
  <c r="BK202" i="4"/>
  <c r="BL202" i="4" s="1"/>
  <c r="BK210" i="4"/>
  <c r="BL210" i="4" s="1"/>
  <c r="BK218" i="4"/>
  <c r="BL218" i="4" s="1"/>
  <c r="BK226" i="4"/>
  <c r="BL226" i="4" s="1"/>
  <c r="BK234" i="4"/>
  <c r="BL234" i="4" s="1"/>
  <c r="BK242" i="4"/>
  <c r="BL242" i="4" s="1"/>
  <c r="BK250" i="4"/>
  <c r="BL250" i="4" s="1"/>
  <c r="BK19" i="4"/>
  <c r="BL19" i="4" s="1"/>
  <c r="BK32" i="4"/>
  <c r="BL32" i="4" s="1"/>
  <c r="BK44" i="4"/>
  <c r="BL44" i="4" s="1"/>
  <c r="BK57" i="4"/>
  <c r="BL57" i="4" s="1"/>
  <c r="BK69" i="4"/>
  <c r="BL69" i="4" s="1"/>
  <c r="BK83" i="4"/>
  <c r="BL83" i="4" s="1"/>
  <c r="BK96" i="4"/>
  <c r="BL96" i="4" s="1"/>
  <c r="BK108" i="4"/>
  <c r="BL108" i="4" s="1"/>
  <c r="BK121" i="4"/>
  <c r="BL121" i="4" s="1"/>
  <c r="BK133" i="4"/>
  <c r="BL133" i="4" s="1"/>
  <c r="BK147" i="4"/>
  <c r="BL147" i="4" s="1"/>
  <c r="BK160" i="4"/>
  <c r="BL160" i="4" s="1"/>
  <c r="BK172" i="4"/>
  <c r="BL172" i="4" s="1"/>
  <c r="BK185" i="4"/>
  <c r="BL185" i="4" s="1"/>
  <c r="BK197" i="4"/>
  <c r="BL197" i="4" s="1"/>
  <c r="BK211" i="4"/>
  <c r="BL211" i="4" s="1"/>
  <c r="BK221" i="4"/>
  <c r="BL221" i="4" s="1"/>
  <c r="BK232" i="4"/>
  <c r="BL232" i="4" s="1"/>
  <c r="BK243" i="4"/>
  <c r="BL243" i="4" s="1"/>
  <c r="BK253" i="4"/>
  <c r="BL253" i="4" s="1"/>
  <c r="BK262" i="4"/>
  <c r="BL262" i="4" s="1"/>
  <c r="BK270" i="4"/>
  <c r="BL270" i="4" s="1"/>
  <c r="BK278" i="4"/>
  <c r="BL278" i="4" s="1"/>
  <c r="BK286" i="4"/>
  <c r="BL286" i="4" s="1"/>
  <c r="BK294" i="4"/>
  <c r="BL294" i="4" s="1"/>
  <c r="BK302" i="4"/>
  <c r="BL302" i="4" s="1"/>
  <c r="BK310" i="4"/>
  <c r="BL310" i="4" s="1"/>
  <c r="BK318" i="4"/>
  <c r="BL318" i="4" s="1"/>
  <c r="BK326" i="4"/>
  <c r="BL326" i="4" s="1"/>
  <c r="BK334" i="4"/>
  <c r="BL334" i="4" s="1"/>
  <c r="BK342" i="4"/>
  <c r="BL342" i="4" s="1"/>
  <c r="BK350" i="4"/>
  <c r="BL350" i="4" s="1"/>
  <c r="BK358" i="4"/>
  <c r="BL358" i="4" s="1"/>
  <c r="BK366" i="4"/>
  <c r="BL366" i="4" s="1"/>
  <c r="BK374" i="4"/>
  <c r="BL374" i="4" s="1"/>
  <c r="BK382" i="4"/>
  <c r="BL382" i="4" s="1"/>
  <c r="BK390" i="4"/>
  <c r="BL390" i="4" s="1"/>
  <c r="BK398" i="4"/>
  <c r="BL398" i="4" s="1"/>
  <c r="BK406" i="4"/>
  <c r="BL406" i="4" s="1"/>
  <c r="BK414" i="4"/>
  <c r="BL414" i="4" s="1"/>
  <c r="BK422" i="4"/>
  <c r="BL422" i="4" s="1"/>
  <c r="BK430" i="4"/>
  <c r="BL430" i="4" s="1"/>
  <c r="BK438" i="4"/>
  <c r="BL438" i="4" s="1"/>
  <c r="BK446" i="4"/>
  <c r="BL446" i="4" s="1"/>
  <c r="BK454" i="4"/>
  <c r="BL454" i="4" s="1"/>
  <c r="BK462" i="4"/>
  <c r="BL462" i="4" s="1"/>
  <c r="BK470" i="4"/>
  <c r="BL470" i="4" s="1"/>
  <c r="BK478" i="4"/>
  <c r="BL478" i="4" s="1"/>
  <c r="BK486" i="4"/>
  <c r="BL486" i="4" s="1"/>
  <c r="BK494" i="4"/>
  <c r="BL494" i="4" s="1"/>
  <c r="BK502" i="4"/>
  <c r="BL502" i="4" s="1"/>
  <c r="BK510" i="4"/>
  <c r="BL510" i="4" s="1"/>
  <c r="BK518" i="4"/>
  <c r="BL518" i="4" s="1"/>
  <c r="BK526" i="4"/>
  <c r="BL526" i="4" s="1"/>
  <c r="BK534" i="4"/>
  <c r="BL534" i="4" s="1"/>
  <c r="BK542" i="4"/>
  <c r="BL542" i="4" s="1"/>
  <c r="BK550" i="4"/>
  <c r="BL550" i="4" s="1"/>
  <c r="BK558" i="4"/>
  <c r="BL558" i="4" s="1"/>
  <c r="BK566" i="4"/>
  <c r="BL566" i="4" s="1"/>
  <c r="BK574" i="4"/>
  <c r="BL574" i="4" s="1"/>
  <c r="BK582" i="4"/>
  <c r="BL582" i="4" s="1"/>
  <c r="BK590" i="4"/>
  <c r="BL590" i="4" s="1"/>
  <c r="BK598" i="4"/>
  <c r="BL598" i="4" s="1"/>
  <c r="BK606" i="4"/>
  <c r="BL606" i="4" s="1"/>
  <c r="BK614" i="4"/>
  <c r="BL614" i="4" s="1"/>
  <c r="BK622" i="4"/>
  <c r="BL622" i="4" s="1"/>
  <c r="BK630" i="4"/>
  <c r="BL630" i="4" s="1"/>
  <c r="BK638" i="4"/>
  <c r="BL638" i="4" s="1"/>
  <c r="BK646" i="4"/>
  <c r="BL646" i="4" s="1"/>
  <c r="BK654" i="4"/>
  <c r="BL654" i="4" s="1"/>
  <c r="BK662" i="4"/>
  <c r="BL662" i="4" s="1"/>
  <c r="BK670" i="4"/>
  <c r="BL670" i="4" s="1"/>
  <c r="BK678" i="4"/>
  <c r="BL678" i="4" s="1"/>
  <c r="BK686" i="4"/>
  <c r="BL686" i="4" s="1"/>
  <c r="BK694" i="4"/>
  <c r="BL694" i="4" s="1"/>
  <c r="BK702" i="4"/>
  <c r="BL702" i="4" s="1"/>
  <c r="BK710" i="4"/>
  <c r="BL710" i="4" s="1"/>
  <c r="BK20" i="4"/>
  <c r="BL20" i="4" s="1"/>
  <c r="BK33" i="4"/>
  <c r="BL33" i="4" s="1"/>
  <c r="BK45" i="4"/>
  <c r="BL45" i="4" s="1"/>
  <c r="BK59" i="4"/>
  <c r="BL59" i="4" s="1"/>
  <c r="BK72" i="4"/>
  <c r="BL72" i="4" s="1"/>
  <c r="BK84" i="4"/>
  <c r="BL84" i="4" s="1"/>
  <c r="BK97" i="4"/>
  <c r="BL97" i="4" s="1"/>
  <c r="BK109" i="4"/>
  <c r="BL109" i="4" s="1"/>
  <c r="BK123" i="4"/>
  <c r="BL123" i="4" s="1"/>
  <c r="BK136" i="4"/>
  <c r="BL136" i="4" s="1"/>
  <c r="BK148" i="4"/>
  <c r="BL148" i="4" s="1"/>
  <c r="BK161" i="4"/>
  <c r="BL161" i="4" s="1"/>
  <c r="BK173" i="4"/>
  <c r="BL173" i="4" s="1"/>
  <c r="BK187" i="4"/>
  <c r="BL187" i="4" s="1"/>
  <c r="BK200" i="4"/>
  <c r="BL200" i="4" s="1"/>
  <c r="BK212" i="4"/>
  <c r="BL212" i="4" s="1"/>
  <c r="BK223" i="4"/>
  <c r="BL223" i="4" s="1"/>
  <c r="BK233" i="4"/>
  <c r="BL233" i="4" s="1"/>
  <c r="BK244" i="4"/>
  <c r="BL244" i="4" s="1"/>
  <c r="BK255" i="4"/>
  <c r="BL255" i="4" s="1"/>
  <c r="BK263" i="4"/>
  <c r="BL263" i="4" s="1"/>
  <c r="BK271" i="4"/>
  <c r="BL271" i="4" s="1"/>
  <c r="BK279" i="4"/>
  <c r="BL279" i="4" s="1"/>
  <c r="BK287" i="4"/>
  <c r="BL287" i="4" s="1"/>
  <c r="BK295" i="4"/>
  <c r="BL295" i="4" s="1"/>
  <c r="BK303" i="4"/>
  <c r="BL303" i="4" s="1"/>
  <c r="BK311" i="4"/>
  <c r="BL311" i="4" s="1"/>
  <c r="BK319" i="4"/>
  <c r="BL319" i="4" s="1"/>
  <c r="BK327" i="4"/>
  <c r="BL327" i="4" s="1"/>
  <c r="BK335" i="4"/>
  <c r="BL335" i="4" s="1"/>
  <c r="BK343" i="4"/>
  <c r="BL343" i="4" s="1"/>
  <c r="BK351" i="4"/>
  <c r="BL351" i="4" s="1"/>
  <c r="BK359" i="4"/>
  <c r="BL359" i="4" s="1"/>
  <c r="BK367" i="4"/>
  <c r="BL367" i="4" s="1"/>
  <c r="BK375" i="4"/>
  <c r="BL375" i="4" s="1"/>
  <c r="BK383" i="4"/>
  <c r="BL383" i="4" s="1"/>
  <c r="BK391" i="4"/>
  <c r="BL391" i="4" s="1"/>
  <c r="BK399" i="4"/>
  <c r="BL399" i="4" s="1"/>
  <c r="BK407" i="4"/>
  <c r="BL407" i="4" s="1"/>
  <c r="BK415" i="4"/>
  <c r="BL415" i="4" s="1"/>
  <c r="BK423" i="4"/>
  <c r="BL423" i="4" s="1"/>
  <c r="BK21" i="4"/>
  <c r="BL21" i="4" s="1"/>
  <c r="BK35" i="4"/>
  <c r="BL35" i="4" s="1"/>
  <c r="BK48" i="4"/>
  <c r="BL48" i="4" s="1"/>
  <c r="BK60" i="4"/>
  <c r="BL60" i="4" s="1"/>
  <c r="BK73" i="4"/>
  <c r="BL73" i="4" s="1"/>
  <c r="BK85" i="4"/>
  <c r="BL85" i="4" s="1"/>
  <c r="BK99" i="4"/>
  <c r="BL99" i="4" s="1"/>
  <c r="BK112" i="4"/>
  <c r="BL112" i="4" s="1"/>
  <c r="BK124" i="4"/>
  <c r="BL124" i="4" s="1"/>
  <c r="BK137" i="4"/>
  <c r="BL137" i="4" s="1"/>
  <c r="BK149" i="4"/>
  <c r="BL149" i="4" s="1"/>
  <c r="BK163" i="4"/>
  <c r="BL163" i="4" s="1"/>
  <c r="BK176" i="4"/>
  <c r="BL176" i="4" s="1"/>
  <c r="BK188" i="4"/>
  <c r="BL188" i="4" s="1"/>
  <c r="BK201" i="4"/>
  <c r="BL201" i="4" s="1"/>
  <c r="BK213" i="4"/>
  <c r="BL213" i="4" s="1"/>
  <c r="BK224" i="4"/>
  <c r="BL224" i="4" s="1"/>
  <c r="BK235" i="4"/>
  <c r="BL235" i="4" s="1"/>
  <c r="BK245" i="4"/>
  <c r="BL245" i="4" s="1"/>
  <c r="BK256" i="4"/>
  <c r="BL256" i="4" s="1"/>
  <c r="BK264" i="4"/>
  <c r="BL264" i="4" s="1"/>
  <c r="BK272" i="4"/>
  <c r="BL272" i="4" s="1"/>
  <c r="BK280" i="4"/>
  <c r="BL280" i="4" s="1"/>
  <c r="BK288" i="4"/>
  <c r="BL288" i="4" s="1"/>
  <c r="BK296" i="4"/>
  <c r="BL296" i="4" s="1"/>
  <c r="BK304" i="4"/>
  <c r="BL304" i="4" s="1"/>
  <c r="BK312" i="4"/>
  <c r="BL312" i="4" s="1"/>
  <c r="BK320" i="4"/>
  <c r="BL320" i="4" s="1"/>
  <c r="BK328" i="4"/>
  <c r="BL328" i="4" s="1"/>
  <c r="BK336" i="4"/>
  <c r="BL336" i="4" s="1"/>
  <c r="BK344" i="4"/>
  <c r="BL344" i="4" s="1"/>
  <c r="BK352" i="4"/>
  <c r="BL352" i="4" s="1"/>
  <c r="BK360" i="4"/>
  <c r="BL360" i="4" s="1"/>
  <c r="BK368" i="4"/>
  <c r="BL368" i="4" s="1"/>
  <c r="BK376" i="4"/>
  <c r="BL376" i="4" s="1"/>
  <c r="BK384" i="4"/>
  <c r="BL384" i="4" s="1"/>
  <c r="BK392" i="4"/>
  <c r="BL392" i="4" s="1"/>
  <c r="BK400" i="4"/>
  <c r="BL400" i="4" s="1"/>
  <c r="BK408" i="4"/>
  <c r="BL408" i="4" s="1"/>
  <c r="BK416" i="4"/>
  <c r="BL416" i="4" s="1"/>
  <c r="BK424" i="4"/>
  <c r="BL424" i="4" s="1"/>
  <c r="BK432" i="4"/>
  <c r="BL432" i="4" s="1"/>
  <c r="BK440" i="4"/>
  <c r="BL440" i="4" s="1"/>
  <c r="BK448" i="4"/>
  <c r="BL448" i="4" s="1"/>
  <c r="BK456" i="4"/>
  <c r="BL456" i="4" s="1"/>
  <c r="BK464" i="4"/>
  <c r="BL464" i="4" s="1"/>
  <c r="BK472" i="4"/>
  <c r="BL472" i="4" s="1"/>
  <c r="BK480" i="4"/>
  <c r="BL480" i="4" s="1"/>
  <c r="BK488" i="4"/>
  <c r="BL488" i="4" s="1"/>
  <c r="BK496" i="4"/>
  <c r="BL496" i="4" s="1"/>
  <c r="BK504" i="4"/>
  <c r="BL504" i="4" s="1"/>
  <c r="BK512" i="4"/>
  <c r="BL512" i="4" s="1"/>
  <c r="BK520" i="4"/>
  <c r="BL520" i="4" s="1"/>
  <c r="BK528" i="4"/>
  <c r="BL528" i="4" s="1"/>
  <c r="BK536" i="4"/>
  <c r="BL536" i="4" s="1"/>
  <c r="BK544" i="4"/>
  <c r="BL544" i="4" s="1"/>
  <c r="BK552" i="4"/>
  <c r="BL552" i="4" s="1"/>
  <c r="BK560" i="4"/>
  <c r="BL560" i="4" s="1"/>
  <c r="BK568" i="4"/>
  <c r="BL568" i="4" s="1"/>
  <c r="BK576" i="4"/>
  <c r="BL576" i="4" s="1"/>
  <c r="BK584" i="4"/>
  <c r="BL584" i="4" s="1"/>
  <c r="BK592" i="4"/>
  <c r="BL592" i="4" s="1"/>
  <c r="BK600" i="4"/>
  <c r="BL600" i="4" s="1"/>
  <c r="BK608" i="4"/>
  <c r="BL608" i="4" s="1"/>
  <c r="BK616" i="4"/>
  <c r="BL616" i="4" s="1"/>
  <c r="BK624" i="4"/>
  <c r="BL624" i="4" s="1"/>
  <c r="BK632" i="4"/>
  <c r="BL632" i="4" s="1"/>
  <c r="BK640" i="4"/>
  <c r="BL640" i="4" s="1"/>
  <c r="BK648" i="4"/>
  <c r="BL648" i="4" s="1"/>
  <c r="BK656" i="4"/>
  <c r="BL656" i="4" s="1"/>
  <c r="BK664" i="4"/>
  <c r="BL664" i="4" s="1"/>
  <c r="BK672" i="4"/>
  <c r="BL672" i="4" s="1"/>
  <c r="BK680" i="4"/>
  <c r="BL680" i="4" s="1"/>
  <c r="BK688" i="4"/>
  <c r="BL688" i="4" s="1"/>
  <c r="BK696" i="4"/>
  <c r="BL696" i="4" s="1"/>
  <c r="BK704" i="4"/>
  <c r="BL704" i="4" s="1"/>
  <c r="BK712" i="4"/>
  <c r="BL712" i="4" s="1"/>
  <c r="BK720" i="4"/>
  <c r="BL720" i="4" s="1"/>
  <c r="BK728" i="4"/>
  <c r="BL728" i="4" s="1"/>
  <c r="BK736" i="4"/>
  <c r="BL736" i="4" s="1"/>
  <c r="BK744" i="4"/>
  <c r="BL744" i="4" s="1"/>
  <c r="BK752" i="4"/>
  <c r="BL752" i="4" s="1"/>
  <c r="BK760" i="4"/>
  <c r="BL760" i="4" s="1"/>
  <c r="BK768" i="4"/>
  <c r="BL768" i="4" s="1"/>
  <c r="BK776" i="4"/>
  <c r="BL776" i="4" s="1"/>
  <c r="BK784" i="4"/>
  <c r="BL784" i="4" s="1"/>
  <c r="BK792" i="4"/>
  <c r="BL792" i="4" s="1"/>
  <c r="BK800" i="4"/>
  <c r="BL800" i="4" s="1"/>
  <c r="BK808" i="4"/>
  <c r="BL808" i="4" s="1"/>
  <c r="BK816" i="4"/>
  <c r="BL816" i="4" s="1"/>
  <c r="BK824" i="4"/>
  <c r="BL824" i="4" s="1"/>
  <c r="BK832" i="4"/>
  <c r="BL832" i="4" s="1"/>
  <c r="BK840" i="4"/>
  <c r="BL840" i="4" s="1"/>
  <c r="BK848" i="4"/>
  <c r="BL848" i="4" s="1"/>
  <c r="BK856" i="4"/>
  <c r="BL856" i="4" s="1"/>
  <c r="BK864" i="4"/>
  <c r="BL864" i="4" s="1"/>
  <c r="BK872" i="4"/>
  <c r="BL872" i="4" s="1"/>
  <c r="BK11" i="4"/>
  <c r="BL11" i="4" s="1"/>
  <c r="BK24" i="4"/>
  <c r="BL24" i="4" s="1"/>
  <c r="BK36" i="4"/>
  <c r="BL36" i="4" s="1"/>
  <c r="BK49" i="4"/>
  <c r="BL49" i="4" s="1"/>
  <c r="BK61" i="4"/>
  <c r="BL61" i="4" s="1"/>
  <c r="BK75" i="4"/>
  <c r="BL75" i="4" s="1"/>
  <c r="BK88" i="4"/>
  <c r="BL88" i="4" s="1"/>
  <c r="BK100" i="4"/>
  <c r="BL100" i="4" s="1"/>
  <c r="BK113" i="4"/>
  <c r="BL113" i="4" s="1"/>
  <c r="BK125" i="4"/>
  <c r="BL125" i="4" s="1"/>
  <c r="BK139" i="4"/>
  <c r="BL139" i="4" s="1"/>
  <c r="BK152" i="4"/>
  <c r="BL152" i="4" s="1"/>
  <c r="BK164" i="4"/>
  <c r="BL164" i="4" s="1"/>
  <c r="BK177" i="4"/>
  <c r="BL177" i="4" s="1"/>
  <c r="BK189" i="4"/>
  <c r="BL189" i="4" s="1"/>
  <c r="BK203" i="4"/>
  <c r="BL203" i="4" s="1"/>
  <c r="BK215" i="4"/>
  <c r="BL215" i="4" s="1"/>
  <c r="BK225" i="4"/>
  <c r="BL225" i="4" s="1"/>
  <c r="BK236" i="4"/>
  <c r="BL236" i="4" s="1"/>
  <c r="BK247" i="4"/>
  <c r="BL247" i="4" s="1"/>
  <c r="BK257" i="4"/>
  <c r="BL257" i="4" s="1"/>
  <c r="BK265" i="4"/>
  <c r="BL265" i="4" s="1"/>
  <c r="BK273" i="4"/>
  <c r="BL273" i="4" s="1"/>
  <c r="BK281" i="4"/>
  <c r="BL281" i="4" s="1"/>
  <c r="BK289" i="4"/>
  <c r="BL289" i="4" s="1"/>
  <c r="BK297" i="4"/>
  <c r="BL297" i="4" s="1"/>
  <c r="BK305" i="4"/>
  <c r="BL305" i="4" s="1"/>
  <c r="BK313" i="4"/>
  <c r="BL313" i="4" s="1"/>
  <c r="BK321" i="4"/>
  <c r="BL321" i="4" s="1"/>
  <c r="BK329" i="4"/>
  <c r="BL329" i="4" s="1"/>
  <c r="BK337" i="4"/>
  <c r="BL337" i="4" s="1"/>
  <c r="BK345" i="4"/>
  <c r="BL345" i="4" s="1"/>
  <c r="BK353" i="4"/>
  <c r="BL353" i="4" s="1"/>
  <c r="BK361" i="4"/>
  <c r="BL361" i="4" s="1"/>
  <c r="BK369" i="4"/>
  <c r="BL369" i="4" s="1"/>
  <c r="BK377" i="4"/>
  <c r="BL377" i="4" s="1"/>
  <c r="BK385" i="4"/>
  <c r="BL385" i="4" s="1"/>
  <c r="BK393" i="4"/>
  <c r="BL393" i="4" s="1"/>
  <c r="BK401" i="4"/>
  <c r="BL401" i="4" s="1"/>
  <c r="BK409" i="4"/>
  <c r="BL409" i="4" s="1"/>
  <c r="BK417" i="4"/>
  <c r="BL417" i="4" s="1"/>
  <c r="BK425" i="4"/>
  <c r="BL425" i="4" s="1"/>
  <c r="BK433" i="4"/>
  <c r="BL433" i="4" s="1"/>
  <c r="BK441" i="4"/>
  <c r="BL441" i="4" s="1"/>
  <c r="BK449" i="4"/>
  <c r="BL449" i="4" s="1"/>
  <c r="BK457" i="4"/>
  <c r="BL457" i="4" s="1"/>
  <c r="BK465" i="4"/>
  <c r="BL465" i="4" s="1"/>
  <c r="BK473" i="4"/>
  <c r="BL473" i="4" s="1"/>
  <c r="BK481" i="4"/>
  <c r="BL481" i="4" s="1"/>
  <c r="BK489" i="4"/>
  <c r="BL489" i="4" s="1"/>
  <c r="BK497" i="4"/>
  <c r="BL497" i="4" s="1"/>
  <c r="BK505" i="4"/>
  <c r="BL505" i="4" s="1"/>
  <c r="BK513" i="4"/>
  <c r="BL513" i="4" s="1"/>
  <c r="BK521" i="4"/>
  <c r="BL521" i="4" s="1"/>
  <c r="BK529" i="4"/>
  <c r="BL529" i="4" s="1"/>
  <c r="BK537" i="4"/>
  <c r="BL537" i="4" s="1"/>
  <c r="BK545" i="4"/>
  <c r="BL545" i="4" s="1"/>
  <c r="BK553" i="4"/>
  <c r="BL553" i="4" s="1"/>
  <c r="BK561" i="4"/>
  <c r="BL561" i="4" s="1"/>
  <c r="BK569" i="4"/>
  <c r="BL569" i="4" s="1"/>
  <c r="BK577" i="4"/>
  <c r="BL577" i="4" s="1"/>
  <c r="BK585" i="4"/>
  <c r="BL585" i="4" s="1"/>
  <c r="BK593" i="4"/>
  <c r="BL593" i="4" s="1"/>
  <c r="BK601" i="4"/>
  <c r="BL601" i="4" s="1"/>
  <c r="BK609" i="4"/>
  <c r="BL609" i="4" s="1"/>
  <c r="BK617" i="4"/>
  <c r="BL617" i="4" s="1"/>
  <c r="BK625" i="4"/>
  <c r="BL625" i="4" s="1"/>
  <c r="BK633" i="4"/>
  <c r="BL633" i="4" s="1"/>
  <c r="BK641" i="4"/>
  <c r="BL641" i="4" s="1"/>
  <c r="BK649" i="4"/>
  <c r="BL649" i="4" s="1"/>
  <c r="BK657" i="4"/>
  <c r="BL657" i="4" s="1"/>
  <c r="BK665" i="4"/>
  <c r="BL665" i="4" s="1"/>
  <c r="BK673" i="4"/>
  <c r="BL673" i="4" s="1"/>
  <c r="BK681" i="4"/>
  <c r="BL681" i="4" s="1"/>
  <c r="BK689" i="4"/>
  <c r="BL689" i="4" s="1"/>
  <c r="BK697" i="4"/>
  <c r="BL697" i="4" s="1"/>
  <c r="BK705" i="4"/>
  <c r="BL705" i="4" s="1"/>
  <c r="BK713" i="4"/>
  <c r="BL713" i="4" s="1"/>
  <c r="BK721" i="4"/>
  <c r="BL721" i="4" s="1"/>
  <c r="BK729" i="4"/>
  <c r="BL729" i="4" s="1"/>
  <c r="BK737" i="4"/>
  <c r="BL737" i="4" s="1"/>
  <c r="BK745" i="4"/>
  <c r="BL745" i="4" s="1"/>
  <c r="BK753" i="4"/>
  <c r="BL753" i="4" s="1"/>
  <c r="BK12" i="4"/>
  <c r="BL12" i="4" s="1"/>
  <c r="BK25" i="4"/>
  <c r="BL25" i="4" s="1"/>
  <c r="BK37" i="4"/>
  <c r="BL37" i="4" s="1"/>
  <c r="BK51" i="4"/>
  <c r="BL51" i="4" s="1"/>
  <c r="BK64" i="4"/>
  <c r="BL64" i="4" s="1"/>
  <c r="BK76" i="4"/>
  <c r="BL76" i="4" s="1"/>
  <c r="BK89" i="4"/>
  <c r="BL89" i="4" s="1"/>
  <c r="BK101" i="4"/>
  <c r="BL101" i="4" s="1"/>
  <c r="BK115" i="4"/>
  <c r="BL115" i="4" s="1"/>
  <c r="BK128" i="4"/>
  <c r="BL128" i="4" s="1"/>
  <c r="BK140" i="4"/>
  <c r="BL140" i="4" s="1"/>
  <c r="BK153" i="4"/>
  <c r="BL153" i="4" s="1"/>
  <c r="BK165" i="4"/>
  <c r="BL165" i="4" s="1"/>
  <c r="BK179" i="4"/>
  <c r="BL179" i="4" s="1"/>
  <c r="BK192" i="4"/>
  <c r="BL192" i="4" s="1"/>
  <c r="BK204" i="4"/>
  <c r="BL204" i="4" s="1"/>
  <c r="BK216" i="4"/>
  <c r="BL216" i="4" s="1"/>
  <c r="BK227" i="4"/>
  <c r="BL227" i="4" s="1"/>
  <c r="BK237" i="4"/>
  <c r="BL237" i="4" s="1"/>
  <c r="BK248" i="4"/>
  <c r="BL248" i="4" s="1"/>
  <c r="BK258" i="4"/>
  <c r="BL258" i="4" s="1"/>
  <c r="BK266" i="4"/>
  <c r="BL266" i="4" s="1"/>
  <c r="BK274" i="4"/>
  <c r="BL274" i="4" s="1"/>
  <c r="BK282" i="4"/>
  <c r="BL282" i="4" s="1"/>
  <c r="BK290" i="4"/>
  <c r="BL290" i="4" s="1"/>
  <c r="BK298" i="4"/>
  <c r="BL298" i="4" s="1"/>
  <c r="BK306" i="4"/>
  <c r="BL306" i="4" s="1"/>
  <c r="BK314" i="4"/>
  <c r="BL314" i="4" s="1"/>
  <c r="BK322" i="4"/>
  <c r="BL322" i="4" s="1"/>
  <c r="BK330" i="4"/>
  <c r="BL330" i="4" s="1"/>
  <c r="BK338" i="4"/>
  <c r="BL338" i="4" s="1"/>
  <c r="BK346" i="4"/>
  <c r="BL346" i="4" s="1"/>
  <c r="BK354" i="4"/>
  <c r="BL354" i="4" s="1"/>
  <c r="BK362" i="4"/>
  <c r="BL362" i="4" s="1"/>
  <c r="BK370" i="4"/>
  <c r="BL370" i="4" s="1"/>
  <c r="BK378" i="4"/>
  <c r="BL378" i="4" s="1"/>
  <c r="BK386" i="4"/>
  <c r="BL386" i="4" s="1"/>
  <c r="BK394" i="4"/>
  <c r="BL394" i="4" s="1"/>
  <c r="BK402" i="4"/>
  <c r="BL402" i="4" s="1"/>
  <c r="BK410" i="4"/>
  <c r="BL410" i="4" s="1"/>
  <c r="BK418" i="4"/>
  <c r="BL418" i="4" s="1"/>
  <c r="BK426" i="4"/>
  <c r="BL426" i="4" s="1"/>
  <c r="BK434" i="4"/>
  <c r="BL434" i="4" s="1"/>
  <c r="BK442" i="4"/>
  <c r="BL442" i="4" s="1"/>
  <c r="BK450" i="4"/>
  <c r="BL450" i="4" s="1"/>
  <c r="BK458" i="4"/>
  <c r="BL458" i="4" s="1"/>
  <c r="BK466" i="4"/>
  <c r="BL466" i="4" s="1"/>
  <c r="BK474" i="4"/>
  <c r="BL474" i="4" s="1"/>
  <c r="BK482" i="4"/>
  <c r="BL482" i="4" s="1"/>
  <c r="BK490" i="4"/>
  <c r="BL490" i="4" s="1"/>
  <c r="BK498" i="4"/>
  <c r="BL498" i="4" s="1"/>
  <c r="BK506" i="4"/>
  <c r="BL506" i="4" s="1"/>
  <c r="BK514" i="4"/>
  <c r="BL514" i="4" s="1"/>
  <c r="BK522" i="4"/>
  <c r="BL522" i="4" s="1"/>
  <c r="BK530" i="4"/>
  <c r="BL530" i="4" s="1"/>
  <c r="BK538" i="4"/>
  <c r="BL538" i="4" s="1"/>
  <c r="BK546" i="4"/>
  <c r="BL546" i="4" s="1"/>
  <c r="BK554" i="4"/>
  <c r="BL554" i="4" s="1"/>
  <c r="BK562" i="4"/>
  <c r="BL562" i="4" s="1"/>
  <c r="BK570" i="4"/>
  <c r="BL570" i="4" s="1"/>
  <c r="BK578" i="4"/>
  <c r="BL578" i="4" s="1"/>
  <c r="BK586" i="4"/>
  <c r="BL586" i="4" s="1"/>
  <c r="BK594" i="4"/>
  <c r="BL594" i="4" s="1"/>
  <c r="BK602" i="4"/>
  <c r="BL602" i="4" s="1"/>
  <c r="BK610" i="4"/>
  <c r="BL610" i="4" s="1"/>
  <c r="BK618" i="4"/>
  <c r="BL618" i="4" s="1"/>
  <c r="BK626" i="4"/>
  <c r="BL626" i="4" s="1"/>
  <c r="BK634" i="4"/>
  <c r="BL634" i="4" s="1"/>
  <c r="BK642" i="4"/>
  <c r="BL642" i="4" s="1"/>
  <c r="BK650" i="4"/>
  <c r="BL650" i="4" s="1"/>
  <c r="BK658" i="4"/>
  <c r="BL658" i="4" s="1"/>
  <c r="BK666" i="4"/>
  <c r="BL666" i="4" s="1"/>
  <c r="BK674" i="4"/>
  <c r="BL674" i="4" s="1"/>
  <c r="BK682" i="4"/>
  <c r="BL682" i="4" s="1"/>
  <c r="BK690" i="4"/>
  <c r="BL690" i="4" s="1"/>
  <c r="BK698" i="4"/>
  <c r="BL698" i="4" s="1"/>
  <c r="BK706" i="4"/>
  <c r="BL706" i="4" s="1"/>
  <c r="BK714" i="4"/>
  <c r="BL714" i="4" s="1"/>
  <c r="BK13" i="4"/>
  <c r="BL13" i="4" s="1"/>
  <c r="BK27" i="4"/>
  <c r="BL27" i="4" s="1"/>
  <c r="BK40" i="4"/>
  <c r="BL40" i="4" s="1"/>
  <c r="BK52" i="4"/>
  <c r="BL52" i="4" s="1"/>
  <c r="BK65" i="4"/>
  <c r="BL65" i="4" s="1"/>
  <c r="BK77" i="4"/>
  <c r="BL77" i="4" s="1"/>
  <c r="BK91" i="4"/>
  <c r="BL91" i="4" s="1"/>
  <c r="BK104" i="4"/>
  <c r="BL104" i="4" s="1"/>
  <c r="BK116" i="4"/>
  <c r="BL116" i="4" s="1"/>
  <c r="BK129" i="4"/>
  <c r="BL129" i="4" s="1"/>
  <c r="BK141" i="4"/>
  <c r="BL141" i="4" s="1"/>
  <c r="BK155" i="4"/>
  <c r="BL155" i="4" s="1"/>
  <c r="BK168" i="4"/>
  <c r="BL168" i="4" s="1"/>
  <c r="BK180" i="4"/>
  <c r="BL180" i="4" s="1"/>
  <c r="BK193" i="4"/>
  <c r="BL193" i="4" s="1"/>
  <c r="BK205" i="4"/>
  <c r="BL205" i="4" s="1"/>
  <c r="BK217" i="4"/>
  <c r="BL217" i="4" s="1"/>
  <c r="BK228" i="4"/>
  <c r="BL228" i="4" s="1"/>
  <c r="BK239" i="4"/>
  <c r="BL239" i="4" s="1"/>
  <c r="BK249" i="4"/>
  <c r="BL249" i="4" s="1"/>
  <c r="BK259" i="4"/>
  <c r="BL259" i="4" s="1"/>
  <c r="BK267" i="4"/>
  <c r="BL267" i="4" s="1"/>
  <c r="BK275" i="4"/>
  <c r="BL275" i="4" s="1"/>
  <c r="BK283" i="4"/>
  <c r="BL283" i="4" s="1"/>
  <c r="BK291" i="4"/>
  <c r="BL291" i="4" s="1"/>
  <c r="BK299" i="4"/>
  <c r="BL299" i="4" s="1"/>
  <c r="BK307" i="4"/>
  <c r="BL307" i="4" s="1"/>
  <c r="BK315" i="4"/>
  <c r="BL315" i="4" s="1"/>
  <c r="BK323" i="4"/>
  <c r="BL323" i="4" s="1"/>
  <c r="BK331" i="4"/>
  <c r="BL331" i="4" s="1"/>
  <c r="BK339" i="4"/>
  <c r="BL339" i="4" s="1"/>
  <c r="BK347" i="4"/>
  <c r="BL347" i="4" s="1"/>
  <c r="BK355" i="4"/>
  <c r="BL355" i="4" s="1"/>
  <c r="BK363" i="4"/>
  <c r="BL363" i="4" s="1"/>
  <c r="BK371" i="4"/>
  <c r="BL371" i="4" s="1"/>
  <c r="BK379" i="4"/>
  <c r="BL379" i="4" s="1"/>
  <c r="BK387" i="4"/>
  <c r="BL387" i="4" s="1"/>
  <c r="BK395" i="4"/>
  <c r="BL395" i="4" s="1"/>
  <c r="BK403" i="4"/>
  <c r="BL403" i="4" s="1"/>
  <c r="BK411" i="4"/>
  <c r="BL411" i="4" s="1"/>
  <c r="BK419" i="4"/>
  <c r="BL419" i="4" s="1"/>
  <c r="BK427" i="4"/>
  <c r="BL427" i="4" s="1"/>
  <c r="BK435" i="4"/>
  <c r="BL435" i="4" s="1"/>
  <c r="BK443" i="4"/>
  <c r="BL443" i="4" s="1"/>
  <c r="BK451" i="4"/>
  <c r="BL451" i="4" s="1"/>
  <c r="BK459" i="4"/>
  <c r="BL459" i="4" s="1"/>
  <c r="BK467" i="4"/>
  <c r="BL467" i="4" s="1"/>
  <c r="BK475" i="4"/>
  <c r="BL475" i="4" s="1"/>
  <c r="BK483" i="4"/>
  <c r="BL483" i="4" s="1"/>
  <c r="BK491" i="4"/>
  <c r="BL491" i="4" s="1"/>
  <c r="BK499" i="4"/>
  <c r="BL499" i="4" s="1"/>
  <c r="BK507" i="4"/>
  <c r="BL507" i="4" s="1"/>
  <c r="BK515" i="4"/>
  <c r="BL515" i="4" s="1"/>
  <c r="BK523" i="4"/>
  <c r="BL523" i="4" s="1"/>
  <c r="BK531" i="4"/>
  <c r="BL531" i="4" s="1"/>
  <c r="BK539" i="4"/>
  <c r="BL539" i="4" s="1"/>
  <c r="BK547" i="4"/>
  <c r="BL547" i="4" s="1"/>
  <c r="BK555" i="4"/>
  <c r="BL555" i="4" s="1"/>
  <c r="BK563" i="4"/>
  <c r="BL563" i="4" s="1"/>
  <c r="BK571" i="4"/>
  <c r="BL571" i="4" s="1"/>
  <c r="BK579" i="4"/>
  <c r="BL579" i="4" s="1"/>
  <c r="BK587" i="4"/>
  <c r="BL587" i="4" s="1"/>
  <c r="BK595" i="4"/>
  <c r="BL595" i="4" s="1"/>
  <c r="BK603" i="4"/>
  <c r="BL603" i="4" s="1"/>
  <c r="BK611" i="4"/>
  <c r="BL611" i="4" s="1"/>
  <c r="BK619" i="4"/>
  <c r="BL619" i="4" s="1"/>
  <c r="BK627" i="4"/>
  <c r="BL627" i="4" s="1"/>
  <c r="BK635" i="4"/>
  <c r="BL635" i="4" s="1"/>
  <c r="BK16" i="4"/>
  <c r="BL16" i="4" s="1"/>
  <c r="BK28" i="4"/>
  <c r="BL28" i="4" s="1"/>
  <c r="BK41" i="4"/>
  <c r="BL41" i="4" s="1"/>
  <c r="BK53" i="4"/>
  <c r="BL53" i="4" s="1"/>
  <c r="BK67" i="4"/>
  <c r="BL67" i="4" s="1"/>
  <c r="BK80" i="4"/>
  <c r="BL80" i="4" s="1"/>
  <c r="BK92" i="4"/>
  <c r="BL92" i="4" s="1"/>
  <c r="BK105" i="4"/>
  <c r="BL105" i="4" s="1"/>
  <c r="BK117" i="4"/>
  <c r="BL117" i="4" s="1"/>
  <c r="BK131" i="4"/>
  <c r="BL131" i="4" s="1"/>
  <c r="BK144" i="4"/>
  <c r="BL144" i="4" s="1"/>
  <c r="BK156" i="4"/>
  <c r="BL156" i="4" s="1"/>
  <c r="BK169" i="4"/>
  <c r="BL169" i="4" s="1"/>
  <c r="BK181" i="4"/>
  <c r="BL181" i="4" s="1"/>
  <c r="BK195" i="4"/>
  <c r="BL195" i="4" s="1"/>
  <c r="BK208" i="4"/>
  <c r="BL208" i="4" s="1"/>
  <c r="BK219" i="4"/>
  <c r="BL219" i="4" s="1"/>
  <c r="BK229" i="4"/>
  <c r="BL229" i="4" s="1"/>
  <c r="BK240" i="4"/>
  <c r="BL240" i="4" s="1"/>
  <c r="BK251" i="4"/>
  <c r="BL251" i="4" s="1"/>
  <c r="BK260" i="4"/>
  <c r="BL260" i="4" s="1"/>
  <c r="BK268" i="4"/>
  <c r="BL268" i="4" s="1"/>
  <c r="BK276" i="4"/>
  <c r="BL276" i="4" s="1"/>
  <c r="BK284" i="4"/>
  <c r="BL284" i="4" s="1"/>
  <c r="BK292" i="4"/>
  <c r="BL292" i="4" s="1"/>
  <c r="BK300" i="4"/>
  <c r="BL300" i="4" s="1"/>
  <c r="BK308" i="4"/>
  <c r="BL308" i="4" s="1"/>
  <c r="BK316" i="4"/>
  <c r="BL316" i="4" s="1"/>
  <c r="BK324" i="4"/>
  <c r="BL324" i="4" s="1"/>
  <c r="BK332" i="4"/>
  <c r="BL332" i="4" s="1"/>
  <c r="BK340" i="4"/>
  <c r="BL340" i="4" s="1"/>
  <c r="BK348" i="4"/>
  <c r="BL348" i="4" s="1"/>
  <c r="BK356" i="4"/>
  <c r="BL356" i="4" s="1"/>
  <c r="BK364" i="4"/>
  <c r="BL364" i="4" s="1"/>
  <c r="BK372" i="4"/>
  <c r="BL372" i="4" s="1"/>
  <c r="BK380" i="4"/>
  <c r="BL380" i="4" s="1"/>
  <c r="BK388" i="4"/>
  <c r="BL388" i="4" s="1"/>
  <c r="BK396" i="4"/>
  <c r="BL396" i="4" s="1"/>
  <c r="BK404" i="4"/>
  <c r="BL404" i="4" s="1"/>
  <c r="BK412" i="4"/>
  <c r="BL412" i="4" s="1"/>
  <c r="BK420" i="4"/>
  <c r="BL420" i="4" s="1"/>
  <c r="BK428" i="4"/>
  <c r="BL428" i="4" s="1"/>
  <c r="BK436" i="4"/>
  <c r="BL436" i="4" s="1"/>
  <c r="BK444" i="4"/>
  <c r="BL444" i="4" s="1"/>
  <c r="BK452" i="4"/>
  <c r="BL452" i="4" s="1"/>
  <c r="BK460" i="4"/>
  <c r="BL460" i="4" s="1"/>
  <c r="BK468" i="4"/>
  <c r="BL468" i="4" s="1"/>
  <c r="BK476" i="4"/>
  <c r="BL476" i="4" s="1"/>
  <c r="BK484" i="4"/>
  <c r="BL484" i="4" s="1"/>
  <c r="BK492" i="4"/>
  <c r="BL492" i="4" s="1"/>
  <c r="BK500" i="4"/>
  <c r="BL500" i="4" s="1"/>
  <c r="BK508" i="4"/>
  <c r="BL508" i="4" s="1"/>
  <c r="BK516" i="4"/>
  <c r="BL516" i="4" s="1"/>
  <c r="BK524" i="4"/>
  <c r="BL524" i="4" s="1"/>
  <c r="BK532" i="4"/>
  <c r="BL532" i="4" s="1"/>
  <c r="BK540" i="4"/>
  <c r="BL540" i="4" s="1"/>
  <c r="BK548" i="4"/>
  <c r="BL548" i="4" s="1"/>
  <c r="BK556" i="4"/>
  <c r="BL556" i="4" s="1"/>
  <c r="BK564" i="4"/>
  <c r="BL564" i="4" s="1"/>
  <c r="BK572" i="4"/>
  <c r="BL572" i="4" s="1"/>
  <c r="BK580" i="4"/>
  <c r="BL580" i="4" s="1"/>
  <c r="BK588" i="4"/>
  <c r="BL588" i="4" s="1"/>
  <c r="BK596" i="4"/>
  <c r="BL596" i="4" s="1"/>
  <c r="BK604" i="4"/>
  <c r="BL604" i="4" s="1"/>
  <c r="BK612" i="4"/>
  <c r="BL612" i="4" s="1"/>
  <c r="BK620" i="4"/>
  <c r="BL620" i="4" s="1"/>
  <c r="BK628" i="4"/>
  <c r="BL628" i="4" s="1"/>
  <c r="BK636" i="4"/>
  <c r="BL636" i="4" s="1"/>
  <c r="BK644" i="4"/>
  <c r="BL644" i="4" s="1"/>
  <c r="BK652" i="4"/>
  <c r="BL652" i="4" s="1"/>
  <c r="BK660" i="4"/>
  <c r="BL660" i="4" s="1"/>
  <c r="BK668" i="4"/>
  <c r="BL668" i="4" s="1"/>
  <c r="BK676" i="4"/>
  <c r="BL676" i="4" s="1"/>
  <c r="BK684" i="4"/>
  <c r="BL684" i="4" s="1"/>
  <c r="BK692" i="4"/>
  <c r="BL692" i="4" s="1"/>
  <c r="BK700" i="4"/>
  <c r="BL700" i="4" s="1"/>
  <c r="BK708" i="4"/>
  <c r="BL708" i="4" s="1"/>
  <c r="BK716" i="4"/>
  <c r="BL716" i="4" s="1"/>
  <c r="BK724" i="4"/>
  <c r="BL724" i="4" s="1"/>
  <c r="BK732" i="4"/>
  <c r="BL732" i="4" s="1"/>
  <c r="BK740" i="4"/>
  <c r="BL740" i="4" s="1"/>
  <c r="BK748" i="4"/>
  <c r="BL748" i="4" s="1"/>
  <c r="BK756" i="4"/>
  <c r="BL756" i="4" s="1"/>
  <c r="BK764" i="4"/>
  <c r="BL764" i="4" s="1"/>
  <c r="BK772" i="4"/>
  <c r="BL772" i="4" s="1"/>
  <c r="BK780" i="4"/>
  <c r="BL780" i="4" s="1"/>
  <c r="BK788" i="4"/>
  <c r="BL788" i="4" s="1"/>
  <c r="BK796" i="4"/>
  <c r="BL796" i="4" s="1"/>
  <c r="BK804" i="4"/>
  <c r="BL804" i="4" s="1"/>
  <c r="BK812" i="4"/>
  <c r="BL812" i="4" s="1"/>
  <c r="BK820" i="4"/>
  <c r="BL820" i="4" s="1"/>
  <c r="BK828" i="4"/>
  <c r="BL828" i="4" s="1"/>
  <c r="BK836" i="4"/>
  <c r="BL836" i="4" s="1"/>
  <c r="BK844" i="4"/>
  <c r="BL844" i="4" s="1"/>
  <c r="BK852" i="4"/>
  <c r="BL852" i="4" s="1"/>
  <c r="BK860" i="4"/>
  <c r="BL860" i="4" s="1"/>
  <c r="BK868" i="4"/>
  <c r="BL868" i="4" s="1"/>
  <c r="BK17" i="4"/>
  <c r="BL17" i="4" s="1"/>
  <c r="BK120" i="4"/>
  <c r="BL120" i="4" s="1"/>
  <c r="BK220" i="4"/>
  <c r="BL220" i="4" s="1"/>
  <c r="BK293" i="4"/>
  <c r="BL293" i="4" s="1"/>
  <c r="BK357" i="4"/>
  <c r="BL357" i="4" s="1"/>
  <c r="BK421" i="4"/>
  <c r="BL421" i="4" s="1"/>
  <c r="BK455" i="4"/>
  <c r="BL455" i="4" s="1"/>
  <c r="BK487" i="4"/>
  <c r="BL487" i="4" s="1"/>
  <c r="BK519" i="4"/>
  <c r="BL519" i="4" s="1"/>
  <c r="BK551" i="4"/>
  <c r="BL551" i="4" s="1"/>
  <c r="BK583" i="4"/>
  <c r="BL583" i="4" s="1"/>
  <c r="BK615" i="4"/>
  <c r="BL615" i="4" s="1"/>
  <c r="BK645" i="4"/>
  <c r="BL645" i="4" s="1"/>
  <c r="BK667" i="4"/>
  <c r="BL667" i="4" s="1"/>
  <c r="BK687" i="4"/>
  <c r="BL687" i="4" s="1"/>
  <c r="BK709" i="4"/>
  <c r="BL709" i="4" s="1"/>
  <c r="BK725" i="4"/>
  <c r="BL725" i="4" s="1"/>
  <c r="BK738" i="4"/>
  <c r="BL738" i="4" s="1"/>
  <c r="BK750" i="4"/>
  <c r="BL750" i="4" s="1"/>
  <c r="BK762" i="4"/>
  <c r="BL762" i="4" s="1"/>
  <c r="BK773" i="4"/>
  <c r="BL773" i="4" s="1"/>
  <c r="BK783" i="4"/>
  <c r="BL783" i="4" s="1"/>
  <c r="BK794" i="4"/>
  <c r="BL794" i="4" s="1"/>
  <c r="BK805" i="4"/>
  <c r="BL805" i="4" s="1"/>
  <c r="BK815" i="4"/>
  <c r="BL815" i="4" s="1"/>
  <c r="BK826" i="4"/>
  <c r="BL826" i="4" s="1"/>
  <c r="BK837" i="4"/>
  <c r="BL837" i="4" s="1"/>
  <c r="BK847" i="4"/>
  <c r="BL847" i="4" s="1"/>
  <c r="BK858" i="4"/>
  <c r="BL858" i="4" s="1"/>
  <c r="BK869" i="4"/>
  <c r="BL869" i="4" s="1"/>
  <c r="BK878" i="4"/>
  <c r="BL878" i="4" s="1"/>
  <c r="BK886" i="4"/>
  <c r="BL886" i="4" s="1"/>
  <c r="BK894" i="4"/>
  <c r="BL894" i="4" s="1"/>
  <c r="BK902" i="4"/>
  <c r="BL902" i="4" s="1"/>
  <c r="BK910" i="4"/>
  <c r="BL910" i="4" s="1"/>
  <c r="BK918" i="4"/>
  <c r="BL918" i="4" s="1"/>
  <c r="BK926" i="4"/>
  <c r="BL926" i="4" s="1"/>
  <c r="BK934" i="4"/>
  <c r="BL934" i="4" s="1"/>
  <c r="BK942" i="4"/>
  <c r="BL942" i="4" s="1"/>
  <c r="BK950" i="4"/>
  <c r="BL950" i="4" s="1"/>
  <c r="BK958" i="4"/>
  <c r="BL958" i="4" s="1"/>
  <c r="BK966" i="4"/>
  <c r="BL966" i="4" s="1"/>
  <c r="BK974" i="4"/>
  <c r="BL974" i="4" s="1"/>
  <c r="BK982" i="4"/>
  <c r="BL982" i="4" s="1"/>
  <c r="BK990" i="4"/>
  <c r="BL990" i="4" s="1"/>
  <c r="BK998" i="4"/>
  <c r="BL998" i="4" s="1"/>
  <c r="BK1006" i="4"/>
  <c r="BL1006" i="4" s="1"/>
  <c r="BK1014" i="4"/>
  <c r="BL1014" i="4" s="1"/>
  <c r="BK1022" i="4"/>
  <c r="BL1022" i="4" s="1"/>
  <c r="BK29" i="4"/>
  <c r="BL29" i="4" s="1"/>
  <c r="BK132" i="4"/>
  <c r="BL132" i="4" s="1"/>
  <c r="BK231" i="4"/>
  <c r="BL231" i="4" s="1"/>
  <c r="BK301" i="4"/>
  <c r="BL301" i="4" s="1"/>
  <c r="BK365" i="4"/>
  <c r="BL365" i="4" s="1"/>
  <c r="BK429" i="4"/>
  <c r="BL429" i="4" s="1"/>
  <c r="BK461" i="4"/>
  <c r="BL461" i="4" s="1"/>
  <c r="BK493" i="4"/>
  <c r="BL493" i="4" s="1"/>
  <c r="BK525" i="4"/>
  <c r="BL525" i="4" s="1"/>
  <c r="BK557" i="4"/>
  <c r="BL557" i="4" s="1"/>
  <c r="BK589" i="4"/>
  <c r="BL589" i="4" s="1"/>
  <c r="BK621" i="4"/>
  <c r="BL621" i="4" s="1"/>
  <c r="BK647" i="4"/>
  <c r="BL647" i="4" s="1"/>
  <c r="BK669" i="4"/>
  <c r="BL669" i="4" s="1"/>
  <c r="BK691" i="4"/>
  <c r="BL691" i="4" s="1"/>
  <c r="BK711" i="4"/>
  <c r="BL711" i="4" s="1"/>
  <c r="BK726" i="4"/>
  <c r="BL726" i="4" s="1"/>
  <c r="BK739" i="4"/>
  <c r="BL739" i="4" s="1"/>
  <c r="BK751" i="4"/>
  <c r="BL751" i="4" s="1"/>
  <c r="BK763" i="4"/>
  <c r="BL763" i="4" s="1"/>
  <c r="BK774" i="4"/>
  <c r="BL774" i="4" s="1"/>
  <c r="BK785" i="4"/>
  <c r="BL785" i="4" s="1"/>
  <c r="BK795" i="4"/>
  <c r="BL795" i="4" s="1"/>
  <c r="BK806" i="4"/>
  <c r="BL806" i="4" s="1"/>
  <c r="BK817" i="4"/>
  <c r="BL817" i="4" s="1"/>
  <c r="BK827" i="4"/>
  <c r="BL827" i="4" s="1"/>
  <c r="BK838" i="4"/>
  <c r="BL838" i="4" s="1"/>
  <c r="BK849" i="4"/>
  <c r="BL849" i="4" s="1"/>
  <c r="BK859" i="4"/>
  <c r="BL859" i="4" s="1"/>
  <c r="BK870" i="4"/>
  <c r="BL870" i="4" s="1"/>
  <c r="BK879" i="4"/>
  <c r="BL879" i="4" s="1"/>
  <c r="BK887" i="4"/>
  <c r="BL887" i="4" s="1"/>
  <c r="BK895" i="4"/>
  <c r="BL895" i="4" s="1"/>
  <c r="BK903" i="4"/>
  <c r="BL903" i="4" s="1"/>
  <c r="BK911" i="4"/>
  <c r="BL911" i="4" s="1"/>
  <c r="BK919" i="4"/>
  <c r="BL919" i="4" s="1"/>
  <c r="BK927" i="4"/>
  <c r="BL927" i="4" s="1"/>
  <c r="BK935" i="4"/>
  <c r="BL935" i="4" s="1"/>
  <c r="BK943" i="4"/>
  <c r="BL943" i="4" s="1"/>
  <c r="BK951" i="4"/>
  <c r="BL951" i="4" s="1"/>
  <c r="BK959" i="4"/>
  <c r="BL959" i="4" s="1"/>
  <c r="BK967" i="4"/>
  <c r="BL967" i="4" s="1"/>
  <c r="BK975" i="4"/>
  <c r="BL975" i="4" s="1"/>
  <c r="BK983" i="4"/>
  <c r="BL983" i="4" s="1"/>
  <c r="BK991" i="4"/>
  <c r="BL991" i="4" s="1"/>
  <c r="BK999" i="4"/>
  <c r="BL999" i="4" s="1"/>
  <c r="BK1007" i="4"/>
  <c r="BL1007" i="4" s="1"/>
  <c r="BK1015" i="4"/>
  <c r="BL1015" i="4" s="1"/>
  <c r="BK1023" i="4"/>
  <c r="BL1023" i="4" s="1"/>
  <c r="BK1031" i="4"/>
  <c r="BL1031" i="4" s="1"/>
  <c r="BK1039" i="4"/>
  <c r="BL1039" i="4" s="1"/>
  <c r="BK1047" i="4"/>
  <c r="BL1047" i="4" s="1"/>
  <c r="BK1055" i="4"/>
  <c r="BL1055" i="4" s="1"/>
  <c r="BK1063" i="4"/>
  <c r="BL1063" i="4" s="1"/>
  <c r="BK1071" i="4"/>
  <c r="BL1071" i="4" s="1"/>
  <c r="BK43" i="4"/>
  <c r="BL43" i="4" s="1"/>
  <c r="BK145" i="4"/>
  <c r="BL145" i="4" s="1"/>
  <c r="BK241" i="4"/>
  <c r="BL241" i="4" s="1"/>
  <c r="BK309" i="4"/>
  <c r="BL309" i="4" s="1"/>
  <c r="BK373" i="4"/>
  <c r="BL373" i="4" s="1"/>
  <c r="BK431" i="4"/>
  <c r="BL431" i="4" s="1"/>
  <c r="BK463" i="4"/>
  <c r="BL463" i="4" s="1"/>
  <c r="BK495" i="4"/>
  <c r="BL495" i="4" s="1"/>
  <c r="BK527" i="4"/>
  <c r="BL527" i="4" s="1"/>
  <c r="BK559" i="4"/>
  <c r="BL559" i="4" s="1"/>
  <c r="BK591" i="4"/>
  <c r="BL591" i="4" s="1"/>
  <c r="BK623" i="4"/>
  <c r="BL623" i="4" s="1"/>
  <c r="BK651" i="4"/>
  <c r="BL651" i="4" s="1"/>
  <c r="BK671" i="4"/>
  <c r="BL671" i="4" s="1"/>
  <c r="BK693" i="4"/>
  <c r="BL693" i="4" s="1"/>
  <c r="BK715" i="4"/>
  <c r="BL715" i="4" s="1"/>
  <c r="BK727" i="4"/>
  <c r="BL727" i="4" s="1"/>
  <c r="BK741" i="4"/>
  <c r="BL741" i="4" s="1"/>
  <c r="BK754" i="4"/>
  <c r="BL754" i="4" s="1"/>
  <c r="BK765" i="4"/>
  <c r="BL765" i="4" s="1"/>
  <c r="BK775" i="4"/>
  <c r="BL775" i="4" s="1"/>
  <c r="BK786" i="4"/>
  <c r="BL786" i="4" s="1"/>
  <c r="BK797" i="4"/>
  <c r="BL797" i="4" s="1"/>
  <c r="BK807" i="4"/>
  <c r="BL807" i="4" s="1"/>
  <c r="BK818" i="4"/>
  <c r="BL818" i="4" s="1"/>
  <c r="BK829" i="4"/>
  <c r="BL829" i="4" s="1"/>
  <c r="BK839" i="4"/>
  <c r="BL839" i="4" s="1"/>
  <c r="BK850" i="4"/>
  <c r="BL850" i="4" s="1"/>
  <c r="BK861" i="4"/>
  <c r="BL861" i="4" s="1"/>
  <c r="BK871" i="4"/>
  <c r="BL871" i="4" s="1"/>
  <c r="BK880" i="4"/>
  <c r="BL880" i="4" s="1"/>
  <c r="BK888" i="4"/>
  <c r="BL888" i="4" s="1"/>
  <c r="BK896" i="4"/>
  <c r="BL896" i="4" s="1"/>
  <c r="BK904" i="4"/>
  <c r="BL904" i="4" s="1"/>
  <c r="BK912" i="4"/>
  <c r="BL912" i="4" s="1"/>
  <c r="BK920" i="4"/>
  <c r="BL920" i="4" s="1"/>
  <c r="BK928" i="4"/>
  <c r="BL928" i="4" s="1"/>
  <c r="BK936" i="4"/>
  <c r="BL936" i="4" s="1"/>
  <c r="BK944" i="4"/>
  <c r="BL944" i="4" s="1"/>
  <c r="BK952" i="4"/>
  <c r="BL952" i="4" s="1"/>
  <c r="BK960" i="4"/>
  <c r="BL960" i="4" s="1"/>
  <c r="BK968" i="4"/>
  <c r="BL968" i="4" s="1"/>
  <c r="BK976" i="4"/>
  <c r="BL976" i="4" s="1"/>
  <c r="BK984" i="4"/>
  <c r="BL984" i="4" s="1"/>
  <c r="BK992" i="4"/>
  <c r="BL992" i="4" s="1"/>
  <c r="BK1000" i="4"/>
  <c r="BL1000" i="4" s="1"/>
  <c r="BK1008" i="4"/>
  <c r="BL1008" i="4" s="1"/>
  <c r="BK1016" i="4"/>
  <c r="BL1016" i="4" s="1"/>
  <c r="BK1024" i="4"/>
  <c r="BL1024" i="4" s="1"/>
  <c r="BK1032" i="4"/>
  <c r="BL1032" i="4" s="1"/>
  <c r="BK1040" i="4"/>
  <c r="BL1040" i="4" s="1"/>
  <c r="BK1048" i="4"/>
  <c r="BL1048" i="4" s="1"/>
  <c r="BK1056" i="4"/>
  <c r="BL1056" i="4" s="1"/>
  <c r="BK1064" i="4"/>
  <c r="BL1064" i="4" s="1"/>
  <c r="BK1072" i="4"/>
  <c r="BL1072" i="4" s="1"/>
  <c r="BK56" i="4"/>
  <c r="BL56" i="4" s="1"/>
  <c r="BK157" i="4"/>
  <c r="BL157" i="4" s="1"/>
  <c r="BK252" i="4"/>
  <c r="BL252" i="4" s="1"/>
  <c r="BK317" i="4"/>
  <c r="BL317" i="4" s="1"/>
  <c r="BK381" i="4"/>
  <c r="BL381" i="4" s="1"/>
  <c r="BK437" i="4"/>
  <c r="BL437" i="4" s="1"/>
  <c r="BK469" i="4"/>
  <c r="BL469" i="4" s="1"/>
  <c r="BK501" i="4"/>
  <c r="BL501" i="4" s="1"/>
  <c r="BK533" i="4"/>
  <c r="BL533" i="4" s="1"/>
  <c r="BK565" i="4"/>
  <c r="BL565" i="4" s="1"/>
  <c r="BK597" i="4"/>
  <c r="BL597" i="4" s="1"/>
  <c r="BK629" i="4"/>
  <c r="BL629" i="4" s="1"/>
  <c r="BK653" i="4"/>
  <c r="BL653" i="4" s="1"/>
  <c r="BK675" i="4"/>
  <c r="BL675" i="4" s="1"/>
  <c r="BK695" i="4"/>
  <c r="BL695" i="4" s="1"/>
  <c r="BK717" i="4"/>
  <c r="BL717" i="4" s="1"/>
  <c r="BK730" i="4"/>
  <c r="BL730" i="4" s="1"/>
  <c r="BK742" i="4"/>
  <c r="BL742" i="4" s="1"/>
  <c r="BK755" i="4"/>
  <c r="BL755" i="4" s="1"/>
  <c r="BK766" i="4"/>
  <c r="BL766" i="4" s="1"/>
  <c r="BK777" i="4"/>
  <c r="BL777" i="4" s="1"/>
  <c r="BK787" i="4"/>
  <c r="BL787" i="4" s="1"/>
  <c r="BK798" i="4"/>
  <c r="BL798" i="4" s="1"/>
  <c r="BK809" i="4"/>
  <c r="BL809" i="4" s="1"/>
  <c r="BK819" i="4"/>
  <c r="BL819" i="4" s="1"/>
  <c r="BK830" i="4"/>
  <c r="BL830" i="4" s="1"/>
  <c r="BK841" i="4"/>
  <c r="BL841" i="4" s="1"/>
  <c r="BK851" i="4"/>
  <c r="BL851" i="4" s="1"/>
  <c r="BK862" i="4"/>
  <c r="BL862" i="4" s="1"/>
  <c r="BK873" i="4"/>
  <c r="BL873" i="4" s="1"/>
  <c r="BK881" i="4"/>
  <c r="BL881" i="4" s="1"/>
  <c r="BK889" i="4"/>
  <c r="BL889" i="4" s="1"/>
  <c r="BK897" i="4"/>
  <c r="BL897" i="4" s="1"/>
  <c r="BK905" i="4"/>
  <c r="BL905" i="4" s="1"/>
  <c r="BK913" i="4"/>
  <c r="BL913" i="4" s="1"/>
  <c r="BK921" i="4"/>
  <c r="BL921" i="4" s="1"/>
  <c r="BK929" i="4"/>
  <c r="BL929" i="4" s="1"/>
  <c r="BK937" i="4"/>
  <c r="BL937" i="4" s="1"/>
  <c r="BK945" i="4"/>
  <c r="BL945" i="4" s="1"/>
  <c r="BK953" i="4"/>
  <c r="BL953" i="4" s="1"/>
  <c r="BK961" i="4"/>
  <c r="BL961" i="4" s="1"/>
  <c r="BK969" i="4"/>
  <c r="BL969" i="4" s="1"/>
  <c r="BK977" i="4"/>
  <c r="BL977" i="4" s="1"/>
  <c r="BK985" i="4"/>
  <c r="BL985" i="4" s="1"/>
  <c r="BK993" i="4"/>
  <c r="BL993" i="4" s="1"/>
  <c r="BK1001" i="4"/>
  <c r="BL1001" i="4" s="1"/>
  <c r="BK1009" i="4"/>
  <c r="BL1009" i="4" s="1"/>
  <c r="BK1017" i="4"/>
  <c r="BL1017" i="4" s="1"/>
  <c r="BK1025" i="4"/>
  <c r="BL1025" i="4" s="1"/>
  <c r="BK1033" i="4"/>
  <c r="BL1033" i="4" s="1"/>
  <c r="BK1041" i="4"/>
  <c r="BL1041" i="4" s="1"/>
  <c r="BK1049" i="4"/>
  <c r="BL1049" i="4" s="1"/>
  <c r="BK1057" i="4"/>
  <c r="BL1057" i="4" s="1"/>
  <c r="BK1065" i="4"/>
  <c r="BL1065" i="4" s="1"/>
  <c r="BK3" i="4"/>
  <c r="BK68" i="4"/>
  <c r="BL68" i="4" s="1"/>
  <c r="BK171" i="4"/>
  <c r="BL171" i="4" s="1"/>
  <c r="BK261" i="4"/>
  <c r="BL261" i="4" s="1"/>
  <c r="BK325" i="4"/>
  <c r="BL325" i="4" s="1"/>
  <c r="BK389" i="4"/>
  <c r="BL389" i="4" s="1"/>
  <c r="BK439" i="4"/>
  <c r="BL439" i="4" s="1"/>
  <c r="BK471" i="4"/>
  <c r="BL471" i="4" s="1"/>
  <c r="BK503" i="4"/>
  <c r="BL503" i="4" s="1"/>
  <c r="BK535" i="4"/>
  <c r="BL535" i="4" s="1"/>
  <c r="BK567" i="4"/>
  <c r="BL567" i="4" s="1"/>
  <c r="BK599" i="4"/>
  <c r="BL599" i="4" s="1"/>
  <c r="BK631" i="4"/>
  <c r="BL631" i="4" s="1"/>
  <c r="BK655" i="4"/>
  <c r="BL655" i="4" s="1"/>
  <c r="BK677" i="4"/>
  <c r="BL677" i="4" s="1"/>
  <c r="BK699" i="4"/>
  <c r="BL699" i="4" s="1"/>
  <c r="BK718" i="4"/>
  <c r="BL718" i="4" s="1"/>
  <c r="BK731" i="4"/>
  <c r="BL731" i="4" s="1"/>
  <c r="BK743" i="4"/>
  <c r="BL743" i="4" s="1"/>
  <c r="BK757" i="4"/>
  <c r="BL757" i="4" s="1"/>
  <c r="BK767" i="4"/>
  <c r="BL767" i="4" s="1"/>
  <c r="BK778" i="4"/>
  <c r="BL778" i="4" s="1"/>
  <c r="BK789" i="4"/>
  <c r="BL789" i="4" s="1"/>
  <c r="BK799" i="4"/>
  <c r="BL799" i="4" s="1"/>
  <c r="BK810" i="4"/>
  <c r="BL810" i="4" s="1"/>
  <c r="BK821" i="4"/>
  <c r="BL821" i="4" s="1"/>
  <c r="BK831" i="4"/>
  <c r="BL831" i="4" s="1"/>
  <c r="BK842" i="4"/>
  <c r="BL842" i="4" s="1"/>
  <c r="BK853" i="4"/>
  <c r="BL853" i="4" s="1"/>
  <c r="BK863" i="4"/>
  <c r="BL863" i="4" s="1"/>
  <c r="BK874" i="4"/>
  <c r="BL874" i="4" s="1"/>
  <c r="BK882" i="4"/>
  <c r="BL882" i="4" s="1"/>
  <c r="BK890" i="4"/>
  <c r="BL890" i="4" s="1"/>
  <c r="BK898" i="4"/>
  <c r="BL898" i="4" s="1"/>
  <c r="BK906" i="4"/>
  <c r="BL906" i="4" s="1"/>
  <c r="BK914" i="4"/>
  <c r="BL914" i="4" s="1"/>
  <c r="BK922" i="4"/>
  <c r="BL922" i="4" s="1"/>
  <c r="BK930" i="4"/>
  <c r="BL930" i="4" s="1"/>
  <c r="BK938" i="4"/>
  <c r="BL938" i="4" s="1"/>
  <c r="BK946" i="4"/>
  <c r="BL946" i="4" s="1"/>
  <c r="BK954" i="4"/>
  <c r="BL954" i="4" s="1"/>
  <c r="BK962" i="4"/>
  <c r="BL962" i="4" s="1"/>
  <c r="BK970" i="4"/>
  <c r="BL970" i="4" s="1"/>
  <c r="BK978" i="4"/>
  <c r="BL978" i="4" s="1"/>
  <c r="BK986" i="4"/>
  <c r="BL986" i="4" s="1"/>
  <c r="BK994" i="4"/>
  <c r="BL994" i="4" s="1"/>
  <c r="BK1002" i="4"/>
  <c r="BL1002" i="4" s="1"/>
  <c r="BK1010" i="4"/>
  <c r="BL1010" i="4" s="1"/>
  <c r="BK1018" i="4"/>
  <c r="BL1018" i="4" s="1"/>
  <c r="BK1026" i="4"/>
  <c r="BL1026" i="4" s="1"/>
  <c r="BK1034" i="4"/>
  <c r="BL1034" i="4" s="1"/>
  <c r="BK1042" i="4"/>
  <c r="BL1042" i="4" s="1"/>
  <c r="BK1050" i="4"/>
  <c r="BL1050" i="4" s="1"/>
  <c r="BK1058" i="4"/>
  <c r="BL1058" i="4" s="1"/>
  <c r="BK1066" i="4"/>
  <c r="BL1066" i="4" s="1"/>
  <c r="BK81" i="4"/>
  <c r="BL81" i="4" s="1"/>
  <c r="BK184" i="4"/>
  <c r="BL184" i="4" s="1"/>
  <c r="BK269" i="4"/>
  <c r="BL269" i="4" s="1"/>
  <c r="BK333" i="4"/>
  <c r="BL333" i="4" s="1"/>
  <c r="BK397" i="4"/>
  <c r="BL397" i="4" s="1"/>
  <c r="BK445" i="4"/>
  <c r="BL445" i="4" s="1"/>
  <c r="BK477" i="4"/>
  <c r="BL477" i="4" s="1"/>
  <c r="BK509" i="4"/>
  <c r="BL509" i="4" s="1"/>
  <c r="BK541" i="4"/>
  <c r="BL541" i="4" s="1"/>
  <c r="BK573" i="4"/>
  <c r="BL573" i="4" s="1"/>
  <c r="BK605" i="4"/>
  <c r="BL605" i="4" s="1"/>
  <c r="BK637" i="4"/>
  <c r="BL637" i="4" s="1"/>
  <c r="BK659" i="4"/>
  <c r="BL659" i="4" s="1"/>
  <c r="BK679" i="4"/>
  <c r="BL679" i="4" s="1"/>
  <c r="BK701" i="4"/>
  <c r="BL701" i="4" s="1"/>
  <c r="BK719" i="4"/>
  <c r="BL719" i="4" s="1"/>
  <c r="BK733" i="4"/>
  <c r="BL733" i="4" s="1"/>
  <c r="BK746" i="4"/>
  <c r="BL746" i="4" s="1"/>
  <c r="BK758" i="4"/>
  <c r="BL758" i="4" s="1"/>
  <c r="BK769" i="4"/>
  <c r="BL769" i="4" s="1"/>
  <c r="BK779" i="4"/>
  <c r="BL779" i="4" s="1"/>
  <c r="BK790" i="4"/>
  <c r="BL790" i="4" s="1"/>
  <c r="BK801" i="4"/>
  <c r="BL801" i="4" s="1"/>
  <c r="BK811" i="4"/>
  <c r="BL811" i="4" s="1"/>
  <c r="BK822" i="4"/>
  <c r="BL822" i="4" s="1"/>
  <c r="BK833" i="4"/>
  <c r="BL833" i="4" s="1"/>
  <c r="BK843" i="4"/>
  <c r="BL843" i="4" s="1"/>
  <c r="BK854" i="4"/>
  <c r="BL854" i="4" s="1"/>
  <c r="BK865" i="4"/>
  <c r="BL865" i="4" s="1"/>
  <c r="BK875" i="4"/>
  <c r="BL875" i="4" s="1"/>
  <c r="BK883" i="4"/>
  <c r="BL883" i="4" s="1"/>
  <c r="BK891" i="4"/>
  <c r="BL891" i="4" s="1"/>
  <c r="BK899" i="4"/>
  <c r="BL899" i="4" s="1"/>
  <c r="BK907" i="4"/>
  <c r="BL907" i="4" s="1"/>
  <c r="BK915" i="4"/>
  <c r="BL915" i="4" s="1"/>
  <c r="BK923" i="4"/>
  <c r="BL923" i="4" s="1"/>
  <c r="BK931" i="4"/>
  <c r="BL931" i="4" s="1"/>
  <c r="BK939" i="4"/>
  <c r="BL939" i="4" s="1"/>
  <c r="BK947" i="4"/>
  <c r="BL947" i="4" s="1"/>
  <c r="BK955" i="4"/>
  <c r="BL955" i="4" s="1"/>
  <c r="BK963" i="4"/>
  <c r="BL963" i="4" s="1"/>
  <c r="BK971" i="4"/>
  <c r="BL971" i="4" s="1"/>
  <c r="BK979" i="4"/>
  <c r="BL979" i="4" s="1"/>
  <c r="BK987" i="4"/>
  <c r="BL987" i="4" s="1"/>
  <c r="BK995" i="4"/>
  <c r="BL995" i="4" s="1"/>
  <c r="BK1003" i="4"/>
  <c r="BL1003" i="4" s="1"/>
  <c r="BK1011" i="4"/>
  <c r="BL1011" i="4" s="1"/>
  <c r="BK1019" i="4"/>
  <c r="BL1019" i="4" s="1"/>
  <c r="BK1027" i="4"/>
  <c r="BL1027" i="4" s="1"/>
  <c r="BK1035" i="4"/>
  <c r="BL1035" i="4" s="1"/>
  <c r="BK107" i="4"/>
  <c r="BL107" i="4" s="1"/>
  <c r="BK209" i="4"/>
  <c r="BL209" i="4" s="1"/>
  <c r="BK285" i="4"/>
  <c r="BL285" i="4" s="1"/>
  <c r="BK349" i="4"/>
  <c r="BL349" i="4" s="1"/>
  <c r="BK413" i="4"/>
  <c r="BL413" i="4" s="1"/>
  <c r="BK453" i="4"/>
  <c r="BL453" i="4" s="1"/>
  <c r="BK485" i="4"/>
  <c r="BL485" i="4" s="1"/>
  <c r="BK517" i="4"/>
  <c r="BL517" i="4" s="1"/>
  <c r="BK549" i="4"/>
  <c r="BL549" i="4" s="1"/>
  <c r="BK581" i="4"/>
  <c r="BL581" i="4" s="1"/>
  <c r="BK613" i="4"/>
  <c r="BL613" i="4" s="1"/>
  <c r="BK643" i="4"/>
  <c r="BL643" i="4" s="1"/>
  <c r="BK663" i="4"/>
  <c r="BL663" i="4" s="1"/>
  <c r="BK685" i="4"/>
  <c r="BL685" i="4" s="1"/>
  <c r="BK707" i="4"/>
  <c r="BL707" i="4" s="1"/>
  <c r="BK723" i="4"/>
  <c r="BL723" i="4" s="1"/>
  <c r="BK735" i="4"/>
  <c r="BL735" i="4" s="1"/>
  <c r="BK749" i="4"/>
  <c r="BL749" i="4" s="1"/>
  <c r="BK761" i="4"/>
  <c r="BL761" i="4" s="1"/>
  <c r="BK771" i="4"/>
  <c r="BL771" i="4" s="1"/>
  <c r="BK782" i="4"/>
  <c r="BL782" i="4" s="1"/>
  <c r="BK793" i="4"/>
  <c r="BL793" i="4" s="1"/>
  <c r="BK803" i="4"/>
  <c r="BL803" i="4" s="1"/>
  <c r="BK814" i="4"/>
  <c r="BL814" i="4" s="1"/>
  <c r="BK825" i="4"/>
  <c r="BL825" i="4" s="1"/>
  <c r="BK835" i="4"/>
  <c r="BL835" i="4" s="1"/>
  <c r="BK846" i="4"/>
  <c r="BL846" i="4" s="1"/>
  <c r="BK857" i="4"/>
  <c r="BL857" i="4" s="1"/>
  <c r="BK867" i="4"/>
  <c r="BL867" i="4" s="1"/>
  <c r="BK877" i="4"/>
  <c r="BL877" i="4" s="1"/>
  <c r="BK885" i="4"/>
  <c r="BL885" i="4" s="1"/>
  <c r="BK893" i="4"/>
  <c r="BL893" i="4" s="1"/>
  <c r="BK901" i="4"/>
  <c r="BL901" i="4" s="1"/>
  <c r="BK909" i="4"/>
  <c r="BL909" i="4" s="1"/>
  <c r="BK917" i="4"/>
  <c r="BL917" i="4" s="1"/>
  <c r="BK925" i="4"/>
  <c r="BL925" i="4" s="1"/>
  <c r="BK933" i="4"/>
  <c r="BL933" i="4" s="1"/>
  <c r="BK941" i="4"/>
  <c r="BL941" i="4" s="1"/>
  <c r="BK949" i="4"/>
  <c r="BL949" i="4" s="1"/>
  <c r="BK957" i="4"/>
  <c r="BL957" i="4" s="1"/>
  <c r="BK965" i="4"/>
  <c r="BL965" i="4" s="1"/>
  <c r="BK973" i="4"/>
  <c r="BL973" i="4" s="1"/>
  <c r="BK981" i="4"/>
  <c r="BL981" i="4" s="1"/>
  <c r="BK989" i="4"/>
  <c r="BL989" i="4" s="1"/>
  <c r="BK997" i="4"/>
  <c r="BL997" i="4" s="1"/>
  <c r="BK1005" i="4"/>
  <c r="BL1005" i="4" s="1"/>
  <c r="BK1013" i="4"/>
  <c r="BL1013" i="4" s="1"/>
  <c r="BK1021" i="4"/>
  <c r="BL1021" i="4" s="1"/>
  <c r="BK1029" i="4"/>
  <c r="BL1029" i="4" s="1"/>
  <c r="BK1037" i="4"/>
  <c r="BL1037" i="4" s="1"/>
  <c r="BK1045" i="4"/>
  <c r="BL1045" i="4" s="1"/>
  <c r="BK1053" i="4"/>
  <c r="BL1053" i="4" s="1"/>
  <c r="BK1061" i="4"/>
  <c r="BL1061" i="4" s="1"/>
  <c r="BK1069" i="4"/>
  <c r="BL1069" i="4" s="1"/>
  <c r="BK479" i="4"/>
  <c r="BL479" i="4" s="1"/>
  <c r="BK703" i="4"/>
  <c r="BL703" i="4" s="1"/>
  <c r="BK802" i="4"/>
  <c r="BL802" i="4" s="1"/>
  <c r="BK884" i="4"/>
  <c r="BL884" i="4" s="1"/>
  <c r="BK948" i="4"/>
  <c r="BL948" i="4" s="1"/>
  <c r="BK1012" i="4"/>
  <c r="BL1012" i="4" s="1"/>
  <c r="BK1046" i="4"/>
  <c r="BL1046" i="4" s="1"/>
  <c r="BK1068" i="4"/>
  <c r="BL1068" i="4" s="1"/>
  <c r="BK511" i="4"/>
  <c r="BL511" i="4" s="1"/>
  <c r="BK722" i="4"/>
  <c r="BL722" i="4" s="1"/>
  <c r="BK813" i="4"/>
  <c r="BL813" i="4" s="1"/>
  <c r="BK892" i="4"/>
  <c r="BL892" i="4" s="1"/>
  <c r="BK956" i="4"/>
  <c r="BL956" i="4" s="1"/>
  <c r="BK1020" i="4"/>
  <c r="BL1020" i="4" s="1"/>
  <c r="BK1051" i="4"/>
  <c r="BL1051" i="4" s="1"/>
  <c r="BK1070" i="4"/>
  <c r="BL1070" i="4" s="1"/>
  <c r="BK93" i="4"/>
  <c r="BL93" i="4" s="1"/>
  <c r="BK543" i="4"/>
  <c r="BL543" i="4" s="1"/>
  <c r="BK734" i="4"/>
  <c r="BL734" i="4" s="1"/>
  <c r="BK823" i="4"/>
  <c r="BL823" i="4" s="1"/>
  <c r="BK900" i="4"/>
  <c r="BL900" i="4" s="1"/>
  <c r="BK964" i="4"/>
  <c r="BL964" i="4" s="1"/>
  <c r="BK1028" i="4"/>
  <c r="BL1028" i="4" s="1"/>
  <c r="BK1052" i="4"/>
  <c r="BL1052" i="4" s="1"/>
  <c r="BK196" i="4"/>
  <c r="BL196" i="4" s="1"/>
  <c r="BK575" i="4"/>
  <c r="BL575" i="4" s="1"/>
  <c r="BK747" i="4"/>
  <c r="BL747" i="4" s="1"/>
  <c r="BK834" i="4"/>
  <c r="BL834" i="4" s="1"/>
  <c r="BK908" i="4"/>
  <c r="BL908" i="4" s="1"/>
  <c r="BK972" i="4"/>
  <c r="BL972" i="4" s="1"/>
  <c r="BK1030" i="4"/>
  <c r="BL1030" i="4" s="1"/>
  <c r="BK1054" i="4"/>
  <c r="BL1054" i="4" s="1"/>
  <c r="BK277" i="4"/>
  <c r="BL277" i="4" s="1"/>
  <c r="BK607" i="4"/>
  <c r="BL607" i="4" s="1"/>
  <c r="BK759" i="4"/>
  <c r="BL759" i="4" s="1"/>
  <c r="BK845" i="4"/>
  <c r="BL845" i="4" s="1"/>
  <c r="BK916" i="4"/>
  <c r="BL916" i="4" s="1"/>
  <c r="BK980" i="4"/>
  <c r="BL980" i="4" s="1"/>
  <c r="BK1036" i="4"/>
  <c r="BL1036" i="4" s="1"/>
  <c r="BK1059" i="4"/>
  <c r="BL1059" i="4" s="1"/>
  <c r="BK341" i="4"/>
  <c r="BL341" i="4" s="1"/>
  <c r="BK639" i="4"/>
  <c r="BL639" i="4" s="1"/>
  <c r="BK770" i="4"/>
  <c r="BL770" i="4" s="1"/>
  <c r="BK855" i="4"/>
  <c r="BL855" i="4" s="1"/>
  <c r="BK924" i="4"/>
  <c r="BL924" i="4" s="1"/>
  <c r="BK988" i="4"/>
  <c r="BL988" i="4" s="1"/>
  <c r="BK1038" i="4"/>
  <c r="BL1038" i="4" s="1"/>
  <c r="BK1060" i="4"/>
  <c r="BL1060" i="4" s="1"/>
  <c r="BK405" i="4"/>
  <c r="BL405" i="4" s="1"/>
  <c r="BK661" i="4"/>
  <c r="BL661" i="4" s="1"/>
  <c r="BK781" i="4"/>
  <c r="BL781" i="4" s="1"/>
  <c r="BK866" i="4"/>
  <c r="BL866" i="4" s="1"/>
  <c r="BK932" i="4"/>
  <c r="BL932" i="4" s="1"/>
  <c r="BK996" i="4"/>
  <c r="BL996" i="4" s="1"/>
  <c r="BK1043" i="4"/>
  <c r="BL1043" i="4" s="1"/>
  <c r="BK1062" i="4"/>
  <c r="BL1062" i="4" s="1"/>
  <c r="BK1067" i="4"/>
  <c r="BL1067" i="4" s="1"/>
  <c r="BK447" i="4"/>
  <c r="BL447" i="4" s="1"/>
  <c r="BK683" i="4"/>
  <c r="BL683" i="4" s="1"/>
  <c r="BK791" i="4"/>
  <c r="BL791" i="4" s="1"/>
  <c r="BK876" i="4"/>
  <c r="BL876" i="4" s="1"/>
  <c r="BK940" i="4"/>
  <c r="BL940" i="4" s="1"/>
  <c r="BK1004" i="4"/>
  <c r="BL1004" i="4" s="1"/>
  <c r="BK1044" i="4"/>
  <c r="BL1044" i="4" s="1"/>
  <c r="AP29" i="17"/>
  <c r="AQ29" i="17" s="1"/>
  <c r="X29" i="17" s="1"/>
  <c r="W29" i="17"/>
  <c r="O11" i="20"/>
  <c r="G11" i="20"/>
  <c r="E11" i="20"/>
  <c r="M11" i="20"/>
  <c r="F11" i="20"/>
  <c r="D11" i="20"/>
  <c r="O10" i="20"/>
  <c r="G10" i="20"/>
  <c r="D10" i="20"/>
  <c r="M10" i="20"/>
  <c r="F10" i="20"/>
  <c r="E10" i="20"/>
  <c r="AH52" i="17"/>
  <c r="AH51" i="17"/>
  <c r="AH53" i="17"/>
  <c r="BL3" i="4" l="1"/>
  <c r="AH54" i="17"/>
  <c r="AH56" i="17" l="1"/>
  <c r="AH58" i="17" l="1"/>
  <c r="AB59" i="17" s="1"/>
</calcChain>
</file>

<file path=xl/sharedStrings.xml><?xml version="1.0" encoding="utf-8"?>
<sst xmlns="http://schemas.openxmlformats.org/spreadsheetml/2006/main" count="29238" uniqueCount="9133">
  <si>
    <t>Source</t>
  </si>
  <si>
    <t>Page</t>
  </si>
  <si>
    <t>Hida</t>
  </si>
  <si>
    <t>Core</t>
  </si>
  <si>
    <t>Hiruma</t>
  </si>
  <si>
    <t>Kaiu</t>
  </si>
  <si>
    <t>+1 Intelligence</t>
  </si>
  <si>
    <t>Kuni</t>
  </si>
  <si>
    <t>Toritaka</t>
  </si>
  <si>
    <t>+1 Perception</t>
  </si>
  <si>
    <t>Yasuki</t>
  </si>
  <si>
    <t>Asahina</t>
  </si>
  <si>
    <t>Daidoji</t>
  </si>
  <si>
    <t>Doji</t>
  </si>
  <si>
    <t>Kakita</t>
  </si>
  <si>
    <t>Dragon</t>
  </si>
  <si>
    <t>Kitsuki</t>
  </si>
  <si>
    <t>Mirumoto</t>
  </si>
  <si>
    <t>Tamori</t>
  </si>
  <si>
    <t>+1 Reflexes</t>
  </si>
  <si>
    <t>Lion</t>
  </si>
  <si>
    <t>Akodo</t>
  </si>
  <si>
    <t>Ikoma</t>
  </si>
  <si>
    <t>Kitsu</t>
  </si>
  <si>
    <t>Matsu</t>
  </si>
  <si>
    <t>Kitsune</t>
  </si>
  <si>
    <t>Moshi</t>
  </si>
  <si>
    <t>Tsuruchi</t>
  </si>
  <si>
    <t>Yoritomo</t>
  </si>
  <si>
    <t>Agasha</t>
  </si>
  <si>
    <t>Asako</t>
  </si>
  <si>
    <t>Isawa</t>
  </si>
  <si>
    <t>Shiba</t>
  </si>
  <si>
    <t>Scorpion</t>
  </si>
  <si>
    <t>Bayushi</t>
  </si>
  <si>
    <t>Shosuro</t>
  </si>
  <si>
    <t>Soshi</t>
  </si>
  <si>
    <t>Yogo</t>
  </si>
  <si>
    <t>Horuichi</t>
  </si>
  <si>
    <t>Ide</t>
  </si>
  <si>
    <t>Iuchi</t>
  </si>
  <si>
    <t>Moto</t>
  </si>
  <si>
    <t>Shinjo</t>
  </si>
  <si>
    <t>Utaku</t>
  </si>
  <si>
    <t>Chuda</t>
  </si>
  <si>
    <t>Daigotsu</t>
  </si>
  <si>
    <t>Goju</t>
  </si>
  <si>
    <t>Imperial</t>
  </si>
  <si>
    <t>Miya</t>
  </si>
  <si>
    <t>Otomo</t>
  </si>
  <si>
    <t>Seppun</t>
  </si>
  <si>
    <t>Hantei</t>
  </si>
  <si>
    <t>Toturi</t>
  </si>
  <si>
    <t>Naga</t>
  </si>
  <si>
    <t>Cobra</t>
  </si>
  <si>
    <t>Abomination</t>
  </si>
  <si>
    <t>Nezumi</t>
  </si>
  <si>
    <t>Type</t>
  </si>
  <si>
    <t>Emerald Empire</t>
  </si>
  <si>
    <t>Great Clans</t>
  </si>
  <si>
    <t>Shintao</t>
  </si>
  <si>
    <t>Ronin</t>
  </si>
  <si>
    <t>Kenshinzen</t>
  </si>
  <si>
    <t>Maho-Bujin</t>
  </si>
  <si>
    <t>Kolat</t>
  </si>
  <si>
    <t>Mental</t>
  </si>
  <si>
    <t>Connait toujours la direction du nord</t>
  </si>
  <si>
    <t>Social</t>
  </si>
  <si>
    <t>Variable</t>
  </si>
  <si>
    <t>Toujours 1 rang quelle que soit l'arme utilisée</t>
  </si>
  <si>
    <t>1pt Vide pr améliorer un Test d'Athletisme = bonus de +3k1</t>
  </si>
  <si>
    <t>Permet de choisir une école de départ d'un autre clan</t>
  </si>
  <si>
    <t>-2 XP pour augmenter l'Anneau de Vide</t>
  </si>
  <si>
    <t>+1 Rang de Gloire</t>
  </si>
  <si>
    <t>Peut acheter des Kiho au même coût qu'un Moine</t>
  </si>
  <si>
    <t>Permet d'éviter la mort une fois par session de jeu</t>
  </si>
  <si>
    <t>Gagnez 1 XP en+ par session à chaque fois que vous oeuvrez au but ultime de votre vie</t>
  </si>
  <si>
    <t>Vous regagnez toujours vos Points de Vide quand vous êtes affamé ou assoiffé</t>
  </si>
  <si>
    <t>Vous posédez un faucon dréssé hors du commun</t>
  </si>
  <si>
    <t>Ishiken-do</t>
  </si>
  <si>
    <t>Permet de lancer des sorts de l'Anneau du Vide</t>
  </si>
  <si>
    <t>Medium</t>
  </si>
  <si>
    <t>Vous pouvez projeter votre esprit dans la réalité des Esprits</t>
  </si>
  <si>
    <t>Permet d'avoir une autre école en plus de l'école de départ</t>
  </si>
  <si>
    <t>Tant que votre Rang d'honneur &gt;= 6, personne ne peut vous attaquer sauf si attaqué en 1er</t>
  </si>
  <si>
    <t>Sage</t>
  </si>
  <si>
    <t>Toujours 1 rang quelle que soit le test de savoir utilisé</t>
  </si>
  <si>
    <t>Sensation</t>
  </si>
  <si>
    <t>Vous avez accès à un réseau d'espions qui peut vous délivrer des informations.</t>
  </si>
  <si>
    <t>+1 Rang d'Honneur</t>
  </si>
  <si>
    <t>Une région de l'Empire vous est familière (Ne peut se perdre, connait toutes les ressources)</t>
  </si>
  <si>
    <t>Permet de respirer et de vivre sous l'eau</t>
  </si>
  <si>
    <t>Vous savez vous servir de votre queue comme d'une main</t>
  </si>
  <si>
    <t>+1 Rang de Niche</t>
  </si>
  <si>
    <t>Ajoute +3k3 pour résister aux effets de la peur</t>
  </si>
  <si>
    <t>Vous avez des alliés humains et pouvez apprendre des compétences qui leur sont réservées</t>
  </si>
  <si>
    <t>Permet de choisir une école de départ d'une autre tribu</t>
  </si>
  <si>
    <t>Fascination</t>
  </si>
  <si>
    <t>Momoku</t>
  </si>
  <si>
    <t>Kwa'thch</t>
  </si>
  <si>
    <t>Air</t>
  </si>
  <si>
    <t>Illusion</t>
  </si>
  <si>
    <t>Divination</t>
  </si>
  <si>
    <t>Jade</t>
  </si>
  <si>
    <t>Kata</t>
  </si>
  <si>
    <t>Clan</t>
  </si>
  <si>
    <t>Atemi</t>
  </si>
  <si>
    <t>Possession</t>
  </si>
  <si>
    <t>Machi-Kanshisha</t>
  </si>
  <si>
    <t>Ki-Rin</t>
  </si>
  <si>
    <t>Tengoku</t>
  </si>
  <si>
    <t>Toshigoku</t>
  </si>
  <si>
    <t>Yume-do</t>
  </si>
  <si>
    <t>Gaki-do</t>
  </si>
  <si>
    <t>Meido</t>
  </si>
  <si>
    <t>Chikushudo</t>
  </si>
  <si>
    <t>Sakkaku</t>
  </si>
  <si>
    <t>Yomi</t>
  </si>
  <si>
    <t>Book of Air</t>
  </si>
  <si>
    <t>-1 à l'anneau de la Terre pour déterminer vos rangs de blesssures et résistance à la maladie</t>
  </si>
  <si>
    <t>Quelqu'un connait votre pire secret et vous fait du chantage contre vous</t>
  </si>
  <si>
    <t>Vous ne recevez que le strict équipement nécéssaire et la moitié de Gloire</t>
  </si>
  <si>
    <t>Vous ne pouvez vous empêcher de vous mêler de tout et d'argumenter sans arrêt</t>
  </si>
  <si>
    <t>Vous avez une quête obsessionnelle et rien d'autre ne compte que l'acomplissement de ce but</t>
  </si>
  <si>
    <t>Vous ne pouvez plus avancer dans votre école actuelle et ne faites plus partie d'un clan</t>
  </si>
  <si>
    <t>A chaque fois que vous perdez de l'honneur, cette perte est augmentée de 1</t>
  </si>
  <si>
    <t>Vous devez dépenser un point de Vide pour entreprendre une tâche qui ne vous rapporte rien à vous</t>
  </si>
  <si>
    <t>Vous êtes tellement jaloux d'une personne que cela vous porte préjudice,</t>
  </si>
  <si>
    <t>Vous ne pouvez vous empêcher de colporter ragots et rumeurs aussi ridicules soient t'ils</t>
  </si>
  <si>
    <t>Vous avez un ennemi juré qui fera tout pour vous mener à votre perte</t>
  </si>
  <si>
    <t>Vous n'êtes plus le bienvenu dans votre famille, sur ses terres, ni dans les écoles de celle-ci</t>
  </si>
  <si>
    <t>Sombre Destin: 1X/session, toute blessure qui vous tuerait vous mets à 1 à la place</t>
  </si>
  <si>
    <t>Vous trainez un si lourd secret que s'il venait à être révélé cela vous vaudrait d'être exécuté</t>
  </si>
  <si>
    <t>Rang de Statut réduit à 1 et ne remonte pas tant que vous n'aurez pas regagné votre honneur</t>
  </si>
  <si>
    <t>Vous êtes tellement fasciné par qqch que cela trouble vos actions et jugements</t>
  </si>
  <si>
    <t>Vous ne pouvez obtenir qu'un maximum de 20 à tous vos Tests Sociaux.(Les critiques sont ignorés)</t>
  </si>
  <si>
    <t>Ne peut de Points de Vide QUE pour utiliser les techniques de votre école qui en requièrent</t>
  </si>
  <si>
    <t>Dépenser un Point de Vide pour accomplir votre devoir vs. Amour Véritable</t>
  </si>
  <si>
    <t>-1 dans un Anneau pour tous les Tests gouvernés par cet Anneau</t>
  </si>
  <si>
    <t>Vous possédez une terrible mutation et gagnez moins de points de Caste</t>
  </si>
  <si>
    <t>Vous commencez avec un rang de Statut égal à 0</t>
  </si>
  <si>
    <t>Vous commencez avec un rang de Niche égal à 0 et ne pouvez l'augmenter.</t>
  </si>
  <si>
    <t>Ne pouvez pas vous reproduire ni gagner de rang de Niche tant que vous êtes considéré comme fou</t>
  </si>
  <si>
    <t xml:space="preserve">Core </t>
  </si>
  <si>
    <t>Rang de Gloire -1 vs. Clan du Crabe, Pas d'argent de départ OU équipement réduit</t>
  </si>
  <si>
    <t>Une fois toutes les 2 sessions qqun vous provoque en duel sans raison autre que votre réputation</t>
  </si>
  <si>
    <t>Vous ne recevez pas d'argent de départ et 2 pièces de votre équipement sont manquantes</t>
  </si>
  <si>
    <t>+1 Rang de Gloire contre les Bushis</t>
  </si>
  <si>
    <t>Vous vous perdez facilement: -15 à tous vos tests pour vous orienter (Navigation)</t>
  </si>
  <si>
    <t>Rajya Ke Varisa</t>
  </si>
  <si>
    <t>Imperial Histories</t>
  </si>
  <si>
    <t>Hoshi</t>
  </si>
  <si>
    <t>Hitomi</t>
  </si>
  <si>
    <t>Mental/Social</t>
  </si>
  <si>
    <t>Kaeru</t>
  </si>
  <si>
    <t>Tsi</t>
  </si>
  <si>
    <t>Tsume</t>
  </si>
  <si>
    <t>Nasu</t>
  </si>
  <si>
    <t>Book of Earth</t>
  </si>
  <si>
    <t>Maho</t>
  </si>
  <si>
    <t>Book of Fire</t>
  </si>
  <si>
    <t>Naishou Province</t>
  </si>
  <si>
    <t>Imperial Histories 2</t>
  </si>
  <si>
    <t>Core/Imp. Histories 2</t>
  </si>
  <si>
    <t>228/26</t>
  </si>
  <si>
    <t xml:space="preserve">Vous avez du sang Naga et pouvez acheter des Avantages leurs sont normalement réservés </t>
  </si>
  <si>
    <t>Toku</t>
  </si>
  <si>
    <t>Sakura</t>
  </si>
  <si>
    <t>Sodan-Senzo</t>
  </si>
  <si>
    <t>+1 Agilité</t>
  </si>
  <si>
    <t>+1 Force</t>
  </si>
  <si>
    <t>+1 Intuition</t>
  </si>
  <si>
    <t>+1 Constitution</t>
  </si>
  <si>
    <t>+1 Vide</t>
  </si>
  <si>
    <t>+1 Volonté</t>
  </si>
  <si>
    <t>Crabe</t>
  </si>
  <si>
    <t>Grue</t>
  </si>
  <si>
    <t>Phénix</t>
  </si>
  <si>
    <t>Mante</t>
  </si>
  <si>
    <t>Licorne</t>
  </si>
  <si>
    <t>Blaireau</t>
  </si>
  <si>
    <t>Araignée</t>
  </si>
  <si>
    <t>Renard</t>
  </si>
  <si>
    <t>Chauve-souris</t>
  </si>
  <si>
    <t>Lièvre</t>
  </si>
  <si>
    <t>Singe</t>
  </si>
  <si>
    <t>Famille</t>
  </si>
  <si>
    <t>Ecole</t>
  </si>
  <si>
    <t>+1 Au choix</t>
  </si>
  <si>
    <t>Courtisan</t>
  </si>
  <si>
    <t>+1 Rang de Gloire contre les Courtisans</t>
  </si>
  <si>
    <t xml:space="preserve">Bushi Hida </t>
  </si>
  <si>
    <t xml:space="preserve">Pragmatiste Hida </t>
  </si>
  <si>
    <t xml:space="preserve">Bushi Hiruma </t>
  </si>
  <si>
    <t xml:space="preserve">Eclaireur Hiruma </t>
  </si>
  <si>
    <t>Courtisan Yasuki</t>
  </si>
  <si>
    <t>Courtisan Doji</t>
  </si>
  <si>
    <t xml:space="preserve">Magistrat Doji </t>
  </si>
  <si>
    <t>Bushi Kakita</t>
  </si>
  <si>
    <t>Guerrier de Fer Daidoji</t>
  </si>
  <si>
    <t>Kikage Zumi Hitomi</t>
  </si>
  <si>
    <t>Tsurui Zumi Hoshi</t>
  </si>
  <si>
    <t xml:space="preserve">Ordre Tattoué de Togashi </t>
  </si>
  <si>
    <t>Bushi Akodo</t>
  </si>
  <si>
    <t>Barde Ikoma</t>
  </si>
  <si>
    <t xml:space="preserve">Ombre du Lion Ikoma </t>
  </si>
  <si>
    <t>Shugenja Kitsu</t>
  </si>
  <si>
    <t>Lancier d'Elite du Lion</t>
  </si>
  <si>
    <t>Berserker Matsu</t>
  </si>
  <si>
    <t>Archer Tsuruchi</t>
  </si>
  <si>
    <t xml:space="preserve">Bushi Yoritomo </t>
  </si>
  <si>
    <t>Courtisan Yoritomo</t>
  </si>
  <si>
    <t>Shugenja Yoritomo</t>
  </si>
  <si>
    <t>Shugenja Agasha</t>
  </si>
  <si>
    <t>Henshin Asako</t>
  </si>
  <si>
    <t>Maître du Savoir Asako</t>
  </si>
  <si>
    <t>Shugenja Isawa</t>
  </si>
  <si>
    <t>Bushi Shiba</t>
  </si>
  <si>
    <t>Bushi Bayushi</t>
  </si>
  <si>
    <t>Courtisan Bayushi</t>
  </si>
  <si>
    <t xml:space="preserve">Magistrat Soshi </t>
  </si>
  <si>
    <t>Shugenja Soshi</t>
  </si>
  <si>
    <t>Infiltrateur Shosuro</t>
  </si>
  <si>
    <t>Glyphes</t>
  </si>
  <si>
    <t>Glyphes, Jade</t>
  </si>
  <si>
    <t>Jade, Glyphes</t>
  </si>
  <si>
    <t>Défense, Illusion</t>
  </si>
  <si>
    <t>Glyphes, Défense</t>
  </si>
  <si>
    <t>Défense</t>
  </si>
  <si>
    <t>Défense, Glyphes</t>
  </si>
  <si>
    <t>Défense, Jade</t>
  </si>
  <si>
    <t>Art de la Guerre</t>
  </si>
  <si>
    <t>Art de la Guerre, Défense</t>
  </si>
  <si>
    <t>Art de la Guerre, Illusion</t>
  </si>
  <si>
    <t>Tonnerre</t>
  </si>
  <si>
    <t>Jade, Crystal, Tonnerre</t>
  </si>
  <si>
    <t>Jade, Tonnerre</t>
  </si>
  <si>
    <t>Voyage</t>
  </si>
  <si>
    <t>Art de la Guerre, Voyage</t>
  </si>
  <si>
    <t>Eclaireur Hiruma</t>
  </si>
  <si>
    <t>Shugenja Iuchi</t>
  </si>
  <si>
    <t>Emissaire Ide</t>
  </si>
  <si>
    <t>Bushi Moto</t>
  </si>
  <si>
    <t>Bushi Shinjo</t>
  </si>
  <si>
    <t>Infanterie Montée Utaku</t>
  </si>
  <si>
    <t>Shugenja Chuda</t>
  </si>
  <si>
    <t>Bushi Daigotsu</t>
  </si>
  <si>
    <t>Courtisan Daigotsu</t>
  </si>
  <si>
    <t>Cavalerie des Sombres Moto</t>
  </si>
  <si>
    <t>Héraut Miya</t>
  </si>
  <si>
    <t>Courtisan Otomo</t>
  </si>
  <si>
    <t>Garde Seppun</t>
  </si>
  <si>
    <t>Shugenja Seppun</t>
  </si>
  <si>
    <t>Aucun</t>
  </si>
  <si>
    <t>Disciples de Sun-Tao</t>
  </si>
  <si>
    <t>Griffes du Loup</t>
  </si>
  <si>
    <t>Yeux de Fukurokujin</t>
  </si>
  <si>
    <t>Chercheurs de la Première Aube</t>
  </si>
  <si>
    <t>Ordre Shinmaki</t>
  </si>
  <si>
    <t>Poing de Tengoku</t>
  </si>
  <si>
    <t>Les Quatre Temples</t>
  </si>
  <si>
    <t>Ordre des Héros</t>
  </si>
  <si>
    <t>Ordre du Repos Pacifique</t>
  </si>
  <si>
    <t>Ordre de la Renaissance</t>
  </si>
  <si>
    <t>Ordre des Cinq Anneaux</t>
  </si>
  <si>
    <t>Ordre du Don Sans Nom</t>
  </si>
  <si>
    <t>Ordre du Vent</t>
  </si>
  <si>
    <t>Sanctuaire des Septs Tonnerres</t>
  </si>
  <si>
    <t>Temple de Kaimetsu-Wo</t>
  </si>
  <si>
    <t>Temple de Osano-Wo</t>
  </si>
  <si>
    <t>Temple de la Sagesse Céleste</t>
  </si>
  <si>
    <t>Temple de la Persistance</t>
  </si>
  <si>
    <t>Ordre de la Grace du Vent</t>
  </si>
  <si>
    <t>Garde Brisée</t>
  </si>
  <si>
    <t>Disciple Dévoué</t>
  </si>
  <si>
    <t>Yeux de Nanashi</t>
  </si>
  <si>
    <t>Tueur de la Forêt</t>
  </si>
  <si>
    <t>Ronin Générique</t>
  </si>
  <si>
    <t>Puriste de l'Aigle</t>
  </si>
  <si>
    <t>Voie de Kenburo</t>
  </si>
  <si>
    <t>Legionnaire du Peuple</t>
  </si>
  <si>
    <t>Ordre Ronin</t>
  </si>
  <si>
    <t>Shugenja Autodidacte</t>
  </si>
  <si>
    <t>Serpents de Sanada</t>
  </si>
  <si>
    <t>Mercenaires des Sept Vagues</t>
  </si>
  <si>
    <t>Epée de Yotsu</t>
  </si>
  <si>
    <t>Armée de Tawagoto</t>
  </si>
  <si>
    <t>Justiciers de Tengoku</t>
  </si>
  <si>
    <t>La Colère de la Garde</t>
  </si>
  <si>
    <t>Ordre d'Isashi</t>
  </si>
  <si>
    <t>Ordre des Cinq Armes</t>
  </si>
  <si>
    <t>Tessen</t>
  </si>
  <si>
    <t>Les Milles</t>
  </si>
  <si>
    <t>Indomptés</t>
  </si>
  <si>
    <t>Piquier Tsume</t>
  </si>
  <si>
    <t>Tisseurs</t>
  </si>
  <si>
    <t>Légion du Loup</t>
  </si>
  <si>
    <t>Jakla Naga</t>
  </si>
  <si>
    <t>Eclaireur Naga</t>
  </si>
  <si>
    <t>Guerrier Naga</t>
  </si>
  <si>
    <t>Guerrier Nezumi</t>
  </si>
  <si>
    <t>Ravageur Tsuno</t>
  </si>
  <si>
    <t>Epéiste Kenku</t>
  </si>
  <si>
    <t>Bushi Ogre Libre</t>
  </si>
  <si>
    <t>Mage Ogre</t>
  </si>
  <si>
    <t>Guerrier Khsatriya</t>
  </si>
  <si>
    <t>Combattant Guru Sainika</t>
  </si>
  <si>
    <t>Défense, Armes lourdes</t>
  </si>
  <si>
    <t>Shugenja Kuni</t>
  </si>
  <si>
    <t>Shugenja Asahina</t>
  </si>
  <si>
    <t>Royaumes d'Ivoire</t>
  </si>
  <si>
    <t>Commerce</t>
  </si>
  <si>
    <t>Shugenja Moshi</t>
  </si>
  <si>
    <t>Bushi Mirumoto</t>
  </si>
  <si>
    <t xml:space="preserve"> Niten: Combat à deux lames</t>
  </si>
  <si>
    <t>Shugenja Tamori</t>
  </si>
  <si>
    <t>Enquêteur Kitsuki</t>
  </si>
  <si>
    <t>Vérité, Observation, Mémoire</t>
  </si>
  <si>
    <t>Mains nues, Tatouages</t>
  </si>
  <si>
    <t>Equilibre</t>
  </si>
  <si>
    <t>Ours</t>
  </si>
  <si>
    <t>Embrasement</t>
  </si>
  <si>
    <t>Mille-Pattes</t>
  </si>
  <si>
    <t>Nuage</t>
  </si>
  <si>
    <t>Aigle</t>
  </si>
  <si>
    <t>Montagne</t>
  </si>
  <si>
    <t>Océan</t>
  </si>
  <si>
    <t>Orage</t>
  </si>
  <si>
    <t>Vide</t>
  </si>
  <si>
    <t>Volcan</t>
  </si>
  <si>
    <t>Murmure</t>
  </si>
  <si>
    <t>Vent</t>
  </si>
  <si>
    <t>Loup</t>
  </si>
  <si>
    <t>Ancêtre</t>
  </si>
  <si>
    <t>Coût</t>
  </si>
  <si>
    <t>Libellule</t>
  </si>
  <si>
    <t>Sanglier</t>
  </si>
  <si>
    <t>Loriot</t>
  </si>
  <si>
    <t>Bœuf</t>
  </si>
  <si>
    <t>Moineau</t>
  </si>
  <si>
    <t>Tortue</t>
  </si>
  <si>
    <t>Confrérie</t>
  </si>
  <si>
    <t>Désavantage</t>
  </si>
  <si>
    <t>Sous-type</t>
  </si>
  <si>
    <t>Avantage</t>
  </si>
  <si>
    <t>Potiologie, Artisanat</t>
  </si>
  <si>
    <t>Spécialités</t>
  </si>
  <si>
    <t>Cavalerie lourde</t>
  </si>
  <si>
    <t>Pacifisme</t>
  </si>
  <si>
    <t>Vierge de Bataille Utaku</t>
  </si>
  <si>
    <t>Cavalerie</t>
  </si>
  <si>
    <t>Kenjutsu</t>
  </si>
  <si>
    <t>Inspiration, Histoire</t>
  </si>
  <si>
    <t>Combat maritime, Armes exotiques</t>
  </si>
  <si>
    <t>Brimades</t>
  </si>
  <si>
    <t>Archerie</t>
  </si>
  <si>
    <t>Elémenciens</t>
  </si>
  <si>
    <t>Savoir, Histoire</t>
  </si>
  <si>
    <t>Alchimie, multi-élémentarisme</t>
  </si>
  <si>
    <t>Discorde, Coups bas</t>
  </si>
  <si>
    <t>Illusion, Disimulation</t>
  </si>
  <si>
    <t>Manipulation, Tromperie</t>
  </si>
  <si>
    <t>Sabotage, Assassinat</t>
  </si>
  <si>
    <t>Peur, Corruption</t>
  </si>
  <si>
    <t>Déguisement, Informaton</t>
  </si>
  <si>
    <t>Invocation, Messages</t>
  </si>
  <si>
    <t>Chasseur de monstres</t>
  </si>
  <si>
    <t>Divination, Vie en Société</t>
  </si>
  <si>
    <t>Rapidité, Déplacement</t>
  </si>
  <si>
    <t>Forge</t>
  </si>
  <si>
    <t>Sérénité</t>
  </si>
  <si>
    <t>Animaux, Nature</t>
  </si>
  <si>
    <t>Assauts, Défence, Lance</t>
  </si>
  <si>
    <t>Combat en infériorité</t>
  </si>
  <si>
    <t>Chasseur de maho et monstres</t>
  </si>
  <si>
    <t>Criminels, Etrangers</t>
  </si>
  <si>
    <t>Intimidation</t>
  </si>
  <si>
    <t>Protection rapprochée</t>
  </si>
  <si>
    <t>Impérial, Protection</t>
  </si>
  <si>
    <t>Nom</t>
  </si>
  <si>
    <t>Mot Clef</t>
  </si>
  <si>
    <t>Anneau</t>
  </si>
  <si>
    <t>Ichiro</t>
  </si>
  <si>
    <t>Heichi</t>
  </si>
  <si>
    <t>Faucon</t>
  </si>
  <si>
    <t>Usagi</t>
  </si>
  <si>
    <t>Ujina</t>
  </si>
  <si>
    <t>Fuzake</t>
  </si>
  <si>
    <t>Chouette</t>
  </si>
  <si>
    <t>Yoshun</t>
  </si>
  <si>
    <t>Serpent</t>
  </si>
  <si>
    <t>Morito</t>
  </si>
  <si>
    <t>Suzume</t>
  </si>
  <si>
    <t>Tigre</t>
  </si>
  <si>
    <t>Yotsu</t>
  </si>
  <si>
    <t>Kasuga</t>
  </si>
  <si>
    <t>Impérial</t>
  </si>
  <si>
    <t>Changeforme</t>
  </si>
  <si>
    <t>Mineur</t>
  </si>
  <si>
    <t>Majeur</t>
  </si>
  <si>
    <t>Chauve-Souris</t>
  </si>
  <si>
    <t>Bushi Hantei</t>
  </si>
  <si>
    <t>Bushi Heichi</t>
  </si>
  <si>
    <t>Bushi Ichiro</t>
  </si>
  <si>
    <t>Bushi Morito</t>
  </si>
  <si>
    <t>Bushi Suzume</t>
  </si>
  <si>
    <t>Bushi Toku</t>
  </si>
  <si>
    <t>Bushi Toritaka</t>
  </si>
  <si>
    <t>Bushi Usagi</t>
  </si>
  <si>
    <t>Bushi Yotsu</t>
  </si>
  <si>
    <t>Contrebandier Kasuga</t>
  </si>
  <si>
    <t>Diplomate Otomo</t>
  </si>
  <si>
    <t>Forgeron Tsi</t>
  </si>
  <si>
    <t>Shugenja Fuzake</t>
  </si>
  <si>
    <t>Shugenja Kitsune</t>
  </si>
  <si>
    <t>Shugenja Komori</t>
  </si>
  <si>
    <t>Shugenja Tonbo</t>
  </si>
  <si>
    <t>Maître des glyphes Yogo</t>
  </si>
  <si>
    <t>Fierté du Lion</t>
  </si>
  <si>
    <t>Maître tacticien Akodo</t>
  </si>
  <si>
    <t>Maître Sensei Mirumoto</t>
  </si>
  <si>
    <t>Maître de la Montagne Tamori</t>
  </si>
  <si>
    <t>Capitaine de Kobune</t>
  </si>
  <si>
    <t>Garde Elementaire</t>
  </si>
  <si>
    <t>Instigateur Scorpion</t>
  </si>
  <si>
    <t>Saboteur Scorpion</t>
  </si>
  <si>
    <t>Guerrier d'Obsidienne</t>
  </si>
  <si>
    <t>Les Sombres Parangons</t>
  </si>
  <si>
    <t>Légion des Deux Milles</t>
  </si>
  <si>
    <t>Défenseur des Clans Mineurs</t>
  </si>
  <si>
    <t>Assassin du Kolat</t>
  </si>
  <si>
    <t>Legion de Tsudao</t>
  </si>
  <si>
    <t>Aspic</t>
  </si>
  <si>
    <t>Caméléon</t>
  </si>
  <si>
    <t>Constricteur</t>
  </si>
  <si>
    <t>Couleuvre</t>
  </si>
  <si>
    <t>Fourrures Bleues</t>
  </si>
  <si>
    <t>Tibia Cassé</t>
  </si>
  <si>
    <t>Dent Cassée</t>
  </si>
  <si>
    <t>Os Rongé</t>
  </si>
  <si>
    <t>Queue Tordue</t>
  </si>
  <si>
    <t>Patte Ferme</t>
  </si>
  <si>
    <t>Vert-Vert-Blanc</t>
  </si>
  <si>
    <t>Oeuil-qui-couine</t>
  </si>
  <si>
    <t>Patte Souilée</t>
  </si>
  <si>
    <t>Oreille Déchirée</t>
  </si>
  <si>
    <t>Troisième Poil</t>
  </si>
  <si>
    <t>Chat (Bakenoko)</t>
  </si>
  <si>
    <t>Chien (Inu)</t>
  </si>
  <si>
    <t>Phénix (Fushicho)</t>
  </si>
  <si>
    <t>Renard (Kitsune)</t>
  </si>
  <si>
    <t>Dragon (Ryu)</t>
  </si>
  <si>
    <t>Singe (Saru)</t>
  </si>
  <si>
    <t>Blaireau (Tanuki)</t>
  </si>
  <si>
    <t>Grue (Tsuru)</t>
  </si>
  <si>
    <t>Lièvre (Usagi)</t>
  </si>
  <si>
    <t>Cavaliers Sans Lune</t>
  </si>
  <si>
    <t>Fraternité du Gantetet de Fer</t>
  </si>
  <si>
    <t>Lames Silencieuses</t>
  </si>
  <si>
    <t>Cavaliers de la Neige</t>
  </si>
  <si>
    <t>Sabre Caché</t>
  </si>
  <si>
    <t>Acier Obscurci</t>
  </si>
  <si>
    <t>Rang</t>
  </si>
  <si>
    <t>Statistique</t>
  </si>
  <si>
    <t>Ennemis de l'Empire</t>
  </si>
  <si>
    <t>Artisan Kitsune</t>
  </si>
  <si>
    <t>Rôdeur Kitsune</t>
  </si>
  <si>
    <t>Gardien du Soleil Moshi</t>
  </si>
  <si>
    <t>Soldat de l'Alliance des Trois Hommes</t>
  </si>
  <si>
    <t>Exorciste Toritaka</t>
  </si>
  <si>
    <t>Garde de la Tortue</t>
  </si>
  <si>
    <t>Tueur de la Tortue</t>
  </si>
  <si>
    <t>Maître Archer Tsuruchi</t>
  </si>
  <si>
    <t>Epéiste Tsuruchi</t>
  </si>
  <si>
    <t>Vigilant du Clan du Bœuf</t>
  </si>
  <si>
    <t>Defenseur du Crabe</t>
  </si>
  <si>
    <t>Combattant au couteau du Crabe</t>
  </si>
  <si>
    <t>Sniper Hiruma</t>
  </si>
  <si>
    <t>Yojimbo Hiruma</t>
  </si>
  <si>
    <t>Charpentier de Navire Kaiu</t>
  </si>
  <si>
    <t>Maître de Siège Kaiu</t>
  </si>
  <si>
    <t>Maître du Cristal Kuni</t>
  </si>
  <si>
    <t>La Main Tranchée</t>
  </si>
  <si>
    <t>Archer Asahina</t>
  </si>
  <si>
    <t>Artisan Asahina</t>
  </si>
  <si>
    <t>Fétishiste Asahina</t>
  </si>
  <si>
    <t>Scuplteur de Feu Asahina</t>
  </si>
  <si>
    <t>Lancier d'Elite de la Grue</t>
  </si>
  <si>
    <t>Soldat Lourd Daidoji</t>
  </si>
  <si>
    <t xml:space="preserve">Innocent Doji </t>
  </si>
  <si>
    <t xml:space="preserve">Matelot Doji </t>
  </si>
  <si>
    <t>Guerrier-Poète Doji</t>
  </si>
  <si>
    <t>Garde de l'Impératrice</t>
  </si>
  <si>
    <t>Superviseur du Dragon</t>
  </si>
  <si>
    <t>Héritage de Hojatsu</t>
  </si>
  <si>
    <t>Justicar Kitsuki</t>
  </si>
  <si>
    <t>Montagnard Mirumoto</t>
  </si>
  <si>
    <t>Sentinelle Mirumoto</t>
  </si>
  <si>
    <t>Fabricant d'armes Tamori</t>
  </si>
  <si>
    <t>Confrérie Transcendente</t>
  </si>
  <si>
    <t>Forgeron du Marteau d'Eau</t>
  </si>
  <si>
    <t>Kensai Akodo</t>
  </si>
  <si>
    <t>Strategiste de Siège Akodo</t>
  </si>
  <si>
    <t>Elu de Bishamon</t>
  </si>
  <si>
    <t>Quêteur de Mort</t>
  </si>
  <si>
    <t>Legionnaire De Bellis</t>
  </si>
  <si>
    <t>Historien Ikoma</t>
  </si>
  <si>
    <t>Gardien Ikoma</t>
  </si>
  <si>
    <t>Légion de L'Esprit Kitsu</t>
  </si>
  <si>
    <t>Légion de la Lionne</t>
  </si>
  <si>
    <t>Acolytes du Tonnerre</t>
  </si>
  <si>
    <t>Enfants de Chikushudo</t>
  </si>
  <si>
    <t>Invocateur Kitsune</t>
  </si>
  <si>
    <t>Navigateur de la Mante</t>
  </si>
  <si>
    <t>Soeur de la Lumière Sacrée</t>
  </si>
  <si>
    <t>College de la Clarté</t>
  </si>
  <si>
    <t>Emissaire Yoritomo</t>
  </si>
  <si>
    <t>Alchimiste Agasha</t>
  </si>
  <si>
    <t>Philosophe Asako</t>
  </si>
  <si>
    <t>Erudit Asako</t>
  </si>
  <si>
    <t>Garde Infernale</t>
  </si>
  <si>
    <t>Archéologiste Isawa</t>
  </si>
  <si>
    <t>Kuroiban</t>
  </si>
  <si>
    <t>Lames de Saigo</t>
  </si>
  <si>
    <t>Maître d'armes du Scorpion</t>
  </si>
  <si>
    <t>Loyaliste du Scorpion</t>
  </si>
  <si>
    <t>Lame des Ombres</t>
  </si>
  <si>
    <t>Fils de l'Ombre</t>
  </si>
  <si>
    <t>Assassin Shosuro</t>
  </si>
  <si>
    <t xml:space="preserve">Conquérant Colonial </t>
  </si>
  <si>
    <t>Eclaireur Daigotsu</t>
  </si>
  <si>
    <t>Sohei de la Voie Sombre</t>
  </si>
  <si>
    <t>Sombre Murmure</t>
  </si>
  <si>
    <t>Magistrat d'Obsidienne</t>
  </si>
  <si>
    <t>Dueliste du Cœur Calme</t>
  </si>
  <si>
    <t>Main de la Paix</t>
  </si>
  <si>
    <t>Maître de Caravane Ide</t>
  </si>
  <si>
    <t>Négociant Ide</t>
  </si>
  <si>
    <t>Voyageur Iuchi</t>
  </si>
  <si>
    <t>Fanatique Moto</t>
  </si>
  <si>
    <t>Eclaireur Shinjo</t>
  </si>
  <si>
    <t>Archer Yomanri</t>
  </si>
  <si>
    <t xml:space="preserve">Diplomate de l'Alliance </t>
  </si>
  <si>
    <t>Conseiller de la Libellule</t>
  </si>
  <si>
    <t>Gardien du Passage Ichiro</t>
  </si>
  <si>
    <t>Champion d'Amethyste</t>
  </si>
  <si>
    <t>Conspirateur du Chrysanthème</t>
  </si>
  <si>
    <t>Champion d'Emeraude</t>
  </si>
  <si>
    <t>Magistrat d'Emeraude</t>
  </si>
  <si>
    <t>Explorateur Impérial</t>
  </si>
  <si>
    <t>Legionnaire Impérial</t>
  </si>
  <si>
    <t xml:space="preserve">Champion de Jade </t>
  </si>
  <si>
    <t>Legionnaire de Jade</t>
  </si>
  <si>
    <t>Magistrat de Jade</t>
  </si>
  <si>
    <t>Bureaucrate Otomo</t>
  </si>
  <si>
    <t>Champion de Rubis</t>
  </si>
  <si>
    <t>Héritage de Satoshi</t>
  </si>
  <si>
    <t>Homme de la Garde de la Seconde Cité</t>
  </si>
  <si>
    <t>Champion de Topaze</t>
  </si>
  <si>
    <t>Agent d'Hantei/Espion de la Confrérie</t>
  </si>
  <si>
    <t>Defenseur de la Confrérie</t>
  </si>
  <si>
    <t>Combattant Kaze-Do</t>
  </si>
  <si>
    <t>Chanson Pure</t>
  </si>
  <si>
    <t>Les Silencieux</t>
  </si>
  <si>
    <t>Etudiant d'Hitsu-Do</t>
  </si>
  <si>
    <t>Garde Provincial</t>
  </si>
  <si>
    <t>Gardien du Temple Isawa</t>
  </si>
  <si>
    <t>Tensai Isawa</t>
  </si>
  <si>
    <t>Sans Nom</t>
  </si>
  <si>
    <t>Ordre de Chikai</t>
  </si>
  <si>
    <t>Armurier Shiba</t>
  </si>
  <si>
    <t>Yojimbo Shiba</t>
  </si>
  <si>
    <t>Agent du Second Gozoku</t>
  </si>
  <si>
    <t>Agent du Premier Gozoku</t>
  </si>
  <si>
    <t>Maître des Jeux</t>
  </si>
  <si>
    <t>Chasseur de Serpent</t>
  </si>
  <si>
    <t>Technique de l'Adepte du Sang</t>
  </si>
  <si>
    <t>Terre</t>
  </si>
  <si>
    <t>Eau</t>
  </si>
  <si>
    <t>Feu</t>
  </si>
  <si>
    <t>Tous</t>
  </si>
  <si>
    <t>Védique Naga</t>
  </si>
  <si>
    <t>Grapilleur Nezumi</t>
  </si>
  <si>
    <t>Chamane Nezumi</t>
  </si>
  <si>
    <t>Anamnète Nezumi</t>
  </si>
  <si>
    <t>Berserker</t>
  </si>
  <si>
    <t>Déchireur d'Âme Tsuno</t>
  </si>
  <si>
    <t>Busard Daidoji</t>
  </si>
  <si>
    <t>Mâitre des Duels</t>
  </si>
  <si>
    <t>Garde Blanc</t>
  </si>
  <si>
    <t>Tueur d'Oni</t>
  </si>
  <si>
    <t>Sculpteur Yoritomo</t>
  </si>
  <si>
    <t>Scélérat Yoritomo</t>
  </si>
  <si>
    <t>Bretteur des Mensonges Amers</t>
  </si>
  <si>
    <t>Chasseur de l'Ombre</t>
  </si>
  <si>
    <t>Necromancien Chuda</t>
  </si>
  <si>
    <t>Agitateur Chuda</t>
  </si>
  <si>
    <t>Adepte du Sang</t>
  </si>
  <si>
    <t>Guardien du Temple Caché</t>
  </si>
  <si>
    <t>Maître du Kolat</t>
  </si>
  <si>
    <t>Disciples du Dashmar</t>
  </si>
  <si>
    <t>Façonneur de Perles</t>
  </si>
  <si>
    <t>Maître Archer</t>
  </si>
  <si>
    <t>Archer Taoiste</t>
  </si>
  <si>
    <t>Légion des Brumes</t>
  </si>
  <si>
    <t>Illusioniste Shiba</t>
  </si>
  <si>
    <t>Frères aux Pieds Nus</t>
  </si>
  <si>
    <t>Conteur Suzume</t>
  </si>
  <si>
    <t>Chercheur de la Fin des Temps</t>
  </si>
  <si>
    <t xml:space="preserve">Bouffon Kakita </t>
  </si>
  <si>
    <t>Dupeur Soshi</t>
  </si>
  <si>
    <t>Lutteur Bariqu de la Licorne</t>
  </si>
  <si>
    <t>Destructeur Shosuro</t>
  </si>
  <si>
    <t>Conseiller Commercial Daidoji</t>
  </si>
  <si>
    <t>Frappeur du Faucon</t>
  </si>
  <si>
    <t>Lutteur Sumai du Crabe</t>
  </si>
  <si>
    <t>Tueur Hiruma</t>
  </si>
  <si>
    <t>Messager Iuchi</t>
  </si>
  <si>
    <t>Extorqueur Yasuki</t>
  </si>
  <si>
    <t>Tirailleur Ujina</t>
  </si>
  <si>
    <t>Guerrier-Prêtre Tamori</t>
  </si>
  <si>
    <t>Fauconnier Aerie</t>
  </si>
  <si>
    <t>Gardien des Fortifications Yasuki</t>
  </si>
  <si>
    <t>Vent d'Est</t>
  </si>
  <si>
    <t>4 ou 5</t>
  </si>
  <si>
    <t>3 ou 4</t>
  </si>
  <si>
    <t>2 ou 4</t>
  </si>
  <si>
    <t>Spécial</t>
  </si>
  <si>
    <t>Physique</t>
  </si>
  <si>
    <t>Spirituel</t>
  </si>
  <si>
    <t>Physique/Spirituel</t>
  </si>
  <si>
    <t>Matériel</t>
  </si>
  <si>
    <t>Alliance Impériale</t>
  </si>
  <si>
    <t>Sacrosaint</t>
  </si>
  <si>
    <t>Ami de la Confrérie</t>
  </si>
  <si>
    <t>Ajoute +1g1 à un Anneau</t>
  </si>
  <si>
    <t>Ajoute +1g0 à tout Test de Tentation vs sexe opposé</t>
  </si>
  <si>
    <t>Ajoute +1g0 à tout vos jets de dégâts à mains nues</t>
  </si>
  <si>
    <t>+0.5 Rang de Statut, +1g1 pour tout test Social impliquant la famille impériale</t>
  </si>
  <si>
    <t>Ajoute +1g0 à tous vos jets de dégâts réalisés avec de grandes armes ou armes lourdes</t>
  </si>
  <si>
    <t>Ajoute +1g1 à votre Trait d'Intelligence pour vous rapeller d'un détail précis</t>
  </si>
  <si>
    <t>+1g0 tous vos Tests Sociaux contre les Shugenja et Artisans</t>
  </si>
  <si>
    <t>+1g0 à tous les tests de Navigation et Commerce</t>
  </si>
  <si>
    <t>+1g0 à tous vos Tests Sociaux contre le Clan de la Grue</t>
  </si>
  <si>
    <t>+1g0 à tous vos Tests de Dissimulation (Ambuscade)</t>
  </si>
  <si>
    <t>+1g0 à tous les tests de Commerce + 50% d'argent de départ</t>
  </si>
  <si>
    <t>Ajoute +1g0 à tous vos jets de Sociabilté avec un autre Naga 2X/jour</t>
  </si>
  <si>
    <t>Ajoute +1g1 pour créer des bâtons de mémoire</t>
  </si>
  <si>
    <t>Ajoute +1g1 à vos tests pour lancer un sort en particulier</t>
  </si>
  <si>
    <t>Ajoute +1g1 à tous vos jets de Sociabilité avec un Nezumi du sexe opposé</t>
  </si>
  <si>
    <t>Ajoute +1g1 à vos jets de dégâts de morsure et augmente vos capacités de grignotage</t>
  </si>
  <si>
    <t>Ecoles Multiples</t>
  </si>
  <si>
    <t>Ami des Elements</t>
  </si>
  <si>
    <t>Beauté du Diable</t>
  </si>
  <si>
    <t>Bénédiction d'Inari</t>
  </si>
  <si>
    <t>Calme</t>
  </si>
  <si>
    <t>Choisi par les Oracles</t>
  </si>
  <si>
    <t>Clairvoyant</t>
  </si>
  <si>
    <t>Dessein Supérieur</t>
  </si>
  <si>
    <t>Dextérité du Crabe</t>
  </si>
  <si>
    <t>Ecole Differente</t>
  </si>
  <si>
    <t>Excellente Mémoire</t>
  </si>
  <si>
    <t>Faveur Elémentaire</t>
  </si>
  <si>
    <t>Favori de la Cour</t>
  </si>
  <si>
    <t>Force de la Terre</t>
  </si>
  <si>
    <t>Grand</t>
  </si>
  <si>
    <t>Ame d'Artiste</t>
  </si>
  <si>
    <t>Grande Destinée</t>
  </si>
  <si>
    <t>Haine au cœur</t>
  </si>
  <si>
    <t>Héritage</t>
  </si>
  <si>
    <t>Héros Populaire</t>
  </si>
  <si>
    <t>Illumination</t>
  </si>
  <si>
    <t>Ingénieux</t>
  </si>
  <si>
    <t>Intègre</t>
  </si>
  <si>
    <t>Jeune Prodige</t>
  </si>
  <si>
    <t>Tous les Sorts néfastes d'un élément que vous subissez gagnent un augmentation gratuit</t>
  </si>
  <si>
    <t>Anachronique</t>
  </si>
  <si>
    <t>Kami Amical</t>
  </si>
  <si>
    <t>Leader né</t>
  </si>
  <si>
    <t>Lire sur les lèvres</t>
  </si>
  <si>
    <t>Sens de l'orientation</t>
  </si>
  <si>
    <t>Silencieux</t>
  </si>
  <si>
    <t>Tacticien</t>
  </si>
  <si>
    <t>Vedette</t>
  </si>
  <si>
    <t>Virtuose</t>
  </si>
  <si>
    <t>Risque-Tout</t>
  </si>
  <si>
    <t>Quelconque</t>
  </si>
  <si>
    <t>Rétablissement Rapide</t>
  </si>
  <si>
    <t>Voix Mélodieuse</t>
  </si>
  <si>
    <t>Vertueux</t>
  </si>
  <si>
    <t>Poings de Pierre</t>
  </si>
  <si>
    <t>Rapide</t>
  </si>
  <si>
    <t>Sang d'Osano-Wo</t>
  </si>
  <si>
    <t>Héritage: Faucon Dréssé</t>
  </si>
  <si>
    <t>Cœur Assombri</t>
  </si>
  <si>
    <t>Réseau d'espions</t>
  </si>
  <si>
    <t>Scribe Impérial</t>
  </si>
  <si>
    <t>Ancêtre Naga</t>
  </si>
  <si>
    <t>Fausse Identité</t>
  </si>
  <si>
    <t>Grand Voyageur</t>
  </si>
  <si>
    <t>Daisho; +5 au ND de tout désarmement contre vous</t>
  </si>
  <si>
    <t>Katana 4g2: peut relancer les dommages une fois par duel Iaijutstu</t>
  </si>
  <si>
    <t>Katana 4g2; +1 Rang d'honneur quand le personnage la ceint</t>
  </si>
  <si>
    <t>Kama 2g2; +1g0 aux jets d'attaque lorsque le personnage porte les deux</t>
  </si>
  <si>
    <t>Wakizashi 3g2; considéré comme de Jade contre les créatures souilées</t>
  </si>
  <si>
    <t>Bénédiction des Sept Fortunes: Benten</t>
  </si>
  <si>
    <t>Bénédiction des Sept Fortunes: Bishamon</t>
  </si>
  <si>
    <t>Bénédiction des Sept Fortunes: Daikoku</t>
  </si>
  <si>
    <t>Bénédiction des Sept Fortunes: Ebisu</t>
  </si>
  <si>
    <t>Bénédiction des Sept Fortunes: Fukurokujin</t>
  </si>
  <si>
    <t>Bénédiction des Sept Fortunes: Hotei</t>
  </si>
  <si>
    <t>Bénédiction des Sept Fortunes: Jurojin</t>
  </si>
  <si>
    <t>+0g1 au Jet de Compétence Sociale quand vous tentez de convaincre</t>
  </si>
  <si>
    <t>+0g1 aux jets de Force. +1 Augmentation gratuite en attaque si vous réussisez un jet d'attaque avec 3 augmentations</t>
  </si>
  <si>
    <t>+1g1 à tous les Jets de Commerce</t>
  </si>
  <si>
    <t>+1g1 à tous les Tests Sociaux contre des rokuganis n'étant pas Samourai</t>
  </si>
  <si>
    <t>+1g1 à un Test de Compétence Connaissance</t>
  </si>
  <si>
    <t>Tout effet vous faisat perdre du Vide doit réussir un Test d'opposition contre votre Vide pour réussir</t>
  </si>
  <si>
    <t>+2g0 pour résister aux maladies et poisons</t>
  </si>
  <si>
    <t>Caresse des Royaumes Spirituels: Chikushudo</t>
  </si>
  <si>
    <t>+1g1 à tous les jets d'Elevage</t>
  </si>
  <si>
    <t>Caresse des Royaumes Spirituels: Gaki-do</t>
  </si>
  <si>
    <t>Lorsque vous tuez un adversaire, vous récupérez aussi tôt 5 blessures</t>
  </si>
  <si>
    <t>Caresse des Royaumes Spirituels: Jigoku</t>
  </si>
  <si>
    <t>Ajoutez votre rang de Souillure à tout jet d'attaque, de compétence ou Trait Physique.</t>
  </si>
  <si>
    <t>Caresse des Royaumes Spirituels: Maigo no Musha</t>
  </si>
  <si>
    <t>Quand vous recevez en une fois 3 points de Gloire ou plus, vous en recevez 1 supplémentaire.</t>
  </si>
  <si>
    <t>Caresse des Royaumes Spirituels: Meido</t>
  </si>
  <si>
    <t>+2g0 aux jets d'opposition contre les tentatives pour vous manipuler en milieu mondain</t>
  </si>
  <si>
    <t>Caresse des Royaumes Spirituels: Sakkaku</t>
  </si>
  <si>
    <t>+1g1 aux jest de Sincérité (Tromperie)</t>
  </si>
  <si>
    <t>Caresse des Royaumes Spirituels: Tengoku</t>
  </si>
  <si>
    <t>+2g0 aux jest de Terre visant à Résister à la Souillure</t>
  </si>
  <si>
    <t>Caresse des Royaumes Spirituels: Toshigoku</t>
  </si>
  <si>
    <t>Lorsque vous effectuer un mouvement pour vous trouver à porter d'attaque, vous pouvez bouger d'1m50 en plus</t>
  </si>
  <si>
    <t>Caresse des Royaumes Spirituels: Yomi</t>
  </si>
  <si>
    <t>+1g0 à une de vos Compétence d'école</t>
  </si>
  <si>
    <t>Caresse des Royaumes Spirituels: Yume-do</t>
  </si>
  <si>
    <t>Don Inné: Contact Spirituel</t>
  </si>
  <si>
    <t>Don Inné: Empathie</t>
  </si>
  <si>
    <t>Don Inné: Lucidité</t>
  </si>
  <si>
    <t>Don Inné: Prophécie Mineure</t>
  </si>
  <si>
    <t>Don Inné: Sens animal</t>
  </si>
  <si>
    <t>Vous pouvez faire un Test d'Intition ND 15 pour voir la dernière personne ayant touché un objet</t>
  </si>
  <si>
    <t>+1g1 aux Tests de Courtisan visant à déterminer les sentiments/désirs</t>
  </si>
  <si>
    <t>+1g0 aux Tests d'Initiative</t>
  </si>
  <si>
    <t>Vous faites parfois des songes nébuleux sur l'avenir</t>
  </si>
  <si>
    <t>Gouverneur: Village</t>
  </si>
  <si>
    <t>Gouverneur: Grand Village</t>
  </si>
  <si>
    <t>Gouverneur: Domaine (brasserie,…)</t>
  </si>
  <si>
    <t>Gouverneur: Bourg</t>
  </si>
  <si>
    <t>Gouverneur: Ville</t>
  </si>
  <si>
    <t>Gouverneur: Province</t>
  </si>
  <si>
    <t>Permet de posséder un village en vassalité d'un daimyo</t>
  </si>
  <si>
    <t>Permet de posséder un grand village en vassalité d'un daimyo</t>
  </si>
  <si>
    <t>Permet de posséder une domaine particulier en vassalité d'un daimyo</t>
  </si>
  <si>
    <t>Permet de posséder un bourg en vassalité d'un daimyo</t>
  </si>
  <si>
    <t>Permet de posséder une ville en vassalité d'un daimyo</t>
  </si>
  <si>
    <t>Permet de posséder une province en vassalité d'un daimyo</t>
  </si>
  <si>
    <t>Votre famille vous a légué un objet conférant un bonus de +1g1 quand il est utilisé pour une compétence</t>
  </si>
  <si>
    <t>Parangon: Compassion</t>
  </si>
  <si>
    <t>Parangon: Courage</t>
  </si>
  <si>
    <t>Parangon: Courtoisie</t>
  </si>
  <si>
    <t>Parangon: Devoir</t>
  </si>
  <si>
    <t>Parangon: Honnêteté</t>
  </si>
  <si>
    <t>Parangon: Honneur</t>
  </si>
  <si>
    <t>Parangon: Sincérité</t>
  </si>
  <si>
    <t>Chaque fois que vous dépensez un point de Vide pour une personne moins nantie que vous vous gagnez +2g2 au lieu de +1g1</t>
  </si>
  <si>
    <t>+1g1 pour réister à la Peur ou à l'Intimidation</t>
  </si>
  <si>
    <t>+2g0 à Tout jet d'Etiquette pour éviter un manquement à l'honneur ou un embarras</t>
  </si>
  <si>
    <t>Vous pouvez dépenser un point de Vide pour annuler tout ND d'un jet de Compétence ou Incantation</t>
  </si>
  <si>
    <t>+1g1 à tout Test de Sincérité (Honnêteté) même sans spécialisation</t>
  </si>
  <si>
    <t>+2g0 à tous les Jets d'opposition recourant à Sincérité</t>
  </si>
  <si>
    <t>Savoir Interdit: Gozuku</t>
  </si>
  <si>
    <t>Savoir Interdit: Kolat</t>
  </si>
  <si>
    <t>Savoir Interdit: Maho</t>
  </si>
  <si>
    <t>Savoir Interdit: Ombre Rampante</t>
  </si>
  <si>
    <t>Savoir Interdit: Poivre Gaijin</t>
  </si>
  <si>
    <t>+1 Rang en Connaissances: Gozuku et +1g1 aux Compétences Sociales avec des membres connus</t>
  </si>
  <si>
    <t>+1 Rang en Connaissances: Kolat et +1g1 aux Compétences Sociales avec des membres connus</t>
  </si>
  <si>
    <t>+1 Rang en Connaissances: Maho et vous connaissez un sort de Maho</t>
  </si>
  <si>
    <t>+1 Rang en Artisanat: Explosifs et vous disposez d'une petite bourse de poudre noire</t>
  </si>
  <si>
    <t>Serviteur: Artisan</t>
  </si>
  <si>
    <t>Serviteur: Artiste</t>
  </si>
  <si>
    <t>Serviteur: Budoka</t>
  </si>
  <si>
    <t>Serviteur: Domestique</t>
  </si>
  <si>
    <t>Serviteur: Domestique eta</t>
  </si>
  <si>
    <t>Serviteur: Palefrenier</t>
  </si>
  <si>
    <t>Serviteur: Marchand</t>
  </si>
  <si>
    <t>Serviteur: Scribe</t>
  </si>
  <si>
    <t>Serviteur: Sohei</t>
  </si>
  <si>
    <t>+1 rang dans la Compétence d'Artisanat de votre choix, coût de fabrication moindres</t>
  </si>
  <si>
    <t>Sous-Type</t>
  </si>
  <si>
    <t>Amphibien</t>
  </si>
  <si>
    <t>Hiérophante</t>
  </si>
  <si>
    <t>Pourfendeur de l'Immonde</t>
  </si>
  <si>
    <t>Queue Préhensile</t>
  </si>
  <si>
    <t>Conscience Historique: Aspic</t>
  </si>
  <si>
    <t>Conscience Historique: Caméléon</t>
  </si>
  <si>
    <t>Conscience Historique: Cobra</t>
  </si>
  <si>
    <t>Conscience Historique: Constricteur</t>
  </si>
  <si>
    <t>Conscience Historique: Couleuvre</t>
  </si>
  <si>
    <t>4 (Guerrier)</t>
  </si>
  <si>
    <t>2 (Eclaireur)</t>
  </si>
  <si>
    <t>4 (Jakia)</t>
  </si>
  <si>
    <t>3 (Védique)</t>
  </si>
  <si>
    <t>4 (Eclaireur)</t>
  </si>
  <si>
    <t>+1g0 à un Test de Perception une fois par jour</t>
  </si>
  <si>
    <t>+1g0 à n'importe quel test une fois par jour</t>
  </si>
  <si>
    <t>+1g0 à un Test d'Intuition une fois par jour</t>
  </si>
  <si>
    <t>+1g0 à un jet d'attaque au corps à corps en escarmouche</t>
  </si>
  <si>
    <t>+1g0 à un jet d'attaque à distance en escarmouche</t>
  </si>
  <si>
    <t>Queue Habile</t>
  </si>
  <si>
    <t>Enfant chéri du Chef</t>
  </si>
  <si>
    <t>Sans Peur</t>
  </si>
  <si>
    <t>Mémoire Infallible</t>
  </si>
  <si>
    <t>Alliés Humains</t>
  </si>
  <si>
    <t>Maître des Noms</t>
  </si>
  <si>
    <t>Yeux qui Brillent-brillent</t>
  </si>
  <si>
    <t>Dents de Pierre</t>
  </si>
  <si>
    <t>Etudiant des Tribus</t>
  </si>
  <si>
    <t>Ascéte</t>
  </si>
  <si>
    <t>Mauvaise Vue</t>
  </si>
  <si>
    <t>Vos pénatiltés de ND découlant de vos blessures sont réduites de 3.</t>
  </si>
  <si>
    <t>+3 à votre ND pour résister vs sorts élémentaires. Inefficace vs maho, gaijin et non-humain</t>
  </si>
  <si>
    <t>Augmente le ND de vos Tests Sociaux, d'Artisanat et Fabrication de 5</t>
  </si>
  <si>
    <t>Vous ne croyez pas: Le ND de vos tests Sociaux +5 contre les moines et shugenjas</t>
  </si>
  <si>
    <t>Test de Volonté de ND 20 pour tuer, malus ensuite si vous le faites</t>
  </si>
  <si>
    <t>Test de Volonté de ND 25 ou attaquer sans réfléchir si insulté ou en danger</t>
  </si>
  <si>
    <t>Test de Perception de ND 20 pour voir le danger</t>
  </si>
  <si>
    <t>Jambes est déficiente. -1 à votre anneau de l'Eau pour Mouvement +10 ND aux Test d'Agilité</t>
  </si>
  <si>
    <t>Les ND de pénalité dus à vos rangs de blessures augmentent de +5 par rang</t>
  </si>
  <si>
    <t>Le ND de tout test impliquant ce membre manquant de votre corps est augmenté de +10</t>
  </si>
  <si>
    <t>Apparence troublante: Le ND de vos tests Sociaux est augmenté de 5</t>
  </si>
  <si>
    <t>Vous souffrez d'épilepsie et devez réussir un test de Volonté de ND 15 pour éviter une crise</t>
  </si>
  <si>
    <t>Point de Vide = bonus de +2k1 mais réussir un Test de Volonté de ND 30 ou être étourdi</t>
  </si>
  <si>
    <t>Vous êtes totalement dépendent du jeu: Test de Volonté ND 20 pour y résister.</t>
  </si>
  <si>
    <t>Tout adversaire qui use de Sincérité (Tromperie) contre vous a un bonus de +1g1</t>
  </si>
  <si>
    <t>-1 à votre anneau de l'Eau pour déterminer votre Mouvement, -1g0 à tous vos Tests de Dégâts</t>
  </si>
  <si>
    <t>Devez prendre une augmentation pour l'utiliser une de vos aptitudes d'école sans en tirer aucun bénéfice</t>
  </si>
  <si>
    <t>-1g1 à tous les Tests de Perception et à toutes les attaques à distance</t>
  </si>
  <si>
    <t>Tout adversaire qui use de Tentation (Séduction) contre vous a un bonus de +1g1</t>
  </si>
  <si>
    <t>Une fois par session un de vos Tests souffre d'un malus de -1g1</t>
  </si>
  <si>
    <t>-1g0 à tous les tests Sociaux vs. Clan du Phoenix</t>
  </si>
  <si>
    <t>-1g0 à tous vos Tests d'Armes qui ne sont pas aussi des Tests d'Ecole</t>
  </si>
  <si>
    <t>-1g0 à tous les tests Sociaux autres que le Clan du Dragon</t>
  </si>
  <si>
    <t>-1g0 à tous vos Tests de Volonté et Tests Sociaux</t>
  </si>
  <si>
    <t>-1g1 à tous vos Tests Sociaux contre les Nezumis</t>
  </si>
  <si>
    <t>-1g0 à tous vos Tests Sociaux vs Nezumis, réduction du bonus naturels de saut et course à +1g0</t>
  </si>
  <si>
    <t>-1g0 à tous vos Tests Sociaux vs Nezumis, ne peut pas utiliser de bâton de mémoire</t>
  </si>
  <si>
    <t>Agent Dormant</t>
  </si>
  <si>
    <t>Amour Sincère</t>
  </si>
  <si>
    <t>Amputé</t>
  </si>
  <si>
    <t>Aspect Dérangeant</t>
  </si>
  <si>
    <t>Aveugle</t>
  </si>
  <si>
    <t>Blesssure Permanente</t>
  </si>
  <si>
    <t>Epilepsie</t>
  </si>
  <si>
    <t>Brebis Galeuse</t>
  </si>
  <si>
    <t>Cancanier</t>
  </si>
  <si>
    <t>Caresse du Vide</t>
  </si>
  <si>
    <t>Chagrin d'Amour</t>
  </si>
  <si>
    <t>Cœur Tendre</t>
  </si>
  <si>
    <t>Contrariant</t>
  </si>
  <si>
    <t>Courroux des Kami</t>
  </si>
  <si>
    <t>Crédule</t>
  </si>
  <si>
    <t>Cupide</t>
  </si>
  <si>
    <t>Désavantage Social</t>
  </si>
  <si>
    <t>Otage</t>
  </si>
  <si>
    <t>Gouverneur, Lien Karmique, Statut Social, Riche à -1XP</t>
  </si>
  <si>
    <t>Ajoute +1g0 pour résister à la Tentation</t>
  </si>
  <si>
    <t>Toujours 1 rang quelle que soit le test en Artisanat</t>
  </si>
  <si>
    <t>Gagne une augmentation gratuite à chaque Test de Trait d'un élément particulier</t>
  </si>
  <si>
    <t>Wakizashi 3g2; considéré comme de Cristal contre les créatures souilées</t>
  </si>
  <si>
    <t>Déshonoré</t>
  </si>
  <si>
    <t>Douillet</t>
  </si>
  <si>
    <t>Ennemi Juré</t>
  </si>
  <si>
    <t>Estropié</t>
  </si>
  <si>
    <t>Faible</t>
  </si>
  <si>
    <t>Faiblesse de Caractère</t>
  </si>
  <si>
    <t>Jaloux</t>
  </si>
  <si>
    <t>Fragile</t>
  </si>
  <si>
    <t>Petit</t>
  </si>
  <si>
    <t>Honni: un Temple</t>
  </si>
  <si>
    <t xml:space="preserve">Votre Gloire est considérée comme de l'Infamie pour un temple qui vous perçoit très mal. </t>
  </si>
  <si>
    <t>Honni: un ordre monastique</t>
  </si>
  <si>
    <t xml:space="preserve">Votre Gloire est considérée comme de l'Infamie pour un ordre monastique qui vous perçoit très mal. </t>
  </si>
  <si>
    <t>Idéaliste</t>
  </si>
  <si>
    <t>Incroyant</t>
  </si>
  <si>
    <t>Indifférent</t>
  </si>
  <si>
    <t>Infame</t>
  </si>
  <si>
    <t>Votre rang de Gloire est remplacé par votre rang d'Infamie</t>
  </si>
  <si>
    <t>Joli Cœur</t>
  </si>
  <si>
    <t>Harcèlement</t>
  </si>
  <si>
    <t>Impétueux</t>
  </si>
  <si>
    <t>A chaque pleine lune: +1 Vide durant la nuit seulement. Réussir un Test de Volonté ND 15 ou perdre le contrôle.</t>
  </si>
  <si>
    <t>A chaque pleine lune: +1 Vide durant la nuit seulement. Réussir un Test de Volonté ND 20 ou perdre le contrôle.</t>
  </si>
  <si>
    <t>A chaque pleine lune: +1 Vide durant la nuit seulement. Réussir un Test de Volonté ND 25 ou perdre le contrôle.</t>
  </si>
  <si>
    <t>Malédiction de Sire Lune: Faible</t>
  </si>
  <si>
    <t>Malédiction de Sire Lune: Moyen</t>
  </si>
  <si>
    <t>Malédiction de Sire Lune: Forte</t>
  </si>
  <si>
    <t>Membre d'une Cour Déshonorée</t>
  </si>
  <si>
    <t>Malédiction des Sept Fortunes: Daikoku</t>
  </si>
  <si>
    <t>Malédiction des Sept Fortunes: Benten</t>
  </si>
  <si>
    <t>Malédiction des Sept Fortunes: Bishamon</t>
  </si>
  <si>
    <t>Malédiction des Sept Fortunes: Ebisu</t>
  </si>
  <si>
    <t>Malédiction des Sept Fortunes: Fukurokujin</t>
  </si>
  <si>
    <t>Malédiction des Sept Fortunes: Hotei</t>
  </si>
  <si>
    <t>Malédiction des Sept Fortunes: Jurojin</t>
  </si>
  <si>
    <t>ND de tous les jets d'Etiquette augmenté de +10</t>
  </si>
  <si>
    <t>Force -1 Rang pour déterminer les dommages faits</t>
  </si>
  <si>
    <t>-1g1 à tous les Jets de Commerce et équipement de départ réduit à 1 koku</t>
  </si>
  <si>
    <t>-1g1 à tous les Tests Sociaux contre des rokuganis n'étant pas Samourai</t>
  </si>
  <si>
    <t>ND de tous les Test de Compétence Connaissance augmenté de +5</t>
  </si>
  <si>
    <t>Tout Avantage ou Technique demandant 1 point de Vide pour être activé en demande 2 à la place</t>
  </si>
  <si>
    <t>-2g0 pour résister aux maladies et poisons</t>
  </si>
  <si>
    <t>Maudit par les Royaumes Spirituels: Chikushudo</t>
  </si>
  <si>
    <t>Maudit par les Royaumes Spirituels: Gaki-do</t>
  </si>
  <si>
    <t>Maudit par les Royaumes Spirituels: Jigoku</t>
  </si>
  <si>
    <t>Maudit par les Royaumes Spirituels: Maigo no Musha</t>
  </si>
  <si>
    <t>Maudit par les Royaumes Spirituels: Meido</t>
  </si>
  <si>
    <t>Maudit par les Royaumes Spirituels: Sakkaku</t>
  </si>
  <si>
    <t>Maudit par les Royaumes Spirituels: Tengoku</t>
  </si>
  <si>
    <t>Maudit par les Royaumes Spirituels: Toshigoku</t>
  </si>
  <si>
    <t>Maudit par les Royaumes Spirituels: Yomi</t>
  </si>
  <si>
    <t>Maudit par les Royaumes Spirituels: Yume-do</t>
  </si>
  <si>
    <t>-1g1 à tous les jets d'Elevage</t>
  </si>
  <si>
    <t>Tous les gaki et les morts-vivants vous attaquent en premier quoi qu'il leur en coûte</t>
  </si>
  <si>
    <t>Tout test de Terre pour Résister à la Souillure est diminué de -1g1</t>
  </si>
  <si>
    <t>Tout test de effectué contre un esprit est diminué de -1g2</t>
  </si>
  <si>
    <t>-1g0 à tous vos jets de Perception lorsque vous n'êtes pas en activité intense</t>
  </si>
  <si>
    <t>Une fois par mois vous êtes la cible d'une farce aussi cruelle que sophistiquée</t>
  </si>
  <si>
    <t>Les ND de tous vos jets augmentent de +10 quand vous êtes dans un lieu de culte quelconque</t>
  </si>
  <si>
    <t>La vue d'une adversaire bléssé provoque votre frénésie: Test de Volonté ND 15 sous peine de devoir l'attaquer</t>
  </si>
  <si>
    <t>Il vous faut 10h de repos au lieu de 8h pour récupérer vos points de Vide</t>
  </si>
  <si>
    <t>Mauvaise Fortune: Allergie</t>
  </si>
  <si>
    <t>Vous êtes terriblement allergie à une substance courante (telle la soie) qui provoque des rougeurs</t>
  </si>
  <si>
    <t>Mauvaise Fortune: Amour Secret</t>
  </si>
  <si>
    <t>Quelqu'un vous aime en secret et ruine vos romances et marriages arrangés</t>
  </si>
  <si>
    <t>Mauvaise Fortune: Coup du Sort</t>
  </si>
  <si>
    <t>Une fois par session, le MJ peut vous obliger à relancer un test très important</t>
  </si>
  <si>
    <t>Mauvaise Fortune: Défiguration</t>
  </si>
  <si>
    <t>Vous présentez une marque de naissance et les gens font tout pour vous éviter.</t>
  </si>
  <si>
    <t>Mauvaise Fortune: Ennemi Mystérieux</t>
  </si>
  <si>
    <t>Un membre d'un autre clan vous hait et veut votre mort</t>
  </si>
  <si>
    <t>Votre score de Souillure de l'Outremonde augmente de 0.5</t>
  </si>
  <si>
    <t>Souillure de l'Outremonde</t>
  </si>
  <si>
    <t>Tout test de Terre pour Résister à la Souillure est diminué de -1g0</t>
  </si>
  <si>
    <t>Vous êtes voué à trahir l'être que vous aimez le plus</t>
  </si>
  <si>
    <t>Mauvaise Fortune: Mauvais Oeuil</t>
  </si>
  <si>
    <t>Un de vos yeux est décoloré. Les gens évitent votre regard, votre présence leur rapellant de mauvais esprits</t>
  </si>
  <si>
    <t>Vous avez une dette mineure envers quelqu'un que vous devrez tenir impérativement</t>
  </si>
  <si>
    <t>Vous avez une dette majeure envers quelqu'un que vous devrez tenir impérativement</t>
  </si>
  <si>
    <t>Nom Gaijin</t>
  </si>
  <si>
    <t>Omnubilé</t>
  </si>
  <si>
    <t>Obtus</t>
  </si>
  <si>
    <t>XP x2 pour augmenter toute Compétence Noble autre qu'Investigation et Médecine</t>
  </si>
  <si>
    <t>Sombre Parangon: Compréhension</t>
  </si>
  <si>
    <t>Sombre Parangon: Contrôle</t>
  </si>
  <si>
    <t>Sombre Parangon: Détermination</t>
  </si>
  <si>
    <t>Sombre Parangon: Force</t>
  </si>
  <si>
    <t>Sacrifier 5pts d'Honneur ou 1pt de Vide pour annuler tous les malus de ND/Blessures lors d'un jet de Compétence ou d'Incantation</t>
  </si>
  <si>
    <t>Sombre Parangon: Perfection</t>
  </si>
  <si>
    <t>Sombre Parangon: Savoir</t>
  </si>
  <si>
    <t>Sombre Parangon: Volonté</t>
  </si>
  <si>
    <t>Sacrifier 5pts d'Honneur ou 1pt de Vide pour pour provoquer l'ouverture d'un dé au choix sur un Jet de Compétence</t>
  </si>
  <si>
    <t>Sacrifier 5pts d'Honneur ou 1pt de Vide pour un jet concernant le Trait Intuition avec un bonus de +5</t>
  </si>
  <si>
    <t>Sacrifier 5pts d'Honneur ou 1pt de Vide pour un jet de Compétence Sociale avec un bonus de +5</t>
  </si>
  <si>
    <t>Sacrifier 5pts d'Honneur ou 1pt de Vide pour un rejouer un jet de dommages avec un bonus de +5</t>
  </si>
  <si>
    <t>Sacrifier 5pts d'Honneur ou 1pt de Vide pour un jet concernant le Trait Intelligence avec un bonus de +5</t>
  </si>
  <si>
    <t>Sacrifier 5pts d'Honneur ou 1pt de Vide pour annuler 10 Blessures au moment où le personnage les subit</t>
  </si>
  <si>
    <t>Oublié du Bushido: Compassion</t>
  </si>
  <si>
    <t>Oublié du Bushido: Courage</t>
  </si>
  <si>
    <t>Oublié du Bushido: Courtoisie</t>
  </si>
  <si>
    <t>Oublié du Bushido: Devoir</t>
  </si>
  <si>
    <t>Oublié du Bushido: Honnêteté</t>
  </si>
  <si>
    <t>Oublié du Bushido: Honneur</t>
  </si>
  <si>
    <t>Oublié du Bushido: Sincérité</t>
  </si>
  <si>
    <t>Vous devez dépenser un point de Vide pour agir à la lace d'une personne moins nantie que vous</t>
  </si>
  <si>
    <t>ND de tous vos tests augmentés de +5 contre une personne de Statut ou de Gloire supérieure ou contre l'Outremonde</t>
  </si>
  <si>
    <t>Vous ne pouvez pas dépenser de point de Vide pour annuler les Blessures</t>
  </si>
  <si>
    <t>Vous ne pouvez pas dépenser de Point de Vide pour tout Test de Sincérité (Honnêteté) que vous ayez ou non spécialisation</t>
  </si>
  <si>
    <t>Vous ne pouvez pas ajouter votre bonus d'Honneur pour résister à la Tentation ou à l'Intimidation</t>
  </si>
  <si>
    <t>Vous ajoutez le double de votre bonus d'Honneur pour résister à la Tentation ou à l'Intimidation</t>
  </si>
  <si>
    <t>Vous devez déclarer une augmentation à tout jet de Sincérité ou échouer automatiquement.</t>
  </si>
  <si>
    <t>Peu Assuré</t>
  </si>
  <si>
    <t>Asocial Mineur</t>
  </si>
  <si>
    <t>Asocial Majeur</t>
  </si>
  <si>
    <t>Obligation Mineure</t>
  </si>
  <si>
    <t>Obligation Majeure</t>
  </si>
  <si>
    <t>Phobie Mineure</t>
  </si>
  <si>
    <t>Phobie Moyenne</t>
  </si>
  <si>
    <t>Phobie Majeure</t>
  </si>
  <si>
    <t>Vous avez la phobie de quelque chose: tous vos tests augmentent de ND +5 face à cela</t>
  </si>
  <si>
    <t>Vous avez la phobie de quelque chose: tous vos tests augmentent de ND +10 face à cela</t>
  </si>
  <si>
    <t>Vous avez la phobie de quelque chose: tous vos tests augmentent de ND +15 face à cela</t>
  </si>
  <si>
    <t>Possédé</t>
  </si>
  <si>
    <t>Présomptueux</t>
  </si>
  <si>
    <t>Retraite Forcée</t>
  </si>
  <si>
    <t>Rongé par le Shourido: Compréhension</t>
  </si>
  <si>
    <t>Rongé par le Shourido: Contrôle</t>
  </si>
  <si>
    <t>Rongé par le Shourido: Détermination</t>
  </si>
  <si>
    <t>Rongé par le Shourido: Force</t>
  </si>
  <si>
    <t>Rongé par le Shourido: Perfection</t>
  </si>
  <si>
    <t>Rongé par le Shourido: Savoir</t>
  </si>
  <si>
    <t>Rongé par le Shourido: Volonté</t>
  </si>
  <si>
    <t>Test de Volonté ND 20 sous peine de vous perdre dans vos pensées quand vous utilisez une compétence de classe au choix</t>
  </si>
  <si>
    <t>-1g1 à tous les Tests d'Etiquette et de Sincérité</t>
  </si>
  <si>
    <t>Vous ne pouvez pas dépenser de point de Vide pour améliorer le résultat de vos jets de dés</t>
  </si>
  <si>
    <t>Vous devez déclarer une augmentation pour réaliser un jet de Compétence ou une Incantation ou échouer automatiquement</t>
  </si>
  <si>
    <t>Test de Volonté ND 25 sous peine de vdevoir étudier tout sujet qui se présente aussi infâme, injurieux ou blasphématoire soit t'il</t>
  </si>
  <si>
    <t>-1g1 à tous vos Tests de Courtisan et de Tentation</t>
  </si>
  <si>
    <t>Sombre Destin</t>
  </si>
  <si>
    <t>Sombre Secret</t>
  </si>
  <si>
    <t>Incapable de Mentir</t>
  </si>
  <si>
    <t>Une écaille de dragon augmente votre Résistance de +2</t>
  </si>
  <si>
    <t>Une écaille de dragon augmente votre Résistance de +3</t>
  </si>
  <si>
    <t>Une écaille de dragon augmente votre Résistance de +4</t>
  </si>
  <si>
    <t>Une écaille de dragon augmente votre Résistance de +5</t>
  </si>
  <si>
    <t>Choix d'un Anneau ou une capacité: Réussir un Test de Volonté ND 20 pour l'utiliser ou perdre le contrôle de votre perso</t>
  </si>
  <si>
    <t>Vagabond</t>
  </si>
  <si>
    <t>Reputation des Sombres Confins</t>
  </si>
  <si>
    <t xml:space="preserve">Stigmate: Clear Water </t>
  </si>
  <si>
    <t>Stigmate: Nikesake</t>
  </si>
  <si>
    <t>Déconnecté de l'Akasha</t>
  </si>
  <si>
    <t>Mutation Avantageuse: Nageoires</t>
  </si>
  <si>
    <t>+1g1 à vos Tests d'Athletisme (Nage) et d'Agilité. Pour vos déplacements votre Rang d'Eau est égal à 3 s'il est inférieur.</t>
  </si>
  <si>
    <t>Mutation Avantageuse: Chromatophores</t>
  </si>
  <si>
    <t>+1g1 à vos Tests de Discrétion</t>
  </si>
  <si>
    <t>Mutation Avantageuse: Charge Rapide</t>
  </si>
  <si>
    <t>Mutation Avantageuse: Nyctalope</t>
  </si>
  <si>
    <t>+1 Rang à votre Anneau d'Eau pour vos déplacements terrestres</t>
  </si>
  <si>
    <t>Vous voyez aussi bien la nuit que le jour</t>
  </si>
  <si>
    <t>Mutation Avantageuse: Sens du danger</t>
  </si>
  <si>
    <t>Mutation Avantageuse: Ecailles Durcies</t>
  </si>
  <si>
    <t>+2g1  aux Tests de Perception lorsque vous entez de détecter des sbires du Néant ou de l'Outremonde</t>
  </si>
  <si>
    <t>Votre Réduction augmente de 1</t>
  </si>
  <si>
    <t>Mutation Avantageuse: Régénération</t>
  </si>
  <si>
    <t>Mutation Avantageuse: Puissant cracheur</t>
  </si>
  <si>
    <t>Mutation Avantageuse: Venin</t>
  </si>
  <si>
    <t>Mutation Avantageuse: Fertile</t>
  </si>
  <si>
    <t>Vottre corps est capable de régénérer de lui mêmedes appendices perdus après plusieurs semaines de repos</t>
  </si>
  <si>
    <t>Attaque (Jiujitsu/Agilité) au prix d'une action simple. Ignore le ND d'armure, la réduction et inflige 3g1 Dommages</t>
  </si>
  <si>
    <t>+1g1 à tous vous Dommages à mains nues</t>
  </si>
  <si>
    <t>Vous gagnez 5 points de Caste</t>
  </si>
  <si>
    <t>Mutation Débilitante: Mauvaise Santé</t>
  </si>
  <si>
    <t>Mutation Débilitante: Forte Décoloration</t>
  </si>
  <si>
    <t>Mutation Débilitante: Vue Défaillante</t>
  </si>
  <si>
    <t>Mutation Débilitante: Albinisme</t>
  </si>
  <si>
    <t>Mutation Débilitante: Naar Tebaan</t>
  </si>
  <si>
    <t>ND+5 et -1g0 à vos dégâts contre les créatures de l'Outreterre et de l'Ombre Rampante</t>
  </si>
  <si>
    <t>Terrifié par l'Immonde</t>
  </si>
  <si>
    <t>Queue Manquante</t>
  </si>
  <si>
    <t>Nezumi Dément</t>
  </si>
  <si>
    <t>Anosmie</t>
  </si>
  <si>
    <t>A chaque fois que vous manquez un Test de Sociabilité par plus de 10pts, vous perdez 3 points de Statut</t>
  </si>
  <si>
    <t>Recherché (Province/Délit Mineur)</t>
  </si>
  <si>
    <t>Votre tête est mise à prix. Pour vous reconnaitre: Loi/Perception ND 25</t>
  </si>
  <si>
    <t>Recherché (Clan/Délit Sérieux)</t>
  </si>
  <si>
    <t>Votre tête est mise à prix. Pour vous reconnaitre: Loi/Perception ND 15</t>
  </si>
  <si>
    <t>Votre tête est mise à prix. Pour vous reconnaitre: Loi/Perception ND 10</t>
  </si>
  <si>
    <t>Recherché (Empire/Délit Haineux ou violent)</t>
  </si>
  <si>
    <t>Vous êtes à votre insu un Agent Dormant du Kolat</t>
  </si>
  <si>
    <t>Une vieille blessure ne se referme plus: Votre 1er rang de Blessure ne peut plus être vidé</t>
  </si>
  <si>
    <t>Le ND de vos Test sont augmentés de 5 tant que vous ne dépensez pas 1 Point de Vide</t>
  </si>
  <si>
    <t>Vous êtes totalement dépendent de qqch: Test de Volonté ND 15 pour y résister.</t>
  </si>
  <si>
    <t>Vous êtes totalement dépendent de qqch: Test de Volonté ND 20 pour y résister.</t>
  </si>
  <si>
    <t>Vous êtes totalement dépendent de qqch: Test de Volonté ND 25 pour y résister.</t>
  </si>
  <si>
    <t>Compulsif Mineur</t>
  </si>
  <si>
    <t>Compulsif Moyen</t>
  </si>
  <si>
    <t>Compulsif Majeur</t>
  </si>
  <si>
    <t>Lien de Dépendance (Enfant)</t>
  </si>
  <si>
    <t>Vous devez prendre soin d'un enfant qui dépend entièrement de vous seul</t>
  </si>
  <si>
    <t>Lien de Dépendance (Enfant ou Parent Malade)</t>
  </si>
  <si>
    <t>Lien de Dépendance (Conjoint)</t>
  </si>
  <si>
    <t>Malchanceux Mineur</t>
  </si>
  <si>
    <t>Malchanceux Moyen</t>
  </si>
  <si>
    <t>Malchanceux Majeur</t>
  </si>
  <si>
    <t>Chanceux Mineur</t>
  </si>
  <si>
    <t>Chanceux Moyen</t>
  </si>
  <si>
    <t>Chanceux Majeur</t>
  </si>
  <si>
    <t>Vous avez des ennemis jurés qui changent régulièrement mais feront tout pour vous mener à votre perte</t>
  </si>
  <si>
    <t>Vous avez des ennemis haut placés qui feront tout pour vous mener à votre perte</t>
  </si>
  <si>
    <t>+6 à votre ND pour résister vs sorts élémentaires. Inefficace vs maho, gaijin et non-humain</t>
  </si>
  <si>
    <t>+9 à votre ND pour résister vs sorts élémentaires. Inefficace vs maho, gaijin et non-humain</t>
  </si>
  <si>
    <t>Résistance Magique Mineure</t>
  </si>
  <si>
    <t>Résistance Magique Moyenne</t>
  </si>
  <si>
    <t>Résistance Magique Majeure</t>
  </si>
  <si>
    <t>+2 à votre score de Constitution pour ce qui est de guérir de manière naturelle uniquement</t>
  </si>
  <si>
    <t>Vous avez un serviteur PNJ avec une Compétence d'Art à 3</t>
  </si>
  <si>
    <t>Vous avez un serviteur PNJ avec une Compétence d'Artisanat à 3</t>
  </si>
  <si>
    <t>Vous avez un serviteur PNJ avec une Compétence d'Armes à 3</t>
  </si>
  <si>
    <t>Vous avez un serviteur PNJ avec une Compétence de Connaissances à 3</t>
  </si>
  <si>
    <t>Vous avez un serviteur PNJ avec la Compétence Jiujutsu à 3</t>
  </si>
  <si>
    <t>Vous avez un serviteur PNJ avec la Compétence Etiquette (Conversation) à 3</t>
  </si>
  <si>
    <t>Vous avez un serviteur PNJ avec la Compétence Connaissance: Anatomieà  3</t>
  </si>
  <si>
    <t>Vous avez un serviteur PNJ avec la Compétence Commerce (Estimation) à 3</t>
  </si>
  <si>
    <t>Vous avez un serviteur PNJ avec la Compétence Elevage (Chevaux) à 3</t>
  </si>
  <si>
    <t>+1 rang en Connaissances: Iaijutsu; Rang de Statut +1 en Duel</t>
  </si>
  <si>
    <t>+1 rang dans la Compétence de Jeu de votre choix, + 50% d'argent de départ</t>
  </si>
  <si>
    <t>Ajoute +1g0 à tout Jet d'Opposition pour vous influencer ou manipuler</t>
  </si>
  <si>
    <t>ND des Test Sociaux ou d'Incantation visant à déterminer vos intentions ou motivations sont augmentés de +5</t>
  </si>
  <si>
    <t>Ajoute +1g1 à tout Jet d'Opposition contre un Clan ou une entité particulière</t>
  </si>
  <si>
    <t>Le ND des gens du commun pour vous reconnaitre est diminué de 10</t>
  </si>
  <si>
    <t>Heureuses Fiançailles</t>
  </si>
  <si>
    <t>Toujours 1 rang quelle que soit la Compétence Dégradante utilisée</t>
  </si>
  <si>
    <t>Limite d'Augmentation pour une Compétence = votre Rang dans cette Compétence plutôt que votre score de Vide</t>
  </si>
  <si>
    <t>Ajoute +1g1 à Communion, Invocation et Sensation pour un Elément particulier non Déficient</t>
  </si>
  <si>
    <t>Langue: Yobanjin</t>
  </si>
  <si>
    <t>Langue: Senpet</t>
  </si>
  <si>
    <t>Vous parlez le Senpet</t>
  </si>
  <si>
    <t>Langue: Yodotai</t>
  </si>
  <si>
    <t>Vous parlez le Yodotai</t>
  </si>
  <si>
    <t>Langue: Mekham</t>
  </si>
  <si>
    <t>Vous parlez le Mekham</t>
  </si>
  <si>
    <t>Langue: Rhuumal et Thrane</t>
  </si>
  <si>
    <t>Vous parlez le Rhuumal et Thrane</t>
  </si>
  <si>
    <t>Langue non humaine: Nezumi</t>
  </si>
  <si>
    <t>Langue non humaine: Naga</t>
  </si>
  <si>
    <t>Vous parlez sobrement le Nezumi</t>
  </si>
  <si>
    <t>Vous parlez sobrement le Naga</t>
  </si>
  <si>
    <t>Augmente virtuellement votre Rang d'Honneur de 2 quand qqun essaie de le deviner.</t>
  </si>
  <si>
    <t>Augmente virtuellement votre Rang d'Honneur de 1 quand qqun essaie de le deviner.</t>
  </si>
  <si>
    <t>Augmente virtuellement votre Rang d'Honneur de 3 quand qqun essaie de le deviner.</t>
  </si>
  <si>
    <t>Honneur Apparent Mineur</t>
  </si>
  <si>
    <t>Honneur Apparent Moyen</t>
  </si>
  <si>
    <t>Honneur Apparent Majeur</t>
  </si>
  <si>
    <t>Honneur Apparent Exeptionnel</t>
  </si>
  <si>
    <t>Augmente virtuellement votre Rang d'Honneur de 4 quand qqun essaie de le deviner.</t>
  </si>
  <si>
    <t>Malchanceux Exeptionnel</t>
  </si>
  <si>
    <t>1X/session votre MJ peut vous forcer à relancer un jet de dé mais doit garder le second. Cumulable.</t>
  </si>
  <si>
    <t>2X/session votre MJ peut vous forcer à relancer un jet de dé mais doit garder le second. Cumulable.</t>
  </si>
  <si>
    <t>3X/session votre MJ peut vous forcer à relancer un jet de dé mais doit garder le second. Cumulable.</t>
  </si>
  <si>
    <t>4X/session votre MJ peut vous forcer à relancer un jet de dé mais doit garder le second. Cumulable.</t>
  </si>
  <si>
    <t>Lien de Dépendance (Conjoint peu automome)</t>
  </si>
  <si>
    <t>Vous devez prendre soin de votre conjoint et prendre toutes les décisions importantes à sa place</t>
  </si>
  <si>
    <t>Vous devez prendre soin d'un enfant ou d'un malade qui dépend entièrement de vous seul</t>
  </si>
  <si>
    <t>Vous devez prendre soin de votre conjoint qui dépend partiellement de vous</t>
  </si>
  <si>
    <t>+1 à votre Rang Statut à la Cour choisie</t>
  </si>
  <si>
    <t>1X/par combat permet d'ajouter +1g1 + son Rang d'Ecole au score d'Initiative d'un allié</t>
  </si>
  <si>
    <t>Permet de lire sur les lèvres avec un jet de Perception (ND 15 +5 par tranche de 6m)</t>
  </si>
  <si>
    <t>Fils de Chikushudo: Visage Inquiétant</t>
  </si>
  <si>
    <t>Vous confère l'usage d'une abilité mineure de changeforme mais -2g1 à tous vos tests Sociaux</t>
  </si>
  <si>
    <t>Fils de Chikushudo: Bégaiement Handicapant</t>
  </si>
  <si>
    <t>Vous confère l'usage d'une abilité mineure de changeforme mais vous bégaillez</t>
  </si>
  <si>
    <t>Fils de Chikushudo: Changement Douloureux</t>
  </si>
  <si>
    <t>Vous confère l'usage d'une abilité mineure de changeforme mais vous subissez 5 Blessures quand vous le faites</t>
  </si>
  <si>
    <t>Fils de Chikushudo: Vils Instincts</t>
  </si>
  <si>
    <t>Fils de Chikushudo: Forme Instable</t>
  </si>
  <si>
    <t>Vous confère l'usage d'une abilité mineure de changeforme mais vous devez réussir une Test de Vide ND 20 pour y parvenir</t>
  </si>
  <si>
    <t>Vous pouvez augmener les Tests d'Héraldique/Intelligence ou de Bushido/Intuition effectués contre vous de 10</t>
  </si>
  <si>
    <t>Ajoute votre score de Réflexes à votre total d'Initiative tant que vous n'agissez pas en 1er.</t>
  </si>
  <si>
    <t>Relations (Influence Mineure/Dévouement Mineur)</t>
  </si>
  <si>
    <t>Relations (Influence Modérée/Dévouement Mineur)</t>
  </si>
  <si>
    <t>Relations (Influence Majeure/Dévouement Mineur)</t>
  </si>
  <si>
    <t>Relations (Influence Mineure/Dévouement Modéré)</t>
  </si>
  <si>
    <t>Relations (Influence Modérée/Dévouement Modéré)</t>
  </si>
  <si>
    <t>Relations (Influence Majeure/Dévouement Modéré)</t>
  </si>
  <si>
    <t>Relations (Influence Mineure/Dévouement Majeur)</t>
  </si>
  <si>
    <t>Relations (Influence Modérée/Dévouement Majeur)</t>
  </si>
  <si>
    <t>Relations (Influence Majeure/Dévouement Majeur)</t>
  </si>
  <si>
    <t>Permet d'avoir un allié PNJ</t>
  </si>
  <si>
    <t>Immunité aux conditions climatiques, -1g1 aux Dommages des sorts élémentaires que vous subissez</t>
  </si>
  <si>
    <t>+1g0 pour résister à un Test de Tentation, de Courtisan ou de Sincérité</t>
  </si>
  <si>
    <t>+1g0 à tous vos tests de Dissimulation</t>
  </si>
  <si>
    <t>Vous pouvez utiliser les Emplacement de sort d'un Element particulier comme des Emplacements de Vide</t>
  </si>
  <si>
    <t>+1g0 à tous vos tests de capacités issues de votre Ecole</t>
  </si>
  <si>
    <t>+1g1 à tous vos tests utilisant votre voix (Chant, Oratoire, Eloquence, Spectacle...)</t>
  </si>
  <si>
    <t>Air/Feu</t>
  </si>
  <si>
    <t>Frappe comme l'Air</t>
  </si>
  <si>
    <t>Frappe comme la Terre</t>
  </si>
  <si>
    <t>Frappe comme le Feu</t>
  </si>
  <si>
    <t>Frappe comme le Vide</t>
  </si>
  <si>
    <t>Frappe comme l'Eau</t>
  </si>
  <si>
    <t>Style de l'Equilibre des Elements</t>
  </si>
  <si>
    <t>Style de la Forêt de Fer</t>
  </si>
  <si>
    <t>Style de la Force d'Armes</t>
  </si>
  <si>
    <t>Style de la Force de la Pureté</t>
  </si>
  <si>
    <t>Pouvoir de la Montagne</t>
  </si>
  <si>
    <t>Art du Ninjutsu</t>
  </si>
  <si>
    <t>Style du Souffle du Vent</t>
  </si>
  <si>
    <t>Dance des Vents</t>
  </si>
  <si>
    <t>Style du Monde Disparu</t>
  </si>
  <si>
    <t>Style du Sabre Caché</t>
  </si>
  <si>
    <t>Style du Guerrier Indomptable</t>
  </si>
  <si>
    <t>Style du Fer dans les Montagnes</t>
  </si>
  <si>
    <t>Style du Vent du Nord</t>
  </si>
  <si>
    <t>Style de la Témérité Aveugle</t>
  </si>
  <si>
    <t>Fils des Tempêtes</t>
  </si>
  <si>
    <t>Style du Vent du Sud</t>
  </si>
  <si>
    <t>Force du Crabe</t>
  </si>
  <si>
    <t>Force de la Grue</t>
  </si>
  <si>
    <t>Force du Dragon</t>
  </si>
  <si>
    <t>Force du Lion</t>
  </si>
  <si>
    <t>Force de la Mante</t>
  </si>
  <si>
    <t>Force de la Montagne</t>
  </si>
  <si>
    <t>Force du Phénix</t>
  </si>
  <si>
    <t>Force du Scorpion</t>
  </si>
  <si>
    <t>Force de l'Araignée</t>
  </si>
  <si>
    <t>Force de la Licorne</t>
  </si>
  <si>
    <t>Frappe comme l'Avalanche</t>
  </si>
  <si>
    <t>Style de la Menace Voilée</t>
  </si>
  <si>
    <t>Le Monde est Vide</t>
  </si>
  <si>
    <t>Victoire de la Rivière</t>
  </si>
  <si>
    <t>This is a measure of an individual's ability to convincingly pass himself off as someone else, whether assuming a role in a play or attempting to infiltrate the fortress of his lord's enemy. It also represents a character's knowledge of the pnmary theater styles in Rokugan--Kabuki, a flamboyant, high- action style; and Noh. a more subdued, stylistic manner of play.
The TN to disguise yourself is 15. This assumes that you are taking cit the role of a non-specific individual who shares the same Clan affiliation, gender, and profession (bushi, courtier, or shugenja). Each of these basic features that are changed increase the total TN of the Skill Roll by +5 (for example. a male Scorpion bushi attempting to impersonate a female Crane courtier would have a base TN of 30). Attempting to imitate a specific individual is significantly more difficult, and increases the TN by a total of +15 in addition to any other increases because of Clan, gender, or profession. You may also Raise on your roll to make your disguise harder to see through. A character who is trying to see through your disguise must roll Investigation / Perception against a TN of 15, +5 for each Raise you made.</t>
  </si>
  <si>
    <t>This is a catch-all that represents a character's talent in one of the many recognized noble arts in Rokugani society. In addition to being soldiers and priests, samurai are the epitome of culture, and as such an occupation as an artisan is regarded by many Clans as a noble and honorable pursuit. Artisan Skill Rolls are used to create works of art, and generally have variable TNs as decided by the GM.</t>
  </si>
  <si>
    <t>Intelligence</t>
  </si>
  <si>
    <t>Calligraphy is considered an art form by many, and is typically used not only among shugenja, who use advanced ciphers and scripts to protect their mystical secrets, but also by artisans and courtiers, who use it to impress others as of their complex schemes to gain favor in court. Training in calligraphy is not necessary as part of literacy, as all samurai are literate, but it does allow one to show refinement and sophistication.
If you possess the Cipher Emphasis, you are assumed to know one cipher commonly used by your Clan. Ciphers can be very difficult to break, with varying TNs depending upon their commonality of use and means of creation. Typically, the TN to break a cipher is the result of the Calligraphy (Cipher) / Intelligence roll used to create it. The High Rokugani Emphasis is used to make use of the ancient, florid, and sophisticated style of language used in the Imperial Court.</t>
  </si>
  <si>
    <t>The essential skill of any Rokugani court, this is a measure of a character's ability to participate in the deadly political games that are so prevalent in the Empire's highest social echelons. Courtiers have their own style of warfare, and are able to maneuver one another into disadvantageous positions through their skill with words.
Essentially, Courtier is the social offense Skill. Socially- adept characters that are on the offensive against their opponents use Courtier, often with the Manipulation or Rhetoric Emphases. to outmaneuver their opponents, influence their views and opinions, steer conversations in a desired direction, win arguments. or deliver cunning put-downs. Courtier can also be used to obtain or spread rumors about someone, using the Gossip Emphasis. This can be more difficult depending upon the target's Glory, with a suggested TN of 10 plus the target's Glory x5, minus your Glory x5. GMs can have players Raise on the roll to conceal that they are the source of the gossip. and it should be noted that attempting to spread malicious rumors about someone with higher Status is generally unwise and can easily lead to a death sentence in Rokugan.</t>
  </si>
  <si>
    <t>Etiquette</t>
  </si>
  <si>
    <t>Games are an important diversion for the normally somber samurai caste of Rokugan. Although some clans generally prefer direct physical activities such as wrestling or other competitive pursuits, virtually everyone in the Empire plays a game of one form or another on a regular basis. Some popular games include: kemari, which involves one or more participants kicking a small ball to keep it off of the ground; go, a strategic game that uses colored stones placed on a game board; letters, in which two or more individuals correspond with one another, using elaborately written letters as a sort of strategic back-and-forth; shogi, a chess-like strategic game; and sadane, a game of trading impromptu criticism of an agreed subject. Games Skill Rolls arc typically Contested Rolls made between two individuals, each attempting to defeat the other at the game in question.</t>
  </si>
  <si>
    <t>Perception</t>
  </si>
  <si>
    <t>One of the most prestigious appointments a samurai can receive is that of magistrate, an official tasked with enforcing the laws within his lord's domain. As magistrates. samurai must often determine what has taken place under mysterious circumstances, and search out who is to blame for violating the word of their daimyo. Those with a keen eye and a sharp mind are often promoted to higher positions, serving their family, clan, or even the Empire as a whole.
Investigation represents your ability to assess your surroundings and gather information based on physical clues. It can also represent an ability to gather information front others over a longer period of time, hours or even days, in order to piece together different bits of information into a cohesive picture. Unlike other Intelligence or Perception Skill Rolls, Investigation can be re-rolled if you fail the initial roll. The second roll may not be made for at least an hour. however, and suffers a +15 increase to TN.
Investigation is most frequently used to locate something (or someone) hidden or concealed. If this is a person in hiding, a Contested Roll will be used, pitting the character's Investigation (Notice or Search Emphasis according to the circumstances) against the target's Stealth. The Interrogation Emphasis can he used to tly to figure out if someone is lying. typically in a Contested Roll against the target's Sincerity.</t>
  </si>
  <si>
    <t>Many among the samurai caste are called to pursue the role of the scholar in order to better serve their lord. or for their own purposes. Although this is most common among shugenja. it is not unusual for a courtier or a bushi to study sonic subject or another that catches their interest. History and heraldry are among the most common and useful, but literally any subject can be taken up. Lore Skill Rolls are made to determine if a character possesses certain information regarding the subject area (i.e., a bushi character might make a Lore: Shugenja Skill Roll to see if he could determine the purpose of a ritual being conducted).</t>
  </si>
  <si>
    <t>War is the purpose of all samurai, and war often results in those who are wounded but not slain. A wounded samurai is a burden on his lord, unable to perform his duties and yet still requiring resources. Those who practice medicine have the sacred task of ensuring that a samurai recovers front his wounds and can rise again to serve once more.
Medicine can be used to treat many different injuries and aunients, including sonic spiritual ones. Specific diseases may be treated with the Disease Emphasis, although the TN for treatment will vary depending upon the disease in question. The same applies to poisons and the Antidote Emphasis. Non-human races may be treated using the
Non-human Emphasis, but it must be purchased separately for each race (i.e. Nezunri Medicine, Naga Medicine, Zokujin Medicine, etc.). When you treat Wounds that an ally has suffered from damage, a successful Medicine (Wound Treatment) / Intelligence roll (TN 15) will remove one die (1k1) of Wounds from the victim. Each successful Raise on this roll allows an additional die to be rolled, but no more than one die is ever kept on such a roll. An injured individual may only benefit from a single Medicine Skill Roll per dayu each such roll made requires the use of a Medicine Kit, which allows for ten Medicine Skill Rolls before being consumed.</t>
  </si>
  <si>
    <t>While not as numerous as other artisans, performers are still considered by many Clans to fulfill a vital aspect of maintaining Rokugan's culture. Musicians, orators, poets, arid even actors are lauded in the highest circles of court because of the entertainment they provide. Many bushi have a different opinion on the value of a performer, but even they niust admit that nothing rouses the spirits for war like a play wherein the actions of their ancestors are memorialized and tire actions of their enemies demonized. Performers are trot merely entertainment, but a form of living memory that all samurai enjoy, even if some of them do trot always respect those who provide it. Perform Skill Rolls are made to complete a performance successfully. The TN for such a roll generally depends upon the mood of the attdience and is determined by the GM.</t>
  </si>
  <si>
    <t>The path of the shugenja begins with the innate ability to speak to the kanji, but it continues with a life of rigorous study and devotion to research. Although non-shugenja can take up this craft, the essential understanding of how the invocation of the kanii works makes it primarily the domain of shugenja. This research also allows scholarly shugenja to create new prayers that others can use, and allows them to entreat certain types of kami to perform tasks for them.
The Spell Research Emphasis allows you to formulate new spells. This typically requires a Spetlcraft (Spell Research) / Intelligence roll with a TN equal to 10 plus the new spells Mastery Level xl0. This requires a number of weeks of uninterrupted study equal to the new spell's Mastery Level. New spells should be submitted to the GM for consultation and approval before they are used.
The Importune Emphasis is used in the manner of a Social Skill when using the Commune spell to converse with a spirit, and especially when trying to persuade that spirit to be helpful. More information on this can he found in the description of the Commune spell later in this chapter.</t>
  </si>
  <si>
    <t>Bugei</t>
  </si>
  <si>
    <t>The training that every bushi student receives includes vigorous physical conditioning. For some, this results in a lifelong enjoyment of athletics. Like many who pursue a martial lifestyle, some bushi spend their off duty hours engaging in competitions with one another, or simply pitting themselves against challenges designed to test the limits of their physical abilities.
Athletics covers many areas normally governed by Trait Rolls. If you have a background in Athletics, however, you can perform these activities, principally climbing, running, and swimming, with considerably more ease than most. Athletics can also increase your capacity for movement, even when restricted by heavy armor and the like. The Throwing Emphasis allows you to throw items with greater accuracy, including certain weapons such as knives or even the wakizashi (see the Equipment section for more information on which weapons can be thrown). Using Athletics to throw a weapon offensively is considered an attack roll. Athletics Skill Rolls to climb, run, or swim use Strength, whereas the Throwing Emphasis requires Agility.</t>
  </si>
  <si>
    <t>A samurai's calling is to war, whether on the battlefield with steel in hand, in the courts confounding the enemies of ones lord, or behind the lines, summoning the kami to punish the sins of one's enemies. The study of war is highly regarded among all divisions of the samurai caste, and many lengthy debates can be enjoyed both in court and in the temples over tactics, strategy, maneuvers, and the like. The principle use of the Battle Skill is in the Mass Battle System found in the Book of Water.</t>
  </si>
  <si>
    <t>A warrior who cannot defend himself is of little use, for he will serve his lord but once in battle before he falls and must be replaced. The Rokugani understanding of battle does not permit things such as parries and ripostes, but instead involves positioning one's blade and body so that the katana and armor deflect incoming blows. Defense is an essential Skill necessary to adopt the Defense and Full Defense Stances, both of which increase your Armor TN and make you more difficult to hit in a skirmish or a duel. More information on this application of Defense can be found in the Book of Earth.</t>
  </si>
  <si>
    <t>Hunting is a sport favored by warriors, even though game is rarely if ever consumed by members of the samurai caste. The types of game hunted in Rokugan can be quite dangerous, however, and as a result there is a great deal of survival knowledge associated with the sport of hunting. Hunting is never done with a samurai's daisho; it is typically performed either with bow and arrow or, in the case of particularly large game, spears.
The Survival Emphasis allows you to forage for sustenance and shelter in the wilderness, with a TN varying upon the severity of the conditions (the forest is simpler than the mountains, which are simpler than the desert, etc.).
The Tracking Emphasis allows you to locate and follow the tracks of prey through rural environments, although repeated Skill Rolls are necessary for longer trails.
Trailblazing allows you to forge a trail through the wilderness that others can follow, making better time and requiring less work in order to follow it.</t>
  </si>
  <si>
    <t>Iaijutsu</t>
  </si>
  <si>
    <t>laijutsu is the formal dueling system of Rokugan, an ancient and venerated tradition that even the most irreverent bushi would never imagine slandering. When two parties are in dispute, and the matter cannot be resolved in any other manner, a duel is often the result, and the form of a duel is almost always iaijutsu. The winner of the duel is proven correct, and the defeated party is proven to be wrong. There can be no contestation of a duels outcome, barring dishonorable conduct on the part of the winner during the duel.</t>
  </si>
  <si>
    <t>Jiujutsu</t>
  </si>
  <si>
    <t>The art of unarmed combat is something that all bushi appreciate, although not all pursue it in the dojo. Many rely upon the weapon-based techniques they learn from their sensei to defend them even without their weapons, and while this can be marginally effective, the actual study of unarmed combat is much more useful. Monks in particular devote a great amount of time to the art of hand-to-hand combat, believing they both hone the body and unify it with the mind.
Jiujutsu can be used as a Weapon Skill, rolling Jiujitsu / Agility against an opponent's Armor TN to hit and rolling a number of dice equal to your Strength, keeping one for damage (so if you had Strength 3, you would roll 3k1 damage for an unarmed attack). Jiujutsu is also used for initiating and maintaining Grapples, which are explained in the Book of Earth. The Improvised Weapons Emphasis allows you to use almost anything you can get your hands on to increase your capacity to inflict damage. The GM is the final arbiter of what damage a particular improvised weapon inflicts, but generally it should grant additional rolled or kept dice, but not both.</t>
  </si>
  <si>
    <t>Weapons are the lifeblood of any true bushi, for while they are trained to make war with their hands if nothing else is available, the true strength of the samurai caste has ever been in its steel. The vast majority of weapons commonly found in the hands of samurai are covered elsewhere. but anything can suitably be used as a weapon assuming its construction is adequate to the task. A small number of gaijin weapons have found their way to Rokugani, and while they are socially unacceptable, most samurai can at least recognize that they may have some tactical value.</t>
  </si>
  <si>
    <t>Kenjutsu is the path of the sword, the essential training in use of the katana and other blades that all bushi receive as part of their training. Almost without exception. the principle weapon training that all bushi receive centers around the katana, the signature weapon of the samurai caste and the representation of a warrior's soul. All dojo offer weapon training in other areas for those interested in learning, but only the katana is considered mandatory, save perhaps for the bow in some areas.</t>
  </si>
  <si>
    <t>The art of wielding a knife, or tantojutsu, is not typically considered a priority at most bushi dojo. The katana is the principle weapon of the samurai, of course, and even if one chooses to take up another weapon instead, there are many more effective, more lethal weapons than a simple knife. Yet despite this, virtually every bushi in the Empire is trained in the use of the knife, and carries one at all times. Bushi are imminently practical warriors, after all.</t>
  </si>
  <si>
    <t>Kyujutsu</t>
  </si>
  <si>
    <t>The art of the bow is an accepted part of all bushi's training, save perhaps for a handful of esoteric warriors who place misguided principle above practicality. To all others, the value of the bow in striking at an enemy who is not within range is obvious, Indeed, the way of the samurai has sometimes been called the Way of the Horse and Bow. The Rokugani form of archery does not rely upon aiming, however; rather, the practitioners are taught to assess their target, then draw and fire as a smooth, fluid motion, the bow held near the waist at all times. As the saying goes, the arrow knows the way. A character making a ranged attack who is firing at someone within melee range suffers a penalty of -10 to the total of his attack roll.</t>
  </si>
  <si>
    <t>Ninjutsu</t>
  </si>
  <si>
    <t>A disgraceful practice, ninjutsu is the art of using specialized weapons created specifically for use by the deadly assassins and shadow warriors known as ninja. No honorable warrior would ever humiliate himself and his ancestors by demonstrating knowledge of such a shameful nature, and indeed many samurai, when confronted with the bizarre implements of the ninja, have difficulty fathoming their use altogether, other than as crude and relatively ineffective weapons.</t>
  </si>
  <si>
    <t>Long-reaching weapons with considerable power and versatility, polearms are essentially a stopgap between heavy weapons and the traditional katana. They consist of bladed weapons mounted atop sturdy poles of wood or metal, granting a warrior skilled in their use the ability to keep his opponents at bay while taking a terrible toll on them at the same time. The practice of using polearms is sometimes referred to as umayarijutsu.</t>
  </si>
  <si>
    <t>Yarijutsu, the art of the spear, is a longstanding tradition in many bushi families, most notably the Daidoji family of the Crane Clan. Unlike polearms, which are primarily slashing weapons, spears are typically designed for puncturing or thrusting, and can be an extremely effective weapon against cavalry.</t>
  </si>
  <si>
    <t>Seldom seen among the ranks of most respectable bushi families, the practice of using staves (also known as bojutsu) is more common among monks and even some peasants, given that a walking stick cannot reasonably be assumed to be a weapon. Staves are excellent for delivering brute force to stun or incapacitate an opponent, but their blunt nature can make killing an opponent difficult and messy work without proper training. Also staves have tremendous trouble overcoming armor, which diffuses their impact very effectively. Armor bonuses to the Armor TN are doubled against attacks made with a staff.</t>
  </si>
  <si>
    <t>War fans, or lessen, are tools that serve a number of purposes, not the least of which is as weapons. They were originally created for the purpose of sending signals to different units on the battlefield, and were specifically made from metal because paper fans were so ill suited to the unpredictability of battlefield conditions. While they continue to serve such a purpose. as well as the various purposes of the traditional paper fan, some groups have made excellent use of hese metal fans as weapons as well, particularly among the Lion Clan and a group of ronin called the Tessen. who make Toshi Ranho their home.</t>
  </si>
  <si>
    <t>Occupations that involve money are distasteful to the samurai caste. They are not inherently dishonorable, of course, for it is absolutely necessary for a samurai to oversee such activities to ensure that his Clan and family are adequately provided for, but it is definitely considered something of a social stigma to deal in commerce. The actual day to day trading and conducting of business is typically left to merchant vassals, but it is not unheard of for samurai to have training in such matters. These individuals are typically referred to as "merchant patrons."
The Appraisal Emphasis allows you to quickly determine the approximate value of an object in any given market. The value will vary depending upon the quality of the object's construction, how exotic or unusual it is, and how practically it can be put to use. More exotic or rare objects arc not only more expensive, hut also are significantly more difficult to appraise properly. The Mathematics Emphasis is typically used to calculate things like taxes and tariffs, but can obviously be used in a number of non-business applications as well.</t>
  </si>
  <si>
    <t>If artisans are tasked with producing items that are considered abstract and beautiful by the people of the Empire. then craftsmen have a duty to create things of practical value. Blacksmiths. armorsmiths. cartwrights. carpenters, and shipwrights are all craftsmen. Fishermen and farmers are as well, although they do not produce an item but rather the food that is the lifeblood of the Empire. While crafting is not as honorable and noble a profession as being an artist, it is still highly valued and looked upon without stigma.</t>
  </si>
  <si>
    <t>Far more complex than a simple crafting skill. engineering is a rare gift among the people of Rokugan, even the samurai who rule over it. It involves an understanding of how things are constructed and, as a result, how they can best be deconstructed. The siege engineers of the Kaiu family are the unquestioned masters of this, but there are others among other clans who have such gifts as well. The Construction Emphasis specializes in making plans for others to follow, building things front a simple tower to an elaborate palace. The Siege Emphasis is the exact opposite of this, and tells you best how such things can be destroyed in battle.</t>
  </si>
  <si>
    <t>Rokugan has a vast coastline, and there is a tremendous amount of activity on the sea during the majority of the year. Trade vessels and fishing vessels make their way across the shallow waters along the coast during spring, summer, and fall, and the hardier ships belonging to the Mantis Clan make the long voyage to and from the Islands of Silk and Spice even during the depths of winter.
The Navigation Emphasis can be used to determine your approximate location using the stars, and determine in what direction a specific destination lies (assuming you already know where the (lestination is and simply want to know where it is relative to you). Navigation can be used on land, but the TN is increased by + to when doing so.
The Knot-work Emphasis is used in working with the ropes and cloths aboard a Rokugani sailing vessel.</t>
  </si>
  <si>
    <t>Documentation is very important in Rokugan. from information on an individuals illustrious lineage to travel papers issued by magistrates, and even the official Inipenal Decrees of the Emperor himself. Those with an eye for detail, a steady hand, and a distinct lack of honor can take advantage of this system by falsiing such papers, either for their own use or to sell to others.
When a forgery is created, the result of your Forgery / Agility Skill Roll should be noted. This is the TN for others to detect the forgery using an Investigation / Perception Skill Roll.</t>
  </si>
  <si>
    <t>The manipulation of others through the use of threats, both stated and implied, is an oft-employed tool for those who have left their honor behind. Even bushi who are generally honorable but have a strong sense of pragmatism will occasionally abandon decorum and threaten those who refuse to cooperate. It is a shameful act, but one that many are willing to commit (and promptly forget) in order to ensure the successful completion of their duty.
The Bullying Emphasis is the simplest form of Intimidation, and involves the immediate, short-term threat of violence to get another to perform a specific act.
Control, on the other hand, indicates a longer-term attempt to shape another's behavior to your will, and is often used by courtiers to manipulate lower-ranking, weaker-willed individuals.
Torture, which is never a subject for polite conversation, is used by hinin working for magistrates in order to elicit confessions and information from criminals. No proper samurai will dirty his soul by torturing in person.
Intimidation is usually a Contested Roll. resisted with Etiquette (Courtesy) / Willpower. The GM may require a different Skill or Trait to resist the Intimidation attempt if it seems more appropriate to the situation. Regardless, the resisting character's Honor Rank is added to the total of his roll.</t>
  </si>
  <si>
    <t>Although generally a dishonorable practice, stealth has its uses in such situations as hunting or while scouting during a military engagement. For most samurai, however, these are necessary evils, and under any other circumstances, no honorable souls will ever dare disgrace themselves by sneaking about in the shadows like common criminals, or failing to face their opponents like true samurai would.
While concealed via Stealth, you may take Move Actions. When taking a Move Action while using Stealth, you may only make Simple Move Actions, and these only allow you to move a number of feet equal to your Water Ring (although Mastery Abilities can increase this significantly).
The Ambush Emphasis allows you to make a Stealth (Ambush) / Agility roll, contested by an opponent's Investigation (Notice) / Perception, to gain an advantage over them during the first round of combat if they are unaware of your presence.
The Spell Casting Emphasis allows you to make a Contested Roll against an opponent's Investigation (Notice) / Perception when casting a spell. If you win, they are unable to determine where the spell originated from. You lose no honor for using Stealth (Sneaking), although other Emphases do usually result in Honor loss as normal.</t>
  </si>
  <si>
    <t>The art of offering another something that they desire in order to gain in turn something one desires is as old as civilization itself, and in truth very little has changed. The two greatest temptations for most are financial gain and physical pleasure, and both are frequently bandied about in court settings to fulfill the agendas of the Clans.
Temptation is best used against opponents who possess certain kinds of Disadvantages, such as Lechery, Fascination, Greed, or perhaps a Dark Secret. The GM will usually require a Contested Roll using Temptation / Awareness (with the appropriate Emphasis) against the target's Etiquette (Courtesy) / Willpower. Much as with Intimidation, the GM can choose to let a PC roll against a flat TN when employing Temptation against a minor NPC.</t>
  </si>
  <si>
    <t>Comédie</t>
  </si>
  <si>
    <t>Trait</t>
  </si>
  <si>
    <t>Description</t>
  </si>
  <si>
    <t>Noble</t>
  </si>
  <si>
    <t>Marchand</t>
  </si>
  <si>
    <t>Intuition</t>
  </si>
  <si>
    <t>Some individuals possess the ability to glimpse the strands of fate and destiny that make up the universe, and can gain some glimmer of insight into the future as a result. This sometimes involves studying the stars and their placement via astrology, but most often comes from use of kaworu. small stones, sticks, and coins with a variety of hexagram symbols engraved upon them. Kawaru are typically thrown into a bowl or other receptacle and then examined to determine the patterns.
You may attempt a divination once per day. The TN for this Skill Roll is 15, although depending upon the circumstances the GM niay dictate a higher TN. If the roll is failed, a seecond roll may be attempted immediately if you expend a Vide Point.  (As usual, the TN for the second roll is increased by +10). The results of divination attempts are nooriously vague, but should give some indistinct inkling of what is to come in the immediate future (.i.e. "you see difficult times ahead," "an old enemy returns soon," "a shadow will fall over your father's house", etc.).</t>
  </si>
  <si>
    <t>A dutiful samurai is a spiritual soul. In order to fully embrace the code of Bushido, all samurai are expected to study the Tao of Shinsei and meditate upon its wisdom. In practice, of course, this is rarely the case among many martial families, but a surprising number of soldiers can often be found meditating in a shrine or temple to prepare themselves for war.
Meditation is the simplest means other than resting that you can recover spent Vide Points. A Meditation (Vide Recovery) / Vide roll versus TN 20 allows you to recover one Vide Point with a half hour of uninterrupted meditation. The Fasting Emphasis allows you to make a Meditation / Stamina roll (TN 15 +5 per day of fasting) to ignore the effects of going without food and water.</t>
  </si>
  <si>
    <t>In many courts, it is not considered dishonorable to lie so long as the individual speaking genuinely appears to believe what he says is the truth. This is a skill that many have honed in order to defend themselves front the predation of more skilled opponents in court. Even bushi attending court as yojinibo often practice such things, to ensure that they are not viable targets of their charges' enemies. This can also he used to aVide offering insult.
Honesty is used when you must speak the truth in a convincing manner, while Deceit is used when you must tell a lie and appear to tell lhe truth "I assure you, magistrate, I was meditating in the shrine well after sunset last night".
Sincerity can also be employed to tell the truth in a very cautious manner to aVide giving insult (when a morbidly obese governor asks a samurai if he is not the greatest warrior in the Empire, the samurai cautiously responds with "All other warriors would surely vanish within your mighty shadow"). Rolls made with Sincerity can be opposed with Investigation by those who doubt the truth of the speaker's words.</t>
  </si>
  <si>
    <t>The tea ceremony is an ancient and sacred tradiLion that was created in the Empire's earliest days, ostensibly by Lady Doji herself. It is a ritual that is handed down from parent to child, often with as much weight and attention as the passing down of a family blade from one to another. In a formal tea ceremony, the individual conducting the ritual formally sets the table, prepares the tea, and pours it for all participants, who then consume it in unison, all in complete silence. The ceremony has great spiritual significance, and helps clear the mind for those involved. When conducting a tea ceremony. you must make a Tea Ceremony / Vide roll (TN 15 +5 for each participant after the second). The ceremony is intended for two people, but you may conduct it alone if desired, or up to five people total may be included. If the Skill Roll is successful, all participants regain a spent Vide Point. The ceremony takes thirty minutes to complete successfully. and requires a quiet location to be conducted.</t>
  </si>
  <si>
    <t>The ability to use a mount is essential to participation in cavalry units, and to swift travel through the Empire. It is a utilitarian skill, taught in most bushi schools in the Empire without having any real degree of prestige attached (save among the ranks of the Unicorn Clan, who consider an inability to ride roughly equivalent to a crippling physical disability). In general, all samurai can ride a horse at normal speed on level ground without the need for a Skill roll — the Skill only comes into play when riding a horse in difficult or stressful situations (bad terrain, thunderstorm, combat, etc.). Individual types of horses react differently to various circumstances, and some can be much harder to control under stressful situations such as combat, Statistics for the common horses found in Rokugan are located in the Book of the Vide, including typical TNs for controlling them in different circumstances.</t>
  </si>
  <si>
    <t>Animals play a vital role in a number of samurai endeavors, including recreation, transportation, or the actual waging of war. Horses and falcons are the animals most commonly trained by samurai, but a number of others exist: the Lion Clan uses trained warcats in battle, the Unicorn use war dogs, and many families use trained pigeons to carry correspondence.
The difficulty to domesticate and train an animal for use Varies widely depending upon the animal in question. An assortment of animals can be found in the bestiary in the Book of Vide, along with some guidelines on what they can do when trained.</t>
  </si>
  <si>
    <t>The dexterous manipulation of small objects for the purpose of misdirection or concealment is not looked upon favorably by most honorable samurai. The code of Bushido flatly calls for sincerity in action, word, and thought, and such parlor tricks smack of deception and dishonesty, which no honorable samurai can abide. The Conceal Emphasis allows you to hide small objects (something that can fit in your hand) on your person, requiring a Contested Roll using Sleight of Hand / Agility against Investigation / Perception to detect it. The Escape Emphasis allows you to slip free of bonds. The TN for this Varies considerably, and can be TN 15 for simple ropes or as high as TN 25 or 30 for high-grade chains or bindings, or it can be a Contested Roll against the responsible party's Sailing (Knot- work). Pick Pockets is fairly self explanatory, requiring the same manner of Contested Roll as Conceal in order to aVide detection, and Prestidigitation allows you to use the Skill to entertain or distract people by performing tricks.</t>
  </si>
  <si>
    <t>Force</t>
  </si>
  <si>
    <t>Agilité</t>
  </si>
  <si>
    <t>Cérémonie du Thé</t>
  </si>
  <si>
    <t>Art de la Magie</t>
  </si>
  <si>
    <t>Calligraphie</t>
  </si>
  <si>
    <t>Art</t>
  </si>
  <si>
    <t>Enquête</t>
  </si>
  <si>
    <t>Médecine</t>
  </si>
  <si>
    <t>Méditation</t>
  </si>
  <si>
    <t>Sincérité</t>
  </si>
  <si>
    <t>Athlétisme</t>
  </si>
  <si>
    <t>Equitation</t>
  </si>
  <si>
    <t>Chasse</t>
  </si>
  <si>
    <t>Armes</t>
  </si>
  <si>
    <t>Armes à chaîne</t>
  </si>
  <si>
    <t>Armes Lourdes</t>
  </si>
  <si>
    <t>Couteaux</t>
  </si>
  <si>
    <t>Armes d'hast</t>
  </si>
  <si>
    <t>Lances</t>
  </si>
  <si>
    <t>Eventails de Guerre</t>
  </si>
  <si>
    <t>Bâtons</t>
  </si>
  <si>
    <t>Elevage</t>
  </si>
  <si>
    <t>Ingénierie</t>
  </si>
  <si>
    <t>Contrefaçon</t>
  </si>
  <si>
    <t>Passe-Passe</t>
  </si>
  <si>
    <t>Discrétion</t>
  </si>
  <si>
    <t>Tentation</t>
  </si>
  <si>
    <t>Aucune</t>
  </si>
  <si>
    <t>Spécialisation 1</t>
  </si>
  <si>
    <t>Spécialisation 2</t>
  </si>
  <si>
    <t>Spécialisation 3</t>
  </si>
  <si>
    <t>Sexe</t>
  </si>
  <si>
    <t>Profession</t>
  </si>
  <si>
    <t>Code Secret</t>
  </si>
  <si>
    <t>Haut Rokugani</t>
  </si>
  <si>
    <t>Spécialisation 4</t>
  </si>
  <si>
    <t>Spécialisation 5</t>
  </si>
  <si>
    <t>Commérage</t>
  </si>
  <si>
    <t>Manipulation</t>
  </si>
  <si>
    <t>Piège Rhétorique</t>
  </si>
  <si>
    <t>Kawaru</t>
  </si>
  <si>
    <t>Astrologie</t>
  </si>
  <si>
    <t>Conversation</t>
  </si>
  <si>
    <t>Courtoisie</t>
  </si>
  <si>
    <t>Connaissance: Histoire</t>
  </si>
  <si>
    <t>Fouille</t>
  </si>
  <si>
    <t>Interrogatoire</t>
  </si>
  <si>
    <t>Kusarigarna</t>
  </si>
  <si>
    <t>Kyoketsu-shogi</t>
  </si>
  <si>
    <t>Manrikikusari</t>
  </si>
  <si>
    <t>Bisento</t>
  </si>
  <si>
    <t>Nagamaki</t>
  </si>
  <si>
    <t>Naginata</t>
  </si>
  <si>
    <t>Sasumata</t>
  </si>
  <si>
    <t>Sodegarami</t>
  </si>
  <si>
    <t>Dai Tsuchi</t>
  </si>
  <si>
    <t>Masakari</t>
  </si>
  <si>
    <t>Ono</t>
  </si>
  <si>
    <t>Tetsubo</t>
  </si>
  <si>
    <t>Combat de masse</t>
  </si>
  <si>
    <t>Escarmouche</t>
  </si>
  <si>
    <t>Jeûne</t>
  </si>
  <si>
    <t>Honnêteté</t>
  </si>
  <si>
    <t>Tromperie</t>
  </si>
  <si>
    <t>Antidotes</t>
  </si>
  <si>
    <t>Maladies</t>
  </si>
  <si>
    <t>Herboristerie</t>
  </si>
  <si>
    <t>Construction</t>
  </si>
  <si>
    <t>Siège</t>
  </si>
  <si>
    <t>Faveur</t>
  </si>
  <si>
    <t>Recherche de Sorts</t>
  </si>
  <si>
    <t>Chiens</t>
  </si>
  <si>
    <t>Chevaux</t>
  </si>
  <si>
    <t>Fauconnerie</t>
  </si>
  <si>
    <t>Estimation</t>
  </si>
  <si>
    <t>Corruption</t>
  </si>
  <si>
    <t>Séduction</t>
  </si>
  <si>
    <t>Contorsion</t>
  </si>
  <si>
    <t>Dissimulation</t>
  </si>
  <si>
    <t>Prestidigitation</t>
  </si>
  <si>
    <t>Vol à la Tire</t>
  </si>
  <si>
    <t>Contrôle</t>
  </si>
  <si>
    <t>Torture</t>
  </si>
  <si>
    <t>Embuscade</t>
  </si>
  <si>
    <t>Filature</t>
  </si>
  <si>
    <t>Furtivité</t>
  </si>
  <si>
    <t>Incantation</t>
  </si>
  <si>
    <t>Documents</t>
  </si>
  <si>
    <t>Sceau</t>
  </si>
  <si>
    <t>Œuvres d'Art</t>
  </si>
  <si>
    <t>Monnaie</t>
  </si>
  <si>
    <t>Shuriken</t>
  </si>
  <si>
    <t>Tsubute</t>
  </si>
  <si>
    <t>Sarbacane</t>
  </si>
  <si>
    <t>Mai Chong</t>
  </si>
  <si>
    <t>Kumade</t>
  </si>
  <si>
    <t>Lance</t>
  </si>
  <si>
    <t>Nage-yari</t>
  </si>
  <si>
    <t>Dai-kyu</t>
  </si>
  <si>
    <t>Han-kyu</t>
  </si>
  <si>
    <t>Yumi</t>
  </si>
  <si>
    <t>Katana</t>
  </si>
  <si>
    <t>Ninja-to</t>
  </si>
  <si>
    <t>No-dachi</t>
  </si>
  <si>
    <t>Parangu</t>
  </si>
  <si>
    <t>Cimeterre</t>
  </si>
  <si>
    <t>Wakizashi</t>
  </si>
  <si>
    <t>Armes Improvisées</t>
  </si>
  <si>
    <t>Arts Martiaux</t>
  </si>
  <si>
    <t>Lutte</t>
  </si>
  <si>
    <t>Concentration</t>
  </si>
  <si>
    <t>Evaluation</t>
  </si>
  <si>
    <t>Destier Utaku</t>
  </si>
  <si>
    <t>Poney Rokugani</t>
  </si>
  <si>
    <t>Aiguchi</t>
  </si>
  <si>
    <t>Kama</t>
  </si>
  <si>
    <t>Sai</t>
  </si>
  <si>
    <t>Eclaireur</t>
  </si>
  <si>
    <t>Pistage</t>
  </si>
  <si>
    <t>Survie</t>
  </si>
  <si>
    <t>Bo</t>
  </si>
  <si>
    <t>Jo</t>
  </si>
  <si>
    <t>Machi-kanshisha</t>
  </si>
  <si>
    <t>Nunchaku</t>
  </si>
  <si>
    <t>Sang Kauw</t>
  </si>
  <si>
    <t>Tonfa</t>
  </si>
  <si>
    <t>Course</t>
  </si>
  <si>
    <t>Escalade</t>
  </si>
  <si>
    <t>Lancer</t>
  </si>
  <si>
    <t>Natation</t>
  </si>
  <si>
    <t>Arbalètes</t>
  </si>
  <si>
    <t>Epée</t>
  </si>
  <si>
    <t>Gourdin et Massue</t>
  </si>
  <si>
    <t>Spécialisation 6</t>
  </si>
  <si>
    <t xml:space="preserve"> Sociale</t>
  </si>
  <si>
    <t xml:space="preserve"> Armes</t>
  </si>
  <si>
    <t xml:space="preserve"> Artisanat</t>
  </si>
  <si>
    <t>Sociale,  Spectacle</t>
  </si>
  <si>
    <t>Maitrise Rang 3</t>
  </si>
  <si>
    <t>Maitrise Rang 5</t>
  </si>
  <si>
    <t>Maitrise Rang 7</t>
  </si>
  <si>
    <t>Debout sur les cieux</t>
  </si>
  <si>
    <t>L'Empire repose sur son bord</t>
  </si>
  <si>
    <t>Avers de la Pierre</t>
  </si>
  <si>
    <t>Invaincu et Intact</t>
  </si>
  <si>
    <t>Bénédiction du Kami de l'Air</t>
  </si>
  <si>
    <t>Vol de la Flèche</t>
  </si>
  <si>
    <t>Château d'Air</t>
  </si>
  <si>
    <t>Défenseur de l'Au-delà</t>
  </si>
  <si>
    <t>Codage Elémentaire</t>
  </si>
  <si>
    <t>Face à vos Tourments</t>
  </si>
  <si>
    <t>Vol de Colombes</t>
  </si>
  <si>
    <t>Liberté de l'Air</t>
  </si>
  <si>
    <t>Rites Funéraires</t>
  </si>
  <si>
    <t>Langue Brouilée</t>
  </si>
  <si>
    <t>Rassemblement de Tourbillons</t>
  </si>
  <si>
    <t>Hurlement d'Isora</t>
  </si>
  <si>
    <t>Percer le Ciel</t>
  </si>
  <si>
    <t>Quintessence de l'Air</t>
  </si>
  <si>
    <t>Requête à Hato-no-Kami</t>
  </si>
  <si>
    <t>Chercher le Chemin</t>
  </si>
  <si>
    <t>Âme de Kaze-no-Kami</t>
  </si>
  <si>
    <t>Oreille de Tenjin</t>
  </si>
  <si>
    <t>Voix du Vent</t>
  </si>
  <si>
    <t>Murmure des Oubliés</t>
  </si>
  <si>
    <t>Vent de la Lune</t>
  </si>
  <si>
    <t>Sommeils nés du Vent</t>
  </si>
  <si>
    <t>Sagesse des Kami</t>
  </si>
  <si>
    <t>S'appuyer sur la Montagne</t>
  </si>
  <si>
    <t>Glyphe du Dragon de la Terre</t>
  </si>
  <si>
    <t>Flux de la Terre</t>
  </si>
  <si>
    <t>Energie Tellurique</t>
  </si>
  <si>
    <t>Bosquets de Pierre</t>
  </si>
  <si>
    <t>Malédiction de Jurojin</t>
  </si>
  <si>
    <t>Morsure de la Terre</t>
  </si>
  <si>
    <t>Murmure de laTerre</t>
  </si>
  <si>
    <t>Rites de Préservation</t>
  </si>
  <si>
    <t>Abri de la Terre</t>
  </si>
  <si>
    <t>Soldats d'Argile</t>
  </si>
  <si>
    <t>Endurance de la Pierre</t>
  </si>
  <si>
    <t>Dompter la Bête</t>
  </si>
  <si>
    <t>Main Mortelle du Temps</t>
  </si>
  <si>
    <t>Chuchotements de la Terre</t>
  </si>
  <si>
    <t>Prison de Bois</t>
  </si>
  <si>
    <t>Bouclier d'Agasha (Malédiction de Tamori)</t>
  </si>
  <si>
    <t>Bénédiction du Soleil</t>
  </si>
  <si>
    <t>Château de Feu</t>
  </si>
  <si>
    <t>Consumé par Cinq Feux</t>
  </si>
  <si>
    <t>Malédiction de la Main Brulante</t>
  </si>
  <si>
    <t>Essence du Feu</t>
  </si>
  <si>
    <t>Yeux du Phénix</t>
  </si>
  <si>
    <t>Bénédiction du Kami du Feu</t>
  </si>
  <si>
    <t>Don d'Amaterasu</t>
  </si>
  <si>
    <t>Serment des Cieux</t>
  </si>
  <si>
    <t>Bénédiction d'Osano-Wo</t>
  </si>
  <si>
    <t>Pureté de Shinsei</t>
  </si>
  <si>
    <t>Talon du Dragon (Feu de Kuro)</t>
  </si>
  <si>
    <t>Furie des Elements</t>
  </si>
  <si>
    <t>Feu de Détresse</t>
  </si>
  <si>
    <t>Flammes Chuchotantes</t>
  </si>
  <si>
    <t>Ailes de Feu</t>
  </si>
  <si>
    <t>Touché par la Grâce de l'Air</t>
  </si>
  <si>
    <t>Glyphes, Impérial</t>
  </si>
  <si>
    <t>Chercher la Vérité</t>
  </si>
  <si>
    <t>Héritage de Kaze-no-Kami</t>
  </si>
  <si>
    <t>Art de la Tromperie</t>
  </si>
  <si>
    <t>Yari de l'Air</t>
  </si>
  <si>
    <t>Manteau de Nuit</t>
  </si>
  <si>
    <t>Lumière de la Lune</t>
  </si>
  <si>
    <t>Vent Béni</t>
  </si>
  <si>
    <t>Influence de la Nature</t>
  </si>
  <si>
    <t>Tornade</t>
  </si>
  <si>
    <t>Souvenir Matérialisé</t>
  </si>
  <si>
    <t>Influence de Benten</t>
  </si>
  <si>
    <t>Visage Masqué</t>
  </si>
  <si>
    <t>Brumes d'Illusion</t>
  </si>
  <si>
    <t>Secrets du Vent</t>
  </si>
  <si>
    <t>Murmure des Kamis</t>
  </si>
  <si>
    <t>Vent de Murmures</t>
  </si>
  <si>
    <t>Proposition du Loup</t>
  </si>
  <si>
    <t>Essence de l'Air</t>
  </si>
  <si>
    <t>Masque de Vent</t>
  </si>
  <si>
    <t>Appel de la Tempête</t>
  </si>
  <si>
    <t>Appel du Brouillard</t>
  </si>
  <si>
    <t>Bouclier des Tornades</t>
  </si>
  <si>
    <t>L'Oeuil de Verra Point</t>
  </si>
  <si>
    <t>Ennemi Intime</t>
  </si>
  <si>
    <t>Appel de l'Esprit</t>
  </si>
  <si>
    <t>Royaume Factice</t>
  </si>
  <si>
    <t>Don du Vent</t>
  </si>
  <si>
    <t>Percer l'Esprit</t>
  </si>
  <si>
    <t>Netsuke du Vent</t>
  </si>
  <si>
    <t>Symbole de l'Air</t>
  </si>
  <si>
    <t>Esprit Embrumé</t>
  </si>
  <si>
    <t>Dissiper les Ombres</t>
  </si>
  <si>
    <t>Echos de la Brise</t>
  </si>
  <si>
    <t>Légion de la Lune</t>
  </si>
  <si>
    <t>Couteaux Meurtriers</t>
  </si>
  <si>
    <t>Contrôle de l'Air</t>
  </si>
  <si>
    <t>Contrôle du Feu</t>
  </si>
  <si>
    <t>Légion Illusoire</t>
  </si>
  <si>
    <t>Courroux de Kaze-no-Kami (Ouragan)</t>
  </si>
  <si>
    <t>Bo de l'Eau</t>
  </si>
  <si>
    <t>Clarté de l'Objectif</t>
  </si>
  <si>
    <t>Force Déclinante</t>
  </si>
  <si>
    <t>Voie Vers la Paix Intérieure</t>
  </si>
  <si>
    <t>Reflets de Pan Ku</t>
  </si>
  <si>
    <t>Revers de Fortune</t>
  </si>
  <si>
    <t>Vitesse de la Cascade</t>
  </si>
  <si>
    <t>Esprit de l'Eau</t>
  </si>
  <si>
    <t>Transfert d'Energies</t>
  </si>
  <si>
    <t>Célérité des Flots</t>
  </si>
  <si>
    <t>Cape des Miya</t>
  </si>
  <si>
    <t>Bassin Réfléchissant</t>
  </si>
  <si>
    <t>Buée Revigorante</t>
  </si>
  <si>
    <t>Résister aux Vagues d'Assaut</t>
  </si>
  <si>
    <t>Liens Spirituels</t>
  </si>
  <si>
    <t>Porté par les Vagues</t>
  </si>
  <si>
    <t>Sagesse et Clarté</t>
  </si>
  <si>
    <t>Eau Glacée</t>
  </si>
  <si>
    <t>Guérison des Blessures</t>
  </si>
  <si>
    <t>Eaux Silencieuses</t>
  </si>
  <si>
    <t>Frappe du Tsunami</t>
  </si>
  <si>
    <t>Visions du Futur</t>
  </si>
  <si>
    <t>Chevaucher les Vagues</t>
  </si>
  <si>
    <t>Bénédiction du Kami de l'Eau</t>
  </si>
  <si>
    <t>Empire de Suitengu</t>
  </si>
  <si>
    <t>Flux et Reflux de la Bataille</t>
  </si>
  <si>
    <t>Cœur du Dragon de l'Eau</t>
  </si>
  <si>
    <t>Symbole de l'Eau</t>
  </si>
  <si>
    <t>Fluidité de la Frappe</t>
  </si>
  <si>
    <t>Voie non Suivie</t>
  </si>
  <si>
    <t>Vagues Trompeuses</t>
  </si>
  <si>
    <t>Main des Marées</t>
  </si>
  <si>
    <t>Puissance de l'Océan</t>
  </si>
  <si>
    <t>Accolade de Suitengu</t>
  </si>
  <si>
    <t>Lien Ultime</t>
  </si>
  <si>
    <t>Paix des Kami</t>
  </si>
  <si>
    <t>Contrôle de l'Eau</t>
  </si>
  <si>
    <t>Douce Clarté de l'Eau</t>
  </si>
  <si>
    <t>Baiser Brûlant de l'Acier</t>
  </si>
  <si>
    <t>Extinction</t>
  </si>
  <si>
    <t>Feux Purificateurs</t>
  </si>
  <si>
    <t>Katana du Feu</t>
  </si>
  <si>
    <t>Jamais Seul</t>
  </si>
  <si>
    <t>Forge Ardente</t>
  </si>
  <si>
    <t>Lame Acérée</t>
  </si>
  <si>
    <t>Convoitise des Flammes</t>
  </si>
  <si>
    <t>Fureur of Osano-Wo</t>
  </si>
  <si>
    <t>Feux de la Destruction</t>
  </si>
  <si>
    <t>Fascinante Danse de la Flamme</t>
  </si>
  <si>
    <t>Chaleur Implacable</t>
  </si>
  <si>
    <t>Queue du Dragon de Feu</t>
  </si>
  <si>
    <t>Feu Intérieur</t>
  </si>
  <si>
    <t>Glyphe de Pureté</t>
  </si>
  <si>
    <t>Souffle du Dragon de Feu</t>
  </si>
  <si>
    <t>Colère Ardente</t>
  </si>
  <si>
    <t>Brume d'Agressivité</t>
  </si>
  <si>
    <t>Lame Affamée</t>
  </si>
  <si>
    <t>Lumière Vive</t>
  </si>
  <si>
    <t>Poing d'Osano-Wo</t>
  </si>
  <si>
    <t>Nuée Vorace</t>
  </si>
  <si>
    <t>Souffle de la Bataille</t>
  </si>
  <si>
    <t>Flamme Morte</t>
  </si>
  <si>
    <t>Mur de Feu</t>
  </si>
  <si>
    <t>Symbole du Feu</t>
  </si>
  <si>
    <t>Forge Réparatrice</t>
  </si>
  <si>
    <t>Défense du Brasier</t>
  </si>
  <si>
    <t>Glyphe du Tonnerre</t>
  </si>
  <si>
    <t>Vague Destructrice</t>
  </si>
  <si>
    <t>Fureur Inextinguible</t>
  </si>
  <si>
    <t>Suivre la Flamme</t>
  </si>
  <si>
    <t>Lumière du Soleil</t>
  </si>
  <si>
    <t>Ailes du Phénix</t>
  </si>
  <si>
    <t>Globe du Soleil Eternel</t>
  </si>
  <si>
    <t>Lame Spirituelle</t>
  </si>
  <si>
    <t>Rayon de Fournaise</t>
  </si>
  <si>
    <t>Armure de la Terre</t>
  </si>
  <si>
    <t>Courage des Sept Tonnerres</t>
  </si>
  <si>
    <t>Paralysie de la Terre</t>
  </si>
  <si>
    <t>Glyphe de Protection Elémentaire</t>
  </si>
  <si>
    <t>Âme de Roche</t>
  </si>
  <si>
    <t>Tetsubo de la Terre</t>
  </si>
  <si>
    <t>Baume de Jurojin</t>
  </si>
  <si>
    <t>Coercition Mineure</t>
  </si>
  <si>
    <t>Accolade de Kenro-ji-jin</t>
  </si>
  <si>
    <t>Frappe de Jade</t>
  </si>
  <si>
    <t>Influence de la Terre</t>
  </si>
  <si>
    <t>Être la Montagne</t>
  </si>
  <si>
    <t>La Terre devient le Ciel</t>
  </si>
  <si>
    <t>Volonté Absolue</t>
  </si>
  <si>
    <t>Emprise de la Terre</t>
  </si>
  <si>
    <t>Mains d'Argile</t>
  </si>
  <si>
    <t>Stabilité de la Montagne</t>
  </si>
  <si>
    <t>Unité du Monde</t>
  </si>
  <si>
    <t>Liens de Ningen-Do</t>
  </si>
  <si>
    <t>Bénédiction du Kami de la Terre</t>
  </si>
  <si>
    <t>Force du Corbeau</t>
  </si>
  <si>
    <t>Miséricorde du Loup</t>
  </si>
  <si>
    <t>Armure de l'Empereur</t>
  </si>
  <si>
    <t>Essence de la Terre</t>
  </si>
  <si>
    <t>Symbole de la Terre</t>
  </si>
  <si>
    <t>Tombe de Jade</t>
  </si>
  <si>
    <t>Mur de Terre</t>
  </si>
  <si>
    <t>Partager la Force du Nombre</t>
  </si>
  <si>
    <t>Purger la Souillure</t>
  </si>
  <si>
    <t>Protection de la Terre</t>
  </si>
  <si>
    <t>Tremblement de Terre</t>
  </si>
  <si>
    <t>Coercition Majeure</t>
  </si>
  <si>
    <t>Force des Kami</t>
  </si>
  <si>
    <t>Volonté des Kami</t>
  </si>
  <si>
    <t>Pouvoir du Dragon de la Terre</t>
  </si>
  <si>
    <t>Prison de Terre</t>
  </si>
  <si>
    <t>Contrôle de la Terre</t>
  </si>
  <si>
    <t>Communion</t>
  </si>
  <si>
    <t>Invocation</t>
  </si>
  <si>
    <t>Contemplation des Possibles</t>
  </si>
  <si>
    <t>Percer le Mensonge</t>
  </si>
  <si>
    <t>Sentir le Vide</t>
  </si>
  <si>
    <t>Drainer le Vide</t>
  </si>
  <si>
    <t>Effleurement de la Vacuité</t>
  </si>
  <si>
    <t>Transmutation du Vide</t>
  </si>
  <si>
    <t>Vision Sans Limite</t>
  </si>
  <si>
    <t>Altérer le Destin</t>
  </si>
  <si>
    <t>Boire l'essence de l'Être</t>
  </si>
  <si>
    <t>Murmures Fallacieux</t>
  </si>
  <si>
    <t>Isolé du Flux</t>
  </si>
  <si>
    <t>Main du Vide</t>
  </si>
  <si>
    <t>Voix du Silence</t>
  </si>
  <si>
    <t>Echos du Vide</t>
  </si>
  <si>
    <t>Dessein Karmique</t>
  </si>
  <si>
    <t>Lecture de l'Essence</t>
  </si>
  <si>
    <t>Libération du Vide</t>
  </si>
  <si>
    <t>Moment de Clairvoyance</t>
  </si>
  <si>
    <t>Equilibre des Eléments</t>
  </si>
  <si>
    <t>Morsure du Vide</t>
  </si>
  <si>
    <t>Remplir de Vacuité</t>
  </si>
  <si>
    <t>Refermer le Voile</t>
  </si>
  <si>
    <t>Reforger</t>
  </si>
  <si>
    <t>Essence Libérée</t>
  </si>
  <si>
    <t>Anneau du Vide</t>
  </si>
  <si>
    <t>Renaissance</t>
  </si>
  <si>
    <t>Annihilation</t>
  </si>
  <si>
    <t>Ecrit dans le Sang</t>
  </si>
  <si>
    <t>Hémorragie</t>
  </si>
  <si>
    <t>Héritage du Sombre Seigneur</t>
  </si>
  <si>
    <t>Inspirer la Peur</t>
  </si>
  <si>
    <t>Sang et Ténèbres</t>
  </si>
  <si>
    <t>Songes Pêcheurs</t>
  </si>
  <si>
    <t>Cœur de Haine</t>
  </si>
  <si>
    <t>Souffle Impur</t>
  </si>
  <si>
    <t>La Vérité est un Fléau</t>
  </si>
  <si>
    <t>Membre Neutralisé</t>
  </si>
  <si>
    <t>Malédiction de Faiblesse</t>
  </si>
  <si>
    <t>Marionnettiste</t>
  </si>
  <si>
    <t>Armure d'Obsidienne</t>
  </si>
  <si>
    <t>Force des Ténèbres</t>
  </si>
  <si>
    <t>Rite Sanglant</t>
  </si>
  <si>
    <t>Invoquer un Champion Mort-Vivant</t>
  </si>
  <si>
    <t>Caresse de Fu Leng</t>
  </si>
  <si>
    <t>Absorber l'Âme</t>
  </si>
  <si>
    <t>Douleur</t>
  </si>
  <si>
    <t>Répandre les Ténèbres</t>
  </si>
  <si>
    <t>Essence de la Fausse Vie</t>
  </si>
  <si>
    <t>Invoquer un Oni</t>
  </si>
  <si>
    <t>Mort par-Delà la Vie</t>
  </si>
  <si>
    <t>Chaînes de Jigoku</t>
  </si>
  <si>
    <t>Vol d'Âme</t>
  </si>
  <si>
    <t>Toucher de Mort</t>
  </si>
  <si>
    <t>Séparation Ancestrale de Yomi</t>
  </si>
  <si>
    <t>Symbole de l'Adepte du Sang</t>
  </si>
  <si>
    <t>Nature Bestiale de Chikushudo</t>
  </si>
  <si>
    <t>Sens Animaux de Chikushudo</t>
  </si>
  <si>
    <t>Connaissance de Yomi</t>
  </si>
  <si>
    <t>Banni de Yomi</t>
  </si>
  <si>
    <t>Uni à Chikushudo</t>
  </si>
  <si>
    <t>Soif de Sang de Toshigoku</t>
  </si>
  <si>
    <t>Messages oniriques de Yume-do</t>
  </si>
  <si>
    <t>Martyre de Toshigoku</t>
  </si>
  <si>
    <t>Cauchemars Atroces de Yume-do</t>
  </si>
  <si>
    <t>Piégé en Yume-do</t>
  </si>
  <si>
    <t>Bienveillance de Tengoku</t>
  </si>
  <si>
    <t>Vandalisme de Sakkaku</t>
  </si>
  <si>
    <t>Farces Cruelles de Sakkaru</t>
  </si>
  <si>
    <t>Bouclier de Tengoku</t>
  </si>
  <si>
    <t>Rejeté par Sakkaku</t>
  </si>
  <si>
    <t>Grâce de Tengoku</t>
  </si>
  <si>
    <t>Faim Ardente de Gaki-do</t>
  </si>
  <si>
    <t>Introspection Léthargique de Meido</t>
  </si>
  <si>
    <t>Faim Dévorante de Gaki-do</t>
  </si>
  <si>
    <t>Appel de Meido</t>
  </si>
  <si>
    <t>Consumé par Gaki-do</t>
  </si>
  <si>
    <t>Mis en Doute par Meido</t>
  </si>
  <si>
    <t>Tombe de Terre</t>
  </si>
  <si>
    <t>Equilibre en Tout</t>
  </si>
  <si>
    <t>Cœur des Damnés</t>
  </si>
  <si>
    <t>Glyphe de Paix Divine</t>
  </si>
  <si>
    <t>Purge des Faibles</t>
  </si>
  <si>
    <t>Sucer la Moelle</t>
  </si>
  <si>
    <t>Symbole de Sang</t>
  </si>
  <si>
    <t>Ailes Ténébreuses</t>
  </si>
  <si>
    <t>Don du Créateur</t>
  </si>
  <si>
    <t>Sang Brûlant</t>
  </si>
  <si>
    <t>Armure de Sang</t>
  </si>
  <si>
    <t>Sang de la Terre Féroce</t>
  </si>
  <si>
    <t>Parole de Bête</t>
  </si>
  <si>
    <t>Plier le Nom</t>
  </si>
  <si>
    <t>Bénédiction du Nom</t>
  </si>
  <si>
    <t>Rêve Incarné</t>
  </si>
  <si>
    <t>Appel à la Générosité de la Terre</t>
  </si>
  <si>
    <t>Conjuration de Fumée</t>
  </si>
  <si>
    <t>Voyage dans les Rêves</t>
  </si>
  <si>
    <t>Importuner les Transcendants</t>
  </si>
  <si>
    <t>Réparation du Nom</t>
  </si>
  <si>
    <t>Ami Nommé</t>
  </si>
  <si>
    <t>Arme Nommée</t>
  </si>
  <si>
    <t>Frapper les Innommés</t>
  </si>
  <si>
    <t>Brûler le Nom</t>
  </si>
  <si>
    <t>Conjurer un Animal</t>
  </si>
  <si>
    <t>Conjuer l'Arme Nomée</t>
  </si>
  <si>
    <t>Restauration du Nom Parfait</t>
  </si>
  <si>
    <t>Nommer les Talents</t>
  </si>
  <si>
    <t>Purification du Nom</t>
  </si>
  <si>
    <t>Chercher le Nom</t>
  </si>
  <si>
    <t>Partage des Méninges</t>
  </si>
  <si>
    <t>Partage du Nom</t>
  </si>
  <si>
    <t>Liens de Sang</t>
  </si>
  <si>
    <t>Conjuration des Pensées</t>
  </si>
  <si>
    <t>Conjuration de Mujina</t>
  </si>
  <si>
    <t>Mutisme</t>
  </si>
  <si>
    <t>Trouver le Nom</t>
  </si>
  <si>
    <t>Terrier Nommé</t>
  </si>
  <si>
    <t>Protection du Nom</t>
  </si>
  <si>
    <t>Fortifier l'Arme Nommée</t>
  </si>
  <si>
    <t>Permutation des Noms</t>
  </si>
  <si>
    <t>Prisonnier du Nom</t>
  </si>
  <si>
    <t>Fermer la Porte</t>
  </si>
  <si>
    <t>Appel</t>
  </si>
  <si>
    <t>Peinture des Noms</t>
  </si>
  <si>
    <t>Sang Préservé</t>
  </si>
  <si>
    <t>Ruse Dérobée</t>
  </si>
  <si>
    <t>Nom Perverti</t>
  </si>
  <si>
    <t>Furie des Chitatchikkan</t>
  </si>
  <si>
    <t>Conjuration du Cauchemar</t>
  </si>
  <si>
    <t>Conjuration de la Tempête</t>
  </si>
  <si>
    <t>Conjuration de la Tribu</t>
  </si>
  <si>
    <t>Nom Confisqué</t>
  </si>
  <si>
    <t>Rêve Eternel</t>
  </si>
  <si>
    <t>Malédiction de la Langue Noire</t>
  </si>
  <si>
    <t>Partager les Ténèbres</t>
  </si>
  <si>
    <t>Soulèvement Eternel</t>
  </si>
  <si>
    <t>Vent Béni de Dame Soleil</t>
  </si>
  <si>
    <t>Le Cœur Trahit les Yeux</t>
  </si>
  <si>
    <t>Jugement de Yomi</t>
  </si>
  <si>
    <t>Creuset Elémentaire</t>
  </si>
  <si>
    <t>Fléchette du Vide</t>
  </si>
  <si>
    <t>Malédiction du Clan</t>
  </si>
  <si>
    <t>Malédiction des Kansen</t>
  </si>
  <si>
    <t>Danse avec les Démons</t>
  </si>
  <si>
    <t>Les Yeux de Maître Nuage</t>
  </si>
  <si>
    <t>Le Sourire du Miroir</t>
  </si>
  <si>
    <t>Le Monde est Vérité</t>
  </si>
  <si>
    <t>Brumes de la Peur</t>
  </si>
  <si>
    <t>Vol de Corps</t>
  </si>
  <si>
    <t>Invocation Mineure du Vent</t>
  </si>
  <si>
    <t>Pas Précipités</t>
  </si>
  <si>
    <t>Perturbation de l'Aura</t>
  </si>
  <si>
    <t>Vivacité Mentale</t>
  </si>
  <si>
    <t>Frapper comme les Racines</t>
  </si>
  <si>
    <t>Perle de la Lumière Purificatrice</t>
  </si>
  <si>
    <t>Perle de Défense</t>
  </si>
  <si>
    <t>Perle du Jugement</t>
  </si>
  <si>
    <t>Perle du Mouvement</t>
  </si>
  <si>
    <t>Perle de Preste Retribution</t>
  </si>
  <si>
    <t>Frappe de Saphir</t>
  </si>
  <si>
    <t>Poing de l'Air</t>
  </si>
  <si>
    <t>Chevaucher les Nuages</t>
  </si>
  <si>
    <t>Meurtissure de l'Âme</t>
  </si>
  <si>
    <t>Poing de la Terre</t>
  </si>
  <si>
    <t>La Terre n'a Pas d'Yeux</t>
  </si>
  <si>
    <t>Poing d'Acier</t>
  </si>
  <si>
    <t>Poing de la Flamme</t>
  </si>
  <si>
    <t>Porté par les Kami</t>
  </si>
  <si>
    <t>Chevaucher les Dragon d'Eau</t>
  </si>
  <si>
    <t>Chant du Monde</t>
  </si>
  <si>
    <t>Jusqu'au Dernier Souffle</t>
  </si>
  <si>
    <t>Âme des Quatre Vents</t>
  </si>
  <si>
    <t>Esprit Purificateur</t>
  </si>
  <si>
    <t>Vitesse des Montagnes</t>
  </si>
  <si>
    <t>Voie de la Terre</t>
  </si>
  <si>
    <t>Coup du Destin</t>
  </si>
  <si>
    <t>Fugacité du Feu</t>
  </si>
  <si>
    <t>Le Corps Est une Enclume</t>
  </si>
  <si>
    <t>Déséquilibre de l'Esprit</t>
  </si>
  <si>
    <t>Chi Protecteur</t>
  </si>
  <si>
    <t>Flots en Toutes Choses</t>
  </si>
  <si>
    <t>Bannissement des Ombres</t>
  </si>
  <si>
    <t>Effleurer le Dragon du Vide</t>
  </si>
  <si>
    <t>Poing du Vide</t>
  </si>
  <si>
    <t>Harmonie Spirituelle</t>
  </si>
  <si>
    <t>Voie du Saule</t>
  </si>
  <si>
    <t>Etreindre la Pierre</t>
  </si>
  <si>
    <t>Saisir le Dragon de la Terre</t>
  </si>
  <si>
    <t>Repose-Toi, Mon Frère</t>
  </si>
  <si>
    <t>Racine de la Montagne</t>
  </si>
  <si>
    <t>Tels les Brisants</t>
  </si>
  <si>
    <t>Lucidité Souveraine</t>
  </si>
  <si>
    <t>Salut Silencieux</t>
  </si>
  <si>
    <t>Dérober le Dragon de l'Air</t>
  </si>
  <si>
    <t>Dompter le Dragon du Feu</t>
  </si>
  <si>
    <t>Danse des Flammes</t>
  </si>
  <si>
    <t>Canaliser les Vagues</t>
  </si>
  <si>
    <t>Coup de l'Etoile Filante</t>
  </si>
  <si>
    <t>Gel de l'Essence Vitale</t>
  </si>
  <si>
    <t>Tonnerre des Flots</t>
  </si>
  <si>
    <t>Caresse de la Mort</t>
  </si>
  <si>
    <t>Tourner le Roue Karmique</t>
  </si>
  <si>
    <t>Vision du Vent</t>
  </si>
  <si>
    <t>Appeler le Vent d'Est</t>
  </si>
  <si>
    <t>Oeuil de l'Aigle</t>
  </si>
  <si>
    <t>Frapper à travers les Vents</t>
  </si>
  <si>
    <t>Parole de Tonnerre</t>
  </si>
  <si>
    <t>Censure du Tonnerre</t>
  </si>
  <si>
    <t>Paume d'Ouragan</t>
  </si>
  <si>
    <t>Caresse de la Tempête</t>
  </si>
  <si>
    <t>Colère d'Inari</t>
  </si>
  <si>
    <t>Profondeurs du Monde</t>
  </si>
  <si>
    <t>Avalanche Déferlante</t>
  </si>
  <si>
    <t>Paume de la Terre</t>
  </si>
  <si>
    <t>Harmonie dans la Terre</t>
  </si>
  <si>
    <t>Gravir la Montagne</t>
  </si>
  <si>
    <t>Montagne Obscurcie</t>
  </si>
  <si>
    <t>Intégralité dans Tout</t>
  </si>
  <si>
    <t>Emprise de Bishamon</t>
  </si>
  <si>
    <t>Feu de l'Esprit</t>
  </si>
  <si>
    <t>Rompre la Caresse du Sombre Seigneur</t>
  </si>
  <si>
    <t>Poing des Sept Tempêtes</t>
  </si>
  <si>
    <t>Transmuter</t>
  </si>
  <si>
    <t>Bâton du Constructeur</t>
  </si>
  <si>
    <t>Bâton du Sapeur</t>
  </si>
  <si>
    <t>Bâton du Père</t>
  </si>
  <si>
    <t>Bâton du Bonheur</t>
  </si>
  <si>
    <t>Bâton de la Mère</t>
  </si>
  <si>
    <t>Bâton de l'Eclaireur</t>
  </si>
  <si>
    <t>Bâton du Nageur</t>
  </si>
  <si>
    <t>Bâton du Vagabond</t>
  </si>
  <si>
    <t>Bâton du Guerrier</t>
  </si>
  <si>
    <t>Bâton de Subsistance</t>
  </si>
  <si>
    <t>Bâton de l'Amitié</t>
  </si>
  <si>
    <t>Bâtons de Camaraderie</t>
  </si>
  <si>
    <t>Bâton d'Olfaction</t>
  </si>
  <si>
    <t>Bâton du Coureur</t>
  </si>
  <si>
    <t>Bâton du Grapilleur</t>
  </si>
  <si>
    <t>Bâton du Berserker</t>
  </si>
  <si>
    <t>Bâton du Démon</t>
  </si>
  <si>
    <t>Bâton du Rêveur</t>
  </si>
  <si>
    <t>Bâton  du Commerçant</t>
  </si>
  <si>
    <t>Bâton du Sage</t>
  </si>
  <si>
    <t>Bâton de l'Armurier</t>
  </si>
  <si>
    <t>Bâton de Vie</t>
  </si>
  <si>
    <t>Bâton des Poisons</t>
  </si>
  <si>
    <t>Bâton du Chamane</t>
  </si>
  <si>
    <t>Bâton des Esprits</t>
  </si>
  <si>
    <t>Bâton Solaire</t>
  </si>
  <si>
    <t>Bâton du Chef</t>
  </si>
  <si>
    <t>Bâton du Mal</t>
  </si>
  <si>
    <t>Bâton d'Anamnète</t>
  </si>
  <si>
    <t>Bâton du Demain</t>
  </si>
  <si>
    <t>Bâton du Trésor</t>
  </si>
  <si>
    <t>Bâton d'Amant</t>
  </si>
  <si>
    <t>Bambou</t>
  </si>
  <si>
    <t>Ecole:</t>
  </si>
  <si>
    <t>Clan:</t>
  </si>
  <si>
    <t>Nom:</t>
  </si>
  <si>
    <t>Rang de Maitrise:</t>
  </si>
  <si>
    <t>Honneur:</t>
  </si>
  <si>
    <t>Gloire:</t>
  </si>
  <si>
    <t>Souillure:</t>
  </si>
  <si>
    <t>Infâmie:</t>
  </si>
  <si>
    <t>Réputation:</t>
  </si>
  <si>
    <t>/</t>
  </si>
  <si>
    <t>ND d'Armure:</t>
  </si>
  <si>
    <t>Initiative: (Réf.+Répuration/Réf.):</t>
  </si>
  <si>
    <t>g</t>
  </si>
  <si>
    <t>Prix</t>
  </si>
  <si>
    <t>Vitesse de déplacement par action (p.85)</t>
  </si>
  <si>
    <t>Gratuite</t>
  </si>
  <si>
    <t>Simple</t>
  </si>
  <si>
    <t>Complexe</t>
  </si>
  <si>
    <t>Maximum</t>
  </si>
  <si>
    <t>(Eau x 6m)</t>
  </si>
  <si>
    <t>Combat de masse (p.240)</t>
  </si>
  <si>
    <t>Points de vide utilisés:</t>
  </si>
  <si>
    <t>Compétence</t>
  </si>
  <si>
    <t>Trait:</t>
  </si>
  <si>
    <t>Jet:</t>
  </si>
  <si>
    <t>Prix:</t>
  </si>
  <si>
    <t>Rang:</t>
  </si>
  <si>
    <t>Indemne (+0)</t>
  </si>
  <si>
    <t>Egratigné (+3)</t>
  </si>
  <si>
    <t>Bléssé (+10)</t>
  </si>
  <si>
    <t>Impotent (+20)</t>
  </si>
  <si>
    <t>Epuisé (+40)</t>
  </si>
  <si>
    <t>Hors de combat</t>
  </si>
  <si>
    <t>Main directrice:</t>
  </si>
  <si>
    <t>Main non-directrice:</t>
  </si>
  <si>
    <t>Arme moyenne: -10 à l'attaque</t>
  </si>
  <si>
    <t>Grande arme: -15 à l'attaque</t>
  </si>
  <si>
    <t>Petite arme: -5 à l'attaque</t>
  </si>
  <si>
    <t>Bonus au ND d'armure (=Rang de réputation):</t>
  </si>
  <si>
    <t>CONSTITUTION</t>
  </si>
  <si>
    <t>VOLONTE</t>
  </si>
  <si>
    <t>FORCE</t>
  </si>
  <si>
    <t>PERCEPTION</t>
  </si>
  <si>
    <t>REFLEXES</t>
  </si>
  <si>
    <t>INTUITION</t>
  </si>
  <si>
    <t>AGILITE</t>
  </si>
  <si>
    <t>INTELLIGENCE</t>
  </si>
  <si>
    <t>XP totaux (40+ gagnés)/XP à dépenser:</t>
  </si>
  <si>
    <t>Légèrement bléssé (+5)</t>
  </si>
  <si>
    <t>Gravement bléssé (+15)</t>
  </si>
  <si>
    <t>Daimyo:</t>
  </si>
  <si>
    <t>(1pt de vide pour agir)</t>
  </si>
  <si>
    <t>Togashi</t>
  </si>
  <si>
    <t>Type:</t>
  </si>
  <si>
    <t>Conn.: Royaumes Spirituels</t>
  </si>
  <si>
    <t>(action de mvt 1cran + dur)</t>
  </si>
  <si>
    <t>(Eau x3m)</t>
  </si>
  <si>
    <t>(EauX1,5m)</t>
  </si>
  <si>
    <t>Clans</t>
  </si>
  <si>
    <t>Numéros</t>
  </si>
  <si>
    <t>Famille:</t>
  </si>
  <si>
    <t>Constitution</t>
  </si>
  <si>
    <t>Volonté</t>
  </si>
  <si>
    <t>Réflexes</t>
  </si>
  <si>
    <t>Traits</t>
  </si>
  <si>
    <t>Anneaux</t>
  </si>
  <si>
    <t>Ordre des Moines de l'Araignée</t>
  </si>
  <si>
    <t>Honneur</t>
  </si>
  <si>
    <t>Epéiste Taoiste Mirumoto</t>
  </si>
  <si>
    <t>Dompteur Matsu</t>
  </si>
  <si>
    <t>Seigneur du Gang des Hommes de Feu</t>
  </si>
  <si>
    <t>Ogre</t>
  </si>
  <si>
    <t>Kenku</t>
  </si>
  <si>
    <t>Tsuno</t>
  </si>
  <si>
    <t>Ordre Fudoiste (Bas)</t>
  </si>
  <si>
    <t>Ordre Fudoiste (Haut)</t>
  </si>
  <si>
    <t>Bonus de vide:</t>
  </si>
  <si>
    <t>Rang Rep.:</t>
  </si>
  <si>
    <t>Spécialisation*:</t>
  </si>
  <si>
    <t>Bonus/Malus</t>
  </si>
  <si>
    <t>Notes:</t>
  </si>
  <si>
    <t>Flèches</t>
  </si>
  <si>
    <t>Dmg.</t>
  </si>
  <si>
    <t>Qté.</t>
  </si>
  <si>
    <t>Agent Dormant Suicidaire</t>
  </si>
  <si>
    <t>Fouet</t>
  </si>
  <si>
    <t>Peut déclencher une Empoignade</t>
  </si>
  <si>
    <t>Peut déclencher une Empoignade, +1g0 vs Enchevêtrés</t>
  </si>
  <si>
    <t>+5 Initiative au 1er Round</t>
  </si>
  <si>
    <t>+5 Initiative au 1er Round, +1g0 vs. Monture ou Enorme</t>
  </si>
  <si>
    <t>Peut déclencher une Empoignade, +1g0 vs Enchevêtrés, AG pr Désarmement et Renversement</t>
  </si>
  <si>
    <t>Réduction de l'adversaire à -2</t>
  </si>
  <si>
    <t>Réduction de l'adversaire à -2, AG pr Renversement</t>
  </si>
  <si>
    <t>Réduction de l'adversaire à -2, AG pr Renversement, Explosion des dés de dégâts sur 9 et 10</t>
  </si>
  <si>
    <t>Lors d'une escarmouche, ajoute son rang d'Art de la Guerre à son l'Initiative</t>
  </si>
  <si>
    <t>Aucun malus au délacement en terrain Modéré, Malus de -1 (au lieu de -2) en Terrain Difficile</t>
  </si>
  <si>
    <t>Plus aucun malus de déplacement quel que soit le Terrain</t>
  </si>
  <si>
    <t>Le Bonus d'armure des adversaires n'est plus doublé.</t>
  </si>
  <si>
    <t>Le Bonus d'armure des adversaires n'est plus doublé, AG pr Renversement</t>
  </si>
  <si>
    <t>De base (5+5X Réf.):</t>
  </si>
  <si>
    <t>Le Bonus d'armure des adversaires n'est plus doublé, AG pr Renversement, Action Gratuite pour Apprêter, +1g0 Dmg pt. bâtons</t>
  </si>
  <si>
    <t>+1g0 à tous les Tests de Discrétion dans un environnement sauvage</t>
  </si>
  <si>
    <t>Aucun malus de main non-directrice</t>
  </si>
  <si>
    <t>Aucun malus de main non-directrice, AG pour Désarmement</t>
  </si>
  <si>
    <t>Aucun malus de main non-directrice, AG pour Désarmement, AG pour Attaque Supplémentaire</t>
  </si>
  <si>
    <t>** AG= Augmentation gratuite</t>
  </si>
  <si>
    <t>Capacités de maitrise**:</t>
  </si>
  <si>
    <t>Maintient du résultat de Défense/Réflexes tant que la Maneouvre d'Esquive est maintenue</t>
  </si>
  <si>
    <t>Maintient du résultat de Défense/Réflexes, ND d'armure +3 en Défense ou Esquive</t>
  </si>
  <si>
    <t>Peut recourir à la manœuvre d'Esquive à dos de cheval</t>
  </si>
  <si>
    <t>Peut recourir à la manœuvre d'Esquive à dos de cheval, Enfourcher un cheval=Action Simple, Descendre de cheval=Action Gratuite</t>
  </si>
  <si>
    <t>Peut recourir à la manœuvre d'Esquive à dos de cheval, Enfourcher un cheval=Action Gratuite, Descendre de cheval=Action Gratuite</t>
  </si>
  <si>
    <t>Aucun malus de main non-directrice, ND d'Armure du porteur de l'éventail +1</t>
  </si>
  <si>
    <t>Aucun malus de main non-directrice, ND d'Armure du porteur de l'éventail +3</t>
  </si>
  <si>
    <t>Action Gratuite pour Apprêter un katana</t>
  </si>
  <si>
    <t>+5 Initiative au 1er Round, +1g0 vs. Monture ou Enorme, Action Gratuite pour Apprêter une Arme d'Hast</t>
  </si>
  <si>
    <t>Plus aucun malus de déplacement quel que soit le Terrain, +1,5 m au mouvement par round (n'augmente pas le maximum)</t>
  </si>
  <si>
    <t>Action Gratuite pour Apprêter un katana, AG durant l'étape de Concentration d'un Duel</t>
  </si>
  <si>
    <t>Action Gratuite pour Apprêter un katana, AG durant l'étape de Concentration d'un Duel, +2g2 lors de l'Evaluation d'un Duel (p142)</t>
  </si>
  <si>
    <t>+1g0 aux Dommages de toutes les Attaques à l'épée/au sabre</t>
  </si>
  <si>
    <t>+1g0 aux Dommages de toutes les Attaques à l'épée/au sabre, Action Gratuite pour Apprêter une épée</t>
  </si>
  <si>
    <t>+1g0 aux Dommages de toutes les Attaques à l'épée, Action Gratuite pour Apprêter une épée, Explosion des dés de dégâts sur 9 et 10</t>
  </si>
  <si>
    <t>Garnir un arc de sa corde= Action Simple au lieu de Complexe, Portée de l'Arc augmentée de 50%, Force de tout Arc augmentée de 1</t>
  </si>
  <si>
    <t>Garnir un arc de sa corde=  Action Simple au lieu de Complexe, Portée de l'Arc augmentée de 50%</t>
  </si>
  <si>
    <t>Garnir un arc de sa corde=  Action Simple au lieu de Complexe</t>
  </si>
  <si>
    <t>Au 1er round: Réduction de l'adversaire -3</t>
  </si>
  <si>
    <t>Au 1er round: Réduction de l'adversaire -3, Portée des attaques à la lance +1,5m</t>
  </si>
  <si>
    <t>Au 1er round: Réduction de l'adversaire -3, Portée des attaques à la lance +1,5m, Action Gratuite pour Apprêter une Lance</t>
  </si>
  <si>
    <t>+1g1 en Contrefaçon pr déterminer le ND d'Enquête de l'ennemi pour déceler une fraude,+1g0 en Contrefaçon pour déceler une fraude</t>
  </si>
  <si>
    <t>+1g0 en Contrefaçon pr déterminer le ND d'Enquête de l'ennemi pour déceler une fraude,+1g0 en Contrefaçon pour déceler une fraude</t>
  </si>
  <si>
    <t>Actions Simples de mvmt. pour se déplacer discrètement= EauX1,5m</t>
  </si>
  <si>
    <t>Actions Simples de mvmt. pour se déplacer discrètement= EauX3m</t>
  </si>
  <si>
    <t>Actions Simples de mvmt. pour se déplacer discrètement= EauX3m, Peut recourir à Discrétion pour effectuer des Actions Gratuites de mvmt.</t>
  </si>
  <si>
    <t>Bonus de +5 au total de tous les Jets d'Opposition recourant à l'Intimidation</t>
  </si>
  <si>
    <t>Le personnage peut employer le Spécialisation Dissimulation pour cacher de petites armes</t>
  </si>
  <si>
    <t>Bonus de +5 au total de tous les Jets d'Opposition recourant à la Tentation</t>
  </si>
  <si>
    <t>Peut faire Augmenter ou Diminuer le prix d'un objet vendu ou acheté de maximum 20%</t>
  </si>
  <si>
    <t>Bonus de +5 au total de tout jet de Navigation intervenant dans un Jet Coopératif ou Cumulatif de Compétence</t>
  </si>
  <si>
    <t>Le personnage bénéficie d'un bonus de +1g0 aux Jets d'Incantation</t>
  </si>
  <si>
    <t>Le personnage reçoit un bonus de +10 quand il tente de décrypter un code secret</t>
  </si>
  <si>
    <t>Le ND pour se Déguiser est réduit de 10 (non cumulatif)</t>
  </si>
  <si>
    <t>Le ND pour se Déguiser est réduit de 5 (non cumulatif)</t>
  </si>
  <si>
    <t>Le ND pour se Déguiser est réduit de 15 (non cumulatif)</t>
  </si>
  <si>
    <t>Bonus de +3 en Réputation qui permet de dépasser le maximum des Anneaux ou Rangs de Compétence</t>
  </si>
  <si>
    <t>Le dégâts des armes de Ninjutsu est augmenté de +1g0</t>
  </si>
  <si>
    <t>Le dégâts des armes de Ninjutsu est augmenté de +1g0, les dés de dégâts explosent normalement</t>
  </si>
  <si>
    <t>Le dégâts des armes de Ninjutsu est augmenté de +1g1, les dés de dégâts explosent normalement</t>
  </si>
  <si>
    <t>Les dégâts de toutes les attaquent à Mains Nues augmentent de +1g0</t>
  </si>
  <si>
    <t>Les dégâts de toutes les attaquent à Mains Nues augmentent de +1g0, AG pour Empoignade</t>
  </si>
  <si>
    <t>Les dégâts de toutes les attaquent à Mains Nues augmentent de +1g1, AG pour Empoignade</t>
  </si>
  <si>
    <t>Bonus de +3 en Réputation (dépassement autorisé), +1g0 à tous les Jets d'Opposition recourant à Courtisan</t>
  </si>
  <si>
    <t>Bonus de +10 en Réputation (dépassement autorisé), +1g0 à tous les Jets d'Opposition recourant à Courtisan</t>
  </si>
  <si>
    <t>Peut tenter un Second test de Divination sans dépenser de Point de Vide. Toutes les autres conditions relative à un second jet s'appliquent.</t>
  </si>
  <si>
    <t>Un second Jet recourant à la Spécialisation Fouille peut être tenté sans augmentation de TN</t>
  </si>
  <si>
    <t>Un second Jet recourant à la Spécialisation Fouille peut être tenté sans augmentation de TN, Bonus de +5 à tout jet d'opposition</t>
  </si>
  <si>
    <t>Un 3è Jet recourant à la Spécialisation Fouille peut être tenté sans augmentation de TN, Bonus de +5 à tout jet d'opposition d'Enquête</t>
  </si>
  <si>
    <t>La quantité de Blessures soignées grâce à un Jet de Médecine réussi augmente de +1g0</t>
  </si>
  <si>
    <t>Bonus de +3 en Réputation (dépassement autorisé), +1g0 à tous les Jets d'Opposition recourant à Etiquette</t>
  </si>
  <si>
    <t>Bonus de +10 en Réputation (dépassement autorisé), +1g0 à tous les Jets d'Opposition recourant à Etiquette</t>
  </si>
  <si>
    <t>Un jet réussi de Méditation fait récupérer jusqu'à 2 Points de Vide</t>
  </si>
  <si>
    <t>Un jet réussi de Méditation fait récupérer jusqu'à 2 Points de Vide,le  ND de tous les Jets de Méditation (Jeûne) est réduit de 5</t>
  </si>
  <si>
    <t>Bugei, Dégrad.</t>
  </si>
  <si>
    <t>Dégrad.</t>
  </si>
  <si>
    <t>Bonus de +5 à tous les Jets d'Opposition recourant à Sincérité</t>
  </si>
  <si>
    <t>Types de flèches</t>
  </si>
  <si>
    <t>Déchireuse</t>
  </si>
  <si>
    <t>Feuille de saule</t>
  </si>
  <si>
    <t>Perce-armure</t>
  </si>
  <si>
    <t>Tranche-corde</t>
  </si>
  <si>
    <t>Dégat lancés flèche</t>
  </si>
  <si>
    <t>Dégat gardés flèche</t>
  </si>
  <si>
    <t>Sifflante</t>
  </si>
  <si>
    <t>Main directrice</t>
  </si>
  <si>
    <t>Gauche</t>
  </si>
  <si>
    <t>Droite</t>
  </si>
  <si>
    <t>Rg de Souillure:</t>
  </si>
  <si>
    <t>Rg. Néant</t>
  </si>
  <si>
    <t>Ecoles</t>
  </si>
  <si>
    <t>Av?</t>
  </si>
  <si>
    <t>Techniques d'école/Voies</t>
  </si>
  <si>
    <t>S</t>
  </si>
  <si>
    <t>B</t>
  </si>
  <si>
    <t>M</t>
  </si>
  <si>
    <t xml:space="preserve">M </t>
  </si>
  <si>
    <t>C</t>
  </si>
  <si>
    <t>M/C</t>
  </si>
  <si>
    <t>C/S</t>
  </si>
  <si>
    <t>A/B</t>
  </si>
  <si>
    <t>S/A</t>
  </si>
  <si>
    <t>A</t>
  </si>
  <si>
    <t>C/A</t>
  </si>
  <si>
    <t>B/A</t>
  </si>
  <si>
    <t>N</t>
  </si>
  <si>
    <t>G</t>
  </si>
  <si>
    <t>Outreterre</t>
  </si>
  <si>
    <t>Effets</t>
  </si>
  <si>
    <t>Avantages</t>
  </si>
  <si>
    <t>Désavantages</t>
  </si>
  <si>
    <t>Niv.</t>
  </si>
  <si>
    <t>Kiho</t>
  </si>
  <si>
    <t>Type de kiho</t>
  </si>
  <si>
    <t>kiho</t>
  </si>
  <si>
    <t>Myst.</t>
  </si>
  <si>
    <t>Mart.</t>
  </si>
  <si>
    <t>Int.</t>
  </si>
  <si>
    <t>Karm.</t>
  </si>
  <si>
    <t>Strongholds</t>
  </si>
  <si>
    <t>Ennemis</t>
  </si>
  <si>
    <t>Imp. Hist. 2</t>
  </si>
  <si>
    <t>Imp. Hist.</t>
  </si>
  <si>
    <t>---</t>
  </si>
  <si>
    <t>Enemmis</t>
  </si>
  <si>
    <t>Secrets</t>
  </si>
  <si>
    <t>Noms</t>
  </si>
  <si>
    <t>D. d'Âme</t>
  </si>
  <si>
    <t>Perles</t>
  </si>
  <si>
    <t>Défense, Glyphes, Tonnerre</t>
  </si>
  <si>
    <t>Oui</t>
  </si>
  <si>
    <t>Non</t>
  </si>
  <si>
    <t>Stongholds</t>
  </si>
  <si>
    <t>Fortunes</t>
  </si>
  <si>
    <t>Naishou P.</t>
  </si>
  <si>
    <t>S. C.:: People</t>
  </si>
  <si>
    <t>Afinité</t>
  </si>
  <si>
    <t>Déficience</t>
  </si>
  <si>
    <t>Affinité</t>
  </si>
  <si>
    <t>Non-maho</t>
  </si>
  <si>
    <t>Onis, Souilure, Jade</t>
  </si>
  <si>
    <t>Artisan</t>
  </si>
  <si>
    <t>Artisan, Illusion</t>
  </si>
  <si>
    <t>Artisan, Défense</t>
  </si>
  <si>
    <t>Art de la Guerre, Artisan</t>
  </si>
  <si>
    <t>Artisan, Art de la Guerre, Jade</t>
  </si>
  <si>
    <t>Artisan, Jade</t>
  </si>
  <si>
    <t>Artisan, Tonnerre</t>
  </si>
  <si>
    <t>Guêpe</t>
  </si>
  <si>
    <t>La Voie de l'Araignée</t>
  </si>
  <si>
    <t>Aura de Sang</t>
  </si>
  <si>
    <t>Ailes d'Ashura</t>
  </si>
  <si>
    <t>Colère Dévorante</t>
  </si>
  <si>
    <t>Chaque fois que vous touchez un adversaire au Corps à Corps, vous regagnez 5 Blessures jusqu'à votre maximum habituel +20. L'exédant est perdu à la fin du combat.</t>
  </si>
  <si>
    <t>Assaut Inhumain</t>
  </si>
  <si>
    <t>Murmures Insidieux</t>
  </si>
  <si>
    <t>Des Fissures dans le Mur</t>
  </si>
  <si>
    <t>Nul ne Piège les Ténèbres</t>
  </si>
  <si>
    <t>Vous pouvez dépenser un Pvide et une AS&gt; Test de Courtisan (Manipulation)/Intuition contre ND 25. Si réussi tout individu à 6m à un malus de -1g1 en Etiquette et Spectacle durant 1h</t>
  </si>
  <si>
    <t>Vous pouvez dépenser un Pvide et une AS&gt; Test d'Oppostion de Sincérité (Tromperie)/Intuition contre la  Sincérité (Honnêteté)/Intuition de la cible pour rejeter une information ou accusion contre elle.</t>
  </si>
  <si>
    <t>La Caresse du Péché</t>
  </si>
  <si>
    <t>L'Etreinte des Ténèbres</t>
  </si>
  <si>
    <t>Faire un jet de Sincérité(Tromperie)/Intuition vs Etiquette (Courtoisie)/Perception. Si réussi la cible traite une personne comme un ennemi. Ne touche pas la loyauté. 1Personne 1X/mois</t>
  </si>
  <si>
    <t>Sang Dilué</t>
  </si>
  <si>
    <t>La Voie Noire</t>
  </si>
  <si>
    <t>Attirer le Coup</t>
  </si>
  <si>
    <t>Rapidité des Ténèbres</t>
  </si>
  <si>
    <t>Protégé par le Chi</t>
  </si>
  <si>
    <t>Les Ténèbres Déchaînées</t>
  </si>
  <si>
    <t>Effet*</t>
  </si>
  <si>
    <t>Quand vs lancez un sort de Maho, déclarez une A pour cacher la corruption. Déclarez une seconde A ou Sacrifiez un Pt. d'Honneur pour réduire de 1 la Soulliure gagnée par le sort.</t>
  </si>
  <si>
    <t>Compétences</t>
  </si>
  <si>
    <t>Equipement</t>
  </si>
  <si>
    <t>Chasse, Connaissance: Outremonde, Intimidation, Jiujutsu, Kenjutsu (Katana), Kyujutsu, une compétence de Bugei ou Dégradante au choix</t>
  </si>
  <si>
    <t>Comédie, Courtisan (Manipulation), Etiquette, Méditation, Sincérité (Tromperie), Tentation, une compétence Noble au choix</t>
  </si>
  <si>
    <t>Armes d'Hast, Athlétisme, Connaissance: Théologie, Jiujutsu 2, Méditation, une Compétence au choix</t>
  </si>
  <si>
    <t>Art de la Magie, Calligraphie (Code Secret), Chasse, Connaissance: Maho, Connaissance: Outremonde , Discrétion, une Compétence au choix</t>
  </si>
  <si>
    <t>Armes Lourdes, Athlétisme, Commerce, Défense, Jiujutsu, Kenjustsu (Katana), une Compétence Noble ou de Bugei au choix</t>
  </si>
  <si>
    <t>Transcender La Montagne</t>
  </si>
  <si>
    <t>La Force du Blaireau</t>
  </si>
  <si>
    <t>Coup Ecrasant</t>
  </si>
  <si>
    <t>Pluie de Pierres</t>
  </si>
  <si>
    <t>Contrecoup</t>
  </si>
  <si>
    <t>Dégâts</t>
  </si>
  <si>
    <t>Chasse (Pistage), Connaissance: Kolat, Connaissance: Pègre, Défense, Equitation, Kenjutsu, une Compétence au choix</t>
  </si>
  <si>
    <t>Héritage des Quatre Vents</t>
  </si>
  <si>
    <t>Partout Souffle le Vent</t>
  </si>
  <si>
    <t>De Tonnerre et de Fureur</t>
  </si>
  <si>
    <t>La Lame Vole Sur le Vent</t>
  </si>
  <si>
    <t>Vif et Furieux</t>
  </si>
  <si>
    <t>Au début d'un combat, +1g0 à votre Initiative si vous êtes Monté. +1g0 à vos jets d'Attaque si vous êtes Monté.</t>
  </si>
  <si>
    <t>Quand vous attaquez un adversaire ayant une Initative inférieur à la vôtre, vous ajoutez +2g2 aux jets d'attaque et de dommages</t>
  </si>
  <si>
    <t>Les Murmures du Kami</t>
  </si>
  <si>
    <t>Chasse 2, Connaissance: Royaume des Esprits, Elevage: Fauconnerie, Kenjutsu, Lances, une Compétence au choix</t>
  </si>
  <si>
    <t>Les Yeux du Faucon</t>
  </si>
  <si>
    <t>Le Faucon Prend Son Envol</t>
  </si>
  <si>
    <t>Les Ailes du Faucon</t>
  </si>
  <si>
    <t>Vigilant et Puissant</t>
  </si>
  <si>
    <t>Les Serres du Faucon</t>
  </si>
  <si>
    <t>Dépensez un PVide et une AS: Vous annulez tous les malus liés à l'obscurité ou à l'Aveuglement jusqu'à l'étape de Réaction deux Rounds plus tard.</t>
  </si>
  <si>
    <t>Vos attaquent ignorent 5 pts de Réduction. Dépensez un PVide et une AS: diminuez la Réduction de créatures venant d'un Autre Royaume des Esprits de 10 pendant 1 Round (Non cumulable)</t>
  </si>
  <si>
    <t>Guidé par le Destin</t>
  </si>
  <si>
    <t>Dépensez un PVide et une ActG: Votre score d'Initiative est égal à celui d'un allié ou ennemi. Votre Score d'Initiative se réduit de 5 à chaque étape de réaction de chaque round jusqu'à la fin du combat.</t>
  </si>
  <si>
    <t>Art de la Magie, Calligraphie (Code Secret), Courtisan, Etiquette, Méditation (Récupération du Vide), Sincérité, une Compétence Noble au choix</t>
  </si>
  <si>
    <t>Athlétisme (Course), Chasse, Connaissance: Maho OU Connaissance: Kolat, Défense, Jiujutstu, Kenjutsu, une Compétence Noble ou de Bugei au choix</t>
  </si>
  <si>
    <t>La Vitesse du Lièvre</t>
  </si>
  <si>
    <t>Le Saut du Lièvre</t>
  </si>
  <si>
    <t>Rapide Comme l'Eclair</t>
  </si>
  <si>
    <t>Le Coup de Pied du Lièvre</t>
  </si>
  <si>
    <t>Le Style de Reichin</t>
  </si>
  <si>
    <t>*Bonus aux dégâts max= (Rg. Réputation X5):</t>
  </si>
  <si>
    <t>Commerce, Défense, une Compétence d'Art au choix, une Compétence d'Artisanat au choix, une Compétence Noble, de Bugei ou de Marchand au choix</t>
  </si>
  <si>
    <t>Outils des Fortunes</t>
  </si>
  <si>
    <t>Bénédiction de Tsi Xing Guo</t>
  </si>
  <si>
    <t>Le Dévouement de l'Artisan</t>
  </si>
  <si>
    <t>Connaissances Exhaustives</t>
  </si>
  <si>
    <t>Acier Etoilé</t>
  </si>
  <si>
    <t>Coût de création des objets réduit de moitié pour la durée nécéssaire à la fabrication. Qd qqun utilise une de vos créations, Dépensez un Pvide&gt; +XgX à la compétence où X= Votre Rg. de Maîtrise</t>
  </si>
  <si>
    <t>Calligraphie, Kenjutsu (Katana), Connaissance: Histoire, Connaissance: Théologie, Spectacle: Art du Conteur, une Compétence de Connaissance au choix, une Compétence au choix</t>
  </si>
  <si>
    <t>Chaque Chose en son Temps</t>
  </si>
  <si>
    <t>La Pureté du Chi</t>
  </si>
  <si>
    <t>La Sagesse est la Meilleure Arme</t>
  </si>
  <si>
    <t>L'Esprit Calme, La Lame Sûre</t>
  </si>
  <si>
    <t>Lent et Mortel</t>
  </si>
  <si>
    <t>Au round qui suit la mise en place de votre Posture du Centre, +10 à vos jets d'Attaque et de Dommages (SAUF en duel Iaijutsu)</t>
  </si>
  <si>
    <t>Essence de Chikushudo</t>
  </si>
  <si>
    <t>Art de la Magie, Calligraphie, Chasse, Défense, Médecine (Herboristerie), Méditation, une Compétence Noble ou de Bugei au choix</t>
  </si>
  <si>
    <t>La Charge du Sanglier</t>
  </si>
  <si>
    <t>Force d'Opposition</t>
  </si>
  <si>
    <t>La Vitesse du Sanglier</t>
  </si>
  <si>
    <t>La Colère du Sanglier</t>
  </si>
  <si>
    <t>Par-delà les Montagnes</t>
  </si>
  <si>
    <t>Athlétisme (Course), Chasse, Défense, Lances (Mai Chong), une Compétence de Bugei au choix</t>
  </si>
  <si>
    <t>Vous pouvez délclarer 2 Augmentations pour Enchevêtrer un adversaire avec un Mai Chong ou 3 Augmentations pour Enchevêtrer un adversaire avec une autre Lance.</t>
  </si>
  <si>
    <t>Dépensez un Pvide lors d'une étape de Réaction: Réduisez votre Malus de Blessure d'un Rang de Blessure jusqu'à la fin de l'escarmouche. (Ne soigne pas les Blessures)</t>
  </si>
  <si>
    <t>Dépensez un PVide et une ActG: vous pouvez effectuer une attaque au prix d'une AS au lieu d'une AC avec vos créations pdt un nbre de Rounds= Votre Rg. de Maîtrise</t>
  </si>
  <si>
    <t>Art de la Magie, Calligraphie (Code Secret), Connaissance: Maho, Connaissance: Outremonde, Etiquette, 2 Compétences choix</t>
  </si>
  <si>
    <t>Punition du Félon</t>
  </si>
  <si>
    <t>Athlétisme, Chasse, Connaissance: Histoire, Défense, Enquête (Sens de l'Observation), Kenjustu, une Compétence Noble ou de Bugei au choix</t>
  </si>
  <si>
    <t>La Leçon de Toku</t>
  </si>
  <si>
    <t>La Force d'un Seul Homme</t>
  </si>
  <si>
    <t>Le Courage Par-Dessus Tout</t>
  </si>
  <si>
    <t>Forge Ton Propre Destin</t>
  </si>
  <si>
    <t>La Fortune Sourit aux Mortels</t>
  </si>
  <si>
    <t>Vous pouvez effectuer une attaque au Corps à Corps au prix d'une AS au lieu d'une AC.</t>
  </si>
  <si>
    <t>Une fois par Round, dépensez un Pvide pour relancer n'importe quel jet. +2g1 au nouveau jet. Vous choissisez quel jet vous conservez.</t>
  </si>
  <si>
    <t>Connaissance: Pègre, Commerce, Discrétion, Enquête (Sens de l'Observation), Etiquette, Sincérité (Tromperie), une Compétence Noble, de Marchand ou Dégradante au choix</t>
  </si>
  <si>
    <t>La Voie de la Tortue</t>
  </si>
  <si>
    <t>La Carapace de la Tortue</t>
  </si>
  <si>
    <t>Main dans la Main</t>
  </si>
  <si>
    <t>La Tortue Sourit</t>
  </si>
  <si>
    <t>Tout Samurai ou Impérial qui vous attaque ou vous calomnie sans provocation de votre part perd un nombre de Pt. d'Honneur égal à votre Rg. de Maîtrise</t>
  </si>
  <si>
    <t>+XgX à vos Comp. Dégradantes où X= votre Rg. de Maîtrise si vous avez au moins 1 Rang dedans. Ne fonctionne pas avec les Avantages et Techniques qui simulent des Rg. de Compétence.</t>
  </si>
  <si>
    <t>1X par Session Test de Compétence Connaissance:Pègre/Intimidation ND25 pour obtenir un renseignement utile que vous n'auriez pu apprendre autrement.</t>
  </si>
  <si>
    <t>Armes Lourdes (Tetsubo), Athlétisme, Connaissance: Outremonde, Défense, Intimidation, Kenjutsu, une compétence de Bugei au choix</t>
  </si>
  <si>
    <t>La Voie du Crabe</t>
  </si>
  <si>
    <t>Impssibilité de la Montagne</t>
  </si>
  <si>
    <t>Deux Pinces, Un Esprit</t>
  </si>
  <si>
    <t>Coup Dévastateur</t>
  </si>
  <si>
    <t>Eternité de la Montagne</t>
  </si>
  <si>
    <t>Ignorez les ND de malus aux Compétences découlant des Armures Lourde sauf Discrétion. +1g0 aux Dommages quand vous utilisez une arme Lourde</t>
  </si>
  <si>
    <t>Vous pouvez effectuer une attaque avec une Arme Lourde ou un arme "Samurai" au prix d'une AS au lieu d'une AC.</t>
  </si>
  <si>
    <t>1X/Session, Diminuez de 4 la Réduction d'un ennemi si vs portez une arme Lourde. En cas de réussite la cible est Hébétée sauf si elle réussit un Test de Terre vs. ND égal aux Dommages infligés.</t>
  </si>
  <si>
    <t>Art de la Magie, Calligraphie (Code Secret), Connaissance: Outremonde 2,  Connaissance: Théologie, Défense, une Compétence d'Arme au choix</t>
  </si>
  <si>
    <t>Contemplation des Ténèbres</t>
  </si>
  <si>
    <t>Commerce (Estimation), Courtisan, Défense, Etiquette, Intimidation, Sincérité (Tromperie), une Compétence de Marchand au choix</t>
  </si>
  <si>
    <t>La Voie de la Carpe</t>
  </si>
  <si>
    <t>AG et vous ne perdez ni Gloire ni Honneur qd vous utilisez Commerce. Jet d'Opposition Commerce/Perception vs. Etiquette/Intuition pour déterminer le bien que votre cible désire.</t>
  </si>
  <si>
    <t>Faites ce qu'on Vous Dit</t>
  </si>
  <si>
    <t>Les Trésors de la Carpe</t>
  </si>
  <si>
    <t>Les Ruses de la Carpe</t>
  </si>
  <si>
    <t>Ce Qui est Toi est à Moi</t>
  </si>
  <si>
    <t>Si vous connaissez l'objet qu'un individu désire le plus et que vous parvenez à vous le procurer, vous gagnez +5g0 aux jets de Compétences Sociales effectués contre cette personne durant 24h.</t>
  </si>
  <si>
    <t>Koku de départ</t>
  </si>
  <si>
    <t>Armure Légère, Vêtements Robustes, Daisho, 1 Arme au choix, Nécéssaire de Voyage</t>
  </si>
  <si>
    <t>Vêtements Commodes, Wakizashi, Nécéssaire de Calligraphie, Nécéssaire de Voyage</t>
  </si>
  <si>
    <t>Armure Légère ou Lourde, Vêtements Robustes, Arme Lourde ou d'Hast, Nécésaire de Voyage</t>
  </si>
  <si>
    <t>Robe, Wakizashi, Couteau, Etui à Parchemin, Nécéssaire de Voyage</t>
  </si>
  <si>
    <t>Armure Légère ou Lourde, Vêtements Robustes, Daisho, Arme Lourde ou Arme d'Hast, Nécéssaire de Voyage</t>
  </si>
  <si>
    <t>Robe, Wakizashi, 1 Arme au choix, Etui à Parchemin, Nécéssaire de Voyage</t>
  </si>
  <si>
    <t>Armure Légère ou d'Ashigaru, Vêtements Robustes, Daisho, Arc et 20 Flèches OU Couteau, Nécéssaire de Voyage</t>
  </si>
  <si>
    <t>Vêtements Traditionnels, Wakizachi, Couteau, Nécéssaire de Calligraphie, Nécéssaire de Voyage</t>
  </si>
  <si>
    <t>Armure Légère ou d'Ashigaru, Vêtements Robustes, Daisho, Arc (avec 20 flèches) OU Couteau, Nécéssaire de Voyage</t>
  </si>
  <si>
    <t>Vêtements Pratiques, Wakizashi, Nécéssaire de Calligraphie, Nécéssaire de Voyage</t>
  </si>
  <si>
    <t>Armure Légère ou Lourde, Vêtements Robustes, Daisho, Lance au choix OU Mai Chong, Nécéssaire de Voyage</t>
  </si>
  <si>
    <t>Vêtements Extravagants, Wakizashi, 1 Arme au choix, nécéssaire de Calligraphie</t>
  </si>
  <si>
    <t>La Flamme de la Torche Vacille</t>
  </si>
  <si>
    <t>La Petite Leçon du Loup</t>
  </si>
  <si>
    <t>Les Ailes du Colibri</t>
  </si>
  <si>
    <t>Le Requin Reconnait l'Odeur du Sang</t>
  </si>
  <si>
    <t>La Lumière ne Gaspille Aucun Mouvement</t>
  </si>
  <si>
    <t>En posture d'Attaque, vous gagnez +1g0 à vos jets d'Attaque. Les rations de survie, d'eau ou de jade durent 2X plus longtemps pour un nombre de personnes égal à votre Rg. de Chasse</t>
  </si>
  <si>
    <t>Vous pouvez effectuer une attaque avec un arme "Samurai" au prix d'une AS au lieu d'une AC.</t>
  </si>
  <si>
    <t>Augmentation du ND d'Armure, Survie</t>
  </si>
  <si>
    <t>Connaissance: Shugenja, Connaissance: Théologie, Défense, Iaijustsu, Kenjustsu (Katana), Méditation, , une compétence Noble ou de Bugei au choix</t>
  </si>
  <si>
    <t>La Voie du Dragon</t>
  </si>
  <si>
    <t>Le Calme dans la Tempête</t>
  </si>
  <si>
    <t>Force et Rapidité</t>
  </si>
  <si>
    <t>Représailles Engagées</t>
  </si>
  <si>
    <t>Le Cœur du Dragon</t>
  </si>
  <si>
    <t>Pas de malus en raison du maniement de 2 armes. Ajoutez votre Rg. de Maîtrise à votre ND d'armure qd vous portez 2 armes. Augmentez ou réduisez le ND du jet d'Incantation d'un sort qui vous cible de 5.</t>
  </si>
  <si>
    <t>En posture du Centre, vous gagnez un bonus à vos jets de Iaijustu égal à votre Rg. de Kenjustsu</t>
  </si>
  <si>
    <t>Lors de l'étape de Réaction, choississez un adversaire qui a tenté une attaque contre vous au cours du Round. Au Round suivant, +3g0 aux jets d'Attaque contre cette cible.</t>
  </si>
  <si>
    <t>Si vous attaquez 2X au cours du même Round avec un katana en main directrice et un wakizashi dans la main non directrice, vous avez le droit à une Attaque Supplémentaire au prix d'une AG</t>
  </si>
  <si>
    <t>Chair des Eléments</t>
  </si>
  <si>
    <t>Art de la Magie, Athlétisme, Calligraphie (Code Secret), Connaissance: Théologie, Défense, Divination, Médecine</t>
  </si>
  <si>
    <t>Courtisan, Enquête (Interrogatoire), Etiquette (Courtoisie), Kenjutsu, Méditation, Sincérité, une Compétence au choix</t>
  </si>
  <si>
    <t>Vêtements Traditionnels, Wakizashi, Couteau,Nécéssaire de Calligraphie, Nécéssaire de Voyage</t>
  </si>
  <si>
    <t>La Méthode de Kitsuki</t>
  </si>
  <si>
    <t>Les Enseignements de la Brise</t>
  </si>
  <si>
    <t>Connaitre le Rythme du Cœur</t>
  </si>
  <si>
    <t>Trouver la Piste</t>
  </si>
  <si>
    <t>Les Yeux Trahissent le Cœur</t>
  </si>
  <si>
    <t>Augmentez de 5X votre Rg. d'Ecole d'Enquêteur Kitsuki tous les ND des Compétences Sociales de tout individu cherchant à vous mentir, vous tromper, vous duper, vous désarmer ou vous feinter.</t>
  </si>
  <si>
    <t>1X/Jour/personne:Test d'Opposition en Enquête (Interrogatoire)/Perception vs Sincérité(Tromperie)/Volonté pour détecter un messonge. +5g0 aux jets d'Opposition si vous savez que la cible vs ment.</t>
  </si>
  <si>
    <t>1X/Jour/personne:Test d'Opposition en Enquête (Interrogatoire)/Intelligence vs Etiquette(Courtoisie)/Intelligence pour identifier un allié ou ennemi de votre interlocuteur.</t>
  </si>
  <si>
    <t>Art: Tatouage, Athlétisme, Défense, Jiujutsu, Méditation, une Compétence de Connaissance au choixx, une Compétence non-Dégradante au choix</t>
  </si>
  <si>
    <t>Robe, Bo, Nécéssaire de Voyage</t>
  </si>
  <si>
    <t>Sang des Kami</t>
  </si>
  <si>
    <t>Vous gagnez deux Tatouages</t>
  </si>
  <si>
    <t>Corps de Pierre</t>
  </si>
  <si>
    <t>+1g1 à vos Jets d'Attaque et de Dommages à Mains Nues</t>
  </si>
  <si>
    <t>Vous gagnez deux Tatouages supplémentaires</t>
  </si>
  <si>
    <t>Vous pouvez effectuer une attaque à Mains Nues au prix d'une AS au lieu d'une AC.</t>
  </si>
  <si>
    <t>Bénédition du Kami</t>
  </si>
  <si>
    <t>Volonté de la Pierre</t>
  </si>
  <si>
    <t>Contact du Kami</t>
  </si>
  <si>
    <t>Connaissance: Héraldique, Courtisan (Piège Rhétorique), Défense, Equitation, Etiquette (Courtoisie), Sincérité, une Compétence Noble ou de Bugei au choix</t>
  </si>
  <si>
    <t>Vêtements commodes, Wakizashi, Nécéssaire de Calligraphie, Nécéssaire de Voyage, Cheval (poney rokugani)</t>
  </si>
  <si>
    <t>Non violence, voix de l'Empereur</t>
  </si>
  <si>
    <t>Dépensez un Pvide et une AG: Si vous ne participez pas au combat ou au duel, tout Rokugani révérant l'Empereur ne peut vous faire du mal avant la prochaine phase de Réaction.</t>
  </si>
  <si>
    <t>Jet d'Opposition: Courtisan (Piège Rhétorique)/Intuition vs. Etiquette (Courtoisie)/Volonté pour mettre fin à un combat à portée de voix opposant des personnes dont le Rg. d'Honneur est &gt;1.0</t>
  </si>
  <si>
    <t>+5g0 à tout jet de Courtisan ou d'Etiquette contre une cible ayant un Rg. d'Honneur&gt; 1.0</t>
  </si>
  <si>
    <t>La Voix de l'Empereur</t>
  </si>
  <si>
    <t>La Main de l'Empereur</t>
  </si>
  <si>
    <t>La Bénédiction de l'Empereur</t>
  </si>
  <si>
    <t>La Gloire de l'Empereur</t>
  </si>
  <si>
    <t>Courtisan (Manipulation), Défense, Enquête, Etiquette, Intimidation (Contrôle), Sincérité, une Compétence Noble au choix</t>
  </si>
  <si>
    <t>Vêtements commodes, Wakizashi, Couteau, Nécéssaire de Calligraphie</t>
  </si>
  <si>
    <t>La Voix du Ciel</t>
  </si>
  <si>
    <t>La Destinée n'a pas de Secrets</t>
  </si>
  <si>
    <t>La Voix de mon Maître</t>
  </si>
  <si>
    <t>La Protection de l'Empereur</t>
  </si>
  <si>
    <t>Les Vertus du Commandement</t>
  </si>
  <si>
    <t>Dépensez un Pvide pour faire un Test de Courtisan/Intuition contre un ND de 25 pour apprendre une information extrêmement utile</t>
  </si>
  <si>
    <t>Dépensez une AC: Test d'Opposition Intimidation(Contrôle)/Volonté vs. Etiquette(Courtoisie)/Volonté pr empêcher attaque ou mvmt d'une personne au Rg. d'Honneur&gt;1.0 qui vous menace vous ou vos alliés</t>
  </si>
  <si>
    <t>+5g0 à tout jet d'Opposition Social contre une cible relevant de l'autorité impériale.</t>
  </si>
  <si>
    <t>Intimidation, Autorité impériale</t>
  </si>
  <si>
    <t>Jamais dans les Ténèbres</t>
  </si>
  <si>
    <t>Art de la Guerre, Défense, Etiquette, Iaijutsu, Kenjustu (Katana), une Compétence Noble au choix</t>
  </si>
  <si>
    <t>Vous lancez un nombre de dés supplémentaires (sans les garder)=Votre Rg. de Maîtrise pour résister à vous éloigner de votre devoir. +1g1 pour tout jet d'Enquête visant à déceler une embuscade.</t>
  </si>
  <si>
    <t>Les Nuages se Dissipent</t>
  </si>
  <si>
    <t>La Lumière du Soleil Apparait</t>
  </si>
  <si>
    <t>La Vitesse du Ciel</t>
  </si>
  <si>
    <t>Le Ciel ne Tombe Jamais</t>
  </si>
  <si>
    <t>Dépensez un Pvide pour subir les Dommage ou effet de Sorts à la place d'une cible située à 6m de vous. AS pour attaquer immédiatement. Fonctionne même si Aveuglé, Au Sol, Etourdi, Hébété ou Enchv.</t>
  </si>
  <si>
    <t>A la Défense du Trône</t>
  </si>
  <si>
    <t>Calligraphie (Code Secret), Connaissance:Théologie, Défense, Enquête (Sens de l'Obesrvation), Etiquette, Méditation, une Compétence Noble ou de Bugei au choix</t>
  </si>
  <si>
    <t>Robe, Wakizashi, Bo, Etui à Parchemin, Nécéssaire de Voyage</t>
  </si>
  <si>
    <t>AG aux sorts lancés pour protéger la vie, les biens ou la réputation de l'Empereur ou des familles Impériales (sauf vous) tant que cela ne vous fait pas perdre d'Honneur. AG aux Sorts Impérial.</t>
  </si>
  <si>
    <t>Athlétisme, Connaisance: Théologie (choisir une spécialisation), Défense, Jiujutsu, Méditation, 2 Compétences au choix</t>
  </si>
  <si>
    <t>La Main du Destin</t>
  </si>
  <si>
    <t>Aide aux alliés</t>
  </si>
  <si>
    <t>Temples des Milles Fortunes</t>
  </si>
  <si>
    <t>Courisan, Connaissances:  Théologie (Shintao), Etiquette, Jiujutsu, Méditation, 2 Compétences au choix</t>
  </si>
  <si>
    <t>Athlétisme,Connaissance: Théologie (Shintao), Une Compétence de Connaissance aux choix, Jiujutsu, Méditation, 2 Compétences au choix</t>
  </si>
  <si>
    <t>Defense, Connaissance: théologie (Fortunes), Jiujutsu, Méditation, 3 Compétences au choix</t>
  </si>
  <si>
    <t>Art de la Guerre, Jiujutsu 2, Connaissance: Théologie (Fortunes),  Méditatio, 2 Compétences au choix</t>
  </si>
  <si>
    <t>Jiujustu, Connaissance: Histoire, Connaissance: Théologie (Fortunes), Une Compétence de Connaissance aux choix, Méditation, Deux Compétences au choix</t>
  </si>
  <si>
    <t>Divination, Jiujutsu, Connaissance: Théologie (Sutra du Diamant), Méditation 2 , Deux Compétences au choix.</t>
  </si>
  <si>
    <t>Esprit de Civilité</t>
  </si>
  <si>
    <t>Dépensez un Pvide pour améliorer un jet de Compétence Sociale de +2g2 au lieu de +1g1</t>
  </si>
  <si>
    <t>Sociabilité accrue</t>
  </si>
  <si>
    <t>Marcher avec la Prophécie</t>
  </si>
  <si>
    <t>Vos 3 Kihos initiaux doivent être choisis au sein du même élément. Votre Rg. de Réputation est considéré comme ayant 1 point de plus pour atteindre le Niveau de Maitrise des Kiho de cet élément</t>
  </si>
  <si>
    <t>Spécialisation élémentaire</t>
  </si>
  <si>
    <t>La Voie de la Pureté</t>
  </si>
  <si>
    <t>Lorsque vous effectuez un Jet d'Opposition pour une Compétence Sociale, vous pouvez vous servir de n'importe quel Anneau à la place du Trait utilisé dans le cadre de ce jet</t>
  </si>
  <si>
    <t>Calme et tempérence</t>
  </si>
  <si>
    <t>La Main du Tonnerre</t>
  </si>
  <si>
    <t>+0g1 aux jets de Dommages pour toute Attaques à Mains Nues. Cet effet est cumulatif avec d'autres effets vous permettant de lancer et de garder des dés supplémentaires aux Dommages à Mains Nues</t>
  </si>
  <si>
    <t>Dommages à Mains Nues</t>
  </si>
  <si>
    <t>Les Milles Formes</t>
  </si>
  <si>
    <t>Vous commencez le jeu avec 4 Kiho (au lieu de 3) qui ne comptent pas dans le nombre de Kiho supplémentaires que vous pouvez acheter avec vos XP. (Opération que vous faites normalement)</t>
  </si>
  <si>
    <t>Nmbre de Kiho Illimités</t>
  </si>
  <si>
    <t>Isolation, Méditation</t>
  </si>
  <si>
    <t>La Voie de la Grue</t>
  </si>
  <si>
    <t>Vitesse de l'Eclair</t>
  </si>
  <si>
    <t>Un Coup et Un Seul</t>
  </si>
  <si>
    <t>Un Coup, Deux Entailles</t>
  </si>
  <si>
    <t>Frapper Sans Penser</t>
  </si>
  <si>
    <t>Cérémonie du Thé, Etiquette, Iaijutsu (Concentration), Kenjutsu, Kyujutsu, Sincérité, une Compétence Noble ou de Bugei au choix</t>
  </si>
  <si>
    <t>Ajoutez votre Rg. d'Iaijutsu X2 à votre Initiative. Au Round où vous prenez la Posture du Centre et au suivant, +1g1 +Rg. de Maîtrise à vos Jets d'Attaque et de Concentration.</t>
  </si>
  <si>
    <t>+2g0 à vous jets d'attaque quand vous attaquez une cible qui a une Initiative inférieure à la vôtre.</t>
  </si>
  <si>
    <t>En Posture du Centre, Dépensez une AS par tour pour en gagner immédiatement tous les avantages sans attendre le tour suivant. Vous pouvez la maintenir active. L'AS peut être une action de Mvmt.</t>
  </si>
  <si>
    <t>Iaijitsu et Duels</t>
  </si>
  <si>
    <t>La Grâce de l'Âme</t>
  </si>
  <si>
    <t>Réduction des Dommages, Défense</t>
  </si>
  <si>
    <t>Art de la Magie, Calligraphie (Code Secret), Connaissance: Théologie, Etiquette, Méditation, une Compétence d'Art au choix, une Compétence Noble au choix.</t>
  </si>
  <si>
    <t>Robe, Bo, Etui à Parchemin, Nécéssaire de Voyage</t>
  </si>
  <si>
    <t>Calligraphie, Cérémonie du Thé, Courtisan (Manipulation), Etiquette (Courtoisie), Sincérité, Spectacle: Art du Conteur, une Compétence d'Art ou de Spectacle au choix.</t>
  </si>
  <si>
    <t>Vêtements extravagants, Wakizashi, 1 Arme au choix, Nécéssaire de Calligraphie, Nécéssaire de Voyage</t>
  </si>
  <si>
    <t>L'Âme de l'Honneur</t>
  </si>
  <si>
    <t>Parler en Silence</t>
  </si>
  <si>
    <t>Le Présent Parfait</t>
  </si>
  <si>
    <t>La Voix de l'Honneur</t>
  </si>
  <si>
    <t>Le Don de la Dame</t>
  </si>
  <si>
    <t>Jet d'Opposition: Courtisan (Manipulation)/Intuition vs. Etiquette (Courtoisie)/Intuition. Si vs réussissez votre cible est obligée d'admettre que son opinion va à l'encontre du Bushido ou enfreindre l'Etiquette.</t>
  </si>
  <si>
    <t>Jet d'Opposition: Courtisan (Manipulation)/Intuition vs. Etiquette (Courtoisie)/Volonté. +5g0 si la cible est dans vos Relations. Si vous réussissez vous pouvez modifier les émotions de la cible.</t>
  </si>
  <si>
    <t>Faveurs, Relations, Courtisan</t>
  </si>
  <si>
    <t>Armure Légère ou Lourde, Vêtements Robustes, Daisho, 1 Arme Lourde ou Arme d'Hast, Nécéssaire de Voyage</t>
  </si>
  <si>
    <t>La Force de l'Honneur</t>
  </si>
  <si>
    <t>Le Bouclier de la Foi</t>
  </si>
  <si>
    <t>Frappe Sous le Voile</t>
  </si>
  <si>
    <t>Vigilance de l'Esprit</t>
  </si>
  <si>
    <t>Fouler l'Epée</t>
  </si>
  <si>
    <t>Ajoutez votre Rg. d'Honneur (arrondi à l'inférieur entier) -4 à vos Blessures de chaque Rg. (min 1). En Posture d'Attaque, +1g0 à tous vos jets d'Attaque.</t>
  </si>
  <si>
    <t>Qd vs. Effectuez une Manœuvre de Garde, le bénéfice dure 1 Round supplémentaire. Le Bonus au ND d'Armure de cette manœuvre augmente de +5 pour vous et votre adversaire (pas de malus pr. vous)</t>
  </si>
  <si>
    <t>Vous pouvez effectuer une attaque au prix d'une AS au lieu d'une AC quand vous adoptez une Posture d'Attaque.</t>
  </si>
  <si>
    <t>Dépensez un Pvide lors de l'étape de Réaction pr viser un adversaire qui a tenté de vs frapper vous ou la cible de votre garde. +2g1 à tous vos jets d'Attaque et Dommage contre cette cible au prochain round</t>
  </si>
  <si>
    <t>Dépensez 2 Pvide et una Act.G lorsque qqun annonce une action contre la cible de votre garde: vous devenez alors la cible en question. AG en bataille pour vs. déplacer vers la cible de votre garde.</t>
  </si>
  <si>
    <t>Garde, Défense</t>
  </si>
  <si>
    <t>Athlétisme, Chasse, Défense, Equitation, Kenjutsu (Cimeterre), une Compétence de Bugei au choix, une Compétence au choix</t>
  </si>
  <si>
    <t>Armure Lourde ou de Cavalerie, Vêtements Robustes, Daisho, Arme Lourde ou Arme d'Hast, 1 Arme au choix, Nécéssaire de Voyage, Cheval (Cheval de selle de la Licorne)</t>
  </si>
  <si>
    <t>La Voie de la Licorne</t>
  </si>
  <si>
    <t>Le Sourire de Shinsei</t>
  </si>
  <si>
    <t>Frappe du Vent du Désert</t>
  </si>
  <si>
    <t>La Charge de la Folie</t>
  </si>
  <si>
    <t>Les Moto ne se Rendent Pas</t>
  </si>
  <si>
    <t>Vs pouvez manier d'une seule main tte arme à 2 mains (sauf les Arcs). +1g0 aux Dommages qd vs. Êtes Monté ou utilisez un Arme à 2 Mains au sol. Les Cimeterres sont des armes "Samurai" pour vous.</t>
  </si>
  <si>
    <t>Bonus aux jets d'Attaque et de Dommage égal à la moitié du malus au ND causé par le Rg. de Blessure de votre adversaire (arrondi à l'inférieur)</t>
  </si>
  <si>
    <t>Vous pouvez effectuer une attaque au prix d'une AS au lieu d'une AC quand vous utilisez une arme au Corps à Corps.</t>
  </si>
  <si>
    <t>1X/Combat, si vous parvenez à faire tomber votre adversaire au Rang de Blessure Hors de Combat, vous pouvez effectuer une attaque supplémentaire ciblant un autre adversaire à portée au prix d'une ActG</t>
  </si>
  <si>
    <t>L'Esprit du Vent</t>
  </si>
  <si>
    <t>Dépsensez une AC: Vous pouvez sacrifier un emplacement de Sort pour conférer une action de Mvmt Simple à une cible à portée de voix. AG aux sorts de Voyage.</t>
  </si>
  <si>
    <t>Voyage, Talismans, Déplacement</t>
  </si>
  <si>
    <t>Art de la Guerre, Art de la Magie, Calligraphie (Code Secret), Connaissance:Théologie, Equitation, Méditation, une Compétence Noble ou de Bugei au choix</t>
  </si>
  <si>
    <t>Le Cœur Parle</t>
  </si>
  <si>
    <t>Lorsque vs offencez qqun par inadvertance, jet d'Etiquette (Courtoisie)/Intuition contre un ND de 20 pour éviter d'enfreindre l'Etiquette. AG aux Jets de Sincérité (Honnêteté), ND +5 en Sincérité (Tromperie)</t>
  </si>
  <si>
    <t>Calligraphie, Commerce, Courtisan, Equitation, Etiquette (Conversation, Sincérité (Honnêteté), une Compétence Noble ou de Spectacle au choix</t>
  </si>
  <si>
    <t>Vêtements extravagants, Wakizashi, 1 Arme au choix, Etui à Parchemins, Nécéssaire de Calligraphie, Nécéssaire de Voyage, Cheval (Cheval de selle de la Licorne)</t>
  </si>
  <si>
    <t>Jet d'Opposition Etiquette/Intiuition vs. Etiquette/Volonté. En cas de succès, vous vous faites une idée des vrais sentiments de la cible. Augmentations possible pour affiner le résultat.</t>
  </si>
  <si>
    <t>Percer le Voile</t>
  </si>
  <si>
    <t>Le Cœur Ecoute</t>
  </si>
  <si>
    <t>Répondre au Cœur</t>
  </si>
  <si>
    <t>L'Impassible Main de la Paix</t>
  </si>
  <si>
    <t>Qd vs. Utilisez votre Technique de Rang 2 ou 3, vous jetez un nombre de dés supplémentaires (sans les garder) égal à votre Rg. de Maîtrise.</t>
  </si>
  <si>
    <t>Art de la Guerre, Défense, Equitation 2, Kenjutsu, Sincérité, une Compétence Noble ou de Bugei au choix</t>
  </si>
  <si>
    <t>Armure Légère ou de Cavalerie, Vêtements Robustes, Daisho, 1 Arme au choix, Nécéssaire de Voyage, Cheval (Destrier utaku)</t>
  </si>
  <si>
    <t>Chevaucher en Harmonie</t>
  </si>
  <si>
    <t>La Vide de la Guerre</t>
  </si>
  <si>
    <t>Sentir la Brise</t>
  </si>
  <si>
    <t>Rien n'arrête le Vent</t>
  </si>
  <si>
    <t>Bénédiction d'Otaku</t>
  </si>
  <si>
    <t>Lors de la première étape d'un Round de Combat, vous pouvez ajouter 5 à votre Score d'Initiative ou votre ND d'Armure. Ce bonus dure jusqu'à la fin du combat ou jusqu'à ce que vous réactiviez la technique.</t>
  </si>
  <si>
    <t>Art de la Guerre, Défense, Enquête, Etiquette, Kenjustu, lances, 1 Compétence au choix.</t>
  </si>
  <si>
    <t>La Volonté du Peuple</t>
  </si>
  <si>
    <t>Protection de la population</t>
  </si>
  <si>
    <t>Disciple de Sun Tao</t>
  </si>
  <si>
    <t>Le Regard de Sun Tao</t>
  </si>
  <si>
    <t>La Malédiction du Ciel</t>
  </si>
  <si>
    <t>Justicier de Tengoku</t>
  </si>
  <si>
    <t>La Force de la Forêt</t>
  </si>
  <si>
    <t>Les Plis de l'Eventail de Fer</t>
  </si>
  <si>
    <t>Athlétisme, Chasse, Défense, Iaijutsu, Kenjustsu, 2 Compétences au choix</t>
  </si>
  <si>
    <t>Duels, Iaijutsu</t>
  </si>
  <si>
    <t>Armure Légère ou d'Ashigaru, Vêtements Robustes, Daisho, Arc et 20 flèches OU Couteau, Nécéssaire de Voyage</t>
  </si>
  <si>
    <t>Force brutale</t>
  </si>
  <si>
    <t>Athlétisme, Chasse, Défense, Equitation, Kenjustsu, Kyujustsu, Une Compétence au choix</t>
  </si>
  <si>
    <t>Athlétisme, Chasse, Défense, Discrétion, Kenjustsu, Kyujustsu, Une Compétence au choix</t>
  </si>
  <si>
    <t>Armure Légère, Vêtements Robustes, Daisho, 1 Arme au choix</t>
  </si>
  <si>
    <t>Art de la Guerre, Défense, Enquête, Eventails de Guerre, Jiujustu, Deux Compétences au choix</t>
  </si>
  <si>
    <t>Âme de l'Etudiant</t>
  </si>
  <si>
    <t>La Voie de la Discipline</t>
  </si>
  <si>
    <t>Le Don des Kami</t>
  </si>
  <si>
    <t>Art de la Magie, Calligraphie, Connaissance: Théologie, Connaissance (une au choix), Méditation, Deux Compétences au choix</t>
  </si>
  <si>
    <t>Robe de Prêtre solide, Wakizashi, une arme au choix, Etui à Parchemin, Nécéssaire de Voyage</t>
  </si>
  <si>
    <t>+1g0 aux Jets d'Incantation des tous vos sorts de départ (ceux qui vous ont étés enseignés par votre maître)</t>
  </si>
  <si>
    <t>AG sur les sorts de Sensation, Communion, Invocation pour tous les élements sauf Vide et Terre</t>
  </si>
  <si>
    <t>Dépensez un Pvide pour améliorer un jet d'Incantation de +2g2 au lieu de +1g1. Vous ne gagnez aucun nouveau sort quand votre Rg. de Maîtrise augmente, vous devez les trouver par vous-même</t>
  </si>
  <si>
    <t>Apprenti d'un maître</t>
  </si>
  <si>
    <t>Sorts universels</t>
  </si>
  <si>
    <t>Incantation facile</t>
  </si>
  <si>
    <t>Art de la Magie, Calligraphie (Code Secret), Connaissance: Théologie, Connaissance (une au choix), Méditation, Deux Compétences au choix</t>
  </si>
  <si>
    <t>Robe de Prêtre solide, Daisho, Etui à Parchemin, Nécéssaire de Voyage</t>
  </si>
  <si>
    <t>Art de la Magie, Athlétisme, Chasse, Méditation, Trois Compétences Non Nobles au choix</t>
  </si>
  <si>
    <t>Disciples de Sun Tao Avancée</t>
  </si>
  <si>
    <t>La Voie du Lion</t>
  </si>
  <si>
    <t>La Force de la Pureté</t>
  </si>
  <si>
    <t>Par le Force de Mes Ancêtres</t>
  </si>
  <si>
    <t>La Triomphe avant la Bataille</t>
  </si>
  <si>
    <t>L'Ultime Leçon d'Akodo</t>
  </si>
  <si>
    <t>Qd vous prenez des Augmentations aux Test de Bugei, si vous obtenez un résultat &gt; au ND d'origine sans atteindre le ND modifié, vous l'emportez mais ne tirez aucun ménéfice des Augmentations</t>
  </si>
  <si>
    <t>Art de la Guerre (combat de masse), Connaissance: Histoire, Défense, Kenjustu, Kyujutsu, Sincérité, une Compétence de Bugei ou Noble au choix.</t>
  </si>
  <si>
    <t>Armure Légère, Vêtements Robustes, Daisho, 1 Arme au Choix, Nécéssaire de Voyage</t>
  </si>
  <si>
    <t>Art de la Guerre, Art de la Magie, Calligraphie (Code Secret),Connaissance: Histoire, Connaissance: Théologie, Etiquette, une Compétence de Bugei ou Noble au choix</t>
  </si>
  <si>
    <t>Les Yeux des Ancêtres</t>
  </si>
  <si>
    <t>Le Héraut de la Gloire</t>
  </si>
  <si>
    <t>Le Cœur du Lion</t>
  </si>
  <si>
    <t>La Voix des Ancêtres</t>
  </si>
  <si>
    <t>La Force de la Tradition</t>
  </si>
  <si>
    <t>Chaque Lion est Ton Frère</t>
  </si>
  <si>
    <t>Vous ne perdez ni Honneur ni Gloire lorsque vs dévoilez vos émotions en public. Augmentez le ND des Tests d'Intimidation ou de Tentation de vos adversaires de +5 pr chacun de vos Rg. de Maîtrise</t>
  </si>
  <si>
    <t>Jet de Spectacle: Eloquence/Intuition vs ND= à 15+(5 par cible/+10 par cible non-Lion). En cas de réussite, chaque personne peut ajouter son Rg. d'Honneur à un jet de compétence dans le combat suivant</t>
  </si>
  <si>
    <t>5X/Session, lorsque vous faites un Jet d'Opposition Social contre un adversaire, pouvez ajouter un nombre de dés lancés (mais non gardés) égal à votre Rang en Spectacle: Art du Conteur.</t>
  </si>
  <si>
    <t>Le Rugissement du Lion</t>
  </si>
  <si>
    <t>La Fureur de Matsu</t>
  </si>
  <si>
    <t>La Charge du Lion</t>
  </si>
  <si>
    <t>Le Courage de Matsu</t>
  </si>
  <si>
    <t>Dévoile les Avtg/Désavtg.</t>
  </si>
  <si>
    <t>Art de la Guerre, Connaissance: Histoire, Jiujustu, Kenjustu (Katana), Kyujutsu, deux Compétences de Bugei au choix.</t>
  </si>
  <si>
    <t>Armure Légère ou Lourde, Vêtements Robustes, Daisho, Arme Lourde OU Arme d'Hast, Nécéssaire de Voyage</t>
  </si>
  <si>
    <t>Assaut Brutal</t>
  </si>
  <si>
    <t>La Voie de la Mante</t>
  </si>
  <si>
    <t>La Voix de la Tempête</t>
  </si>
  <si>
    <t>La Frappe de la Mante</t>
  </si>
  <si>
    <t>La Déferlante</t>
  </si>
  <si>
    <t>La Main d'Osano-Wo</t>
  </si>
  <si>
    <t>Commerce, Couteaux (Kama), Défense, Jiujutsu (Armes Improvisées), Kenjutsu, Navigation, une Compétence au choix</t>
  </si>
  <si>
    <t>Armure Légère, Vêtements Robustes, Daisho, 1 Arme au choix OU une paire de Couteaux, Nécéssaire de Voyage</t>
  </si>
  <si>
    <t>Vous pouvez effectuer une attaque avec un arme "Samurai" ou "Paysan" au prix d'une AS au lieu d'une AC.</t>
  </si>
  <si>
    <t>Si vous vous déplacez d'au moins 1,50m: Bonus de +10 au ND d'Armure au Round suivant OU 2 AG pour effectuer une manœuvre de Renversement uniquement</t>
  </si>
  <si>
    <t>Faveur du Soleil</t>
  </si>
  <si>
    <t>De jour vous gagnez une Affinité supplémentaire aux Sorts de Feu. Ne fonctionne pas la Nuit. AG aux sorts Tonnerre.</t>
  </si>
  <si>
    <t>Météo, Tonnerre</t>
  </si>
  <si>
    <t>Art de la Magie, Calligraphie (Code Secret), Connaissance: Théologie, Divination, Méditation, deux Compétences Nobles ou de Bugei au choix</t>
  </si>
  <si>
    <t>Commerce (Estimation), Courtisan, Défense, Etiquette, Intimidation (Contrôle), Sincérité, une Compétence de Marchand ou de Connaissance au choix</t>
  </si>
  <si>
    <t>Courtisan Yorimoto</t>
  </si>
  <si>
    <t>Le Devoir avant l'Honneur</t>
  </si>
  <si>
    <t>Cœur de la Tempête</t>
  </si>
  <si>
    <t>Maître des Vents</t>
  </si>
  <si>
    <t>Les Exigences de la Tempête</t>
  </si>
  <si>
    <t>De la Force en Toute Chose</t>
  </si>
  <si>
    <t>Sois Toujours Prêt</t>
  </si>
  <si>
    <t>La Flèche Connait le Chemin</t>
  </si>
  <si>
    <t>Le Dard de la Guêpe</t>
  </si>
  <si>
    <t>L'Envol du Non-Esprit</t>
  </si>
  <si>
    <t>L'Oeuil de Tsuruchi</t>
  </si>
  <si>
    <t>Vous pouvez effectuer une attaque au prix d'une AS au lieu d'une AC quand vous êtes à cheval.</t>
  </si>
  <si>
    <t>Vous pouvez effectuer une attaque avec un arc au prix d'une AS au lieu d'une AC.</t>
  </si>
  <si>
    <t>La Voie du Phénix</t>
  </si>
  <si>
    <t>La Danse des Elements</t>
  </si>
  <si>
    <t>En Harmonie avec le Vide</t>
  </si>
  <si>
    <t>En Harmonie avec l'Univers</t>
  </si>
  <si>
    <t>Le Don d'Isawa</t>
  </si>
  <si>
    <t>Temple de l'Âme</t>
  </si>
  <si>
    <t>L'Enseignement des Cendres</t>
  </si>
  <si>
    <t>La Voix de l'Univers</t>
  </si>
  <si>
    <t>Esprit Invisible</t>
  </si>
  <si>
    <t>Sagesse des Sages</t>
  </si>
  <si>
    <t>Tous Sont Un</t>
  </si>
  <si>
    <t>La Voie du Scorpion</t>
  </si>
  <si>
    <t>Les Pinces et le Dard</t>
  </si>
  <si>
    <t>Frapper avec la Queue</t>
  </si>
  <si>
    <t>Frapper de Dessus et d'En Dessous</t>
  </si>
  <si>
    <t>Les Pinces Retiennent, le Dard Frappe</t>
  </si>
  <si>
    <t>Le Murmure des Kami</t>
  </si>
  <si>
    <t>La Faiblesse est Ma Force</t>
  </si>
  <si>
    <t>Eaux Troubles</t>
  </si>
  <si>
    <t>Les Secrets sont comme les Marques de Naissance</t>
  </si>
  <si>
    <t>La Douce Piqûre de la Critique</t>
  </si>
  <si>
    <t>Bas les Masques</t>
  </si>
  <si>
    <t>La Voie des Ombres</t>
  </si>
  <si>
    <t>Coup Depuis les Ténèbres</t>
  </si>
  <si>
    <t>De l'Acier dans la Soie</t>
  </si>
  <si>
    <t>Murmure d'Acier</t>
  </si>
  <si>
    <t>Le Silence Final</t>
  </si>
  <si>
    <t>+5g0 à vos Tests d'Intimidation ou pour résister à l'Intimidation, à la Tentation ou à la Peur</t>
  </si>
  <si>
    <t>+1g0 à tous vos Tests d'Attaque quand vous utilisez un arc. +3 à votre Score d'Initiative</t>
  </si>
  <si>
    <t>Dépensez une AC: Vous gagnez +4g1 à tous vos Tests d'Attaque et de Dommages pour effectuer à tir à longue portée. Vous ne pouvez pas cumuler cette technique avec la technique de Rang 4.</t>
  </si>
  <si>
    <t>Vous pouvez effectuer une attaque avec un arme "Samurai" ou une Lance ou une Arme d'Hast au prix d'une AS au lieu d'une AC.</t>
  </si>
  <si>
    <t>A chaque Test d'Opposition manqué visant à modifier vos émotions, opinion ou comportement (sauf Peur), vous pouvez refaire le test en utilisant votre Intelligence comme Trait. Vous devez garder le 2ème jet.</t>
  </si>
  <si>
    <t>Vous pouvez entreprendre une manœuvre de Feinte pour une seule Augmentation au lieu de deux.</t>
  </si>
  <si>
    <t>Lorsque vous faites un Test d'Opposition Social vs. gagnez une AG pour chaque tranche de 3pts de Désavantage Sociaux ou Mental de la cible (Max 5AG). AG pour utiliser Courtisan (Commérage)</t>
  </si>
  <si>
    <r>
      <t>Un nbre de fois/ Session=à votre Rg. de Maîtrise, Test d'Opposition Courtisan(Commérage)/Intuition (+5g0 si</t>
    </r>
    <r>
      <rPr>
        <i/>
        <sz val="9"/>
        <rFont val="Arial"/>
        <family val="2"/>
      </rPr>
      <t xml:space="preserve"> Chantage</t>
    </r>
    <r>
      <rPr>
        <sz val="9"/>
        <rFont val="Arial"/>
        <family val="2"/>
      </rPr>
      <t>) vs. Etiquette/Intuition. En cas de succés votre cible gagne un Désavantage Social.</t>
    </r>
  </si>
  <si>
    <t>Qd. attaque contre un adversaire surpris, nbre de vos A pas limité par votre Vide et vous lancez (sans garder) un nbre de dés suppl.= Votre Rg. de Maîtrise OU 1/2 de ces dés contre un adv. avec Condition</t>
  </si>
  <si>
    <t>Après avoir lancé les Dommages d'une Attaque réussie, dépensez un Pvide pour que deux de vos dés soient automatiquement=10 sans qu'ils ne s'ouvrent. Vous pouvez dépenser plusieurs Pvide.</t>
  </si>
  <si>
    <t>Vous gagnez un AG pour faire la Manœuvre Coup Précis. Vos dégâts augmentent de +2g0 quand vous utilisez un arc.</t>
  </si>
  <si>
    <t>Dépensez un Pvide et une AC pour tirer une flèche qui ignore les ND d'armure, malus de Visibilité et Rg. de Blessure, Vous ne pouvez pas cibler hors de portée ni faire d'autre attaque ce Round.</t>
  </si>
  <si>
    <t>Athlétisme, Chasse, Défense, Enquête, Kyujutsu (Yumi) 2, une Compétnce de Bugei ou noble au choix</t>
  </si>
  <si>
    <t>Armure Légère ou d'Ashigaru, Vêtements Robustes, Arc et 20 flèches, Couteau, Nécéssaire de Voyage</t>
  </si>
  <si>
    <t>Vous gagnez une AG pour les Incantations de tous les Sorts de l'élément que vous avez pris pour affinité.</t>
  </si>
  <si>
    <t>Connaissance: Théologie, Défense, Kenjutsu, Kuyjustu, Lances, Méditation (Récupération de Vide), une Compétence de Bugei au choix</t>
  </si>
  <si>
    <t>Art de la Magie, Calligraphie (Code Secret), Connaissance: Théologie, Médecine, Méditation, une Compétence de Connaissance au choix, une Compétence Noble au choix</t>
  </si>
  <si>
    <t>Courtisan, Connaissance : Histoire, Connaissance: Théologie (Fortunes), Etiquette (Courtoisie), Méditation, Sincérité, une Compétence de Connaissance au choix</t>
  </si>
  <si>
    <t>Vous gagnez une AG à chaque jet de Compétence Connaissance. A chaque fois que vous dépensez un PVide pour un test d'Etiquette, vous gagnez +3g1 au lieu de +1g1.</t>
  </si>
  <si>
    <t>Utilisez un Pvide pour utiliser une autre Anneau que l'Anneau normal du sort que vous êtes en train d'Invoquer. L'élément de l'emplacement de sort change aussi. AG aux sorts d'Artisanat</t>
  </si>
  <si>
    <t>Art de la Magie, Calligraphie (Code Secret), Connaissance: Théologie, Défense, Etiquette, une Compétence d'Artisanant au choix, une Compétence Noble ou de Bugei au choix</t>
  </si>
  <si>
    <t>+1g1 à tous vos Tests d'Initiative, +5 à votre ND d'Armure contre des adversaires ayant une d'initiative inférieure à la vôtre.</t>
  </si>
  <si>
    <t>Courtisan (Manipulation), Défense, Etiquette, Iaijtsu, Jenjutsu, Sincérité, une Compétence au choix</t>
  </si>
  <si>
    <t>Art de la Magie, Calligraphie (Code Secret), Connaissance: Théologie, Courtisan, Discrétion, Etiquette, Une Compétence au choix</t>
  </si>
  <si>
    <t>Calligraphie, Courtisan (Commérage), Enquête, Etiquette, Sincérité (Tromperie), Tentation, une Compétence Noble au choix</t>
  </si>
  <si>
    <t>Athlétisme, Comédie, Ninjutsu, Sincérité, Discrétion (Furtivité) 2, une Coméptence au choix</t>
  </si>
  <si>
    <t>Armure Légère ou d'Ashigaru, vêtements noir et robustes, Daisho, Couteau OU Arc avec 20 flèches, Nécéssaire de Voyage</t>
  </si>
  <si>
    <t>Vous ne perdez ni Honneur ni Gloire qd. vous utilisez des Compétences Dégradantes ou une Arme de Ninjutstu au service du Clan du Scorpion. +2g0 à vous Tests de Discrétion</t>
  </si>
  <si>
    <t>Corps à Corps</t>
  </si>
  <si>
    <t>Pré-requis Anneaux</t>
  </si>
  <si>
    <t>Pré-requis Traits</t>
  </si>
  <si>
    <t>Avancée?</t>
  </si>
  <si>
    <t>Pré-requis Compétences</t>
  </si>
  <si>
    <t>L'Obscurité est ma Lumière</t>
  </si>
  <si>
    <t>Le Pouvoir de l'Impureté</t>
  </si>
  <si>
    <t>Ma Force n'a Pas de Limites</t>
  </si>
  <si>
    <t>Vous n'êtes plus limité par le nombre maximum d'Augmentations que vous pouvez prendre</t>
  </si>
  <si>
    <t>Puissance brute</t>
  </si>
  <si>
    <t>Courtisan 6, Discrétion 4, Etiquette 5, Sincérité 5</t>
  </si>
  <si>
    <t>Autres pré-requis</t>
  </si>
  <si>
    <t>Les Abysses du Déshonneur</t>
  </si>
  <si>
    <t>Voiler ses Mensonges de Vérité</t>
  </si>
  <si>
    <t>Tirer les Ficelles</t>
  </si>
  <si>
    <t>Nom des Eléments</t>
  </si>
  <si>
    <t>Caresse des Elements</t>
  </si>
  <si>
    <t>Forme des Elements</t>
  </si>
  <si>
    <t>Chevaucheur de Tempête</t>
  </si>
  <si>
    <t>Force de Suitengu</t>
  </si>
  <si>
    <t>L'Océan Enragé</t>
  </si>
  <si>
    <t>Enfant d'Osano-Wo</t>
  </si>
  <si>
    <t>La Fureur de Matsu (avancée)</t>
  </si>
  <si>
    <t>Modèle d'Honneur</t>
  </si>
  <si>
    <t>Technique de Matsu</t>
  </si>
  <si>
    <t>Visage Pâle de la Mort</t>
  </si>
  <si>
    <t>Force de Moto</t>
  </si>
  <si>
    <t>Fureur des Cieux</t>
  </si>
  <si>
    <t>Maître du Sabre</t>
  </si>
  <si>
    <t>Défenseur de la Muraille</t>
  </si>
  <si>
    <t>Attirer le Vide</t>
  </si>
  <si>
    <t>La Force de Kakita</t>
  </si>
  <si>
    <t>Un Seul Moment</t>
  </si>
  <si>
    <t>Le Silence des Deux Coups</t>
  </si>
  <si>
    <t>La Force de Mirumoto</t>
  </si>
  <si>
    <t>Harmonie et Passion</t>
  </si>
  <si>
    <t>Les Flammes de la Pureté</t>
  </si>
  <si>
    <t>La Force de Hida</t>
  </si>
  <si>
    <t>Le Crabe et la Muraille ne Font qu'Un</t>
  </si>
  <si>
    <t>Vous gagnez une Réduction de 8 qui se cumule avec tous les autres effets de Réduction provenant de Techniques ou d'Armures qui donnent de la Réduction</t>
  </si>
  <si>
    <t>Battre un Kenshinzen en duel légal</t>
  </si>
  <si>
    <t>En Posture du Centre, vous gagnez un ND d'armure de +10. Se cumule avec tous les autres effets qui augmentent le ND d'Armure.</t>
  </si>
  <si>
    <t>Maitres du combat à 2 lames</t>
  </si>
  <si>
    <t>Art de la Guerre 5, 4 Compétences d'Armes au Rang 3</t>
  </si>
  <si>
    <t>Fils de la Fierté</t>
  </si>
  <si>
    <t>Sorts d'Eau</t>
  </si>
  <si>
    <t>Rg. d'Ecole est considéré comme un Rg.supérieur pr. Incanter des sorts d'Eau. Vous pouvez dépenser un Pvide et une Act.G pour gagner une Immunité aux Sorts Tonnerre de Rang&lt;3 pendant 3 Rounds</t>
  </si>
  <si>
    <t>Vous devez être un croyant des Seigneurs de la Mort</t>
  </si>
  <si>
    <t>Prêtre des Seigneurs de la mort Moto</t>
  </si>
  <si>
    <t>A chaque fois que vous faites une attaque vous pouver dépenser un Pvide pour ajouter votre Rg. en Connaissance: ThéologieX5 à votre test d'Attaque</t>
  </si>
  <si>
    <t>Un Anneau au choix à 6, la capacité de lancer des sorts de rang 4 de cet élément</t>
  </si>
  <si>
    <t>Votre Rg. d'Ecole de Shugenja augmente de 1. Votre Anneau choisi est considéré comme ayant 2 Rangs en plus pour déterminier vos Emplacement de cet élément uniquement</t>
  </si>
  <si>
    <t>N° Clan</t>
  </si>
  <si>
    <t>Théologie des S. de la Mort</t>
  </si>
  <si>
    <t>Déshonneur</t>
  </si>
  <si>
    <t>Vous gagnez 2 kihos dont vous devez remplir les pré-requis. Si vous avez la capacité de faire une Attaque en AS avec une arme, vous pouvez le faire à Mains Nues et inversément.</t>
  </si>
  <si>
    <t>Vous gagnez 2 kihos dont vous devez remplir les pré-requis. Vs. pouvez sacrifier 2pts d'Honneur ou diminuer votre Souillure de 1pt à la place de dépenser un Pvide pour activer un Kiho.</t>
  </si>
  <si>
    <t>Athlétisme, Connaissance: Outremonde, Défense, Jiujutsu (Armes Improvisées) 2, Kenjutsu, une compétence de Bugei au choix</t>
  </si>
  <si>
    <t>Déchainer la Pierre Eternelle</t>
  </si>
  <si>
    <t>Eroder la Montagne</t>
  </si>
  <si>
    <t>La Pierre Détourne l'Acier</t>
  </si>
  <si>
    <t>Combattre Jusqu'au Bout</t>
  </si>
  <si>
    <t>Quand vous combattez à Mains Nues ou avec une Arme Improvisée vous pouvez entreprendre une manœuvre d'Attaque Supplémentaire pour 3 Augmentations au lieu de 5.</t>
  </si>
  <si>
    <t>Vous pouvez effectuer une attaque au Corps à Corps au prix d'une AS au lieu d'une AC lorsque vous combattez à Mains Nues ou avec une arme "Samurai" ou Improvisée.</t>
  </si>
  <si>
    <t>Athlétisme, Connaissance: Théologie, Défense, Iaijutsu, Kenjustsu (Katana), Méditation, une Compétence Noble ou de Bugei au choix</t>
  </si>
  <si>
    <t>Vêtements robustes, Katana, Tanto, Wakizashi, Nécéssaire de Voyage</t>
  </si>
  <si>
    <t>Aligné avec les Eléments</t>
  </si>
  <si>
    <t>Maitre de l'Acier</t>
  </si>
  <si>
    <t>Manœuvres</t>
  </si>
  <si>
    <t>Attaque supplémentaire</t>
  </si>
  <si>
    <t>Coup Précis</t>
  </si>
  <si>
    <t>Désarmement</t>
  </si>
  <si>
    <t>Dommages Augmentés</t>
  </si>
  <si>
    <t>Feinte</t>
  </si>
  <si>
    <t>Garde</t>
  </si>
  <si>
    <t>Renversement</t>
  </si>
  <si>
    <t>Postures</t>
  </si>
  <si>
    <t>Attaque</t>
  </si>
  <si>
    <t>Assaut</t>
  </si>
  <si>
    <t>Esquive</t>
  </si>
  <si>
    <t>Centre</t>
  </si>
  <si>
    <t>Conditions</t>
  </si>
  <si>
    <t>A Jeun</t>
  </si>
  <si>
    <t>Au Sol</t>
  </si>
  <si>
    <t>Aveuglé</t>
  </si>
  <si>
    <t>Enchevêtré</t>
  </si>
  <si>
    <t>Etourdi</t>
  </si>
  <si>
    <t>Fatigué</t>
  </si>
  <si>
    <t>Hébété</t>
  </si>
  <si>
    <t>Monté/Surélevé</t>
  </si>
  <si>
    <t>Quand vous portez un sabre et aucune armure, vous gagnez une Réduction égale à votre Rang de Maîtrise +2. +1g0 aux Dommages avec n'importe quel sabre</t>
  </si>
  <si>
    <t>Quand vous portez un sabre, vs pouvez tenter la Manœuvre de Renversement pour une A de moins. Si vs. Contrôlez une Empoignade vs pouvez faire des dégâts avec votre lame plutôt qu'à Mains Nues</t>
  </si>
  <si>
    <t>Vous pouvez effectuer une attaque au Corps à Corps au prix d'une AS au lieu d'une AC lorsque vous maniez un sabre.</t>
  </si>
  <si>
    <t>Quand vous portez un sabre, vous pouvez dépenser autant de Pvide que souhaité pour vos jets de Dommages. Si c'est un Katana, cette capacité se cumule à la capacité du Katana à dépenser des Pvide</t>
  </si>
  <si>
    <t>Quand vous portez un sabre, vous pouvez dépenser un et un seul Pvide pour vos jets de Dommages. Si c'est un Katana, cette capacité se cumule à la capacité du Katana à dépenser des Pvide</t>
  </si>
  <si>
    <t>Les dés (y compris de Dommages) de toute créature ayant un Rg. De Souillure&gt;1.0 ne s'ouvrent jamais contre vous.</t>
  </si>
  <si>
    <t>Une fois par Round, vous pouvez annuler toute Condition qui vous touche (sauf Monté et Empoigné)</t>
  </si>
  <si>
    <t>Empoigné/Agrippé</t>
  </si>
  <si>
    <t>Quand vous maniez un katana dans votre main directrice et un wakizashi dans votre autre main, vous pouvez dépenser jusqu'à 2 Pvide par Tour</t>
  </si>
  <si>
    <t>+1g1  à votre Concentration lorsque vous êtes en Duel d'Iaijustu que vous battiez votre adversaire ou non lors de la phase d'Evaluation</t>
  </si>
  <si>
    <t>Lorsque vous portez un katana dans votre main directrice et un wakizashi dans votre autre main, vous pouvez ignorer toute Réduction de votre adversaire (le cas échéant)</t>
  </si>
  <si>
    <t>Durant les Phases de Concentration et d'Evaluation lors d'un Duel, vos dés sont ouverts sur un 9 ou un 10.</t>
  </si>
  <si>
    <t>Si vous ne faites qu'une seule attaque durant votre Tour, tout adversaire que vous touchez tombe Etourdi jusqu'au début de votre prochain Tour.</t>
  </si>
  <si>
    <t>Ignorez les ND un Malus aux Compétences découlant des Rg. De Blessure jusqu'à votre Rg. en Connaissance: ThéologieX2</t>
  </si>
  <si>
    <t>En Posture d'Assaut, vous gagnez un ND d'armure de +10. Se cumule avec tous les autres effets qui augmentent le ND d'Armure.</t>
  </si>
  <si>
    <t>Les dés de toute créature dans un rayon de 9m ayant un Rg. d'honneur inférieur au vôtre ne s'ouvrent jamais contre vous. Peut être ignoré durant un combat en dépensant 2 Pvide durant l'étape de Réaction</t>
  </si>
  <si>
    <t>Votre Rg. d'Ecole de Shugenja augmente de 1. Votre Anneau d'Eau est considéré comme ayant 2 Rangs en plus pour déterminer vos Emplacement de Sorts d'Eau uniquement</t>
  </si>
  <si>
    <t>A chaque fois que vous tentez de dissmuler un de vos mensonges dans un Test d'Opposition Social et que vous dépensez un Pvide, vous gagnez +3g3 au lieu de +1g1</t>
  </si>
  <si>
    <t>Combat sans armure</t>
  </si>
  <si>
    <t>Armes d'Hast, Couteau (Jitte), Défense, Equitation, Jiujutsu, Kenjutsu, une Compétence Noble ou de Bugei au choix</t>
  </si>
  <si>
    <t>Armure Légère, Vêtements Robustes, Daisho, Une arme ou choix OU 2 Couteaux, Nécéssaire de Voyage</t>
  </si>
  <si>
    <t>Magistrat Doji</t>
  </si>
  <si>
    <t>Le Saule dans la Tempête</t>
  </si>
  <si>
    <t>Respect de la loi</t>
  </si>
  <si>
    <t>Lorsque vous contrôlez une Empoignade ou pour résoudre une tentative de désarmement, vous pouvez utiliser le Rg. De Force de votre adversaire à la place du vôtre.</t>
  </si>
  <si>
    <t>Si vous Empoignez ou Désarmez un adversaire avec succès, il est aussi automatiquement Hébété.</t>
  </si>
  <si>
    <t>Vous pouvez effectuer une attaque au Corps à Corps au prix d'une AS au lieu d'une AC lorsque vous attaquez à Mains Nues ou avec un Jitte, un Satsumata ou une arme "Samurai"</t>
  </si>
  <si>
    <t>Courtisan 6, Etiquette 4</t>
  </si>
  <si>
    <t>La Force du Trône</t>
  </si>
  <si>
    <t>La Terreur du Trône</t>
  </si>
  <si>
    <t>Contre un adversaire de rang de Statut inférieur, jet de Vide opposé au vôtre. En cas de succès, vous lui donnez un Désavantage Social OU vs faites de lui un ronin contre 5pts de Statut, Honneur et Gloire</t>
  </si>
  <si>
    <t>Juges impériaux</t>
  </si>
  <si>
    <t>Athlétisme, Défense, Equitation 2, Kenjutsu, Kyujutsu, une Compétence au choix</t>
  </si>
  <si>
    <t>Armure Légère ou d'Ashigaru, Vêtements Robustes, Daisho, Arc et 20 flèches, Couteau, Cheval (Cheval de selle de la licorne), Nécéssaire de Voyage</t>
  </si>
  <si>
    <t>La Voie de la Ki-Rin</t>
  </si>
  <si>
    <t>Dance de la Lame</t>
  </si>
  <si>
    <t>Lorsque vous dépensez un PVide pour ajouter un 1g1 à tout jet de compétence d'école, vous pouvez ajouter votre rang d'Equitation au total. Ce bonus ne peut pas être utilisé en Posture du Centre.</t>
  </si>
  <si>
    <t>Chance</t>
  </si>
  <si>
    <t>Le Lion ne Peut Echouer</t>
  </si>
  <si>
    <t>Courtisan, Discrétion, Enquête (Sens de l'Observation), Etiquette, Kenjutsu, Sincérité, une Compétence Noble ou Dégradante au choix</t>
  </si>
  <si>
    <t>Vêtements Traditionnels, Daisho, une arme au choix, Nécéssaire de Calligraphie, Nécéssaire de Voyage</t>
  </si>
  <si>
    <t>+1g0 à tous les tests requiérant une Technique d'Ecole</t>
  </si>
  <si>
    <t>Vous pouvez effectuer une attaque au Corps à Corps au prix d'une AS au lieu d'une AC</t>
  </si>
  <si>
    <t>Commerce 4, Couteaux 3, Navigation 4</t>
  </si>
  <si>
    <t>La Joie du Pillage</t>
  </si>
  <si>
    <t>Maître des Mers</t>
  </si>
  <si>
    <t>Vous pouvez dépenser un Pvide pour n'importe quel Compétence de Marchand et remplacer votre jet par 10g10 quels que soient vos rangs actuels. +3g0 àtous vos tests de Bugei sur un bateau.</t>
  </si>
  <si>
    <t>Une Compétence d'Arme à 5</t>
  </si>
  <si>
    <t>Ne Connais Aucune Frontière</t>
  </si>
  <si>
    <t>La Vitesse de la Certitude</t>
  </si>
  <si>
    <t>La Force de l'Humilité</t>
  </si>
  <si>
    <t>Une fois par Round vous pouvez dépenser un Pvide pour effectuer une attaque au Corps à Corps en AG. Vous ne pouvez pas faire d'autre attaque durant ce Round.</t>
  </si>
  <si>
    <t>Vous pouvez effectuer une attaque au Corps à Corps au prix d'une AS au lieu d'une AC lorsque vous maniez une arme "Samurai" (ou un autre type d'arme au choix si vous possédez déjà cette capacité)</t>
  </si>
  <si>
    <t>Deux Compétences d'Artisanat au choix, Calligraphie, Une Compétence de Connaissance au choix, Etiquette, Sincérité, Une Compétence Noble ou de Bugei au choix</t>
  </si>
  <si>
    <t>Vêtements délicats, Wakizashi, Outils nécéssaires à votre artisanat, Nécéssaire de Voyage</t>
  </si>
  <si>
    <t>Choissisez une Compétence d'Artisanat: Lorsque vous dépensez un Pvide pour cette compétence, vous gagnez +2g2 au lieu de +1g1</t>
  </si>
  <si>
    <t>Choissisez une Compétence d'Artisanat: Lorsque vous devez effectuer un Test Social (dans laquelle vous avez au moins un Rang), vous pouvez utiliser votre Rg. d'Artisanat à la place.</t>
  </si>
  <si>
    <t>1X/jour, test Compétence d'Artisanat ND30. En cas de succès vs et nbre de pers=votre Rg. de Maîtrise regagnez tous vos PVide. Nécessite au moins 15 minutes et ne peut être utilisée en Outremonde.</t>
  </si>
  <si>
    <t>Si vous le souhaitez, toute personne qui voit une de vos œuvres exposée à la cour gagne un Pvide, vous en gagnez 2 à la place si vous êtes présent. Max 1PVide de cette manière par Jour, 2 pour vous</t>
  </si>
  <si>
    <t>Maîtres artisans</t>
  </si>
  <si>
    <t>Athlétisme, Connaissance:Pègre, Défense, Intimidation (Contrôle), Kenjutsu, Jiujutsu, une Compétence de Bugei au choix</t>
  </si>
  <si>
    <t>Le Visage de la Justice</t>
  </si>
  <si>
    <t>Chaque fois que vous êtes Au Sol, dépensez une AG: Test en Athlétisme /Agilité TN 20 pour vous remettre immédiatement sur vos pieds. +1 g1 à tout test pour contrôler une Empoignade.</t>
  </si>
  <si>
    <t>Vous pouvez effectuer une attaque au Corps à Corps (y compris à Mains Nues) au prix d'une AS au lieu d'une AC</t>
  </si>
  <si>
    <t>Traque des criminels</t>
  </si>
  <si>
    <t>Les Bénédictions du Ciel</t>
  </si>
  <si>
    <t>Colère du Dragon de la Terre</t>
  </si>
  <si>
    <t>Vitesse du Dragon de l'Air</t>
  </si>
  <si>
    <t>Courage du Dragon du Tonnerre</t>
  </si>
  <si>
    <t>Jugement du Dragon Céleste</t>
  </si>
  <si>
    <t>Athlétisme, Connaissance: Non-Humains, Défense, Etiquette, Kenjutsu, Kyujutsu, une Compétence Noble ou de Bugei au choix</t>
  </si>
  <si>
    <t>Traque des non-humains</t>
  </si>
  <si>
    <t>Dépensez un Pvide et une Act.G au début de votre tour pour que toutes vos attaques de ce tour ignorent toute Réduction des adversaires "non-humains"</t>
  </si>
  <si>
    <t>Vous pouvez effectuer une attaque au Corps à Corps au prix d'une AS au lieu d'une AC lorsque vous maniez une arme "Samurai" ou que vous affrontez un adversaire "non-humain"</t>
  </si>
  <si>
    <t>Après avoir frappé un adversaire, dépensez un PVide et une Act.G pour ignorer tout effet (sauf invulnérabilité) qui réduit ou atténue les dommages d'un adversaire "non-humain"</t>
  </si>
  <si>
    <t>Une fois par combat, vous pouvez dépenser 4 Pvide après avoir touché un adversaire non-humain (3 sinon) pour lui infliger assez de Dommages pour le mettre automatiquement Hors Combat</t>
  </si>
  <si>
    <t>Sagesse de la Chouette</t>
  </si>
  <si>
    <t>Unité des Réalités</t>
  </si>
  <si>
    <t>La Voix des Cieux</t>
  </si>
  <si>
    <t>Soutenir la Paix</t>
  </si>
  <si>
    <t>Mandat d'Hantei</t>
  </si>
  <si>
    <t>A la Défense de Nigen-Do</t>
  </si>
  <si>
    <t>+1g0 aux Tests d'Etiquette. Au cours d'une interaction sociale avec les "non-humains", Test de Connaissance: Non-humain/Intelligence ND 20 de se rappeler un aspect important de leur culture</t>
  </si>
  <si>
    <r>
      <t xml:space="preserve">Test de Courtisan/Intuition TN 25 contre un "non humain". En cas de succès ce "non humain" vous traite comme une </t>
    </r>
    <r>
      <rPr>
        <i/>
        <sz val="9"/>
        <rFont val="Arial"/>
        <family val="2"/>
      </rPr>
      <t>Relation</t>
    </r>
    <r>
      <rPr>
        <sz val="9"/>
        <rFont val="Arial"/>
        <family val="2"/>
      </rPr>
      <t xml:space="preserve"> de Rang 2 jusqu'à la fin de la rencontre tant que vous ne le menacez pas.</t>
    </r>
  </si>
  <si>
    <t>Dépensez un Pvide pour améliorer un jet d'Intimidation de +2g2 (ou +3g2 contre un non humain) au lieu de +1g1, vous ne perdez aucun pt. d'Honneur de cette manière</t>
  </si>
  <si>
    <t>Dépsensez une Act.G et une AC pour faire une Test d'Opposition Intimidation/Volonté (+3g0 contre un non humain). En cas de succès tout combat cesse durant 3 Rounds ou jusqu'à ce que vs attaquiez.</t>
  </si>
  <si>
    <t>Diplomatie avec les non-humains</t>
  </si>
  <si>
    <t>Calligraphie, Connaissance: Non-humain, Courtisan, Etiquette (Courtoisie), Intimidation, Sincérité, une Compétence Noble au choix</t>
  </si>
  <si>
    <t>Robe de Noble, Eventail, Nécéssaire de Voyage</t>
  </si>
  <si>
    <t>Calligraphie, Connaissance: Non humains, Connaissance: Théologie, Défense, Enquête, Méditation, Une compétence Noble au choix</t>
  </si>
  <si>
    <t>AG à tout sort visant un non-humain. Si votre sort inflige ds dégâts vous pouvez sacrifier un Emplacement de Sort supplémentaire du même élément pour que celui-ci ignore la Réduction=2XVide de l'ennemi</t>
  </si>
  <si>
    <t>Batons, Connaissance: Non humains, Connaissance: Théologie (Fortunes), Etiquette, Jiujutsu, Méditation, une Compétence au choix</t>
  </si>
  <si>
    <t>La Voie de l'Ancien Monde</t>
  </si>
  <si>
    <t>Vous gagnez un kiho Mystique supplémentaire et un bonus de +1g0 en Etiquette et à toute Compétence de Connaissance</t>
  </si>
  <si>
    <t>Civilisations pré-rokugan</t>
  </si>
  <si>
    <t>Connaissance: Eléments, Connaissance: Théologie (Shintao), Courtisan, Defense, Etiquette, Jiujutsu, Meditation</t>
  </si>
  <si>
    <t>Fissures dans les éléments</t>
  </si>
  <si>
    <t>Bonus à votre attaque ou jet de compétence sociale = 2X la différence entre les anneaux extrêmes de votre adversaire.</t>
  </si>
  <si>
    <t>Anneaux extrêmes</t>
  </si>
  <si>
    <t>Connaissance: Théologie, Courtisan, Etiquette, Jiujutsu, Meditation, Deux Compétences au choix</t>
  </si>
  <si>
    <t>Bonus en Attaque OU en Compétences Sociales égal à 2X la différence entre votre Rg. d'Honneur et celui de votre adversaire</t>
  </si>
  <si>
    <t>Pour Chacun, Une Voie (Bas)</t>
  </si>
  <si>
    <t>Pour Chacun, Une Voie (Haut)</t>
  </si>
  <si>
    <t>Différence de Rg. d'honneur</t>
  </si>
  <si>
    <t>Toute Chose à Travers l'Honneur</t>
  </si>
  <si>
    <t>Sagesse de Sensei</t>
  </si>
  <si>
    <t>Habilité de par Son Nom</t>
  </si>
  <si>
    <t>Honneur, combat de masse</t>
  </si>
  <si>
    <t>Art de la Guerre, Athletisme, Défense, Kenjutsu, Armes d'Hast, Lances, une Compétence de Bugei ou Noble au choix</t>
  </si>
  <si>
    <t>Armure Légère, Vêtements Normaux, Daisho, Une Lance OU Une arme d'Hast, Cheval (Cheval de selle de la Licorne), Nécéssaire de Voyage</t>
  </si>
  <si>
    <t>Choississez Votre Arme</t>
  </si>
  <si>
    <t>Vitesse de Mes Sœurs</t>
  </si>
  <si>
    <t>Attaque sur Tous les Fronts</t>
  </si>
  <si>
    <t>Tonnerre d'Utaku</t>
  </si>
  <si>
    <t>Epopée de Mon Nom</t>
  </si>
  <si>
    <t>A pied, vous vous déplacez comme si votre Anneau d'Eau était supérieur d'un Rang et ajoutez un bonus de +1g0 à vos tests d'Initiative.</t>
  </si>
  <si>
    <t>Vous pouvez effectuer une attaque au Corps à Corps au prix d'une AS au lieu d'une AC avec l'Arme que vous avez chosi.</t>
  </si>
  <si>
    <t>Athlétisme, Bâtons, Connaissance: Théologie, Défense, Jiujutsu, , Méditation, une Compétence au choix</t>
  </si>
  <si>
    <t>Essence du Vent</t>
  </si>
  <si>
    <t>Tout effet qui vs cible ou tentative d'influence de votre comportement par sort, courtisan, comp. sociale ou Advantage, nécessite un PVide supplémentaire pour prendre effet. (N'annule pas les améliorations.)</t>
  </si>
  <si>
    <t>Difficile à cibler</t>
  </si>
  <si>
    <t>Calligraphie, Connaissance: Théologie (Shintao), Jiujutsu, Kyujutsu, Méditation, Deux Compétences au choix</t>
  </si>
  <si>
    <t>Piliers de l'Oeil de l'Esprit</t>
  </si>
  <si>
    <t>Calligraphie, Connaissance: Histoire, Connaissance: Théologie, Divination, Etiquette, Enquête, une Compétence non Bugei au choix</t>
  </si>
  <si>
    <t>La Voie de l'Oeil Clos</t>
  </si>
  <si>
    <t>Vous n'êtes jamais Surpris. Avant de faire un Test d'Initiative, dépensez un Pvide: jet de Perception ND 20. En cas de réusite, augmentez votre Initiative de 20. Ce bonus est perdu si vous faites une attaque.</t>
  </si>
  <si>
    <t>Jamais surpris</t>
  </si>
  <si>
    <t>Athlétisme, une Compétence de Connaissance au choix, Défense, Jiujutsu, Méditation, deux Compétences au choix</t>
  </si>
  <si>
    <t>Don de Sensei</t>
  </si>
  <si>
    <t>Esprit inflexible</t>
  </si>
  <si>
    <t>Athlétisme, Connaissance: Théologie, Défense, Jiujutsu (Arts Martiaux), Méditation, une Compétence de Bugei au choix, une Compétence au choix</t>
  </si>
  <si>
    <t>Réduction des Dommages</t>
  </si>
  <si>
    <t>Athlétisme, Connaissance: Histoire, Connaissance: Théologie, Jiujutsu, Méditation, deux Compétences au choix</t>
  </si>
  <si>
    <t>Art de la Guerre, Athlétisme, Connaissance: Théologie, Jiujutsu 2, Méditation, une Compétence au choix</t>
  </si>
  <si>
    <t>Courtisan, Connaissance: Histoire, Connaissance: Théologie, Etiquette, Méditation, Sincérité, une Compétence Noble au choix</t>
  </si>
  <si>
    <t>Changer la Voie</t>
  </si>
  <si>
    <t>La Main des Cieux</t>
  </si>
  <si>
    <t>A chaque fois que vous utilisez un Kiho d'un élément différent du dernier Kiho que vous avez employé, vous gagnez un bonus de +5 à au jet d'activation</t>
  </si>
  <si>
    <t>Diversité élémentaire des kiho</t>
  </si>
  <si>
    <t>AG à votre attaque à Mains Nues ou si vous manipulez un bo, un bisento ou une arme "Moine" et que votre Rg. dans l'Anneau Feu est supérieur à celui de votre adversaire</t>
  </si>
  <si>
    <t>Violence mesurée</t>
  </si>
  <si>
    <t>Lorsque vous faites un Test Social, choissisez un kiho que vous possédez. Vous ne pouvez plus vous servir ni choisir ce kiho durant 24h mais gagnez un bonus de +1g1 à ce Test Social.</t>
  </si>
  <si>
    <t>Gros Bras et Lutte</t>
  </si>
  <si>
    <t>Réflexions d'Emma-O</t>
  </si>
  <si>
    <t>Athlétisme, Calligraphie, Connaissance: Fantômes, Connaissance: Théologie (Emma-O), Jiujutsu, Méditation, une Compétence au choix</t>
  </si>
  <si>
    <t>Chasseurs de fantômes</t>
  </si>
  <si>
    <t>Art de la Guerre 3, Défense 4 , Kenjutsu 3</t>
  </si>
  <si>
    <t>Tenir Comme Deux Mille</t>
  </si>
  <si>
    <t>Honneur de Kuronada</t>
  </si>
  <si>
    <t>Expertise de Tamago</t>
  </si>
  <si>
    <t>+1g0 aux Tests de Défense. Si vous combattez pour des inoccents ou des personnes du peuple +1g1 à la place</t>
  </si>
  <si>
    <t>Aussi longtemps que votre Honneur est &gt;5,0, vous gagnez un bonus de +2g1 au lieu de +1g1 à chaque fois que vous dépensez un PVIde pour une technique d'Ecole</t>
  </si>
  <si>
    <t>Vous pouvez effectuer une attaque au Corps à Corps au prix d'une AS au lieu d'une AC avec l'Arme "Samurai"</t>
  </si>
  <si>
    <t>Défense du peuple</t>
  </si>
  <si>
    <t>Art de la Guerre (Combat de Masse) 4, Deux Compétences d'Armes à 4</t>
  </si>
  <si>
    <t>Vous devez avoir suivi l'école des Disciples de Sun Tao</t>
  </si>
  <si>
    <t>Leçon de Terumoto</t>
  </si>
  <si>
    <t>Héritage de Sun Tao</t>
  </si>
  <si>
    <t>Perfection d'Aikumo</t>
  </si>
  <si>
    <t>Choississez 3 Compétences d'Arme: Vous gagnez +1g0 aux jets dans ces trois Compétences</t>
  </si>
  <si>
    <t>Bonus de +1g1 à vous tests d'Art de la Guerre pour déterminer qui gagne une bataille, +1g0 pour déterminer votre Niveau d'engagement (Core p.240)</t>
  </si>
  <si>
    <t>Athlétisme, Chasse, Couteaux, Défense, Intimidation, Kenjutsu, une Compétence d'Arme au choix</t>
  </si>
  <si>
    <t>Force de Mon Père</t>
  </si>
  <si>
    <t>Jamais Troublé</t>
  </si>
  <si>
    <t>Esprit Coupant Deux Fois</t>
  </si>
  <si>
    <t>Vous pouvez effectuer une attaque au Corps à Corps au prix d'une AS au lieu d'une AC avec un katana ou un couteau</t>
  </si>
  <si>
    <t>Morsure du Loup</t>
  </si>
  <si>
    <t>Valeur du Loup</t>
  </si>
  <si>
    <t>En Combat vous gagnez un Bonus à votre ND d'Armure égal à la différence entre le nombre d'ennemi et le nombre de vos alliés. Bonus maximum=votre Rg. de maîtriseX2</t>
  </si>
  <si>
    <t>Vous pouvez effectuer une attaque au CàC au prix d'une AS au lieu d'une AC avec une arme supplémentaire de votre choix. Dépensez un Pvide pour activer votre technique de Rang 1 sans faire de test.</t>
  </si>
  <si>
    <t>Art de la Magie, Calligraphie, Défense, Etiquette, Connaissance:  Théologie, Médecine, une Compétence Noble ou de Marchand au choix</t>
  </si>
  <si>
    <t>La Voie de Côté</t>
  </si>
  <si>
    <r>
      <t xml:space="preserve">AG à l'Incantation de tout sort qui guérit les blessures, poisons ou maladies (comme </t>
    </r>
    <r>
      <rPr>
        <i/>
        <sz val="9"/>
        <rFont val="Arial"/>
        <family val="2"/>
      </rPr>
      <t xml:space="preserve">Voie vers la Paix Intérieure </t>
    </r>
    <r>
      <rPr>
        <sz val="9"/>
        <rFont val="Arial"/>
        <family val="2"/>
      </rPr>
      <t>ou P</t>
    </r>
    <r>
      <rPr>
        <i/>
        <sz val="9"/>
        <rFont val="Arial"/>
        <family val="2"/>
      </rPr>
      <t>aix des Kami</t>
    </r>
    <r>
      <rPr>
        <sz val="9"/>
        <rFont val="Arial"/>
        <family val="2"/>
      </rPr>
      <t>), pour tout emplacement de sorts de la Terre que vous sacrifiez.</t>
    </r>
  </si>
  <si>
    <t>Soins magiques</t>
  </si>
  <si>
    <t>Kenjustu 5, Méditation 6</t>
  </si>
  <si>
    <t>Quand vous combattez avec un sabre, a chaque fois que vous mettez un Adversaire à Epuisé, Hors Combat ou Mort vous gagnez un Pvide. Peut dépasser votre max Pvide mais surplus perdu à la fin du combat.</t>
  </si>
  <si>
    <r>
      <t>1X/Jour, Dépensez une AS: Test en Méditation/Intuition ND 25 +5 pour chaque allié qui combat à vos côtés. En cas de succès, vos alliés bénéficient des effets de "</t>
    </r>
    <r>
      <rPr>
        <i/>
        <sz val="9"/>
        <rFont val="Arial"/>
        <family val="2"/>
      </rPr>
      <t>Le Sabre et l'Âme</t>
    </r>
    <r>
      <rPr>
        <sz val="9"/>
        <rFont val="Arial"/>
        <family val="2"/>
      </rPr>
      <t>" pour ce Combat</t>
    </r>
  </si>
  <si>
    <t>Maître Sensei</t>
  </si>
  <si>
    <t>Art de la Magie 5</t>
  </si>
  <si>
    <t>Force Intérieure</t>
  </si>
  <si>
    <t>Lorsque vous incantez un Sort, vous pouvez dépenser 2 Emplacements de Sorts d'un autre élément (sauf son opposé) que celui du sort que vous lancez à la place de l'Emplacement de l'Elément normal</t>
  </si>
  <si>
    <t>Rg. d'Ecole est considéré comme un Rg.supérieur. Dépensez un Emplacement de Sort et une Act.G pour gagner une Réduction de 2 et un bonus au ND d'Armure de +10 mais devez déclarer une A à tout sort</t>
  </si>
  <si>
    <t>Dépensez une AS, un Pvide et un Emplacement de Sort pour choisir un mot-clef. +4g1 à tout jet d'Incantation de Sort avec ce mot-clef</t>
  </si>
  <si>
    <t>Protection, versatilité</t>
  </si>
  <si>
    <t>Eclaireur Daidoji</t>
  </si>
  <si>
    <t>+1 Réflexes</t>
  </si>
  <si>
    <t>Athlétisme, Chasse (Pièges), Couteaux, Kenjutstu, Discrétion (Dissimulation), Kyujutstu (Yumi), une Compétence Dégradante ou de Bugei au choix</t>
  </si>
  <si>
    <t>Armure Légère ou d'Ashigaru, Vêtements Robustes, Daisho, Couteau, Arc et 20 flèches, 1 Arme au choix, Nécéssaire de piégeage, Maquillage facial, Nécéssaire de Voyage</t>
  </si>
  <si>
    <t>Ruse de Daidoji</t>
  </si>
  <si>
    <t>Pièges</t>
  </si>
  <si>
    <t>Lorsque vous attaquez un adversaire pris par surprise, vous gagnez un bonus de +2g0 à votre jet d'attaque</t>
  </si>
  <si>
    <t>Vous pouvez effectuer une attaque au Corps à Corps au prix d'une AS au lieu d'une AC avec un katana, un couteau, un wakizashi ou un arc. Vos pièges font +2g1 Dommages</t>
  </si>
  <si>
    <t>*ActG= Action Gratuite, AS=Action Simple, AG=Augmentation Gratuite, A=Augmentation</t>
  </si>
  <si>
    <t>Pièges, Archerie</t>
  </si>
  <si>
    <t>Libérer l'Esprit</t>
  </si>
  <si>
    <t>Courtisan, Etiquette, Jeu (Sadane), Sincérité, Trois Compétences au choix parmi: Comédie, Artisanat et/ou Spectacle</t>
  </si>
  <si>
    <t>Robe de Noble, Beaux Vêtements, Wakizashi, Fournitures d'art, Eventail, Cheval (Poney rokugani), Nécéssaire de Voyage</t>
  </si>
  <si>
    <r>
      <t>Vous pouvez choisir une Compétence supplémentaire comme "</t>
    </r>
    <r>
      <rPr>
        <i/>
        <sz val="9"/>
        <rFont val="Arial"/>
        <family val="2"/>
      </rPr>
      <t>art</t>
    </r>
    <r>
      <rPr>
        <sz val="9"/>
        <rFont val="Arial"/>
        <family val="2"/>
      </rPr>
      <t>" à laquelle s'applique toutes vos techniques d'Ecole. Le Bonus de votre technique de Rang 1 augmente à +2g1</t>
    </r>
  </si>
  <si>
    <t>Maitre Artisan</t>
  </si>
  <si>
    <t>Au moins une des Compétences d'Art à 8</t>
  </si>
  <si>
    <t>Riche Mineur</t>
  </si>
  <si>
    <t>Riche Moyen</t>
  </si>
  <si>
    <t>Riche Majeur</t>
  </si>
  <si>
    <t>Riche Extrême</t>
  </si>
  <si>
    <t>1</t>
  </si>
  <si>
    <t>3</t>
  </si>
  <si>
    <t>4</t>
  </si>
  <si>
    <t>+2 Koku à votre capital de départ</t>
  </si>
  <si>
    <t>+4 Koku à votre capital de départ</t>
  </si>
  <si>
    <t>+6 Koku à votre capital de départ</t>
  </si>
  <si>
    <t>+8 Koku à votre capital de départ</t>
  </si>
  <si>
    <t>La Touche du Maître</t>
  </si>
  <si>
    <r>
      <t>Vous gagnez +2g0 à votre Compétence d'</t>
    </r>
    <r>
      <rPr>
        <i/>
        <sz val="9"/>
        <rFont val="Arial"/>
        <family val="2"/>
      </rPr>
      <t xml:space="preserve">Art </t>
    </r>
    <r>
      <rPr>
        <sz val="9"/>
        <rFont val="Arial"/>
        <family val="2"/>
      </rPr>
      <t xml:space="preserve">choisie. Si vous avez suivi l'école </t>
    </r>
    <r>
      <rPr>
        <i/>
        <sz val="9"/>
        <rFont val="Arial"/>
        <family val="2"/>
      </rPr>
      <t>Artisan Kakita</t>
    </r>
    <r>
      <rPr>
        <sz val="9"/>
        <rFont val="Arial"/>
        <family val="2"/>
      </rPr>
      <t xml:space="preserve">, vs pouvez choisir une 3ème Compétence comme "art" à laquelle s'applique toutes vos techniques d'Ecole. </t>
    </r>
  </si>
  <si>
    <t>Grand Maitre Artisan</t>
  </si>
  <si>
    <t>Art de la Guerre, Defense, Elevage 2, Iaijutsu, Kenjutsu, une Compétence de Bugei au choix</t>
  </si>
  <si>
    <t>La Férocité Intérieure</t>
  </si>
  <si>
    <t>Un Lion supplémentaire se joint à vous. Tous vos Lions gagnent un ND d'Armure de +10, +2 de Réduction et +2 de Peur</t>
  </si>
  <si>
    <t>Domptage</t>
  </si>
  <si>
    <t>Art de la Guerre (Combat de Masse) 5, Jeu: Shogi 4 OU Jeu: Go 4</t>
  </si>
  <si>
    <t>Les Yeux du Général</t>
  </si>
  <si>
    <t>L'Âme de l'Armée</t>
  </si>
  <si>
    <t>Vous pouvez dépenser un Pvide pour effectuer n'importe quelle Opportunité Héroïque durant un Tour d'un Combat de Masse (avec l'accord du MJ)</t>
  </si>
  <si>
    <t>Vous pouvez dépenser un PVide de gagner un bonus de +5g1 à tout test d'Art de la Guerre, ou un bonus de 2g2 à tout jet de compétence Bugei (plutôt que l'habituel 1g1)</t>
  </si>
  <si>
    <r>
      <t xml:space="preserve">Un Lion supplémentaire se joint à vous. Vous et vos Lions gagnez </t>
    </r>
    <r>
      <rPr>
        <i/>
        <sz val="9"/>
        <rFont val="Arial"/>
        <family val="2"/>
      </rPr>
      <t>Vivacité</t>
    </r>
    <r>
      <rPr>
        <sz val="9"/>
        <rFont val="Arial"/>
        <family val="2"/>
      </rPr>
      <t xml:space="preserve"> 2 et vos Lions ont un Rg. De Blessure supplémentaire à la fin de leur progression 36:+15 60:Mort</t>
    </r>
  </si>
  <si>
    <t>Général d'armée</t>
  </si>
  <si>
    <t>Chasseur de Primes Tsuruchi</t>
  </si>
  <si>
    <t>Sens d'un Chasseur</t>
  </si>
  <si>
    <t>Aucune Proie ne s'Echappe</t>
  </si>
  <si>
    <t>Justice de la Guêpe</t>
  </si>
  <si>
    <t>Coup à Deux Dards</t>
  </si>
  <si>
    <t>Shugenja Yoriitomo</t>
  </si>
  <si>
    <t>Enfant de la Mer</t>
  </si>
  <si>
    <t>Changement de météo</t>
  </si>
  <si>
    <t>Athlétisme, Calligraphie, Connaissance: Théologie, Couteaux, Navigation, Méditation, une Compétence au choix</t>
  </si>
  <si>
    <t>Robe, Wakizashi, Couteau OU 1 Arme au choix, Etui à Parchemin, Nécéssaire de Voyage</t>
  </si>
  <si>
    <t>Armure Légère ou d'Ashigaru, Vêtements Robustes, Arc et 20 flèches OU Couteau, Nécéssaire de Voyage</t>
  </si>
  <si>
    <t>Dépensez un emplacement de Vide pour faire varier le vent ou de météo d'un degré de condition sur Xkm où X=Votre Rg. De Maîtirse. Max votre Rg. de Maîtrise chaque Round. AG aux Sorts Tonnerre</t>
  </si>
  <si>
    <t>Vous pouvez dépenser un Pvide pour réussir automatiquement un test de Connaissance:Pègre pour identifier un criminel. Vous perdez de l'Honneur normalement.</t>
  </si>
  <si>
    <t>Vous pouvez entreprendre les manœuvres de Désarmement ou Renversement pour une Augmentation de moins contre une personne coupable. Si vous réussisez cette manœuvre, votre cible est Hébétée</t>
  </si>
  <si>
    <t>Vous pouvez effectuer une attaque au Corps à Corps au prix d'une AS au lieu d'une AC avec un yumi, ou si votre cible est coupable d'un crime avec un katana ou un couteau.</t>
  </si>
  <si>
    <t>Lorsque vous identifiez un Samurai avec Connaissance:Héraldique vous apprenez ses Rg. de gloire, d'honneur et tous ses Désavantages Sociaux et mentaux . Tt adv. ciblé par votre tech de Rg. 3 est Hébété</t>
  </si>
  <si>
    <t>Chasseur de Primes</t>
  </si>
  <si>
    <t>Voie des Poings Ivres</t>
  </si>
  <si>
    <t>Technique de l'homme ivre</t>
  </si>
  <si>
    <t>Vous pouvez effectuer une attaque au Corps à Corps au prix d'une AS au lieu d'une AC à Mains Nues ou avec une Petite Arme ou une Arme Improvisée</t>
  </si>
  <si>
    <t>Lorsque vous faites une attaque au Corps à Corps, dépensez un Pvide pour obtenir un bonus de +4g1 (+4g2 si vous êtes Au Sol) à votre attaque et aux Dommages de celle-ci</t>
  </si>
  <si>
    <t>Calligraphie, Connaissance: Eléments (un au choix), Connaissance: Théologie, Jiujitstu, Méditation 2, Une Compétence non-Dégradante au choix</t>
  </si>
  <si>
    <t>Les Quatre Mystères</t>
  </si>
  <si>
    <t>L'énigme de la Terre</t>
  </si>
  <si>
    <t>L'énigme de l'Air</t>
  </si>
  <si>
    <t>L'énigme du Feu</t>
  </si>
  <si>
    <t>L'énigme de l'Eau</t>
  </si>
  <si>
    <t>Dépensez une AS: Vs pouvez augmenter ou diminuer vos Traits associés à un Anneau (ou ceux d'un autre) d'un montant égal à votre Rg. de Maitrise (/2 pour une autre personne). N'affecte pas les Anneaux</t>
  </si>
  <si>
    <t>Etude des Elements</t>
  </si>
  <si>
    <t>Inquisiteur Asako</t>
  </si>
  <si>
    <t>Œil de l'Inquisiteur</t>
  </si>
  <si>
    <t>Deux autres Anneaux à 3</t>
  </si>
  <si>
    <t>Rg. d'Ecole considéré comme un Rg.supérieur pr. Incanter des sorts. Non-Shugenja gagnent un kiho suppl.  Dépensez une AS pr Contresort: En Act.G +3A à l'Incantation d'un ennemi sans en tirer bénéfice</t>
  </si>
  <si>
    <t>Inquisition, Contresorts</t>
  </si>
  <si>
    <t>La Voie du Maître des Glyphes</t>
  </si>
  <si>
    <t>Comédie, Couteaux, Discrétion, Etiquette, Méditation, Sincérité (Tromperie), une compétence Noble ou Dégradante au choix</t>
  </si>
  <si>
    <t>Vêtements de qualité, Assortiment de Costumes et déguisements, Couteau, Nécéssaire de Voyage</t>
  </si>
  <si>
    <t>+2g0 à toutes vos attaques avec une Petite Arme</t>
  </si>
  <si>
    <t xml:space="preserve">Vous pouvez effectuer une attaque au Corps à Corps au prix d'une AS au lieu d'une AC avec une Petite Arme </t>
  </si>
  <si>
    <t>Art de la Magie, Calligraphie (Code Secret), Connaissance:  Théologie, Discrétion,  Enquête, Etiquette, une Compétence Noble ou Dégradante au choix</t>
  </si>
  <si>
    <t>Déguisement, Comédie</t>
  </si>
  <si>
    <t>Parchemins de sorts, glyphes</t>
  </si>
  <si>
    <t>Robe, Wakizashi, Couteau, Etui à Parchemin, Pack de 20 parchemins de Glyphes, Nécéssaire de Voyage</t>
  </si>
  <si>
    <t>Art de la Guerre, Connaissance: Histoire, Défense, Kenjutsu, Armes d'hast, Lances (Magari-Yari), une compétence de Bugei ou Noble au choix</t>
  </si>
  <si>
    <t>Armure légère ou d'Ashigaru, Vêtements Normaux, daisho, paquet de dix nage-yari, Lance (magari-yari), une autre lance ou arme d'hast au choix, Nécéssaire de Voyage</t>
  </si>
  <si>
    <t>Naishou</t>
  </si>
  <si>
    <t>La Voie du Magari-Yaritjutsu</t>
  </si>
  <si>
    <t>Frapper comme le Lion</t>
  </si>
  <si>
    <t>Frapper à Travers l'Aigle</t>
  </si>
  <si>
    <t>Frapper comme le Vent</t>
  </si>
  <si>
    <t>Frapper avec l'Âme</t>
  </si>
  <si>
    <t>Vous pouvez apprêter un jage-nari en ActG un nombre quelconque de fois par Round. Vos attaques à distance avec un  jage-nari se font en AS au lieu d'une AC.</t>
  </si>
  <si>
    <t>Vous pouvez effectuer une attaque au Corps à Corps au prix d'une AS au lieu d'une AC avec une Lance ou une Arme d'Hast</t>
  </si>
  <si>
    <t>Lances et Armes d'Hast</t>
  </si>
  <si>
    <t>Tir à l'arc, Défense, Combat à Mains Nues, Equitation, Connaissance: Théologie (Royaumes d'Ivoire), Lances, Armes: Epée, une compétence Noble au choix</t>
  </si>
  <si>
    <t>Épée, Bouclier, Lance, Arc, Armure Légère, cheval (coursier), Vêtements Elégants</t>
  </si>
  <si>
    <t>SC: People</t>
  </si>
  <si>
    <t>La Force d'Indra</t>
  </si>
  <si>
    <t>Le Bâton de Vishnu</t>
  </si>
  <si>
    <t>La Vitesse de la Mangouste</t>
  </si>
  <si>
    <t>La Vertu des Dieux</t>
  </si>
  <si>
    <t>Le Courage de Shiva</t>
  </si>
  <si>
    <t>Si vous maniez un bouclier, dépensez une AS: Test d'Opposition Défense/Agilité vs. [Arme]/Agilité. En cas de succès, cet adversaire doit prendre 3A sans bénéfice pour vous toucher.</t>
  </si>
  <si>
    <t>Vous pouvez effectuer une attaque au Corps à Corps au prix d'une AS au lieu d'une AC avec une Lance, une épée ou à Mains Nues</t>
  </si>
  <si>
    <t xml:space="preserve">Une fois par combat après une attaque réussie, vous pouvez dépenser un Pvide pour ajouter un nbre de dés (non gardés) égal à votre Rg. en Connaissance: Royaumes d'Ivoire à votre Réduction </t>
  </si>
  <si>
    <t>Bonus de +1g1 pour résister à la Peur. Si vous êtes mis Hors Combat ou Mort, vous pouvez effectuer une ultime AS au début du Round suivant sans subir les pénalités dues aux Rg. de Blessure</t>
  </si>
  <si>
    <t>Harmonie</t>
  </si>
  <si>
    <t>Vision</t>
  </si>
  <si>
    <t>Compréhension</t>
  </si>
  <si>
    <t>Unité</t>
  </si>
  <si>
    <t>Pureté</t>
  </si>
  <si>
    <t>Vous pouvez dépenser un Pvide et une AS durant un combat pour désigner un adversaire. Gagnez un bonus de +Xg0 à vos tests d'attaque contre cet adversaire où X= son Trait le plus faible</t>
  </si>
  <si>
    <t>Vous pouvez effectuer une attaque au Corps à Corps au prix d'une AS au lieu d'une AC avec un Couteau ou à Mains Nues</t>
  </si>
  <si>
    <t>Epée et bouclier</t>
  </si>
  <si>
    <t>Cours comme le Vent</t>
  </si>
  <si>
    <t>Danse au Bord du Rasoir</t>
  </si>
  <si>
    <t>Voile des Esprits</t>
  </si>
  <si>
    <t>Frappe du Traqueur</t>
  </si>
  <si>
    <t>Athlétisme, Chasse, Connaissance: Outremonde, Discrétion, Kenjutsu (Katana), Kyujutsu, une compétence au choix</t>
  </si>
  <si>
    <t>Harnachement du Vent</t>
  </si>
  <si>
    <t>Vous pouvez effectuer une attaque au CàC au prix d'une AS au lieu d'une AC avec un Couteau, une arme "Samurai" ou un arc. Quelque soit l'arme contre une créature Souillée ou de l'Outremonde</t>
  </si>
  <si>
    <t>Si vous surprenez un adversaire, vous n'êtes plus limité par votre Vide Max pour les A que vous pouvez prendre et ignorez 10 pts de Réduction qu'elle qu'en soit la source.</t>
  </si>
  <si>
    <t>Survie en Outremonde</t>
  </si>
  <si>
    <t>Athlétisme, Défense, Etiquette, Jiujutsu, Méditation (Récupération du Vide), Deux Compétences au choix</t>
  </si>
  <si>
    <t>A Poing Rapide, Cœur Subtil</t>
  </si>
  <si>
    <t>Athlétisme, une Compétence de Connaissance au choix, Défense, Jiujutsu, Méditation, Deux Compétences non-Dégradantes au choix</t>
  </si>
  <si>
    <t>Vêtements Robustes, Nécéssaire de Voyage</t>
  </si>
  <si>
    <t>Don de la Dame</t>
  </si>
  <si>
    <t>Frapper à la Base</t>
  </si>
  <si>
    <t>Déplacer le Vent</t>
  </si>
  <si>
    <t>Frapper le Centre</t>
  </si>
  <si>
    <t>Frapper le Sommet</t>
  </si>
  <si>
    <t>Vous pouvez dépenser un PVide sur de dommages pour les attaques non armées, y compris les dommages causés par une Empoignade.</t>
  </si>
  <si>
    <t>Vous gagnez un tatouage supplémentaire. Vous pouvez effectuer une attaque au Corps à Corps au prix d'une AS au lieu d'une AC quand vous attaquez à Mains Nues</t>
  </si>
  <si>
    <t>A Mains Nues, vous pouvez entreprendre la manœuvre de Renversement pour 1A de moins. Bonus de +1g1 à tous les dommages à Mains Nues (y compris ceux infligés par une Empoignade)</t>
  </si>
  <si>
    <t>Vous gagnez un tatouage. A Mains Nues, tentez la manœuvre de Renversement en prennant 2A. En cas de réussite votre adversaire est Etourdi. Projetez un adv: Test de Terre ND 20 ou il est Etourdi.</t>
  </si>
  <si>
    <t>Empoignades, Renversement</t>
  </si>
  <si>
    <t>Bouger comme les Ombres</t>
  </si>
  <si>
    <t>Plume de Fer</t>
  </si>
  <si>
    <t>Acier Impitoyable</t>
  </si>
  <si>
    <t>Artisanat: Explosifs 3, Chasse (Pièges) 3, Couteaux 4, Discrétion 5</t>
  </si>
  <si>
    <t>Vous devez faire partie de la famille Daidoji et être recruté par un Busard.</t>
  </si>
  <si>
    <t>Vous ne perdez que la moitié de votre Honneur qd vs utilisez des actions déshonnorantes pour le compte du Clan de la Grue. +1g1 à la Réduction des Dommages de vos pièges.</t>
  </si>
  <si>
    <t>Lorsque vous portez une armure légère, d'Ashigaru, ou pas d'armure, vous pouvez ajouter votre Rang de compétence de Discrétion à votre ND d'Armure.</t>
  </si>
  <si>
    <t>Si vous touchez un adversaire Surpris ou qu'il subit des dégâts de l'un de vos pièges, il est Hébété. Il ne peut récupérer de cette condition avant la phase de réaction suivante et le ND pour récupérer est +5.</t>
  </si>
  <si>
    <t>Suivre les Pinces</t>
  </si>
  <si>
    <t>Aucune Erreur</t>
  </si>
  <si>
    <t>Chercher la Faiblesse</t>
  </si>
  <si>
    <t>Artisanat: Explosifs 3, Couteaux 4, Discrétion 5, Ninjutsu 4</t>
  </si>
  <si>
    <t>Doit avoir reçu l'enseignement d'une école de Base du Scorpion Ninja</t>
  </si>
  <si>
    <t>+1g1 à tous les jets de Discrétion et vous souffrez pas de malus d'Initiative pour être Surpris, Hébété ou Fatigué.</t>
  </si>
  <si>
    <t>En combat avec une petite arme (de mêlée ou à distance), faites une seule attaque en Act.G à chaque Round en plus de tte attaque en AS ou AC. Ignorez les effets de l'armure sur le ND d'Armure et la Réduction.</t>
  </si>
  <si>
    <t>Explosifs</t>
  </si>
  <si>
    <t>Chasse, Commerce, Une Compétence de Connaissance (soit Gaijin ou Outremonde), Discrétion (Furtivité), Kenjutsu, Kyujutsu, une Compétence Dégrafante ou de Bugei au choix</t>
  </si>
  <si>
    <t>Armure Légère ou d'Ashigaru, Vêtements Robustes, Daisho, 2 Armes au choix, Nécéssaire de Voyage</t>
  </si>
  <si>
    <t>Pas du Tigre</t>
  </si>
  <si>
    <t>Bond du Tigre</t>
  </si>
  <si>
    <t>Au 1er Round de Combat, ajoutez votre Rg. de Discrétion au total de votre jet d'initiative. (Ce bonus se termine à la première phase de Réactions.)</t>
  </si>
  <si>
    <t>Griffes Déchirantes</t>
  </si>
  <si>
    <t>Abbriter l'Irréprochable</t>
  </si>
  <si>
    <t>Crocs du Tigre</t>
  </si>
  <si>
    <t>Guerilla urbaine</t>
  </si>
  <si>
    <t>Vous pouvez effectuer une attaque au Corps à Corps au prix d'une AS au lieu d'une AC quand vous attaquez avec une arme "Samurai"</t>
  </si>
  <si>
    <t>Au 1er Round de Combat, vous pouvez entreprendre toutes les manœuvres pour une A de moins (Ce bonus se termine à la première phase de Réactions.)</t>
  </si>
  <si>
    <t>Art de la magie, Athlétisme, Equitation, Chasse, Connaissance: Théologie, Méditation, une Compétence au choix</t>
  </si>
  <si>
    <t xml:space="preserve">Vêtements de voyage, Wakizashi, une arme au choix, Nécéssaire de Voyage, Cheval (cheval de selle de la licorne), 
</t>
  </si>
  <si>
    <t>Bénédictions des Shi-Tien Yen-Wang</t>
  </si>
  <si>
    <t>Empêche ouverture et relance de dés</t>
  </si>
  <si>
    <t>Doit être un vrai Kitsu de sang avec la possibilité de lancer des sorts d'eau de Niveau de maîtrise 4 ou plus</t>
  </si>
  <si>
    <t>Sens du Kitsu</t>
  </si>
  <si>
    <t>Main du Kitsu</t>
  </si>
  <si>
    <t>Âme du Kitsu</t>
  </si>
  <si>
    <t>Rg. d'Ecole est considéré comme un Rg.supérieur pr. Incanter des sorts. Test secret d'Art de la Magie/Perception ND de 25 pour détecter un portail magique dans un rayon de 10kmXVotre Rg. de Maîtrise.</t>
  </si>
  <si>
    <t xml:space="preserve">Rg. d'Ecole est considéré comme un Rg.supérieur pr. Incanter des sorts. Une autre personne peut vs accompagner qd vs utilisez votre Tech. de Rang 2 si elle réussit un test de Méditation. </t>
  </si>
  <si>
    <t>Voyage planaire et portails</t>
  </si>
  <si>
    <t>Comédie 5, Couteaux 5, Discrétion 5</t>
  </si>
  <si>
    <t>Doit être membre du Kolat et avoir été recruté par la Secte du Lotus. Ne peut ni être Souillé ni corrompu par le Néant</t>
  </si>
  <si>
    <t>Assassinat</t>
  </si>
  <si>
    <t>Le Baiser du Lotus</t>
  </si>
  <si>
    <t>La Griffe du Tigre</t>
  </si>
  <si>
    <t>Dérober la Lumière</t>
  </si>
  <si>
    <t>Lorsque vous dépensez un PVide pour ajouter un 1g1 à tout jet de Discrétion ou Comédie, vous gagnez +2g2 à la place.</t>
  </si>
  <si>
    <t>+1g0 à vos jets d'Attaque au 1er Round contre un adversaire Surpris. Vous pouvez effectuer une attaque au Corps à Corps au prix d'une AS au lieu d'une AC.</t>
  </si>
  <si>
    <t>Cérémonie du Thé, Chasse, Défense, Kenjutsu (Katana), Méditation, une Compétence de Bugei au choix, une Compétence de Connaissance au choix</t>
  </si>
  <si>
    <t>Armure Légère ou Lourde, Vêtements Robustes, Daisho, Nécéssaire de Voyage</t>
  </si>
  <si>
    <t>L'Aile du Tonnerre</t>
  </si>
  <si>
    <t>La Griffe du Ciel</t>
  </si>
  <si>
    <t>Le Baiser de l'Eclair</t>
  </si>
  <si>
    <t>Cieux Orageux</t>
  </si>
  <si>
    <t>La Même Brise</t>
  </si>
  <si>
    <t>Vous pouvez effectuer une attaque au Corps à Corps au prix d'une AS au lieu d'une AC quand vous attaquez avec une arme pour laquelle vous possédez une Spécialisation</t>
  </si>
  <si>
    <t>Cœur Eclatant</t>
  </si>
  <si>
    <t>Vous pouvez lancer 2 Sorts par jour sans dépenser d'emplacement de Sort. AG aux Jets d'Incantation faits à cette occasion</t>
  </si>
  <si>
    <t>Art de la Magie, Athétisme, Kyujutsu, Connaissance: Outremonde, Médecine, Méditation (Reconnexion à l'Akasha), une Compétence Noble au choix</t>
  </si>
  <si>
    <t>2 Sorts Gratuits</t>
  </si>
  <si>
    <t>Athétisme, Chasse (Pistage), Connaissance: Pègre, Enquête, Intimidation, Kenjutsu, Kyujutsu</t>
  </si>
  <si>
    <t>Athétisme, Chasse (Pistage), Connaissance: Outremonde, Discrétion, Enquête, Kyujutsu, une Compétence de Bugei au Choix</t>
  </si>
  <si>
    <t>Armure Légère, Vêtements Robustes, Arc et 20 flèches, 1 Arme au choix, 2 Perles (non magiques), Nécéssaire de Voyage</t>
  </si>
  <si>
    <t>Vêtements Robustes, Arc et 20 flèches, Lance Naga, Nécéssaire de Voyage, Sac à Perles, 4 Perles (non magiques)</t>
  </si>
  <si>
    <t>Traqueur Silencieux</t>
  </si>
  <si>
    <t>Le Grand Ennemi</t>
  </si>
  <si>
    <t>Vision Perçante</t>
  </si>
  <si>
    <t>Tapis de Flèches</t>
  </si>
  <si>
    <t>Endurance à Toute Epreuve</t>
  </si>
  <si>
    <t>+1g0 à tout Test de Compétence d'Ecole lorsque vous vous trouvez en forêt. Ignorez tous les malus liés au port d'Armure Légère</t>
  </si>
  <si>
    <t>Vous pouvez effectuer une attaque au Corps à Corps au prix d'une AS au lieu d'une AC quand vous attaquez avec un arc</t>
  </si>
  <si>
    <t>Jet d'Intuition ND 20 afin de détecter la présence d'une créature de l'Outremonde ou du Néant dans une distance de 15m. Ne permet pas de détecter un Rg. de Souillure&lt;1</t>
  </si>
  <si>
    <t>Dépensez un Point d'Akasha pour gagner +4g1 à l'un de vos jets de Chasse (Pistage)</t>
  </si>
  <si>
    <t>Apaisement</t>
  </si>
  <si>
    <t>Juge</t>
  </si>
  <si>
    <t>Synchronie Universelle</t>
  </si>
  <si>
    <t>Retrouver l'Harmonie Intérieure</t>
  </si>
  <si>
    <t>Dans les Profondeurs de l'Akasha</t>
  </si>
  <si>
    <t>Courtisan, Divination (Astrologie), Etiquette, Connaissance: Droit (Naga), Médecine (Créatures non-humaines), Méditation, une Compétence de Connaissance au Choix</t>
  </si>
  <si>
    <t>Habits de Soie, Couteau de Chasse, Nécéssaire de Voyage, 4 Perles (non magiques)</t>
  </si>
  <si>
    <t>Armure Légère ou Lourde, Vêtements Robustes, Lance Naga, Arc et 20 flèches, une arme au choix, Nécéssaire de Voyage, 3 Perles (non-magiques)</t>
  </si>
  <si>
    <t>Jet d'Opposition Courtisan/Intuition +2g0 (ou +3g1 si la cible est un Naga) afin d'apaiser une cible ou mettre fin à un combat qui vous implique.</t>
  </si>
  <si>
    <t>+1g1 à tous vos Tests Socaux quand vous interagissez avec des Naga</t>
  </si>
  <si>
    <r>
      <t>Vous gagnez un</t>
    </r>
    <r>
      <rPr>
        <i/>
        <sz val="9"/>
        <rFont val="Arial"/>
        <family val="2"/>
      </rPr>
      <t xml:space="preserve"> Don Inné</t>
    </r>
    <r>
      <rPr>
        <sz val="9"/>
        <rFont val="Arial"/>
        <family val="2"/>
      </rPr>
      <t xml:space="preserve"> de votre choix (si votre MJ l'autorise)</t>
    </r>
  </si>
  <si>
    <r>
      <t>+1g1 à tous vos Tests Socaux quand vous agissez dans l'intérêt des Naga. Cumulable avec "</t>
    </r>
    <r>
      <rPr>
        <i/>
        <sz val="9"/>
        <rFont val="Arial"/>
        <family val="2"/>
      </rPr>
      <t>Juge</t>
    </r>
    <r>
      <rPr>
        <sz val="9"/>
        <rFont val="Arial"/>
        <family val="2"/>
      </rPr>
      <t>"</t>
    </r>
  </si>
  <si>
    <t>En AC absorbez 2 Rgs de Blessure pleins d'une cible Naga (ou un seul Rg sur une autre cible) au toucher en subissant un Rg de Blessure plein. Test de Constitition pour ne pas absorber une maladie ou un trouble.</t>
  </si>
  <si>
    <t>Défense, Chasse, Kenjutsu, Lances (Lance Naga), Connaissance: Outremonde, une compétence de Bugei au choix</t>
  </si>
  <si>
    <t>L'Âme du Naga</t>
  </si>
  <si>
    <t>Frappe en Extension</t>
  </si>
  <si>
    <t>Elu du Qatol</t>
  </si>
  <si>
    <t>Projection de l'Akasha</t>
  </si>
  <si>
    <t>Un Cœur de Guerrier</t>
  </si>
  <si>
    <t>Vous pouvez effectuer une attaque au Corps à Corps au prix d'une AS au lieu d'une AC quand vous attaquez avec une arme "Naga"</t>
  </si>
  <si>
    <t>Lance Naga</t>
  </si>
  <si>
    <t>Le Pouvoir des Ténèbres</t>
  </si>
  <si>
    <t>Chevaucher Par-delà la Mort</t>
  </si>
  <si>
    <t>Fureur du Sombre Seigneur</t>
  </si>
  <si>
    <t>Le Visage des Damnés</t>
  </si>
  <si>
    <t>La Mort est une Illusion</t>
  </si>
  <si>
    <t>Se Tailler un Chemin Cramoisi</t>
  </si>
  <si>
    <t>La Corruption Paie</t>
  </si>
  <si>
    <t>Dévoreur de Pureté</t>
  </si>
  <si>
    <t>Armes d'Hast, Connaissance: Outremonde, Défense, Equitation, Kenjutstu, Kyujutsu, Lances, une compétence de Bugei ou Dégradante au choix</t>
  </si>
  <si>
    <t>Armure Légère, Lourde ou de Cavalerie, Katana ou Wakizashi, Lance ou Arme d'hast, arc (yumi ou dai-kyu) et 20 flèches, destrier onikage</t>
  </si>
  <si>
    <t>Jiujitsu 3, une compétence d'arme à 5</t>
  </si>
  <si>
    <t>Vous pouvez invoquer mentalement un onikage en effectuant une AS. La créature surgit du sol au début du prochain Round.</t>
  </si>
  <si>
    <t>Chaque fois que vous tuez un adversaire ou l'amenez à Epuisé ou Hors de Combat vous regagnez le double de son Rg. d'Honneur en Blessures. Vous gagnez le pouvoir Invulnérable (ou Réduction 10).</t>
  </si>
  <si>
    <t>Peur, Souillure</t>
  </si>
  <si>
    <t>Ecole des Damnés</t>
  </si>
  <si>
    <t>Lame Tsuno</t>
  </si>
  <si>
    <t>Art de la guerre, Athlétisme, Connaissance: Royaumes Spirituels, Défense, Iaijutsu, Armes Lourdes (Lame Tsuno), une Compétence de Bugei au choix</t>
  </si>
  <si>
    <t>Lame Tsuno, Armure Légère</t>
  </si>
  <si>
    <t>Tue ta Faiblesse</t>
  </si>
  <si>
    <t>Hurlement des Exilés</t>
  </si>
  <si>
    <t>Technique du Tsuno</t>
  </si>
  <si>
    <t>Vengeance Immortelle</t>
  </si>
  <si>
    <t>Le Massacre dans le Sang</t>
  </si>
  <si>
    <t>Art de la guerre, Athlétisme, Connaissance: Royaumes Spirituels, Défense, Discrétion, Intimidation (Torture), Kenjutsu (Lame Tsuno), une Compétence de Bugei au choix</t>
  </si>
  <si>
    <t>Lame Tsuno, Armure Légère, saccoche d'ingrédients</t>
  </si>
  <si>
    <t>Sorts de Déchireurs d'Ame</t>
  </si>
  <si>
    <t>Combat Bestial</t>
  </si>
  <si>
    <t>Le Pouvoir des Esprits</t>
  </si>
  <si>
    <t>Athlétisme, Défense, Chasse (Survie), Jiujutsu, Connaissance: Outremonde, Déiscrétion, Une Compétence d'Arme au choix</t>
  </si>
  <si>
    <t>Armure Lourde ou Légère, bourse en cuir simple, 1 Arme au choix, 1 koku en objets récupérés ou brillants</t>
  </si>
  <si>
    <t>Vitesse du Rat</t>
  </si>
  <si>
    <t>Force de la Meute</t>
  </si>
  <si>
    <t>Frapper Vite-Vite</t>
  </si>
  <si>
    <t>Frappe en Piqué</t>
  </si>
  <si>
    <t>Frappe Caudale</t>
  </si>
  <si>
    <t>Pour chaque allié qui a attaqué la cible depuis le dernier Tour, le guerrier nezumi a un bonus de +1g0 à son jet d'attaque. Le nombre de dés supplémentaires ne peut dépasser son Rang d'école.</t>
  </si>
  <si>
    <t>Fuir-Fuir dans l'Obscurité</t>
  </si>
  <si>
    <t>Retraite-Eclair</t>
  </si>
  <si>
    <t>A Toi C'est à Moi</t>
  </si>
  <si>
    <t>Vif comme les Ombres</t>
  </si>
  <si>
    <t>Invisible au Demain</t>
  </si>
  <si>
    <t>Athlétisme, Défense, Chasse, Connaissance: Outremonde, Déiscrétion (Furtivité), Passe-Passe; Une Compétence au choix</t>
  </si>
  <si>
    <t>Petite Arme ou Arme de Paysan au choix, Armure d'Ashigaru, Large Besace, 3 kokus en bojets trouvés ou brillants</t>
  </si>
  <si>
    <t>Bonus de +2g0 à tout jet de Discrétion et vous ajoutez votre Rang de Discrétion à votre ND d'Armure en toutes circonstances (y compris en cas d'attaque surprise)</t>
  </si>
  <si>
    <t>A moins de 2m de votre cible, AS pour tenter un Test d'Opposition Passe-Passe (Vol à la Tire)/Agilité vs. Défense/Agilité. En cas de succès vous dérobez un objet aléatoire à votre ennemi</t>
  </si>
  <si>
    <t>Vous pouvez effectuer une attaque au Corps à Corps au prix d'une AS au lieu d'une AC à mains Nues ou avec une Petite Arme ou une Arme "Paysan"</t>
  </si>
  <si>
    <t xml:space="preserve">Si le guerrier nezumi parvient à porter une attaque au CàC, il peut effectuer une ActG au cours de ce même Round pour attaquer avec sa queue. </t>
  </si>
  <si>
    <t>Magie des Noms</t>
  </si>
  <si>
    <t>Anamnèse</t>
  </si>
  <si>
    <t>Connaissance: Outremonde, Connaissance: Royaumes Spirituels (Yume-Do), Méditation, Spectacle: Danse Nezumi, Discrétion, une compétence au Choix</t>
  </si>
  <si>
    <t>Petite Arme ou Arme de Paysan au choix, Robes de piètre qualité, Bourse en cuir, 2 kokus en bojets trouvés ou brillants</t>
  </si>
  <si>
    <t>Magie des noms</t>
  </si>
  <si>
    <t>Capables de lancer des sorts issus de la Magie des Noms. Commence le jeu avec 3 Sorts de la Magie des noms de Rang de Maîtrise approprié</t>
  </si>
  <si>
    <t>Connaissance: Histoire (Nezumi), Connaissance: Culture Nezumi, Connaissance: Outremonde, Spectacle: Art du Conteur, Discrétion, une Compétence au choix</t>
  </si>
  <si>
    <t>Petite Arme ou Arme de Paysan au choix, Bourse en cuir, 4 kokus en bojets trouvés ou brillants, 4 Bâtons de bois (suceptible de faire des bâtons de mémoire)</t>
  </si>
  <si>
    <t>Bâtons mémoire</t>
  </si>
  <si>
    <r>
      <t xml:space="preserve">Peut créer des bâtons de mémoire dont le rang ne dépasse pas son Rg. De Maîtrise. Dépasse de 1 son Rg. d'école. Avantage: </t>
    </r>
    <r>
      <rPr>
        <i/>
        <sz val="9"/>
        <rFont val="Arial"/>
        <family val="2"/>
      </rPr>
      <t>Excellente Mémoire</t>
    </r>
    <r>
      <rPr>
        <sz val="9"/>
        <rFont val="Arial"/>
        <family val="2"/>
      </rPr>
      <t xml:space="preserve"> gratuit</t>
    </r>
  </si>
  <si>
    <t>Compétence d'Arme (ou Jiujitsu) 5</t>
  </si>
  <si>
    <t>Furie Furieuse</t>
  </si>
  <si>
    <t>La Danse des Damnés</t>
  </si>
  <si>
    <t>Avant le Demain</t>
  </si>
  <si>
    <t>Bonus de +1g1 à vos jets d'attaque tant que vous êtes en Posture d'Attaque. Vous pouvez effectuer une attaque au Corps à Corps au prix d'une AS au lieu d'une AC</t>
  </si>
  <si>
    <t>Si vous subissez assez de blessures pour mourir, vous pouvez prendre une ultime ActG pour effectuer une attaque avec un bonus de +3g0 avant de mourir immédiatement que l'attaque ait porté ou non.</t>
  </si>
  <si>
    <t>Vêtements en loques, 2 armes au choix</t>
  </si>
  <si>
    <t>Art de la Guerre, Art de la Magie, Chasse, Connaissance: Histoire (Ogres), Défense, Intimidation (Brimades), Jiujitsu</t>
  </si>
  <si>
    <t>La Force de L'Esprit</t>
  </si>
  <si>
    <t>La Force de Muhomono</t>
  </si>
  <si>
    <t>Les Yeux de Muhomono</t>
  </si>
  <si>
    <t>La Vitesse de Muhomono</t>
  </si>
  <si>
    <t>Le Bras de Muhomono</t>
  </si>
  <si>
    <t>L'Armure de Muhomono</t>
  </si>
  <si>
    <t>Votre Réduction naturelle passe à 20.</t>
  </si>
  <si>
    <t>Armes Lourdes, Art de la Guerre, Chasse, Défense, Discrétion, Intimidation (Brimades), Jiujitsu</t>
  </si>
  <si>
    <t>Armure Lourde, Vêtements en loques, 2 armes au choix</t>
  </si>
  <si>
    <t>Avant l'initiative, vous pouvez réduire votre Initiative de -1g1. Vous gagnez un bonus de +2g0 à tout jet de Dommages pour le reste du combat. AG aux Tests d'Intimidation (Brimades)</t>
  </si>
  <si>
    <t>Votre Rang de Peur augmente d'1 point, bonus de +1g0 à toute attaque contre un adversaire qui n'a pas résisté à votre Peur</t>
  </si>
  <si>
    <t>Vous pouvez effectuer une attaque au Corps à Corps au prix d'une AS au lieu d'une AC avec une Grande Arme, une arme Lourde ou à Mains Nues</t>
  </si>
  <si>
    <t>1X/combat si vos touchez un adversaire à Mains Nues au CàC, vous pouvez immédiatement infliger le même nombre de Dommages à un adversaire à 1m50 max sans faire de jet d'attaque.</t>
  </si>
  <si>
    <t>Berserker Crabe</t>
  </si>
  <si>
    <t>Rage du Berserker</t>
  </si>
  <si>
    <t>Remplace</t>
  </si>
  <si>
    <t>Bushi Crabe 2</t>
  </si>
  <si>
    <t>Shugenja Kuni 3</t>
  </si>
  <si>
    <t>Lié par le Monde</t>
  </si>
  <si>
    <t>Force de l'Âme</t>
  </si>
  <si>
    <t>Shugenja Tamori 4</t>
  </si>
  <si>
    <t>Une compétence d'Arme à 3</t>
  </si>
  <si>
    <t>Dépensez un emplmt de sort et une ActG: +1g0 à un jet de Compétence de Bugei (max. votre Rg. de Maîtrise par Round). Vous pouvez effectuer une attaque avec un arme invoquée au prix d'une AS au lieu d'une AC.</t>
  </si>
  <si>
    <t>Bushi Mirumoto 2</t>
  </si>
  <si>
    <t>Cœur de la Montagne</t>
  </si>
  <si>
    <t>Athlétisme (Escalade) 3</t>
  </si>
  <si>
    <t>Qd. vous êtes surpris après votre test d'Enquête, vous pouvez refaire le jet avec Athlétisme/Agilité. En cas de réussite, vous n'êtes pas surpris. Ajoutez 1/2 votre Rg. d'Athlétisme aux attaques à distance.</t>
  </si>
  <si>
    <t>Bushi Kakita 3 ou Guerrier de Fer Daidoji 4</t>
  </si>
  <si>
    <t>Défendre jusqu'à la mort</t>
  </si>
  <si>
    <t>Le Monde dans la paume de la main</t>
  </si>
  <si>
    <t xml:space="preserve">Ajoutez la moitié de votre Rg. d'Honneur aux jets d'Attaque et de Perception. +10 à votre ND d'Armure quand vous défendez la famille impériale. </t>
  </si>
  <si>
    <t>L'Âme Vive</t>
  </si>
  <si>
    <t>Discrétion 3</t>
  </si>
  <si>
    <r>
      <t xml:space="preserve">Vous pouvez utiliser la compétence Discrétion à cheval. Avantage </t>
    </r>
    <r>
      <rPr>
        <i/>
        <sz val="9"/>
        <rFont val="Arial"/>
        <family val="2"/>
      </rPr>
      <t>Grand Voyageur</t>
    </r>
    <r>
      <rPr>
        <sz val="9"/>
        <rFont val="Arial"/>
        <family val="2"/>
      </rPr>
      <t xml:space="preserve"> où que vous soyez. +1g0 aux jets d'attaque quand vous êtes Monté</t>
    </r>
  </si>
  <si>
    <t>Shugenja Iuchi 3 ou Shugenja Horiuchi 3</t>
  </si>
  <si>
    <t>La Volonté du Vent</t>
  </si>
  <si>
    <t>Athlétisme 2, Equitation 2</t>
  </si>
  <si>
    <t>Dépensez un Pvide, une AS et un emplacement de Sort d'Eau ou Air pour vous téléporter à votre Rg. de Maîtrise X30m. Utilisez un second Pvide pour téléporter aussi votre monture.</t>
  </si>
  <si>
    <t>Bushi Lion 1</t>
  </si>
  <si>
    <t>Honneur du Lion</t>
  </si>
  <si>
    <t>Shugenja Kitsu 3</t>
  </si>
  <si>
    <t>Art de la Guerre 3</t>
  </si>
  <si>
    <t>Rejeton de la Force</t>
  </si>
  <si>
    <t>Bushi Yorimoto 2</t>
  </si>
  <si>
    <t>Délices de la Félonie</t>
  </si>
  <si>
    <t>Commerce 2, Navigation 2</t>
  </si>
  <si>
    <t>Shugenja Mante 3</t>
  </si>
  <si>
    <t>Navigation (Orientation) 3</t>
  </si>
  <si>
    <t>Inspiration des Fortunes</t>
  </si>
  <si>
    <t>Shugenja Isawa 2</t>
  </si>
  <si>
    <t>Ombre Rampante</t>
  </si>
  <si>
    <t>Outremonde</t>
  </si>
  <si>
    <t>Gozuku</t>
  </si>
  <si>
    <t>Pègre</t>
  </si>
  <si>
    <t>Spécialisation 7</t>
  </si>
  <si>
    <t>Shourido</t>
  </si>
  <si>
    <t>Bonsaï</t>
  </si>
  <si>
    <t>Ikebana (Art floral)</t>
  </si>
  <si>
    <t>Origami</t>
  </si>
  <si>
    <t>Peinture</t>
  </si>
  <si>
    <t>Poésie</t>
  </si>
  <si>
    <t>Spécialisation 8</t>
  </si>
  <si>
    <t>Tatouage</t>
  </si>
  <si>
    <t>Fab. d'arcs</t>
  </si>
  <si>
    <t>Fab. d'armes</t>
  </si>
  <si>
    <t>Fab. d'armures</t>
  </si>
  <si>
    <t>Ancêtres</t>
  </si>
  <si>
    <t>Anatomie</t>
  </si>
  <si>
    <t>Architecture</t>
  </si>
  <si>
    <t>Bushido</t>
  </si>
  <si>
    <t>Droit</t>
  </si>
  <si>
    <t>Eléments</t>
  </si>
  <si>
    <t>Fantômes</t>
  </si>
  <si>
    <t>Guerre</t>
  </si>
  <si>
    <t>Héraldique</t>
  </si>
  <si>
    <t>Spécialisation 9</t>
  </si>
  <si>
    <t>Spécialisation 10</t>
  </si>
  <si>
    <t>Spécialisation 11</t>
  </si>
  <si>
    <t>Clan de la Grue</t>
  </si>
  <si>
    <t>Clan de la Licorne</t>
  </si>
  <si>
    <t>Clan de la Mante</t>
  </si>
  <si>
    <t>Clan de l'Araignée</t>
  </si>
  <si>
    <t>Clan du Crabe</t>
  </si>
  <si>
    <t>Clan du Dragon</t>
  </si>
  <si>
    <t>Clan du Lion</t>
  </si>
  <si>
    <t>Clan du Phénix</t>
  </si>
  <si>
    <t>Clan du Scorpion</t>
  </si>
  <si>
    <t>Spécialisation 12</t>
  </si>
  <si>
    <t>Spécialisation 13</t>
  </si>
  <si>
    <t>Spécialisation 14</t>
  </si>
  <si>
    <t>Spécialisation 15</t>
  </si>
  <si>
    <t>Spécialisation 16</t>
  </si>
  <si>
    <t>Mers et océans</t>
  </si>
  <si>
    <t>Nature</t>
  </si>
  <si>
    <t>Shugenja</t>
  </si>
  <si>
    <t>Théologie</t>
  </si>
  <si>
    <t>Tanto</t>
  </si>
  <si>
    <t>Connaissance: Clan Majeur</t>
  </si>
  <si>
    <t>Connaissance: Clan Mineur</t>
  </si>
  <si>
    <t>Connaissance: Clan Disparu</t>
  </si>
  <si>
    <t>Royaumes Spirituels</t>
  </si>
  <si>
    <t>Gaki-Do</t>
  </si>
  <si>
    <t>Jigoku</t>
  </si>
  <si>
    <t>Maigo no Musha</t>
  </si>
  <si>
    <t>Yume-Do</t>
  </si>
  <si>
    <t>Etreinte des Eléments</t>
  </si>
  <si>
    <t>Vous gagnez une Affinité pour un élément pour lequel vous avez déjà une Affinité et une Déficience pour tous les autres</t>
  </si>
  <si>
    <t>Sacrifice de Shiba</t>
  </si>
  <si>
    <t>Bushi Shiba 3</t>
  </si>
  <si>
    <t>Bushi Bayushi 3</t>
  </si>
  <si>
    <t>Kenjutsu 3</t>
  </si>
  <si>
    <t>Sombre épée des Mensonges Amers</t>
  </si>
  <si>
    <t>Shugenja Scorpion 3</t>
  </si>
  <si>
    <t>Fléau des Ombres</t>
  </si>
  <si>
    <t>+2g0 aux jets d'Incantation de Sorts qui ciblent un ennemi Surpris. Dépensez un Emplacement de sort et une ActG. : +1g1 en Couteaux et Discrétion</t>
  </si>
  <si>
    <t>La Discrétion du Sombre Kami</t>
  </si>
  <si>
    <t>Spécial (voir Core p.256)</t>
  </si>
  <si>
    <t>Courtisan uniquement</t>
  </si>
  <si>
    <t>La Voix de l'Empereur (Champion)</t>
  </si>
  <si>
    <t>La Volonté de l'Empereur</t>
  </si>
  <si>
    <t>Maître du Dojo</t>
  </si>
  <si>
    <t>Shugenja uniquement</t>
  </si>
  <si>
    <t>Bushi uniquement</t>
  </si>
  <si>
    <t>Rang 4 de n'importe quelle école Bushi</t>
  </si>
  <si>
    <t>Rang 2 de n'importe quelle école Bushi ou Shugenja</t>
  </si>
  <si>
    <t>Rang 4 de n'importe quelle école Courtisan ou Shugenja</t>
  </si>
  <si>
    <t>Rang 4 de n'importe quelle école Bushi, Courtisan ou Shugenja</t>
  </si>
  <si>
    <t>Âme Prometteuse</t>
  </si>
  <si>
    <t>La Main de l'Empereur (Champion)</t>
  </si>
  <si>
    <t>Pureté d'Acte et de But</t>
  </si>
  <si>
    <t>Force de l'Empire</t>
  </si>
  <si>
    <t>Parfum des Kami</t>
  </si>
  <si>
    <t>L'Honneur est Mon Bouclier</t>
  </si>
  <si>
    <t>Rg de Gloire &gt;2</t>
  </si>
  <si>
    <t>Doit être nommé à ce poste</t>
  </si>
  <si>
    <t>Vous gagnez aussi la technique qu'elle remplace. Vous gagnez un nombre de Pvide égal votre Anneau le plus élévé mais ne pouvez dépensez ces pts que pour améliorer vos jets d'Ecole</t>
  </si>
  <si>
    <t>Jet de Perception/Art de la Magie pour identifier tous les sorts lancés dans une zone ces dernières 48h dont votre jet dépasse le ND de base pour lancer ceux-ci</t>
  </si>
  <si>
    <t>Bushi Daigotsu 1</t>
  </si>
  <si>
    <t>Enquête 2</t>
  </si>
  <si>
    <t>Force d'Effroi</t>
  </si>
  <si>
    <t>Art du Conteur</t>
  </si>
  <si>
    <t>Chant</t>
  </si>
  <si>
    <t>Eloquence</t>
  </si>
  <si>
    <t>Biwa</t>
  </si>
  <si>
    <t>Danse</t>
  </si>
  <si>
    <t>Danse Nezumi</t>
  </si>
  <si>
    <t>Flûte</t>
  </si>
  <si>
    <t>Samisen</t>
  </si>
  <si>
    <t>Tambours</t>
  </si>
  <si>
    <t>Spectacle</t>
  </si>
  <si>
    <t>Shogi</t>
  </si>
  <si>
    <t>Vents et Fortunes</t>
  </si>
  <si>
    <t>Missives</t>
  </si>
  <si>
    <t>Sadane</t>
  </si>
  <si>
    <t>Kemari</t>
  </si>
  <si>
    <t>Jeu</t>
  </si>
  <si>
    <t>Orientation</t>
  </si>
  <si>
    <t>Bijoux et pierres</t>
  </si>
  <si>
    <t>Couture</t>
  </si>
  <si>
    <t>Cuisine</t>
  </si>
  <si>
    <t>Poterie</t>
  </si>
  <si>
    <t>Tissage</t>
  </si>
  <si>
    <t>Travaux de Ferme</t>
  </si>
  <si>
    <t>Travaux de Mine</t>
  </si>
  <si>
    <t>Brasserie</t>
  </si>
  <si>
    <t>Cartographie</t>
  </si>
  <si>
    <t>Charpenterie</t>
  </si>
  <si>
    <t>Construct. Navale</t>
  </si>
  <si>
    <t>Maçonnerie</t>
  </si>
  <si>
    <t>Pêche/Pisciculture</t>
  </si>
  <si>
    <t>Boucherie</t>
  </si>
  <si>
    <t>Conc. Poisons</t>
  </si>
  <si>
    <t>Travaux du Cuir</t>
  </si>
  <si>
    <t>Clans Mineurs</t>
  </si>
  <si>
    <t>Clans Disparus</t>
  </si>
  <si>
    <t>Nœuds</t>
  </si>
  <si>
    <t>Mathématiques</t>
  </si>
  <si>
    <t>Sculpture</t>
  </si>
  <si>
    <t>Familles Impériales</t>
  </si>
  <si>
    <t>Bureaucratie</t>
  </si>
  <si>
    <t>Marionnettes</t>
  </si>
  <si>
    <t xml:space="preserve">Agilité </t>
  </si>
  <si>
    <t xml:space="preserve">Fouet </t>
  </si>
  <si>
    <t xml:space="preserve">Kusarigarna </t>
  </si>
  <si>
    <t xml:space="preserve">Bisento  </t>
  </si>
  <si>
    <t xml:space="preserve">Pistage </t>
  </si>
  <si>
    <t xml:space="preserve">Aiguchi </t>
  </si>
  <si>
    <t>Jite</t>
  </si>
  <si>
    <t xml:space="preserve">Mai Chong </t>
  </si>
  <si>
    <t>Yari</t>
  </si>
  <si>
    <t xml:space="preserve">Conc. Poisons </t>
  </si>
  <si>
    <t xml:space="preserve">Filature </t>
  </si>
  <si>
    <t xml:space="preserve">Torture </t>
  </si>
  <si>
    <t>Jardinage</t>
  </si>
  <si>
    <t xml:space="preserve">Haut Rokugani </t>
  </si>
  <si>
    <t xml:space="preserve">Naga </t>
  </si>
  <si>
    <t xml:space="preserve">Ancêtres </t>
  </si>
  <si>
    <t xml:space="preserve">Kawaru </t>
  </si>
  <si>
    <t>Go</t>
  </si>
  <si>
    <t xml:space="preserve">Jeûne </t>
  </si>
  <si>
    <t xml:space="preserve">Tambours </t>
  </si>
  <si>
    <t>Spécialisation</t>
  </si>
  <si>
    <t>Tous les participants regagnent 2 Points de Vide au lieu de 1</t>
  </si>
  <si>
    <t>Tous les participants regagnent 3 Points de Vide au lieu de 1</t>
  </si>
  <si>
    <t>Connaissance Dégradante</t>
  </si>
  <si>
    <t>Navigation</t>
  </si>
  <si>
    <t>Connaissance générale</t>
  </si>
  <si>
    <t>Artisanat Dégradant</t>
  </si>
  <si>
    <t>Artisanat Marchand</t>
  </si>
  <si>
    <t>Artisanat Noble</t>
  </si>
  <si>
    <t>Emissaire Ide 4</t>
  </si>
  <si>
    <t>Idéal d'Ide</t>
  </si>
  <si>
    <t>Qd. vous négociez la paix: Test d'Opposition Courtisan (Piège Rhétorique)/Intuition vs. Etiquette (Courtoisie)/Volonté. En cas de réussite, l'adversaire est obligé de concéder en votre faveur. Max 2X/Session</t>
  </si>
  <si>
    <t>Sincérité (Tromperie) 3</t>
  </si>
  <si>
    <t>Calomnie Ehontée</t>
  </si>
  <si>
    <t>Courtisan Daigotsu 3</t>
  </si>
  <si>
    <t>Voix des Kansen</t>
  </si>
  <si>
    <t>Geisha Promise de Soie</t>
  </si>
  <si>
    <t>Comédie 3 et au moins 3 Compétences de Spectacle à 3</t>
  </si>
  <si>
    <t>Etrê geisha et admis au sein des Promises de Soie</t>
  </si>
  <si>
    <t>Danse de la Soie</t>
  </si>
  <si>
    <t>Ecole de Rang 3</t>
  </si>
  <si>
    <t>Ecole de Rang 2</t>
  </si>
  <si>
    <t>Courtisan 3, Etiquette 3</t>
  </si>
  <si>
    <t>Doit résider à Nagasi Mura ou appartenir à un groupe de Ronins similaires</t>
  </si>
  <si>
    <t>Shugenja Asahina 3</t>
  </si>
  <si>
    <t>Leçon d'Hake</t>
  </si>
  <si>
    <t>Shugenja Kitsu 4</t>
  </si>
  <si>
    <t>Doit être né avec les dons spirituels nécessaires pour servir dans la Légion de l'Esprit</t>
  </si>
  <si>
    <t>Les Légions des Morts</t>
  </si>
  <si>
    <t>Dépensez un Pvide, une AC et 2 empl. de Sort d'un élément pour invoquer un esprit guerrier ayant tous les Anneaux à 2 (à 3 de l'élément sacrifié), Kenjutsu 3 et Defense 2, équipé d'un daisho spectral et d'une armure légère pdt. X heures où X=Votre Rg. d'Ecole de Shugenja Kitsu</t>
  </si>
  <si>
    <t>Non-Glyphes</t>
  </si>
  <si>
    <t>Voir Ennemis p.190</t>
  </si>
  <si>
    <t>Shugenja Isawa 3</t>
  </si>
  <si>
    <t>Affinité: Air</t>
  </si>
  <si>
    <t>Le Monde est un Canevas</t>
  </si>
  <si>
    <t>L'art du Tejina</t>
  </si>
  <si>
    <r>
      <t xml:space="preserve">Bonus, Comp., Honn., Sorts et Equip. de l'école de Rang 1. Vs gagnez un nbre d'emplacements de sorts supplémentaires par jour égal à votre Rg. d'école. Vous ne pouvez utiliser ces emplacements que pour lancer les sorts </t>
    </r>
    <r>
      <rPr>
        <i/>
        <sz val="9"/>
        <rFont val="Arial"/>
        <family val="2"/>
      </rPr>
      <t>Souvenir Matérialisé</t>
    </r>
    <r>
      <rPr>
        <sz val="9"/>
        <rFont val="Arial"/>
        <family val="2"/>
      </rPr>
      <t xml:space="preserve">, </t>
    </r>
    <r>
      <rPr>
        <i/>
        <sz val="9"/>
        <rFont val="Arial"/>
        <family val="2"/>
      </rPr>
      <t>Vol de colombes</t>
    </r>
    <r>
      <rPr>
        <sz val="9"/>
        <rFont val="Arial"/>
        <family val="2"/>
      </rPr>
      <t xml:space="preserve">, ou </t>
    </r>
    <r>
      <rPr>
        <i/>
        <sz val="9"/>
        <rFont val="Arial"/>
        <family val="2"/>
      </rPr>
      <t>Brumes d'Illusion</t>
    </r>
  </si>
  <si>
    <t>Shugenja Soshi 3</t>
  </si>
  <si>
    <t>La Largesse de Fukurokujin</t>
  </si>
  <si>
    <t>Shugenja Asahina 2, Shugenja Isawa (Air) 2, Shugenja Moshi 2</t>
  </si>
  <si>
    <t>La Lumière Bannit les Mensonges</t>
  </si>
  <si>
    <t>Kyujustsu 5</t>
  </si>
  <si>
    <t>Asahina ou Daidoji uniquement</t>
  </si>
  <si>
    <t>Aucun Regret</t>
  </si>
  <si>
    <t>Guerrier de Terre</t>
  </si>
  <si>
    <t>Oeil du Crabe</t>
  </si>
  <si>
    <t>Kyujutsu 5</t>
  </si>
  <si>
    <t>Kyujutsu (Yumi) 3</t>
  </si>
  <si>
    <t>Lorsque vous effectuez une attaque à distance avec un arc, vous pouvez utiliser votre Perception à la place de vos Réflexes pour jets d'attaque. Lorsque vous utilisez un yumi, vous pouvez utiliser votre Perception en place de la Force de l'arc pour les Dommages.</t>
  </si>
  <si>
    <t>Dépensez une AS et faites un Test d'Oppostion d'Air avec une cible située à 100m max. En cas de succès vs. apprenez un des secrets de la cible. 1X/Jour sur une même personne, après un succès ne fonctionne plus sur elle pendant 1 mois.</t>
  </si>
  <si>
    <t>Rien</t>
  </si>
  <si>
    <t>Kyujustsu 7</t>
  </si>
  <si>
    <t>Rang d'Ecole Archer Tsuruchi ou Chasseur de Primes Tsuruchi &gt;5</t>
  </si>
  <si>
    <r>
      <t xml:space="preserve">Arc: portée est augmentée de 150m (appliqué avant le bonus de 50% de Kyujutsu Rang 5). Vos A avec un arc ne sont plus limitées par votre Vide (ou Rg de compétence si vous avez </t>
    </r>
    <r>
      <rPr>
        <i/>
        <sz val="9"/>
        <rFont val="Arial"/>
        <family val="2"/>
      </rPr>
      <t>Jeune Prodige)</t>
    </r>
    <r>
      <rPr>
        <sz val="9"/>
        <rFont val="Arial"/>
        <family val="2"/>
      </rPr>
      <t>. Vous pouvez effectuer des Coups Précis pour 1/2 du nbre normal d'A (arrondi sup.).</t>
    </r>
  </si>
  <si>
    <t>Technique de Saigo</t>
  </si>
  <si>
    <t>Iaijutsu 3</t>
  </si>
  <si>
    <t>Lors d'un duel contre un adversaire contre lequel vous avez utilisé Intimidation avec succès, +5 à votre Test d'Evaluation du duel. Dépensant un Pvide: une statistique de votre choix est considérée comme étant d'un rang plus élevée au cours de la phase d'Evaluation.</t>
  </si>
  <si>
    <t>Shugenja Meishodo/Horiuchi</t>
  </si>
  <si>
    <t>Robe, Wakizashi, Couteau, Etui à Parchemins/Amulettes, Nécéssaire de Voyage</t>
  </si>
  <si>
    <t>Amulettes</t>
  </si>
  <si>
    <t>Test d'artisanat : Meishodo /Anneau du sort désiré pour créer une amulette magique. Le TN de ce test est égal à 15 plus 5x niveau de maîtrise du sort. (Voir Greats Clans p 258 pour plus de détails)</t>
  </si>
  <si>
    <t>Équitation, Chasse, Connaissance: Outremonde, Enquête (Sens de l'Observation), Kenjutsu, Kyujutsu, une compétence de Bugei au choix</t>
  </si>
  <si>
    <t>Armure Lourde, Vêtements Robustes, Daisho, 1 Arme au choix, Nécéssaire de Voyage, Cheval de Monte de la Licorne</t>
  </si>
  <si>
    <t>Dessein Supérieur: Vaincre l'Outremonde OU Omnubilé: Vaincre l'Outremonde</t>
  </si>
  <si>
    <t>Pureté du Souffle</t>
  </si>
  <si>
    <t>+2g0 aux Tests d'Enquête (ou +2g1 à la place si votre jet vise à détecter la présence de Souillure de l'Outremonde)</t>
  </si>
  <si>
    <t>Venger les Nôtres</t>
  </si>
  <si>
    <t>+2g0 en attaque et aux Dommages contre un adversaire vous ayant attaqué ou contre une créature de l'Outremonde ou Souilée vous ayant attaqué ou non.</t>
  </si>
  <si>
    <t>Economie Florissante</t>
  </si>
  <si>
    <t>Emissaire Ide 2</t>
  </si>
  <si>
    <t>Commerce 3</t>
  </si>
  <si>
    <t>Doit poursuivre une carrière commerciale</t>
  </si>
  <si>
    <t>La Voie de Yomanri</t>
  </si>
  <si>
    <t>Vol d'Innocence</t>
  </si>
  <si>
    <t>Meishodo</t>
  </si>
  <si>
    <t>Combat en Outremonde</t>
  </si>
  <si>
    <t>Nombre de Blessures accrues</t>
  </si>
  <si>
    <t>Jiujutsu (Kaze-do) 3</t>
  </si>
  <si>
    <t>Kaze-Do</t>
  </si>
  <si>
    <t>Ronin, paysan, moine ou moine tatoué uniquement</t>
  </si>
  <si>
    <t>La Voie de l'Air</t>
  </si>
  <si>
    <t>M/B</t>
  </si>
  <si>
    <t>Courtisan Doji 3</t>
  </si>
  <si>
    <t>Sincérité (Honnêteté) 4</t>
  </si>
  <si>
    <t>Le Pouvoir de l'Innocence</t>
  </si>
  <si>
    <t>La Voie Dorée</t>
  </si>
  <si>
    <t>Riche OU Gouverneur</t>
  </si>
  <si>
    <t>Doit survire à une escarmouche avec un sensei des Guerriers d'Obsidienne</t>
  </si>
  <si>
    <r>
      <t xml:space="preserve">Avantage: </t>
    </r>
    <r>
      <rPr>
        <i/>
        <sz val="6"/>
        <rFont val="Arial"/>
        <family val="2"/>
      </rPr>
      <t>Faveur Elementaire: Eau</t>
    </r>
  </si>
  <si>
    <r>
      <t xml:space="preserve">Avantage: </t>
    </r>
    <r>
      <rPr>
        <i/>
        <sz val="6"/>
        <rFont val="Arial"/>
        <family val="2"/>
      </rPr>
      <t>Chantage</t>
    </r>
    <r>
      <rPr>
        <sz val="6"/>
        <rFont val="Arial"/>
        <family val="2"/>
      </rPr>
      <t xml:space="preserve"> sur 4 individus différents et un Désavantage: </t>
    </r>
    <r>
      <rPr>
        <i/>
        <sz val="6"/>
        <rFont val="Arial"/>
        <family val="2"/>
      </rPr>
      <t>Sombre Secret</t>
    </r>
  </si>
  <si>
    <r>
      <t xml:space="preserve">Avantage: </t>
    </r>
    <r>
      <rPr>
        <i/>
        <sz val="6"/>
        <rFont val="Arial"/>
        <family val="2"/>
      </rPr>
      <t>Leader né</t>
    </r>
    <r>
      <rPr>
        <sz val="6"/>
        <rFont val="Arial"/>
        <family val="2"/>
      </rPr>
      <t>, Avoir un poste de Commandement au sein du clan de la Mante</t>
    </r>
  </si>
  <si>
    <r>
      <t xml:space="preserve">Avantage: </t>
    </r>
    <r>
      <rPr>
        <i/>
        <sz val="6"/>
        <rFont val="Arial"/>
        <family val="2"/>
      </rPr>
      <t>Parangon</t>
    </r>
    <r>
      <rPr>
        <sz val="6"/>
        <rFont val="Arial"/>
        <family val="2"/>
      </rPr>
      <t>, vous devez être membre d'un Clan Mineur</t>
    </r>
  </si>
  <si>
    <r>
      <t xml:space="preserve">Uniquement des nezumi disposant de l'Avantage </t>
    </r>
    <r>
      <rPr>
        <i/>
        <sz val="6"/>
        <rFont val="Arial"/>
        <family val="2"/>
      </rPr>
      <t>Sans Peur</t>
    </r>
  </si>
  <si>
    <r>
      <t>Vous devez être choisi par un autre Maître Sensei et ne pouvez avoir de Désavantage</t>
    </r>
    <r>
      <rPr>
        <i/>
        <sz val="6"/>
        <rFont val="Arial"/>
        <family val="2"/>
      </rPr>
      <t xml:space="preserve"> Impétueux</t>
    </r>
    <r>
      <rPr>
        <sz val="6"/>
        <rFont val="Arial"/>
        <family val="2"/>
      </rPr>
      <t xml:space="preserve"> ni</t>
    </r>
    <r>
      <rPr>
        <i/>
        <sz val="6"/>
        <rFont val="Arial"/>
        <family val="2"/>
      </rPr>
      <t xml:space="preserve"> Présomptueux</t>
    </r>
  </si>
  <si>
    <r>
      <t xml:space="preserve">Soit vous êtes un Kakita et vous devez avoir </t>
    </r>
    <r>
      <rPr>
        <i/>
        <sz val="6"/>
        <rFont val="Arial"/>
        <family val="2"/>
      </rPr>
      <t>Jeune Prodige dans un art</t>
    </r>
    <r>
      <rPr>
        <sz val="6"/>
        <rFont val="Arial"/>
        <family val="2"/>
      </rPr>
      <t xml:space="preserve">, Sinon vous devez êtes du Clan de la Grue et avoir les Avantages </t>
    </r>
    <r>
      <rPr>
        <i/>
        <sz val="6"/>
        <rFont val="Arial"/>
        <family val="2"/>
      </rPr>
      <t>Jeune Prodige</t>
    </r>
    <r>
      <rPr>
        <sz val="6"/>
        <rFont val="Arial"/>
        <family val="2"/>
      </rPr>
      <t xml:space="preserve"> et </t>
    </r>
    <r>
      <rPr>
        <i/>
        <sz val="6"/>
        <rFont val="Arial"/>
        <family val="2"/>
      </rPr>
      <t>Virtuose</t>
    </r>
    <r>
      <rPr>
        <sz val="6"/>
        <rFont val="Arial"/>
        <family val="2"/>
      </rPr>
      <t xml:space="preserve"> dans un art</t>
    </r>
  </si>
  <si>
    <t>Effet</t>
  </si>
  <si>
    <t>Armes Lourdes (Masakari) 5</t>
  </si>
  <si>
    <t>Nier la Horde</t>
  </si>
  <si>
    <t>Jiujutsu (Sumai) 4</t>
  </si>
  <si>
    <t>Permet automatiquement à votre personnage de se débarrasser du Désavantage "Petit" sans XP. Si vous n'êtes pas petit, vous gagnez automatiquement "Grand" sans XP. Si vous êtes déjà "Grand", vous êtes remboursé du coût en XP de l'avantage.</t>
  </si>
  <si>
    <t>La Voie du Sumai</t>
  </si>
  <si>
    <t>Quand vous faites un test pour contrôler une Empoignade, vous gagnez un bonus de +1g0 (2g0 si vous êtes Grand). Si vous choisissez d'infliger des dégâts lors d'une Empoignade, vous gagnez un bonus de +1g1 au jet de Dommages.</t>
  </si>
  <si>
    <t>Ingénieur Kaiu 5</t>
  </si>
  <si>
    <t>Art de la Guerre (Combat de masse) 5, Ingéniérie (Siège) 5</t>
  </si>
  <si>
    <t>Le Marteau de Kaiu</t>
  </si>
  <si>
    <t>Guerrier de Fer Daidoji 4</t>
  </si>
  <si>
    <t>Armes Lourdes 5</t>
  </si>
  <si>
    <t>La Voie de la Grue de Fer</t>
  </si>
  <si>
    <t>Avec arme lourde en Posture d'Attaque, +1g1 à vos jets d'attaque contre n'importe quel adversaire qui est en Posture d'Attaque ou Assaut. En Posture de Défense ou d'Esquive, vous pouvez ajouter votre Rg. en Armes lourdes à votre ND d'Armure.</t>
  </si>
  <si>
    <t>4 ou 6</t>
  </si>
  <si>
    <t>Art de la Guerre (Combat de masse) 6, Ingéniérie (Siège) 4</t>
  </si>
  <si>
    <t>Rompu aux Tactiques</t>
  </si>
  <si>
    <t>Acier Brillant</t>
  </si>
  <si>
    <t xml:space="preserve"> Bushi Shiba 2</t>
  </si>
  <si>
    <t>Bushi Moto 2,  Bushi Shinjo 2</t>
  </si>
  <si>
    <t>Jiujutsu (Bariqu) 3</t>
  </si>
  <si>
    <t>Bariqu</t>
  </si>
  <si>
    <t>La Voie du Ujik-Hai</t>
  </si>
  <si>
    <t>Shugenja Kuni  4</t>
  </si>
  <si>
    <t>Doit posséder un morceau de cristal pur</t>
  </si>
  <si>
    <t>Frappe de Pureté</t>
  </si>
  <si>
    <t>Lorsque vous incantez sort de Feu ou Terre qui inflige dommages, dépensez un PVide pour canaliser le sort à travers votre cristal éveillé et l'infuser avec l'essence du cristal. Ajoute une AC suppl. au temps d'incantation du sort. +1g1 aux dommages du sort et devient "Cristal".</t>
  </si>
  <si>
    <t>Shugenja Tamori 2</t>
  </si>
  <si>
    <t>Capacité d'invoquer une arme</t>
  </si>
  <si>
    <t>Âme de la Pierre</t>
  </si>
  <si>
    <t>Shugenja Kitsune 3</t>
  </si>
  <si>
    <t>Vous pouvez adopter la forme d'un animal de votre choix en sacrifiant deux Empl. de Sorts de Terre et en réussissant un test de Méditation de ND 15 nécéssitant 15 min. Vous gagnez toutes les capacités de cette créature mais ne pouvez plus parler.</t>
  </si>
  <si>
    <t>Shugenja Isawa 3, Shugenja Agasha 3</t>
  </si>
  <si>
    <t>Ce Sol Sacré Jamais Ne Tombera</t>
  </si>
  <si>
    <t>Shugenja Iuchi 2</t>
  </si>
  <si>
    <t>Au-delà du Vent</t>
  </si>
  <si>
    <r>
      <t xml:space="preserve">Avantage: </t>
    </r>
    <r>
      <rPr>
        <i/>
        <sz val="6"/>
        <rFont val="Arial"/>
        <family val="2"/>
      </rPr>
      <t>Grand Voyageur</t>
    </r>
  </si>
  <si>
    <t>Equitation 3</t>
  </si>
  <si>
    <t>Courtisan Yasuki 4</t>
  </si>
  <si>
    <t>Commerce 4, Intimidation 5</t>
  </si>
  <si>
    <t>Faites-moi Une Faveur</t>
  </si>
  <si>
    <t>Force du Banbou</t>
  </si>
  <si>
    <t>Buchi Crabe 4</t>
  </si>
  <si>
    <t>Doit avoir le désatantage Estropié ou Aveugle ou Emputé et ne peut plus être capable de combattre</t>
  </si>
  <si>
    <t>Bushi ou Courtisan Mante 2</t>
  </si>
  <si>
    <t>Héritage de Watanabe</t>
  </si>
  <si>
    <t>+1g1 en Artisanat: Sculpture et Art: Sculpture et vous pouvez ignorer tout malus circonstanciel ou environnemental (distractions, la météo, le bruit, etc) à vos tests avec ces deux compétences.</t>
  </si>
  <si>
    <t>Courtisan Yoritomo 4</t>
  </si>
  <si>
    <t>Etiquette (Courtoisie) 4</t>
  </si>
  <si>
    <t>Négotiateur Intrépide</t>
  </si>
  <si>
    <t>Courtisan Otomo 3</t>
  </si>
  <si>
    <t>Etiquette (Bureaucratie) 5</t>
  </si>
  <si>
    <t>Scrutin Impérial</t>
  </si>
  <si>
    <t>Jet d'opposition Etiquette(Bureaucratie)/Volonté (dépensez un PVide: +2g2 au lieu de 1g1). En cas de réussite, le samouraï ciblé ne peut pas faire de progrès vers son objectif durant 2 semaines. Ne peut pas être utilisé sur la même cible avant que le retard ait expiré.</t>
  </si>
  <si>
    <t>Moine de la Confrérie 2 (SAUF Les Quatres Temples)</t>
  </si>
  <si>
    <t>Harmonie dans le Chaos</t>
  </si>
  <si>
    <t>Courtisan 3, Etiquette 4</t>
  </si>
  <si>
    <t>Bushi Hida 4, Pragmatiste Hida  4, Bushi Hiruma 3, Eclaireur Hiruma  3</t>
  </si>
  <si>
    <t>Couteaux 4</t>
  </si>
  <si>
    <t>Une Lame, Les Deux Mains</t>
  </si>
  <si>
    <t>Lorsque vous combattez avec un tanto et une main libre, +3g0 aux Dommages deu tanto et vous pouvez ignorer tous les effets d'Armure de votre adversaire (y compris les Réductions)</t>
  </si>
  <si>
    <t>Bushi Mirumoto 4, Epéiste Taoiste Mirumoto  5</t>
  </si>
  <si>
    <t>Frapper Quand Vous Ne Pouvez Pas</t>
  </si>
  <si>
    <t>Iaijutsu 5</t>
  </si>
  <si>
    <t>Au cours de l'étape d’Evaluation  d'un duel, vous pouvez dépenser une ActG et un PVide pour provoquer un Test d'Opposition de Kenjutsu/Feu contre votre adversaire. En cas de succès, votre adversaire ne peut pas dépenser de PVide sur le test de Concentration de ce duel.</t>
  </si>
  <si>
    <t>Combattant Tourbillonant de la Mante</t>
  </si>
  <si>
    <t>Couteaux (Kama) 4</t>
  </si>
  <si>
    <t>Les Vagues se Précipitent Vers la Rive</t>
  </si>
  <si>
    <t>Lors des combats avec un kama dans chaque main, vous pouvez ajouter votre Rang en Couteaux à votre ND d'Armure, et gagner un bonus de +3g0 à vos jets de dommages avec un kama.</t>
  </si>
  <si>
    <t>La Lame Cachée</t>
  </si>
  <si>
    <t>Discrétion 5, Couteaux 5</t>
  </si>
  <si>
    <t>Dépensez un Pvide et une ActG quand vous attaquez un adversaire Surpris avec un Couteau: tte A pour les dommages que vous prennez sur cette attaque sont des dés gardés (+1g1 par A) au lieu de non gardés (+1g0).</t>
  </si>
  <si>
    <t>Bushi Lièvre 2</t>
  </si>
  <si>
    <t>Couteaux (Tanto) 3</t>
  </si>
  <si>
    <t>Maître de la Lame Rapide</t>
  </si>
  <si>
    <t>Ingénieur Kaiu</t>
  </si>
  <si>
    <t xml:space="preserve">Art de la Guerre, Artisanat (Fab. d'armes),  Artisanat (Fab. d'armures), Connaissance: Architechture, Défense, Eventails de Guerre, Ingéniérie (un au choix), </t>
  </si>
  <si>
    <t>Armure Légère ou Lourde, Vêtements Robustes, Daisho, Arme Lourde ou Eventail de Guerre, Nécéssaire de Voyage</t>
  </si>
  <si>
    <t>+1g0 à tout jet de compétence d'école. Dépensez un PVide pour augmenter un jet de compétence d'école, +2g2 au lieu de +1g1. Ces effets ne sont pas cumulatifs.</t>
  </si>
  <si>
    <t>La Voie de la Carapace</t>
  </si>
  <si>
    <t>La Voie de la Guerre</t>
  </si>
  <si>
    <t>Lorsque vous fabriquez une arme vous pouvez lui donner +1g0 aux tests d'attaque ou +0g1 aux dommages. Si l'arme est un Katana dépensez tous vous Pvide pour le rendre Incassable mais vs ne pouvez récupérer vos Pvide durant 1 semaine.</t>
  </si>
  <si>
    <t>Ingéniérie</t>
  </si>
  <si>
    <t xml:space="preserve"> Connaissance: Outremonde, Connaissance: Maho, Enquête, Jiujutsu, Kenjutsu, Méditation, une compétence au choix</t>
  </si>
  <si>
    <t>Vêtements robustes, Daisho, Couteau, Pendentif de jade, Nécéssaire de Voyage</t>
  </si>
  <si>
    <t>Frapper les Ténèbres</t>
  </si>
  <si>
    <t>Briser les Ténèbres</t>
  </si>
  <si>
    <t>Test d'Opposition Enquête(Interrogatoire)/Intuition (+1g0 pour tout Rg. De Souillure de la cible) vs. Sincérité(Tromperie)/Volonté. En cas de succès, vous détectez la Souillure. +1g1 à vos jets pour résister à la Souillure ou à vos atk contre des créatures Souillées.</t>
  </si>
  <si>
    <t>Dépensez une ActG quand vous combattez une créature de l'Outremonde pr faire un Test de Connaissances: Outremonde/ Intelligence ND 20. En cas de succès, vous identifiez un des avantages (Invulnérabilité) ou désavantages (Sensible au jade) de la cible</t>
  </si>
  <si>
    <t>Vous pouvez effectuer une attaque au Corps à Corps au prix d'une AS au lieu d'une AC contre les créatures de l'Outremonde ou les cibles que vous savez Souillées.</t>
  </si>
  <si>
    <t>+3g0 à votre capacité de Rang 1 et Rang 2 visant à détecter la Souillure. De plus, vous apprenez un kiho dont vous devez remplir les pré-requis.</t>
  </si>
  <si>
    <t>+4g1 à vos tests d'attaque et de Dommages contre les créatures de l'Outremonde ou les cibles que vous savez Souillées. Cumulable avec la technique de Rang 1.</t>
  </si>
  <si>
    <t>Moine de la Confrérie 2, Kikage Zumi 2, Répurgateur Kuni 2, Henshin Asako 2</t>
  </si>
  <si>
    <t>Hitsu-do</t>
  </si>
  <si>
    <t>Jiujutsu (Hitsu-do) 4</t>
  </si>
  <si>
    <t>Accès à un dojo Hitsu-do</t>
  </si>
  <si>
    <t>La Voie du Feu</t>
  </si>
  <si>
    <t>Shugenja Grue 2</t>
  </si>
  <si>
    <t>La Forme Intérieure du Feu</t>
  </si>
  <si>
    <t>Dépensez un emplacement de Sort de Feu et faites un Test en Artisanat: Sculpture ou Art: Sculpture de ND 20 pour sculpter du feu, de la lumière, de la fumée ou de la chaleur. Dure un nmbre de minutes égal à votre Anneau de Feu mais requiert une concentration totale.</t>
  </si>
  <si>
    <t>Ordre Tatoué de Togashi 2</t>
  </si>
  <si>
    <t>Méditation 3</t>
  </si>
  <si>
    <t>Apothéose de Feu</t>
  </si>
  <si>
    <t>Test de Méditation/Feu ND 20 après 1h. En cas de succès, pdt. un nbre d'h = votre Rg. de Feu immunité au Feu non magique. +1A: Feu magique inclus, +2A TOUS les dommages de feu. Qd vous êtes brulé: Tout test basé sur Intuition, Perception ou Intelligence a un bonus de +Feu</t>
  </si>
  <si>
    <t>Méditation 2</t>
  </si>
  <si>
    <t>La Clarté du Feu</t>
  </si>
  <si>
    <t>Shugenja Agasha 3</t>
  </si>
  <si>
    <t>Art de la Magie 3</t>
  </si>
  <si>
    <t>Furie des Eléments</t>
  </si>
  <si>
    <t>Art de la Guerre (Combat de Masse) 3</t>
  </si>
  <si>
    <t>Affinité: Feu</t>
  </si>
  <si>
    <t>Flammes Menaçantes</t>
  </si>
  <si>
    <t>Vs pouvez stocker un sort de Feu qui cible une créature dans une préparation alchimique en sacrifiant un Emplacement de Sort Feu. Si vous sacrifiez en plus un autre empl. (autre que Feu ou Vide) vs. pouvez changer ou ajouter le Mot-Clef de l'emplacement du Sort par celui-là.</t>
  </si>
  <si>
    <t>Lorsque vous incantez un sort de Feu qui ne cible pas une créature, vous pouvez sacrifier un emplacmement de Feu supplémentaire ou un Pvide pour donner à ce sort un effet de Peur X où X= le Niveau du Sort.</t>
  </si>
  <si>
    <t>Le Passé et le Présent</t>
  </si>
  <si>
    <t>Barde Ikoma 3, Ombre du Lion Ikoma 3</t>
  </si>
  <si>
    <t>Savoir Interdit: Véritable Histoire de l'Empire</t>
  </si>
  <si>
    <t>+1 Rang en Histoire</t>
  </si>
  <si>
    <r>
      <t xml:space="preserve">Vs gagnez l'avantage </t>
    </r>
    <r>
      <rPr>
        <i/>
        <sz val="9"/>
        <rFont val="Arial"/>
        <family val="2"/>
      </rPr>
      <t>Savoir Interdit: Véritable Histoire de l'Empire</t>
    </r>
    <r>
      <rPr>
        <sz val="9"/>
        <rFont val="Arial"/>
        <family val="2"/>
      </rPr>
      <t>, une AG à tous les tests de Calligraphie et pouvez tenter un test de Connaissance: Histoire/Intelligence ND 25 pour réciter dans tous les détails un évènement auquel vous avez été témoin.</t>
    </r>
  </si>
  <si>
    <t>Maître du Savoir Asako 3, Henshin Asako 3</t>
  </si>
  <si>
    <t>Enquête 3</t>
  </si>
  <si>
    <t>Les Motifs Cachés</t>
  </si>
  <si>
    <t>N'importe quelle technique</t>
  </si>
  <si>
    <t>Voie/Technique</t>
  </si>
  <si>
    <t>La Méthode d'Iuchiban</t>
  </si>
  <si>
    <t>Peut être enseignée à n'importe qui mais uniquement par un membre de haut rang du Culte des Adeptes du Sang</t>
  </si>
  <si>
    <t>2 sorts de Maho et une AG aux sorts "Maho". Qd. vs lancez Maho si vs. utilisez le sang d'un autre, tranférez la Souillure sur lui par tranche de 2pts de Blessures que vs subissez. Vs pouvez aussi réduire de 1 la Souillure reçue par tranche de 2pts de Blessures que vs subissez.</t>
  </si>
  <si>
    <t>Courtisan (Manipulation) 5, Intimidation (Contrôle) 4</t>
  </si>
  <si>
    <t>Deux Traits Mentaux à 5 ou plus, doit être membre du Kolat et ne peut ni être Souillé ni Corrompu</t>
  </si>
  <si>
    <t>La Volonté du Maître</t>
  </si>
  <si>
    <t>Vous êtes considéré comme ayant un statut de 10.0 pour tout membre du Kolat membre de votre secte, 9.0 pour tout autre membre du Kolat. +2g0 en Courtisan et Intimidation.</t>
  </si>
  <si>
    <t>Doit être membre du Kolat et ne peut ni être Souillé ni Corrompu par le Néant</t>
  </si>
  <si>
    <t>Ecole de Rang 4</t>
  </si>
  <si>
    <t>Les Tigres ne Tombent Pas</t>
  </si>
  <si>
    <t>Védique Naga 2</t>
  </si>
  <si>
    <t>Ami des Hommes</t>
  </si>
  <si>
    <t>+1g1 aux Compétences Sociales quand vous tentez de convaincre des humains de votre bonne foi ou de désamorcer une situation délicate dans laquelle ils sont impliqués.</t>
  </si>
  <si>
    <t>Eclats de Lumière</t>
  </si>
  <si>
    <t>Ecole de Naga Rang 2</t>
  </si>
  <si>
    <t>Archer Chevronné</t>
  </si>
  <si>
    <t>Guerrier Naga 3</t>
  </si>
  <si>
    <t>Vous pouvez effectuer une attaque au prix d'une AS au lieu d'une AC lorsque vous attaquez avec un Arc et réarmer votre Arc ne vous demande qu'une ActG.</t>
  </si>
  <si>
    <t>Ecole de Rang 5</t>
  </si>
  <si>
    <t>Déplacement de l'Ombre</t>
  </si>
  <si>
    <t>Traquer l'Ombre</t>
  </si>
  <si>
    <t>+2g2 à votre 1er jet d'attaque en escarmouche si vous êtes certain que votre adveraire c'est rendu coupable d'une violation de la loi Impériale.</t>
  </si>
  <si>
    <t>Discrétion 3, Ninjutsu (Tsubute, Shuriken ou Sarbacane) 3</t>
  </si>
  <si>
    <t>Cœurs Noirs, Lames Rouges</t>
  </si>
  <si>
    <t>Si vous attaquez un adversaire Surpris, vous pouvez ajouter votre Rg. de Discrétion au total de tous vos jets d'attaque et de dommages contre cet adversaire durant toute cette escarmouche.</t>
  </si>
  <si>
    <t>Commerce 1, Equitation 2</t>
  </si>
  <si>
    <t>Protégé par l'Est</t>
  </si>
  <si>
    <t>Lorsque vous adoptez la Posture de Défense ou d'Esquive et que vous effectuez l'action de Garde, vous augmentez à la fois votre ND d'Armure et celui de votre protégé de 5.</t>
  </si>
  <si>
    <t>Rg. d'Honneur&gt;5</t>
  </si>
  <si>
    <t>Frapper au Centre</t>
  </si>
  <si>
    <t>+1g1 à tout jet d'attaque destiné à mettre Hors Combat plutôt qu'à tuer (le but précis de l'attaque est déterminé par le MJ)</t>
  </si>
  <si>
    <t>Le Début du Voyage</t>
  </si>
  <si>
    <t>Athlétisme 3, Equitation 4</t>
  </si>
  <si>
    <t>Les Dents du Tigre</t>
  </si>
  <si>
    <t>Armes d'Hast 3</t>
  </si>
  <si>
    <r>
      <t>Avantage:</t>
    </r>
    <r>
      <rPr>
        <i/>
        <sz val="6"/>
        <rFont val="Arial"/>
        <family val="2"/>
      </rPr>
      <t xml:space="preserve"> Haine au Cœur (Licorne)</t>
    </r>
  </si>
  <si>
    <t>Vous pouvez effectuer une attaque au Corps à Corps au prix d'une AS au lieu d'une AC avec une Arme d'Hast. +1g1 en attaque contre des cibles Montées.</t>
  </si>
  <si>
    <t>Athlétisme 2, Bâtons 3</t>
  </si>
  <si>
    <t>Miroirs et Fumée</t>
  </si>
  <si>
    <t>Lorsque vous utilisez un Machi-Kanshisha, vous gagnez une AG à toute manœuvre de Désarmement ou Renversement. Dépensez un Pvide lorsque vous utilisez un Machi-Kanshisha pour effectuer une seule attaque en effectuant une AS. (Max 2PVide/Round)</t>
  </si>
  <si>
    <t>Ignorez les pénalités de déplacement si elles sont causées par la neige, le froid ou la glace. Dépensez un Pvide qd vous êtes Monté pour effectuer une seule attaque en effectuant une AS. (Max 2PVide/Round)</t>
  </si>
  <si>
    <t>Avantage: Héros Populaire</t>
  </si>
  <si>
    <t>Maintenir la Paix</t>
  </si>
  <si>
    <t>Couteaux 3, Navigation 3</t>
  </si>
  <si>
    <t>Rg. d'Honneur&lt;3</t>
  </si>
  <si>
    <t>Les Anneaux du Serpent</t>
  </si>
  <si>
    <t>Lorsque vous vous battez avec une arme "Paysan" ou en bois, vous pouvez effectuer une attaque au Corps à Corps au prix d'une AS au lieu d'une AC.</t>
  </si>
  <si>
    <t>Kenjutsu 4</t>
  </si>
  <si>
    <t>Protéger les Innocents</t>
  </si>
  <si>
    <t>Ronins de Clans seulement</t>
  </si>
  <si>
    <t>Rugir pour Ebranler les Cieux</t>
  </si>
  <si>
    <t>Lorsque vous combattez aux côtés de vos alliés, +2 au total de tous vos jets d'attaque et de Dommages pour chaque Ecole de base différente dans votre groupe. Bonus Max: 2X votre anneau de Vide.</t>
  </si>
  <si>
    <t>Obligation (Kolat) OU Relations (Kolat) OU Sombre Secret (Kolat)</t>
  </si>
  <si>
    <t>Déformer la Trame</t>
  </si>
  <si>
    <t>Si vous avez remporté un jet d'Opposition contre qqun en utilisant votre Sincérité (Tromperie), Intimidation ou Tentation, vous gagnez une AG contre cette personne qui peut être utilisée sur un jet d'attaque au 1er Round d'un combat.</t>
  </si>
  <si>
    <t>L'Ombre Noire de la Mort</t>
  </si>
  <si>
    <t>Athlétisme 4, Discrétion 4, Ninjutsu (Tsubute, Shuriken ou Sarbacane) 4</t>
  </si>
  <si>
    <t>Pour Mes Frères</t>
  </si>
  <si>
    <t>La Griffe du Lion Noir</t>
  </si>
  <si>
    <t>Shugenja Ninube</t>
  </si>
  <si>
    <t>Corruption par le Néant</t>
  </si>
  <si>
    <t>Vêtements Sombres, Wakizashi, Couteau, Etui à Parchemin, Nécéssaire de Voyage</t>
  </si>
  <si>
    <t>Masque du Néant</t>
  </si>
  <si>
    <t>Dépensez une AC et un emplacement de sort pour devenir une ombre: +5g0 en Discrétion, immunité aux attaques physiques mais la magie et le cristal vous affectent. Vous ne pouvez pas porter d'attaques sous cette forme mais pouvez incanter des sorts qui ne font pas de dégâts. AG aux sorts du Néant</t>
  </si>
  <si>
    <t>Vêtements Simples, Couteau, Sandales</t>
  </si>
  <si>
    <t>Athlétisme, Combat à Mains Nues, Connaissance: Théologie (Royaumes d'Ivoire), Couteaux, Défense, Médecine, Méditation, une Compétence Noble au choix.</t>
  </si>
  <si>
    <t>Shugenja Chuda 3</t>
  </si>
  <si>
    <r>
      <t>Sort:</t>
    </r>
    <r>
      <rPr>
        <i/>
        <sz val="6"/>
        <rFont val="Arial"/>
        <family val="2"/>
      </rPr>
      <t xml:space="preserve"> Invoquer un Champion Mort-Vivant</t>
    </r>
  </si>
  <si>
    <t>Shugenka Kuni 2</t>
  </si>
  <si>
    <t>Calligraphie 3</t>
  </si>
  <si>
    <t>Test d'Enquête (Sens de l'Observation)/Perception pour détecter des fantômes, gaki, yokai, créatures des royaumes spirituels,… Le ND de base est de 20 mais le MJ peut l'augmenter. Vous pouvez prendre 2 A pour déterminer la nature exacte de l'esprit détecté.</t>
  </si>
  <si>
    <t>Investigateur Kitsuki 3</t>
  </si>
  <si>
    <t>Courtisan 3, Etiquette (Conversation) 5</t>
  </si>
  <si>
    <t>Test d'Etiquette (Conversation)/Intuition ND 20 plus le nmbre d'A de votre choix. En cas de succès un adversaire doit effectuer un test de Sincérité/Intuition ND 20 +5 par A que vous avez pris. S'il échoue -1g1 à tous ses Tests Sociaux contre vous.</t>
  </si>
  <si>
    <t>Bushi Dragon 4</t>
  </si>
  <si>
    <t>+1g0 à vos attaques, +2g2 à la place quand vous utilisez un arc</t>
  </si>
  <si>
    <t>Ordre Tattoué de Togashi 3</t>
  </si>
  <si>
    <t>Artisan Kakita 5</t>
  </si>
  <si>
    <t>Moto Bushi 4</t>
  </si>
  <si>
    <t>En Posture d'Assaut, dépensez un Pvide et une AS: vous gagnez une Réduction égale à votre Rg. d'Ecole aussi longtemps que vous restez en Posture d'Assaut.</t>
  </si>
  <si>
    <t>Ecole Licorne de Rang 2</t>
  </si>
  <si>
    <t>Doit être un homme de la famille Utaku</t>
  </si>
  <si>
    <t>+2g0 en Chasse, Elevage et Equitation</t>
  </si>
  <si>
    <t>Bushi Lion 4</t>
  </si>
  <si>
    <t>Iaijutsu 4, Kenjutsu 5</t>
  </si>
  <si>
    <t>Bushi Lion 2</t>
  </si>
  <si>
    <t>Art de la Guerre 3, Chasse 2</t>
  </si>
  <si>
    <r>
      <t xml:space="preserve">Avantage: </t>
    </r>
    <r>
      <rPr>
        <i/>
        <sz val="6"/>
        <rFont val="Arial"/>
        <family val="2"/>
      </rPr>
      <t xml:space="preserve">Jeune Prodige </t>
    </r>
    <r>
      <rPr>
        <sz val="6"/>
        <rFont val="Arial"/>
        <family val="2"/>
      </rPr>
      <t>ou Iaijutsu 5, Kenjutsu 6</t>
    </r>
  </si>
  <si>
    <t>Vous pouvez vous déplacer de votre mouvement normal quand vous utilisez votre Discrétion. +1g0 en Discrétion et à tous les Tests de Compétence de Bugei basés sur l'Agilité.</t>
  </si>
  <si>
    <t>Bushi Lion 3</t>
  </si>
  <si>
    <t>Kenjutsu 5</t>
  </si>
  <si>
    <t>Bushi Mante 1</t>
  </si>
  <si>
    <t>Chasse 3</t>
  </si>
  <si>
    <t>Bushi Mante 2</t>
  </si>
  <si>
    <t>Moshi Bushi 1</t>
  </si>
  <si>
    <t>Bushi Renard 2</t>
  </si>
  <si>
    <t>Force des Cinq</t>
  </si>
  <si>
    <t>Doit faire partie des Légions Elémentales</t>
  </si>
  <si>
    <t>Bushi Shiba 5</t>
  </si>
  <si>
    <t>Doit avoir la technique de Yojimbo Shiba de Rang 3</t>
  </si>
  <si>
    <t>La Garde Noire</t>
  </si>
  <si>
    <t>Doit être choisi pour servir dans l'ordre secret du Kuroiban</t>
  </si>
  <si>
    <t>Ecole Scorpion de Rang 2</t>
  </si>
  <si>
    <t>Art de la Magie 4, Courtisan 4, une compétence d'arme de Bushi ou Ninja à 4</t>
  </si>
  <si>
    <t>Quelque soit le Coût</t>
  </si>
  <si>
    <t>Enquête 4, Iaijutsu 4</t>
  </si>
  <si>
    <t>Pureté de la Justice</t>
  </si>
  <si>
    <t>Art de la Guerre 2</t>
  </si>
  <si>
    <t>Bushi Suzume 2</t>
  </si>
  <si>
    <t>Archer Tsuruchi 2, Chasseur de Primes Tsuruchi 2</t>
  </si>
  <si>
    <t>Regard du Boucher</t>
  </si>
  <si>
    <t>Ecole de Bushi de Rang 4</t>
  </si>
  <si>
    <t>Intimidation 5, Iaijutsu 5</t>
  </si>
  <si>
    <t>Doit être un étudiant du Dojo de Rubis</t>
  </si>
  <si>
    <t>Unité de But</t>
  </si>
  <si>
    <t>Ecole Bushi de Rang 1</t>
  </si>
  <si>
    <t>Caractéristiques de départ: Voir IH p. 123. Dépensez une ActG après Initiative pr diminuer celle-ci pr atteindre celle d'une autre personne entrainée ds cette technique. +1g0 en atk pour chaque personne avec la même initiative qui attaque le même adv. Max votre Rg de Maîtrise+1.</t>
  </si>
  <si>
    <r>
      <t xml:space="preserve">Avantage: </t>
    </r>
    <r>
      <rPr>
        <i/>
        <sz val="6"/>
        <rFont val="Arial"/>
        <family val="2"/>
      </rPr>
      <t>Savoir Interdit: Gozuku</t>
    </r>
  </si>
  <si>
    <t>Présence Ecrasante</t>
  </si>
  <si>
    <t>Vous pouvez ajouter votre Rg d'Intimidation au total de tous les jets de compétence sociale que vous faites contre des personnes qui ne sont pas membres du Gozoku.</t>
  </si>
  <si>
    <t>Porter la Honte de l'Empereur</t>
  </si>
  <si>
    <t>Ecole de Moine de la Confrérie de Rang 2</t>
  </si>
  <si>
    <t>Gozoku</t>
  </si>
  <si>
    <t>Shugenja Yoritomo 4</t>
  </si>
  <si>
    <t>Appel du Tonnerre</t>
  </si>
  <si>
    <t>Cannon</t>
  </si>
  <si>
    <t>This skill is used for aiming and firing cannon effectively. A cannon requires a crew of four men to load and fire, but the skill is only used by their commander, who aims the
weapon and keeps the men focused on their specific tasks.</t>
  </si>
  <si>
    <t>Vous savez faire fonctionner un cannon avec seulement 2 personnes au lieu de 4.</t>
  </si>
  <si>
    <t>Contrebandier Kasuga 4</t>
  </si>
  <si>
    <t>Une compétence d'Arme  4</t>
  </si>
  <si>
    <t>La Voie du Un</t>
  </si>
  <si>
    <t>Vous pouvez effectuer une attaque au Corps à Corps au prix d'une AS au lieu d'une AC lorsque vous maniez une arme non-"Samurai". +1g0 aux Dommages avec des armes "Paysan".</t>
  </si>
  <si>
    <r>
      <t>Avantage:</t>
    </r>
    <r>
      <rPr>
        <i/>
        <sz val="6"/>
        <rFont val="Arial"/>
        <family val="2"/>
      </rPr>
      <t xml:space="preserve"> Ishiken-do</t>
    </r>
  </si>
  <si>
    <t>Obscurité Défaite</t>
  </si>
  <si>
    <t>Armes d'Hast 3, Lances 3</t>
  </si>
  <si>
    <t>Mur de Piques</t>
  </si>
  <si>
    <t xml:space="preserve">En posture d'Esquive qd vs manipulez une Lance ou arme d'Hast dès qu'une ennemi vs attaque vs ou un allié à 4m, dépensez un Pvide et une ActG pour faire une attaque contre cet ennemi. Fonctionne en posture de Défense mais demande 2PVide. </t>
  </si>
  <si>
    <t>Ninja Goju</t>
  </si>
  <si>
    <t>Athletisme, Discrétion, Kenjutsu, Ninjutsu, Sincérité (Tromperie), une Compétence au choix</t>
  </si>
  <si>
    <t>Art de la Magie, Calligraphie, Couteaux, Discrétion 2, Sincérité (Tromperie), une Compétence Dégradante au choix.</t>
  </si>
  <si>
    <t>Vêtements Sombres, Ninja-to, Tanto, 6 Shuriken ou Tsubute, une arme au choix, 30 m de corde et grappin, Nécéssaire de Voyage</t>
  </si>
  <si>
    <t>Se fondre dans les Ombres</t>
  </si>
  <si>
    <t>Lame Assombrie</t>
  </si>
  <si>
    <t>Marche dans l'Ombre</t>
  </si>
  <si>
    <t>Ombre sur la Lune</t>
  </si>
  <si>
    <t>Néant</t>
  </si>
  <si>
    <t>Manteau de la Nuit</t>
  </si>
  <si>
    <t>Illusion, Néant</t>
  </si>
  <si>
    <t>Défense, Néant</t>
  </si>
  <si>
    <t>Divination, Néant</t>
  </si>
  <si>
    <t>Voyage, Néant</t>
  </si>
  <si>
    <t>Néant, Glyphes</t>
  </si>
  <si>
    <t>Art de la Guerre, Défense, Glyphes</t>
  </si>
  <si>
    <t>Art de la Guerre, Glyphes</t>
  </si>
  <si>
    <t>Art de la Guerre, Impérial, Glyphes</t>
  </si>
  <si>
    <t>Ordre du Crabe de Pierre</t>
  </si>
  <si>
    <t>Rg. d'Honneur&lt;5</t>
  </si>
  <si>
    <t>Mépriser le Faible</t>
  </si>
  <si>
    <t>Lors de l'attaque d'adversaires humains, vous bénéficiez d'un bonus de +1g1 sur tous vos jets d'attaque pour chaque Désavantage Physique qu'ils possèdent.</t>
  </si>
  <si>
    <t>Ecole de Courtisan ou Bushi de Rang 2</t>
  </si>
  <si>
    <t>Pas Sûrs Mais Unis</t>
  </si>
  <si>
    <t>Vous gagnez une AG sur tous les jets d'attaque face aux adversaires dont le rang de Statut est supérieur à leur Rang d'Honneur.</t>
  </si>
  <si>
    <t>Magistrat Doji 3, Guerrier de Fer Daidoji 4</t>
  </si>
  <si>
    <t>Courage de Chomei</t>
  </si>
  <si>
    <t>Garde des Mers Isawa</t>
  </si>
  <si>
    <t>Le Glyphe de la Mer</t>
  </si>
  <si>
    <t>Acier d'Umasu</t>
  </si>
  <si>
    <t>Ingénieur Kaiu 3, Maître de Siège Kaiu 5</t>
  </si>
  <si>
    <t>3 ou 5</t>
  </si>
  <si>
    <t>Art de la Guerre 4, Navigation 5</t>
  </si>
  <si>
    <t>Au début d'une bataille navale où vous êtes aux commandes d'un navire de guerre, Art de la Guerre/Intelligence ND 25 pr accorder à votre vaisseau une Réduction égale à votre Rg. de Navigation x2. Si le navire est un "bateau tortue", Rg. de Navigation x4</t>
  </si>
  <si>
    <t>Bouclier de l'Impératrice</t>
  </si>
  <si>
    <t>A chaque fois que vous devez perdre de l'Honneur, si vous entreprenez cette action pour préserver l'Honneur ou la Gloire d'une personne d'un Statut supérieur au vôtre cette perte est divisée par 2.</t>
  </si>
  <si>
    <t>Une Ecole de Bushi qui donne une AS à la place d'une AC</t>
  </si>
  <si>
    <t>Chasse 3, Connaissance: Clan Majeur: Naga 3</t>
  </si>
  <si>
    <t>Sang du Serpent</t>
  </si>
  <si>
    <t>Vous pouvez effectuer une attaque au Corps à Corps au prix d'une AS au lieu d'une AC avec une arme "Samurai", avec n'importe quelle arme face à un Naga</t>
  </si>
  <si>
    <t>Les Indomptés</t>
  </si>
  <si>
    <t>Grâce des Ombres</t>
  </si>
  <si>
    <t>Ecole de Ronin de Rang 1</t>
  </si>
  <si>
    <t>(Statistiques de départ Voir IH p.103). Test d'Opposition en Intuition. En cas de réussite, votre adversaire vous traite comme si votre Rg. de Statut était plus élevé d'un Rang.</t>
  </si>
  <si>
    <t>Courtisan Doji 2, Bushi Kakita  2, Guerrier de Fer Daidoji 4</t>
  </si>
  <si>
    <t>Esprit du Faucon</t>
  </si>
  <si>
    <t>Lorsque vs chassez avec un faucon dréssé, dépensez un Pvide pour ajouter la moité de votre Rg d'Elevage (Faucon) au dés de Chasse non-gardés. Dépensez une ActG. Pr ordonner à un faucon d'attaquer une cible à vue non-prédateur (qu'il attaquerait normalement)</t>
  </si>
  <si>
    <t>C/B</t>
  </si>
  <si>
    <t>Investigateur Kitsuki 2,Bushi  Mirumoto 2, Epéiste Taoiste 2, Ordre Tatoué de Togashi 2</t>
  </si>
  <si>
    <t>La Main Dirigeante de l'Impératrice</t>
  </si>
  <si>
    <t>Contre des personnes ayant un Rg d'Honneur&lt; au vôtre, si votre Connaissance: Théologie &gt; à vos Rg. de Courtisan ou Etiquette, gagnez un nbre de dés non-gardés = à la différence à tout Test d'Opposition Social. Tt adv. Souillé à -2g0 à ce test. (Voir IH p.99)</t>
  </si>
  <si>
    <t>Bushi Akodo 4, Bushi Matsu  4</t>
  </si>
  <si>
    <t>Yodotai</t>
  </si>
  <si>
    <t>Je Combats Avec Mes Frères</t>
  </si>
  <si>
    <t>Shugenja Kitsune 3, Shugenja Moshi  4, Shugenja Yoritomo  4</t>
  </si>
  <si>
    <t>Chasse 2, Elevage 3</t>
  </si>
  <si>
    <t>Shugenja Isawa 2, Shugenja Agasha 2</t>
  </si>
  <si>
    <t>Connaissance: Culture Gaijin (Royaumes d'Ivoire) 3</t>
  </si>
  <si>
    <t>Il n'y a Aucun Secret</t>
  </si>
  <si>
    <t>Personne ne Connaitra Ma Voie (Courtisan)</t>
  </si>
  <si>
    <t>Magistrat Soshi 3</t>
  </si>
  <si>
    <t>Personne ne Connaitra Ma Voie (Shugenja)</t>
  </si>
  <si>
    <t>Bushi Daigotsu 3, Moine de l'Araignée 3</t>
  </si>
  <si>
    <t>Tous Tombent Devant Moi</t>
  </si>
  <si>
    <t>Une fois par Round qd vous réussissez une attaque, dépensez une AS pr faire un test d'Opposition en Volonté contre votre adversaire En cas de succès, les dommages sont doublés.</t>
  </si>
  <si>
    <t>Shugenja Iuchi  4, Shugenja Horiuchi  4, Prêtre de la Mort Moto 4</t>
  </si>
  <si>
    <t>Trouver un maître Chercheur de la Fin des Temps</t>
  </si>
  <si>
    <t>La Voie du Chercheur de la Fin des Temps</t>
  </si>
  <si>
    <t>Ecole de Bushi de Rang 2</t>
  </si>
  <si>
    <t>Chercher de Nouvelles Voies</t>
  </si>
  <si>
    <t xml:space="preserve"> Bushi Hida 4, Bushi Shinjo  4, Bushi Moto 4, Bushi Yoritomo  4</t>
  </si>
  <si>
    <t>Défense 4, une Compétence d'Arme à 4</t>
  </si>
  <si>
    <t>Armure du Gouverneur</t>
  </si>
  <si>
    <t>Héritage du Kshatriya</t>
  </si>
  <si>
    <t>Bushi Ichiro 3</t>
  </si>
  <si>
    <t>Athlétisme 4, Lances 4</t>
  </si>
  <si>
    <t>Tenir les Passages</t>
  </si>
  <si>
    <t>Votre portée avec les armes lancées à la main est doublée, +1g0 aux Dommages avec des armes de jet, si l'arme est un nage-yari ou un rocher, le bonus est de 1g1 à la place.</t>
  </si>
  <si>
    <t>Voir le Motif</t>
  </si>
  <si>
    <t>Shugenja Tombo 3</t>
  </si>
  <si>
    <t>Méditation 5</t>
  </si>
  <si>
    <t>+2g0 en Divination et Etiquette</t>
  </si>
  <si>
    <t>Chercher le Coupable</t>
  </si>
  <si>
    <t>Bushi Morito 4</t>
  </si>
  <si>
    <t>Enquête 5</t>
  </si>
  <si>
    <t>Lors de l'instruction de qqun pr violation de loi ou complicité avec Kolat, jet d'opposition d'Enquête(Interrogatoire)/Perception vs Sincérité(Tromperie)/Intuition. En cas de succès (et si la cible est coupable),+1g1 en Intimidation et attaque vs cet adv. pdt 24 h.</t>
  </si>
  <si>
    <t>Le Cœur de l'Histoire</t>
  </si>
  <si>
    <t>Spectacle: Art du Conteur 3</t>
  </si>
  <si>
    <t>Mekham</t>
  </si>
  <si>
    <t>Yobanjin</t>
  </si>
  <si>
    <r>
      <t xml:space="preserve">Avantage: </t>
    </r>
    <r>
      <rPr>
        <i/>
        <sz val="6"/>
        <rFont val="Arial"/>
        <family val="2"/>
      </rPr>
      <t>Excellente Mémoire</t>
    </r>
  </si>
  <si>
    <t>Lorsque vous effectuez un jet de compétence Courtisan, vous pouvez dépenser un PVide pour ajouter votre Rang de Spectacle (Art du Conteur) au total.</t>
  </si>
  <si>
    <t>Contrebandier Kasuga 3</t>
  </si>
  <si>
    <t>Discrétion 3, deux Compétences d'Arme à 4</t>
  </si>
  <si>
    <t>La Grenouille Empoisonée</t>
  </si>
  <si>
    <t>Ecole de Shugenja Ronin 4</t>
  </si>
  <si>
    <t>Capacité d'Invoquer deux armes différentes</t>
  </si>
  <si>
    <t>Armes Lourdes 3, Bâtons 3,Kenjutsu 3, Lances 3</t>
  </si>
  <si>
    <t>Armes d'Ekuro</t>
  </si>
  <si>
    <t>Ecole de Shugenja Ronin 3</t>
  </si>
  <si>
    <t>Pitié d'Isashi</t>
  </si>
  <si>
    <t>Médecine 3</t>
  </si>
  <si>
    <t>Vous gagnez un bonus de +1g0 en Médecine et une AG lorsque vous lancez un sort qui guérit des blessures ou la maladie.</t>
  </si>
  <si>
    <t>Secret de Tamedaore</t>
  </si>
  <si>
    <t>Sanctuaire des Septs Tonnerres 4</t>
  </si>
  <si>
    <t>Défense 4, Méditation 3, une Compétence de Spectacle musicale 3</t>
  </si>
  <si>
    <t>Aucun Kiho Martial</t>
  </si>
  <si>
    <t>+1g0 en Spectacle (musique). Vs ne pouvez jamais atk une créature vivante ou vs perdez définitivement la possibilité d'effectuer des Kiho. Tant que vs restez non-violent +1g1 en défense, et qd vs dépensez un PVide pour nier des Dommages, vous en niez 20 au lieu de 10.</t>
  </si>
  <si>
    <t>Moine de la Confrérie Fortuniste de Rang 3</t>
  </si>
  <si>
    <t>Méditation 4</t>
  </si>
  <si>
    <t>Un membre de cet ordre qui est volontairement dépositaire d'un secret ne peut jamais le révéler. La connaissance est gardée par la puissance de la Fortune des Secrets et ne peut jamais être perçue à partir de l'esprit du moine en aucune façon, même par torture ou magie de l'air intrusive.</t>
  </si>
  <si>
    <t>Silence de Tsugumu</t>
  </si>
  <si>
    <t>Moine de la Confrérie Fortuniste de Rang 2 (Sauf Ordre d'Osano-Wo)</t>
  </si>
  <si>
    <t>Ahtlétisme 3, Méditation (Jeûne) 3</t>
  </si>
  <si>
    <r>
      <t xml:space="preserve">Désavantage: </t>
    </r>
    <r>
      <rPr>
        <i/>
        <sz val="6"/>
        <rFont val="Arial"/>
        <family val="2"/>
      </rPr>
      <t>Ascète</t>
    </r>
  </si>
  <si>
    <t>Faveur de Koshin</t>
  </si>
  <si>
    <t>Vous gagnez un seul Kiho à ce rang. La force de Koshin vous empêche de devenir Fatigué de par un voyage ou un manque de sommeil, mais pas du manque de nourriture/boisson. +1g1 en Méditation.</t>
  </si>
  <si>
    <t>Garde Cachée Seppun</t>
  </si>
  <si>
    <t>Shugenja Seppun 3</t>
  </si>
  <si>
    <t>Harmonie dans Tout</t>
  </si>
  <si>
    <t>Doit être recruté dans la Garde Cachée Seppun</t>
  </si>
  <si>
    <t>AG à tous les Sorts "Défense" et "Glyphes"</t>
  </si>
  <si>
    <t>Feu et Glace</t>
  </si>
  <si>
    <t>Héraut Miya 4</t>
  </si>
  <si>
    <t>Vous pouvez effectuer une attaque au CàC au prix d'une AS au lieu d'une AC qd vous êtes en Posture d'Assaut</t>
  </si>
  <si>
    <t>Bushi Daigotsu 2</t>
  </si>
  <si>
    <t>La Cape des Ombres</t>
  </si>
  <si>
    <t>Suivre la Voie Sombre</t>
  </si>
  <si>
    <t>Moine de l'Ordre de l'Araignée 2</t>
  </si>
  <si>
    <t>Théologie 3</t>
  </si>
  <si>
    <t>Vous gagnez deux Kiho, pour lesquels vous devez répondre à tous les pré-requis. Ces Kiho ne comptent pas dans le nombre normal de Kiho vous pouvez apprendre comme déterminé par votre Rang école.</t>
  </si>
  <si>
    <t>Bushi Hiruma 3, Eclaireur Hiruma 3</t>
  </si>
  <si>
    <t>Défense 3</t>
  </si>
  <si>
    <t>La Carapace du Crabe</t>
  </si>
  <si>
    <t>Après une attaque de CàC réussie, dépensez une ActG pr effectuer l'action de Garde (si votre protégé est assez proche de vs): ajoutez le montant du surplus votre jet d'atk qui surpasse le ND d'Armure de votre adv. au ND d'armure de votre protégé jusqu'à votre prochain tour.</t>
  </si>
  <si>
    <t>Courtisan Yasuki 2, Pragmatiste Hida 2</t>
  </si>
  <si>
    <t>Intimidation 3</t>
  </si>
  <si>
    <t>Doux Encouragement</t>
  </si>
  <si>
    <t>Bushi Mirumoto 4, Epéiste Taoiste 3</t>
  </si>
  <si>
    <t>Maîtriser le Pays</t>
  </si>
  <si>
    <t>Ecole du Dragon de Rang 2</t>
  </si>
  <si>
    <t>Une Compétence d'Artisanat à 3</t>
  </si>
  <si>
    <t>Une Compétence d'Artisanat ou Art à 3</t>
  </si>
  <si>
    <t>Enfant de l'Eau</t>
  </si>
  <si>
    <t>Guerrier de Fer Daidoji 2, Eclaireur Daidoji 2</t>
  </si>
  <si>
    <t>Lances 3</t>
  </si>
  <si>
    <t>Serre des Daidoji</t>
  </si>
  <si>
    <t>Lors de l'utilisation d'une lance pour attaquer un adversaire qui n'a pas encore agi ce tour, il doit prendre 2A sans bénéfice pour vous attaquer avec succès pour le reste de ce Round.</t>
  </si>
  <si>
    <t>Bushi Akodo 2, Ombre du Lion Akodo 2</t>
  </si>
  <si>
    <t>Courser le Vent</t>
  </si>
  <si>
    <t>Athlétisme 3</t>
  </si>
  <si>
    <t>Charge de la Fierté</t>
  </si>
  <si>
    <t>Bushi Kakita 2</t>
  </si>
  <si>
    <t>Iaijutsu 2, Art: Poésie 2</t>
  </si>
  <si>
    <t>Eventail et Sabre</t>
  </si>
  <si>
    <t>Quand vous dépensez un PVide pour augmenter un jet de compétence Iaijutsu ou Art:Poésie, vous gagnez un bonus de +2g2 au lieu de +1g1. Qd vs gagnez un duel de poésie, vs gagnez 1 pt de Gloire suppl. et si vous représentez qqun, cette personne gagne aussi 1 pt de Gloire</t>
  </si>
  <si>
    <t>Ecole de Bushi de la Licorne de Rang 3</t>
  </si>
  <si>
    <t>Le Cœur Calme Conquiert</t>
  </si>
  <si>
    <t>+1g0 en Iaijustsu si vous frappez pour ne pas tuer votre adv. en duel ou en combat. Vous pouvez effectuer une attaque au Corps à Corps au prix d'une AS au lieu d'une AC avec un katana ou un wakizashi.</t>
  </si>
  <si>
    <t>Courtisan Ide 1</t>
  </si>
  <si>
    <t>Commerce 2</t>
  </si>
  <si>
    <t>La Route Dorée</t>
  </si>
  <si>
    <t>Shugenja Kitsune 2</t>
  </si>
  <si>
    <t>Lorsque vous travaillez avec des matériaux naturels, dépensez un empl. de sort de la Terre de gagner un bonus de +1g0 dans une Compétence d'Artisanat ou Art. Max nbre d'emplacements de sorts de cette manière= votre Rg l'école, peut être utilisé en conjonction avec des PVide.</t>
  </si>
  <si>
    <t>Archer Tsuruchi 4, Chasseur de Primes Tsurichi 4</t>
  </si>
  <si>
    <t>Vous pouvez effectuer une attaque au CàC au prix d'une AS au lieu d'une AC avec une lame.</t>
  </si>
  <si>
    <t>Ecole de Ronin de Rang 2 Sauf Tueur de la Forêt et Justice de Tengoku</t>
  </si>
  <si>
    <t>Lorsque vous êtes en action de Garde, votre ND d'Armure n'est jamais réduit.</t>
  </si>
  <si>
    <t>Ecole de Ronin de Rang 2</t>
  </si>
  <si>
    <t>Maître des dés</t>
  </si>
  <si>
    <t>Ajoutez vos Rangs en Intimidation à tous vos Tests d'Opposition Sociaux</t>
  </si>
  <si>
    <t>Ecole de Clan Mineur de Rang 4</t>
  </si>
  <si>
    <t>Doit appartenir à un Clan Mineur</t>
  </si>
  <si>
    <t>Lorsque vous conversez avec des Samurai de Clans Majeurs ou Impériaux, +3g0 à tous les Tests d'Opposition Sociaux recourant à Sincérité ou Etiquette</t>
  </si>
  <si>
    <t>Maître du Savoir Asako 2</t>
  </si>
  <si>
    <t>Courtisan (Piège Rhétorique) 2, Etiquette 3</t>
  </si>
  <si>
    <t>Les Vents de la Rhétorique</t>
  </si>
  <si>
    <t>Bushi Shiba 2</t>
  </si>
  <si>
    <t>Defense 2, Etiquette 2</t>
  </si>
  <si>
    <t>+1g1 à tous les Tests d'Opposition Sociaux requiérant Etiquette</t>
  </si>
  <si>
    <t>Les Cours de Kudo Mura</t>
  </si>
  <si>
    <t>Bushi Bayushi 4</t>
  </si>
  <si>
    <t>Je Suis une Arme</t>
  </si>
  <si>
    <t>Jamais Hors de Ma Portée</t>
  </si>
  <si>
    <t>Ninjutsu 3</t>
  </si>
  <si>
    <t>Vous pouvez effectuer une attaque au CàC au prix d'une AS au lieu d'une AC avec un Katana ou une Arme "Ninja". +1g1 aux attaques et Dommages des Armes "Ninja"</t>
  </si>
  <si>
    <t>Eclaireur Hiruma 4, Bushi Hiruma 4</t>
  </si>
  <si>
    <t>Bushi Hiruma 4, Eclaireur Hiruma  4</t>
  </si>
  <si>
    <t>Bushi Hida 2, Courisan Yasuki 2</t>
  </si>
  <si>
    <t>Bushi Toritaka 2, Eclaireur Hiruma 2, Bushi Hiruma 2</t>
  </si>
  <si>
    <t>Bushi Hida 2, Bushi Hiruma 2</t>
  </si>
  <si>
    <t>Ecole de Moine de la Confrérie de Rang 5, Ecole de Ronin de Rang 5.</t>
  </si>
  <si>
    <t>Guerrier de Fer Daidoji 4, Magistrat Doji 4</t>
  </si>
  <si>
    <t>Courtisan Doji  3, Magistrat Doji  3, Guerrier de Fer Daidoji 3, Eclaireur Daidoji 3</t>
  </si>
  <si>
    <t>Bushi Moto 2, Bushi Shinjo 2</t>
  </si>
  <si>
    <t>Berserker Matsu  2, Bushi Akodo  2, Dompteur Matsu 2</t>
  </si>
  <si>
    <t>Bushi Akodo 4, Maître tacticien Akodo 2</t>
  </si>
  <si>
    <t>Portée</t>
  </si>
  <si>
    <t>Durée</t>
  </si>
  <si>
    <t>6m</t>
  </si>
  <si>
    <t xml:space="preserve">1 double illusoire </t>
  </si>
  <si>
    <t>Zone d'effet (+1 double/2A), Portée (+1,5m), Spécial</t>
  </si>
  <si>
    <t>Perso/Contact</t>
  </si>
  <si>
    <t>5 min</t>
  </si>
  <si>
    <t>Durée (+1 minute)</t>
  </si>
  <si>
    <t>Rg. de Maîtirse X 16km</t>
  </si>
  <si>
    <t>Zone d'effet (+1 invididu), Portée (+16 km)</t>
  </si>
  <si>
    <t xml:space="preserve">Crée un oiseau illusoire qui portera un message d'une minute à un individu désigné. Si l'oiseau subit des dégâts il disparait. Il attendra de pouvoir atteindre ca cible durant 1 semaine maximum. Il délivre son message sous le forme d'un murmure puis disparait. </t>
  </si>
  <si>
    <t>3m</t>
  </si>
  <si>
    <t>1 créature</t>
  </si>
  <si>
    <t>Portée (+3m)</t>
  </si>
  <si>
    <t>Personnel</t>
  </si>
  <si>
    <t>Rayon de 6m centré sur le lanceur</t>
  </si>
  <si>
    <t>1 min</t>
  </si>
  <si>
    <t>Zone d'effet (Rayon +1,5m), Durée (+1 min.)</t>
  </si>
  <si>
    <t>Contact</t>
  </si>
  <si>
    <t>1 objet</t>
  </si>
  <si>
    <t>1 heure</t>
  </si>
  <si>
    <t>Durée (+1 heure)</t>
  </si>
  <si>
    <t>Vous rendez un objet non-vivant plus petit que vous invisible à la vue des créatures mortelles. L'objet devient invisible à l'oeil nu mais toute tentative de le voir par magie aboutira si le Niv. de Maitrise du sort est &gt;1. L'objet est toujours présent et peut être détecté autrement que par la vue.</t>
  </si>
  <si>
    <t>1 petit objet illusoire (30 dm³)</t>
  </si>
  <si>
    <t>Zone d'effet (+30 dm³), Durée (+1h)</t>
  </si>
  <si>
    <t>Cone de 22,5m de long et 4,5m de large</t>
  </si>
  <si>
    <t>Zone d'effet (+1,5m de largeur), Dommages (+1g0), Portéé (+1,5m), Spécial</t>
  </si>
  <si>
    <t>Instant.</t>
  </si>
  <si>
    <t>Rayon de 3m centré sur le lanceur</t>
  </si>
  <si>
    <t>3A pour cibler une autre personne que vous</t>
  </si>
  <si>
    <t>Personnel ou 6m</t>
  </si>
  <si>
    <t>1 arme crée</t>
  </si>
  <si>
    <t>Vous invoquez une arme tourbillonante faire d'Air pur. Sa forme par défaut est celle d'un yari et a une VD de 1g1. Si vous ne disposez pas de la Compétence Lances, utilisez votre Rg. de Maitrise à la place. Si vous avez cette compétence, AG pour Manoeuvre de Feinte ou Dommages Augmentés.</t>
  </si>
  <si>
    <t>Rayon de 3m</t>
  </si>
  <si>
    <t>Zone d'effet (+1,5m), Durée (+1 min), Portée (+1,5m)</t>
  </si>
  <si>
    <t>Vous pouvez créer une illusion représentant n'importe quel objet, individu ou image issu de votre imagination. Ces images doivent êtres immobiles et contenues dans le zone d'effet du sort. Il s'agit uniquement d'illusions visuelles, sans composante auditive, tactile ou olfactive.</t>
  </si>
  <si>
    <t>Portée (+1,5m pour 1 seule A)</t>
  </si>
  <si>
    <t>Durée (+1 minute), Portée (+1,5m)</t>
  </si>
  <si>
    <t>La cible de ce sort arrive à voler dans une certaine mesure ce qui lui permet de se déplacer sans encombre. Elle peut effectuer des actions de mvmt gratuites mais pas simples et ne peut se déplacer que de 3m par Round. A la fin du sort la cible est déposée au sol sans encombre quelle que soit son altitude.</t>
  </si>
  <si>
    <t>1 Round</t>
  </si>
  <si>
    <t>1,5 m</t>
  </si>
  <si>
    <t>Zone d'effet (+1,5m), Durée (+1 round), Portée (+1,5m)</t>
  </si>
  <si>
    <t>Vous pouvez demander à un kami de créer un son illusoire qu'il s'agisse d'une voix ou d'un son naturel comme un animal qui gronde ou le bruissement d'un ruisseau. Ne peut être plus fort qu'une voix normale, se limite à 20 mots et ne peut imiter une personne particulière.</t>
  </si>
  <si>
    <t>Le Shugenja</t>
  </si>
  <si>
    <t>10 min</t>
  </si>
  <si>
    <t>Portée (2A pr cilber une autre personne), Durée (+5 min), Spécial (+1Rg d'Honneur/2A)</t>
  </si>
  <si>
    <t>Rayon de 6m</t>
  </si>
  <si>
    <t>16 km</t>
  </si>
  <si>
    <t>Zone d'effet (+1,5m de rayon), Portée (+8km)</t>
  </si>
  <si>
    <t>Portée (+1,5m)</t>
  </si>
  <si>
    <t>Zone d'effet (3A pr cilber une autre personne), Durée (+5 min)</t>
  </si>
  <si>
    <t>Vous faites appel aux kamis pour qu'is modifient subtilement les traits de votre visage pour vous faire passer pour qqun d'autre. Ne permet pas d'imiter une personne spécifique mais seulement de prendre l'apparence d'une personne de même âge, sexe, stature et race que vous.</t>
  </si>
  <si>
    <t>15m</t>
  </si>
  <si>
    <t>30m</t>
  </si>
  <si>
    <t>Rayon de 15m</t>
  </si>
  <si>
    <t>Zone d'effet (+1,5m), Durée (+1 min), Portée (+3m)</t>
  </si>
  <si>
    <t>Dans le Zone d'effet du sort, on ne voit pas à plus de 1,5m devant soi. Les tissus et autres matériaux absorbants dans la zone deveinnent moites. Les petites flammes (comme une bougie) s'éteignent spontanément. L'humidité ambiante se montre extrêmement néfaste pour le papier de riz.</t>
  </si>
  <si>
    <t>3 Rounds</t>
  </si>
  <si>
    <t>Durée (+1 Round)</t>
  </si>
  <si>
    <t>Vous invoquez des rafales de vents qui vous entourent comme une gangue d'air tourbillonante. Votre ND d'armure augmente de +20 contre les attaques à distance et au CàC. La force des vents qui vous entoure vous empêche toutefois d'entendre ceux qui vous entourent.</t>
  </si>
  <si>
    <t>7,5m</t>
  </si>
  <si>
    <t>5 Rounds</t>
  </si>
  <si>
    <t>Durée (+1 Round), Portée (+1,5m)</t>
  </si>
  <si>
    <t>Vous invoquez les kamis pour qu'ils prennent la forme de ce que votre cible craint le plus au monde. Cela génère un effet de Peur 4 que la cible doit surmonter. Seule la cible voit les détails de l'illusion, les autres ne peçoivent qu'une silhouette ressemblant à un nuage de brume.</t>
  </si>
  <si>
    <t>Vous devenez immatériel. Vous ne pouvez plus interagir avec les objets physiques, votre Anneau d'Eau est réduit de moitié et ne pouvez pas lancer d'autre sort tant que vous êtes dématérialisé mais restez posé sur le sol et pouvez traverser des objets solides à une vitesse de 30cm par Round. .</t>
  </si>
  <si>
    <t>Zone d'effet (2A pr cilber une autre personne), Durée (+10 min)</t>
  </si>
  <si>
    <t>Vous pouvez utiliser ce sort pour adopter l'apparence de n'importe quelle créature humanoïde de même taille approximative que vous à 30cm près. Vous pouvez donc pendre l'apparence d'un kenku, naga ou nezumi mais pas d'un ogre ou d'un gobelin car ceux-ci sont trops grands ou trop petits.</t>
  </si>
  <si>
    <t>Spéciale</t>
  </si>
  <si>
    <t>Durée (+1 min)</t>
  </si>
  <si>
    <t xml:space="preserve">Les kamis vous entourent et vous rendent complètement invisible. Aucune vision non magique ne peut détecter votre présence. On peut toujours vous entendre, vous toucher ou vous sentir mais à moins que vous n'attaquiez vous restez invisible durant toute la durée du sort. </t>
  </si>
  <si>
    <t>1 objet tenu en main</t>
  </si>
  <si>
    <t>Durée (+10 min)</t>
  </si>
  <si>
    <t>Vous pouvez créer un petit objet que vous pouvez tenir d'une main et de maximum 10kg à partir de l'air lui-même. Cette création se comporte comme un objet physique normal et inflige des dégâts s'il s'agit d'une arme. L'objet disparait complètement à la fin du sort.</t>
  </si>
  <si>
    <t>Vous entendez toutes les pensées de la cible. Par ex. si vous demandez à votre cible le nom de sa fille, celui-ci apparait dans votre esprit même si la cible n'avait pas l'intention de vous le révéler. Jet d'Opposition de Perception vs. Intimidation de votre cible pr. connaitre son véritable état émotionnel.</t>
  </si>
  <si>
    <t>75m</t>
  </si>
  <si>
    <t>Rayon de 30m</t>
  </si>
  <si>
    <t>Zone d'effet (+3m de rayon), Durée (+10 min)</t>
  </si>
  <si>
    <t>Vous pouvez créer une illusion pour modifier totalement l'apparence du terrain dans la zone d'effet du sort. Un sinistre marécage pat apparaitre comme un jardin luxuriant, odeur et sons compris. Ces illusions n'ont toutefois aucune substace et on ne peut pas les toucher.</t>
  </si>
  <si>
    <t>Perman.</t>
  </si>
  <si>
    <t>9m</t>
  </si>
  <si>
    <t>9 m</t>
  </si>
  <si>
    <t>Couloir d'Air de 3m de diamètre</t>
  </si>
  <si>
    <t>Zone d'effet (+90 cm de diamètre), Dommages (+1g0 par 3A)</t>
  </si>
  <si>
    <t>30 m</t>
  </si>
  <si>
    <t>Rayon de 9m</t>
  </si>
  <si>
    <t>Zone d'effet (+1,5m de rayon), Portée (+3m)</t>
  </si>
  <si>
    <t>Vous pouvez communiquer avec une personne que vous connaissez à l'autre bout de l'Empire par l'intermédiaire des kamis qui établissent un lien avec une autre personne. Vous percevez les réponses comme des murmures et quiconque peut mettre un terme à la conversation selon son désir.</t>
  </si>
  <si>
    <t>Spécial (+1 journée d'effet)</t>
  </si>
  <si>
    <t>Test d'opposition en Air contre la Terre de la cible. En cas de succès, ce sort plonge la cible est incapable de se souvenir de ce qui s'est passé ces 5 derniers jours et la rends aussi très vulnérable aux suggestions. Il est détectable par une question précise aux kamis par le sort de Communion.</t>
  </si>
  <si>
    <t>Zone d'effet (+1,5m), Durée (+1min)</t>
  </si>
  <si>
    <t>Permet d'incarner un esprit de l'Air sous une forme humanoïde qui combattra pour vous (voir Core p.173 pour les statistiques du golem)</t>
  </si>
  <si>
    <t>Rayon de 1,6 km centré sur le lanceur</t>
  </si>
  <si>
    <t>Vous invoquez un typhon dont l'œil est centré sur vous et d'un rayon de 6m. Les objets de moins de 250kg sont soulévés et projetés. Tout individu doit d'accrocher à un point fixe pour éviter une mort certaine subissant 1g1 blessure par minute. +1 Chance sur 10 de subir 5g5 par un débris. Max 1X/mois</t>
  </si>
  <si>
    <t>Rayon de 30 m centré sur le lanceur</t>
  </si>
  <si>
    <t>Zone d'effet (+3m), Spécial (+5 silhouettes par A)</t>
  </si>
  <si>
    <t>Vous invoquez une arme tourbillonante faire d'Eau pure. Sa forme par défaut est celle d'un Bo et a une VD de 1g2. Si vous ne disposez pas de la Compétence Bâtons, utilisez votre Rg. de Maitrise à la place. Si vous avez cette compétence, AG pour Manoeuvre de Renversement.</t>
  </si>
  <si>
    <t>Ce sort permet à la cible d'effectuer une Action de Mouvement Gratuite pour se déplacer sur une distance égale à son anneau d'Eau X3m. Si vous ne déclarez pas d'A à l'incantation du sort, cet avantage doit être utilisé au prochain tour ou est perdu.</t>
  </si>
  <si>
    <t>2 Rounds</t>
  </si>
  <si>
    <t>Zone d'effet (+1,5m), Durée (+1 Round pour 2A)</t>
  </si>
  <si>
    <t>L'un des atouts de l'Eau réside dans sa vitesse. Tous les alliés situés dans la zone d'effet du sort bénéficient d'un bonus de +5 à leur score d'Initiative pendant la durée du sort.</t>
  </si>
  <si>
    <t>Portée (+1,5m), Spécial (Action en AS au lieu d'AC pour 5A)</t>
  </si>
  <si>
    <t>Pendant toute la durée de ce sort, la cible peut immédiatement relancer un jet de dés par Round. Elle doit le faire immédiatement après son 1er jet de dés et peut garder le résultat de son choix.</t>
  </si>
  <si>
    <t>Portée (+1,5m), Spécial (Transférer d'une cible consentante à une autre pr 3A)</t>
  </si>
  <si>
    <t>L'énergie relie les êtres vivants et les parcours comme l'eau traverse la Terre. Vous pouvez transférer l'effet d'un sort dont vous bénéficiez actuellement à la cible consentante de ce sort.</t>
  </si>
  <si>
    <t>Durée (+10 min), Portéé (+3m pour 2Aà</t>
  </si>
  <si>
    <t>16km</t>
  </si>
  <si>
    <t>Durée (+1 min), Portée (+16 km)</t>
  </si>
  <si>
    <t>Vous pouvez scruter à travers une étendue d'eau qui n'a pas basoin d'être plus vaste qu'une flaque et y voir un endroit qui vous est familier comme si vous vous y trouviez mais n'entendez rien. Plus l'étendue d'eau est vaste et plus les images seront claires.</t>
  </si>
  <si>
    <t>Nourriture et boissons crées</t>
  </si>
  <si>
    <t>Spécial (assez de nourriture pour 1 pers suppl. par A)</t>
  </si>
  <si>
    <t>Spécial (Cible une personne suppl. par 2A)</t>
  </si>
  <si>
    <t xml:space="preserve">La cible de ce sort est instantanément rafraichie comme si elle venait de se réveiller après une bonne nuit de sommeil. Ne restaure pas les Pvides ni les capacités limitées par jour mais permets d'éliminer la fatigue et l'épuisement. Restaure uniquement les emplacements de Vide mais pas les autres. </t>
  </si>
  <si>
    <t>Portée (+3,2km)</t>
  </si>
  <si>
    <t>Ce sort vous permets de chercher les esprits de l'Eau à l'intérieur d'un objet unique et spécifique. Vous devez bien connaitre cet objet. S'il se trouve à portée du sort, vous savez dans quelle direction et à quelle distance il se trouve par rapport à vous.</t>
  </si>
  <si>
    <t>Portée (+3m par 3A)</t>
  </si>
  <si>
    <t>La cible de ce sort bénéficie d'une AS durant l'étape de Réactions du Round uniquement pour porter une attaque. Si la cible ne peut effectuer d'attaque au moyen d'une AS, le sort lui confère une AC à la place. Ce sort ne peut pas donner à un shugenja la capacité de lancer un second sort au même Round.</t>
  </si>
  <si>
    <t>Durée (+30 min), Cible (Peut cibler autrui pour 2A)</t>
  </si>
  <si>
    <t>Spécial (Anneau d'Eau +1 par 2A)</t>
  </si>
  <si>
    <t>Durée (+1 min), Cible (+1 individu par A)</t>
  </si>
  <si>
    <t>Durée (+1 Round), Portée (passe à 3m pour 2A)</t>
  </si>
  <si>
    <t>La cible de ce sort ignore tous les malus dus aux Blessures déjà subits avant le sort. Si la cible subit d'autres malus durant le sort ceux-ci sont appliquées normalement: le malus effectif se calcule en faisant la différence entre les malus annulés et les nouveaux. Cet effet ne guérit pas les dommages.</t>
  </si>
  <si>
    <t>Après avoir lancé ce sort avec succès vs pouvez imment lancer un 2ème sort de n'importe quel élément d'un niveau de maîtrise &lt;3, si la 2ème incantation est réussie, le sort someille en vous jusqu'à ce que survienne un effet spécifié lors de l'incantation. Un perso ne peut bénéficier que d'un sort stocké à la fois.</t>
  </si>
  <si>
    <t>Cône mesurant 3m de diamètre issu du lanceur</t>
  </si>
  <si>
    <t>Dommages (+1g0),Portée (+1,5m), Spécial (+5 au ND du jet de Terre par A)</t>
  </si>
  <si>
    <t>Dommages (+1g0), Durée (+5 min), Portée (+1,5m), Forme</t>
  </si>
  <si>
    <t xml:space="preserve"> (Anneau d'Eau +1 par A)</t>
  </si>
  <si>
    <t>Ce sort nécéssite un grand bassin d'eau immobile où plonger votre regard. Une fois le sort accompli, vous voyez des images d'évènements à venir. Ces images sont rarement directes et souvent symboliques mais se réaliseront si vous n'intervenez pas directement.</t>
  </si>
  <si>
    <t>Nbre d'invididus égal au Rg. de Maîtrise</t>
  </si>
  <si>
    <t>1 Round par Rg. de Maîtrise</t>
  </si>
  <si>
    <t>Durée (+1 Round), Spécial (+1g0 guéri par 2A)</t>
  </si>
  <si>
    <t>Le Dragon de l'Eau est une entité bienveillante aux bienfaits inestimables. Chaque fois qu'une cible de e sort subit des Blesures pdt que le sort est actif, elle regagne automatiquement 1g1 Blessures.</t>
  </si>
  <si>
    <t>160km</t>
  </si>
  <si>
    <t>2 étendues d'eau</t>
  </si>
  <si>
    <t>Portée (+16km)</t>
  </si>
  <si>
    <t>Tous les alliés choisis dans un rayon de 15m autour du lanceur de sort</t>
  </si>
  <si>
    <t>Durée (+1 Round par 2A)</t>
  </si>
  <si>
    <t>Ce sort augmente la rapidité de déplacement de tous les alliés situés à portée. Tous ceux affectés par le sort peuvent se déplacer sur une distance égale à leur Anneau d'Eau X3 au prix d'une ActG (alors qu'il s'agit normalement d'une AS)</t>
  </si>
  <si>
    <t>1 Jour</t>
  </si>
  <si>
    <t>Spécial (+1 empl de Sort Suppl. par 5 A)</t>
  </si>
  <si>
    <t>Vous remplissez les poumons de la cible d'eau de mer. Elle ne peut rien faire d'autre qu'un jet de Constitution de ND 15 pour y résister. Si elle subit 2 échecs consécutifs la cible tombe inconsciente et meut en 1min à moins de subir une intervention médicale d'un ND de 50 ou magique.</t>
  </si>
  <si>
    <t>Rayon de 30m centré sur le lanceur de sort</t>
  </si>
  <si>
    <t>Nbre d'invididus égal ou &lt; à l'Anneau d'Eau du lanceur</t>
  </si>
  <si>
    <t>Zone d'effet (+3m), Cible (+1 par 2A)</t>
  </si>
  <si>
    <t>Nbre de jours= Votre Rg/ de maîtrise</t>
  </si>
  <si>
    <t>Durée (+1 jour par 2A)</t>
  </si>
  <si>
    <t>L'ultime bienveilance du Dragon de l'Eau n'a pas de limites. La cible est totalement guérie insantanément de toute maladie, son corps est purgé de tous les poisons et toutes les Blessures sont entièrement soignées.</t>
  </si>
  <si>
    <t>1 arme de CàC dans la main du lanceur de sort</t>
  </si>
  <si>
    <t>Durée (+2 min)</t>
  </si>
  <si>
    <t>L'arme enchantée s'enveloppe de flammes et bénéficie d'un bonus de +1g1 aux jets d'attaque de CàC ou de +2g2 à la place contre les adversaires Montés ou plus grands que les humains. Si vous lachez l'arme, le sort prends fin.</t>
  </si>
  <si>
    <t>Confession</t>
  </si>
  <si>
    <t>Chasse aux monstres</t>
  </si>
  <si>
    <t>Vous êtes à votre insu un Agent suicidaire Dormant du Kolat</t>
  </si>
  <si>
    <t>Tout adversaire qui use de Tentation (Corruption) contre vous a un bonus de +1g1</t>
  </si>
  <si>
    <t>Test de Volonté ND 20 ou vous provoquez une catastrophe involontaire avec les sorts d'un élément chosi</t>
  </si>
  <si>
    <t>Test de Volonté ND 25 ou vous provoquez une catastrophe involontaire avec les sorts d'un élément chosi</t>
  </si>
  <si>
    <t>Test de Volonté ND 30 ou vous provoquez une catastrophe involontaire avec les sorts d'un élément chosi</t>
  </si>
  <si>
    <t>Test de Volonté ND 35 ou vous provoquez une catastrophe involontaire avec les sorts d'un élément chosi</t>
  </si>
  <si>
    <t>Chantage (Statut de Rang 1)</t>
  </si>
  <si>
    <t>Chantage (Statut de Rang 2)</t>
  </si>
  <si>
    <t>Chantage (Statut de Rang 3)</t>
  </si>
  <si>
    <t>Chantage (Statut de Rang 4)</t>
  </si>
  <si>
    <t>Chantage (Statut de Rang 5)</t>
  </si>
  <si>
    <t>Chantage (Statut de Rang 6)</t>
  </si>
  <si>
    <t>Chantage (Statut de Rang 7)</t>
  </si>
  <si>
    <t>Chantage (Statut de Rang 8)</t>
  </si>
  <si>
    <t>Chantage (Statut de Rang 9)</t>
  </si>
  <si>
    <t>Chantage (Statut de Rang 10)</t>
  </si>
  <si>
    <t>Lien Karmique Mineur</t>
  </si>
  <si>
    <t>1/session, +1g1 à tous les jets d'attaque pour protéger ou vous battre pour une personne choisie</t>
  </si>
  <si>
    <t>Lien Karmique Moyen</t>
  </si>
  <si>
    <t>2/session, +1g1 à tous les jets d'attaque pour protéger ou vous battre pour une personne choisie</t>
  </si>
  <si>
    <t>Lien Karmique Majeur</t>
  </si>
  <si>
    <t>3/session, +1g1 à tous les jets d'attaque pour protéger ou vous battre pour une personne choisie</t>
  </si>
  <si>
    <t>Lien Karmique Extrême</t>
  </si>
  <si>
    <t>Lien Karmique Extraordinaire</t>
  </si>
  <si>
    <t>4/session, +1g1 à tous les jets d'attaque pour protéger ou vous battre pour une personne choisie</t>
  </si>
  <si>
    <t>5/session, +1g1 à tous les jets d'attaque pour protéger ou vous battre pour une personne choisie</t>
  </si>
  <si>
    <t>Riche Extraordinaire</t>
  </si>
  <si>
    <t>+10 Koku à votre capital de départ</t>
  </si>
  <si>
    <t>Honneur Apparent Extraordinaire</t>
  </si>
  <si>
    <t>Augmente virtuellement votre Rang d'Honneur de 5 quand qqun essaie de le deviner.</t>
  </si>
  <si>
    <t>Ajoute +1g0 à tous vos jets de dégâts vs Akashans, Outremonde et Ombre Rampante</t>
  </si>
  <si>
    <t>Permet d'exercer un chantage sur une personne de Rang de Statut 1</t>
  </si>
  <si>
    <t>Permet d'exercer un chantage sur une personne de Rang de Statut 2</t>
  </si>
  <si>
    <t>Permet d'exercer un chantage sur une personne de Rang de Statut 3</t>
  </si>
  <si>
    <t>Permet d'exercer un chantage sur une personne de Rang de Statut 4</t>
  </si>
  <si>
    <t>Permet d'exercer un chantage sur une personne de Rang de Statut 5</t>
  </si>
  <si>
    <t>Permet d'exercer un chantage sur une personne de Rang de Statut 6</t>
  </si>
  <si>
    <t>Permet d'exercer un chantage sur une personne de Rang de Statut 7</t>
  </si>
  <si>
    <t>Permet d'exercer un chantage sur une personne de Rang de Statut 8</t>
  </si>
  <si>
    <t>Permet d'exercer un chantage sur une personne de Rang de Statut 9</t>
  </si>
  <si>
    <t>Permet d'exercer un chantage sur une personne de Rang de Statut 10</t>
  </si>
  <si>
    <t>1 cible</t>
  </si>
  <si>
    <t>Le sort occasionne 2g2 Blessures, les brûlures qu'il inflige sont assez douloureuses. Si le sort est lancé sur un shugenja en train d'incanter, il doit faire un jet de volonté de ND 20 plus les dégâts infligés (au lieu de 10 en temps normal)</t>
  </si>
  <si>
    <t>Zone d'effet (+6m de rayon)</t>
  </si>
  <si>
    <t>Tous les feus non magiques de la zone s'éteignent immédiatement et tous les dégâts infligés par le feu (magiques ou non) voient lers dégâts réduits de 1g1 jusqu'au début du Round suivant</t>
  </si>
  <si>
    <t>Zone d'effet (+1,5m de rayon par 2A)</t>
  </si>
  <si>
    <t>Dommages (+1g0 par 2A)</t>
  </si>
  <si>
    <t>Vous entourez la cible d'un voiles de flammes vives qui la protègent. Quiconque frappe ou est frappé par la cible du sort au Corps à Corps subit 2g2 Blessures. Si la cible pose un objet qu'elle porte tant que le sort est actif elle ne peut pas le reprendre. Les attaques à distance ne sont pas affectées.</t>
  </si>
  <si>
    <t>1 arme ou armure en métal</t>
  </si>
  <si>
    <t>90m</t>
  </si>
  <si>
    <t>Cible (+1)</t>
  </si>
  <si>
    <t>1 arme dotée d'une lame</t>
  </si>
  <si>
    <t>1 amure</t>
  </si>
  <si>
    <t>10 Rounds</t>
  </si>
  <si>
    <t>Durée (+2 Rounds)</t>
  </si>
  <si>
    <t>Cible (+1 par 2A)</t>
  </si>
  <si>
    <t>Rayon de 4,5m autour de l'objet touché</t>
  </si>
  <si>
    <t>15 m</t>
  </si>
  <si>
    <t>24 h</t>
  </si>
  <si>
    <t>Durée (+12h)</t>
  </si>
  <si>
    <t>Tant que le sort fait effet, la cible ne peut pas être guérie par magie. Les sorts, objets ou techniques magiques qui tentent de redonner des blessures échouent automatiquement mais les compétences ordinaires comme la médecine fonctionnent toujours.</t>
  </si>
  <si>
    <t>4 Rounds</t>
  </si>
  <si>
    <t>Ce sort imprègne un objet de l'intellect et de la lucidité du feu. Quiconque porte cet objet voit son intelligence augmenter de 3 tant que perdure le sort.</t>
  </si>
  <si>
    <t>5 Rounds (ou 1 h)</t>
  </si>
  <si>
    <t>Durée (+1 Round) ou (+10 min)</t>
  </si>
  <si>
    <t>1 bâtiment ou une zone de 15mX15m</t>
  </si>
  <si>
    <t>1 arme</t>
  </si>
  <si>
    <t>ND de base</t>
  </si>
  <si>
    <t>ND</t>
  </si>
  <si>
    <t>1 armure</t>
  </si>
  <si>
    <t>Dommages (+1g0 par 2A), Durée (+2 Rounds)</t>
  </si>
  <si>
    <t>L'armure ciblée émet une lumière vive qui devient aveuglante dès que le porteur subit une attaque. Chaque fois que le porteur est attaqué au CàC, l'assaillant subit 2g2 Dommages et est aussi tôt Aveuglé jusqu'à l'étape de Réaction du même Round. Aucun avantage contre les attaques à distance.</t>
  </si>
  <si>
    <t>Zone d'effet (+3m de rayon)</t>
  </si>
  <si>
    <t>Décharge de 4,5 m de long sur 4,5m de large</t>
  </si>
  <si>
    <t>L'armure ciblée émet une aura de flammes magiques qui consument toute arme en bois (y compris les flèches) avant qu'elles ne touchent. Ces flammes ne blessent pas le porteur de l'armure ni les créatures vivantes. Les flammes augmentent également le ND de l'armure de 20.</t>
  </si>
  <si>
    <t>Rayon de 4,5m autour de l'armure</t>
  </si>
  <si>
    <t>Tous ceux qui se trouvent dans un rayon de 4,5m autour d'une armure gravée de ce glyphe sont protégés contre les feux et éclairs non-magiques pdt la durée du sort. Tout sort de feu (autre que les vôtres) qui vise un élément situé ans la zone d'effet voit sa ND augmenter de 20.</t>
  </si>
  <si>
    <t>Zone d'effet (+1 3m de haut, 30 cm d'épaisseur ou 7,5m de long par A)</t>
  </si>
  <si>
    <t>Durée (+1 Round), Cible (+1)</t>
  </si>
  <si>
    <t>Pdt toute la durée de ce sort, la victime cible perçoit une douleur atroce et est considérée comme au Rang de Blessures Epuisé bien que ce sort ne lui inflige aucune blessure. Ce sort est contreversé de par sa capacité à infliger délibérément de la douleur.</t>
  </si>
  <si>
    <t>Invoque un rayon de lumière pure qui inflige 2g2 Blessures à quiconque se trouve dans la zone. Les cibles humaines (et elles seules) subissent 2g1 suppl. par Rg d'Honneur en dessous de 4 et 2g2 Blessures supplémentaires si elles ont au moins 1 Rg. de Souillure. Les cibles avec un Rg. d'Honneur de 0 sont Aveuglées pdt 1 Round.</t>
  </si>
  <si>
    <t>Voir description</t>
  </si>
  <si>
    <t>Dommages (+1g0)</t>
  </si>
  <si>
    <t>Au Round où vous lancez ce sort et au début de chaque Round, désignez une cible à vue dans un rayon de 90m pr projeter vers elle un ruisseau de feu qui se déplace de 22,5m par Round. Une fois à destination: 6g5 Dommages à la cible qui prends feu et subit 1/2 des blessures infligées au 1er Round jusqu'à ce que le feu soit éteint.</t>
  </si>
  <si>
    <t>Rayon de 7,5 m</t>
  </si>
  <si>
    <t>Dommages (+1g1 par 2 A)</t>
  </si>
  <si>
    <t>Invoque une nuée de kamis du feu déchainés. Toute cible située dans la zone d'effet qu'elle soit amicale ou hostile subit 7g7 Blessures car les flammes déchainées ne font aucune différence entre alliés et ennemis. Vous seul ne subissez aucune blessure.</t>
  </si>
  <si>
    <t>150m</t>
  </si>
  <si>
    <t>1,6 km</t>
  </si>
  <si>
    <t>Pendant la durée de ce sort, tous les bâtiments itués dans la zone d'effet sont immunisés contre les feux magiques et tous les sorts de feu lancés dans cette zone voient leur ND augmenter de +15. Les feux ordinaires peuvent toujours être allumés mais semblent brûler au ralenti et ne se propagent pas facilement.</t>
  </si>
  <si>
    <t>Durée (+1 Round par 3A)</t>
  </si>
  <si>
    <t>60m</t>
  </si>
  <si>
    <t>Cette prière crée une rafale de Feu qui frappe la cible choisie et lui inflige 10g10 Blessures. Ce sort plonge tous les kamis du feu dans la zone dans un état de violente agitation et toutes les flammes à portée s'intensifient et s'agitent durant de longues minutes après que ce sort ait été lancé.</t>
  </si>
  <si>
    <t>Durée (+1/2 heure)</t>
  </si>
  <si>
    <t>Durée (+1/2 heure), Cible (+1 par 2A max 5 cibles)</t>
  </si>
  <si>
    <t>Si la cible subit les effets d'un poison ou d'une toxine durant les effets du sort ou qu'elle est déjà sos l'emprise d'une telle substance, elle gagne un bonus de +2g0 à sa Constitution pour y résister. Guérit également l'ébriété, rendant impossible d'intoxiquer la cible pendant la durée du sort.</t>
  </si>
  <si>
    <t>2 heures</t>
  </si>
  <si>
    <t>Durée (+1 heure), Portée (+6m)</t>
  </si>
  <si>
    <t>Nbre de cibles &lt; Rg. de Maîtrise</t>
  </si>
  <si>
    <t>Durée (+1 min), Cibles (+1)</t>
  </si>
  <si>
    <t>18m</t>
  </si>
  <si>
    <t>Dommages (+1g0), Portée (+3m), Cible +1, max 5 cibles)</t>
  </si>
  <si>
    <t>Durée (+1/2 heure), Cible (+1 par 2A)</t>
  </si>
  <si>
    <t>Durée (+1/2 heure), Cible (+1 par 2A max 3 cibles)</t>
  </si>
  <si>
    <t>Pendant la durée de ce sort l'un des Traits associés à la Terre (au choix du shugenja) de la cible (qui peut-être le shugenja) augmente de 1. N'affecte pas l'anneau lui-même mais permet d'améliorer la résistance aux poisons, maladies, tentations, et effets de domination</t>
  </si>
  <si>
    <t>6 Rounds</t>
  </si>
  <si>
    <t>Durée (+2 Rounds), Portée (+3m), Cible (+1, max 4 cibles)</t>
  </si>
  <si>
    <t>Vous invoquez une arme tourbillonante faire de Terre pure. Sa forme par défaut est celle d'un tetsubo et a une VD de 1g2. Si vous ne disposez pas de la Compétence Armes Lourdes, utilisez votre Rg. de Maitrise à la place. Si vous avez cette compétence,  AG pour Manoeuvre de Renversement.</t>
  </si>
  <si>
    <t>Durée (+1 Round), Portée (+1,5m), Cible (+1 par 2A)</t>
  </si>
  <si>
    <t>Pendant toute la durée de ce sort, la cible gagne une Réduction égale à 5X votre Rang de Maîtrise pour un maximum de 20. Toutefois la cible ne peut entreprendre aucune action de mouvement simple durant toute la durée du sort. Seul un allié consentant peut être la cible de ce sort.</t>
  </si>
  <si>
    <t>Dommages (+1g0), Cible (+1), Spécial (produit de la jade pr 2A)</t>
  </si>
  <si>
    <t>Durée (+5 min)</t>
  </si>
  <si>
    <t>Durée (+1/2 heure), Cible (+1 par 2 A)</t>
  </si>
  <si>
    <t>Durée (+1 min), Portée (+1,5m), Cible (+1 par 2 A)</t>
  </si>
  <si>
    <t>Durée (+1 Round, max 4 Rounds)</t>
  </si>
  <si>
    <t>Durée (+1 heure), Cible (+1)</t>
  </si>
  <si>
    <t>Un nbre d'h= Rg. De Maîtrise</t>
  </si>
  <si>
    <t>30 jours</t>
  </si>
  <si>
    <t>Durée (+1 jour), Portée (+3m), Cible (+1 par 2A)</t>
  </si>
  <si>
    <t>Ce sort nécéssite 10 minutes pour être lancé -1min par shugenja qui assiste le lancer. Toute créature issue de Sakkaru, Chikushudo, Gaki-do, Toshigoku ou Yume-do à portée du lanceur de sort ne peut être liée ou renvoyée. Si on lie à créature elle doit obéir aux ordres du lanceur.</t>
  </si>
  <si>
    <t>Portée (+3 m), Cible (+1)</t>
  </si>
  <si>
    <t>L'Anneau de Terre de la cible et son Rang de Force sont réduit de 1 ce qui signifie que tous ses Rangs de Blessure perdent en conséquence pendant toute la durée du sort. Si la créature ciblée à au moins 1 Rang complet de Souillure, les esprits réduisent sont Anneau de Terre de 2 au lieu de 1. (Minimum 1 en Terre)</t>
  </si>
  <si>
    <t>6 personnes à portée</t>
  </si>
  <si>
    <t>Rayon de 3m autour du lanceur de sort</t>
  </si>
  <si>
    <t>Zone d'effet (+1,5m de rayon par 2A), Spécial (Dmg réduits de -1g1 suppl. par 2A)</t>
  </si>
  <si>
    <t>Rayon de 15m autour du lanceur de sort</t>
  </si>
  <si>
    <t>Durée (+1 Round), Portée (+1,5m), Cible (+1 par 2A), Spécial (+1 Terre par 2A max 3)</t>
  </si>
  <si>
    <t>Chaque fois que le lanceur subit des dégâts issus d'une attaque physique, l'Anneau de la terre est considéré comme d'1 Rang supplémentaire, augmentant les blessures en conséquence. Toutefois quand le sort s'achève, les Blessures reviennent à la normale ce qui peut tuer la cible si elle a encaissé trop de dommages.</t>
  </si>
  <si>
    <t>1 mur de 3m de haut et 30m de long</t>
  </si>
  <si>
    <t>Zone d'effet (+30 cm hauteur ou +3m longueur ), Durée (+1 min), Portée (+3m)</t>
  </si>
  <si>
    <t>Conc.</t>
  </si>
  <si>
    <t>Conc. (Spécial)</t>
  </si>
  <si>
    <t>Conc.+ 5min</t>
  </si>
  <si>
    <t>Portée (+3m), Spécial (Jet d'Op +1g1 pr la lanceur par A)</t>
  </si>
  <si>
    <t>12 heures</t>
  </si>
  <si>
    <t>1 créature de l'Outremonde</t>
  </si>
  <si>
    <t>Durée (+1 heure), Portée (+15m)</t>
  </si>
  <si>
    <t>Toute créature de l'Outremonde y compris les Damnés, ni les Seigneurs Onis et leurs rejetons sont affectées. Si le sort est lancé avec succès, il invoque des menotes de fer qui emprisonnent la cible et la rendent impuissante tant que dure le sort.</t>
  </si>
  <si>
    <t>Durée (+1 Round), Portée (+3m)</t>
  </si>
  <si>
    <t>Core (V.O)</t>
  </si>
  <si>
    <t>Durée (+1 Round), Portée (+3m), Cible (+1 par 2A), Spécial (Jet d'Op +1g1 pr la lanceur par A)</t>
  </si>
  <si>
    <t>Si les ciblent manquent un test d'Opposition de Terre contre le lanceur de sort, leur Anneau de Terre est réduit de 1 ce qui signifie que tous leurs Rangs de Blessure perdent en conséquence pendant toute la durée du sort. (Minimum 1 en Terre)</t>
  </si>
  <si>
    <t>Zone d'effet (+500m), Durée (+1 min par 2A)</t>
  </si>
  <si>
    <t>Permet d'incarner un esprit de l'Eau sous une forme humanoïde qui combattra pour vous (voir Core p.173 pour les statistiques du golem)</t>
  </si>
  <si>
    <t>Permet d'incarner un esprit de la Terre sous une forme humanoïde qui combattra pour vous (voir Core p.192 pour les statistiques du golem)</t>
  </si>
  <si>
    <t>Essence du Jade</t>
  </si>
  <si>
    <t>Durée (+1 Round), Portée (+3m), Cible (+1), Spécial (Absorption de dmgs +10)</t>
  </si>
  <si>
    <t>Durée (+1 Round), Portée (+1,5m), Cible (+1 par 2A, max 3 cibles)</t>
  </si>
  <si>
    <t>Le dragon de la Terre enveloppe la cible et la protège des nuisances. Les esprits de la terre absorbent jusqu'à 100 dommages tant que perdure le sort, ensuite il s'achève immédiatement. Toutefois les nemunanai peuvent franchir cet obstacle.</t>
  </si>
  <si>
    <t>Portée (+1,5m), Spécial (jet d'opposition +1g1 par A)</t>
  </si>
  <si>
    <t>Spécial (+1 ou 2A pour cibler un kami, +1 question ou réponse + précise)</t>
  </si>
  <si>
    <t>Ce sort permet de commniquer avec un kami d'un élément (sauf le Vide) qui répondra à 2 questions. Les kamis n'oublient jamais rien mais n'ont pas la même notion du temps que les mortels et il faut généralement déclarer des A pour bien se faire comprendre. La nature de leur réponse et leur comportement dépend de leur type.</t>
  </si>
  <si>
    <t>30 dm³</t>
  </si>
  <si>
    <t>Portée (+3m), Quantité (+30 dm³), Composition (+1 à 4A)</t>
  </si>
  <si>
    <t>4,5m</t>
  </si>
  <si>
    <t>Durée (+1min)</t>
  </si>
  <si>
    <t>Spécial (+1PVide gagné par 3A)</t>
  </si>
  <si>
    <t>Portée (+1,5m), Spécial (1 avtg/davtg par A)</t>
  </si>
  <si>
    <t>Vous apprenez l'avantage ou le désavantage ayant la valeur la plus élevée de la cible.</t>
  </si>
  <si>
    <t>Rayon de 7,5 m autour du lanceur de sort</t>
  </si>
  <si>
    <t>Zone d'effet (+1,5m de rayon)</t>
  </si>
  <si>
    <t>Quantité (+30 dm³)</t>
  </si>
  <si>
    <t>80km</t>
  </si>
  <si>
    <t>Durée (+1 Round), Portée (+8km)</t>
  </si>
  <si>
    <t>Vous examinez les liens qu'un individu entretien avec le vide et vous apprenez la valeur des Anneaux de la cible (mais pas ses Traits), son malus aux blessures actuel ainsi qu'un mot résumant son humeur immédiate.</t>
  </si>
  <si>
    <t>Zone d'effet (+500g par 2 A), Portée (+1,5m)</t>
  </si>
  <si>
    <t>Vous pouvez manipuler des objets par l'intermédiaire du vide et les déplacer sans les toucher. Il s'agit de petits objets de maximum 2,5kg mais un shugenja puissant peut déclarer assez d'A pour déplacer des objets plus lourds.</t>
  </si>
  <si>
    <t>Le cible de ce sort répète mot pour mot la dernière phrase que vous venez de prononcer sans s'y attendre le moins du monde. Elle parle de sa voix ordinaire. Cet effet ne permet pas à la cible de lancer un sort pour vous-même si vous venez d'incanter. L'effet de ce sort ne se produit qu'une seule fois à la 1ère phrase que vous énoncez.</t>
  </si>
  <si>
    <t>Pendant la durée du sort vous pouvez lancer des sorts des autres éléments sans prononcer vos prières à haute voix. Ceci ne s'applique qu'aux sorts de niveau de maitrise inférieur ou égal à celui-ci (c'est-à-dire égal à 1 ou 2)</t>
  </si>
  <si>
    <t>En méditant sur un objet vous pouvez avoir une vision de l'individu qui l'a tenu en dernier ou d'un évènement majeur dans lequel il a tenu un rôle. C'est le MJ qui décide du contenu de la vision. Les objets extrêmement importants peuvent confier des visions qui s'imposent pendant une période plus longue que de simples visions.</t>
  </si>
  <si>
    <t>Portée (+1,5 m)</t>
  </si>
  <si>
    <t>Durée (+1 Round/Min), Spécial (+1g1 blessures par 2 A)</t>
  </si>
  <si>
    <t>Portée (+1,5m), Spécial (+1g0 Blessure par 2A)</t>
  </si>
  <si>
    <t>Portée (+1,5m), Cible (+1 esprit)</t>
  </si>
  <si>
    <t>Renforcer le lien qu'un individu entretien avec le vide peut restaurer ses réserves d'énergie intérieure. La cible de ce sort regagne tous ces Pvide perdus pour revenir à son maximum normal.</t>
  </si>
  <si>
    <t>Divisiser l'âme</t>
  </si>
  <si>
    <t>Durée (+1h), Portée (+1,5m)</t>
  </si>
  <si>
    <t>Vous pouvez prendre un objet unique et le transformer en un objet de taille comparable. Ce sort fonctionne sur les objets uniformes et pas sur ceux composés de plusieurs éléments et est inutile sur les matériaux vivants. L'effet est permanant mais peut être inversé si un autre lanceur de sort utilise ce sort sur l'objet.</t>
  </si>
  <si>
    <t>Durée (-5 min au temps d'incantation)</t>
  </si>
  <si>
    <t>Après 1h de rituel, ce sort vous permet d'entrer en harmonie avec le Dragon du Vide et lui poser autant de questions que vous le souhaitez. Celui-ci connait tout ce qu'il est possible de savoir mais n'est pas obligé de vous répondre. Tous ceux qui lui ont manqué de respect ou de déférence ont tout simplement céssé d'exister.</t>
  </si>
  <si>
    <t>1 individu, objet ou créature</t>
  </si>
  <si>
    <t>Spécial (+1h de régression par A)</t>
  </si>
  <si>
    <t>Augmentations/ Ecoles</t>
  </si>
  <si>
    <t>Toutes</t>
  </si>
  <si>
    <t>Lorsque vous adoptez la Posture de d'Attaque, vous pouvez vous déplacer de 1,5m de plus au prix d'une Action Gratuite</t>
  </si>
  <si>
    <t>Bushi Mirumoto, Bushi Shiba</t>
  </si>
  <si>
    <t>Vous pouvez utiliser votre Anneau de Vide à la place de votre score de Réflexes pour votre Jet d'Initiative</t>
  </si>
  <si>
    <t>Bushi Heichi, Bushi Shiba, Guerrier de Fer Daidoji</t>
  </si>
  <si>
    <t>Lorsque vous maniez une arme d'hast ou une Lance, vous pouvez utilsier votre Anneau d'Air à la place de votre Agilité pour les jets d'Attaque</t>
  </si>
  <si>
    <t>Bushi Hida, Bushi Ichiro, Bushi Moto</t>
  </si>
  <si>
    <t>Une fois par Tour, lorsque vous maniez une arme Lourde, vous pouvez utiliser votre Force au lieu de vote Agilité pour un jet d'attaque</t>
  </si>
  <si>
    <t>Berserker Matsu, Bushi Akodo, Bushi Kakita, Vierge de bataille Utaku</t>
  </si>
  <si>
    <t>Une fois par Tour, lorsque vous déterminez des dommages, vous pouvez lancer votre Rang d'Honneur au lieu de votre Force + VD de l'Arme. Vous gardes un nombre de dés égal à la VD de l'arme comme de coutume.</t>
  </si>
  <si>
    <t>Archer Tsuruchi, Bushi Bayushi, Bushi Hiruma, Bushi Yorimoto</t>
  </si>
  <si>
    <t>Berserker Matsu, Bushi Daigotsu, Bushi Usagi</t>
  </si>
  <si>
    <t>Style des Lames Tournoyantes</t>
  </si>
  <si>
    <t>Bushi Mirumoto, Bushi Yorimoto</t>
  </si>
  <si>
    <t>Une fois par tour si vous maniez une arme dans chaque main vous pouvez entreprendre la manœuvre d'attaque supplémentaire pour 3A au lieu de 5. La seconde attaque est portée au moyen de votre arme secondaire et inflige des dégâts normaux, vous ne pouvez accroite les dommages de cette attaque au moyen d'A.</t>
  </si>
  <si>
    <t>Bushi Hida, Guerrier de Fer Daidoji</t>
  </si>
  <si>
    <t>Lorsque vous adoptez la Posture de Défence, vous pouvez utiliser votre Anneau de Terre à la place de votre Anneau d'Air</t>
  </si>
  <si>
    <t>Bushi Daigotsu, Bushi Hida, Bushi Ichiro, Bushi Moto</t>
  </si>
  <si>
    <t>Bushi Akodo, Bushi Kakita</t>
  </si>
  <si>
    <t>Bushi Bayushi, Bushi Yorimoto</t>
  </si>
  <si>
    <t>Bushi Kakita, Bushi Bayushi</t>
  </si>
  <si>
    <t>Votre Score d'Initiative augmente de 2 lors de la Phase de Réactions de chaque Round de combat. L'effet peut se cumuler de Round en Round mais disparait dès que le kata n'agit plus.</t>
  </si>
  <si>
    <t>Bannissement des Ténèbres</t>
  </si>
  <si>
    <t>Grand Silence</t>
  </si>
  <si>
    <t>Spécial (+1 information)</t>
  </si>
  <si>
    <t>Lorsque vous active ce kiho, vous pouvez dépenser un Pvide pour interrompre un adversaire qui annonce une attaque de corps à corps contre vous sous réserve qu'il n'ai pas encore joué durant ce tour de combat. Vous pouvez entreprendre una action de mouvement pour vous écarter ou lui porter une attaque à mains nues.</t>
  </si>
  <si>
    <t>Bushi Hida, Bushi Hiruma, Berserker Matsu, Bushi Ichiro</t>
  </si>
  <si>
    <t>Bushi Hida, Eclaireur Hiruma, Bushi Shiba, Guerrier de Fer Daidoji</t>
  </si>
  <si>
    <t>Bushi Hida, Pragmatiste Hida, Bushi Shiba, Guerrier de Fer Daidoji</t>
  </si>
  <si>
    <t>Bushi Hida, Bushi Hiruma, Bushi Ichiro, Bushi Moto, Vindicateur Moto</t>
  </si>
  <si>
    <t>Lorsque vous utilisez votre compétence d'Armes Lourdes, votre Force est considérés comme supérieure d'un rang pour ce qui est de déterminer les dommages uniquement.</t>
  </si>
  <si>
    <t>Bushi Hida, Bushi Hiruma, Eclaireur Hiruma, Bushi Ichiro</t>
  </si>
  <si>
    <t>Tant que ce kata est actif, votre Anneau d'Eau est considéré comme diminué de 2 Rangs (minimum 1) pour calculer votre mouvement. Toutes les manœuvres de Renversement effectués avec des Armes Lourdes bénéficient d'une AG.</t>
  </si>
  <si>
    <t>Qd vous apprenez ce kata, choissisez une Compétence Noble qui n'est pas une compétence de Combat. Vous devez dépenser 2XP suppl. pour augmenter votre Rang dans cette compétence. A chaque fois que vous utilisez ce kata, vous gagnez un bonus en Iaijutsu ou en Kenjustsu égal à votre Rg dans la Compétence Noble choisie.</t>
  </si>
  <si>
    <t>Lorsque ce kata est actif vous gagnez +Xg0 en Kenjutsu ou Iaijutsu ou X est égal au nombre de Pvide qui vous reste. Cet effet dure un nombre de Rounds égal au nombre de Pvide qui vous restent au moment ou vous activez ce kata. Lorsqu'il prends fin, vous perdez 1 PVide.</t>
  </si>
  <si>
    <t xml:space="preserve"> </t>
  </si>
  <si>
    <t>Lorsque vous attaquez avec une succès une cible tant que ce kata est actif, son ND d'armure et le vôtre diminuent de 10 contre vos attaques successives pendant 3 Rounds. Vous ne pouvez cibler qu'un seul adversaire tant que ce kata est actif et ses effets ne se cumulent pas, s'annulant automatiquement au bout de 3 Rounds.</t>
  </si>
  <si>
    <t>Une fois par Round lorsqu'un adversaire vous touche au combat, vous pouvez dépenser un Pvide et une Action Gratuite pour le forcer à relancer immédiatement son jet d'attaque.</t>
  </si>
  <si>
    <t>Portée en m</t>
  </si>
  <si>
    <t>1 mile</t>
  </si>
  <si>
    <t>100'</t>
  </si>
  <si>
    <t>Portée (+30m), Cible (+1 par 2A. Max Rg de Vide)</t>
  </si>
  <si>
    <t>50'</t>
  </si>
  <si>
    <t>30'</t>
  </si>
  <si>
    <t>10'</t>
  </si>
  <si>
    <t>5'</t>
  </si>
  <si>
    <t>1,5m</t>
  </si>
  <si>
    <t>15'</t>
  </si>
  <si>
    <t>Vague de Terre</t>
  </si>
  <si>
    <t>Zone de 3m sur 15m</t>
  </si>
  <si>
    <t>Zone d'effet (+1,5m à une dimension)</t>
  </si>
  <si>
    <t xml:space="preserve">Personnel </t>
  </si>
  <si>
    <t>Portée en pieds</t>
  </si>
  <si>
    <t>Rayon de 3 m autour du lanceur de sort</t>
  </si>
  <si>
    <t>Tant que ce sort est actif, tous les jets basés sur le Vide ou l'Intuition ont un bonus de +1g0 dans la zone d'effet, et toutes les actions hostiles souffrent d'un malus de -1g0. Les actions hostiles basées sur l'Intuition ont un malus de -2g0. Le lanceur peut utiliser sa méditation sans casser la concentration nécessaire pour le maintenir.</t>
  </si>
  <si>
    <t>1 individu</t>
  </si>
  <si>
    <t>Portée (+3m), Cible (+1)</t>
  </si>
  <si>
    <t>Toute cible humaine de ce sort subit un malus de -1g0 à tous ses tests Physiques pour chaque Désavantage Social ou Spirituel qu'elle possède. Elle doit réussir un Test d'Honneur de ND 20 pour pouvoir se déplacer vers le lanceur de ce sort. Ces pénalités durent un Round ou aussi longtemps que le lanceur de sort maintient sa Conc.</t>
  </si>
  <si>
    <t>Portée (+3m), Quantité (+30 dm³), Spécial</t>
  </si>
  <si>
    <t>Ce sort peut cibler tous les éléments sauf le Vide et ordonne à la matière d'obéir plutôt que d'invoquer les kamis pour le faire. Le lanceur peut invoquer de la matière ou en modifier la forme: Une chaise peut recevoir l'ordre de se briser. Toute utilisation de ce sort augmente le ND des sorts de l'élément ciblé de +5 pdt les prochaines 24h</t>
  </si>
  <si>
    <t>1 Objet (max 3m³)</t>
  </si>
  <si>
    <t>Portée (+3m), Zone d'effet (+1,5m³), Spécial (+1 Elément par 2A)</t>
  </si>
  <si>
    <t>Ce sort permet un shugenja de transformer les éléments d'un seul objet physique en un autre élément. N'affecte pas le Vide. Seuls les objets inanimés peuvent être transmutés de cette manière et cela n'affecte pas les structures complexes. Les armes d'un daisho sont immunisées contre ce sort.</t>
  </si>
  <si>
    <t>Lorsque vous portez un katana dans votre main directrice et un wakizashi dans votre autre main, vous gagnez un bonus de +3 à votre ND d'armure.</t>
  </si>
  <si>
    <t>Bushi Akodo, Infiltrateur Soshuro, Bushi Yorimoto</t>
  </si>
  <si>
    <t>Lorsque vous attaquez avec une petite arme de mêlée, la réduction de votre adversaire est réduite de 1</t>
  </si>
  <si>
    <t>Le malus d'attaque pour toutes les attaques à distance contre des adversaires au contact est réduit de 3.</t>
  </si>
  <si>
    <t>Une fois par tour, lorsque vous déclarez une maneouvre de Garde,  vous pouvez augmenter le ND d'armure de la personne que vous protégez de +3</t>
  </si>
  <si>
    <t>Une fois par tour, après avoir réussi une manœuvre de Feinte, votre total de dommages est augmenté de +3</t>
  </si>
  <si>
    <t>Lorsque vous êtes Monté, votre monture gagne un bonus au ND d'armure de +3 et une Réduction additionelle de 3</t>
  </si>
  <si>
    <t>1 Mois</t>
  </si>
  <si>
    <t>Zone d'effet (+1 Cadavre), Spécial (-10 min au temps d'incantation)</t>
  </si>
  <si>
    <t>Une fois par Round, vous pouvez calculer la distance d'une action de mouvement comme si votre Anneau d'Eau était égal à votre Rang de Discrétion. Cel ne modifie pas la distance maximale que vous pouvez parcourir pendant un Round.</t>
  </si>
  <si>
    <t>Perle Blanche</t>
  </si>
  <si>
    <t xml:space="preserve">Tant qu'il est actif, ce kiho vous donne un bonus de +2g2 à tous les jets basés sur l'Intelligence. Lorsque ce kiho prends fin, vous êtes automatiquement Fatigué. </t>
  </si>
  <si>
    <t>Tant que ce kiho est actif, toute frappe Atemi portée contre un adversaire mort-vivant dénué d'intelligence provoque un Test d'Opposition de votre Anneau de Feu contre le Rang de Souillure de la cible. En cas de succès, la cible est instantanément détruite, sa connection avec Jikogu étant coupée.</t>
  </si>
  <si>
    <t>Tant que ce kiho est actif, toute frappe Atemi portée contre un adversaire provoque un Test d'Opposition d'Anneau de Feu de la cible. En cas de succès, la cible est Etourdie pendant un Round.</t>
  </si>
  <si>
    <t>Sphère de 15 de rayon</t>
  </si>
  <si>
    <t>Portée (+7,5m au rayon), Durée (+5 min)</t>
  </si>
  <si>
    <t>Une fois la prière terminée, un soleil chaud flamboie sur la zone choisie, la baignant dans la lumière du jour, même si c'est la nuit, à l'intérieur, ou en sous-sol. Ce sort est particulièrement populaire parmi les shugenja affectés à la protection de lieux vitaux, car c'est moyen de dissuasion très efficace contre les voleurs, assassins et espions.</t>
  </si>
  <si>
    <t>40'</t>
  </si>
  <si>
    <t>12m</t>
  </si>
  <si>
    <t>Rayon de 12m</t>
  </si>
  <si>
    <t>30 min</t>
  </si>
  <si>
    <t>25'</t>
  </si>
  <si>
    <t>Durée (+30 min)</t>
  </si>
  <si>
    <t>Portée (+7,5m), Zone d'effet (+3m), Durée (+10 min)</t>
  </si>
  <si>
    <t>Durée (+2 Rounds), Cible (+1 personne par 2A)</t>
  </si>
  <si>
    <t>Pour la durée du sort, la cible ne peut pas être Surprise, ajoute +1g0 à tout Test d'Initiative, et peut ajouter 3 à son total Initiative durant la phase de réaction de chaque Round.</t>
  </si>
  <si>
    <t>1 Personne et  1 Effet</t>
  </si>
  <si>
    <t>Portée (+3m), Zone d'effet (+1 personne par 2A)</t>
  </si>
  <si>
    <t>Durée (+5 min), Spécial (+1 Anneau d'Eau pour mvmt par 3A)</t>
  </si>
  <si>
    <t>Contact/ Personnel</t>
  </si>
  <si>
    <t>Rayon de 9m centré sur le lanceur</t>
  </si>
  <si>
    <t>Zone d'effet (+1,5 m de rayon), Durée (+1 Round)</t>
  </si>
  <si>
    <t>Tout sort de feu hostile jeté dans la zone d'effet subit une pénalité de -4g0 à son jet d'Incantation. Tout sort de feu hostile lancé depuis l'extérieur de la zone qui tente d'y projeter des effets de Feu (comme le sort Feu Intérieur) subit une pénalité-3g0 à sa VD car le Bouclier de Agasha disperse et affaiblit les kamis.</t>
  </si>
  <si>
    <t>Durée (+1 Round), Spécial (+1g0 au bonus par 2A)</t>
  </si>
  <si>
    <t>Cible (+1 par 2A), Durée (+1 Round), Portée (+3m)</t>
  </si>
  <si>
    <t>8 heures</t>
  </si>
  <si>
    <t>Spécial (Double bonus pour 4A)</t>
  </si>
  <si>
    <t>Une flèche</t>
  </si>
  <si>
    <t>Durée (+1 Round), Spécial (+1 flèche)</t>
  </si>
  <si>
    <t>Durée (+2 Rounds), Spécial</t>
  </si>
  <si>
    <t>Rayon de 7,5m autour du shugenja</t>
  </si>
  <si>
    <t>Ce sort crée une barrière d'illusion. Quiconque tente une attaque contre une personne située dans la zone d'effet du sort doit réussir un jet d'Opposition de Perception contre l'Anneau d'Air du lanceur. En cas de succès, il peut attaquer durant 1 Round, sinon il subit un malus de -5g0 à tous ces jets d'attaque.</t>
  </si>
  <si>
    <t>S'il est incanté avec succès, ce sort permet de demander l'aide d'un shiryo ancestral qui arrivera depuis Yomi endéhans 5 Rounds. Il prend la forme qu'il avait jadis mais est affecté du Trait "Esprit". Il aide l'invocateur au combat ou en lui prodigant des conseils mais ne fera rien de déshonnorant.</t>
  </si>
  <si>
    <t>1 page écrite</t>
  </si>
  <si>
    <t>1 mois</t>
  </si>
  <si>
    <t>Durée (+1 mois), Zone d'effet (+1 page)</t>
  </si>
  <si>
    <t xml:space="preserve">Le bloc de texte devient complètement inintelligible à moins d'être lu par l'auteur original ou le destinataire, dont le nom est murmuré au moment où le sort est jeté.  Un autre shugenja peut déchiffrer le jeu du kami et lire le texte en faisant un jet d'Art de la Magie/Intelligence avec un ND égal au total du jet d'incantation d'origine. </t>
  </si>
  <si>
    <t>Portée (+1,5m), Durée (+5 min)</t>
  </si>
  <si>
    <t>Le sort invoque un kami d'Air pour "illustrer" une histoire racontée par un autre individu (désigné par le shugenja). L'esprit fournit une illusion visuelle et auditive pour accompagner l'histoire, tirant les sons et les images de l'esprit du conteur. Le mélange résultant de l'histoire, du son et des images est très convaincant.</t>
  </si>
  <si>
    <t>1 maison ou habitat</t>
  </si>
  <si>
    <t>Un nbre d'h= Rg. D'Air</t>
  </si>
  <si>
    <t>Zone d'effet (une auberge pour 3A, un château pour 6A)</t>
  </si>
  <si>
    <t>N/A</t>
  </si>
  <si>
    <t>Après une heure de rituel et en présence d'un corps dont les funérailles ont eu lieu endéhans les 12h qui précèdent, ce sort s'il est lancé avec succès permet d'avoir une conversation de 5 minutes avec l'esprit du défunt. Tout shugenja qui assite à l'incantation ajoute +1 min de conversation.</t>
  </si>
  <si>
    <t>Portée (+3m), Durée (+2 Rounds)</t>
  </si>
  <si>
    <t>Kakeguchi</t>
  </si>
  <si>
    <t>Moshibaru</t>
  </si>
  <si>
    <t>Endo</t>
  </si>
  <si>
    <t>Raikuto</t>
  </si>
  <si>
    <t>Fundai</t>
  </si>
  <si>
    <t>Kenru</t>
  </si>
  <si>
    <t>Ishi</t>
  </si>
  <si>
    <t>Maisuna</t>
  </si>
  <si>
    <t>Meishozo</t>
  </si>
  <si>
    <t>Ugawari</t>
  </si>
  <si>
    <t>Kano</t>
  </si>
  <si>
    <t>Fujihiro</t>
  </si>
  <si>
    <t>Hiramichi</t>
  </si>
  <si>
    <t>Hiramori</t>
  </si>
  <si>
    <t>Kotagama</t>
  </si>
  <si>
    <t>Ashidaka</t>
  </si>
  <si>
    <t>Iwasaki</t>
  </si>
  <si>
    <t>Kouken</t>
  </si>
  <si>
    <t>Zurui</t>
  </si>
  <si>
    <t>Chiyu</t>
  </si>
  <si>
    <t>Hiasobi</t>
  </si>
  <si>
    <t>Izaku</t>
  </si>
  <si>
    <t>Remiki</t>
  </si>
  <si>
    <t>Itagawa</t>
  </si>
  <si>
    <t>Katai</t>
  </si>
  <si>
    <t>Seizuka</t>
  </si>
  <si>
    <t>Hosokawa</t>
  </si>
  <si>
    <t>Murame</t>
  </si>
  <si>
    <t>Ise</t>
  </si>
  <si>
    <t>Noroko</t>
  </si>
  <si>
    <t>Ikeda</t>
  </si>
  <si>
    <t>Koritome</t>
  </si>
  <si>
    <t>Watanabe</t>
  </si>
  <si>
    <t>Shudo</t>
  </si>
  <si>
    <t>Goraiku</t>
  </si>
  <si>
    <t>Kagehisa</t>
  </si>
  <si>
    <t>Suguru</t>
  </si>
  <si>
    <t>Chirichi</t>
  </si>
  <si>
    <t>Hogosha</t>
  </si>
  <si>
    <t>Atsumaru</t>
  </si>
  <si>
    <t>Chukan</t>
  </si>
  <si>
    <t>Nani</t>
  </si>
  <si>
    <t>Shingon</t>
  </si>
  <si>
    <t>Koganshi</t>
  </si>
  <si>
    <t>Sodona</t>
  </si>
  <si>
    <t>Aotora</t>
  </si>
  <si>
    <t>Rokugo</t>
  </si>
  <si>
    <t>Ugawa</t>
  </si>
  <si>
    <t>Kochako</t>
  </si>
  <si>
    <t>Tokagure</t>
  </si>
  <si>
    <t>Nanbu</t>
  </si>
  <si>
    <t>Naganori</t>
  </si>
  <si>
    <t>Tansaku</t>
  </si>
  <si>
    <t>Shiko</t>
  </si>
  <si>
    <t>Suio</t>
  </si>
  <si>
    <t>Battue</t>
  </si>
  <si>
    <t>Kenshin</t>
  </si>
  <si>
    <t>Onshigawa</t>
  </si>
  <si>
    <t>Marta</t>
  </si>
  <si>
    <t>Hyuga</t>
  </si>
  <si>
    <t>Naoko</t>
  </si>
  <si>
    <t>Gyushi</t>
  </si>
  <si>
    <t>Fureheshu</t>
  </si>
  <si>
    <t>Tashimi</t>
  </si>
  <si>
    <t>Iongi</t>
  </si>
  <si>
    <t>Koshei</t>
  </si>
  <si>
    <t>Senkensha</t>
  </si>
  <si>
    <t>Kijuro</t>
  </si>
  <si>
    <t>Edakumi</t>
  </si>
  <si>
    <t>Someisa</t>
  </si>
  <si>
    <t>Hyobe</t>
  </si>
  <si>
    <t>Hanako</t>
  </si>
  <si>
    <t>Reju</t>
  </si>
  <si>
    <t>Anou</t>
  </si>
  <si>
    <t>Satoshi</t>
  </si>
  <si>
    <t>Suzerain</t>
  </si>
  <si>
    <t>Komori</t>
  </si>
  <si>
    <t>Tonbo</t>
  </si>
  <si>
    <t>Book of Water</t>
  </si>
  <si>
    <t>Ordre de la Bénédiction de Jurojin</t>
  </si>
  <si>
    <t>Temple du Mirroir des Cieux</t>
  </si>
  <si>
    <t>Maitre espion Daidoji</t>
  </si>
  <si>
    <t>Guerrier de Fer Daidoji 3, Eclaireur Daidoji 3, Courtisan Doji 3</t>
  </si>
  <si>
    <t>C/N</t>
  </si>
  <si>
    <t>M/A</t>
  </si>
  <si>
    <t>Moine de la Confrérie non-martial 3, Courtisan Doji 3, Artisan Kakita 3, Shugenja Asahina 3</t>
  </si>
  <si>
    <t>Ecailles de la Carpe</t>
  </si>
  <si>
    <t>Soin de bataille</t>
  </si>
  <si>
    <t>Defense</t>
  </si>
  <si>
    <t>Crystal</t>
  </si>
  <si>
    <t>Voyage, Imperial</t>
  </si>
  <si>
    <t>Purification des Kami</t>
  </si>
  <si>
    <t>Malédiction de Siutengu</t>
  </si>
  <si>
    <t>Larmes des Cieux</t>
  </si>
  <si>
    <t>Force du Tsunami</t>
  </si>
  <si>
    <t>Récit de la Tempête</t>
  </si>
  <si>
    <t>Âme Flambée</t>
  </si>
  <si>
    <t>Caresse de Yuki</t>
  </si>
  <si>
    <t>Déluge Sans Fin</t>
  </si>
  <si>
    <t>Sanctuaire des Vagues</t>
  </si>
  <si>
    <t>L'Océan Intiérieur</t>
  </si>
  <si>
    <t>La Charge du Typhon</t>
  </si>
  <si>
    <t>Maitre de la Rivière Tumultueuse</t>
  </si>
  <si>
    <t>Monture des Reflux de Marée</t>
  </si>
  <si>
    <t>La Route de l'Empereur</t>
  </si>
  <si>
    <t>A l'Intérieur des Vagues</t>
  </si>
  <si>
    <t>Renversement de Chi</t>
  </si>
  <si>
    <t>Ouvrir les Vagues</t>
  </si>
  <si>
    <t>Tourbillon</t>
  </si>
  <si>
    <t>Souffle de Brume</t>
  </si>
  <si>
    <t>Ouvrir la Voile</t>
  </si>
  <si>
    <t>Feuilles dans le ruisseau</t>
  </si>
  <si>
    <t>Puissance du Tsunami</t>
  </si>
  <si>
    <t>Vagues sur les Brisants</t>
  </si>
  <si>
    <t>Musubi</t>
  </si>
  <si>
    <t>Bâton, Atemi</t>
  </si>
  <si>
    <t>Bâton</t>
  </si>
  <si>
    <t>Technique de Dharma</t>
  </si>
  <si>
    <t>Vague</t>
  </si>
  <si>
    <t>Inro</t>
  </si>
  <si>
    <t>Lézard du Vide</t>
  </si>
  <si>
    <t>Bajozutsu</t>
  </si>
  <si>
    <t>Teppo</t>
  </si>
  <si>
    <t>Ichigenkin</t>
  </si>
  <si>
    <t>Koto</t>
  </si>
  <si>
    <t>Junanagen</t>
  </si>
  <si>
    <t>Shamisen</t>
  </si>
  <si>
    <t>Hichiriki</t>
  </si>
  <si>
    <t>Hocchiku</t>
  </si>
  <si>
    <t>Kagurabue</t>
  </si>
  <si>
    <t>Komabue</t>
  </si>
  <si>
    <t>Nohkan</t>
  </si>
  <si>
    <t>Ryutek</t>
  </si>
  <si>
    <t>Shakuhachi</t>
  </si>
  <si>
    <t>Shinobue</t>
  </si>
  <si>
    <t>Tsuchibue</t>
  </si>
  <si>
    <t>Ikko</t>
  </si>
  <si>
    <t>Kakko</t>
  </si>
  <si>
    <t>Otsuzumi</t>
  </si>
  <si>
    <t>Taiko</t>
  </si>
  <si>
    <t>Tsuzumi</t>
  </si>
  <si>
    <t>Jitte</t>
  </si>
  <si>
    <t>Palanquin</t>
  </si>
  <si>
    <t>Margari-yari</t>
  </si>
  <si>
    <t>Hakama</t>
  </si>
  <si>
    <t>Haori</t>
  </si>
  <si>
    <t>Bokken</t>
  </si>
  <si>
    <t>Kataginu</t>
  </si>
  <si>
    <t>Kimono</t>
  </si>
  <si>
    <t>Netsuke</t>
  </si>
  <si>
    <t>Shinai</t>
  </si>
  <si>
    <t>Secrets of the Empire</t>
  </si>
  <si>
    <t>Apaiser le Kami de l'Air</t>
  </si>
  <si>
    <t>Apaiser le Kami du Feu</t>
  </si>
  <si>
    <t>Règle/Option de règle</t>
  </si>
  <si>
    <t>Coups Précis en Archerie</t>
  </si>
  <si>
    <t>Combat à la lance Cinématique</t>
  </si>
  <si>
    <t>Guerre Commerciale</t>
  </si>
  <si>
    <t>Artisanat d'Instruments</t>
  </si>
  <si>
    <t>Gagner de la Gloire en Fauconnerie</t>
  </si>
  <si>
    <t>Interrompre un Bushi en train de Viser</t>
  </si>
  <si>
    <t>Cerf-Volants et Lutte</t>
  </si>
  <si>
    <t>Fabriquer un Cerf-Volant</t>
  </si>
  <si>
    <t>Tatouages Fusionnés</t>
  </si>
  <si>
    <t>Constructions de Papier</t>
  </si>
  <si>
    <t>Lieux de Puissance – Air</t>
  </si>
  <si>
    <t>Lieux de Puissance – Terre</t>
  </si>
  <si>
    <t>Lieux de Puissance – Feu</t>
  </si>
  <si>
    <t>Lieux de Puissance – Eau</t>
  </si>
  <si>
    <t>Jouer des Instruments</t>
  </si>
  <si>
    <t>Variantes d'armes d'hast</t>
  </si>
  <si>
    <t>Bénédiction des Récoltes</t>
  </si>
  <si>
    <t>Options d'Empoignades</t>
  </si>
  <si>
    <t>Specialistes de Siège et Combat de Masse</t>
  </si>
  <si>
    <t>Tournois de Sumai</t>
  </si>
  <si>
    <t>Contresort</t>
  </si>
  <si>
    <t>Bénéfices Mécaniques d'être un Sensei</t>
  </si>
  <si>
    <t>Duel de Taryu-Jiai</t>
  </si>
  <si>
    <t>Types de Kagaku</t>
  </si>
  <si>
    <t>Types de Tsangusuri</t>
  </si>
  <si>
    <t>Action Dramatique avec des Chaines et Bâtons</t>
  </si>
  <si>
    <t>Armes de Moine</t>
  </si>
  <si>
    <t>Qualité des Armes de Paysan</t>
  </si>
  <si>
    <t>Disponibilité des Marchandises</t>
  </si>
  <si>
    <t>Répartition des Articles de Commerce</t>
  </si>
  <si>
    <t>Rang Monastique</t>
  </si>
  <si>
    <t>Evênements de Cour Aléatoires</t>
  </si>
  <si>
    <t>La Voie du Daimyo</t>
  </si>
  <si>
    <t>Pièges Construits</t>
  </si>
  <si>
    <t>Glyphes d'Exorcisme</t>
  </si>
  <si>
    <t>Articles Gaijin</t>
  </si>
  <si>
    <t>Armure Kaiu</t>
  </si>
  <si>
    <t>Sorts du Néant</t>
  </si>
  <si>
    <t>Pièges Ruraux</t>
  </si>
  <si>
    <t>Règles pour les Engins de Siège</t>
  </si>
  <si>
    <t>École du Lancer de Sorts Fatal</t>
  </si>
  <si>
    <t>Le Rituel de l'Oubli</t>
  </si>
  <si>
    <t>Vent et Temps</t>
  </si>
  <si>
    <t>Malédiction de Yogo</t>
  </si>
  <si>
    <t>Sorts de Glyphe Yogo</t>
  </si>
  <si>
    <t>Armes à Feu comme Métaphysique Extra-terrestre</t>
  </si>
  <si>
    <t>Rendre les Explosifs plus risqués</t>
  </si>
  <si>
    <t>Effets Mécaniques des Cités Elémentaires</t>
  </si>
  <si>
    <t>Long Feu</t>
  </si>
  <si>
    <t>Ouvrir et Fermer des portails Spirituels</t>
  </si>
  <si>
    <t>Magie du Sang Pur</t>
  </si>
  <si>
    <t>Fièvre de l'Eau</t>
  </si>
  <si>
    <t>Rokugan dans l'Espace</t>
  </si>
  <si>
    <t>Règles Alternatives de Forge d'Arme</t>
  </si>
  <si>
    <t>Table d'Héritage de la Confrérie de Shinsei</t>
  </si>
  <si>
    <t>Table d'Héritage des Familles Impériales</t>
  </si>
  <si>
    <t>Effets Mécaniques de Chikushudo</t>
  </si>
  <si>
    <t>Effets Mécaniques de Gaki-do</t>
  </si>
  <si>
    <t>Effets Mécaniques de Jigoku</t>
  </si>
  <si>
    <t>Effets Mécaniques de Maigo no Musha</t>
  </si>
  <si>
    <t>Effets Mécaniques de Meido</t>
  </si>
  <si>
    <t>Effets Mécaniques de Sakkaku</t>
  </si>
  <si>
    <t>Effets Mécaniques de Tengoku</t>
  </si>
  <si>
    <t>Effets Mécaniques de Toshigoku</t>
  </si>
  <si>
    <t>Effets Mécaniques de Yomi</t>
  </si>
  <si>
    <t>Table d'Héritage des Clans Mineurs</t>
  </si>
  <si>
    <t>Table d'Héritage des Ronins</t>
  </si>
  <si>
    <t>Armure</t>
  </si>
  <si>
    <t>Eventail de Guerre</t>
  </si>
  <si>
    <t>Fourche</t>
  </si>
  <si>
    <t>Armes à Feu</t>
  </si>
  <si>
    <t>Kakiyari (Lance à Feu)</t>
  </si>
  <si>
    <t>Bo-Hiya (Flèches de Feu)</t>
  </si>
  <si>
    <t>Cannon à main</t>
  </si>
  <si>
    <t>Pistolet</t>
  </si>
  <si>
    <t>Mousquet</t>
  </si>
  <si>
    <t>Perruque</t>
  </si>
  <si>
    <t>Chapeau de Paille à larges Bords</t>
  </si>
  <si>
    <t>Cape de Voyage</t>
  </si>
  <si>
    <t>Raquettes</t>
  </si>
  <si>
    <t>Sandales</t>
  </si>
  <si>
    <t>Parfum</t>
  </si>
  <si>
    <t>Masque</t>
  </si>
  <si>
    <t>Peinture de Guerre (Fiole)</t>
  </si>
  <si>
    <t>Eventail de Courtisan</t>
  </si>
  <si>
    <t>Coiffe de Courtisan</t>
  </si>
  <si>
    <t>Sac à dos</t>
  </si>
  <si>
    <t>Balle de Kemari</t>
  </si>
  <si>
    <t>Bouteille de Teinture</t>
  </si>
  <si>
    <t>Marteau de Forgeron</t>
  </si>
  <si>
    <t>Bouteille de Shochu</t>
  </si>
  <si>
    <t>Bouteille, Vide</t>
  </si>
  <si>
    <t>bu</t>
  </si>
  <si>
    <t>zeni</t>
  </si>
  <si>
    <t>Objet</t>
  </si>
  <si>
    <t>Crochet Longxu</t>
  </si>
  <si>
    <t>Fronde</t>
  </si>
  <si>
    <t>Griffes de Dresseur</t>
  </si>
  <si>
    <t>Torche</t>
  </si>
  <si>
    <t>Corde à fléchette</t>
  </si>
  <si>
    <t>Tonerre Kaiu</t>
  </si>
  <si>
    <t>Tour de Siège</t>
  </si>
  <si>
    <t>Engins de siège</t>
  </si>
  <si>
    <t>Accessoires de Pêche</t>
  </si>
  <si>
    <t>Accessoires de Thé</t>
  </si>
  <si>
    <t>Aiguilles de Tatoueur</t>
  </si>
  <si>
    <t>Animal domestique</t>
  </si>
  <si>
    <t>Baguettes</t>
  </si>
  <si>
    <t>Bougie</t>
  </si>
  <si>
    <t>Bourse</t>
  </si>
  <si>
    <t>Bouteille de Saké</t>
  </si>
  <si>
    <t>Brasero</t>
  </si>
  <si>
    <t>Canne de marche</t>
  </si>
  <si>
    <t>Carquois</t>
  </si>
  <si>
    <t>Coffre en bois</t>
  </si>
  <si>
    <t>Coffre en métal</t>
  </si>
  <si>
    <t>Corde (30 cm)</t>
  </si>
  <si>
    <t>Couverture</t>
  </si>
  <si>
    <t>Criquet porte-bonheur</t>
  </si>
  <si>
    <t>Dés et gobelet</t>
  </si>
  <si>
    <t>Doigt de jade</t>
  </si>
  <si>
    <t>Epices courantes</t>
  </si>
  <si>
    <t>Epices rares</t>
  </si>
  <si>
    <t>Epices peu courantes</t>
  </si>
  <si>
    <t>Grappin</t>
  </si>
  <si>
    <t>Huile de lanterne (fiole)</t>
  </si>
  <si>
    <t>Jeux de Voyage</t>
  </si>
  <si>
    <t>Kiseru (pipe à tabac)</t>
  </si>
  <si>
    <t>Kubi Kuburo (filet)</t>
  </si>
  <si>
    <t>Lanterne de métal</t>
  </si>
  <si>
    <t>Livre de chevet de qualité</t>
  </si>
  <si>
    <t>Livre de chevet banal</t>
  </si>
  <si>
    <t>Livre</t>
  </si>
  <si>
    <t>Parchemin</t>
  </si>
  <si>
    <t>Miroir en verre</t>
  </si>
  <si>
    <t>Miroir en métal</t>
  </si>
  <si>
    <t>Mortier et pilon</t>
  </si>
  <si>
    <t>Nécéssaire d'archer</t>
  </si>
  <si>
    <t>Nécéssaire de premiers soins</t>
  </si>
  <si>
    <t>Panier</t>
  </si>
  <si>
    <t>Papier (5 feuilles)</t>
  </si>
  <si>
    <t>Parapluie</t>
  </si>
  <si>
    <t>Parchemin et fusain (10)</t>
  </si>
  <si>
    <t>Pelle</t>
  </si>
  <si>
    <t>Couteau (petit)</t>
  </si>
  <si>
    <t>Tabouret pliant (petit)</t>
  </si>
  <si>
    <t>Peinture (petite)</t>
  </si>
  <si>
    <t>Sculpture (petite)</t>
  </si>
  <si>
    <t>Sculpture (petite d'un ancêtre)</t>
  </si>
  <si>
    <t>Sculpture (petite d'une fortune)</t>
  </si>
  <si>
    <t>Tente (petite)</t>
  </si>
  <si>
    <t>Pierre à aiguiser</t>
  </si>
  <si>
    <t>Pierre à briquet et aiguisoir</t>
  </si>
  <si>
    <t>Pot en Fer</t>
  </si>
  <si>
    <t>Rations de voyage (1 repas)</t>
  </si>
  <si>
    <t>Rouleau de soie ou d'etoffe</t>
  </si>
  <si>
    <t>Sac Furoshiki</t>
  </si>
  <si>
    <t>Sceau ou symbole personnel</t>
  </si>
  <si>
    <t>Seau en métal</t>
  </si>
  <si>
    <t>Tapis Tatami</t>
  </si>
  <si>
    <t>Tente (chomchong)</t>
  </si>
  <si>
    <t>Tente (yourte)</t>
  </si>
  <si>
    <t>Armure d'Ashigaru</t>
  </si>
  <si>
    <t>Armure Bogu (d'entrainement)</t>
  </si>
  <si>
    <t>Armure Tatami</t>
  </si>
  <si>
    <t>Armure de Monte de la Licorne</t>
  </si>
  <si>
    <t>Armure Cérémoniale</t>
  </si>
  <si>
    <t>Nourriture</t>
  </si>
  <si>
    <t>Contenants</t>
  </si>
  <si>
    <t>Vêtements</t>
  </si>
  <si>
    <t>Outils</t>
  </si>
  <si>
    <t>Kakiyari (Aile des Cieux)</t>
  </si>
  <si>
    <t>Lance d'arçon</t>
  </si>
  <si>
    <t>koku</t>
  </si>
  <si>
    <t>Armure de Cavalerie</t>
  </si>
  <si>
    <t>Teppoto du Dragon</t>
  </si>
  <si>
    <t>Engins de Siège</t>
  </si>
  <si>
    <t>Rayon de 6 m centré sur le shugenja</t>
  </si>
  <si>
    <t>Zone d'effet (+1,5m par 2A)</t>
  </si>
  <si>
    <t>Deux personnes en conversation (peut être le shugenja)</t>
  </si>
  <si>
    <t>Zone d'effet (+1 pers par 2A), Durée (+1 min)</t>
  </si>
  <si>
    <t>Les kamis de l'air rendent une conversation totalement ininteligible pour tous ceux qui n'en font pas partie. Il est possible de percer l'illusion en lisant sur les lèvres (les mots perçus ne correspondent pas) ou pour un shugenja en réussissant un jet d'Opposition de Rang d'Ecole contre l'Air du lanceur de ce sort.</t>
  </si>
  <si>
    <t>Portée (+6m), Zone d'effet (+1,5m de rayon par 2A), Spécial (+1g0 dommage)</t>
  </si>
  <si>
    <t>Le rugissement soudain inflige 3g2 dégâts sur toute cible dans la zone d'effet, qui doit réussir un jet de Terre de ND 30 ou être Fatigué. Il inflige des dommages physiques aux objets faibles en papier qui sont soufflés, trempés d'eau, etc. Ceux qui ont la chance d'être bénis du sang d'Osano-Wo sont immunisés.</t>
  </si>
  <si>
    <t>Scruter l'Âme</t>
  </si>
  <si>
    <t>Cible (+1 par 2A), Spécial (+1 Anneau révélé)</t>
  </si>
  <si>
    <t>Sphère de 9m de rayon</t>
  </si>
  <si>
    <t>Portée (+15m pour 2A), Durée (+3 Rounds)</t>
  </si>
  <si>
    <t>Glyphes, Néant</t>
  </si>
  <si>
    <t>150'</t>
  </si>
  <si>
    <t>45m</t>
  </si>
  <si>
    <t>200'</t>
  </si>
  <si>
    <t>1 oiseau</t>
  </si>
  <si>
    <t>Portée (+15m), Durée (+1h)</t>
  </si>
  <si>
    <t>Ce sort appele un oiseau qui atterrit sur la main du lanceur qui peut lui demander d'effectuer une tâche simple (comme porter d'un message ou distraire un ennemi) pour la durée du sort. Un test d'Elevage/Intuition de ND 20 peut persuader l'oiseau d'effectuer une tâche plus complexe mais pas d'action suicidaire.</t>
  </si>
  <si>
    <t>3h</t>
  </si>
  <si>
    <t>Durée (+1h), Cible (+1 pers), Spécial (+400m)</t>
  </si>
  <si>
    <t>800m de traces du lanceur</t>
  </si>
  <si>
    <t xml:space="preserve">Ce sort permet de dissimuler tout passage du lanceur de sort comme les traces et branches brisées et crée un autre parcours illusoire mais tout à fait convaincant. Il est possible de percer l'illusion en réussissant un Test d'Opposition de Chasse/Perception contre Art de la Magie/Air du lanceur de sort. </t>
  </si>
  <si>
    <t>20'</t>
  </si>
  <si>
    <t>6 m</t>
  </si>
  <si>
    <t>La cible de ce sort gagne +2g2 pour résister aux effets d'un jet de compétence Sociale ou de Peur. Cependant, la même sérénité glaciale qui le rend résistant à la manipulation rend également difficile la perception des émotions des autres, il souffre d'un malus de -2g0 pour tous les jets sociaux basés sur l'Intuition.</t>
  </si>
  <si>
    <t>Portée (change en Contact pour 3A), Zone d'effet (+1,5m de rayon), Durée (+1 min)</t>
  </si>
  <si>
    <t>Pour la durée du sort, toute parole humaine audible dans la zone d'effet est intelligible, quelle que soit la langue utilisée. Le sort ne concède aucune audition accrue (les chuchotements ne peuvent toujours pas être entendus), ni n'accorde aucune capacité de parler en retour.</t>
  </si>
  <si>
    <t>Portée ( change à 6m par 2A), Durée (+2 min)</t>
  </si>
  <si>
    <r>
      <t xml:space="preserve">Pour la durée du sort, les prestations de la cible se font comme si elle avait l'avantage </t>
    </r>
    <r>
      <rPr>
        <i/>
        <sz val="6"/>
        <rFont val="Arial"/>
        <family val="2"/>
      </rPr>
      <t>Voix Mélodieuse</t>
    </r>
    <r>
      <rPr>
        <sz val="6"/>
        <rFont val="Arial"/>
        <family val="2"/>
      </rPr>
      <t xml:space="preserve"> (si il l'a déjà, les avantages se cumulent) et elle gagne aussi un bonus de +1g0 à des jets de compétence sociales qui impliquent la parole.</t>
    </r>
  </si>
  <si>
    <t>Portée (+7,5m), Durée (+1 min)</t>
  </si>
  <si>
    <t>Pour la durée du sort, les kamis remémorent à la cible ses douloureux souvenirs: elle doit déclarer une A sans effet à tous ces tests de Compétence et d'Incantation. S'il dispose de 3 points ou plus de désavantages sociaux ou mentaux, elle doit déclarer 2A sans effet à la place.</t>
  </si>
  <si>
    <t>Durée (+1 min par 2A), Spécial (+1g1 au test d'op par 3A)</t>
  </si>
  <si>
    <t>Portée (+3m), Cible (+1 par 2A), Durée (+1 min)</t>
  </si>
  <si>
    <t>Durée (+1 min), Spécial (+1 Rg de compétence par 3A)</t>
  </si>
  <si>
    <t>Pour la durée du sort, le lanceur gagne 1 Rang dans toutes les compétences qu'il possède déjà normalement, et il peut bénéficier de toutes les capacités de maîtrise qui seraient débolquées par cette augmentation. Cela ne peut pas accorder de rangs dans les compétences que le shugenja ne possède pas déjà.</t>
  </si>
  <si>
    <t>Si vous livrez un coup atemi désarmé avec succès en utilisant ce Kiho, votre cible subit 1g1 dommages du choc électrique mineur et lache automatiquement son arme. La cible peut dépenser 2 PVides pour nier le désarmement, mais elle souffre alors de 2g2 supplémentaires.  Ces dommages nient la Réduction d'armure.</t>
  </si>
  <si>
    <t>Cône de 5mX Rg. d'école sur 2mX Rg. d'école</t>
  </si>
  <si>
    <t>Dépenser un PVide et une ActG pour activer ce Kiho. Tant que ce Kiho est actif, vous faites des attaques de mêlée à Mains Nues en AC, et vos attaques de mêlée pouvent cibler des adversaires aussi loin que votre rang École x 7,5m comme s'ils étaient au contact.</t>
  </si>
  <si>
    <t>Portée (change à 3m pour 2A), Durée (+1 Round)</t>
  </si>
  <si>
    <t>2 Duelistes</t>
  </si>
  <si>
    <t>Un duel</t>
  </si>
  <si>
    <t>Ce sort met fin à tout effet magique qui habitait les 2 duelistes avant le duel et impose un malus de -3g0 à toute Incantation qui viserait un dueliste tant que dure le duel. Pour 4A au lancer, ce sort empêche aussi toute utilisation de technique d'école en bloquant la mémoire des duelistes.</t>
  </si>
  <si>
    <t>Portée (+1,5m), Cible (+1 créature par 2A)</t>
  </si>
  <si>
    <t>Zone d'Effet/ Cible</t>
  </si>
  <si>
    <t>1 Personne</t>
  </si>
  <si>
    <t>2 personnes</t>
  </si>
  <si>
    <t>1 histoire racontée par la personne</t>
  </si>
  <si>
    <t>1 esprit</t>
  </si>
  <si>
    <t>1 inivididu (peut-être le shugenja lui-même)</t>
  </si>
  <si>
    <t xml:space="preserve">Etendue d'Eau  </t>
  </si>
  <si>
    <t xml:space="preserve">1 armure  </t>
  </si>
  <si>
    <t xml:space="preserve">1 arme  </t>
  </si>
  <si>
    <t xml:space="preserve">1 individu  </t>
  </si>
  <si>
    <t xml:space="preserve">Etendue d'Eau/Lieu  </t>
  </si>
  <si>
    <t xml:space="preserve">1 individu ou objet  </t>
  </si>
  <si>
    <t xml:space="preserve">1 objet  </t>
  </si>
  <si>
    <t xml:space="preserve">1 esprit  </t>
  </si>
  <si>
    <t>1 individu  (peut être le Shugenja lui-même)</t>
  </si>
  <si>
    <t>1 individu (peut être le Shugenja lui-même)</t>
  </si>
  <si>
    <t xml:space="preserve">1 esprit </t>
  </si>
  <si>
    <t>1 objet de max 2,5kg</t>
  </si>
  <si>
    <t>1 cadavre</t>
  </si>
  <si>
    <t>1 inivididu  (peut-être le shugenja lui-même)</t>
  </si>
  <si>
    <t>Zone d'effet (+1,5m de rayon par 2A), Durée (+2 Rounds)</t>
  </si>
  <si>
    <t>1'</t>
  </si>
  <si>
    <t>0,3m</t>
  </si>
  <si>
    <t>barrière de 30 cm d'ép., 3m de haut et de 9m de rayon centré sur le lanceur</t>
  </si>
  <si>
    <t>Portée (+15m)</t>
  </si>
  <si>
    <t>1 individu et le shugenja</t>
  </si>
  <si>
    <t>La cible de ce sort est tuée sur le coup, réduite en cendres en quelques secondes. Toutefois le lanceur de sort subit le même nombre de blessures qui ont suffit pour tuer la cible ce qui est souvent léthal. Ce sort échoue automatiquement contre les créatures résistantes au feu et ne peut pas tuer une entité divine.</t>
  </si>
  <si>
    <t>Un maximum de 10 individus à portée</t>
  </si>
  <si>
    <t>Portée (+7,5m), Cible (+2)</t>
  </si>
  <si>
    <t>Spécial (+1 Sort par 3A)</t>
  </si>
  <si>
    <t>Tout individu dans un rayon de 3m</t>
  </si>
  <si>
    <t>Portée (+3m), Zone d'effet (+1,5m de rayon par 2A), Durée (+1 Round)</t>
  </si>
  <si>
    <t>Spécial (lancé après avoir vu le visage de la cible 1X pour 4A)</t>
  </si>
  <si>
    <t>Vous appelez le kami de l'eau pour faire de votre visage celui d'une autre personne. Ce n'est pas une illusion, mais un changement réel de la chair et des os, un remodelage de votre visage pour correspondre à celui de l'autre personne. N'affecte que le visage et pas la voix, les cheveux ni le reste du corps.</t>
  </si>
  <si>
    <t>Durée (+1 moins par 3A)</t>
  </si>
  <si>
    <t>Après 8 heures durant lesquelles, le shugenja doit maintenir la tête de la cible et se concentrer dessus, le shugenja peut faire un test d'opposition de Rg.de Maitrise/Air contre le cible. Si le shugenja gagne, les pensées et les souvenirs de la cible sont réécrites et réarrangées de quelque manière que le lanceur souhaite.</t>
  </si>
  <si>
    <t>2 min</t>
  </si>
  <si>
    <t>Larmes de l'Œil de l'Oni</t>
  </si>
  <si>
    <t>105m</t>
  </si>
  <si>
    <t>1 structure (petit château)</t>
  </si>
  <si>
    <t>Portée (+57,5m), Cible (+1 par 3A), Durée (+1 Jour par 3A)</t>
  </si>
  <si>
    <t>Pendant la durée de ce sort les blessures et la réduction de la structure ciblée sont doublées. Quand le sort expire, les blessures supplémentaires sont perdues - si cela réduit la structure à zéro blessures, elle s'écroule immédiatement en ruines.</t>
  </si>
  <si>
    <t>Durée (+5 min), Spécial (+1g1 en Volonté du lanceur par 2A)</t>
  </si>
  <si>
    <t>Tout esprit (oni, gaki, fantôme,…) ou être qui une tente de posséder quelqu'un dans la zone d'effet du sort protégée par une glyphe gravée dans un objet solide doit d'abord réussir un jet d'opposition de Volonté contre le lanceur de sorts. Ce sort ne peut libérer d'une possession déjà établie, il ne fait que protéger.</t>
  </si>
  <si>
    <t>Tout allié dans un rayon de 6m centré sur le lanceur</t>
  </si>
  <si>
    <t xml:space="preserve">Tout sort de maho qui cible le lanceur ou l'un des alliés du lanceur dans la zone d'effet voit son ND d'incantation augmenté d'un montant égal à 10x l'Anneau de Terre de la cible. </t>
  </si>
  <si>
    <t>Barrière de 4,5m de rayon centrée sur le lanceur</t>
  </si>
  <si>
    <t>Zone d'effet (+1,5 m de rayon), Durée (+2 Round), Spécial (+5 au ND d'escalade)</t>
  </si>
  <si>
    <t>Portée (+3m), Cible (+1 par 2A), Durée (+1 Jour par 2A)</t>
  </si>
  <si>
    <t>Tant que perdure cette malédiction, l'anneau de Terre de la cible est considéré comme inférieur de 3 rangs (avec un minimum de 1) dans le but de la guérison des blessures ou de résister à la maladie ou au poison.</t>
  </si>
  <si>
    <t>Portée (+6m), Spécial (+3m de profondeur et +1g1 blessure par 2A)</t>
  </si>
  <si>
    <t>Ce sort crée un puit de 6m de profondeur. Quiconque se trouve à l'endroit où il se forme doit réussir un test d'opposition: Réflexes vs. l'Anneau de Terre du lanceur où tomber et subir 3g2 blessures. La cible est prisonnière du puits jusqu'à réussir en AC un test d'Athlétisme/Force contre un ND égal à 3X la profondeur en m.</t>
  </si>
  <si>
    <t>Zone d'effet (+15m de rayon), Spécial (+5 au ND par 2A)</t>
  </si>
  <si>
    <t>Durée (+1 Jour par 3A)</t>
  </si>
  <si>
    <t>Ce rituel nécéssite 1h et préserve l'intégrité et l'aspect des cadavres jusqu'à ce qu'il puissent recevoir les soins nécéssaires (traditionellement la crémation). Il les protège également contre les kansen, la Souillure de l'Outremonde et les effets de la maho même s'il est difficile de l'utiliser sur un champ de bataille.</t>
  </si>
  <si>
    <t>Commandement</t>
  </si>
  <si>
    <t>Portée (+6m), Cible (+1), Spécial (+1g1 Dommage)</t>
  </si>
  <si>
    <t>1h</t>
  </si>
  <si>
    <t>Durée (+30 min), Spécial (+2 Soldats par A)</t>
  </si>
  <si>
    <t xml:space="preserve">Les mains du receveur du sort deviennent dures et résistances comme de la pierre et occasionnent +2g0 dégâts en plus. La cible peut par exemple briser du verre à la main sans risquer de se blesser. Par contre il ne peut manipuler aucune arme ni entreprendre d'action délicate. </t>
  </si>
  <si>
    <t>6 h</t>
  </si>
  <si>
    <t>Durée (+1h)</t>
  </si>
  <si>
    <t>Tant que le sort est actif, la cible est immunisée à la Fatigue par manque de sommeil, son trait de Constitution est considéré comme supérieur d'un Rang pour tous les tests qui font appel à la Constitution. Peut être cumulé jusqu'à 24h consécutives après quoi la cible est Fatiguée et doit se reposer de la moitié du temps du sort.</t>
  </si>
  <si>
    <t>1 créature naturelle</t>
  </si>
  <si>
    <t>Cible(+1 par 2A), Durée (+30 min)</t>
  </si>
  <si>
    <t>Zone de 1,6 km²</t>
  </si>
  <si>
    <t>1h (ou 2 Rounds)</t>
  </si>
  <si>
    <t>Durée (+30 min ou 2 Rounds par 2A)</t>
  </si>
  <si>
    <r>
      <t xml:space="preserve">Ce sort réarange le champ de bataille au bon vouloir du lanceur et donne un bonus de +3g2 au commandant de l'armée et de +1g1 aux combattants sur la table des combats de masse. S'il est lancé simultanément par les deux camps, le résultat est un sort de </t>
    </r>
    <r>
      <rPr>
        <i/>
        <sz val="6"/>
        <rFont val="Arial"/>
        <family val="2"/>
      </rPr>
      <t>Tremblement de terre</t>
    </r>
  </si>
  <si>
    <t>Etudiant du Bord de la Falaise</t>
  </si>
  <si>
    <t>La Queue du Scorpion</t>
  </si>
  <si>
    <t>Disciples de la Rivière</t>
  </si>
  <si>
    <t>Acolytes de la Neige</t>
  </si>
  <si>
    <t>Sage Kawaru</t>
  </si>
  <si>
    <t>Astologue Seppun</t>
  </si>
  <si>
    <t>Œil de Kitsuki</t>
  </si>
  <si>
    <t>Serviteurs de la Pitié</t>
  </si>
  <si>
    <t>Ecole Shugenja Phénix de Rang 2</t>
  </si>
  <si>
    <t>Étreinte mortelle de l'hiver</t>
  </si>
  <si>
    <t>Vs. pouvez lancer des sorts de Terre en sorts d'Eau (en remplaçant "Terre" par "Glace") : Armure de la Terre, Armure de l'Empereur, Être la Montagne, Liens de Ningen-Do, Paralysie de la Terre, Emprise de la Terre, Coercition Mineure, Coercition Majeure et Mur de Terre.</t>
  </si>
  <si>
    <t>Portée (change à 15m pour 3A)</t>
  </si>
  <si>
    <t>Ce sort fait veillir les objets prématurément: le bois se déforme et devient flocons, la pierre et le métal deviennent faibles et fragiles, le tissu s'amincit, le papier se désagrège. Une arme qui est affectée par ce sort perd 2g1 à sa VD, une armure 5 à son ND d'armure et 3 pts de Réduction. Peut servir à des fins de sabotage.</t>
  </si>
  <si>
    <t>Rayon de 15m centré sur le shugenja</t>
  </si>
  <si>
    <t>Zone d'effet (+15m de rayon), Durée (+5 min), Spécial (+1 jour de traces par 2A)</t>
  </si>
  <si>
    <t>Ce sort fait en sorte que les kamis de le terre révèlent le passage de toute personne qui les as parcouru durant les 3 derniers jours. La surface - que ce soit de la pierre, de la terre ou du bois - forme littéralement des traces de pas ce qui crée une voie claire et facile à suivre.</t>
  </si>
  <si>
    <t>Portée (+3m), Durée (+1 Round), Spécial (+1g0 à la force des plantes)</t>
  </si>
  <si>
    <t>Ce sort ne fontionne que là où il y a des plantes vivantes et fait pousser rapidement celles-ci. La cible de ce sort est automatiquement Empoignée par des lianes, taillis et racines au moment où le sort est lancé. Elle peut tenter d'échapper en AS en faisant un test d'Oppostion de Force contre la Force des plantes à 4.</t>
  </si>
  <si>
    <t>Tant que ce Kiho est actif vs pouvez entrer en Posture de Défense juste avant d'être attaqué. Cela peut ne pas être la 1ère fois que vs êtes attaqué après activation mais vs ne pouvez le faire qu'une fois. Vous ne pouvez pas changer de Posture à la prochaine occasion de le faire. Perdure le reste de la journée ou jusqu'à utilisation.</t>
  </si>
  <si>
    <t>Lorsque ce Kiho est actf, vous pouvez faire un jet pour récupérer d'une condition de non-permanente ou d'autre effet qui permet un test de récupération, tel qu'Hébèté. Ce Kiho ne peut être activé qu'en AC, mais peut l'être (en dépensant un PVide), même lorsque vous n'êtes pas autorisé à effectuer des actions (par ex. Étourdi)</t>
  </si>
  <si>
    <t>En Posture de Défense ou d'Esquive uniqmnt. A votre tour, tant que ce kiho est actif, vs pouvez faire des Empoignades en ActG contre des adv. qui vous ont attaqués depuis votre dernière tour. Les opposants d'une Empoignade que vs contrôlez peuvent être projetés en ActG plutôt qu'en AC mais le jet de dégâts a malus de -1g1.</t>
  </si>
  <si>
    <t>Permet d'incarner un esprit du Feu sous une forme humanoïde qui combattra pour vous (voir Core p.189 pour les statistiques du golem)</t>
  </si>
  <si>
    <t>Sort</t>
  </si>
  <si>
    <t>Durée (+1 Jour)</t>
  </si>
  <si>
    <t xml:space="preserve">La cible de ce sort bien que s'exprimant toujours en rokugani n'est plus capable de le faire inteligiblement tant que perdure ce sort. Elle est aussi incapable de comprendre le language de toute personne non-affectée. Tout shugenja subissant ce sort subit un malus de +10 à son jet d'Incantation. </t>
  </si>
  <si>
    <t>1,5 km</t>
  </si>
  <si>
    <t>Les lanceurs et autant de cibles</t>
  </si>
  <si>
    <t>Spécial (+1g0 à la Volonté du lanceur pour le jet d'Opposition)</t>
  </si>
  <si>
    <t>Ecran du MJ</t>
  </si>
  <si>
    <t>Lorsque vous manipulez une lance ou un arme d'hast, votre score d'initiative augmente de +3</t>
  </si>
  <si>
    <t>Cimeterre Naga</t>
  </si>
  <si>
    <t>Zone d'effet (+3m), Spécial (+5 ND de Volonté par 2A)</t>
  </si>
  <si>
    <t>1,5m ou Contact</t>
  </si>
  <si>
    <t>Durée (+5 min par 2A)</t>
  </si>
  <si>
    <t>Rayon de 7,5m centré sur le jakla</t>
  </si>
  <si>
    <t>Le Jakla</t>
  </si>
  <si>
    <t>Spécial (+1g0 aux dommages par 2A)</t>
  </si>
  <si>
    <t>Un Jakla en possession de cette perle à un accès à tous les sorts de tous les éléments (exeptés ceux du vide et de maho) d'un niveau de maitrise &lt;5. Chaque fois que le jakla se sert de la perle blanche il doit dépenser deux emplacements de sorts correspondants par sort et ne peut se servir d'empl. d'Akasha pour jeter un sort.</t>
  </si>
  <si>
    <t>Ordre du Shinmaki</t>
  </si>
  <si>
    <t>Empire d'Emeraude</t>
  </si>
  <si>
    <t xml:space="preserve">Impitoyable Détermination </t>
  </si>
  <si>
    <t>Les Ombres se Lèvent</t>
  </si>
  <si>
    <t>Suprême et Inébranlable</t>
  </si>
  <si>
    <t>Le Sutra du Diamant</t>
  </si>
  <si>
    <t>La Fureur de l'Avalanche</t>
  </si>
  <si>
    <t>Poing et Sabre</t>
  </si>
  <si>
    <t>Coup Harmonieux</t>
  </si>
  <si>
    <t>Equilibre du Néant</t>
  </si>
  <si>
    <t>L'Honneur renforce l'Acier</t>
  </si>
  <si>
    <t>Fluide Comme l'Eau</t>
  </si>
  <si>
    <t>Le Souffle de la Loi</t>
  </si>
  <si>
    <t>Fluide Comme l'Air</t>
  </si>
  <si>
    <t>A la Hauteur du Défi</t>
  </si>
  <si>
    <t>La Frappe du Magistrat</t>
  </si>
  <si>
    <t>L'Assurance du Devoir</t>
  </si>
  <si>
    <t>Résolution Implacable</t>
  </si>
  <si>
    <t>Héritier Imperial</t>
  </si>
  <si>
    <t>Héritier Impérial</t>
  </si>
  <si>
    <t>L'Eclat du Trône</t>
  </si>
  <si>
    <t>La Frappe des Quatre Vents</t>
  </si>
  <si>
    <t>Déchainement de l'Esprit de la Lame</t>
  </si>
  <si>
    <t>Danser avec Les Fortunes</t>
  </si>
  <si>
    <t>Espionnage politique</t>
  </si>
  <si>
    <t>Sans Contrainte</t>
  </si>
  <si>
    <t>L'Âme d'Ikoma</t>
  </si>
  <si>
    <t>Les Griffes du Lion Tranquille</t>
  </si>
  <si>
    <t>Féroce Détermination</t>
  </si>
  <si>
    <t>Artiste Shiba</t>
  </si>
  <si>
    <t>L'Âme d'un Génie</t>
  </si>
  <si>
    <t>Par sa Sincérité</t>
  </si>
  <si>
    <t>Eloquence de l'Art</t>
  </si>
  <si>
    <t>Bienfaits de l'Art</t>
  </si>
  <si>
    <t>La Marque du Destin</t>
  </si>
  <si>
    <t>Bo (ou paire de Jo), Vêtements de voyage simples et grossiers, Etui à Parchemin</t>
  </si>
  <si>
    <t>Avec de kiho actif, vous pouvez vous déplacer à la surface de l'eau comme s'il s'agissait d'un terrain normal. Cet effet dure tant que vous entreprenez des Actions de Mouvement Simples à chaque Round jusqu'à un maximum de 5 minutes. A l'issue de cette durée, vous pouvez réactiver le Kiho si nécéssaire.</t>
  </si>
  <si>
    <t>Lorsque vous activez ce kiho et êtes frappé par une attaque au CàC d'un adv., vous pouvez aussi tôt effectuer une contre-attaque à Mains Nues. Si vous n'avez pas encore entrepris votre Tour ce Round ci, cela compte comme votre Tour sinon c'est une ActG. La contre-attaque ignore les malus dus aux Blessures de l'attaque.</t>
  </si>
  <si>
    <t>Quand ce kiho est actif, vous pouvez porter des attaques à Mains Nues au prix d'une AS au lieu d'une AC. Vous devez effectuer une attaque à Mains Nues contre un adversaire (et non contre un allié ou objet) à chaque Round sans quoi ce kiho prends fin.</t>
  </si>
  <si>
    <t>Lorsque vous activez ce kiho, vous réduisez les dommages que vous subissez en raison de la chaleur ou du froid de -2g2. Cela inclut les effets qui génèrent du Feu comme les sorts et autres kihos. Cet effet dure 1 Jour.</t>
  </si>
  <si>
    <t>Qd vous activez ce kiho, vous ne pouvez pas prendre la Posture d'Esquive ou de Défense. Si un adv. échoue à vous attaquer au CàC, vous pouvez à votre tour suivant tenter une Manœuvre de Désarmement contre lui (s'il se trouve à portée) sans déclarer d'A, ce qui met un terme au kiho. Vous devez l'utiliser dans la journée.</t>
  </si>
  <si>
    <t>Quand vous activez ce kiho, vous devez viser un adversaire situé dans un rayon de 15m et réussir un Test d'Opposition de Vide contre lui. En cas de réussite, son score d'Initiative baisse de 5 tandis que le vôtre augmente d'autant.</t>
  </si>
  <si>
    <t>Quand ce kiho est actif, un individu au choix situé dans un rayon de 6m gagne un Pvide au début de son Round suivant. Un même individu ne peut bénéficier des avantages de ce kiho plus de deux fois par Tour.</t>
  </si>
  <si>
    <t>Qand ce kiho est actif, on considère que l'un de vos Anneaux et traits associés ont 1 Rang de plus. L'Anneau affecté dépends de l'environnement: les montagnes augmentent la Terre, les côtes l'Eau, les plaines l'Air et les déserts et régions volcaniques le Feu.</t>
  </si>
  <si>
    <t>Vous dévez déclarer une A pour frapper un adv. avec ce kiho. En cas de succès vous n'infligez aucun dommage mais vous regagnez aussi tôt 2 Pvide. Ce kiho ne peut être utilisé que sur des ennemis, il n'a aucun effet sur les alliés du moine ou sur les cibles ne disposant pas de points de Vide.</t>
  </si>
  <si>
    <t>Indéfinie</t>
  </si>
  <si>
    <t>Dommages (+1 Blessure), Cible (+1)</t>
  </si>
  <si>
    <t>La cible doit déjà avoir subi au moins 1 Blessure pour que le sort fasse effet. La plaie se met à saigner et inflige 1 blessure suppl. au débaut de chaque Round. L'effet s'applique indéfiniment jusqu'à ce que le plaie soit soignée par magie ou bandée au moyen d'un jet de Médecine (Traitement des blessures)/Intelligence de ND 20.</t>
  </si>
  <si>
    <t>Durée (+1 Round), Cible (+1), Spécial (+1 Pvide par 2A)</t>
  </si>
  <si>
    <t>Le sort attire les kansens chargés de distraire et de rompre le lien que la cible entretient avec le véritable vide. La cible perd aussi tôt un Pvide qu'elle ne peut regagner tant que dure le sort.</t>
  </si>
  <si>
    <t>1 personne</t>
  </si>
  <si>
    <t>Durée (+10 min), Portéé (+3m), Cible (+1)</t>
  </si>
  <si>
    <t>Durée (+1h par 2A), Portée (+6m), Cible (+1)</t>
  </si>
  <si>
    <t>1 menbre d'une personne</t>
  </si>
  <si>
    <t>Durée (+2 Rounds), Portée (+3m)</t>
  </si>
  <si>
    <t>Durée (+2 min), Spécial (soigne +1g0 suppl. par A)</t>
  </si>
  <si>
    <t>Zone d'effet (+1,5 m de rayon), Durée (+2 Rounds)</t>
  </si>
  <si>
    <t>1 créature intelligente</t>
  </si>
  <si>
    <t>Portée (+15m), Spécial (+1 AG par 2A)</t>
  </si>
  <si>
    <t>Ce sort ne peut cibler qu'une personne qui dort ou qui pourrait s'endormir facilement. Elle fait alors des cauchemard au cours desquels elle commet des actes déshonnorants. Pendant les 24h qui suivent le fin du Sort, le lanceur gagne une AG aux Tests de Tentation et d'Intimidation contre la victime.</t>
  </si>
  <si>
    <t>Durée (+2min), Portée (+3m), Cible (+1), Spécial (+1 Rg de Const. Par 2A)</t>
  </si>
  <si>
    <t>Pour toute la durée du sort, le Rang de Constitution de la victime baisse de 1 (pour un minimum de 1). Cela peut bien évidemment réduire son Anneau de Terre et ses Rangs de Blessure, la rendant ainsi plus vulnérable.</t>
  </si>
  <si>
    <t>Le lanceur peut viser n'importe quel objet en jade (y compris une armure) situé à portée mais doit être en mesure de le voir. La jade se corrompt aussi tôt, ses propriétés sacrées anéanties par une véritable saturation de Souillure. Ce sort ne peut pas affecter un nemuranai éveillé qui contient du jade.</t>
  </si>
  <si>
    <t>Durée (+2 Rounds), Portée (+3m), Cible (+1 par 2A°</t>
  </si>
  <si>
    <t>Pour la durée du sort, la victime subit un malus de +10 au ND des activités physiques et mentales s'appuyant sur un jet de Compétence ou de Trait (ce qui inclut les jets d'Incantation). La cible subit également un malus de -10 au ND d'armure car le handicap l'empêche d'éviter les coups.</t>
  </si>
  <si>
    <t>Malédiction de l'Oeil qui ne Cille Pas</t>
  </si>
  <si>
    <t>2 Jours</t>
  </si>
  <si>
    <t>Durée (+1 Jour par 2A, max 7 Jours), Cible (+1 par 2A)</t>
  </si>
  <si>
    <t>Pour le durée du sort la victime ne peut pas trouver le sommeil et ne peut donc pas récupérer de Pvide ou d'Emplacement de Sort grâce au repos. Par ailleurs pour chaque jour passé sans dormir, la cible doit réussir un jet de Constitution contre un ND de 5 (+5X le nbre de nuits sans sommeil) ou être Fatiguée</t>
  </si>
  <si>
    <t>1 mort-vivant</t>
  </si>
  <si>
    <t>4 heures</t>
  </si>
  <si>
    <t>Durée (+2h), Portée (+6m), Cible (+1)</t>
  </si>
  <si>
    <t>Durée (+5 min), Spécial (absorbe un sort de plus par 2A)</t>
  </si>
  <si>
    <t>Durée (+1 Round par 2A), Portée (+3m)</t>
  </si>
  <si>
    <t>Portée (+6m), Cible (+1 par 3A)</t>
  </si>
  <si>
    <t>1 oni invoqué</t>
  </si>
  <si>
    <t>Spécial (+1g0 au jet de Volonté pour contrôler), Spécial (un oni plus puissant)</t>
  </si>
  <si>
    <t>24 heures</t>
  </si>
  <si>
    <t>Durée (+24h)</t>
  </si>
  <si>
    <t>5 Rounds/5 min</t>
  </si>
  <si>
    <t>Durée (+5 min), Portée (+3m), Spécial (+1g0 au jet pour retenir le prisonnier)</t>
  </si>
  <si>
    <t>Toute créature de l'Outremonde y compris les M-V, les Damnés, ni les Onis et leurs rejetons ne sont pas affectées. Si le sort est lancé avec succès, il invoque des menotes de fer noir qui emprisonnent la cible et la rendent impuissante tant que dure le sort. La victime peut se libérer au moyen d'un jet d'Opposition de Force.</t>
  </si>
  <si>
    <t>Dommages (+1g0), Portée (+6m), Cible +1 par 2A)</t>
  </si>
  <si>
    <t>Spécial (+1 Rang de Trait par 2A)</t>
  </si>
  <si>
    <t>Pour le lancer le maho-tsukai doit détenir un fétiche ou objet appartenant à sa cible. La victime perd 1 Rang dans un Trait au choix du lanceur. On peut la priver de plusiuers rangs en prennant des A mais jamais en dessous de 1. Une diminution de l'Anneau de Terre diminuant les Blessures peut provoquer la mort.</t>
  </si>
  <si>
    <t>Durée (+2 min), Portée (+3m), Cible (+1)</t>
  </si>
  <si>
    <t>Ce sort pousse les kansens à modifier les pensées de la cible pour l'empêcher de mentir. Quoi qu'elle tente de dire elle n'exprimera que la vérité aussi dommageable soit-elle pour elle, sa famille, son seigneur ou son clan. Pour cacher la vérité quand on est victime de ce sort il faut réussir un jet de Volonté contre un ND de 30.</t>
  </si>
  <si>
    <t>1 message (jusque 10 mots)</t>
  </si>
  <si>
    <t>1 semaine</t>
  </si>
  <si>
    <t>Durée (+1 Jour), Spécial (+3 Mots)</t>
  </si>
  <si>
    <t>Les maho-tsukai utilisent ce sort pour laisser des messages cachés. Ecrit sur une surface plâne, la surface absorbe l'encre qui disparait pour ne réapparaitre qu'une fois les conditions fixées par le lanceur remplies. On ne peut pas le détecter physiquement mais les sorts de détection montrent quelque chose de dissimulé.</t>
  </si>
  <si>
    <t>Durée (+1 Round), Spécial (+1 Trait phys. par 2A)</t>
  </si>
  <si>
    <t>Le bénéficiaire de ce sort voit son Anneau de Terre augmenter de 1 pour la durée du sort. Il gagne aussi le pouvoir de voir malgré les gênes visuelles comme le brouillard, la fumée ou l'obscurité. Le retour à la normale diminuant les blessures peut être mortel si les dommages subis sont trop importants.</t>
  </si>
  <si>
    <t>Durée (+1 Jour par 2A), Portée (+7,5m), Spécial (+1g0 au jet de Volonté)</t>
  </si>
  <si>
    <t>Portée (+3m), Cible (+1 par 2A)</t>
  </si>
  <si>
    <t>La victime vieillit physiquement de 10 ans et subit 7g7 Blessures. Ces dernières peuvent être soignées mais le vieillissement ne peut être inversé et un personnage qui a le malheur d'être touché plusieurs fois deviendra rapidement un vieilard décrépit (s'il ne meurt pas tout bonnement).</t>
  </si>
  <si>
    <t>Le sort crée une aura factice de calme et de bien-être qui dure plusieurs heures. Ceux qui en sont victimes ont du mal à fixer leur attention et subissent un malus de -1g0 à tous les jets de Compétence et de Trait utilisant l'Intuition ou la Volonté. Cette pénalité dure jusqu'à la fin du sort ou que l'on quitte la zone.</t>
  </si>
  <si>
    <t>Pourriture et eau pour 5 personnes</t>
  </si>
  <si>
    <t>Portée (+6m), Zone d'effet (ration pour 1 pers suppl.)</t>
  </si>
  <si>
    <t>Durée (+1 Jour par 2A), Portée (passe à 15m por 2A)</t>
  </si>
  <si>
    <t>Zone d'effet (+1,5m), Durée (+2h)</t>
  </si>
  <si>
    <t>Tout personne autre que le lanceur du sort qui entre dans la zone marquée par un glyphe de sang subit une pénalité de -2g0 à toutes ses actions physiques. Cet effet ne s'applique que lorsqu'une personne reste dans la zone s'effet et plusieurs symboles de sang ne se cumumlent pas.</t>
  </si>
  <si>
    <t>Le lanceur se fait pousser des ailes monstrueuses qui ressemblent à des ailes de chauve-souris ou d'une créature du même genre dans le dos. Pour la durée du sort, le maho-tsukai a une Vivacité de 3 lorsqu'il vole.</t>
  </si>
  <si>
    <t>Ce lanceur fait appel au pouvoir de Jikogu et accorde temporairement les bénédictions de la Souillure. Le lanceur du sort ou la personne touché par lui gagne un Pouvoir Majeur de l'Outremonde de son choix pendnt toute la durée du sort.</t>
  </si>
  <si>
    <t>1 samourai</t>
  </si>
  <si>
    <t>Durée (+10 Jours)</t>
  </si>
  <si>
    <t>Cette malédiction subtile fait en sorte que la samourai adopte les comportements les plus stéréotypés et les plus tristement célèbres de son clan. Un crabe peut devenir plus grossier ou intolérant, un phénix plus arrogant encore. Les changements sont significatifs mais pas extrêmes et la vitime tentera de rationnaliser.</t>
  </si>
  <si>
    <t>Portée (+3m), Durée (+1h)</t>
  </si>
  <si>
    <t>Spécial (augmente l'effet de Peur de +1)</t>
  </si>
  <si>
    <t>Durée (+6h)</t>
  </si>
  <si>
    <t>Le lanceur doir danser pendant au moins 1h et réussir un test de Danse/Intuition de ND 25 en incantant. Si le sort réussit, la lanceur peut gagner un Avantage Physique ou Mental ou infliger un Désavantage Physique ou Mental à une autre personne située à sa portée pendant la durée du sort. Ce sort ne peut pas modifier le physique.</t>
  </si>
  <si>
    <t>Dommages (+1g0), Portée (+3m), Cible +1 par 3A)</t>
  </si>
  <si>
    <t>Condition</t>
  </si>
  <si>
    <t>Le Shugenja et 1 créature</t>
  </si>
  <si>
    <t>Pendant toute la durée du sort, le lanceur du sort ne subit que 25% des Blessures qui lui sont infligées, la créature vivante ciblée subissant les 75% restants. Les dommages apparaissent spontanément sur la cible même ceux qui viennent du Jade qui ne pourraient pas normalement blesser la cible.</t>
  </si>
  <si>
    <t>Durée (+6h par 2A)</t>
  </si>
  <si>
    <t xml:space="preserve">Le lanceur de sort doit réussir un jet d'opposition de Terre contre un personne non-consentante. Si le sort réussit, le maho-tuskai consume la force vitale de la victime, la tuant instantanément. En retour, le lanceur guérit de toutes ses blessures, régènère membres et organes manquants et prolonge sa vie d'un an. </t>
  </si>
  <si>
    <t>Le Shugenja et 1 personne</t>
  </si>
  <si>
    <t>Portée (+150m), Spécial (peut être lancé en AS pour 4A)</t>
  </si>
  <si>
    <t xml:space="preserve">Moines de l'Araignée </t>
  </si>
  <si>
    <t>Astronomie</t>
  </si>
  <si>
    <t>Kumo</t>
  </si>
  <si>
    <t>Mujina</t>
  </si>
  <si>
    <t>Ningyo</t>
  </si>
  <si>
    <t>Superstitions</t>
  </si>
  <si>
    <t>Influence</t>
  </si>
  <si>
    <t>Rg. d'école X5 Rounds</t>
  </si>
  <si>
    <t>Toute attaque au CàC réussie par la cible de ce sort gagne un bonus de +2 au jet de dommages + le Rg. D'école du Déchireur d'Âmes. Mais pendant les Rounds ou la cible ne parvient pas à frapper un ennemi elle subit 2 + le Rg. D'école du Déchireur d'Âmes dommages car la faim consûme sa propre essence.</t>
  </si>
  <si>
    <t>Spécial (-5 à l'initative pour 2A, bonus de +1g0 au comp. Pour 2A)</t>
  </si>
  <si>
    <t>Rg. d'école X 160km</t>
  </si>
  <si>
    <t>Rg. d'école en min</t>
  </si>
  <si>
    <t>Le Déchireur d'äme apparait dans les rêves de la cible et peut transmettre un message en utilisant des images et des sons. Ceci est une communication à sens unique et le Déchireur ne peut savoir comment la cible réagit au message qu'il a délivré. Lorsque la cible se réveille elle se souvient clairement du message mais y croit ou non.</t>
  </si>
  <si>
    <t>Rg. d'école X2 Rounds</t>
  </si>
  <si>
    <t>Rg. d'école X2 Heures</t>
  </si>
  <si>
    <t>Spécial (+5 au ND de pénalité par 2A)</t>
  </si>
  <si>
    <t>1 allié ou 1 ennemi</t>
  </si>
  <si>
    <t>Spécial (+5 au ND de Volonté par 2A)</t>
  </si>
  <si>
    <t>Une créature sous l'effet de ce sort adopte imdtmnt la Posture d'Assaut pendant toute la durée du sort. Pdt son tour elle doit attaquer la cible la plus proche d'elle, alliée ou ennemie. La rage aveugle lui donne un bonus de +1g0 à ses jets d'attaque. La cible peut résister par un jet de Volonté au ND égal à 5X Rg. d'école du lanceur.</t>
  </si>
  <si>
    <t>Pendant toute la durée du sort, l'individu ciblé est considéré comme étant d'un Rang de Blessures plus bas que son véritable état. Par exemple une créature au Rang de Blessures +5 au ND aura un malus au ND effectif de +10. Ce sort cause la mort si la cible est au Rang de Blessure Hors Combat.</t>
  </si>
  <si>
    <t>Rg. d'école X1 Rounds</t>
  </si>
  <si>
    <t>Rg. d'école en Jours</t>
  </si>
  <si>
    <t>Durée (+1 Jour par 2A)</t>
  </si>
  <si>
    <t>Spécial (+1 question par 3A)</t>
  </si>
  <si>
    <t>La cible de ce sort ajoute +2g2 à tous ses jets de dommages pour toute attaque au CàC qu'elle porte. De plus une personne bléssée par une de ces attaques doit réussir un test de Volonté de ND 30 ou être Hébètée par les sentiments de faim et de souffrance qui passent à travers elle.</t>
  </si>
  <si>
    <t>Spécial (+5 au ND de volonté par 3A), Dommages (+1g1 par 3A)</t>
  </si>
  <si>
    <t>Les créatures ciblées par ce sort sont torturées par une souffrance non physique. Au début de chaque tour, sous l'effet du sort elles doivent réussir un jet de Volonté ND 25 ou elles sont incapables d'agir pendant ce round et subir 2g2 Blessures. Les créatures sans âme (comme les M-V) ou de Toshigoku sont immunisées.</t>
  </si>
  <si>
    <t>Rg. d'école X3 Rounds</t>
  </si>
  <si>
    <t>Spécial (+1 ensemble de Traits pour 5A)</t>
  </si>
  <si>
    <t>La cible de ce sort augmente un de ses Traits Physiques (Agilité, Réflexes, Constitution ou Force) d'un nmbre de pts égal au Rang d'école du déchireur d'âmes. Le Trait Mental correspondant à ce Trait physique diminue d'autant jusqu'à un minimum de 1. La cible reçoit tjrs l'augmentation complète. Ne modifie pas les Blessures.</t>
  </si>
  <si>
    <t>1 humain</t>
  </si>
  <si>
    <r>
      <t xml:space="preserve">La cible de ce sort perd tous les liens qu'elle peut avoir avec ses ancêtres. Elle perd toutes les capacités qui sont associées par un </t>
    </r>
    <r>
      <rPr>
        <i/>
        <sz val="6"/>
        <rFont val="Arial"/>
        <family val="2"/>
      </rPr>
      <t>Ancêtre</t>
    </r>
    <r>
      <rPr>
        <sz val="6"/>
        <rFont val="Arial"/>
        <family val="2"/>
      </rPr>
      <t xml:space="preserve">, le Désavantage </t>
    </r>
    <r>
      <rPr>
        <i/>
        <sz val="6"/>
        <rFont val="Arial"/>
        <family val="2"/>
      </rPr>
      <t>Possédé</t>
    </r>
    <r>
      <rPr>
        <sz val="6"/>
        <rFont val="Arial"/>
        <family val="2"/>
      </rPr>
      <t xml:space="preserve"> et l'Avantage </t>
    </r>
    <r>
      <rPr>
        <i/>
        <sz val="6"/>
        <rFont val="Arial"/>
        <family val="2"/>
      </rPr>
      <t>Caresse des Royaumes Spirituels (Yomi)</t>
    </r>
    <r>
      <rPr>
        <sz val="6"/>
        <rFont val="Arial"/>
        <family val="2"/>
      </rPr>
      <t>. Elle subit également une pénalité de +5 au ND de toutes ses actions.</t>
    </r>
  </si>
  <si>
    <t>Avant d'effectuer une action pdt un Round, une personne touchée par ce sort doit faire un jet d'Honneur de ND X10 le Rg d'école du Déchireur d'Âme. Si elle échoue elle reste incapable d'agir mais est considérée comme ayant tout de même agi. Si elle réussit elle peut agir normalement mais doit refaire le test pour chaque action.</t>
  </si>
  <si>
    <t>La cible de ce sort vit un rêve éveillé et est incapable de s'apercevoir que c'est une illusion même si elle subit des blessures ou des effets désagréables. Pdt l'étape de Réactions d'un Round où elle subit des dmgs elle peut faire un Test d'Intuition de ND 30 pour se réveiller mais subit -3g0 à toutes ses actions pdt que perdure le sort.</t>
  </si>
  <si>
    <t>Rg. d'école en Semaines</t>
  </si>
  <si>
    <t>Spécial (+1 Rg de Malchanceux pour 4A)</t>
  </si>
  <si>
    <t>Chanceux Exeptionnel</t>
  </si>
  <si>
    <t>Des griffes poussent: un bonus de +3g2 à ses dommages à Mains Nues et une épaisse fourrure: +3 pts de Réduction. La cible aquiert Vivacité 3 (ou Vivacité +1 si elle en a déjà). Le Trait d'Intelligence &gt; à 2 = 2 pr la durée du sort, et doit faire un jet d'Enquête/Intelligence ND 20 pour ne pas considérer une personne comme un ennemi.</t>
  </si>
  <si>
    <t>Ouie</t>
  </si>
  <si>
    <t>Le Chaman</t>
  </si>
  <si>
    <t xml:space="preserve">Durée (+1h par 2A) </t>
  </si>
  <si>
    <t>La parole de bête permet au chaman de comprendre et de parler le language des animaux communs. Ce sort ne garantit en rien que les animaux souhaitent converser avec le Chamane, il ne fait que rendre la conversation possible.</t>
  </si>
  <si>
    <t>Spécial (Pénalité +5), Contrecoup (blessures), Saignée (5)</t>
  </si>
  <si>
    <t>Ce Sort altère le nom de la cible ce qui la désoriente et la déroute. Tant que ce sort est actif, la cible subit une pénalité de +5 au ND de ses Jets de Compétence</t>
  </si>
  <si>
    <t>8m</t>
  </si>
  <si>
    <t>Tant que le sort est actif, le cible peut relancer un de ses Jets de dés après avoir pris connaissance de son résultat et conserver le résultat qu'elle souhaite.</t>
  </si>
  <si>
    <t>Le chaman crée l'illusion parfaite de ce que la cible désire le plus. Si la victime du sort tente d'interagir avec l'illusion, elle peut la percer en effectuant un Test de Perception avec un ND égal au (Rg. D'école + Rg de Nom)X5 du chaman. Le chaman n'exerce aucun contrôle sur l'illusion et seule la victime peut la voir.</t>
  </si>
  <si>
    <t>Spécial (de quoi nourrir un adulte en plus)</t>
  </si>
  <si>
    <t>Ce sort fait jaillir des fruits frais et mûrs du sol en quantité suffisante pour nourrir un nezumi adulte pendant toute une journée</t>
  </si>
  <si>
    <t>Zone d'effet (+1,5m au rayon), Durée (+1min), Contrecoup (blessures), Saignée (5)</t>
  </si>
  <si>
    <t>1 nuit</t>
  </si>
  <si>
    <t>Spécial (+1 voyageur par 3A), Spécial (Danse obligatoire)</t>
  </si>
  <si>
    <t xml:space="preserve">Ce sort permet à un Chaman (et à d'autres voyageurs s'il le souhaite) de pénêtrer dans Yume-Do. Tant qu'ils sont dans le Royaume des Rêves, les voyageurs peuvent avoir un aperçu de l'avenir, rencontrer des esprits ou même assister aux rêves d'un autre individu. Leurs corps sont endormis et sans défence. </t>
  </si>
  <si>
    <t>Spécial (+1 question), Contrecoup (blessures), Saignée (10), Danse obligatoire</t>
  </si>
  <si>
    <t>Après avoir activé ce sort, le Chaman tombe dans un profond sommeil dont rien ne peut l'ôter tant que le sort persiste. Son esprit est en compagnie d'un Transcendant nezumi qui répondra normalement à une question. Le sort prend fin quand le chaman a fini de poser ses questions. La réponse est souvent une énigme.</t>
  </si>
  <si>
    <t>Ce sort ne peut être employé que si le chaman connait le nom véritable de la cible. Cela permet de guérir d'un nombre de Blessures égal à la différence entre son ND d'incantation et le résultat obtenu au jet. Ce sort peut aussi servir à réparer des objets brûlés, brisés ou endommagés d'un poids inférieur à 500 grammes</t>
  </si>
  <si>
    <t>1 animal de petite taille</t>
  </si>
  <si>
    <t>1 an</t>
  </si>
  <si>
    <t>Spécial (Danse +2g2)</t>
  </si>
  <si>
    <t>Dommages (+1g0), Portée (+3m), Cible (+1 par 3A max 5 cibles), Spécial (Saignée 5)</t>
  </si>
  <si>
    <t>Ce sort canalise la pureté du chaman sous la forme d'un faisceau d'énergie cristaline qui onflige 3g3 aux créatures Souillées ou corrompues par le Néant. Si ce sort est employée contre une cible qui n'est ni Souillée ni corrompue, le chaman subit les dommages indiqués.</t>
  </si>
  <si>
    <t>Cible (+1 par 2 A), Contrecoup (Blessures)</t>
  </si>
  <si>
    <t>1 animal</t>
  </si>
  <si>
    <t>Contrecoup (Blessures), Saignée (4)</t>
  </si>
  <si>
    <t>Ce sort sert à amener un animal jusqu'au chaman en télépotant littéralement celui-ci. L'animal doit être indigène de la région et ne peut pas être un animal particulier. L'animal apparait dans un rayon de 30m autour du chaman et se comporte normalement mais sont généralement très confus. Max 90kg par Rg d'école du chaman.</t>
  </si>
  <si>
    <t>Illimitée</t>
  </si>
  <si>
    <t>1 Arme nomée</t>
  </si>
  <si>
    <t xml:space="preserve">En ActG ce sort fait apparaitre l'Arme Nommée du shaman dans ses mains. Si son arme Nomée a été détruite, ce sort en restaure l'essence (et le Rg de Nom perdu lors de sa destruction par la même occasion). </t>
  </si>
  <si>
    <t>Danse (obligatoire), Contrecoup (Blessures)</t>
  </si>
  <si>
    <t>Une fois le sort lancé, toutes les blessures dont souffre le chamane sont guéries, tout membre qu'il a perdu lui est rendu et tous les effets négatifs qu'il a subit pour à cause de sorts sont éliminés.</t>
  </si>
  <si>
    <t>Dissimulation du Nom</t>
  </si>
  <si>
    <t>Spécial (+1 tentative par 3A)</t>
  </si>
  <si>
    <t>Ce sort fait échouer la prochaine tentative visant à apprendre le Nom Véritable de l'individu protégé que cette tentative soit faite de façon magique ou par le biais de l'observation. Il n'est pas possible à plusieurs chamans de protéger un même objet ou une même personne en même temps: une seule instance de ce sort à la fois.</t>
  </si>
  <si>
    <t>Durée (+1 heure), Contrecoup (Blessures)</t>
  </si>
  <si>
    <t>Tant que ce sort est actif, le chamane peut se servir d'une Compétence de son choix comme s'il la possédait avec un Rang de Maitrise égal à son Rang de Nom effectif. Les rangs de maitrise qu'il possède déjà dans cette compétence ne s'additionnent pas aux Rangs dont il bénéficie grâce à ce sort.</t>
  </si>
  <si>
    <t>Danse (optionnel +2g2)</t>
  </si>
  <si>
    <t>Ce sort ne peut être employé que si le chaman connait le nom véritable de la cible. Cela permet d'éliminer les poisons, les maladies et les effets magiques dont souffre la cible mais il ne fait rien pour guérir les Blessures et autres dégâts physiques. Le MJ est libre d'augmenter le ND du sort pour des maladies ou poisons incurables.</t>
  </si>
  <si>
    <t>Saignée (3)</t>
  </si>
  <si>
    <t>Ce sort permet de sonder le monde des esprits afin de découvrir le Nom Véritable de la cible. Le ND de ce sort est augmenté de (Rang d'Anneau le plus élévé de la cible)X son Rang d'Intuition. Si la cible n'a pas d'Intuition elle est égale à 1.</t>
  </si>
  <si>
    <t>Cibles (+1 par 2A), Spécial (+1 Compétence)</t>
  </si>
  <si>
    <t>1 individu consentant</t>
  </si>
  <si>
    <t>Spécial (Danse obligatoire)</t>
  </si>
  <si>
    <t>Tous les sorts (de la magie du nom ou pas) qui affectent la cible et le chaman (en bien ou en mal), les affectent tous les 2. Les 2 participants sont toujours au courant de leurs positions relatives. Un seul lien à la fois peut être actif en même temps. Si l'un deux deux meurt, l'autre subit XgX blessures où X est le Rg de Nom du chamane.</t>
  </si>
  <si>
    <t>Cibles (+1 par 2A), Dommages (+1g0), Saignée (6, règles spéciales)</t>
  </si>
  <si>
    <t>Spécial, Contrecoup (Blessures X2)</t>
  </si>
  <si>
    <t>Tant que le sort fait effet, le chaman sait instantanément tout ce qui est passé par la tête de sa cible lors du dernier Round. Ce sort permet de détecter les mensonges ou les motifs cachés d'une conversation. Si le chaman prends 2A, la cible perd le fil de ses pensées, augmentant de ND +5 toutes ses actions au prochain tour.</t>
  </si>
  <si>
    <t>1 mujina</t>
  </si>
  <si>
    <t>Contrecoup (BlessuresX3), Danse (obligatoire)</t>
  </si>
  <si>
    <t xml:space="preserve">Ce sort convoque un mujina depuis Sakkaku. Le mujina exige un paiement en retour qui prends souvent la forme d'une poignée de bijoux dorés ou d'un jouet d'une grande sophistication. Si le mujina est satisfait, il devient le fidèle serviteur du chaman pendant 1 mois, sinon il rentre à Sakkaku en colère. Max 1 mujina à la fois. </t>
  </si>
  <si>
    <t>1,5km</t>
  </si>
  <si>
    <t>Durée (+1 min), Contrecoup (Blessures X2), Saignée (5)</t>
  </si>
  <si>
    <t>Durée (+1 min par 2A pour les 2 ères puis +1A)</t>
  </si>
  <si>
    <t>Ce sort ne peut être employé que si le chaman connait le nom véritable de la cible. Cela permet au chaman de connaitre la direction générale de la cible et la distance qui les sépare.</t>
  </si>
  <si>
    <t>1 terrier nommé</t>
  </si>
  <si>
    <t>Danse (obligatoire)</t>
  </si>
  <si>
    <t>Portée (+1,5km), Spécial (ND d'armure augmenté par 2A), Saignée (5)</t>
  </si>
  <si>
    <t>Tant que ce sort est actif, le ND d'armure du chamane diminue de la hauteur de son Rang de Nom tandis que celui de la cible augmente d'autant. Ce bonus peut être augmenté par des augmentations mais pas plus que le ND d'armure du chamane.</t>
  </si>
  <si>
    <t>Durée (+1 Jour), Danse (obligatoire)</t>
  </si>
  <si>
    <t>2 individus</t>
  </si>
  <si>
    <t>Spécial (une cible évite la désorientation par tranche de 2A)</t>
  </si>
  <si>
    <t>Le Chamane doit posséder une Arme Nommée pour utiliser ce sort. Pour chaque tranche de 2 emplacements de sort que le chamane insuffle dans l'arme, celle-ci gagne un bonus de +1g1 qui peut être alloué en au jet d'attaque ou au jet de dommages pendant toute la durée du sort au choix du chamane.</t>
  </si>
  <si>
    <t>Ce sort ne peut être employé que si le chaman connait le nom véritable des cibles. Ce sort permutte instantanément les positions des 2 cibles (le chaman peut être l'une de celles-ci). Les 2 cibles sont désorientées pour la durée de leur prochain tour et ne peuvent accomplir que des ActG durant ce temps.</t>
  </si>
  <si>
    <t>Contrecoup (Blessures X2)</t>
  </si>
  <si>
    <t xml:space="preserve">Ce sort ne peut être employé que si le chaman connait le nom véritable de la cible. L'âme du chaman est transférée dans le corps de la victime qui peut exercer un contrôle complet mais ne peut pas employer ses Compétences, Techniques ou Sorts. La cible voit tout et entends tout ce qui se passe mais est incapable d'agir. </t>
  </si>
  <si>
    <t>Contrecoup (Blessures X2), Saignée (20)</t>
  </si>
  <si>
    <t>5 km</t>
  </si>
  <si>
    <t>Contrecoup (Blessures X3)</t>
  </si>
  <si>
    <t>1 pot de peinture et 1 créature vivante</t>
  </si>
  <si>
    <t>Spécial (Coût des Avantages +1), Danse (obligatoire)</t>
  </si>
  <si>
    <t>Spécial (+1 cristal crée de plus par 3 A), Saignée (spécial), Danse (obligatoire)</t>
  </si>
  <si>
    <t>Durée (+1 heure), Contrecoup (BlessuresX3), Saignée (4)</t>
  </si>
  <si>
    <t>90 (ou 1,5 km si la chaman connait le Nom)</t>
  </si>
  <si>
    <t>Durée (+1 Jour), Saignée (20), Danse (obligatoire)</t>
  </si>
  <si>
    <t>Cibles (+1 par 2A), Contrecoup (Blessures X3), Saignée (20)</t>
  </si>
  <si>
    <t>1 cauchemar</t>
  </si>
  <si>
    <t>Durée (+1 min), Contrecoup (Blessures X4)</t>
  </si>
  <si>
    <t>Le chamane abandonne son être corporel pour entrer définitivement dans le Royaume des Esprits sous la forme d'un Transcendant. Ce sort ne peut être appris qu'au près d'un Transcendant, secret qu'ils ne révèleront qu'aux chamanes qu'ils jugent dignes de leur rang.</t>
  </si>
  <si>
    <t>Le Chamane</t>
  </si>
  <si>
    <t>Rayon d'1,5 km centré sur le lanceur</t>
  </si>
  <si>
    <t>Contrecoup (Blessures X4), Saignée (10), Danse (obligatoire)</t>
  </si>
  <si>
    <t>Rg. de NomX 1,5km</t>
  </si>
  <si>
    <t>Jusqu'à 10 créatures vivantes</t>
  </si>
  <si>
    <t>Ce sort permet au chamane de convoquer mentalement jusqu'à 10 créatures par un message ne dépassant pas 20 mots. Le Chamane doit connaitre le nom véritable des personnes qu'il veut invoquer. Chaque individu consentant se voit alors instantanément transporté dans le lieu désigné par le Chamane à moins de 30m de lui.</t>
  </si>
  <si>
    <t>Contrecoup (mort), Saignée (30), Danse (obligatoire)</t>
  </si>
  <si>
    <t>Exigeances</t>
  </si>
  <si>
    <t>Ce bâton double la vitesse d'enfuissement de son porteur pendant une heure par jour.</t>
  </si>
  <si>
    <t>Ce bâton permet à son détenteur de bénéficier d'un bonus de +2g1 (au lieu de +1g1) quand il emploie un point de Nom pour améliorer un jet.</t>
  </si>
  <si>
    <t>Portée (+3,5 km)</t>
  </si>
  <si>
    <t>Spécial (+1 Constitution par 2A)</t>
  </si>
  <si>
    <t>Sorts, Kihos, Katas et Bâtons mémoire</t>
  </si>
  <si>
    <t xml:space="preserve">Tant que ce bâton est actif, il confère à son porteur un Rang de Compétence dans une Compétence qu'il ne pssède pas déjà et qui peut être différence à chaque activation. </t>
  </si>
  <si>
    <t xml:space="preserve">Tant que ce bâton est actif, son porteur peut nager en dépit de terribles vagues et courants. On considère quand il nage que son Rang d'Athlétisme est supérieur de 3 Rangs à ce qu'il est réèlement et qu'il possède la spécialité Natation même si ce n'est réèlement pas le cas. </t>
  </si>
  <si>
    <t>En gardant ce bâton en main pendant 1h, son porteur peut annuler les pénalités dues à la faim pendant un jour complet. Ce bâton peut être utilisé chaque jour pendant 1 semaine avant de cesser de fonctionner.</t>
  </si>
  <si>
    <t>Portée (+80km par 2A)</t>
  </si>
  <si>
    <t>80 km</t>
  </si>
  <si>
    <t>3,5 km</t>
  </si>
  <si>
    <t>1 heure par jour</t>
  </si>
  <si>
    <t>Le porteur de ce bâton peut soigner jusqu'à 10 blessures par jour par simple contact en subissant un nombre de blessures égales au nombre de blessures guéries. Les blessures que subit le porteur ne peuvent être guéries que de manière naturelle et pas par moyens magiques.</t>
  </si>
  <si>
    <t>Ce bâton tant qu'il est actif confère à son détenteur un bonus de +1g1 aux jets de Chasse si son sens de l'odorat est solicité</t>
  </si>
  <si>
    <t>Le porteur de se bâton se déplace comme si son Anneau d'Eau était augmenté de 2 Rangs par rapport à ce qu'il est réèlement (ce bonus s'ajoute à celui que confère Vivacité).</t>
  </si>
  <si>
    <t>Spécial (+1 à l'Anneau d'Eau par 2A)</t>
  </si>
  <si>
    <t>Ce bâton tant qu'il est actif confère à son détenteur un bonus de +1g1 aux jets de Discrétion et Passe-passe.</t>
  </si>
  <si>
    <t xml:space="preserve">Ce bâton tant qu'il est actif confère à son détenteur un bonus de +1g1 aux jets de dommages quand il emploie un type d'armes précis ou combat à mains nues (déterminé par le fabricant du bâton) </t>
  </si>
  <si>
    <t>Tant que ce bâton est actif, son porteur peut infliger des dégâts aux créatures Invulnérables avec n'importe quele arme au même titre que si c'était une arme en cristal ou en jade. Si la créature ciblée est Souillée, sa Réduction est réduite de 3 tant que le nezumi qui l'attaque tient le bâton du démon.</t>
  </si>
  <si>
    <t>Une fois par semaine le porteur de ce bâton peut entrer dans le Monde des Rêves Yume-Do pendant son sommeil tout en demaurent parfaitement conscient et capable de contrôler ses actions.</t>
  </si>
  <si>
    <t>Une fois par jour, le porteur de ce bâton peut déterminer si ce qui vient d'être dit est vrai ou faux.</t>
  </si>
  <si>
    <t>Si le porteur de ce bâton ne porte aucune armure, son ND d'armure augmente de +10 et sa Réduction de 5 comme s'il portait une armure Lourde.S'il porte déjà une armure, il peut ignorer les pénalités de son armure lorsqu'il emploie une compétence.</t>
  </si>
  <si>
    <t>Spécial (+2A pour les 2 bonus en même temps), Spécial (+4A pour 10X Rg de Terre)</t>
  </si>
  <si>
    <t xml:space="preserve">Une fois par jour un chamane qui détient ce bâton peut l'activer pour ne pas à avoir à dépenser d'emplacement de sort la prochaine fois qu'il devrait en dépenser un. </t>
  </si>
  <si>
    <t>(+1 utilisation par jour pour 2A)</t>
  </si>
  <si>
    <t>Le porteur de ce bâton peut toujours voir clairement même s'il est aveuglé ou plongé dans l'obscurité, la brume, la fumée ou toute autre situation quand la visibilité est réduite. Ce bâton fait effet pendant 1h après son activation et ne peut être utilisé qu'une fois par jour.</t>
  </si>
  <si>
    <t>Le porteur de ce bâton peut conférer des rangs de Compétence à ses compagnons pour peu qu'il possède lui-même cette compétence à un Rang de maitrise&gt;4 et donne ainsi 2 Rangs de compétence à un max de 10 compagnons. Le rang de maitrise de ceux-ci ne peut dépasser celui du maître. Une fois par jour et pour 1h max.</t>
  </si>
  <si>
    <t>Spécial (+5 au ND de Volonté par A)</t>
  </si>
  <si>
    <t>Rareté</t>
  </si>
  <si>
    <t>R</t>
  </si>
  <si>
    <t>Friandises/Douceurs (4 parts)</t>
  </si>
  <si>
    <t>Nécéssaire de maquillage</t>
  </si>
  <si>
    <t>Etendard/Bannière dorsale (petit)</t>
  </si>
  <si>
    <t>Présentoir/Support à daisho</t>
  </si>
  <si>
    <t>Bol/Tasse à saké</t>
  </si>
  <si>
    <t>Poche/Besace d'Obi</t>
  </si>
  <si>
    <t>Vous ne devez jamais produire délibérément un travail d'Artisanat /Ingénierie qui serait inférieur à ce que vous avez déjà produit. Ceci inclut évidemment le fait d'accepter de garder un résultat de jet de dés bas alors que votre score est plus haut mais peut avoir d'autres applications d'interprétation jugées par le MJ.</t>
  </si>
  <si>
    <t>Asahina attend devous que vous soyez à la hauteur de ses idéaux de pacifisme absolu. Si jamais vous nuisez volontairement et délibérément à un être vivant, même une créature souillée, il vous abandonne.</t>
  </si>
  <si>
    <t>L'orientation spirituelle d'Asahina vous accorde un bonus de +1g0 à vos jets de Méditation et un bonus de +1g1 à l'Incantation des sort qui ne font aucun dommage pourvus du mot-Clef Artisanat ou Défense.</t>
  </si>
  <si>
    <t>Vous devez honorer les sacrifices de Hayaku en teigant vos cheveux en blanc. Vous ne pouvez jamais abandonner, trahir, ou mettre en danger un membre de la famille Doji (ou votre charge si vous êtes un Yojimbo)-si vous le faites, vous Hayaku abandonne en fureur.</t>
  </si>
  <si>
    <t>Les dons d'Hiruma vous donnent un bonus de +1g0 à vos jets de Discrétion, Kenjutsu, et Kyujutsu.</t>
  </si>
  <si>
    <t>L'orientation spirituelle d'Hayaku vous accorde un bonus de +1g1 en Connaissances:Outremonde et une augmentation gratuite sur toutes les attaques avec des Lances.</t>
  </si>
  <si>
    <t>Agasha était une pacifiste, et si jamais vous servez à la guerre, elle vous abandonne. Cependant, comme elle a été une fois enlevée par des gobelins, elle n'abandonnera pas un descendant qui fait la guerre contre l'Outremonde.</t>
  </si>
  <si>
    <t>Les idées de Agasha de la vraie nature des éléments vous accordent un bonus de +1g0 à l'incantation de tous sorts qui ne sont pas issus du Vide et un bonus de +1g1 à tous les jets de compétences Art de la Magie.</t>
  </si>
  <si>
    <r>
      <t>Les idées de Agasha de la vraie nature des éléments vous accordent un bonus de +1g0 à l'incantation de tous sorts qui ne sont pas issus du Vide et un bonus de +1g1 à tous les jets de compétences Art de la Magie. Vous connaissez aussi le sort secret "</t>
    </r>
    <r>
      <rPr>
        <i/>
        <sz val="6"/>
        <rFont val="Arial"/>
        <family val="2"/>
      </rPr>
      <t>Transmuter</t>
    </r>
    <r>
      <rPr>
        <sz val="6"/>
        <rFont val="Arial"/>
        <family val="2"/>
      </rPr>
      <t>".</t>
    </r>
  </si>
  <si>
    <t>Yamatsu vous abandonne si jamais vous gagnez une Souillure de 1.0 ou plus, ou si jamais vous utilisez volontiers de maho ou de la puissance de l'Outremonde.</t>
  </si>
  <si>
    <t>La faveur de Yamatsu vous accorde deux rangs de Résistance Magique qui s'appliquent uniquement contre la Maho. En outre, son esprit courageux vous accorde un bonus de +2g2 à tout jet de Volonté visant à résister à être possédé ou contrôlé par magie.</t>
  </si>
  <si>
    <t>Azami était une femme profondément pieuse. Elle vous laissera tomber si vous commettez un acte d'impiété ou blasphèmatoire contre les fortunes ou les dieux célestes (volontairement ou accidentellement).</t>
  </si>
  <si>
    <t>Les conseils d'Azami vous accordent la faveur du Soleil: vous souffrez pas d'effets néfastes du soleil (par exemple, la déshydratation, les coups de soleil, etc) et gagnez une Réduction de 5 contre le Feu (normal ou magique).</t>
  </si>
  <si>
    <t>Mille-pattes</t>
  </si>
  <si>
    <t>Ososuki et Akomachi restent profondément attachés aux esprits animaux qui les ont fait naître. Ils vous abandonnent si jamais vous tuez volontairement ou sciemment un animal ou un esprit animal (sauf pour l'auto-défense, qu'ils pardonnent).</t>
  </si>
  <si>
    <t>L'attention d'Osusuki et Akomachi vous permet de parler avec les animaux et les esprits animaux comme les changeformes. En outre, leur sagesse vous permet de toujours trouver de la nourriture et de l'eau même en plein désert.</t>
  </si>
  <si>
    <t>Isawa était un homme fier qui croyait la magie de sa famille supérieure à toutes les autres. Il vous abandonne si jamais vous perdez une compétition magique ou savante contre quelqu'un qui n'est pas lui-même de la famille Isawa.</t>
  </si>
  <si>
    <t>Kaeteru était détaché des préoccupations des mortels et abandonnera tout descendant qui devient trop impliqué dans les affaires du monde comme l'argent ou la politique. (Par exemple si votre personnage acquiert plus de 3 rangs de compétences de Marchand, Dégradante ou Courtisan)</t>
  </si>
  <si>
    <t>Si vous êtes honoré de la guidance de Kaeteru, ses idées éclairées vous permettent d'utiliser la compétence de méditation (deux heures, jet de compétence de ND 30) pour retrouver un emplacement de sort dans chaque anneau.</t>
  </si>
  <si>
    <t>Alors qu'Hiruma vous regarde, vous pouvez ne jamais trahir volontiers le Clan du Crabe et votre Rang d'honneur ne peut jamais monter plus haut que 5.0.</t>
  </si>
  <si>
    <t>Yogo vous abandonne si jamais vous tombez amoureux, car cela signifie que vous succomberez à sa malédiction.</t>
  </si>
  <si>
    <r>
      <t xml:space="preserve">La guidance de Yogo vous gratifie d'un bonus de +1g à l'Incantation de sorts de Glyphes, mais en raison de votre lien de sang avec lui vous gagnez automatiquement le Désavantage </t>
    </r>
    <r>
      <rPr>
        <i/>
        <sz val="6"/>
        <rFont val="Arial"/>
        <family val="2"/>
      </rPr>
      <t>Mauvaise Fortune: Malédiction de Yogo</t>
    </r>
    <r>
      <rPr>
        <sz val="6"/>
        <rFont val="Arial"/>
        <family val="2"/>
      </rPr>
      <t xml:space="preserve"> contre aucun point d'expérience.</t>
    </r>
  </si>
  <si>
    <t>Saibankan était un Scorpion fidèle mais aussi un homme profondément dévoué à la défense du droit et de l'ordre. Si vous défiez sciemment la loi ou permettez à un autre de se défier d'elle en votre présence, Saibankan vous abandonne... à moins que vous l'ayez fait sur ​​les ordres de vos supérieurs au sein du Clan du Scorpion</t>
  </si>
  <si>
    <t>La direction de ce juge célèbre vous accorde un bonus de +3g1 (plutôt que l'habituel 1g1) chaque fois que vous dépensez un Pvide pour un test requierant au Trait de Perception ou à la Compétence Connaissance: Droit.</t>
  </si>
  <si>
    <t>Otaku vous abandonne si jamais vous êtes délibérément cruel envers un cheval ou si vous provoquez jamais un homme (qu'il s'agisse d'un duel ou d'un concours), puis perdez.</t>
  </si>
  <si>
    <t>Otaku n'offre ses conseils qu'aux femmes qui descendent de sa ligne. La sagesse d'Otaku accorde une connexion empathique aux chevaux, qui vous donne un bonus de +1g1 à tous les jets de compétence Equitation. La férocité et la détermination d'Otaku vous accordent un bonus de +1g0 aux jets d'attaque contre des adversaires masculins.</t>
  </si>
  <si>
    <t>Tant que vous souhaitez conserver la faveur de Iuchi, vous pouvez ne jamais laisser passer une chance d'en apprendre d'avantage sur la magie magie, même dangereuse ou blasphématoire. Juste parce que le fait d'avoir des connaissances sur le sujet ne signifie pas que vous allez les utiliser, après tout ...</t>
  </si>
  <si>
    <t>La direction d'Iuchi n'est décernée qu'aux shugenjas de sa lignée, ce qui leur permet d'aborder les sorts Rokugani de façon non conventionnelle. Tant que son esprit demeure avec vous, vous n'avez aucun élément Déficient.</t>
  </si>
  <si>
    <t>Bikimi n'a aucun respect pour ceux qui sont assez fous pour s'exposer. Si jamais vous vous révélez volontiers à l'ennemi, Bikimi vous abandonnera à jamais, sans aucune chance de retrouver sa faveur.</t>
  </si>
  <si>
    <t>Les conseils de Bikimi vous accordent un bonus de +1g0 à tout jet de compétence Discrétion. Si vous êtes un shugenja qui pratique la maho, vous pouvez à la place dépenser un emplacement de sort pour gagner un bonus de +1g1 à un jet de compétence Discrétion.</t>
  </si>
  <si>
    <r>
      <t xml:space="preserve">Junzo exige de vous que vous le suivez sur le chemin de la connaissance sombre et toujours plus puissante. Si jamais vous avez l'occasion d'apprendre de nouvelles connaissances interdites (ou de gagner une nouvelle instance de l'avantage de </t>
    </r>
    <r>
      <rPr>
        <i/>
        <sz val="6"/>
        <rFont val="Arial"/>
        <family val="2"/>
      </rPr>
      <t>Savoir Interdit</t>
    </r>
    <r>
      <rPr>
        <sz val="6"/>
        <rFont val="Arial"/>
        <family val="2"/>
      </rPr>
      <t>) et ne la prenez pas, même pour préserver votre réputation ou un secret, Junzo vous abandonne.</t>
    </r>
  </si>
  <si>
    <t>La supervision d'Otomo vous accorde un bonus de +1g1 quand vous utilisez les Spécialisations de Piège Rhétorique ou de Manipulation de la compétence Courtisan.</t>
  </si>
  <si>
    <t>Otomo méprisé deux choses: la bêtise et la déloyauté. Si jamais vous trahisez volontairement la maison impériale, ou êtes jamais trompé ou manœuvré par un rival politique d'un Rang de Statut égal ou inférieur au vôtre, Otomo vous abandonnera.</t>
  </si>
  <si>
    <t>Seppun était une femme profondément pieuse et entièrement consacrée à Hantei. Si jamais vous embrassez un point de vue religieux hérétique ou si jamais vous faite passer vos propres besoins, objectifs, ou désirs avant ceux de la maison impériale, même de la manière la plus insignifiante, elle vous abandonne.</t>
  </si>
  <si>
    <t>Miya attend de ses descendants qu'ils montrerent la même compassion envers ceux qui souffrent de la guerre ou de catastrophe que la sienne. Si jamais vous vous détournez d'aider ceux qui souffrent de l'un de ces événements, Miya vous abandonne.</t>
  </si>
  <si>
    <t>Fureheshu vous attend de vous que vous embrasseiez la Force avec la même ferveur que lui. Si vous perdez un concours de force, il vous abandonne.</t>
  </si>
  <si>
    <t>Ceux qui sont inspirés des mêmes réalisations héroïques que celle de Komori Iongi, gagnent un point de Vide supplémentaire par session</t>
  </si>
  <si>
    <t>Iongi a vécu une vie d'héroïsme glorieux et s'attend à ce que ses descendants fassent de même. Si jamais vous laisser passer une chance de faire quelque chose d'héroïque ou de glorieux, il vous abandonne.</t>
  </si>
  <si>
    <t>Ceux qui sont sous la guidance de Hida Heichi gagnent un bonus de +1g1 à tous les jets de compétences sociales impliquant des personnes et des êtres plus puissants qu'eux.</t>
  </si>
  <si>
    <t>Ceux qui sont guidés par Hida Heichi se doivent d'imiter son self-contrôle. Si vous perdez votre sang-froid dans une situation sociale, Heichi vous abandonne.</t>
  </si>
  <si>
    <t>Ceux qui ont sous la guidance de Tonbo Kuyuden gagnent un bonus de +1g1 à tous les jets de Courtisan ou Etiquette faits dans le but de désamorcer une situation violente ou trouver des solutions pacifiques aux conflits.</t>
  </si>
  <si>
    <t>Si jamais vous choisissez volontairement la violence là où diplomatie est une option, Kuyuden vous abandonne.</t>
  </si>
  <si>
    <t>Les conseils d'Usagi Reichon vous accordent un bonus de +1g1 pour résister aux effets de Peur. Si la peur est causée par un maho-tsukai, le bonus est de +2g2 à la place.</t>
  </si>
  <si>
    <t>Bien que Reichin fut un ronin pragmatique, il a également combattu avec un courage suprême dans la bataille de la Retraite Sanglante. Si jamais vous fuyez une bataille comprennant un utilisateur de maho alors qu'il y a encore une chance de victoire, Reichin vous abandonne.</t>
  </si>
  <si>
    <t>Toku croyait au Bushido à un degré presque idéaliste. Si votre Rang d'Honneur tombe  jamais en dessous de 5.0, ou si vous commettez un acte outrageusement déshonorant quel que soit votre Rang d'Honneur, Toku vous abandonne.</t>
  </si>
  <si>
    <t>La guidance de Tsi permet à ses descendants d'afficher des compétences qui transcendent les limites des mortels. Vos Augmentations en Artisanat: Fabrication d'armes ne sont limitées d'aucune manière.</t>
  </si>
  <si>
    <t>Comme tous les membres de sa famille, Tsi voit la fabrique d'armes comme un art qui a peu des choses à voir avec le fait effectif de tuer. Si jamais vous utilisez l'une de vos épées dans un combat pour à des fins autres que la légitime défense, Tsi vous abandonne.</t>
  </si>
  <si>
    <t>Les conseils de Morito Garin vous accordent un bonus de +1g1 à tous jets basés sur l'Intuition ou sur la Perception qui tentent de déterminer les véritables loyautés de quelqu'un.</t>
  </si>
  <si>
    <t>Garin exige que vous partagez son dévouement à extirper le Kolat. Si jamais vous coopérez sciemment avec le Kolat, ou même simplement les laissez agir à leur guise quand vous avez une chance de vous y opposer, Garin vous abandonne.</t>
  </si>
  <si>
    <t>Si Suzume veille sur vous, vous gagnez un bonus de +1g1 à tout jet de compétence sociale pour persuader les autres de suivre vos conseils /exemples. Cependant, une fois dans votre vie (à un moment choisi par le GM) un simple commentaire de votre part sera perçu comme tenant de la sagesse la plus profonde. Les conséquences dureront toute une vie.</t>
  </si>
  <si>
    <t>Suzume est resté avec les gens qui l'ont suivi, et fait de son mieux pour les conduire, en dépit de sa propre confusion et beaucoup de circonstances défavorables. Si jamais vous abandonnez des partisans qui sont venus à vous à cause de vos mots de sagesse, Suzume vous abandonne à son tour.</t>
  </si>
  <si>
    <t>Kasuga vous attend de vous que partagiez son auto-sacrifice à la fidélité à Rokugan. Si jamais vous faites passer votre propre Honneur au-dessus des besoins de l'Empire, il vous abandonne.</t>
  </si>
  <si>
    <t>Vous gagnez un bonus de +1g à tous les jets de compétences de Combat. Si vous effectuez un jet de compétence Bugei et échouez, la direction de Sun Tao vous permet de dépenser un PVide sur ce test après l'avoir fait (pour ajouter +1g1 à ce test) mais en retour, vous perdez le bénéfice de toute Augmentation pour ce test.</t>
  </si>
  <si>
    <t>Sun Tao attend de vous que vous cherchiez toujours à progresser dans vos connaissances sur les moyens de faire la guerre et de mener une bataille. Si jamais vous laissez passer une chance de travailler ou de vous entraîner avec une force militaire que vous n'avez pas déjà servi avant, Sun Tao vous abandonne.</t>
  </si>
  <si>
    <t>La Loyauté est à double tranchant. Si jamais vous oubliez, abandonnez, ou trahissez l'un de vos "frères ou sœurs", Chiroru vous abandonne à son tour.</t>
  </si>
  <si>
    <t>Miyuko cherchait à partager sa sagesse avec tous ceux qui voulaient l'entendre, et elle attend la même chose de vous. Si jamais vous refusez de partager vos connaissances magiques avec une personne honorable, Miyuko vous abandonne. Cela signifie que ceux guidés par Miyuko doivent partager librement leurs sorts avec les autres, contraste frappant avec la plupart des shugenjas.</t>
  </si>
  <si>
    <t>Ceux qui sont sous la direction de Basso sont en mesure d'obtenir la vraie perception de par leur méditation, de percer le voile des illusions autour d'eux pour voir les choses telles qu'elles sont réellement; vous pouvez voir à travers toute illusion ou tromperie contre une Action Complexe en réussissant un jet de Vide/Méditation (ND choisi par le MJ en fonction de la force de l'illusion/tromperie).</t>
  </si>
  <si>
    <t>Basso exige un dévouement presque surhumain de ses disciples. Vous devez méditer pendant au moins quatre heures par jour et être absolument ascétique, abandonnant tous les plaisirs et les indulgences, même les plus mineurs au monde. Toute violation volontaire de ce mode de vie se traduira par un abandon de Basso.</t>
  </si>
  <si>
    <t>Ceux qui ont les conseils de Sakura sont en mesure de comprendre le monde à un niveau plus profond que les autres. Vous êtes considéré comme étant supérieur d'un rang pour l'apprentissage et l'utilisation de Kiho.</t>
  </si>
  <si>
    <t>Sakura a cherché toute sa vie à partager la sagesse et l'illumination, enseignant à quiconque voulait l'entendre. Si jamais vous laisser passer une chance de partager l'illumination ou les voies du Tao avec les autres, Sakura vous abandonne.</t>
  </si>
  <si>
    <t>Ceux guidés par Mizumoto gagent une part de ses dons intellectuels, et ont un bonus de +1g1 à tous les tests basés sur l'Intelligence.</t>
  </si>
  <si>
    <t>Mizumoto a toujours cherché à étendre sa connaissance du Tao et des Voies de l'Illumination. Si jamais vous laissez volontairement passer ​​une chance d'en apprendre plus sur un nouvel enseignement, secte ou croyance, au sein de la Confrérie, Mizumoto vous abandonne.</t>
  </si>
  <si>
    <t>Aussi longtemps que votre Rang de compétence de Méditation est au moins égal à votre Rang de compétence Jiujutsu, vous gagnez une Augmentation Gratuite sur toutes vos attaques à mains nues</t>
  </si>
  <si>
    <t>Kaze attend de vous que vous souteniez ses principes d'utilisation de la violence uniquement pour la défense, et que vous vous absteniez de tuer, quelle que soit la provocation. Si jamais vous tuez un autre être humain avec des attaques à mains nues, Kaze vous abandonne.</t>
  </si>
  <si>
    <t>Quand Hida veille sur vous, vos coups frappent fort et vraiment: vous gagnez +1g0 à tous les jets de dommages et pouvez ignorer 4 points de Réduction de l'ennemi, quelle que soit l'arme que vous utilisez. En outre, tout Crabe qui combat à vos côtés dans une escarmouche est inspiré par l'esprit d'Hida et lui permet de gagner 1 Point de Vide (si ce Point de Vide n'est pas utilisé avant la fin du combat, il est perdu ).</t>
  </si>
  <si>
    <t>A chaque Round où au moins un de vos camadares crabe à vue subit au moins, une blessures, vous subissez 1 Blessure par solidarité. Cette blessure nie toute Réduction et ne peut être évitée par aucun moyen. Si vous refeusez de subir ces blessures ou si vous vous retirez volontairement d'un combat contre une créature de l'Outremonde, Hida vous abandonne.</t>
  </si>
  <si>
    <t>La demande de Kuni à ses descendants est simple: il faut rester pur. Si jamais vous gagnez ne fusse qu'un seul point de Souillure de l'Outremonde, Kuni vous abandonne.</t>
  </si>
  <si>
    <t>Ceux qui reçoivent les conseils de Dame Doji gagnent un bonus de +1g0 à tous de leur jets de Courtisan, Etiquette, Spectacle, et Sincérité.</t>
  </si>
  <si>
    <t>Doji exige que ceux qui ont ses faveurs de vivre d'une manière honorable et civilisée. Si jamais vous commettez une violation majeure de l'étiquette ou perdez plus de 3 points d'honneur ou gloire à cause d'un seul manquement à l'étiquette, Doji vous abandonne.</t>
  </si>
  <si>
    <r>
      <t xml:space="preserve">Ceux qui sont sous la direction de Kakita peuvent dépenser un point de Vide pour relancer un jet de compétence d'Iaijutsu ou d'Artisan avec un bonus de +1g1 pour le deuxième test et gardent le meilleur résultat. Cependant, tous ceux qui sont surveillés par Kakita gagnent l'inimitié automatique des samurai Matsu: tous les membres de la famille Matsu sont effectivement des </t>
    </r>
    <r>
      <rPr>
        <i/>
        <sz val="6"/>
        <rFont val="Arial"/>
        <family val="2"/>
      </rPr>
      <t>Ennemis Jurés</t>
    </r>
    <r>
      <rPr>
        <sz val="6"/>
        <rFont val="Arial"/>
        <family val="2"/>
      </rPr>
      <t xml:space="preserve"> pour vous.</t>
    </r>
  </si>
  <si>
    <t>Kakita était un homme honorable qui cherchait la perfection à la fois à l'épée et ans le coup de pinceau de l'artiste, et il attend la même chose de vous. Si vous perdez un duel ou un concours artistique, Kakita vous abandonne. Il vous abandonne aussi si votre Honneur tombe en dessous de 4.0.</t>
  </si>
  <si>
    <t>Lorsque vous avez la protection de Kitsuki, vous pouvez utiliser votre Trait de Perception pour tout jet de Trait ou de Compétence faisant intervenir normalement votre Intuition. En outre, si vous dépensez un point de Vide sur un test de Compétence ou de Trait afin de déterminer si quelqu'un vous ment, vous gagnez +2g2 au lieu du +1g1 normal.</t>
  </si>
  <si>
    <t>Kitsuki vous oblige à poursuivre toujours la vérité. Si jamais vous acceptez une solution à un problème, un crime ou un énigme que vous savez ou croyez sincèrement être fausse, Kitsuki vous abandonne.</t>
  </si>
  <si>
    <t>Si vous avez gagné l'attention de Mirumoto, il vous accorde un bonus de +1g1 à tous les jets de Compétences basés sur l'Agilité. Si un tel jet de compétence est fait en utilisant une technique d'école de Bushi Mirumoto, le bonus est de +3g1 à la place.</t>
  </si>
  <si>
    <t>Mirumoto attend de ses descendants qu'ils suivent sa tradition de victoire et atisent sa rivalité avec son ancien ennemi Kakita. Si jamais vous provoquez un duel, puis le perdez, Mirumoto vous abandonne. Il vous laissera aussi tomber si vous refusez un duel contre une personne formée à l'école Bushi Kakita . Il ne vous abandonnera pas si vous perdez un duel lancé contre vous ... à moins que ce duel n'ai été contre un Kakita.</t>
  </si>
  <si>
    <t>Akodo exige que tous ses disciples d'être des soldats à la fois d'un courage inébranlable et d'un honneur irréprochable. Si votre Honneur tombe en dessous de 5.0, Akodo vous abandonne. Il se permettra également de vous abandonner si jamais vous quittez volontairement une bataille ou escarmouche où d'autres Membres du Clan du Lion se battent encore.</t>
  </si>
  <si>
    <t>Lorsque vous êtes sous le commandement d'Akodo, vous gagnez +1g0 à tous les jets de compétences bugei (Iaijutsu) et +1g1 à tous les jets effectués sur la table des Combats de Masse. En outre, chaque fois que vous entrez dans un combat avec au moins un autre Bushi du Lion qui combat à vous côtés, vous gagnez 1 point de Vide suppl. (ce point de Vide doit être dépensé avant la fin du combat, ou il est perdu).</t>
  </si>
  <si>
    <t>Vous gagnez +1g0 à tous les jets que vous faites requiérant le Trait Intelligence, et +2g0 à vos dégâts lorssque vous combattez à mains nues (avec la compétence Jiujutsu).</t>
  </si>
  <si>
    <t>Ikoma vous attend de vivre comme il n'a fait - Boire beaucoup, combattre avec passion, raconter de jolis contes, et rechercher la compagnie de femmes belles et intéressantes. Si jamais vous choisissez de refuser un verre ou un combat, ou insultez une jolie femme entreprennante, Ikoma vous abandonne.</t>
  </si>
  <si>
    <t>Vous gagnez un bonus de +1g1 à tout test de Trait ou de compétence faisant appel à la Volonté, sauf ceux faits pour éviter d'être provoqué. Vous gagnez un bonus de +3g0 lorsque vous utilisez le spécialité Arme Improvisée de la compétence Jiujutsu et gagnez également +1g1 dommages à tous les jets de dégâts effectués avec de telles armes.</t>
  </si>
  <si>
    <t>Kaimetsu-Uo vous oblige à accepter tous les défis, peu importe combien étranges ou embarrassants soient t'ils. Si jamais vous refusez de participer à une compétition ou un duel physique, aussi trivial qu'une course à pied, il vous abandonne.</t>
  </si>
  <si>
    <t>Lorsque Gusai vous guide, vous gagnez +3g3 à tout jet de Discrétion ou de Passe-passe afin de dissimuler une arme sur votre personne.</t>
  </si>
  <si>
    <t>Gusai vous abandonne si jamais vous êtes volontairement désarmé en présence d'un rival ou un ennemi.</t>
  </si>
  <si>
    <t>Asako vous oblige à traiter vos amis avec le même dévouement que vous attendez d'eux. Si jamais vous trahissez ou abandonnez un ami, Asako vous abandonne.</t>
  </si>
  <si>
    <t>Shiba exige que vous mainteniez la fois un grand honneur et un dévouement sans faille à l'accomplissement de son serment envers les Isawa. Si votre Rang d'Honneur tombe en dessous de 4.0, il vous abandonne. Il vous abandonne également si vous désobéissez volontairement à un Isawa de rang supérieur, ou si jamais vous quittez volontairement une escarmouche où un allié Isawa reste derrière.</t>
  </si>
  <si>
    <r>
      <t xml:space="preserve">Si vous êtes formé dans une école Bayushi, vous gagnez +1g0 dans vos compétences d'école, et chaque fois que vous dépensez un PVide sur celle-ci, vous gagnez +2g2 au lieu de +1g1. Si vous avez un Lien Kharmique avec un autre personnage, chacun de vous peut utiliser les points de Vide de l'autres comme s'ils étaient dans un pool commun, mais si l'un de vous meurt, l'autre gagne le Désavantage </t>
    </r>
    <r>
      <rPr>
        <i/>
        <sz val="6"/>
        <rFont val="Arial"/>
        <family val="2"/>
      </rPr>
      <t>Momoku</t>
    </r>
    <r>
      <rPr>
        <sz val="6"/>
        <rFont val="Arial"/>
        <family val="2"/>
      </rPr>
      <t>.</t>
    </r>
  </si>
  <si>
    <t>Bayushi n'a fait qu'une seule demande à ses disciples - la fidélité. Il attend la même chose de vous. Si jamais vous trahissez volontairement et sciemment le clan du Scorpion, il vous abandonne. Il vous abandonnera également si votre Honneur monte à plus de 5,0 ou mieux - ces âmes pures n'ont pas leur place dans les rangs des vilains désignés de Rokugan.</t>
  </si>
  <si>
    <t>Si les chuchotements de Shosuro guident vos actions, vous gagnez un bonus de +3g1 à vos compétences de Discrétion et Sincérité (Tromperie).</t>
  </si>
  <si>
    <t>Après avoir été forcé de trahir son seigneur Bayushi une fois, Shosuro est déterminé à ce que ses descendants ne fassent jamais la même erreur. Si jamais vous trahissez le clan du Scorpion, désobéissez à vos supérieurs dans le clan, ou êtes corrompu par l'Ombre Rampante ou le Dragon de l'Ombre, Shosuro vous adandone immédiatement.</t>
  </si>
  <si>
    <t>Atarasi est une âme déchue et il abore la pureté et la vertu. Si votre Rang d'Honneur atteint jamais 3.0 ou plus, ou si vous perdez un de vos points de Souillure, Atarasi vous abandonne.</t>
  </si>
  <si>
    <t>La direction de Yori enseigne à la fois la tromperie et une plus grande maîtrise des forces de la maho. Vous gagnez +1g0 à tous jets de Sincérité (Tromperie) et jets d'Incantation de sorts de Maho. Cependant, l'influence maligne de Yori attire la Souillure sur vous plus rapidement encore. Chaque fois que vous lancez un sort de Maho, vous gagnez 1 point de souillure supplémentaire.</t>
  </si>
  <si>
    <t>Yori ne demande rien - il est convaincu que sa direction va inévitablement vous conduire à vous corrompre entièrement par la Souillure de l'Outremonde.</t>
  </si>
  <si>
    <t>Moto attend de vous que vous viviez au même niveau de liberté que lui, et que votre allégence n'aille seulement qu'à votre seigneur et votre clan. Si jamais vous permettez sciemment et volontairement qu'une personne qui n'est pas votre légitime supérieur dans le clan de la Licorne vous contrôle (comme se laisser berner par le chantage d'un courtisan), Moto vous abandonne.</t>
  </si>
  <si>
    <t>Vous gagnez un bonus de +1g1 à tout jet d'Enquête fait pour comprendre quelque chose de nouveau, étrange ou énigmatique, comme l'esprit de Shinjo vous guide à chercher une meilleure compréhension du monde autour de vous. Vous bénéficiez également de +1g1 à tous les jets de d'Intuition réalisés avec Etiquette ou Sincérité (Honnêteté) comme la compassion de Shinjo vous insuffle empathie et grâce.</t>
  </si>
  <si>
    <t>Shinjo vous oblige à toujours agir avec compassion, même face à des ennemis acharnés. Si jamais vous ne parvenez pas à montrer de la miséricorde ou de la compassion à un rival ou ennemi, Shinjo vous abandonne. (Ceci ne s'applique pas aux membres du Kolat ni aux serviteurs de l'Ombre Rampante ou du Dragon d'Ombre)</t>
  </si>
  <si>
    <t>Un vrai descendant de sang de Kitsu gagne la faveur de pouvoir détecter la présence d'esprits et de portails d'esprit. (Il s'agit d'un jet de Perception, normalement de ND 25, bien que le MJ puisse demander des jets plus élevés contre des esprits ou portails obscurs ou bien cachés). En outre, la guidance de Kitsu vous donne un bonus de +1g1 à tous vos jets de Connaissance: Royaumes Spirituels</t>
  </si>
  <si>
    <t>Kitsu vous abandonne si jamais vous nuisez volontairement à un membre non-corrompu de l'une des cinq races anciennes (ou un de leurs descendants), ou si jamais vous collaborez volontiers avec un Tsuno.</t>
  </si>
  <si>
    <t>Si vous êtes honorés de la guidance de Matsu, sa foi inébranlable dans Bushido vous accorde un bonus de +1g1 à tous les jets visant à résister à la Tentation, l'Intimidation, et des Effets de Peur.</t>
  </si>
  <si>
    <t>Hitomi vous abandonne si vous trahissez sciemment votre daimyo ou le Clan du Lion, ou si votre Honneur tombe en dessous de 5.0.</t>
  </si>
  <si>
    <t>Tetsuken vous abandonne si jamais vous abandonnez un amour véritable ou laissez passer une occasion d'acquérir de la gloire.</t>
  </si>
  <si>
    <t>Alors que Koresada veille sur vous, vous gagnez +1g0 à tous les jets d'Incantation de sorts qui guérissent des blessures ou traitent un poison ou une maladie, et une augmentation gratuite sur tous les jets de compétence Médecine réalisés pour traiter une blessure, une maladie ou un poison.</t>
  </si>
  <si>
    <t>Koresada vous oblige à imiter son respect pour la santé et le bien-être des enfants. Si vous ignorez ou refusez de traiter un enfant malade ou blessé, ou permettez sciemment à un enfant d'être lésé, Koresada vous abandonne.</t>
  </si>
  <si>
    <t>Magie</t>
  </si>
  <si>
    <t>Moines de l'Araignée</t>
  </si>
  <si>
    <t>Calcul écoles multiples</t>
  </si>
  <si>
    <t>Ninube</t>
  </si>
  <si>
    <t>Prix en koku</t>
  </si>
  <si>
    <t>VD/ bonus ND</t>
  </si>
  <si>
    <t>Réduction</t>
  </si>
  <si>
    <t>Porter une armure légère augmente le ND de tous les test d'Athlétisme et Discrétion de 5.</t>
  </si>
  <si>
    <t>Porter une armure lourde augmente le ND de tous les test basés sur l'Agilité et Réflexes de 5.</t>
  </si>
  <si>
    <t>Aucun malus d'armure</t>
  </si>
  <si>
    <t>Armure Bagai (Bardes de poney)</t>
  </si>
  <si>
    <t>Un poney Rokugani qui porte cette armure est considérée comme ayant un anneau d'eau d'un niveau inférieur d'un rang à des fins de mouvement</t>
  </si>
  <si>
    <t>A la discrétion du MJ peut conférer un bonus au jet d'Intimidation.</t>
  </si>
  <si>
    <t>Em. Emeraude</t>
  </si>
  <si>
    <t>Emplacements de sorts</t>
  </si>
  <si>
    <t>Informations personelles</t>
  </si>
  <si>
    <t>Sexe:</t>
  </si>
  <si>
    <t>Age:</t>
  </si>
  <si>
    <t>Taille:</t>
  </si>
  <si>
    <t>Poids:</t>
  </si>
  <si>
    <t>C. d'Yeux:</t>
  </si>
  <si>
    <t>C. Cheveux:</t>
  </si>
  <si>
    <t>Nom du père:</t>
  </si>
  <si>
    <t>Nom de la mère:</t>
  </si>
  <si>
    <t>Statut marital:</t>
  </si>
  <si>
    <t>Nom du conjoint:</t>
  </si>
  <si>
    <t>Prénom des enfants:</t>
  </si>
  <si>
    <t>Tatouages</t>
  </si>
  <si>
    <t>Rang min</t>
  </si>
  <si>
    <t>Inst. à Corde</t>
  </si>
  <si>
    <t>Inst. à Percution</t>
  </si>
  <si>
    <t>Inst. à Vent</t>
  </si>
  <si>
    <t>Armures</t>
  </si>
  <si>
    <t>Arcs</t>
  </si>
  <si>
    <t xml:space="preserve">Armes </t>
  </si>
  <si>
    <t>Types d'armes</t>
  </si>
  <si>
    <t>VD</t>
  </si>
  <si>
    <t>Equipement et possessions matérielles</t>
  </si>
  <si>
    <t>Types d'équipement</t>
  </si>
  <si>
    <t>Masculin</t>
  </si>
  <si>
    <t>Féminin</t>
  </si>
  <si>
    <t>10 ans</t>
  </si>
  <si>
    <t>11 ans</t>
  </si>
  <si>
    <t>12 ans</t>
  </si>
  <si>
    <t>13 ans</t>
  </si>
  <si>
    <t>14 ans</t>
  </si>
  <si>
    <t>15 ans</t>
  </si>
  <si>
    <t>16 ans</t>
  </si>
  <si>
    <t>17 ans</t>
  </si>
  <si>
    <t>18 ans</t>
  </si>
  <si>
    <t>19 ans</t>
  </si>
  <si>
    <t>20 ans</t>
  </si>
  <si>
    <t>21 ans</t>
  </si>
  <si>
    <t>22 ans</t>
  </si>
  <si>
    <t>23 ans</t>
  </si>
  <si>
    <t>24 ans</t>
  </si>
  <si>
    <t>25 ans</t>
  </si>
  <si>
    <t>26 ans</t>
  </si>
  <si>
    <t>27 ans</t>
  </si>
  <si>
    <t>28 ans</t>
  </si>
  <si>
    <t>29 ans</t>
  </si>
  <si>
    <t>30 ans</t>
  </si>
  <si>
    <t>31 ans</t>
  </si>
  <si>
    <t>32 ans</t>
  </si>
  <si>
    <t>33 ans</t>
  </si>
  <si>
    <t>34 ans</t>
  </si>
  <si>
    <t>35 ans</t>
  </si>
  <si>
    <t>36 ans</t>
  </si>
  <si>
    <t>37 ans</t>
  </si>
  <si>
    <t>38 ans</t>
  </si>
  <si>
    <t>39 ans</t>
  </si>
  <si>
    <t>40 ans</t>
  </si>
  <si>
    <t>41 ans</t>
  </si>
  <si>
    <t>42 ans</t>
  </si>
  <si>
    <t>43 ans</t>
  </si>
  <si>
    <t>44 ans</t>
  </si>
  <si>
    <t>45 ans</t>
  </si>
  <si>
    <t>46 ans</t>
  </si>
  <si>
    <t>47 ans</t>
  </si>
  <si>
    <t>48 ans</t>
  </si>
  <si>
    <t>49 ans</t>
  </si>
  <si>
    <t>50 ans</t>
  </si>
  <si>
    <t>51 ans</t>
  </si>
  <si>
    <t>52 ans</t>
  </si>
  <si>
    <t>53 ans</t>
  </si>
  <si>
    <t>54 ans</t>
  </si>
  <si>
    <t>55 ans</t>
  </si>
  <si>
    <t>56 ans</t>
  </si>
  <si>
    <t>57 ans</t>
  </si>
  <si>
    <t>58 ans</t>
  </si>
  <si>
    <t>59 ans</t>
  </si>
  <si>
    <t>60 ans</t>
  </si>
  <si>
    <t>61 ans</t>
  </si>
  <si>
    <t>62 ans</t>
  </si>
  <si>
    <t>63 ans</t>
  </si>
  <si>
    <t>64 ans</t>
  </si>
  <si>
    <t>65 ans</t>
  </si>
  <si>
    <t>66 ans</t>
  </si>
  <si>
    <t>67 ans</t>
  </si>
  <si>
    <t>68 ans</t>
  </si>
  <si>
    <t>69 ans</t>
  </si>
  <si>
    <t>70 ans</t>
  </si>
  <si>
    <t>71 ans</t>
  </si>
  <si>
    <t>72 ans</t>
  </si>
  <si>
    <t>73 ans</t>
  </si>
  <si>
    <t>74 ans</t>
  </si>
  <si>
    <t>75 ans</t>
  </si>
  <si>
    <t>76 ans</t>
  </si>
  <si>
    <t>77 ans</t>
  </si>
  <si>
    <t>78 ans</t>
  </si>
  <si>
    <t>79 ans</t>
  </si>
  <si>
    <t>80 ans</t>
  </si>
  <si>
    <t>81 ans</t>
  </si>
  <si>
    <t>82 ans</t>
  </si>
  <si>
    <t>83 ans</t>
  </si>
  <si>
    <t>84 ans</t>
  </si>
  <si>
    <t>85 ans</t>
  </si>
  <si>
    <t>86 ans</t>
  </si>
  <si>
    <t>87 ans</t>
  </si>
  <si>
    <t>88 ans</t>
  </si>
  <si>
    <t>89 ans</t>
  </si>
  <si>
    <t>90 ans</t>
  </si>
  <si>
    <t>91 ans</t>
  </si>
  <si>
    <t>92 ans</t>
  </si>
  <si>
    <t>93 ans</t>
  </si>
  <si>
    <t>94 ans</t>
  </si>
  <si>
    <t>95 ans</t>
  </si>
  <si>
    <t>96 ans</t>
  </si>
  <si>
    <t>97 ans</t>
  </si>
  <si>
    <t>98 ans</t>
  </si>
  <si>
    <t>99 ans</t>
  </si>
  <si>
    <t>100 ans</t>
  </si>
  <si>
    <t>101 ans</t>
  </si>
  <si>
    <t>102 ans</t>
  </si>
  <si>
    <t>103 ans</t>
  </si>
  <si>
    <t>104 ans</t>
  </si>
  <si>
    <t>105 ans</t>
  </si>
  <si>
    <t>106 ans</t>
  </si>
  <si>
    <t>107 ans</t>
  </si>
  <si>
    <t>108 ans</t>
  </si>
  <si>
    <t>109 ans</t>
  </si>
  <si>
    <t>110 ans</t>
  </si>
  <si>
    <t>111 ans</t>
  </si>
  <si>
    <t>112 ans</t>
  </si>
  <si>
    <t>113 ans</t>
  </si>
  <si>
    <t>114 ans</t>
  </si>
  <si>
    <t>115 ans</t>
  </si>
  <si>
    <t>116 ans</t>
  </si>
  <si>
    <t>117 ans</t>
  </si>
  <si>
    <t>118 ans</t>
  </si>
  <si>
    <t>119 ans</t>
  </si>
  <si>
    <t>120 ans</t>
  </si>
  <si>
    <t>121 ans</t>
  </si>
  <si>
    <t>122 ans</t>
  </si>
  <si>
    <t>123 ans</t>
  </si>
  <si>
    <t>124 ans</t>
  </si>
  <si>
    <t>125 ans</t>
  </si>
  <si>
    <t>126 ans</t>
  </si>
  <si>
    <t>127 ans</t>
  </si>
  <si>
    <t>128 ans</t>
  </si>
  <si>
    <t>129 ans</t>
  </si>
  <si>
    <t>130 ans</t>
  </si>
  <si>
    <t>131 ans</t>
  </si>
  <si>
    <t>132 ans</t>
  </si>
  <si>
    <t>133 ans</t>
  </si>
  <si>
    <t>134 ans</t>
  </si>
  <si>
    <t>135 ans</t>
  </si>
  <si>
    <t>136 ans</t>
  </si>
  <si>
    <t>137 ans</t>
  </si>
  <si>
    <t>138 ans</t>
  </si>
  <si>
    <t>139 ans</t>
  </si>
  <si>
    <t>140 ans</t>
  </si>
  <si>
    <t>Ages</t>
  </si>
  <si>
    <t>45 kg</t>
  </si>
  <si>
    <t>46 kg</t>
  </si>
  <si>
    <t>47 kg</t>
  </si>
  <si>
    <t>48 kg</t>
  </si>
  <si>
    <t>49 kg</t>
  </si>
  <si>
    <t>50 kg</t>
  </si>
  <si>
    <t>51 kg</t>
  </si>
  <si>
    <t>52 kg</t>
  </si>
  <si>
    <t>53 kg</t>
  </si>
  <si>
    <t>54 kg</t>
  </si>
  <si>
    <t>55 kg</t>
  </si>
  <si>
    <t>56 kg</t>
  </si>
  <si>
    <t>57 kg</t>
  </si>
  <si>
    <t>58 kg</t>
  </si>
  <si>
    <t>59 kg</t>
  </si>
  <si>
    <t>60 kg</t>
  </si>
  <si>
    <t>61 kg</t>
  </si>
  <si>
    <t>62 kg</t>
  </si>
  <si>
    <t>63 kg</t>
  </si>
  <si>
    <t>64 kg</t>
  </si>
  <si>
    <t>65 kg</t>
  </si>
  <si>
    <t>66 kg</t>
  </si>
  <si>
    <t>67 kg</t>
  </si>
  <si>
    <t>68 kg</t>
  </si>
  <si>
    <t>69 kg</t>
  </si>
  <si>
    <t>70 kg</t>
  </si>
  <si>
    <t>71 kg</t>
  </si>
  <si>
    <t>72 kg</t>
  </si>
  <si>
    <t>73 kg</t>
  </si>
  <si>
    <t>74 kg</t>
  </si>
  <si>
    <t>75 kg</t>
  </si>
  <si>
    <t>76 kg</t>
  </si>
  <si>
    <t>77 kg</t>
  </si>
  <si>
    <t>78 kg</t>
  </si>
  <si>
    <t>79 kg</t>
  </si>
  <si>
    <t>80 kg</t>
  </si>
  <si>
    <t>81 kg</t>
  </si>
  <si>
    <t>82 kg</t>
  </si>
  <si>
    <t>83 kg</t>
  </si>
  <si>
    <t>84 kg</t>
  </si>
  <si>
    <t>85 kg</t>
  </si>
  <si>
    <t>86 kg</t>
  </si>
  <si>
    <t>87 kg</t>
  </si>
  <si>
    <t>88 kg</t>
  </si>
  <si>
    <t>89 kg</t>
  </si>
  <si>
    <t>90 kg</t>
  </si>
  <si>
    <t>91 kg</t>
  </si>
  <si>
    <t>92 kg</t>
  </si>
  <si>
    <t>93 kg</t>
  </si>
  <si>
    <t>94 kg</t>
  </si>
  <si>
    <t>95 kg</t>
  </si>
  <si>
    <t>96 kg</t>
  </si>
  <si>
    <t>97 kg</t>
  </si>
  <si>
    <t>98 kg</t>
  </si>
  <si>
    <t>99 kg</t>
  </si>
  <si>
    <t>100 kg</t>
  </si>
  <si>
    <t>101 kg</t>
  </si>
  <si>
    <t>102 kg</t>
  </si>
  <si>
    <t>103 kg</t>
  </si>
  <si>
    <t>104 kg</t>
  </si>
  <si>
    <t>105 kg</t>
  </si>
  <si>
    <t>106 kg</t>
  </si>
  <si>
    <t>107 kg</t>
  </si>
  <si>
    <t>108 kg</t>
  </si>
  <si>
    <t>109 kg</t>
  </si>
  <si>
    <t>110 kg</t>
  </si>
  <si>
    <t>111 kg</t>
  </si>
  <si>
    <t>112 kg</t>
  </si>
  <si>
    <t>113 kg</t>
  </si>
  <si>
    <t>114 kg</t>
  </si>
  <si>
    <t>115 kg</t>
  </si>
  <si>
    <t>116 kg</t>
  </si>
  <si>
    <t>117 kg</t>
  </si>
  <si>
    <t>118 kg</t>
  </si>
  <si>
    <t>119 kg</t>
  </si>
  <si>
    <t>120 kg</t>
  </si>
  <si>
    <t>121 kg</t>
  </si>
  <si>
    <t>122 kg</t>
  </si>
  <si>
    <t>123 kg</t>
  </si>
  <si>
    <t>124 kg</t>
  </si>
  <si>
    <t>125 kg</t>
  </si>
  <si>
    <t>126 kg</t>
  </si>
  <si>
    <t>127 kg</t>
  </si>
  <si>
    <t>128 kg</t>
  </si>
  <si>
    <t>129 kg</t>
  </si>
  <si>
    <t>130 kg</t>
  </si>
  <si>
    <t>131 kg</t>
  </si>
  <si>
    <t>132 kg</t>
  </si>
  <si>
    <t>133 kg</t>
  </si>
  <si>
    <t>134 kg</t>
  </si>
  <si>
    <t>135 kg</t>
  </si>
  <si>
    <t>136 kg</t>
  </si>
  <si>
    <t>137 kg</t>
  </si>
  <si>
    <t>138 kg</t>
  </si>
  <si>
    <t>139 kg</t>
  </si>
  <si>
    <t>140 kg</t>
  </si>
  <si>
    <t>141 kg</t>
  </si>
  <si>
    <t>142 kg</t>
  </si>
  <si>
    <t>143 kg</t>
  </si>
  <si>
    <t>144 kg</t>
  </si>
  <si>
    <t>145 kg</t>
  </si>
  <si>
    <t>146 kg</t>
  </si>
  <si>
    <t>147 kg</t>
  </si>
  <si>
    <t>148 kg</t>
  </si>
  <si>
    <t>149 kg</t>
  </si>
  <si>
    <t>150 kg</t>
  </si>
  <si>
    <t>151 kg</t>
  </si>
  <si>
    <t>152 kg</t>
  </si>
  <si>
    <t>153 kg</t>
  </si>
  <si>
    <t>154 kg</t>
  </si>
  <si>
    <t>155 kg</t>
  </si>
  <si>
    <t>156 kg</t>
  </si>
  <si>
    <t>157 kg</t>
  </si>
  <si>
    <t>158 kg</t>
  </si>
  <si>
    <t>159 kg</t>
  </si>
  <si>
    <t>160 kg</t>
  </si>
  <si>
    <t>161 kg</t>
  </si>
  <si>
    <t>162 kg</t>
  </si>
  <si>
    <t>163 kg</t>
  </si>
  <si>
    <t>164 kg</t>
  </si>
  <si>
    <t>165 kg</t>
  </si>
  <si>
    <t>166 kg</t>
  </si>
  <si>
    <t>167 kg</t>
  </si>
  <si>
    <t>168 kg</t>
  </si>
  <si>
    <t>169 kg</t>
  </si>
  <si>
    <t>170 kg</t>
  </si>
  <si>
    <t>171 kg</t>
  </si>
  <si>
    <t>172 kg</t>
  </si>
  <si>
    <t>173 kg</t>
  </si>
  <si>
    <t>174 kg</t>
  </si>
  <si>
    <t>175 kg</t>
  </si>
  <si>
    <t>Poids</t>
  </si>
  <si>
    <t>1m30</t>
  </si>
  <si>
    <t>1m35</t>
  </si>
  <si>
    <t>1m40</t>
  </si>
  <si>
    <t>1m45</t>
  </si>
  <si>
    <t>1m50</t>
  </si>
  <si>
    <t>1m55</t>
  </si>
  <si>
    <t>1m60</t>
  </si>
  <si>
    <t>1m65</t>
  </si>
  <si>
    <t>1m70</t>
  </si>
  <si>
    <t>1m75</t>
  </si>
  <si>
    <t>1m80</t>
  </si>
  <si>
    <t>1m85</t>
  </si>
  <si>
    <t>1m90</t>
  </si>
  <si>
    <t>1m95</t>
  </si>
  <si>
    <t>1m10</t>
  </si>
  <si>
    <t>1m15</t>
  </si>
  <si>
    <t>1m20</t>
  </si>
  <si>
    <t>1m25</t>
  </si>
  <si>
    <t>Taille</t>
  </si>
  <si>
    <t>2m00</t>
  </si>
  <si>
    <t>2m05</t>
  </si>
  <si>
    <t>2m10</t>
  </si>
  <si>
    <t>2m15</t>
  </si>
  <si>
    <t>2m20</t>
  </si>
  <si>
    <t>2m25</t>
  </si>
  <si>
    <t>2m30</t>
  </si>
  <si>
    <t>2m35</t>
  </si>
  <si>
    <t>2m40</t>
  </si>
  <si>
    <t>2m45</t>
  </si>
  <si>
    <t>2m50</t>
  </si>
  <si>
    <t>2m55</t>
  </si>
  <si>
    <t>2m60</t>
  </si>
  <si>
    <t>2m65</t>
  </si>
  <si>
    <t>2m70</t>
  </si>
  <si>
    <t>2m75</t>
  </si>
  <si>
    <t>2m80</t>
  </si>
  <si>
    <t>2m85</t>
  </si>
  <si>
    <t>2m90</t>
  </si>
  <si>
    <t>2m95</t>
  </si>
  <si>
    <t>3m00</t>
  </si>
  <si>
    <t>3m05</t>
  </si>
  <si>
    <t>3m10</t>
  </si>
  <si>
    <t>3m15</t>
  </si>
  <si>
    <t>3m20</t>
  </si>
  <si>
    <t>3m25</t>
  </si>
  <si>
    <t>3m30</t>
  </si>
  <si>
    <t>3m35</t>
  </si>
  <si>
    <t>3m40</t>
  </si>
  <si>
    <t>1m00</t>
  </si>
  <si>
    <t>1m05</t>
  </si>
  <si>
    <t>Argenté</t>
  </si>
  <si>
    <t>Blond cendré</t>
  </si>
  <si>
    <t>Paille</t>
  </si>
  <si>
    <t>Blond</t>
  </si>
  <si>
    <t>Roux</t>
  </si>
  <si>
    <t>Auburn</t>
  </si>
  <si>
    <t>Châtain clair</t>
  </si>
  <si>
    <t>Châtain</t>
  </si>
  <si>
    <t>Brun</t>
  </si>
  <si>
    <t>Bleu foncé</t>
  </si>
  <si>
    <t>Noir</t>
  </si>
  <si>
    <t>Blanc</t>
  </si>
  <si>
    <t>Gris</t>
  </si>
  <si>
    <t>Cheveux</t>
  </si>
  <si>
    <t>Yeux</t>
  </si>
  <si>
    <t>Gris-bleu</t>
  </si>
  <si>
    <t>Gris clair</t>
  </si>
  <si>
    <t>Noisette</t>
  </si>
  <si>
    <t>Marron clair</t>
  </si>
  <si>
    <t>Cuivre</t>
  </si>
  <si>
    <t>Marron</t>
  </si>
  <si>
    <t>Marron foncé</t>
  </si>
  <si>
    <t>Mauve</t>
  </si>
  <si>
    <t>Argent</t>
  </si>
  <si>
    <t>Rouge</t>
  </si>
  <si>
    <t>Bleu clair</t>
  </si>
  <si>
    <t>Gris foncé</t>
  </si>
  <si>
    <t>Vert Clair</t>
  </si>
  <si>
    <t>Vert Foncé</t>
  </si>
  <si>
    <t>Statut Marital</t>
  </si>
  <si>
    <t>Célibataire</t>
  </si>
  <si>
    <t>Marié</t>
  </si>
  <si>
    <t>Divorcé</t>
  </si>
  <si>
    <t>Veuf</t>
  </si>
  <si>
    <t>Fiancé</t>
  </si>
  <si>
    <t>Endroit</t>
  </si>
  <si>
    <t>Sur moi</t>
  </si>
  <si>
    <t>Monture</t>
  </si>
  <si>
    <t>Domicile</t>
  </si>
  <si>
    <t>Crochet de la Barbe du Dragon</t>
  </si>
  <si>
    <t>Ecritoire/Nécéssaire à lettre</t>
  </si>
  <si>
    <t>Néc. de divination (bâtonnet d'achilée)</t>
  </si>
  <si>
    <t>Néc. de divination (pièces kawaru)</t>
  </si>
  <si>
    <t>Pouvoirs et mutations de l'Outremonde</t>
  </si>
  <si>
    <t>Mot-Clef</t>
  </si>
  <si>
    <t>Eq. de départ</t>
  </si>
  <si>
    <t>Armure Légère ou Lourde, Vêtements Robustes, Daisho, Arme Lourde ou Arme d'Hast, Cheval (poney rokugani), Nécéssaire de Voyage</t>
  </si>
  <si>
    <t>PVide pr tenter de capturer un esprit à max 50m, à condition d'en connaitre existence et emplacement. Réussir en AC un jet d'opposition de Volonté, (bonus de dés gardés = Rang d'école pr porteur du tatouage). Le jet doit être répété une fois/24h afin de garder l'esprit emprisonné.</t>
  </si>
  <si>
    <t>Concubinage</t>
  </si>
  <si>
    <t>1 koku = 5bu= 50 zeni</t>
  </si>
  <si>
    <t>m</t>
  </si>
  <si>
    <t>Total du ND (base+arm.):</t>
  </si>
  <si>
    <t>Compétences d'école</t>
  </si>
  <si>
    <t>Niveau de corruption</t>
  </si>
  <si>
    <t>Germes des ténèbres</t>
  </si>
  <si>
    <t>Corruption Active</t>
  </si>
  <si>
    <t>Corruption Passive</t>
  </si>
  <si>
    <t>Corruption Dévorante</t>
  </si>
  <si>
    <t>Corruption Mortelle</t>
  </si>
  <si>
    <t>Albinisme</t>
  </si>
  <si>
    <t>Créature de Fu Leng</t>
  </si>
  <si>
    <t>Dépigmentation</t>
  </si>
  <si>
    <t>Doigt Supplémentaire</t>
  </si>
  <si>
    <t>Langue Fourchue</t>
  </si>
  <si>
    <t>Membres Difformes</t>
  </si>
  <si>
    <t>Membre Supplémentaire</t>
  </si>
  <si>
    <t>Odeur Pestilentielle</t>
  </si>
  <si>
    <t>Œil Supplémentaire</t>
  </si>
  <si>
    <t>Peau Epaisse</t>
  </si>
  <si>
    <t>Regard Démoniaque</t>
  </si>
  <si>
    <t>Sang de Jikogu</t>
  </si>
  <si>
    <t>Tentacules</t>
  </si>
  <si>
    <t>Visage de Mort-Vivant</t>
  </si>
  <si>
    <t>Mutation</t>
  </si>
  <si>
    <t>P. Mineur</t>
  </si>
  <si>
    <t>Au-dessus des Elements</t>
  </si>
  <si>
    <t>Bénédiction du Sombre Seigneur</t>
  </si>
  <si>
    <t>Enfant des Ténèbres</t>
  </si>
  <si>
    <t>Esprit des Ténèbres</t>
  </si>
  <si>
    <t>Force Monstrueuse</t>
  </si>
  <si>
    <t>Griffes Obscures</t>
  </si>
  <si>
    <t>Maîtres des Ombres</t>
  </si>
  <si>
    <t>Maître du Sang</t>
  </si>
  <si>
    <t>Résistance Surnaturelle</t>
  </si>
  <si>
    <t>Le Sang appelle le Sang</t>
  </si>
  <si>
    <t>Sentir le Jade</t>
  </si>
  <si>
    <t>Vitesse Surnaturelle</t>
  </si>
  <si>
    <t>Aux Côtés des Ombres</t>
  </si>
  <si>
    <t>Bauté Impie</t>
  </si>
  <si>
    <t>Domination du Sang</t>
  </si>
  <si>
    <t>Elu de Fu Leng</t>
  </si>
  <si>
    <t>Les Délices de la Chair</t>
  </si>
  <si>
    <t>Force de la Folie</t>
  </si>
  <si>
    <t>Force Impie</t>
  </si>
  <si>
    <t>Père des Mensonges</t>
  </si>
  <si>
    <t>Protection Obscure</t>
  </si>
  <si>
    <t>Régénération Surnaturelle</t>
  </si>
  <si>
    <t>Les Volontés du Maître</t>
  </si>
  <si>
    <t>P. Majeur</t>
  </si>
  <si>
    <t>Ailes</t>
  </si>
  <si>
    <t>Armure Chitineuse</t>
  </si>
  <si>
    <t>Calligraphie des Pensées</t>
  </si>
  <si>
    <t>Les Yeux de l'Enfer</t>
  </si>
  <si>
    <t>Peur</t>
  </si>
  <si>
    <t>Ressentir le Pureté</t>
  </si>
  <si>
    <t>Armure de Mort</t>
  </si>
  <si>
    <t>Au-delà des Eléments</t>
  </si>
  <si>
    <t>Cri du Sang</t>
  </si>
  <si>
    <t>Echapper aux Indignes</t>
  </si>
  <si>
    <t>Force du Sombre Seigneur</t>
  </si>
  <si>
    <t>Perturbation du Chi</t>
  </si>
  <si>
    <t>Vol des Ténèbres</t>
  </si>
  <si>
    <t>Akutenshi</t>
  </si>
  <si>
    <t>Au Travers de la Lumière</t>
  </si>
  <si>
    <t>Aura du Sombre Seigneur</t>
  </si>
  <si>
    <t>Buveur d'Âmes</t>
  </si>
  <si>
    <t>Corps du Temps Maudit</t>
  </si>
  <si>
    <t>Maîtrise des Ténèbres</t>
  </si>
  <si>
    <t>Métamorphose</t>
  </si>
  <si>
    <t>Souffle de Souillure</t>
  </si>
  <si>
    <t>Terreur de Fu Leng</t>
  </si>
  <si>
    <t>Quand ce tatouage est actif, vous pouvez vos déplacer sur des surfaces verticales et inversées (comme les murs et plafonds) tout en entreprenant des actions de movement. Dans ce cas vos vous déplacez à votre vitesse habituelle.</t>
  </si>
  <si>
    <t>En activant ce tatouage, vous pouvez rejouer un jet par Round et garder le meilleur résultat des deux.</t>
  </si>
  <si>
    <t>En recevant ce tatouage, vous n'avez plus besoin de manger ni de boire mais vous pouvez le faire si tel est votre souhait. Lorsque vous activez ce tatouage, vous êtres frais et dispo comme si vous aviez dormi 8h et regagnez tous vos Pvides. Ne peut être utilisé que tous les 3 jours.</t>
  </si>
  <si>
    <t>Quand ce tatouage est actif, vos attaques à Mains Nues n'ont besoin que d'une A pour exploiter la Manœuvre de Renversement.</t>
  </si>
  <si>
    <t>Tant que ce tatouage est actif, vous gagnez une AS supplémentaire par Round, inutilisable cependant pour effectuer une attaque. Votre déplacement maximal ne se limite plus à votre Anneau d'Eau X6m.</t>
  </si>
  <si>
    <t>Ce tatouage permet d'utiliser les tatouages ​​de tous ceux que vous avez tués et écorchés comme s'ils étaient les vôtres. Vous ne pouvez utiliser qu'un ensemble de tatouages  à la fois ​​(les vôtre ou un ensemble autre). La commutation entre les différents ensembles se fait en AS.</t>
  </si>
  <si>
    <t>Tt objet consumable qui touche le torse ou les bras du porteur de ce tatouage activé est réduit en cendres. Le porteur est a une Réduction de 5 contre de telles attaques. Les armes métalliques touchent normalmnt mais le pourteur doit réussir un jet d'opposition de Feu ou être désarmé.</t>
  </si>
  <si>
    <t>Cette mutation terrible vous prive de votre apparence humaine et fait de vous un monstre habituellement une sorte d'ogre quadrupède ou boursoufflé. Cette difformité grave ne peut évidement pas être cachée et suscite un effet de Peur 3 chez tous ceux qui vous voient.</t>
  </si>
  <si>
    <t>Vous avez la peau particulièrement pâle ou foncée. Vous pouvez l'expliquer par une vie menée dehors ou de rat de bibliothèque mais vous subissez un malus au ND de +5 à tous vos jets de Compétences Sociales.</t>
  </si>
  <si>
    <t>Vous avez désormais un doigt ou un orteil en plus. Il ne suggère pas automatiquement la Souillure mais tous ceux qui le remarquent sont mal à l'aise au point que vous subissez un malus de -1g0 à toutes vos compétences sociales. Si vous coupez le doigt, il repousse sous 48h.</t>
  </si>
  <si>
    <t>Horrible Dentition</t>
  </si>
  <si>
    <t>Vous avez les dents tordues et/ou décolorées au point qu'elles semble inhumaines. Elles peuvent être pointues ou cassés, virer au jaune,... Pour dissimuler cette mutation quand vous mangez ou parlez vous devez réussir un jet de Comédie/Intuition contre un ND de 20.</t>
  </si>
  <si>
    <t>Vous avez désormais un bras ou une jambe en plus qui souffre de dépigmentation voire d'ongles griffus et à 50% de chances de ne pas fonctionner normalement et de pendre mollement auquel cas vous subissez un malus de -1g0 aux jets basés sur l'Agilité ou les Réflexes.</t>
  </si>
  <si>
    <t>Vous dégagez une odeur particulièrement putride et repoussante que nul ne peut ignorer. Nul bon bain ou quantité de parfum ne peuvent vous en débarasser. Vous subissez un malus de -1g0 aux jets sociaux.</t>
  </si>
  <si>
    <t>Un œil apparait quelque part sur votre corps qui vous confère un bonus de +1g0 aux jets de Perception et jets basés sur la Perception mais seulement s'il se trouve à l'air libre. Dans ce cas, il se peut que quelqu'un le remarque.</t>
  </si>
  <si>
    <t>Vous avez maintenant une peau rêche et dure comme le cuir. On vous croit malade et vous subissez un malus de -2g0 aux jets de compétences Sociales. Toutefois cette peau vous confère une certaine résistance et une Réduction de 5.</t>
  </si>
  <si>
    <t>Chaque fois que vous êtes dans l'obscurité ou la pénombre, vous yeux brillent d'une lueur bleutée surnaturelle. Cela vous permet de voir dans le noir et malgré certains obstacles comme la fumée ou le brouillard.</t>
  </si>
  <si>
    <t>Vous avez maintenent un sang noir et nauséabond. Si vous vous blessez, tous les témoins verront là un symptôme évident de la Souillure.</t>
  </si>
  <si>
    <t>Vous avez désormais une apparence de mort-vivant, une peau grise qui semble tomber en lambeaux et des yeux caves. Cette difformité ne saurait être dissimulé et suscite un effet de Peur 3 auprès de tous ceux qui vous voient.</t>
  </si>
  <si>
    <t>Vous résistez naturellement à la douleur et aux blessures. Augmentez vos Blessures de 3 à chaque rang de Blessure.</t>
  </si>
  <si>
    <t>Vs disposez de griffes d'obsidienne dissimulées dans vos doigts que vous pouvez sortir au prix d'une AG. Les griffes confèrent une VD de 2g3 à vos attaques à Mains Nues (au lieu du 0g1) et passent outre la Réduction et l'Invulnérabilité. Presque obligé de s'en servir à chaque combat.</t>
  </si>
  <si>
    <t>Vous pouvez vous passer de repos ou de sommeil jusqu'à 3 jours d'affilée sans subir de malus. Ce pouvoir doit être réactivé au bout de 3 jours (auquel cas vous devez refaire un jet pour résister à l'acquisition de Souillure).</t>
  </si>
  <si>
    <t>Thé de pétales de Jade (Dose)</t>
  </si>
  <si>
    <t>Poudre de Jade (Bourse)</t>
  </si>
  <si>
    <t>On considère que votre Anneau d'Eau a 2 Rangs de plus en ce qui concerne la distance que vous pouvez parcourir au prix d'une AC ou d'une AS. En revanche vous ne tenez pas en place et ne pouvez pas rester tranquile plus de quelques minutes d'affilée.</t>
  </si>
  <si>
    <t>Vous ne subissez pas de malus de Blessures quelles que soient les blessures que vous subissez, vous agissez normalement jusqu'à la mort.</t>
  </si>
  <si>
    <t>On considère que vous êtes Invulnérable, de la même manière que certaines créatures. Quand vous ignorez des dommages grâce à ce pouvoir, votre peau luit d'une sorte d'énergie noire et palpitante impossible à dissimuler.</t>
  </si>
  <si>
    <t>Si vous mourrez, vous finissez par revenir sous la forme d'un Mort-Vivant intelligent. Vous conservez vos Anneaux, Traits, Techniques d'école et Compétences mais n'avez plus d'Anneau du Vide. Votre corps et mort-vivant et vous gagnez la mutation Visage de Mort-Vivant</t>
  </si>
  <si>
    <t>Votre peau a durci et ressemble à une carapace d'insecte qui vous protège physiquement mais révèle votre nature inhumaine. Ceci vous accorde une Réduction de 10 (cumulable avec les autres Réductions provenant d'Armure, de Sorts ou autres effets)</t>
  </si>
  <si>
    <t>Vous pouvez lire les pensées superficielles de quiconque se trouve dans votre champ de vision en ActG si vous remportez en Test d'opposition d'Air. Si vous réussissez, vous resentez ce à quoi pense la cible en ce moment. Ce pouvoir ne peut extirper d'émotions profondes ou subconscientes.</t>
  </si>
  <si>
    <t>Vous pouvez voir avec une clarté surnaturelle en toutes circonstances. Vous pouvez choisir de voir à travers la fumée, le brouillard, l'obscurité, les ombres ou toute autre gêne. Cependant à chaque fois que vous utilisez ce pouvoir, vos yeux brillent d'une lumière surnaturelle trahissant votre nature.</t>
  </si>
  <si>
    <t>En effectuant une ACtG, vous pouvez ressentir la présence d'humains non-Souillés dans un rayon de 15m en remportant un jet d'Opposition d'Intuition. Vous pouvez ressentir leur présence jusqu'à 800m mais cela nécéssite une AC et les cibles reçoivent 2 AG pour résister au jet d'Intuition.</t>
  </si>
  <si>
    <t>Lorsque vous subissez des Blessures vous poussez un cri affreux et terrifiant et la moitié des dommages que vous auriez du subir sont infligés à la personne qui a ingéré votre sang à la place. Si plusieurs personnes ayant ingéré votre sang peuvent vous entendre, les dommages sont divisés.</t>
  </si>
  <si>
    <t>En AS, vous pouvez devenir complètement Invisible et indétectable (votre corps et tout ce que vous portez),. Cette invisibilité ne dissimule ni le bruit, ni l'odeur et peut être percée à jour par des effets magiques. Elle se termine immédiatement après que vous ayez attaqué.</t>
  </si>
  <si>
    <r>
      <t xml:space="preserve">Vous résistez naturellement à la douleur et aux blessures. Augmentez vos Blessures de 5 à chaque rang de Blessure. </t>
    </r>
    <r>
      <rPr>
        <i/>
        <sz val="6"/>
        <rFont val="Arial"/>
        <family val="2"/>
      </rPr>
      <t>Cumulable avec Bénédiction du Sombre Seigneur</t>
    </r>
    <r>
      <rPr>
        <sz val="6"/>
        <rFont val="Arial"/>
        <family val="2"/>
      </rPr>
      <t>.</t>
    </r>
  </si>
  <si>
    <r>
      <t xml:space="preserve">Tous les sorts ordinaires (sauf la maho) suceptibles de vous affecter voient leur jet d'incantation augmenter d'un malus de ND de +15. Toutefois les sorts de maho bénéficient de 2 AG contre vous. Cumulable avec </t>
    </r>
    <r>
      <rPr>
        <i/>
        <sz val="6"/>
        <rFont val="Arial"/>
        <family val="2"/>
      </rPr>
      <t>Au-Dessus des Eléments.</t>
    </r>
  </si>
  <si>
    <t>Vous pouvez faire appel aux kansen de l'Air pour qu'ils vous portent à travers le ciel. Vous pouvez voler à volonté sans besoin de sorts ou d'ailes et vous vous déplacez à même vitesse que votre déplacement normal au sol.</t>
  </si>
  <si>
    <t>Vous pouvez faire un Test d'Opposition de Souillure contre Honneur/Volonté de votre cible sans défense pour aspirer son âme par votre bouche. L'âme est stockée dans vos intestins et continue d'exister dans un état de souffrance sans fin. Ces âmes ne peuvent êtres libérées qu'en vous tuant.</t>
  </si>
  <si>
    <t>Vous connaissez tous les sorts de maho et pouvez les lancer sans avoir besoin de verser du sang (si vous le faites quand-même vous gagnez 3AG au jet d'Incantation). De plus vous pouvez lancer des sorts élémentaires qui ne sont pas de maho comme s'ils l'étaient mais en versant du sang normalement.</t>
  </si>
  <si>
    <t>Vous pouvez en ActG modifier votre forme et votre taille librement tant qu'elles restent à peu près humanoïdes. Vous pouvez modifier votre corps et vos traits instantanément, pour vous rendre aussi beau ou laid que vous le voulez. Jet d'opposition de Comédie contre Enquête pour vous mettre à jour.</t>
  </si>
  <si>
    <t>Vous restez conscient de votre propre corps mais vous pouvez voir, ressentir, entendre et sentir tout ce que perçoit la créature de l'Outremonde possédée. Cel nécéssite une AS et de remporter une jet d'opposition de Volonté. Vous pouvez y mettre fin en ActG.</t>
  </si>
  <si>
    <t>Vous pouvez souffler un nuage de Souillure pure sur une cible située dans un rayon de 3m la forçant à réussir un jet de Terre de ND 25 ou gagner immédiatement 1 Rang de Souillure complet. Ce souffle peut être dirigé contre un objet, le rendant Souillé. Le jade ciblé est détruit, le cristal résiste.</t>
  </si>
  <si>
    <t>Le pouvoir de la Souillure vous permet de déchainer une vague de terreur inhumaine, glaçant le sang de vos ennemis. Une fois par escarmouche, vous pouvez projeter une aura de peur infligeant un effet de Peur 10 à tous vos ennemis dans votre champ de vision.</t>
  </si>
  <si>
    <t>Le pouvoir de la Souillure vous permet de déchainer une vague de terreur inhumaine, glaçant le sang de vos ennemis. Une fois par escarmouche, vous pouvez projeter une aura de peur infligeant un effet de Peur 5 à tous vos ennemis dans votre champ de vision.</t>
  </si>
  <si>
    <t>Grande</t>
  </si>
  <si>
    <t>Kusarigama (kama)</t>
  </si>
  <si>
    <t>Kusarigama (poid)</t>
  </si>
  <si>
    <t>Règles Spéciales</t>
  </si>
  <si>
    <t>Légère</t>
  </si>
  <si>
    <t>Lourde</t>
  </si>
  <si>
    <t>Moyenne</t>
  </si>
  <si>
    <t>Double le bonus au ND d'armure dû  à l'armure de l'adversaire</t>
  </si>
  <si>
    <t>Grande, Samurai</t>
  </si>
  <si>
    <t>Peut être utilisé pour initier une Empoignade et la maintenir</t>
  </si>
  <si>
    <t>Petite</t>
  </si>
  <si>
    <t>Peut être projeté jusqu'à 7,5m</t>
  </si>
  <si>
    <t>Peut être projeté jusqu'à 9m</t>
  </si>
  <si>
    <t>Sang Kauw (croissant de lune)</t>
  </si>
  <si>
    <t>Sang Kauw (bouclier)</t>
  </si>
  <si>
    <t>5</t>
  </si>
  <si>
    <t>Moyenne, Paysan</t>
  </si>
  <si>
    <t>Petite, Paysan</t>
  </si>
  <si>
    <t>Grande, Paysan</t>
  </si>
  <si>
    <t>Quand il inflige plus de 25 blessures en une fois, il se casse</t>
  </si>
  <si>
    <t>Peut-être lancé avec précision jusqu'à 7,5m</t>
  </si>
  <si>
    <t>Peut-être lancé avec précision jusqu'à 15m</t>
  </si>
  <si>
    <t>Peut-être lancé avec précision jusqu'à 9m avec une VD de 1g2</t>
  </si>
  <si>
    <t>Moyenne, Samurai</t>
  </si>
  <si>
    <t>Moyenne, Ninja</t>
  </si>
  <si>
    <t>Quand il inflige plus de 30 blessures en une fois, il se casse</t>
  </si>
  <si>
    <t>Peut-être lancé avec précision jusqu'à 6m</t>
  </si>
  <si>
    <t>Bo-Hiya</t>
  </si>
  <si>
    <t>Teppoudo</t>
  </si>
  <si>
    <t>Kakiyari</t>
  </si>
  <si>
    <t>Teppoudo is the skill of maintaining and firing a Rokugani
(non-gaijin) firearm. Taught alongside the traditional arts
of Kenjutsu and Kyujutsu, the art of Teppoudo places a
great emphasis on mindfulness, calm deliberate intentions,
and careful breathing. It is just as much a practice of zenlike
focus as it is a test of rote and memory. The samurai
does not merely pull the trigger… he pushes the bullet.</t>
  </si>
  <si>
    <t>Bonus de +1g0 aux dégâts quand vous utilisez une arme à feu rokugani</t>
  </si>
  <si>
    <t>Prix en ttes lettres</t>
  </si>
  <si>
    <t xml:space="preserve">Damasu </t>
  </si>
  <si>
    <t xml:space="preserve">Akodo </t>
  </si>
  <si>
    <t xml:space="preserve">Goseki </t>
  </si>
  <si>
    <t xml:space="preserve">Matsu </t>
  </si>
  <si>
    <t xml:space="preserve">Hateru </t>
  </si>
  <si>
    <t xml:space="preserve">Hayameru </t>
  </si>
  <si>
    <t xml:space="preserve">Daidoji </t>
  </si>
  <si>
    <t xml:space="preserve">Hoji </t>
  </si>
  <si>
    <t xml:space="preserve">Yoritomo </t>
  </si>
  <si>
    <t xml:space="preserve">Ichime </t>
  </si>
  <si>
    <t xml:space="preserve">Iga </t>
  </si>
  <si>
    <t xml:space="preserve">Shiba </t>
  </si>
  <si>
    <t xml:space="preserve">Jitsuyoteki </t>
  </si>
  <si>
    <t xml:space="preserve">Shosuro </t>
  </si>
  <si>
    <t xml:space="preserve">Junichi </t>
  </si>
  <si>
    <t xml:space="preserve">Katogama </t>
  </si>
  <si>
    <t xml:space="preserve">Doji </t>
  </si>
  <si>
    <t xml:space="preserve">Koebi </t>
  </si>
  <si>
    <t xml:space="preserve">Hida </t>
  </si>
  <si>
    <t xml:space="preserve">Morehei </t>
  </si>
  <si>
    <t xml:space="preserve">Nobuto </t>
  </si>
  <si>
    <t xml:space="preserve">Yasuki </t>
  </si>
  <si>
    <t xml:space="preserve">Sesai </t>
  </si>
  <si>
    <t xml:space="preserve">Zeshi </t>
  </si>
  <si>
    <t xml:space="preserve">Iuchi </t>
  </si>
  <si>
    <t>Bonus de +1g0 aux dégâts quand vous utilisez une arme à feu rokugani, Charger une arme à feu rokugani requiert une AC de moins</t>
  </si>
  <si>
    <t>Bonus de +1g1 aux dégâts quand vous utilisez une arme à feu rokugani, Charger une arme à feu rokugani requiert une AC de moins</t>
  </si>
  <si>
    <t>Le Monde des Daimyo</t>
  </si>
  <si>
    <t>Emp. Emeraude</t>
  </si>
  <si>
    <t>Le Monde des Daimyo (3)</t>
  </si>
  <si>
    <t>Le Monde des Daimyo (2)</t>
  </si>
  <si>
    <t>+5 points d'Influence pour servir à acquérir des Attributs d'Office</t>
  </si>
  <si>
    <t>+8 points d'Influence. Vous pouvez acquérir des Attributs de Niveau 3 pour votre office principal.</t>
  </si>
  <si>
    <t>Arme Sacrée: Cimeterre Moto</t>
  </si>
  <si>
    <t>Arme Sacrée: Frappe de l'Inquisiteur</t>
  </si>
  <si>
    <t>Arme Sacrée: Kama des Tempêtes</t>
  </si>
  <si>
    <t>Arme Sacrée: Lame Akodo</t>
  </si>
  <si>
    <t>Arme Sacrée: Lame d'acier Noir</t>
  </si>
  <si>
    <t>Arme Sacrée: Lame de la Chouette</t>
  </si>
  <si>
    <t>Arme Sacrée: Lame Kaiu</t>
  </si>
  <si>
    <t>Arme Sacrée: Lame Kakita</t>
  </si>
  <si>
    <t>Arme Sacrée: Lame Shosuro</t>
  </si>
  <si>
    <t>Arme Sacrée: Lames jumelles</t>
  </si>
  <si>
    <t>Héritage : Armure d'Ashigaru du Marteau d'Eau</t>
  </si>
  <si>
    <t>Héritage : Armure de Cavalerie du Marteau d'Eau</t>
  </si>
  <si>
    <t>Héritage : Armure Légère du Marteau d'Eau</t>
  </si>
  <si>
    <t>Héritage : Armure Lourde du Marteau d'Eau</t>
  </si>
  <si>
    <t>Héritage : Kobune</t>
  </si>
  <si>
    <t>Sans Cœur</t>
  </si>
  <si>
    <t>Versatilité du Vide</t>
  </si>
  <si>
    <t>Mauvaise Fortune: Malédiction de Moto</t>
  </si>
  <si>
    <t>Mauvaise Fortune: Malédiction de Yogo</t>
  </si>
  <si>
    <t>Déséquilibre élémentaire mineure</t>
  </si>
  <si>
    <t>Déséquilibre élémentaire moyen</t>
  </si>
  <si>
    <t>Déséquilibre élémentaire majeur</t>
  </si>
  <si>
    <t>Déséquilibre élémentaire extrême</t>
  </si>
  <si>
    <t>Folie de l'Illumination Majeure</t>
  </si>
  <si>
    <t>Folie de l'Illumination Mineure</t>
  </si>
  <si>
    <t>Vous devez déclarer une augmentation à tout jet pour éviter un manquement à l'honneur ou un embarras ou échouer autmnt.</t>
  </si>
  <si>
    <t>Vous subissez les effets toutes les Mutations Débilitantes à chaque fois que vous êtes à Rokugan mais vs gagnez 1XP en plus.</t>
  </si>
  <si>
    <t>Vs devez déclarer une A pour réaliser une manœuvre de Coup Précis, Feinte ou Désarmemnt. Malus de -1g0 aux Jets d'étiquette</t>
  </si>
  <si>
    <t>Vous confère l'usage d'une abilité mineure de changeforme ms 1X/Sem vs devez exécuter des actes humiliants. -6 Gloire si vu</t>
  </si>
  <si>
    <t>+1 Rang en Connaissances: Ombre Rampante et +Test en Ombre Rampante/Perception ND 30 pr trouver des perso corrompus</t>
  </si>
  <si>
    <t>Chaque jour, le porteur de ce bâton peut percevoir et comprendre les esprits et fantômes (et se faire comprendre d'eux) pendant 1h.</t>
  </si>
  <si>
    <t>Porter une armure de fer augmente le ND de tous test basé sur Agilité ou Réflexes de 10 sauf si le porteur a une Force&gt;5, le malus est alors de -5. Considérée comme Armure Lourde.</t>
  </si>
  <si>
    <t>Bonus de +8 suppl. au ND d'armure une fois Monté. Considérée comme une Armure Lourde.</t>
  </si>
  <si>
    <t>Explosent à l'aterrisage et ignorent toutes les Réductions</t>
  </si>
  <si>
    <t>Déch.</t>
  </si>
  <si>
    <t>Perce-a.</t>
  </si>
  <si>
    <t>Tranche</t>
  </si>
  <si>
    <t>F. Saule</t>
  </si>
  <si>
    <t>Grande, Arme à Feu</t>
  </si>
  <si>
    <t>Grande, Arme à Feu, Lourde</t>
  </si>
  <si>
    <t>Petite, Samurai, Arme à Feu</t>
  </si>
  <si>
    <t>Siège, Cannon</t>
  </si>
  <si>
    <t>Ignore la réduction. Peut être utilisé comme un Testubo au CàC. 1 Tir par charge.</t>
  </si>
  <si>
    <t>Peut être dégainé avec la compétence Iaijutsu</t>
  </si>
  <si>
    <t>Ignore la réduction naturelle si utilisé à mi portée</t>
  </si>
  <si>
    <t>Peut être utilisé comme un Wakizashi en utilisant Kenjutsu. Fonctionne avec les tech. de l'école Mirumoto</t>
  </si>
  <si>
    <t>Peut être manié comme un Yari et fait 1g1 dégât. Usage Unique.</t>
  </si>
  <si>
    <t>Peut être manié comme un Yari et fait 2g2 dégât. Usage Unique.</t>
  </si>
  <si>
    <t>Mots-Clefs/Portée</t>
  </si>
  <si>
    <t>VDégâts*/Force</t>
  </si>
  <si>
    <t>Portée (en m)</t>
  </si>
  <si>
    <t>Armes à feu</t>
  </si>
  <si>
    <t>Firing a gun is a test of memory and rote rather than of physical skill—one of many reasons why it disturbs the samurai of Rokugan. Gunpowder weapons normally have a very slow rate of fire, requiring three Complex Actions to load and prepare for firing (a skilled and experienced soldier can shorten this time, but only somewhat). This skill is considered Low for any Rokugani, and using firearms carries a host of dire social consequences as well.</t>
  </si>
  <si>
    <t>La VD est modifiée par la Perception au lieu de la Force</t>
  </si>
  <si>
    <t>La VD est modifiée par la Perception au lieu de la Force. Si'l possède une bayonnette peut être utilisé comme une Arme d'hast avec une VD de 2g2.</t>
  </si>
  <si>
    <t>Petite, Gaijin</t>
  </si>
  <si>
    <t>Nécéssite 2 servants. 5g5 à toute personne se trouvant jusqu'à 9m après la première cible que le boulet traverse. 1 tir toutes les 2 minutes.</t>
  </si>
  <si>
    <t>Nécéssite 4 servants. 5g5 à toute personne se trouvant dans un rayon de 6m autour de l'impact. Ignore toute Réduction. Cause Peur 3.</t>
  </si>
  <si>
    <t>Nécéssite 4 servants. 6g6 à toute personne se trouvant jusqu'à 6m après la 1ère cible que le carreau traverse; 4g4 à la suivante. 1 tir toutes les 5 minutes. Ignore 10 pts de Réduction.</t>
  </si>
  <si>
    <t>Nécéssite 4 servants. 4g4 à toute personne se trouvant dans un rayon de 3m autour de l'impact. Ignore 8pts de Réduction. 1 Tir toutes les 10 min.</t>
  </si>
  <si>
    <t xml:space="preserve">Nécéssite 6 servants. 2 coups par minute. </t>
  </si>
  <si>
    <t xml:space="preserve">Nécéssite de 6 à 16 servants qui peuvent débarquer jusqu'à 4 par Round. 2 coups par minute. </t>
  </si>
  <si>
    <t>La Vérité dans les Ombres</t>
  </si>
  <si>
    <t>L'œil voit tout</t>
  </si>
  <si>
    <t>Doit avoir le Rang 5 de l'école d'Enquêteur Kitsuki</t>
  </si>
  <si>
    <t>Dépensez un PVide et jet de Perception de ND 25. Avec un succès, vous repérez des traces , empreintes de mains, des objets hors de place, ou d'autres indices visuels. Vous êtes également très dificile de surprendre. Bonus de +2g2 à des jets faits pour éviter d'être surpris.</t>
  </si>
  <si>
    <t>Nager Sous les Vagues</t>
  </si>
  <si>
    <t>Avantage: Ingénieux OU Rang d'Honneur &lt;4. Daidoji uniquement.</t>
  </si>
  <si>
    <t>Doit être recruté à ce poste</t>
  </si>
  <si>
    <t>Bénédictions de Longévité</t>
  </si>
  <si>
    <t>Athlétisme, Bâtons, Connaissance (Anatomie: Maladies), Jiujutsu, Médecine (Maladies, Herboristerie), Méditation, une Compétence au choix</t>
  </si>
  <si>
    <t>Soins médicaux</t>
  </si>
  <si>
    <t>+1g1 à tous les jets de Médecine faits pr traiter la maladie ou l'infection et de +1g0 pr traiter les plaies. Vous pouvez essayer de traiter une folie naturelle (non-induite par la Souillure) avec un test de Médecine, mais le MJ decide si votre traitement a réellement un effet.</t>
  </si>
  <si>
    <t>Ecole de Moine pacifique de Rang 4</t>
  </si>
  <si>
    <t>Médecine (Traitement des Blessures) 5</t>
  </si>
  <si>
    <t>Serment de pacifisme absolu</t>
  </si>
  <si>
    <t>Présages</t>
  </si>
  <si>
    <t>Athlétisme, Connaissance: Présages, Divination (Présages), Jiujutsu, Méditation, deux Compétences au choix</t>
  </si>
  <si>
    <t>Présages et divination</t>
  </si>
  <si>
    <t>Regard dans le Mirroir</t>
  </si>
  <si>
    <t>+1g0 en Divination. Si ce jet utilise la spécialisation Présages, +1g1 à la place. Une fois par jour, vous pouvez dépenser un PVide pour interpréter un présage avec une précision absolue, sans avoir besoin d'un jet de compétence pour le faire. (A la discrétion du MJ)</t>
  </si>
  <si>
    <t>Quand elle inflige plus de 20 blessures en une fois, elle se casse</t>
  </si>
  <si>
    <t>Grande, Ninja</t>
  </si>
  <si>
    <t>Peut être utilisé pour initier une Empoignade et la maintenir jusqu'à 4,5m</t>
  </si>
  <si>
    <t>Peut être utilisé pour initier une Empoignade et la maintenir jusqu'à 9m</t>
  </si>
  <si>
    <t>Grande, Moine, Ninja</t>
  </si>
  <si>
    <t>Paysan, Improvisé</t>
  </si>
  <si>
    <t>Une personne touchée doit réussir un jet de Réflexes de ND 10 ou prendre feu et subir 1g1 blessures à la phase de Réaction tant que le feu n'est pas éteint.</t>
  </si>
  <si>
    <t>Chasseur de Primes Tsuruchi 3, Bushi Yorimoto 4</t>
  </si>
  <si>
    <t>Hurlement de la bord de la falaise</t>
  </si>
  <si>
    <t>B/N</t>
  </si>
  <si>
    <t>Bushi Bayushi 3, Infiltrateur Shosuro 4</t>
  </si>
  <si>
    <t>Armes à chaine 6</t>
  </si>
  <si>
    <t>Athlétisme 4, Armes à chaine 4</t>
  </si>
  <si>
    <t>La Portée de la Queue</t>
  </si>
  <si>
    <t>Etudiant du Mizu-Do</t>
  </si>
  <si>
    <t>La Voie de l'Eau</t>
  </si>
  <si>
    <t>Jiujutsu (Mizu-do) 3</t>
  </si>
  <si>
    <t>Mizu-do</t>
  </si>
  <si>
    <t>Lorsque vs effectuez une Empoignade, vs pouvez utiliser la Force de votre adversaire à la place de la vôtre. En posture de Défense ou d'Esquive qd une atk de CàC vs manque, vs pouvez prendre une ActG et dépenser un Pvide pour faire un test de Jiujustu (mizu-do)/Force contre un ND égal au jet d'atk de votre adv. En cas de succès vous pouvez projeter votre adv. ou initier une Empoignade que vous contrôlez.</t>
  </si>
  <si>
    <t>Les Yeux de l'Empereur</t>
  </si>
  <si>
    <t>La Beauté du Monde</t>
  </si>
  <si>
    <t>Essence du Sauvage</t>
  </si>
  <si>
    <t>Né de la Terre</t>
  </si>
  <si>
    <t>Uni avec le Monde Sauvage</t>
  </si>
  <si>
    <t>S'Opposer à l'Oppression</t>
  </si>
  <si>
    <t>Défendre comme le Soleil</t>
  </si>
  <si>
    <t>La Voie de l'Archer</t>
  </si>
  <si>
    <t>Ascendance de l'Acier</t>
  </si>
  <si>
    <t>Purger l'Obscurité</t>
  </si>
  <si>
    <t>Repérer la Proie</t>
  </si>
  <si>
    <t>En Empoignade, vs pouvez utiliser la Force de votre adv. à la place de la vôtre. En post. de Déf. ou d'Esq. qd une atk de CàC vs manque, dépensez un Pvide et une ActG pr faire un test de Jiujustu (mizu-do)/Force vs atk de l'adv. Succès: vs pouvez projeter votre adv.</t>
  </si>
  <si>
    <t>Choix d'un Anneau ou une capacité: Réussir un Test de Volonté ND 30 pour l'utiliser ou perdre le contrôle de votre perso</t>
  </si>
  <si>
    <t>Grand Voyageur (pour une contrée comportant une rivière)</t>
  </si>
  <si>
    <t>Serviteur de la Rivière</t>
  </si>
  <si>
    <t>En lançant un sort de l'eau tout en restant moins de 30 m d'une rivière naturelle, vous gagnez un augmentation gratuite sur ce sort.</t>
  </si>
  <si>
    <t>Ecole de Shugenja du Phénix de Rang 2, Shugenja Tombo 2</t>
  </si>
  <si>
    <t>Divination (Kawaru) 3</t>
  </si>
  <si>
    <t>Ecole de Shugenja du Phénix de Rang 2, Shugenja Tombo 3</t>
  </si>
  <si>
    <t>Divination (Kawaru) 4</t>
  </si>
  <si>
    <t>Le Voile de l'Avenir</t>
  </si>
  <si>
    <t>Shugenja Seppun4</t>
  </si>
  <si>
    <t>Divination (Astrologie) 4, Divination (Présages) 5</t>
  </si>
  <si>
    <t>Sagesse des Cieux</t>
  </si>
  <si>
    <t xml:space="preserve">Une fois par mois vous pouvez conférer à une personne un Avantage Spirituel ou un Désavantage Spirituel (si vous remportez un jet d'oppostion de Vide contre votre cible). Cet effet dure un mois ou jusqu'à ce que vous usiez de cette technique sur une autre personne. </t>
  </si>
  <si>
    <t>Tant que ce kata est actif et que vous manipulez une arme pour laquelle vous avez au moins 3 rangs de compétence, vos jets de dommages sont augmentés de +1g0</t>
  </si>
  <si>
    <t>une étendue d'eau de 150m de rayon</t>
  </si>
  <si>
    <t>Zone d'effet (+150m de rayon)</t>
  </si>
  <si>
    <t>Portée (+3m), Zone d'effet (+1 cible par 2A), Spécial (+1g0 au jet d'opposition)</t>
  </si>
  <si>
    <t>Ce sort invoque une grande masse d'eau qui frappe avec le pouvoir irrésistible de la marée. La cible doit réussir un test d'opposition de Force contre l'Eau du lanceur du sort ou se retrouver Au Sol. Ce sort éteint aussi toute flamme non protégée (torche, lanterne,...). Ce cible peut affecter des créatures énormes à discrétion du MJ.</t>
  </si>
  <si>
    <t>Porée (+3m), Durée (+3 Rounds)</t>
  </si>
  <si>
    <t>La cible ressent comme un grand poids sur ses membres comme si elle éteit obligée de nager en haute mer. L'hostilité de Suitengu réduit la valeur des Réflexes de la cible de 1 et on considère que son anneau d'Eau est réduit de 1 pour calculer ses mouvements tant que perdure le sort.</t>
  </si>
  <si>
    <t>Portée (peut être lancé sur une autre personne pour 3A), Durée (+1 Round)</t>
  </si>
  <si>
    <t>Portée (+3m), Durée (+1 Round par 2A)</t>
  </si>
  <si>
    <t>Le bénéficiaire de ce sort reçoit un bonus de +1g1 à tous ses jets d'attaque mais ne peut pas se mettre en Posture du Centre et doit effectuer une action de mouvement à chaque tour tant que dure ce sort sous peine de le dissiper.</t>
  </si>
  <si>
    <t>Au contact, ce sort rend toute étendue d'eau touchée par le shugenja pure et débarassée de toute impureté, poison et maladie (à l'exeption de la Souillure) ce qui la rends parfaitement potable. Il ne prévient pas des contaminations ultérieures. Il peut être aussi lancé sur un contenant. Il transforme tout alcool en eau.</t>
  </si>
  <si>
    <t>une étendue d'eau de 30m de rayon centrée sur le lanceur.</t>
  </si>
  <si>
    <t>Zone d'effet (+15m de rayon)</t>
  </si>
  <si>
    <t>Zone d'effet (+1,5m), Durée (+1 Round pour 2A). Ne peut être lancé qu'une fois</t>
  </si>
  <si>
    <t>Zone d'effet (+1,6 km par 2A), Durée (+6h)</t>
  </si>
  <si>
    <t>Durée (+3 Rounds), Zone d'effet (+1 personne)</t>
  </si>
  <si>
    <t>Ce sort ne peut être lancé que dans un environnement naturel comprenant une grande quantité d'eau. L'eau absorbe le lanceur du sort et toute autre cible consentante sous sa surface et lui permet de respirer tant que dure le sort. Les cibles sont protégées mais sont incapables d'entreprendre aucune action contre la surface.</t>
  </si>
  <si>
    <t>1 personne consentante</t>
  </si>
  <si>
    <t>Portée (+6m), Durée (+1 min)</t>
  </si>
  <si>
    <t>Le sort transforme la cible concentante et tout ce qu'elle transporte en une masse d'eau pure. Cette forme perdure tant que dure le sort et empêche la cible de parler, attaquer, lancer des sorts ou manipuler un objet mais lui permet de se glisser dans les ouvertures et de se déplacer comme si son anneau d'eau était augmenté de 1.</t>
  </si>
  <si>
    <t>1 allié ou plus</t>
  </si>
  <si>
    <t>Portée (+3m), Zone d'effet (+1 cible en plus de la valeur d'Eau du lanceur par 2A)</t>
  </si>
  <si>
    <t>1 monture invoquée</t>
  </si>
  <si>
    <t>Durée (+2 h)</t>
  </si>
  <si>
    <t>Un maximum de 25 alliés en groupe</t>
  </si>
  <si>
    <t>Portée (+15m), Durée (+1 min), Spécial (affecte aussi les non-samurai)</t>
  </si>
  <si>
    <t>Durée (+ Rounds)</t>
  </si>
  <si>
    <t>Graine de Qanan</t>
  </si>
  <si>
    <t>Une route impériale de max 16km de long</t>
  </si>
  <si>
    <t>Zone d'effet (+1,6 km)</t>
  </si>
  <si>
    <t>La route est débarassée de tout obstacle mineur et irrégularité et permets à tous ceux qui sont loyaux à l'Empereur d'y voyager comme si leur anneau d'Eau était augmenté de 2 sans être Fatigué tant qu'ils ne quittent pas la route.</t>
  </si>
  <si>
    <t>Sphère de 3m de rayon</t>
  </si>
  <si>
    <t>Durée (+30 min), Spécial (+1 pers. dans la bulle pour 3A)</t>
  </si>
  <si>
    <t>Ce sort forme une bulle d'air respirable autour du lanceur de sort. Il peut la déplacer grâce à sa concentration ce qui lui permet une exploration sous-marine. Quiconque peut y entrer ou en sortir en nageant. A la fin du sort, les kamis de l'eau remontent la bulle à la surface.</t>
  </si>
  <si>
    <t>Portée (+6m), Durée (+30 min), Spécial (+1 paire de Traits par 2A)</t>
  </si>
  <si>
    <t>Tranchée de 9m de large et de profondeur sur 90m de long</t>
  </si>
  <si>
    <t>15 min</t>
  </si>
  <si>
    <t>Zone d'effet (+3m à une valeur par A), Durée (+5 min)</t>
  </si>
  <si>
    <t>Se sort permet de créer un passage sûr et sec en ouvrant les eaux. Il permet le passage de personnes, d'animaux et de machines de guerre mais peut aussi permettre à des paysans d'échapper à une crue.</t>
  </si>
  <si>
    <t>Tourbillon de 60m de diamètre</t>
  </si>
  <si>
    <t>Zone d'effet (+7,5m de rayon), Durée (+2 min)</t>
  </si>
  <si>
    <t>Ce sort crée un tourbillon dans une masse d'eau qui entrainera vers le fond tout ce qui s'y trouve. Tte personne à l'eau doit réussir un test d'Athlétisme (Natation)/Force et tt pilote de bateau un jet de Navigation/Intelligence de ND 30 pour éviter cela.  Test d'Athlétisme (Natation)/Force ND 40 pr remonter à la surface.</t>
  </si>
  <si>
    <t>1 portail spirituel</t>
  </si>
  <si>
    <t xml:space="preserve">Durée (+10 min), Spécial </t>
  </si>
  <si>
    <t>Ce sort permet d'ouvrir un portail temporaire vers un Royaume Spirituel mais ne fonctionnera pas si l'endoit où il est utilisé à été spécialement protégé contre l'influence des Royaumes Spirituels. (Les A sont fonction de la destination: Meido, Chikushudo: pas d'A, Sakkaku, Yume-do: 1A, Gaki-do, Toshigoku: 2A, Yomi: 4A)</t>
  </si>
  <si>
    <t>800m</t>
  </si>
  <si>
    <t>Zone circulaire de 60m de rayon</t>
  </si>
  <si>
    <t>Zone d'effet (+7,5m de rayon), Durée (+10 min)</t>
  </si>
  <si>
    <t>Ce sort, populaire parmi les shugenja pacifistes, rends le sol boueux  et remplit l'espace de vapeur d'eau qui trouble la vision. Le sol touché devient Difficile et réduit la visibilité à 3m ce qui impose une pénalité de +15 au ND de toute attaque à distance. Tout est imperceptible au dessus de 9m de vision.</t>
  </si>
  <si>
    <t>+3 A pour contrer un sort de Maho</t>
  </si>
  <si>
    <t>Ce kiho doit être délivré au moyen d'une attaque de type atemi mais avec un bâton au lieu d'une attaque à mains nues. Il provoque un jet d'opposition d'Eau contre la Terre de la cible. En cas de succès, la cible est Assomée.</t>
  </si>
  <si>
    <t>Tasaii-Do</t>
  </si>
  <si>
    <t>Grande, Moine</t>
  </si>
  <si>
    <t>Moyenne, Moine</t>
  </si>
  <si>
    <t>Moyenne, Paysan, Moine</t>
  </si>
  <si>
    <t>Petute, Paysan, Moine</t>
  </si>
  <si>
    <t>Samurai</t>
  </si>
  <si>
    <t>La Réduction des Armures est doublée face à un bokken</t>
  </si>
  <si>
    <t>Les dés de dommages d'un Shinai ne s'ouvrent jamais</t>
  </si>
  <si>
    <t>Grande, Naga</t>
  </si>
  <si>
    <t>Peut-être lancé avec précision jusqu'à 9m avec une VD de 2g2</t>
  </si>
  <si>
    <t>Si utilisé à Monté le ND de toutes les attaques augmente de 10.</t>
  </si>
  <si>
    <t>Si utilisé à pied (non-Monté) le ND de toutes les attaques augmente de 10. Force minimale de 3 pour le bander.</t>
  </si>
  <si>
    <t>Une sarbacane fait toujours 1 blessure pour chaque projectile qui touche.</t>
  </si>
  <si>
    <t>Si employé non monté a une VD de 1g2 et en abscence de charge augmente le ND d'attaque de +10 à pied, +5 Monté. Quand elle inflige plus de 35 blessures en une fois, elle se casse.</t>
  </si>
  <si>
    <t>Arme**:</t>
  </si>
  <si>
    <t>** Un seul arc porté à la fois</t>
  </si>
  <si>
    <t>Peut dépenser un unique PVide pour augmenter les dommages de +1g1</t>
  </si>
  <si>
    <t>Inestimable</t>
  </si>
  <si>
    <t>Est considéré comme une arme "Petite" pour le dissimuler. S'il inflige plus de 30 dégâts en une fois, il se brise.</t>
  </si>
  <si>
    <t>En dehors du clan du lion quicinque l'emploie perd 1 pt d'honneur par combat.</t>
  </si>
  <si>
    <t>La Réduction des Armures est doublée face à une flèche déchireuse. 1/2 Portée.</t>
  </si>
  <si>
    <t>Ignore le bonus au ND d'armure.</t>
  </si>
  <si>
    <t>Produit un son aigu en vol</t>
  </si>
  <si>
    <t>2 AG pour ibler des objets non-animés. 1/2 Portée</t>
  </si>
  <si>
    <t>bu de départ</t>
  </si>
  <si>
    <t>zeni de départ</t>
  </si>
  <si>
    <t>N° bonus</t>
  </si>
  <si>
    <t>N° de bonus</t>
  </si>
  <si>
    <t>Bonus:</t>
  </si>
  <si>
    <t>250'</t>
  </si>
  <si>
    <t>Art de la Magie, Calligraphie (Code Secret), Cérémonie du Thé, Connaissance: Ancêtres, Connaissance: Théologie, Méditation, une Compétence Noble au choix</t>
  </si>
  <si>
    <t>Art de la Magie (Rech. de Sort), Artisanat: Meishodo, Calligraphie, Connaissance: Théologie, Défense, Méditation, une Compétence Noble ou de Bugei au choix</t>
  </si>
  <si>
    <t>Connaissance: Histoire (Clan du Lion), Courtisan, Etiquette, Sincérité (Honnêteté), Spectacle: Art du Conteur, une Compétence de Bugei et une Compétence Noble aux choix</t>
  </si>
  <si>
    <t>Rhuumal</t>
  </si>
  <si>
    <t>Récup. du Vide</t>
  </si>
  <si>
    <t>Recon. à l'Akasha</t>
  </si>
  <si>
    <t>Bâton 3-Section</t>
  </si>
  <si>
    <t>Cheval Gaijin</t>
  </si>
  <si>
    <t>5 Races Ancestr.</t>
  </si>
  <si>
    <t>Sens de l'Obs.</t>
  </si>
  <si>
    <t>Cr. non-humaines</t>
  </si>
  <si>
    <t>Traitmnt Blessures</t>
  </si>
  <si>
    <t>lancé réel</t>
  </si>
  <si>
    <t>gardé réel</t>
  </si>
  <si>
    <t>bonus au dés gardés</t>
  </si>
  <si>
    <t>gardé corrigé</t>
  </si>
  <si>
    <t>Calculs des Traits</t>
  </si>
  <si>
    <t>2+ Famille + Ecole</t>
  </si>
  <si>
    <t>Valeur réèle</t>
  </si>
  <si>
    <t>Thrane</t>
  </si>
  <si>
    <t>Confrérie Shinsei</t>
  </si>
  <si>
    <t>Fratrie:</t>
  </si>
  <si>
    <t>Tanatopracteur</t>
  </si>
  <si>
    <t>Bonus d'Emplacements de sorts</t>
  </si>
  <si>
    <t>Terre X</t>
  </si>
  <si>
    <t>Calcul ancêtre naga</t>
  </si>
  <si>
    <t>Contremaitre Yasuki</t>
  </si>
  <si>
    <t>Bushi Hida 4, Pragmatiste Hida  4</t>
  </si>
  <si>
    <t>Intimidation 5</t>
  </si>
  <si>
    <t>Sword and Fan</t>
  </si>
  <si>
    <t>Vous pouvez utiliser lntimidation (Brimades)/Volonté à la place d'un jet en Art de la Guerre y compris sur la Table des Combats de Masse. Des soldats sous votre commandement peuvent ajouter votre Rg. d'Intimidation à leurs jets pour résister à la Peur.</t>
  </si>
  <si>
    <t>Manipulateur Impérial</t>
  </si>
  <si>
    <t>Suivez mon exemple</t>
  </si>
  <si>
    <t>Etiquette 5, Sincérité 5</t>
  </si>
  <si>
    <t>Jet de Courtisan (Manipulation)/Intuition de ND 30 si vs êtes l'hôte (ou contre votre hôte) pour fixer l'ambiance générale. Quiconque tente un test de compétence Sociale pour contrer cet ambiance doit prendre 2 A sans effet ou bénéficier d'un bonus de +2g0 s'il est dans le bon ton.</t>
  </si>
  <si>
    <t>Médiateur Asako</t>
  </si>
  <si>
    <t>Maître du Savoir Asako 2, Bushi Shiba  2, Shugenja Isawa  2</t>
  </si>
  <si>
    <t>Sincérité  3</t>
  </si>
  <si>
    <t>Fantôme de la Forêt</t>
  </si>
  <si>
    <t>Marcher parmi les Arbres</t>
  </si>
  <si>
    <t>Affinité: Eau</t>
  </si>
  <si>
    <t>Grand Voyageur: Nazo Mori</t>
  </si>
  <si>
    <t>Chaque fois que vous êtes dans une zone boisée, vous gagnez AG sur tout jet de compétence de Bugei en dehors des combats. Si vous êtes dans ou à vue de Nazo Mori, vous gagnez également un bonus de +1g0 aux jets impliquant un Trait Mental.</t>
  </si>
  <si>
    <t>L'art de se retirer</t>
  </si>
  <si>
    <t>Chaque fois où vs êtes dans une situation où des hostilités sont déclarées vs pouvez tenter un jet de d'opp.de Sincérité (Honnêteté)/ Intuition contre Etiquette(Courtoisie)/Volonté. En cas de succès vs ramenez les parties à la raison et empêchez tte perte de Gloire.</t>
  </si>
  <si>
    <t>Maître de Chien de Guerre</t>
  </si>
  <si>
    <t>Bushi Shinjo 4, Bushi Moto 4</t>
  </si>
  <si>
    <t>Elevage (Chiens) 5</t>
  </si>
  <si>
    <t>En AC, jet d'Elevage (Chiens)/ Volonté ND 20 pour donner à vos chiens une commande simple (comme "Attaquer" ou "Suivre" ou "Pas Bouger"). Vous pouvez prendre des A sur ce test pour transmettre des commandes plus complexes. Vous chiens ont un bonus de +1g0 en atk et dommages.</t>
  </si>
  <si>
    <t>Légion de Tsuru</t>
  </si>
  <si>
    <t>Envahir</t>
  </si>
  <si>
    <t>Lorsque vous êtes monté, vous pouvez effectuer la manœuvre de renversement pour 1A de moins et vous pouvez dépenser un PVide pour ajouter + Xg0 à un jet d'attaque avec une arme, où X est la Force de votre monture.</t>
  </si>
  <si>
    <t>La Méthode Kaiu</t>
  </si>
  <si>
    <t>La Voie de Pierre</t>
  </si>
  <si>
    <t>La Voie d'Acier</t>
  </si>
  <si>
    <t>Chasseur de Sorcières Kuni</t>
  </si>
  <si>
    <t>Percevoir les Ténèbres</t>
  </si>
  <si>
    <t>Chevaucher les Ténèbres</t>
  </si>
  <si>
    <t>Repousser les Ténèbres</t>
  </si>
  <si>
    <t>Dissiper les Tènèbres</t>
  </si>
  <si>
    <t>L'Âme et le Sabre</t>
  </si>
  <si>
    <t>La Douleur n'est qu'Illusion</t>
  </si>
  <si>
    <t>Le Sabre du Sensei</t>
  </si>
  <si>
    <t>Ne faire qu'Un avec les Dieux</t>
  </si>
  <si>
    <t>La Puissance M'Appartient</t>
  </si>
  <si>
    <t>Rhétoricien Kitsuki</t>
  </si>
  <si>
    <t>Entre Vérité et Mensonge</t>
  </si>
  <si>
    <t>Flamme du Clan du Dragon</t>
  </si>
  <si>
    <t>Pluie Mortelle</t>
  </si>
  <si>
    <t>Gardien Togashi</t>
  </si>
  <si>
    <t>Puissance Intérieure</t>
  </si>
  <si>
    <t>Artisan Kakita</t>
  </si>
  <si>
    <t>Âme Artisane</t>
  </si>
  <si>
    <t>Le Songe de l'Âme</t>
  </si>
  <si>
    <t>Nom Eternel</t>
  </si>
  <si>
    <t>Un Présent Inestimable</t>
  </si>
  <si>
    <t>L'Art de la Raillerie</t>
  </si>
  <si>
    <t>Maitre Artisan Kakita</t>
  </si>
  <si>
    <t>Démonstration Artistique</t>
  </si>
  <si>
    <t>La Perfection Artistique</t>
  </si>
  <si>
    <t>Clans Majeurs</t>
  </si>
  <si>
    <t>Vous obtenez une personnalité (Clans Majeurs p.228) . Chaque fois que vous dépensez un PVide sur un test de Comédie ou Sincérité (Tromperie), bonus de +3g1 au lieu du 1g1 normal.</t>
  </si>
  <si>
    <t>Vous obtenez une 2ème personnalité (Clans Majeurs p.228) . Vous pouvez dépenser jusqu'à 2 Pvide (au lieu d'un)  pour améliorer une de vos compétence d'Ecole. Se cumule avec la Technique de Rang 1</t>
  </si>
  <si>
    <t>Chain weapons are considered unconventional by most traditional bushi, but they have become accepted as legitimate weapons because of the complexity and effectiveness of their use. Generally, chain weapons see a higher degree of use among the Mantis Clan, who favor exotic and unconventional weapons. but see only periodic use among other Clans Majeurs, and typically then only by small groups of specialized warriors.</t>
  </si>
  <si>
    <t>Training in the use of heavy weapons, a skill known as tsubojutsu, is the hallmark of bushi in service to the Crab Clan. While the dojo of virtually all Clans Majeurs address the use of heavy weapons during training, they are seldom seen in use in the ranks of any army other than the Crab. For the Sons of Hida, however, the sheer power of these weapons is an essential component in their defense of the Great Wall, where the use of weapons such as the tetsubo and ono allow them to defeat formidable enemies that a katana would not be able to harm.</t>
  </si>
  <si>
    <t>In a rigid hierarchical society such as the Emerald Empire, knowledge of appropriate conduct is essential for all but the most jaded and uncouth bushi. In many ways a proper code of etiquette is a defense for samurai, who can use their knowledge of how one should behave in a court setting as a shield against the manipulation of others. It can also allow them to aVide embarrassing faux pas by ensuring that they know to whom any particular concern should be addressed in the vast and often confusing Imperial bureaucracy, as well as the lesser bureaucracies maintained by the Clans Majeurs.
Etiquette is essentially the “social defense" Skill of honorable characters in Rokugan's courts. When someone tries to tempt, manipulate, or otherwise influence you (typically with skills like Courtier or Temptation).
Etiquette is usually used in the ensuing Contested Roll, most often with the Courtesy Emphasis. Courtesy also allows you to offer an opinion without risking offense (at a TN chosen by the GM) or to remember important social mores that might otherwise be forgotten (TNof anywhere from 5 to 20, depending on obscurity).
The Bureaucracy Emphasis is used when trying to maneuver through government channels appropriately, such as trying to arrange a meeting with someone of high Status (the Imperial bureaucracy is notoriously difficult to navigate).
Conversation allows you to determine an appropriate, non-offensive topic for discussion (TN 15+).</t>
  </si>
  <si>
    <t>Surgir des Ombres</t>
  </si>
  <si>
    <t>Scruter l'Horizon</t>
  </si>
  <si>
    <t>Saper la Résistance</t>
  </si>
  <si>
    <t>Frapper Mobile</t>
  </si>
  <si>
    <t>Mystères du Meishodo</t>
  </si>
  <si>
    <t>Vengeur Moto</t>
  </si>
  <si>
    <t>Bushi Shinjo 4, Bushi Moto 4, Vengeur Moto 4, Vierge de Bataille Utaku 4</t>
  </si>
  <si>
    <t>Face à l'Ombre Intérieure</t>
  </si>
  <si>
    <t>La Justice de nos Ancêtres</t>
  </si>
  <si>
    <t>Touché mais Fier</t>
  </si>
  <si>
    <t>Abandon Total</t>
  </si>
  <si>
    <t>Maître d'Ecurie Utaku</t>
  </si>
  <si>
    <t>Maître des Grandes Plaines</t>
  </si>
  <si>
    <t>Uni à la Meute</t>
  </si>
  <si>
    <t>Cœur de Fauve</t>
  </si>
  <si>
    <t>Tous Pour Un</t>
  </si>
  <si>
    <t>Avec l'Âme d'un Lion</t>
  </si>
  <si>
    <t>Mouvant comme la Mer</t>
  </si>
  <si>
    <t>Le Cœur du Sabre</t>
  </si>
  <si>
    <t>Eclaireur du Clan du Lion</t>
  </si>
  <si>
    <t>Ombre parmi les Ombres</t>
  </si>
  <si>
    <t>Paragon du Clan du Lion</t>
  </si>
  <si>
    <t>Pur et Dévoué</t>
  </si>
  <si>
    <t>Baroudeur du Clan de la Mante</t>
  </si>
  <si>
    <t>Les Sandales Ivres</t>
  </si>
  <si>
    <t>Invicible Ivresse</t>
  </si>
  <si>
    <t>La Danse des Ivrognes</t>
  </si>
  <si>
    <t>Un Ivrogne à la Porte</t>
  </si>
  <si>
    <t>La Truffe du Limier</t>
  </si>
  <si>
    <t>Nulle Trace n'Est Indélébile</t>
  </si>
  <si>
    <t>La Justice de la Guêpe</t>
  </si>
  <si>
    <t>Le Double Dard</t>
  </si>
  <si>
    <t>Les Yeux de la Guêpe</t>
  </si>
  <si>
    <t>Protégé comme le Soleil</t>
  </si>
  <si>
    <t>Forestier Kitsune</t>
  </si>
  <si>
    <t>Osmose Sauvage</t>
  </si>
  <si>
    <t>La Justice de Jade</t>
  </si>
  <si>
    <t>Sentence de Pureté</t>
  </si>
  <si>
    <t>Legionnaire Elémentaire</t>
  </si>
  <si>
    <t>Nul ne Doitt Tomber</t>
  </si>
  <si>
    <t>Comédien Shosuro</t>
  </si>
  <si>
    <t>Courtisan Bayushi 3 OU Comédien Shoshuro 3</t>
  </si>
  <si>
    <t>Premier Visage</t>
  </si>
  <si>
    <t>Coup Vicieux</t>
  </si>
  <si>
    <t>Deuxième Visage</t>
  </si>
  <si>
    <t>Morsure de la Vipère</t>
  </si>
  <si>
    <t>Troisème Visage</t>
  </si>
  <si>
    <t>Les Morts ne Connaissent Pas le Repos</t>
  </si>
  <si>
    <t>Sage du sabre et de l'éventail</t>
  </si>
  <si>
    <t>Vent du Dragon</t>
  </si>
  <si>
    <t>La Voie du Cheval et de l'Arc</t>
  </si>
  <si>
    <t>Bushi Mirumoto 4, Epéiste Taoiste 4</t>
  </si>
  <si>
    <t>Equitation 5, Kyujutstu (Dai-kyu) 5</t>
  </si>
  <si>
    <t>Tacticien du Lion</t>
  </si>
  <si>
    <t>L'Eventail du commandant</t>
  </si>
  <si>
    <t>Bushi Lion 4, Barde Ikoma 4</t>
  </si>
  <si>
    <t>Doit avoir le grade de gunso ou supérieur</t>
  </si>
  <si>
    <t>La Tempête de la Colère des Cieux</t>
  </si>
  <si>
    <t>Le Soleil Levant</t>
  </si>
  <si>
    <t>Garde Seppun 5</t>
  </si>
  <si>
    <t>Equitation 5, Lances 5</t>
  </si>
  <si>
    <t>Les Yeux du Vigilant</t>
  </si>
  <si>
    <t>Magistrat Shinjo</t>
  </si>
  <si>
    <t xml:space="preserve">Bushi Moto 2,  Bushi Shinjo 2, Vengeur Moto 2, Vierge de Bataille Utaku 2, </t>
  </si>
  <si>
    <t>+1g0 en Enquête, Chasse et aux jets d'attaque lorsque vous êtes en traque d'un criminel, traître ou hors-la-loi. +1g1 contre les agents du Kolat.</t>
  </si>
  <si>
    <t>Apologiste Doji</t>
  </si>
  <si>
    <t>Courtisan Doji 4</t>
  </si>
  <si>
    <t>Tout est Pardonné</t>
  </si>
  <si>
    <t>Etiquette (Courtoisie) 5</t>
  </si>
  <si>
    <t>Vous pouvez tenter de diminuer d'un rang la gravité d'une offence comise par une autre personne en réussissant un test de Courtoisie/Intuition de ND 25 (+2A pr une offence majeure, +5A pr une offence blasphématoire)</t>
  </si>
  <si>
    <t>Alliances, Amis et Relations</t>
  </si>
  <si>
    <t>Enfants de Doji</t>
  </si>
  <si>
    <t>Papillon Social</t>
  </si>
  <si>
    <t>Tout est Juste</t>
  </si>
  <si>
    <t>Dorer la Pilule</t>
  </si>
  <si>
    <t>Courtisan 6, Etiquette 6, Sincérité 5, une compétence d'Artisan ou de Spectacle à 4</t>
  </si>
  <si>
    <r>
      <t xml:space="preserve">Pr tout test d'Opposition Social, vs gagnez +Xg0 où X= au nombre de Relations que vous possédez dans cette cour avec une dévotion &gt;2. Si vous avez au moins 3 Relations vs pouvez en sacrifier une pour gagner </t>
    </r>
    <r>
      <rPr>
        <i/>
        <sz val="9"/>
        <rFont val="Arial"/>
        <family val="2"/>
      </rPr>
      <t>Favori de la Cour</t>
    </r>
    <r>
      <rPr>
        <sz val="9"/>
        <rFont val="Arial"/>
        <family val="2"/>
      </rPr>
      <t xml:space="preserve"> jusqu'à la fin de la saison</t>
    </r>
  </si>
  <si>
    <t>Si vous possédez au moins 5 Relations dans cette cour avec une dévotion &gt;2, Test de Courtisan (Manipulation)/Intuition ND 40. En cas de succès vous donnez au commandant de l'armée de votre choix autant d'A+1 à ses jets d'Art de la Guerre que d'A prises dans votre jet.</t>
  </si>
  <si>
    <t>Dépensez un Pvide et réussissez un Test de Courtisan (Manipulation)/Intuition ND (20+5X la valeur en XP d'un avantage) pour donner à un allié cet avantage Social ou Matériel pour un mois. Vs pouvez retirer à un ennemi un Avantage de la même façon.</t>
  </si>
  <si>
    <t>Orateur Ikoma</t>
  </si>
  <si>
    <t>Barde Ikoma 3</t>
  </si>
  <si>
    <t>La Voix du Bushido</t>
  </si>
  <si>
    <r>
      <t xml:space="preserve">Réussissez un Test de Spectacle (Eloquence)/Intuition de TN 30 contre un Allié ou Opposé à Sincérité/Intuition contre un ennemi. En cas de succès, donnez ou enlevez un avantage </t>
    </r>
    <r>
      <rPr>
        <i/>
        <sz val="9"/>
        <rFont val="Arial"/>
        <family val="2"/>
      </rPr>
      <t>Parangon du Bushido</t>
    </r>
    <r>
      <rPr>
        <sz val="9"/>
        <rFont val="Arial"/>
        <family val="2"/>
      </rPr>
      <t xml:space="preserve"> ou un désavantage </t>
    </r>
    <r>
      <rPr>
        <i/>
        <sz val="9"/>
        <rFont val="Arial"/>
        <family val="2"/>
      </rPr>
      <t>Oublié du Bushido</t>
    </r>
    <r>
      <rPr>
        <sz val="9"/>
        <rFont val="Arial"/>
        <family val="2"/>
      </rPr>
      <t xml:space="preserve"> pdt une semaine.</t>
    </r>
  </si>
  <si>
    <t>Parangon du Bushido: Compassion</t>
  </si>
  <si>
    <t>Parangon du Bushido: Courage</t>
  </si>
  <si>
    <t>Parangon du Bushido: Courtoisie</t>
  </si>
  <si>
    <t>Parangon du Bushido: Devoir</t>
  </si>
  <si>
    <t>Parangon du Bushido: Honnêteté</t>
  </si>
  <si>
    <t>Parangon du Bushido: Honneur</t>
  </si>
  <si>
    <t>Parangon du Bushido: Sincérité</t>
  </si>
  <si>
    <t>Ravageur Ikoma</t>
  </si>
  <si>
    <t>Bushi Akodo 4, Berserker Matsu 4, Ombre du Lion Ikoma 4, Barde Ikoma 4</t>
  </si>
  <si>
    <t>Jiujutsu 5</t>
  </si>
  <si>
    <t>Toute Cicatrice a un Nom</t>
  </si>
  <si>
    <t>Stratège</t>
  </si>
  <si>
    <t>Si vous êtes général ou officier dans une armée, +2g0 en Art de la guerre (Combat de masse)/Perception pour déterminer qui gagne chaque tour de combat. + 1g0 en Art de la Guerre pour tout jet effectué dans un combat de masse.</t>
  </si>
  <si>
    <t>5 ou 6</t>
  </si>
  <si>
    <t>Chevaucheur d'Orochi</t>
  </si>
  <si>
    <t>Ecole de Rang 5 ou 6</t>
  </si>
  <si>
    <t>Le Pacte de l'Orochi</t>
  </si>
  <si>
    <t>Doit être choisi pour devenir un chevaucheur et créer un lien avec un Orochi</t>
  </si>
  <si>
    <t>B/C/S</t>
  </si>
  <si>
    <t>Conseiller Shiba</t>
  </si>
  <si>
    <t>Maître du Savoir Asako 3</t>
  </si>
  <si>
    <t>Leçons Jamais Oubliées</t>
  </si>
  <si>
    <t>Famille Shiba uniquement</t>
  </si>
  <si>
    <t>Distracteur Bayushi</t>
  </si>
  <si>
    <t>Courtisan Bayushi 3</t>
  </si>
  <si>
    <t>Ecran de Fumée</t>
  </si>
  <si>
    <t>Test d'Opposition Sincérité (Tromperie)/Intuition contre Enquête/Intuition pour infliger la désinformation. En cas de succès, les discussions futures de ce sujet de la cible sont affaiblis par sa fausse information; elle doit prendre une A sans effet chaque fois qu'elle fait un jet social impliquant ce sujet. Vous pouvez augmenter les A.</t>
  </si>
  <si>
    <t>Garde d'Elite</t>
  </si>
  <si>
    <t>Bushi Bayushi 3, Comédien Shosuro 3</t>
  </si>
  <si>
    <t>Bushi Bayushi 3, Infiltrateur Shosuro 3</t>
  </si>
  <si>
    <t>Les Yeux de Mon Ennemi</t>
  </si>
  <si>
    <t>Connaissance: Clan (Clan choisi) 3, Kenjutsu 5</t>
  </si>
  <si>
    <t>A chaque fois que vous faites un Test de Volonté Opposé votre adversaire gagne +2g0</t>
  </si>
  <si>
    <t>-1g1 à tous les Tests Sociaux</t>
  </si>
  <si>
    <t>-0g1 à tous les Tests Sociaux</t>
  </si>
  <si>
    <t>-3g3 à atk à distance, -1g1 à les atk de mêlee, -2 Eau pour déterminer Mouvement</t>
  </si>
  <si>
    <t>Vous pouvez effectuer une attaque au prix d'une AS au lieu d'une AC contre les membres du Clan choisi. Dépensez un Pvide pour empêcher un membre de ce clan d'utiliser une technique d'école pendant les 2 prochains Rounds (sauf en duel).</t>
  </si>
  <si>
    <t>Férocité de la Ki-Rin</t>
  </si>
  <si>
    <t>Observateur Impérial</t>
  </si>
  <si>
    <t>Percer le Brouillard de Guerre</t>
  </si>
  <si>
    <r>
      <t xml:space="preserve">Sur un champ de bataille vs avez l'Avantage </t>
    </r>
    <r>
      <rPr>
        <i/>
        <sz val="9"/>
        <rFont val="Arial"/>
        <family val="2"/>
      </rPr>
      <t>Sacrosaint</t>
    </r>
    <r>
      <rPr>
        <sz val="9"/>
        <rFont val="Arial"/>
        <family val="2"/>
      </rPr>
      <t>. Test de Sincérité /Intuition contre ND 5 x Rg de Gloire du commandant. Avec un succès, augmentez ou diminuez la gloire de ce commandant d'un Rang. Avec des A vs pouvez à la place infliger ou supprimer de l'Infamie d'1/2 rang + 1/2 Rang suppl. par A. Max une fois par bataille.</t>
    </r>
  </si>
  <si>
    <t>Courtisan Otomo 4, Héraut Miya 4 ou n'importe quelle école de Courtisan 4</t>
  </si>
  <si>
    <t>Book of Void</t>
  </si>
  <si>
    <t>Koga</t>
  </si>
  <si>
    <t>Le Faux Dragon</t>
  </si>
  <si>
    <t>Ninja Hateru</t>
  </si>
  <si>
    <t>Comédie 3, Discrétion 3</t>
  </si>
  <si>
    <t>+2g1 quand vous usez de Comédie pour vous faire passer pour un samourai Dragon. Un A gratuite à tout jet visant à ne laisser aucun indice ou créer de faux indices sur votre identité</t>
  </si>
  <si>
    <t>Tout pour le Phénix</t>
  </si>
  <si>
    <t>Ninja Sesai</t>
  </si>
  <si>
    <t>Ninja Koga</t>
  </si>
  <si>
    <t>La Vengeance du Peuple</t>
  </si>
  <si>
    <t>Famille Koga uniquement</t>
  </si>
  <si>
    <t>+1g1 à tout jet réalisé contre un samourai ayant abusé de sa position contre un heimin ou eta</t>
  </si>
  <si>
    <t>Révéler l'Ombre</t>
  </si>
  <si>
    <t>Ombre déclinante</t>
  </si>
  <si>
    <t>Ecole de Shugenja Scorpion de Rang 5</t>
  </si>
  <si>
    <t>La Haine au Coeur</t>
  </si>
  <si>
    <t>+1g1 contre tout jet d'Opposition face à un membre du clan choisi (ou de cette faction)</t>
  </si>
  <si>
    <r>
      <t xml:space="preserve">Connaissance: Clan peut être remplacée par </t>
    </r>
    <r>
      <rPr>
        <i/>
        <sz val="6"/>
        <rFont val="Arial"/>
        <family val="2"/>
      </rPr>
      <t>La Haine au Cœur</t>
    </r>
    <r>
      <rPr>
        <sz val="6"/>
        <rFont val="Arial"/>
        <family val="2"/>
      </rPr>
      <t xml:space="preserve"> (Clan)</t>
    </r>
  </si>
  <si>
    <t>Mystique du Vide</t>
  </si>
  <si>
    <t>Sorts du Vide</t>
  </si>
  <si>
    <t>Chasse, Defense, Discrétion, Divination, Connaissance générale (Eléments: Vide), Méditation, Une Compétence Non Noble au choix</t>
  </si>
  <si>
    <t>Vêtements Robustes, Wakizashi, une arme au choix, Nécéssaire de Voyage</t>
  </si>
  <si>
    <t>Caresse du Vide (Mystique)</t>
  </si>
  <si>
    <t>Ecole de Bushi de Shugenja de Rang 6</t>
  </si>
  <si>
    <t>Un Anneau au choix à 5 ou plus, deux autres anneaux au choix à 4 ou plus</t>
  </si>
  <si>
    <t>Conjurer les Dragons</t>
  </si>
  <si>
    <t>Canaliste Dragon</t>
  </si>
  <si>
    <t>Courage du Dragon du Tonnere</t>
  </si>
  <si>
    <t>Vous êtes immunisé à tout effet de Peur et tous vos Traits sont considérés comme étant supérieurs d'un Rang pour tous les jets de Trait et ce Coméptences tant que dure le sort.</t>
  </si>
  <si>
    <t>Férocité du Dragon de Feu</t>
  </si>
  <si>
    <t>Perfection du Dragon Céleste</t>
  </si>
  <si>
    <t>Protection du Dragon de la Terre</t>
  </si>
  <si>
    <t>Tranquilité du Dragon de l'Eau</t>
  </si>
  <si>
    <t>Caprice du Dragon de l'Air</t>
  </si>
  <si>
    <t>Vous gagnez une Réduction de 10 et la capacité de créature Invulnérable tant que dure le sort.</t>
  </si>
  <si>
    <t>Tant que dure le sort; +1g1 à tout Test Social et vous pouvez voler à une vitesse égale à 3 fois votre Vitesse de Mouvement au sol.</t>
  </si>
  <si>
    <t>Pureté du Dragon de Jade</t>
  </si>
  <si>
    <t>Tant que dure le sort, vos attaques sont considérées comme de Jade contre les créatures Souillées et vous êtes immunisé contre la Souillure de l'Outremonde. Ne suprime pas la Souillure que vous portez déjà.</t>
  </si>
  <si>
    <t>Tentation du Dragon d'Obsidienne</t>
  </si>
  <si>
    <t>Tant que dure le sort; +2g1 à tout jet de Tentation, d'Intimidation et Sincérité (Tromperie). Vous perdez 2 pts d'Honneur.</t>
  </si>
  <si>
    <t>Essence du Dragon d'Ombre</t>
  </si>
  <si>
    <t>Folie du Dragon P'An Ku</t>
  </si>
  <si>
    <t>Air et Terre</t>
  </si>
  <si>
    <t>Air/Terre</t>
  </si>
  <si>
    <t>Cône de 15mX 9m</t>
  </si>
  <si>
    <t>Zone d'effet (+1,5m de largeur), Dommages (+1g0)</t>
  </si>
  <si>
    <t>Feu et Air</t>
  </si>
  <si>
    <t>Feu et Eau</t>
  </si>
  <si>
    <t>Dommages (+1g1 par 2 A), Spécial (+3m de distance de vol)</t>
  </si>
  <si>
    <t>Porteé (+7,5m), Zone d'effet (+1,5m, Max FeuX10), Durée (+1 Round)</t>
  </si>
  <si>
    <r>
      <t xml:space="preserve">Ce sort invoque soudainement une masse de vapeur brulante qui persiste tant que le sort est actif. Tant que le sort perdure, tous ceux qui se trouvent dans la Zone d'effet subissent 2g2 Blesures par round et le désavantage </t>
    </r>
    <r>
      <rPr>
        <i/>
        <sz val="6"/>
        <rFont val="Arial"/>
        <family val="2"/>
      </rPr>
      <t>Aveugle.</t>
    </r>
  </si>
  <si>
    <t>Terre et Feu</t>
  </si>
  <si>
    <t>Rayon d'1,5m</t>
  </si>
  <si>
    <t>Portée (+7,5m), Zone d'effet (doublée pour 2A, 1X seulement)</t>
  </si>
  <si>
    <t>Ce sort fait surgir du magma brulant de la terre qui inflige 5g4 Dommages et met Au Sol toute personne se trouvant dans la Zone d'effet. Ces dégâts franchissent 5 pts de Réduction et sont considérés comme de Jade contre les créatures surnaturelles</t>
  </si>
  <si>
    <t>Eau et Air</t>
  </si>
  <si>
    <t>Portée (+800m par 2A)</t>
  </si>
  <si>
    <t>Eau/Feu</t>
  </si>
  <si>
    <t>Feu/Terre</t>
  </si>
  <si>
    <t>Eau et Terre</t>
  </si>
  <si>
    <t>Eau/Terre</t>
  </si>
  <si>
    <t>Portée  (+7,5m), Zone d'effet (+1,5m de rayon), Durée (+1 Round)</t>
  </si>
  <si>
    <t>Ce sort transforme toute surface naturelle en une étendue de boue impraticable. Toute personne située dans la Zone d'effet ne peut bouger que de 30cmX son Anneau d'Eau en AC et ne peut se déplacer en AS et subit un malus de -1g1 à tout test basé sur l'Agilité.</t>
  </si>
  <si>
    <t>Purifier le Corps</t>
  </si>
  <si>
    <t xml:space="preserve"> Cible (+1 par 2A. Max Rg de Vide)</t>
  </si>
  <si>
    <t>Colère de la Montagne</t>
  </si>
  <si>
    <t>Tamori, Defense</t>
  </si>
  <si>
    <t>Colère du Soleil</t>
  </si>
  <si>
    <t>Moshi, Tonnere</t>
  </si>
  <si>
    <t>Instant. et 24h</t>
  </si>
  <si>
    <t>Portée (+7,5m), Zone d'effet (+1,5m)</t>
  </si>
  <si>
    <t>Ce sort invoque une colone de lumière ardente et une détonation sur la zone d'effet. Toute personne dans la zone subit 5g3 Dommages (3g1 si résistante au feu; +2g2 contre l'Ombre Rampante) est mise Au Sol, Hébêtée et Aveugle. Elle peut récupérer de ces effets en ruéssissant un test d'Opposition de Constitution contre 5XFeu du shugenja.</t>
  </si>
  <si>
    <t>Isawa, Illusion</t>
  </si>
  <si>
    <t>Tout rokugani dans un rayon de 15m</t>
  </si>
  <si>
    <t>Portée (+7,5m)</t>
  </si>
  <si>
    <t>Tout Rokugani à portée doit réussir un test d'Opposition de Volonté+ Rg. D'Honneur contre votre Jet d'Incantation où ne rien faire d'autre que rester en admiration devant la vision de beauté que vous créez. La cible bénéficie d'un bonus de +1g0 à son test d'opposition chaque Round additionel. L'effet s'arrête si la cible est bléssée.</t>
  </si>
  <si>
    <t>Flammes Chatoyantes</t>
  </si>
  <si>
    <t>Vent Suffocant</t>
  </si>
  <si>
    <t>Portée (+7,5m), Zone d'effet (+1,5m de rayon), Durée (+1 Round)</t>
  </si>
  <si>
    <t>Epée de l'Âme</t>
  </si>
  <si>
    <t>Noyer l'Esprit</t>
  </si>
  <si>
    <t>Agasha, Artisanat</t>
  </si>
  <si>
    <t>Air/Eau/ Feu/Terre</t>
  </si>
  <si>
    <t>Durée (+2 Rounds), Spécial (peut cibler une autre personne pour 2A)</t>
  </si>
  <si>
    <t>Invoque un katana qui fait 5g4 de dommages s'il est utilisé avec Kenjutsu, +2g2 aux jets d'attaque. Est considéré comme de Jade et de Crystal et ne tient pas compte des effets d'armure de l'ennemi (ni ND d'Armure ni Réduction). Si le porteur tombe ou perd l'épée, les esprits au sein de la lame la font voler dans sa main en ActG.</t>
  </si>
  <si>
    <t>Personnel/ Contact</t>
  </si>
  <si>
    <t>Portée (+3m), Durée (+1 Round)</t>
  </si>
  <si>
    <t>Le sort invoque une boule d'énergie crépitante et sombre qui est envoyée vers la cible. La cible du sort voit son Rg de Force réduit d'un montant égal au total combiné de ses Anneaux d'Air et d'Eau pour la durée du sort. Si cela réduit son rang de Force à zéro, elle est impuissante, immobilisée et ne peut entreprendre aucune action avant l'expiration du sort</t>
  </si>
  <si>
    <t>Air/ Eau</t>
  </si>
  <si>
    <t>Air/ Eau/ Vide</t>
  </si>
  <si>
    <t>Communiquer avec le Vide</t>
  </si>
  <si>
    <t>1 Round/ question</t>
  </si>
  <si>
    <t>Tout comme les autres sorts de Communion, ce sort permet au lanceur de demander des renseignements. Cependant, les réponses ont tendance à être beaucoup plus énigmatiques et imprévisibles que ceux offerts par un kami élémentaire. Le Vide, n'est pas un tableau d'esprits individuels, mais un seul qui englobe tout entièrement.</t>
  </si>
  <si>
    <t>Renforcer le Vide</t>
  </si>
  <si>
    <t>Banir le Vide</t>
  </si>
  <si>
    <t>Zone d'effet (+1,,5m de rayon par 2A), Durée (+1 Round)</t>
  </si>
  <si>
    <t>Essence du Vide</t>
  </si>
  <si>
    <t>Portée (+3m), Spécial (Jet d'Op +1g0 pr le lanceur par A)</t>
  </si>
  <si>
    <t>Réussissez un jet d'opposition de Vide. En cas de succès, la cible est gardée immobile, incapable de bouger, de parler ou agir de son propre gré tant que le lanceur maintient sa Concentration. La cible peut retenter un nouveau jet de Vide durant la phase de Réaction pour contrer les effets du sort.</t>
  </si>
  <si>
    <t>Mystère du Dragon du Vide</t>
  </si>
  <si>
    <t>La Voix de l'Humilité</t>
  </si>
  <si>
    <t>Ordre d'Ebisu</t>
  </si>
  <si>
    <t>Moine des Temples des Milles Fortunes 3, Ordre de la Bénédiction de Jurojin 3</t>
  </si>
  <si>
    <t>Réincarné</t>
  </si>
  <si>
    <t>Décentré</t>
  </si>
  <si>
    <r>
      <t xml:space="preserve">Vous ne pouvez pas apprendre de Kiho du Vide ni acheter les Avantages </t>
    </r>
    <r>
      <rPr>
        <i/>
        <sz val="6"/>
        <rFont val="Arial"/>
        <family val="2"/>
      </rPr>
      <t>Ishiken-do</t>
    </r>
    <r>
      <rPr>
        <sz val="6"/>
        <rFont val="Arial"/>
        <family val="2"/>
      </rPr>
      <t xml:space="preserve"> ou </t>
    </r>
    <r>
      <rPr>
        <i/>
        <sz val="6"/>
        <rFont val="Arial"/>
        <family val="2"/>
      </rPr>
      <t>Versatilité du Vide</t>
    </r>
  </si>
  <si>
    <t>Ordre de l'Eternité</t>
  </si>
  <si>
    <t>Connaissance: Théologie, Défense, Divination (Astrologie), Jiujutsu, Méditation, deux compétences Nobles au choix</t>
  </si>
  <si>
    <t>Touché par l'Eternité</t>
  </si>
  <si>
    <t>Touché de la Pitié</t>
  </si>
  <si>
    <t>Abbé</t>
  </si>
  <si>
    <t>Ecole de Moine de Rang 4</t>
  </si>
  <si>
    <t>Doit être choisi et nommé</t>
  </si>
  <si>
    <t>Vénération de la Sagesse</t>
  </si>
  <si>
    <t>+1g1 à un Artisanat lié à la création d'objets métaliques en dehors des armes et armures</t>
  </si>
  <si>
    <t>A l'intérieur de la Confrérie vous avez un Rang de Statut égal à 4. Lors de l'interaction avec les membres de votre propre Ordre, vous gagnez +1g1 à tous les jets de compétences sociales (sauf Tentation). Avec des étrangers de tous types, vous ajoutez +1g0 à ces jets. +10 points d'Influence pour servir à acquérir des Attributs d'Office</t>
  </si>
  <si>
    <t>+1g0 à tout test de Trait d'Endurance et à tout jet tout jet n'infligeant aucun dégât utilisant le Trait de Force (y compris les tests pour contrôler une Empoignade)</t>
  </si>
  <si>
    <t>Vos perspectives tristement stoïques sur la vie vous accordent un bonus de +5 pour résister à n'importe quel effet de Peur.</t>
  </si>
  <si>
    <t>+1g0 à tout test de Connaissance: Théologie et Connaissance: Royaumes Spirituels</t>
  </si>
  <si>
    <t>Connaissance de l'Intérieur</t>
  </si>
  <si>
    <t>Esprit/Non-Esprit</t>
  </si>
  <si>
    <t>Remontrance des Cieux</t>
  </si>
  <si>
    <t>Sentir l'Equilibre</t>
  </si>
  <si>
    <t>Frapper à travers le Vide</t>
  </si>
  <si>
    <t>Le Monde Disparait</t>
  </si>
  <si>
    <t>En AC vous pouvez cibler une créature qui n'est pas issue de Jigoku ni Tengoku. Après avoir effectué quelques gestes, test d'opposition de votre Méditation/Vide contre l' Anneau le plus élevé de la créature. Si vous réussissez, la créature subit une pénalité -Xg1 à tous les jets, où X est votre école rang d'Ecole de Moine. Cette pénalité se poursuit jusqu'à la créature soit tuée ou s'écarte de votre présence.</t>
  </si>
  <si>
    <t>Ce kiho doit être délivré au moyen d'une attaque de type atemi. En cas de succès, dépensez PVide pour connaître le nombre total d'Avantages Spirituels ou Désavantages (l'un ou l'autre, au choix) que possède la cible. Si vous réussissez Test d'Opposition de Vide, vous pouvez aussi apprendre le nom et la nature spécifique de l'avantage /désavantage de la valeur la plus élevée.</t>
  </si>
  <si>
    <t>Lorsqu'il est activé, ce Kiho vous permet de dépenser d'un point de Vide pour augmenter les dégâts pour vos attaques à Mains Nues  (un point de Vide max par attaque).</t>
  </si>
  <si>
    <t>En méditation ou Position du Centre, tant que vous maintenez ce kiho actif, vous êtes en lévitation à quelques centimètres au dessus du sol et vous pouvez vous déplacer de votre vitesse normale de mouvement au-dessus de n'importe quelle surface sans la toucher. Vous êtes aussi immunisé aux Empoignades et Enchevêtrements.</t>
  </si>
  <si>
    <t>Hist. Mante</t>
  </si>
  <si>
    <t>Hist. Araignée</t>
  </si>
  <si>
    <t>Hist. Crabe</t>
  </si>
  <si>
    <t>Hist. Dragon</t>
  </si>
  <si>
    <t>Hist. Lion</t>
  </si>
  <si>
    <t>Hist. Phénix</t>
  </si>
  <si>
    <t>Hist. Scorpion</t>
  </si>
  <si>
    <t>Hist. Naga</t>
  </si>
  <si>
    <t>Hist. Nezumi</t>
  </si>
  <si>
    <t>Hist. Clans Mineurs</t>
  </si>
  <si>
    <t>Hist. Confrérie</t>
  </si>
  <si>
    <t>Connaissance générale: Shourido 4, Iaijustu 5, Intimidation 5</t>
  </si>
  <si>
    <t>Connaissance générale: Théologie 4</t>
  </si>
  <si>
    <t>Connaissance générale: Théologie 3</t>
  </si>
  <si>
    <t>Connaissance générale: Théologie 3, Kyujutsu (Yumi) 5, Méditation 4</t>
  </si>
  <si>
    <t>Art de la Magie 5, Connaissance générale: Elements (cristal) 5</t>
  </si>
  <si>
    <t>Iaijututsu 5, Connaissance générales: Théologie 4, Kenjutsu 5</t>
  </si>
  <si>
    <t>Iaijututsu 5, Connaissance générales: Bushido 4, Meditation 5</t>
  </si>
  <si>
    <t>Connaissance générale: Cartographie 3</t>
  </si>
  <si>
    <t>Enquête 3, Connaissance générale: Droit 3</t>
  </si>
  <si>
    <t>Equitation 5, Connaissance générale: Théologie 5</t>
  </si>
  <si>
    <t>Connaissance générale: Royaumes Spirituels 4, Méditation 5</t>
  </si>
  <si>
    <t>Connaissance générale: Mers et Océans 5, Navigation 3, Art de la Magie 3, Connaissance générale: Théologie 3</t>
  </si>
  <si>
    <t>Connaissance générale: Elements 2</t>
  </si>
  <si>
    <t>Connaissance générale: Droit 4, Connaissance générale: Shugenja 3</t>
  </si>
  <si>
    <t>Art de la Magie 6, Connaissance générale: Théologie 6</t>
  </si>
  <si>
    <t>Connaissance générale: Droit 3</t>
  </si>
  <si>
    <t>Connaissance générales: Fantômes 2</t>
  </si>
  <si>
    <t>Une Connaissance générale appropriée à  3</t>
  </si>
  <si>
    <t>Connaissance générale: Shugenja 3</t>
  </si>
  <si>
    <t>Connaissance générale: Droit 3, Enquête 3</t>
  </si>
  <si>
    <t xml:space="preserve"> Art de la Magie 5, Connaissance générale: Théologie 5, Méditation 5</t>
  </si>
  <si>
    <t>Pré-requis Compétence 1</t>
  </si>
  <si>
    <t>Pré-requis Compétence 2</t>
  </si>
  <si>
    <t xml:space="preserve">Pré-requis Compétence 3 </t>
  </si>
  <si>
    <t>Pré-requis Spéc. 1</t>
  </si>
  <si>
    <t>Pré-requis Spéc. 2</t>
  </si>
  <si>
    <t>Pré-requis Spéc. 3</t>
  </si>
  <si>
    <t>Kaze-do</t>
  </si>
  <si>
    <r>
      <t xml:space="preserve">Quiconque rejoint cette Voie devient </t>
    </r>
    <r>
      <rPr>
        <i/>
        <sz val="6"/>
        <rFont val="Arial"/>
        <family val="2"/>
      </rPr>
      <t>Muet</t>
    </r>
  </si>
  <si>
    <t>Sumaï</t>
  </si>
  <si>
    <t>Combat de Masse</t>
  </si>
  <si>
    <t>Artisanat Noble (Fab. d'armes) 3</t>
  </si>
  <si>
    <t>Iaijututsu 5, Connaissance générale: Théologie 4, Kenjutsu 5</t>
  </si>
  <si>
    <t>Elevage (Fauconnerie) 3</t>
  </si>
  <si>
    <t>Artisanat Marchand: Sculpture 2 OU Art: Sculpture 2</t>
  </si>
  <si>
    <t>Conn.: Culture Gaijin</t>
  </si>
  <si>
    <t>Artisanat Dégradant: Explosifs 3, Chasse (Pièges) 3, Couteaux 4, Discrétion 5</t>
  </si>
  <si>
    <t>Pré-requis Compétence 4</t>
  </si>
  <si>
    <t>Pré-requis Spéc. 4</t>
  </si>
  <si>
    <t>Au moins une Compétence d'Art à 8</t>
  </si>
  <si>
    <t>Art de la Guerre 4 OU Connaisance générale: Guerre 4, Sincérité 4</t>
  </si>
  <si>
    <t>Connaissance générale: Outremonde 3</t>
  </si>
  <si>
    <t>Armes Lourdes 4, Connaissance générale: Outremonde 5, Défense 4</t>
  </si>
  <si>
    <t>Armes Lourdes 4, Connaissance générale: Outremonde 5, Défense 5</t>
  </si>
  <si>
    <t>Armes Lourdes 4, Connaissance générale: Outremonde 5, Défense 6</t>
  </si>
  <si>
    <t>Connaissance générale Outremonde 2, Connaissance générale: Théologie 3</t>
  </si>
  <si>
    <t>Commerce 4, Connaissance générale: Outremonde 3</t>
  </si>
  <si>
    <t>Connaissance générale: Droit 1, Iaijutsu 3</t>
  </si>
  <si>
    <t>Connaissance générale: Bushido 3, Sincérité 3, Spectacle (Eloquence) 4</t>
  </si>
  <si>
    <t>Art de la Guerre 4, Eventails de guerre 4</t>
  </si>
  <si>
    <t>Art de la Guerre 3, Connaissance Culture Gaijin (Yodotai) 1</t>
  </si>
  <si>
    <t>Connaissance Royaumes Spirituels 4, Méditation 5</t>
  </si>
  <si>
    <t>Artisanat Marchand: Sculpture 4 ou Art: Sculpture 4</t>
  </si>
  <si>
    <t>Chasse 3, Connaissance Royaumes Spirituels (Chikushudo) 2</t>
  </si>
  <si>
    <t>Athlétisme 5, Connaissance Royaumes Spirituels 5</t>
  </si>
  <si>
    <t>Kyujutsu  5</t>
  </si>
  <si>
    <t>Artisanat Noble (Fab. d'armures) 3, Défense 3</t>
  </si>
  <si>
    <t>Art de la Magie 3, Connaissance générale: Elements 3</t>
  </si>
  <si>
    <t>Chasse 3, Connaissance  Royaumes Spirituels (Chikushudo) 2</t>
  </si>
  <si>
    <t>Connaissance dégradante: Maho 3, Connaissance générale: Outremonde 3</t>
  </si>
  <si>
    <t>Artisanat Dégradant: Explosifs 3, Couteaux 4, Discrétion 5, Ninjutsu 4</t>
  </si>
  <si>
    <t>Art de la Magie 3, Connaissance générale: Droit 3</t>
  </si>
  <si>
    <t>Rg.1</t>
  </si>
  <si>
    <t>Rg.2</t>
  </si>
  <si>
    <t>Rg.3</t>
  </si>
  <si>
    <t>Vaildité 1</t>
  </si>
  <si>
    <t>Vaildité 2</t>
  </si>
  <si>
    <t>Vaildité 3</t>
  </si>
  <si>
    <t>Vaildité 4</t>
  </si>
  <si>
    <t>Rg.4</t>
  </si>
  <si>
    <t>Validité comp.</t>
  </si>
  <si>
    <t>b28</t>
  </si>
  <si>
    <t>b29</t>
  </si>
  <si>
    <t>b30</t>
  </si>
  <si>
    <t>b31</t>
  </si>
  <si>
    <t>b32</t>
  </si>
  <si>
    <t>b33</t>
  </si>
  <si>
    <t>b34</t>
  </si>
  <si>
    <t>b35</t>
  </si>
  <si>
    <t>b36</t>
  </si>
  <si>
    <t>b37</t>
  </si>
  <si>
    <t>b38</t>
  </si>
  <si>
    <t>b39</t>
  </si>
  <si>
    <t>b40</t>
  </si>
  <si>
    <t>b41</t>
  </si>
  <si>
    <t>b42</t>
  </si>
  <si>
    <t>b43</t>
  </si>
  <si>
    <t>b44</t>
  </si>
  <si>
    <t>Sculpture (Art)</t>
  </si>
  <si>
    <t>TOTAL</t>
  </si>
  <si>
    <t>Détection des Spécialisations</t>
  </si>
  <si>
    <t>Détection des Compétences</t>
  </si>
  <si>
    <t>Connaissance histoire 3, Connaissance générale: Guerre 3</t>
  </si>
  <si>
    <t>Connaissance Histoire 5</t>
  </si>
  <si>
    <t>Au Moins deux compétences d'Artisanat Dégradant à 3 ou plus</t>
  </si>
  <si>
    <t>Total des rangs d'Armes</t>
  </si>
  <si>
    <t>Art de la Guerre 5, Total des Compétences d'Armes &gt;5</t>
  </si>
  <si>
    <t>3 Compétences d'Armes à 2</t>
  </si>
  <si>
    <t>Doit avoir un kansen d'Air lié à son corps par un rituel Chuda</t>
  </si>
  <si>
    <t>Agasha (favori d')</t>
  </si>
  <si>
    <t>Agasha Kasuga</t>
  </si>
  <si>
    <t>Agasha Kitsuki</t>
  </si>
  <si>
    <t>Asahina Koresada</t>
  </si>
  <si>
    <t>Basso</t>
  </si>
  <si>
    <t>Chiroru</t>
  </si>
  <si>
    <t>Chuda Bikimi</t>
  </si>
  <si>
    <t>Doji Hayaku</t>
  </si>
  <si>
    <t>Doji Suzume</t>
  </si>
  <si>
    <t>Gusai</t>
  </si>
  <si>
    <t>Hida Atarasi</t>
  </si>
  <si>
    <t>Hida Heichi</t>
  </si>
  <si>
    <t>Ichiro Fureheshu</t>
  </si>
  <si>
    <t>Kaimetsu-Uo</t>
  </si>
  <si>
    <t>Komori Iongi</t>
  </si>
  <si>
    <t>Kuni Yori</t>
  </si>
  <si>
    <t>Matsu Hitomi</t>
  </si>
  <si>
    <t>Miyuko</t>
  </si>
  <si>
    <t>Mizumoto</t>
  </si>
  <si>
    <t>Morito Garin</t>
  </si>
  <si>
    <t>Moshi Azami</t>
  </si>
  <si>
    <t>Naka Kaeteru</t>
  </si>
  <si>
    <t>Osusuki &amp; Akomachi</t>
  </si>
  <si>
    <t>Otaku</t>
  </si>
  <si>
    <t>Les conseils de Seppun vous permettent de toucher l'harmonie à de l'univers plus facilement. Une fois par session, vous pouvez profiter des avantages d'un Point de Vide sans avoir à dépensser de Point de Vide.</t>
  </si>
  <si>
    <t>Soshi Saibankan</t>
  </si>
  <si>
    <t>Sun Tao</t>
  </si>
  <si>
    <t>Tetsuken</t>
  </si>
  <si>
    <t>Togashi Kaze</t>
  </si>
  <si>
    <t>Togashi Yamatsu</t>
  </si>
  <si>
    <t>Tonbo Kuyuden</t>
  </si>
  <si>
    <t>Usagi Reichin</t>
  </si>
  <si>
    <t>Yogo Junzo</t>
  </si>
  <si>
    <r>
      <t xml:space="preserve">Soit vous êtes un Kakita et vous devez avoir </t>
    </r>
    <r>
      <rPr>
        <i/>
        <sz val="6"/>
        <rFont val="Arial"/>
        <family val="2"/>
      </rPr>
      <t xml:space="preserve">Jeune Prodige </t>
    </r>
    <r>
      <rPr>
        <sz val="6"/>
        <rFont val="Arial"/>
        <family val="2"/>
      </rPr>
      <t xml:space="preserve">dans un art, Sinon vous devez êtes du Clan de la Grue et avoir les Avantages </t>
    </r>
    <r>
      <rPr>
        <i/>
        <sz val="6"/>
        <rFont val="Arial"/>
        <family val="2"/>
      </rPr>
      <t>Jeune Prodige</t>
    </r>
    <r>
      <rPr>
        <sz val="6"/>
        <rFont val="Arial"/>
        <family val="2"/>
      </rPr>
      <t xml:space="preserve"> et </t>
    </r>
    <r>
      <rPr>
        <i/>
        <sz val="6"/>
        <rFont val="Arial"/>
        <family val="2"/>
      </rPr>
      <t>Virtuose</t>
    </r>
    <r>
      <rPr>
        <sz val="6"/>
        <rFont val="Arial"/>
        <family val="2"/>
      </rPr>
      <t xml:space="preserve"> dans un art</t>
    </r>
  </si>
  <si>
    <r>
      <t>Avantages:</t>
    </r>
    <r>
      <rPr>
        <i/>
        <sz val="6"/>
        <rFont val="Arial"/>
        <family val="2"/>
      </rPr>
      <t xml:space="preserve"> Vigilant, Omnubilé</t>
    </r>
  </si>
  <si>
    <t>Doit avoir atteint le Rang 5 de l'Ecole de Comédien Shoshuro ou Infiltrateur Shoshuro</t>
  </si>
  <si>
    <t>b22</t>
  </si>
  <si>
    <t>b23</t>
  </si>
  <si>
    <t>b24</t>
  </si>
  <si>
    <t>b25</t>
  </si>
  <si>
    <t>b26</t>
  </si>
  <si>
    <t>Riche?</t>
  </si>
  <si>
    <t>Gouverneur?</t>
  </si>
  <si>
    <t>Parangon du Bushido?</t>
  </si>
  <si>
    <t>Art de la Magie 5, Connaissance Dégradante (Ombre Rampante) 2</t>
  </si>
  <si>
    <t>Chantage?</t>
  </si>
  <si>
    <r>
      <t xml:space="preserve">Désavantage: </t>
    </r>
    <r>
      <rPr>
        <i/>
        <sz val="6"/>
        <rFont val="Arial"/>
        <family val="2"/>
      </rPr>
      <t>Sombre Secret</t>
    </r>
    <r>
      <rPr>
        <sz val="6"/>
        <rFont val="Arial"/>
        <family val="2"/>
      </rPr>
      <t xml:space="preserve"> (Rebelle)</t>
    </r>
  </si>
  <si>
    <t>Estropié-Aveugle-Amputé</t>
  </si>
  <si>
    <r>
      <t xml:space="preserve">Rg. d'Honneur&lt;4; </t>
    </r>
    <r>
      <rPr>
        <i/>
        <sz val="6"/>
        <rFont val="Arial"/>
        <family val="2"/>
      </rPr>
      <t xml:space="preserve">Obligation : Second Gozoku </t>
    </r>
  </si>
  <si>
    <t>Obligation</t>
  </si>
  <si>
    <t>Relations</t>
  </si>
  <si>
    <t>Chats</t>
  </si>
  <si>
    <t>Lions</t>
  </si>
  <si>
    <t>Pandas</t>
  </si>
  <si>
    <t>Volaille</t>
  </si>
  <si>
    <t>Bétail</t>
  </si>
  <si>
    <t>4X/session permet de relancer un jet de dé et garder le meilleur des deux.</t>
  </si>
  <si>
    <t>3X/session permet de relancer un jet de dé et garder le meilleur des deux.</t>
  </si>
  <si>
    <t>1X/session permet de relancer un jet de dé et garder le meilleur des deux</t>
  </si>
  <si>
    <t>2X/session permet de relancer un jet de dé et garder le meilleur des deux.</t>
  </si>
  <si>
    <t>La Voie de la Victoire</t>
  </si>
  <si>
    <t>Courtisan Susumu</t>
  </si>
  <si>
    <t>Courtisan Daigotsu 1</t>
  </si>
  <si>
    <t>Imperial Archives</t>
  </si>
  <si>
    <r>
      <t xml:space="preserve">Vous gagnez l'avantage </t>
    </r>
    <r>
      <rPr>
        <i/>
        <sz val="9"/>
        <rFont val="Arial"/>
        <family val="2"/>
      </rPr>
      <t>Etudiant du Shourido</t>
    </r>
    <r>
      <rPr>
        <sz val="9"/>
        <rFont val="Arial"/>
        <family val="2"/>
      </rPr>
      <t xml:space="preserve"> gratuitement. Test d'Opposition de Tentation/Volonté contre Etiquette/Volonté de votre adv. En cas de réussite, vous détectez les manquements de votre adversaire (comme certains désavantages) qui pourraient le rendre corruptible par le Shourido.</t>
    </r>
  </si>
  <si>
    <t>Etudiant du Shourido</t>
  </si>
  <si>
    <t>Lorsque vous effectuez un jet pour résister à la peur, à la tentation ou à l'Intimidation, vous pouvez ajouter +5 à votre jet à la place de votre Rg. d'Honneur.</t>
  </si>
  <si>
    <t>A/C</t>
  </si>
  <si>
    <t>Cacher les Yeux</t>
  </si>
  <si>
    <t>Fabriquant de Masques</t>
  </si>
  <si>
    <t>Courtisan Bayushi 2, Shugenja Soshi 2, Shugenja Yogo 2</t>
  </si>
  <si>
    <t>Fab. De masques</t>
  </si>
  <si>
    <t>Artisan Fab. De masques 5, Sincérité (tromperie) 3</t>
  </si>
  <si>
    <t>Archives Impériales</t>
  </si>
  <si>
    <t>Entourage Mineur</t>
  </si>
  <si>
    <t>Entourage Moyen</t>
  </si>
  <si>
    <t>Entourage Majeur</t>
  </si>
  <si>
    <t>1X par session dans une Cour déterminée si vous réussissez un test de Courtisan/Intuition vous obtenez une Faveur Mineure</t>
  </si>
  <si>
    <t>2X par session dans une Cour déterminée si vous réussissez un test de Courtisan/Intuition vous obtenez une Faveur Mineure</t>
  </si>
  <si>
    <t>3X par session dans une Cour déterminée si vous réussissez un test de Courtisan/Intuition vous obtenez une Faveur Mineure</t>
  </si>
  <si>
    <t>Endetté faiblement</t>
  </si>
  <si>
    <t>Endetté extrêmement</t>
  </si>
  <si>
    <t>Vous êtes faiblement endetté</t>
  </si>
  <si>
    <t>Endetté moyennement</t>
  </si>
  <si>
    <t>Vous êtes moyennement endetté</t>
  </si>
  <si>
    <t>Vous êtes extrêmement endetté</t>
  </si>
  <si>
    <t>Epée-Anneau yobanjin</t>
  </si>
  <si>
    <t>Oyumi</t>
  </si>
  <si>
    <t>Recharger un Oyumi demande 2 AC</t>
  </si>
  <si>
    <t>Vous ne pouvez mentir. Test de Volonté ND 20 pour éviter de corriger un mensonge.</t>
  </si>
  <si>
    <t>Armes secondaires et attaques multiples</t>
  </si>
  <si>
    <t>L5R Livre de base</t>
  </si>
  <si>
    <t>Nbr. Slots</t>
  </si>
  <si>
    <t>Systèmes d'armement</t>
  </si>
  <si>
    <t>Slots</t>
  </si>
  <si>
    <t>CDT</t>
  </si>
  <si>
    <t>Arme</t>
  </si>
  <si>
    <t>1/min</t>
  </si>
  <si>
    <t>Ignore 10 pts de Reduction contre les cibles sans bouclier. Si la 1ère cible ne stoppe pas le tir, applique 6g6 à la 2ème puis 4g4 à la 3ème dans l'axe de tir</t>
  </si>
  <si>
    <t>1/5min</t>
  </si>
  <si>
    <t>1/round</t>
  </si>
  <si>
    <t>Ignore 5 pts de Reduction contre les cibles sans bouclier.</t>
  </si>
  <si>
    <t>10g8</t>
  </si>
  <si>
    <t>Ignore 8 pts de Reduction contre les cibles sans bouclier. Dégats de splash de 4g4 à toute cible à 1 case du point d'impact.</t>
  </si>
  <si>
    <t>Tous les jets d'incantation dans une aire de 4X4 carrés centrés sur la mine doivent être faits avec 2A ou échouer automatiquement.</t>
  </si>
  <si>
    <t>4g4</t>
  </si>
  <si>
    <t>Ignore 5 pts de Reduction contre les cibles sans bouclier. Dégats de splash de 2g2 à toute cible à 2 cases du point d'impact.</t>
  </si>
  <si>
    <t>6g6</t>
  </si>
  <si>
    <t>Ignore 5 pts de Reduction contre les cibles sans bouclier. Dégats de splash de 3g3 à toute cible à 2 cases du point d'impact. Les cibles inflammables prennent feu.</t>
  </si>
  <si>
    <t>6g4</t>
  </si>
  <si>
    <t>Ignore 4 pts de Reduction contre les cibles sans bouclier. Dégats de splash de 2g4 à toute cible à 1 case du point d'impact.</t>
  </si>
  <si>
    <t>1g1</t>
  </si>
  <si>
    <t>Pilotage/ Reflexes</t>
  </si>
  <si>
    <t>Dmg</t>
  </si>
  <si>
    <t>Ignore tte Reduction contre cibles sans bouclier. Dégats de splash de 5g5 à tte cible à 2 cases du pt d'impact. Si la 1ère cible ne stoppe pas le tir, applique 6g6 à la 2ème puis 4g4 à la 3ème dans l'axe de tir. Effet de Peur 3. Si Emphase: Armes de Vaisseau +1g0 au jet de dégâts.</t>
  </si>
  <si>
    <t>Nbre</t>
  </si>
  <si>
    <t>Total Slot</t>
  </si>
  <si>
    <t>Systèmes de bouclier et coque</t>
  </si>
  <si>
    <t>-</t>
  </si>
  <si>
    <t>Bouclier</t>
  </si>
  <si>
    <t>Lance Grapin</t>
  </si>
  <si>
    <t>Bouclier Radiant Léger</t>
  </si>
  <si>
    <t>Bouclier Radiant Moyen</t>
  </si>
  <si>
    <t>Bouclier Radiant Lourd</t>
  </si>
  <si>
    <t>Bouclier Radiant Super Lourd</t>
  </si>
  <si>
    <t>Coque Incrustée de Jade</t>
  </si>
  <si>
    <t>Boucliers Renforcés</t>
  </si>
  <si>
    <t>Coque Renforcée</t>
  </si>
  <si>
    <t>Confère à l'équipage un bonus de +0g2 à l'anneau de Terre pour résister à la Souillure de l'Outremonde</t>
  </si>
  <si>
    <t>Equipment</t>
  </si>
  <si>
    <t>Adaptation pour milieu aquatique</t>
  </si>
  <si>
    <t>Adaptation pour vol atmosphérique</t>
  </si>
  <si>
    <t>Permet au vaisseau d'opérer en atmosphère</t>
  </si>
  <si>
    <t>Automatisation</t>
  </si>
  <si>
    <t>Equipage min</t>
  </si>
  <si>
    <t>Equipage max</t>
  </si>
  <si>
    <t>Occulteur</t>
  </si>
  <si>
    <t>Contremesures</t>
  </si>
  <si>
    <t>Module d'extension d'équipement</t>
  </si>
  <si>
    <t>Systèmes de communication holographiques</t>
  </si>
  <si>
    <t>Baie de lancement</t>
  </si>
  <si>
    <t>Chambre de méditation</t>
  </si>
  <si>
    <t>Module d'extension pour passagers</t>
  </si>
  <si>
    <t>Cœur d'ordinateur supérieur</t>
  </si>
  <si>
    <t>Moteurs supérieurs</t>
  </si>
  <si>
    <t>Systèmes médicaux supérieurs</t>
  </si>
  <si>
    <t>Systèmes de navigation supérieurs</t>
  </si>
  <si>
    <t>Laboratoire scientifique supérieur</t>
  </si>
  <si>
    <t>Systèmes de sécurité interne supérieurs</t>
  </si>
  <si>
    <t>Systèmes tactiques supérieurs</t>
  </si>
  <si>
    <t>Atelier</t>
  </si>
  <si>
    <t>Courtisan/ Intuition</t>
  </si>
  <si>
    <t>Intimidation/ Intuition</t>
  </si>
  <si>
    <t>Informatique/ Intelligence</t>
  </si>
  <si>
    <t>Confère à l'équipage un bonus de +0g1 aux jets d'Informatique</t>
  </si>
  <si>
    <t>Commerce/ Intelligence</t>
  </si>
  <si>
    <t>Accomodations récréatives et de détente</t>
  </si>
  <si>
    <t>Classes de vaisseaux</t>
  </si>
  <si>
    <t>Atakebune</t>
  </si>
  <si>
    <t>Igaku</t>
  </si>
  <si>
    <t>Kagaku</t>
  </si>
  <si>
    <t>Daikyu</t>
  </si>
  <si>
    <t>Hankyu</t>
  </si>
  <si>
    <t>Kobune</t>
  </si>
  <si>
    <t>Sherpa</t>
  </si>
  <si>
    <t>Tortoise</t>
  </si>
  <si>
    <t>Baraunghar</t>
  </si>
  <si>
    <t>Yuso</t>
  </si>
  <si>
    <t>Transport</t>
  </si>
  <si>
    <t>Croiseur Lourd</t>
  </si>
  <si>
    <t>Croiseur de guerre</t>
  </si>
  <si>
    <t>Croiseur</t>
  </si>
  <si>
    <t>Corvette</t>
  </si>
  <si>
    <t>Frégate Médicale</t>
  </si>
  <si>
    <t>Frégate Scientiqique</t>
  </si>
  <si>
    <t>Explorateur</t>
  </si>
  <si>
    <t>Porte-vaisseau</t>
  </si>
  <si>
    <t>Transport de troupes</t>
  </si>
  <si>
    <t>Chasseur</t>
  </si>
  <si>
    <t>Bombardier</t>
  </si>
  <si>
    <t>Intercepteur</t>
  </si>
  <si>
    <t>Navette</t>
  </si>
  <si>
    <t>Station</t>
  </si>
  <si>
    <t>Kuyden</t>
  </si>
  <si>
    <t>Shiro</t>
  </si>
  <si>
    <t>Classe:</t>
  </si>
  <si>
    <t>Clan affreteur:</t>
  </si>
  <si>
    <t>Max slots d'équipement:</t>
  </si>
  <si>
    <t>Slots libres:</t>
  </si>
  <si>
    <t>Ninja</t>
  </si>
  <si>
    <t>Corvette furtive</t>
  </si>
  <si>
    <t>Cannon Radiant Lourd Daitsuchi</t>
  </si>
  <si>
    <t>Cannon Radiant Moyen Ju</t>
  </si>
  <si>
    <t>Cannon Radiant Léger Arashi</t>
  </si>
  <si>
    <t>Lance Missile Lourd Ballista</t>
  </si>
  <si>
    <t>Dépose Mine antimagie Kauntāmajikku</t>
  </si>
  <si>
    <t>Dépose Mine spatiale Jirai</t>
  </si>
  <si>
    <t xml:space="preserve">Largueur de Bombe Bakudan </t>
  </si>
  <si>
    <t>Largueur de Bombe incendiaire Napamu</t>
  </si>
  <si>
    <t>Lance Torpilles Arrow</t>
  </si>
  <si>
    <t>Donne au vaisseau la capacité de transporter et lancer l'équivalent de 50pts de Taille de vaisseau mais ne peut transporter de vaiseau plus gros que la taille 3.</t>
  </si>
  <si>
    <t>Brouilleur de communications</t>
  </si>
  <si>
    <t>Système éjecteur de cargaison</t>
  </si>
  <si>
    <t>Chambre cryogénique</t>
  </si>
  <si>
    <t>Glyphe de voyage permanente</t>
  </si>
  <si>
    <t>Le vaisseau est considéré comme d'une taille réduite de 1 pour les besoins de l'incantation du sort Ouvrir la Voie uniquement.</t>
  </si>
  <si>
    <t>Un Vaisseau</t>
  </si>
  <si>
    <t>Jusqu'à arrivée</t>
  </si>
  <si>
    <t>Permet d'ouvrir un portail à travers lequel un vaisseau peut d'engoufrer pour ressurgir à destination à travers un autre portail. Les portails disparaissent dès que le vaisseau les as franchi. Il est nécéssaire de déclarer un nombre d'A égal à la taille du vaisseau lors de l'incantation.</t>
  </si>
  <si>
    <t>Réduction Temps de Voyage (1:10%; 2:20%; 3:25%; 4:30%; 5:33%)</t>
  </si>
  <si>
    <t>L'Anneau de Terre du Vaisseau est considéré comme augmenté de 1 pour déterminer la Réduction de la coque uniquement.</t>
  </si>
  <si>
    <t>Equipage Mort-Vivant uniquement</t>
  </si>
  <si>
    <t>Equipage Min/Max</t>
  </si>
  <si>
    <t>Notes</t>
  </si>
  <si>
    <t>Rép. du vaisseau:</t>
  </si>
  <si>
    <t>SYS. DE SECURITE</t>
  </si>
  <si>
    <t>PUISS. MOTEURS</t>
  </si>
  <si>
    <t>PUISS. SENSEURS</t>
  </si>
  <si>
    <t>SOLIDITE GENERALE</t>
  </si>
  <si>
    <t>PUISS. BOUCLIERS</t>
  </si>
  <si>
    <t>PUISSANCE DE FEU</t>
  </si>
  <si>
    <t>REACTIVITE</t>
  </si>
  <si>
    <t>Tant que ce système est activé, le trait de Puissance de feu du vaisseau est considéré comme de 1 rang supérieur. Cause 20pts de dégâts sans Réduction à la coque pour chaque round durant lesquels il est activé.</t>
  </si>
  <si>
    <t>Le trait de Puissance des boucliers du Vaisseau est considéré comme augmenté de 1 pour déterminer le total de points de bouclier uniquement.</t>
  </si>
  <si>
    <t>Confère au vaisseau un bouclier de protection de valeur égale à son trait de puissance des boucliers X 10pts</t>
  </si>
  <si>
    <t>Confère au vaisseau un bouclier de protection de valeur égale à son trait de puissance des boucliers X 15pts</t>
  </si>
  <si>
    <t>Confère au vaisseau un bouclier de protection de valeur égale à son trait de puissance des boucliers X 20pts</t>
  </si>
  <si>
    <t>Confère au vaisseau un bouclier de protection de valeur égale à son trait de puissance des boucliers X 30pts</t>
  </si>
  <si>
    <t>Confère à l'équipage un bonus de +0g1 aux jets de Méditation et Cérémonie du Thé. Augmente le maximum de points de Vide du vaisseau de 2.</t>
  </si>
  <si>
    <t>Centre de commandement Interne</t>
  </si>
  <si>
    <t>Salles d'entrainement</t>
  </si>
  <si>
    <t>Système de mise en surcharge du réacteur</t>
  </si>
  <si>
    <t>Pts de bouclier (PB):</t>
  </si>
  <si>
    <t>PB</t>
  </si>
  <si>
    <t>Initiative</t>
  </si>
  <si>
    <t>Bonus de Survie</t>
  </si>
  <si>
    <t>Bonus Pilotage</t>
  </si>
  <si>
    <t>Bonus Sécurité</t>
  </si>
  <si>
    <t>Bonus Science</t>
  </si>
  <si>
    <t>Bonus Tactique</t>
  </si>
  <si>
    <t>Bonus Comm</t>
  </si>
  <si>
    <t>I.A</t>
  </si>
  <si>
    <t>Action simple</t>
  </si>
  <si>
    <t>Action complexe</t>
  </si>
  <si>
    <t>Mouvement (cases)</t>
  </si>
  <si>
    <t>Action gratuite</t>
  </si>
  <si>
    <t>Ship Size</t>
  </si>
  <si>
    <t xml:space="preserve">Movement of squares </t>
  </si>
  <si>
    <t>(Free action)</t>
  </si>
  <si>
    <t xml:space="preserve">Movement squares </t>
  </si>
  <si>
    <t>(Simple action)</t>
  </si>
  <si>
    <t>(Complex action)</t>
  </si>
  <si>
    <t>Limit</t>
  </si>
  <si>
    <t>Maximum Atmospheric</t>
  </si>
  <si>
    <t xml:space="preserve">Maximum Spatial </t>
  </si>
  <si>
    <t>Speed (*10^5 km/h)</t>
  </si>
  <si>
    <t>Speed</t>
  </si>
  <si>
    <r>
      <t>Vitesse espace  (km/h X 10</t>
    </r>
    <r>
      <rPr>
        <vertAlign val="superscript"/>
        <sz val="6"/>
        <rFont val="Goudy"/>
      </rPr>
      <t>6</t>
    </r>
    <r>
      <rPr>
        <sz val="6"/>
        <rFont val="Goudy"/>
      </rPr>
      <t>)</t>
    </r>
  </si>
  <si>
    <t>Equipement de vaisseau</t>
  </si>
  <si>
    <t>La Vaisseau aquièrt la capacité d'arme "Arme à chaine" avec un bonus de +1g1 à l'opérateur.</t>
  </si>
  <si>
    <t>Vitesse atmosphère (km/h)</t>
  </si>
  <si>
    <t>L'Anneau d'Eau du vaisseau est considéré comme augmenté de 1 pour déterminer la Vitesse du vaisseau uniquement.</t>
  </si>
  <si>
    <t>Calcul des vitesses</t>
  </si>
  <si>
    <t>Bonus de système du vaisseau</t>
  </si>
  <si>
    <t>L'Anneau d'Eau du vaisseau est considéré comme augmenté de 1 pour déterminer le bonus de Navigation, l'anneau d'Air est augmenté de 1 pour calculer le bonus de Pilotage. Diminue le temps de parcours de 10%</t>
  </si>
  <si>
    <t>L'Anneau de Feu du vaisseau est considéré comme augmenté de 1 pour déterminer le bonus Tactique du vaisseau.</t>
  </si>
  <si>
    <t>L'Anneau de Terre du vaisseau est considéré comme augmenté de 1 pour déterminer le bonus de Sécurité du vaisseau.</t>
  </si>
  <si>
    <t>Permet à un vaisseau de larguer directement dans l'espace une partie ou la totalité de sa marchadise sans devoir se docker ni ralentir.</t>
  </si>
  <si>
    <t>L'Anneau d'Eau du vaisseau est considéré comme augmenté de 1 pour déterminer le bonus de Communications du vaisseau.</t>
  </si>
  <si>
    <t>L'Anneau de Terre du vaisseau est considéré comme augmenté de 1 pour déterminer le bonus d'Ingénierie du vaisseau.</t>
  </si>
  <si>
    <t>Capacité de baie de lancement</t>
  </si>
  <si>
    <t>Permet au vaisseau d'opérer sous l'eau et de se poser sur et dans les profondeurs des étendues d'eau.</t>
  </si>
  <si>
    <t>Coût min.</t>
  </si>
  <si>
    <t>Réduit l'équipage minimum de moitié (arrondi au supérieur). Augmente le coût minimal de la moitié. Un seul équipement de ce type peut être fonctionnel à la fois.</t>
  </si>
  <si>
    <t>Confère à l'équipage un bonus de +0g1 aux jets d'Arts, Jeu et Spectacle. Chaque achat donne accès à un type de détente adapté à la taille du vaisseau: bain, échoppes, restauration, projection de cinéma, jardin, jeux…</t>
  </si>
  <si>
    <t>Toute jet de tactique visant à lancer une arme de vaisseau à projectile (mine, torpille, missile) ciblant ce vaisseau doit être réalisé avec 2A ou échouer automatiquement.</t>
  </si>
  <si>
    <t>Augmente le maximum d'équipage de la valeur du maximum d'équipage de base</t>
  </si>
  <si>
    <t>Réduit l'équipage minimum de moitié (arrondi au supérieur). Aucun système environnemental ou de survie requis. Augmente le nombre de slots d'équiement de la motié de la taille du vaisseau, arrondi à l'inférieur. Augmente la Soillure du vaisseau de 2 rangs complets qui ne peuvent âs être enlevés. Un seul équipement de ce type peut être fonctionnel à la fois.</t>
  </si>
  <si>
    <t>Pouvoir corrupteur</t>
  </si>
  <si>
    <t>Augmente l'Initiative du vaisseau de 1</t>
  </si>
  <si>
    <t>Remplacez l'Anneau de Feu du Vaisseau par le rang de Souillure de celui-ci pour calculer les dégâts des armes radiantes. Chaque tir occasionne le gain d'un nombre de points de Souillure égal au rang de souillure du vaisseau sur la cible.</t>
  </si>
  <si>
    <t>Tout jet visant à établir une communication électronique dans un rayon de 4x4 carrés autour de ce vaisseau doit être réalisé avec 2A ou échouer automatiquement.</t>
  </si>
  <si>
    <t>Confère à l'équipage un bonus de +0g1 aux jets d'Art de la Magie et Divination. Augmente le maximum de points de Vide du vaisseau de 1.</t>
  </si>
  <si>
    <t>Ordinateur de bibilothèque de magie</t>
  </si>
  <si>
    <t>Confère à l'équipage un bonus de +0g1 aux jets d'Armes à feu, Kenjutsu et Jiujustu à l'intérieur du vaisseau.</t>
  </si>
  <si>
    <t>Pts Trait minimums</t>
  </si>
  <si>
    <t>Pt. Traits min</t>
  </si>
  <si>
    <t>Somme traits act.</t>
  </si>
  <si>
    <t>Pts de coque:</t>
  </si>
  <si>
    <t>Bonus Nav.</t>
  </si>
  <si>
    <t>Bonus Méd.</t>
  </si>
  <si>
    <t>Bonus Ing.</t>
  </si>
  <si>
    <t>Pts vide max/nbr Augm max:</t>
  </si>
  <si>
    <t>Coque Furtive</t>
  </si>
  <si>
    <t>La vaisseau a un occulteur et une comptécen de Furtivité avec un bonus de +3g3 à son opérateur. Il peut totalement disparaitre de la vue mais ne peut pas activer de bouclier ni d'arme quand il est dissimulé. Tout jet visant à détecter sa présence doit se faire avec 4A.</t>
  </si>
  <si>
    <t>La vaisseau a un occulteur et une comptécen de Furtivité avec un bonus de +1g1 à son opérateur. Il peut totalement disparaitre de la vue mais ne peut pas activer de bouclier ni d'arme quand il est dissimulé. Tout jet visant à détecter sa présence doit se faire avec 2A.</t>
  </si>
  <si>
    <t>Ajoute 3 slot(s) au maximum d'équipement. Augmente le minimum d'équipage d'un quart, arrondi au supérieur.</t>
  </si>
  <si>
    <t>Coefficient de mvmt</t>
  </si>
  <si>
    <t>Mod. Mouvement</t>
  </si>
  <si>
    <t>Movement</t>
  </si>
  <si>
    <t>Rate</t>
  </si>
  <si>
    <t>Informatique (Tactique)/ Intelligence</t>
  </si>
  <si>
    <t>Informatique (Ingénierie)/ Intelligence</t>
  </si>
  <si>
    <t>Informatique (Tactique)/ Perception</t>
  </si>
  <si>
    <t>Informatique (Communications)/ Perception</t>
  </si>
  <si>
    <t>Informatique (Médecine)/ Intelligence</t>
  </si>
  <si>
    <t>Informatique (Navigation)/ Intelligence</t>
  </si>
  <si>
    <t>Informatique (Science)/ Intelligence</t>
  </si>
  <si>
    <t>Informatique (Sécurité)/ Intelligence</t>
  </si>
  <si>
    <t>Torid-e</t>
  </si>
  <si>
    <t>Efficace uniquement si le tir touche la coque. L'équipage du vaisseau ciblé doit réussir un jet de Terre/Constitution contre un TN égal au jet d'attaque -taille du vaisseau ciblé. Tous ceux qui ratent leur test de 5 sont Hébétés. Tous ceux qui ratent leur test de 10 ou plus sont Etourdis.</t>
  </si>
  <si>
    <t>Cannon à Rayon Inhibiteur Neural Shinkei sogai</t>
  </si>
  <si>
    <t>Projecteur d'Aura Radiante Hareyakana</t>
  </si>
  <si>
    <t>4x4</t>
  </si>
  <si>
    <t>Cause un flash de boucliers qui projette de l'énergie radiante dans toutes les directions. Tous les vaisseaux dans l'aire de portée subissent les dégâts.</t>
  </si>
  <si>
    <t>Confère à l'équipage un bonus de +2 aux jets impliquant une console médicale</t>
  </si>
  <si>
    <t>Confère à l'équipage un bonus de +2 aux jets impliquant une console scientifique</t>
  </si>
  <si>
    <t>Ogive Nucléaire Kakudanto</t>
  </si>
  <si>
    <t>10g10 +30</t>
  </si>
  <si>
    <t>1/10 min</t>
  </si>
  <si>
    <t>Ignore tte Reduction contre cibles sans bouclier. Dégats de splash de 10g8 à tte cible à 6 cases du pt d'impact. Dégats d'IEM qui mette hors d'usage tout appareil électronique non protégé dans un rayon de 100km.</t>
  </si>
  <si>
    <t>Kohaku</t>
  </si>
  <si>
    <t>Court of Minor Clans</t>
  </si>
  <si>
    <t>Ageha</t>
  </si>
  <si>
    <t>Papillon</t>
  </si>
  <si>
    <t>Rakuda</t>
  </si>
  <si>
    <t>Chameau</t>
  </si>
  <si>
    <t>Chat</t>
  </si>
  <si>
    <t>Shayu</t>
  </si>
  <si>
    <t>Crocodile</t>
  </si>
  <si>
    <t>Hokori</t>
  </si>
  <si>
    <t>Chien</t>
  </si>
  <si>
    <t>Seiryu</t>
  </si>
  <si>
    <t>Drake</t>
  </si>
  <si>
    <t>Anago</t>
  </si>
  <si>
    <t>Anguille</t>
  </si>
  <si>
    <t>Inago</t>
  </si>
  <si>
    <t>Sauterelle</t>
  </si>
  <si>
    <t>Naomi</t>
  </si>
  <si>
    <t>Colibri</t>
  </si>
  <si>
    <t>Fushi</t>
  </si>
  <si>
    <t>Alouette</t>
  </si>
  <si>
    <t>Mite</t>
  </si>
  <si>
    <t>Konpaku</t>
  </si>
  <si>
    <t>Obake</t>
  </si>
  <si>
    <t>Tako</t>
  </si>
  <si>
    <t>Pieuvre</t>
  </si>
  <si>
    <t>Kawauso</t>
  </si>
  <si>
    <t>Loutre</t>
  </si>
  <si>
    <t>Takahiro</t>
  </si>
  <si>
    <t>Rat</t>
  </si>
  <si>
    <t>Aburamushi</t>
  </si>
  <si>
    <t>Cancrelat</t>
  </si>
  <si>
    <t>Samon</t>
  </si>
  <si>
    <t>Saumon</t>
  </si>
  <si>
    <t>Unagi</t>
  </si>
  <si>
    <t>Hippocampe</t>
  </si>
  <si>
    <t>Shimanashi</t>
  </si>
  <si>
    <t>Cygne</t>
  </si>
  <si>
    <t>Ryoshin</t>
  </si>
  <si>
    <t>Marumaru</t>
  </si>
  <si>
    <t>Espadon</t>
  </si>
  <si>
    <t>Fenroku</t>
  </si>
  <si>
    <t>Hachi</t>
  </si>
  <si>
    <t>Abeille</t>
  </si>
  <si>
    <t>Karasu</t>
  </si>
  <si>
    <t>Corneille</t>
  </si>
  <si>
    <t>Jirozame</t>
  </si>
  <si>
    <t>Requin</t>
  </si>
  <si>
    <t>Hitokage</t>
  </si>
  <si>
    <t>Salamandre</t>
  </si>
  <si>
    <t>Hotaru</t>
  </si>
  <si>
    <t>Luciole</t>
  </si>
  <si>
    <t>Tanuki</t>
  </si>
  <si>
    <t>Kujaku</t>
  </si>
  <si>
    <t>Paon</t>
  </si>
  <si>
    <t>Kurita</t>
  </si>
  <si>
    <t>Sanada</t>
  </si>
  <si>
    <t>Albatros</t>
  </si>
  <si>
    <t>Scarabée</t>
  </si>
  <si>
    <t>Court Minor Clan</t>
  </si>
  <si>
    <t>Réduction de Souillure</t>
  </si>
  <si>
    <t>Athlétisme (Natation) Défense, Enquête, Connaissances: Théologie (Fortunes), Connaissances (Mers et Océans), Méditation, Navigation</t>
  </si>
  <si>
    <t xml:space="preserve">Pureté de l’océan </t>
  </si>
  <si>
    <r>
      <t>Pureté de l’océan</t>
    </r>
    <r>
      <rPr>
        <i/>
        <sz val="10"/>
        <rFont val="Times New Roman"/>
        <family val="1"/>
      </rPr>
      <t> </t>
    </r>
  </si>
  <si>
    <t>Court of the minor clans</t>
  </si>
  <si>
    <t>Bushi Kohaku</t>
  </si>
  <si>
    <t>Persistance</t>
  </si>
  <si>
    <t>Athletisme , Kenjutsu, Kuyjutsu, Connaissance: Theologie, Méditation, Sincerité, une compétence de Jeu ou Comédie au choix</t>
  </si>
  <si>
    <t>Armure Légère, Vêtements Robustes, Daisho, 1 Arme au choix, Livre de chevet, Nécéssaire de Voyage</t>
  </si>
  <si>
    <t>Joie dans l'adversité</t>
  </si>
  <si>
    <t>Montrer le Motif</t>
  </si>
  <si>
    <t>La Faveur des Fortunes</t>
  </si>
  <si>
    <t>La Cascade Rageuse</t>
  </si>
  <si>
    <t>La Roue du Kharma</t>
  </si>
  <si>
    <r>
      <t>Quand vous ratez une attaque ou subissez des dégâts, vous gagnez une AG à utiliser sur votre prochain jet. Si vous avez l'avantage de</t>
    </r>
    <r>
      <rPr>
        <i/>
        <sz val="9"/>
        <rFont val="Arial"/>
        <family val="2"/>
      </rPr>
      <t xml:space="preserve"> Chanceux</t>
    </r>
    <r>
      <rPr>
        <sz val="9"/>
        <rFont val="Arial"/>
        <family val="2"/>
      </rPr>
      <t xml:space="preserve"> et relancez un jet échoué, l'A peut alors être appliquée à ce jet. + 1g0 sur les jets contestés, ou +1g1 quand une vie est en jeu.</t>
    </r>
  </si>
  <si>
    <t>Vous pouvez effectuer une attaque au prix d'une AS au lieu d'une AC à mains nues ou avec une arme de Samourai.</t>
  </si>
  <si>
    <t>Dépensez un Pvide&gt; 3A sur tout jet impliquant une compétence élevée ou bugei. Ignorez le coût de vide si vous attaquez une cible qui possède un anneau du Vide ou si c'est un jet opposé mais votre cible gagne 2A à sa prochaine attaque ou jet contesté contre vous.</t>
  </si>
  <si>
    <t>Quand il n'y a pas de samurai autour de vous pour assister à vos actions, vous gagnez un bonus de +1g1 sur tous les tests de Bugei et de compétences sociales.</t>
  </si>
  <si>
    <t>Si vous abandonnez l'appel de l'aventure ou laissez passer une chance de voyager vers une destination exotique, Kohaku vous abandonnera.</t>
  </si>
  <si>
    <t>Court Minor Clans</t>
  </si>
  <si>
    <t>Bushi Ageha</t>
  </si>
  <si>
    <t>Position du Centre</t>
  </si>
  <si>
    <t>Une compétence d'Artisan au choix, Etiquette, Kenjutsu (Katana), Kyujutsu, Iajutsu, Méditation, Une Compétence Noble au choix</t>
  </si>
  <si>
    <t>Armure Légère, Vêtements Robustes, Daisho, Kumi avec 20 flèches, Nécéssaire de Voyage</t>
  </si>
  <si>
    <t>Perfection dans Toutes les Choses</t>
  </si>
  <si>
    <t>Vide et Devenir Vent</t>
  </si>
  <si>
    <t>Lire le Non-Ecrit</t>
  </si>
  <si>
    <t>Pénétrer le Vide</t>
  </si>
  <si>
    <t>Vous pouvez effectuer une attaque à la Lance au prix d'une AS au lieu d'une AC</t>
  </si>
  <si>
    <t>Vous pouvez effectuer une attaque au Corps à Corps au prix d'une AS au lieu d'une AC avec une arme de samourai.</t>
  </si>
  <si>
    <t>En posture du centre, test d'Iaijutsu (Evaluation)/Perception vs. Vide de la cible x 5. Réussite: ttes les manoeuvres vous visent ont besoin d'une A supplémentaire +1A pour chaque A que vous prennez.+2g0 en Iaijutsu (Evaluation), y compris en duel et pour cette technique.</t>
  </si>
  <si>
    <t>Dépensez un Pvide en Posture du Centre si vous maniez une arme de samourai pour faire une atk immédiate avant la résolution de toute autre action. Si vous ne portez que cette atk, vous restez en Posture du centre au Round suivant et pouvez déclarer être en position du centre même au début d'une embuscade.</t>
  </si>
  <si>
    <t>La coupe de la queue d'Hirondelle</t>
  </si>
  <si>
    <t>Caravanier Rakuda</t>
  </si>
  <si>
    <t>Guerrier du Désert Rakuda</t>
  </si>
  <si>
    <t>Marchandage, Caravanes marchandes</t>
  </si>
  <si>
    <t>Commerce, Etiquette, Couteau (Ra'Shari), Elevage, Orientation, Spectacle (Danse du Ra'Shari), une autre compétence de Spectacle ou Séduction.</t>
  </si>
  <si>
    <t>Vêtements robustes, Couteau (Ra'Shari), Yari, Carte de Rokugan, Nécéssaire de Voyage</t>
  </si>
  <si>
    <t>Embuscades</t>
  </si>
  <si>
    <t>Senpet</t>
  </si>
  <si>
    <t>Medinaat-al-Salam</t>
  </si>
  <si>
    <t>Chasse, Connaissances: Burning Sands, Discrétion (Embuscade), Equitation, Kyujutsu (Archerie à cheval), Kenjutsu, une compétence de Bugei au choix.</t>
  </si>
  <si>
    <t>Vêtements robustes, Armure Lourde, Kumi et 20 flèches, Cimeterre, Wakizashi, deux armes au choix, Cheval (de monte gaijin), Nécéssaire de Voyage</t>
  </si>
  <si>
    <t>Sensualiste Neko</t>
  </si>
  <si>
    <t>Comédie, Courtisan (Manipulation), Etiquette, Jiujutsu (Arts martiaux), Sincerité (Tromperie), Tentation (Séduction), une compétence de Spectacle au choix.</t>
  </si>
  <si>
    <t>Autre Sexe</t>
  </si>
  <si>
    <t>Séduction, Charme</t>
  </si>
  <si>
    <t>3 Beaux Kimonos, Tanto ou Wakizashi, Nécéssaire de voyage</t>
  </si>
  <si>
    <t>Berserker Shayu</t>
  </si>
  <si>
    <t>Combat brutal</t>
  </si>
  <si>
    <t>Cannotage</t>
  </si>
  <si>
    <t>Athletisme (Natation), Couteaux, Discrétion, Kenjutsu, Intimidation, Navigation (Cannotage), une compétence de Marchand ou Dégradante au choix.</t>
  </si>
  <si>
    <t>Armure Légère (Armure du Crocodile), Vêtements Robustes, Daisho, une arme au choix, Nécéssaire de Voyage</t>
  </si>
  <si>
    <t>Bushi Hokori</t>
  </si>
  <si>
    <t>Combat en meute</t>
  </si>
  <si>
    <t>Chasse, Connaissance: Nature, Elevage, Etiquette, Kenjutsu, Medicine (Herboristerie), une compétence de Bugei au choix</t>
  </si>
  <si>
    <t>Armure d'Ashigaru, Vêtements Robustes, Daisho, Couteau ou Arc et 20 flèches, Chien Inubuki, Nécéssaire de Voyage</t>
  </si>
  <si>
    <t>Armure Légère, Vêtements Robustes, Daisho, Nécéssaire d'herboristerie, 1 Arme au choix, Arc et 20 flèches, Nécéssaire de Voyage</t>
  </si>
  <si>
    <t>Bushi Seiryu</t>
  </si>
  <si>
    <t>Combat Sabre + Pistolet</t>
  </si>
  <si>
    <t>Armes à feu, Artisanat Dégradant (Armes à feu), Connaissance: Bushido, Connaissance: Culture Gaijin (Merenae), Défense, Iaijutsu, Kenjutsu</t>
  </si>
  <si>
    <t>Armure Légère, Vêtements Robustes, Daisho, 1 Arme à feu, Nécéssaire de Voyage</t>
  </si>
  <si>
    <t>Bibliothécaire Anago</t>
  </si>
  <si>
    <t>Shugenja Anago</t>
  </si>
  <si>
    <t>Calligraphie, Commerce, Contrefaçon, Etiquette, Enquête (Recherche), Une compétence de Connaissance au choix, Sincerité (Tromperie)</t>
  </si>
  <si>
    <t>Divination, Recherche d'informations</t>
  </si>
  <si>
    <t>Art de la magie, Calligraphie, Contrefaçon, Connaissance générale (Théologie), Une compétence de Connaissance au choix, Enquête, Sincerité (Tromperie)</t>
  </si>
  <si>
    <t>Bushi Inago</t>
  </si>
  <si>
    <t>Conn.: Royaumes Spirituels (Sakkaku), Defense, Enquête, Etiquette, Kenjutsu, , Passe-Passe, une compétence Noble ou de bugei au choix</t>
  </si>
  <si>
    <t>Armure Légère ou d'Ashigaru, vêtements robustes, Daisho, Une arme au choix, Nécéssaire de Voyage</t>
  </si>
  <si>
    <t>Théologie, Acupuncture</t>
  </si>
  <si>
    <t>Courtisan, Etiquette (Courtoisie), Connaissance générale: Theologie, Méditation, Medecine, Sincerité, une compétence Noble au choix.</t>
  </si>
  <si>
    <t>Courtisan Fushii</t>
  </si>
  <si>
    <t>Vêtements délicats, Wakizashi, Nécéssaire de Calligraphie, Nécéssaire de Voyage</t>
  </si>
  <si>
    <t>Vêtements délicats, Wakizashi, Nécéssaire de Calligraphie, Etui à parchemin, Nécéssaire de Voyage</t>
  </si>
  <si>
    <t>Shugenja Ga</t>
  </si>
  <si>
    <t>Faire oublier</t>
  </si>
  <si>
    <t>Art de la magie, Calligraphie, Divination, Méditation, Une compétence de Connaissance au choix à 2, Une autre compétence de Connaissance au choix.</t>
  </si>
  <si>
    <t>Moine Konpaku</t>
  </si>
  <si>
    <t>Morts-vivants</t>
  </si>
  <si>
    <t>Athlétisme, Conn.: Royaumes Spirituels, Enquête, Intimidation, Jiujutsu OU Couteau, Méditation, une compétence au choix</t>
  </si>
  <si>
    <t>Robe, Bo, 5 Talismans spirituels, Nécéssaire de Voyage</t>
  </si>
  <si>
    <t>Artisan Tako</t>
  </si>
  <si>
    <t>Contrefaçon, Commerce, Connaissance Dégradante (Pègre), Courtisan [Manipulation], Temptation, 2 au choix parmi: Artisanat (Bonsai, Ikebana, Origami,
Painture, Poésie, Sculpture ou Tatouage), Calligraphie</t>
  </si>
  <si>
    <t>Vêtements simples, Wakizashi, fournitures d'Art, Nécéssaire de Calligraphie, une "petite" arme au choix , Nécéssaire de voyage</t>
  </si>
  <si>
    <t>Shugenja Kawauso</t>
  </si>
  <si>
    <t>Soins et médecine</t>
  </si>
  <si>
    <t>Art de la magie, Etiquette, Medicine (Maladies) 2, Médecine (Herboristerie) 2, Connaissances générales :Theologie (Tao de Shinsei)</t>
  </si>
  <si>
    <t>Robe, Wakizashi, Couteau, Etui à Parchemin, Mortier et pilon, Nécéssaire de Voyage</t>
  </si>
  <si>
    <t>si vous refusez de traiter un patient atteint d'une maladie même si c'est un ennemi qui vous le demande, Kawauso vous abandonne</t>
  </si>
  <si>
    <t>Guerrier du désert Rakuda</t>
  </si>
  <si>
    <t>Les Voies du Pays</t>
  </si>
  <si>
    <t>Les Voies de l'Echange</t>
  </si>
  <si>
    <t>Les Voies du Cœur</t>
  </si>
  <si>
    <t>Les Voies des Couteaux</t>
  </si>
  <si>
    <t>Les Voies de la Tête</t>
  </si>
  <si>
    <t>Tant que vous pouvez voir un ciel clair de nuit (donc pas de brouillard dense), vous ne pouvez jamais vous perdre lorsque vous voyagez en Rokugan.+ 1g1 sur tous les jets d'orientation dans les Sables Brûlants</t>
  </si>
  <si>
    <t>Dans le cadre d'une transaction commerciale, jet de Commerce /Intelligence: &gt;30 Vous avez l'objet, &gt;25 Vous pouvez l'obtenir en 24h, &gt;20 Vous pouvez l'obtenir en 1 sem, &gt;15 Vous pouvez l'obtenir en 1 mois &gt;10 Revenez plus tard.</t>
  </si>
  <si>
    <t>+1g1 en Séduction OU Spectacle (Danse Ra'Shari). Si un tel test est réussi pour les prochaines 24 heures, vous gagnez une AG dans une compétence de votre choix au cours de négociations avec la cible de votre compétence.</t>
  </si>
  <si>
    <t>Vous pouvez effectuer une attaque au prix d'une AS au lieu d'une AC si vous êtes Monté.</t>
  </si>
  <si>
    <t>Vous pouvez effectuer vos attaques à Mains Nues et attaques avec des Armes "Samurai" au prix d'une AS au lieu d'une AC</t>
  </si>
  <si>
    <t>Vous pouvez effectuer vos attaques avec un Couteau au prix d'une AS au lieu d'une AC. +1g0 à vous attaques lorsque vous manipulez un couteau Ra'Shari</t>
  </si>
  <si>
    <t>Vous pouvez toujours effectuer une requête raisonnable auprès de la famille Miya. Votre compétence d'Elevage est considérée comme supérieure d'un rang quand vous êtes en danger et vous pouvez manipuler un couteau dans n'importe quelle main sans malus.</t>
  </si>
  <si>
    <t>Aucun malus en Discrétion en armure et pouvez faire ce jet même Monté. Choissisez une compétence d'école: Vous gagnez une AG dans tout jet de cette compétence "Chronique" qui ne compte pas pour le maximum d'A.</t>
  </si>
  <si>
    <t>Le Doux Aiguillon de la Nuit</t>
  </si>
  <si>
    <t>Vous pouvez effectuer une attaque de mêlée au prix d'une AS au lieu d'une AC.</t>
  </si>
  <si>
    <t>La Lame du Chameau</t>
  </si>
  <si>
    <t>Test de Discrétion/Embuscade réussi au début d'un combat: +20 à votre score d'Initiative et +3g0 à tous vos jets d'attaque et de dégâts tant que dure ce combat.</t>
  </si>
  <si>
    <t>La Furie Aveugle de la Nuit</t>
  </si>
  <si>
    <t>La Chronique Finale</t>
  </si>
  <si>
    <t>Vous gagnez un bonus de +5g0 dans votre compétence "Chronique" choisie au rang 1 et n'êtes plus limité dans le nombre d'A que vous pouvez prendre dans cette compétence.</t>
  </si>
  <si>
    <t>La Voie du Chat</t>
  </si>
  <si>
    <t>La Caresse du Chat</t>
  </si>
  <si>
    <t>Les Griffes du Chat</t>
  </si>
  <si>
    <t>L'Esprit du Chat</t>
  </si>
  <si>
    <t>Le Ronronnement du Chat</t>
  </si>
  <si>
    <t>Tt perso bénéficiant de technique de rang 1 peut relancer un test basé sur l'Anneau de Terre pdt. les 4h suivantes. Test de Tentation (Séduction)/Intuition vs. Sincérité/Perception de votre cible, pour qu'elle vous révèle un de ses Désavantages.</t>
  </si>
  <si>
    <t>Vous pouvez effectuer une attaque au Corps à Corps au prix d'une AS au lieu d'une AC à Mains Nues ou lorsque vous maniez une arme "Paysan".</t>
  </si>
  <si>
    <t>Prédateur sur l'Eau</t>
  </si>
  <si>
    <t>Du Sang dans l'Eau</t>
  </si>
  <si>
    <t>Mâchoires Larmoyantes</t>
  </si>
  <si>
    <t>L'Odeur du Sang</t>
  </si>
  <si>
    <t>Frénésie Alimentaire</t>
  </si>
  <si>
    <t>+1g0 à vos jets d'attaque pour chaque rang de blessure de votre advesaire (Max Rg. D'Ecole ou +5g0) tant que dure le combat.</t>
  </si>
  <si>
    <t>+2g0 quand vous surprenez quelqu'un en combat. Vous pouvez user d'Intimidation au lieu d'Etiquette quand vous vous défendez socialement. Vous ne perdez aucun honneur en utilisant Discrétion ou Intimidation tant que vous oeuvrez pour l'Empire ou votre Clan.</t>
  </si>
  <si>
    <t>Vous pouvez effectuer une attaque avec un arme "Petite" ou "Moyenne" au prix d'une AS au lieu d'une AC tant que votre adversaire est bléssé</t>
  </si>
  <si>
    <t>Test d'Intimidation / Volonté vs. Etiquette / Volonté. En cas de réussite, pour chaque tranche de 5 au dessus du test de l'adversaire, il doit prendre une A supplémentaire pour toute action contre vous lors du prochain tour.</t>
  </si>
  <si>
    <t>Bonus de +1g0 cumulatif aux dégâts tant que vous portez atk réussie jusqu'à la fin du combat. Vous pouvez dépenser un PV et réussir un jet avec 3A pour que tous vos dés de dégâts explosent sur un 9 ou un 10.</t>
  </si>
  <si>
    <t>Trou dans la Réalité</t>
  </si>
  <si>
    <t>Dépensez un PV et une AC: Test de Perception/Eau vs Volonté/Terre. En cas de réussite la cible oublie tout ce qu'elle a vécu pendant les 10 dernières minutes (ou une escarmouche) et est étourdie pour une round. AG sur tous les sorts de Divination</t>
  </si>
  <si>
    <t>Chercher dans le Passé</t>
  </si>
  <si>
    <t>Connaitre le Présent</t>
  </si>
  <si>
    <t>Deux Cœurs qui battent à l'unisson</t>
  </si>
  <si>
    <t>Etablir le Contact</t>
  </si>
  <si>
    <t>Préparer le Futur</t>
  </si>
  <si>
    <t>Nakodo Takahiro</t>
  </si>
  <si>
    <t>Dépensez un Pvide pour obternir une information sur un lien de parenté ou une généalogie.</t>
  </si>
  <si>
    <t>Marriages arrangés</t>
  </si>
  <si>
    <t>Courtisan (Comérage), Calligraphie, Etiquette, Connaissances générales (Héraldique) 2,  Sincérité, une compétence Noble au choix</t>
  </si>
  <si>
    <t>Vêtements délicats, Wakizashi, Nécéssaire de caligraphie, Nécéssaire de Voyage</t>
  </si>
  <si>
    <t>Bushi Aburamushi</t>
  </si>
  <si>
    <t>Résilience, Résistance aux poisons et à la maladie</t>
  </si>
  <si>
    <t xml:space="preserve">Athlétisme, Commerce, Défense, Jeux, Kenjutstu, une compétence de Bugei au choix, une compétence Dégradante au choix </t>
  </si>
  <si>
    <t>Armure Légère ou d'Ashigaru, Vêtements Robustes, Daisho, Une arme au choix, Nécéssaire de Voyage</t>
  </si>
  <si>
    <t>Bushi Samon</t>
  </si>
  <si>
    <t>Nourriture, rivières</t>
  </si>
  <si>
    <t>Athlétisme, Défense, Enquête, Jiujutstu, Navigation, Lances, une compétence au choix</t>
  </si>
  <si>
    <t>Armure Légère, vêtements robustes, Daisho, Couteau, Yari OU Yage-nari, Nécéssaire de Voyage</t>
  </si>
  <si>
    <t>Ordre du Scarabée</t>
  </si>
  <si>
    <t>Méditation, Kiho, Empire Senpet</t>
  </si>
  <si>
    <t>Méditation, Connaissances cultures gaijin: Empire Senpet, Connaissances Générales: Théologie (Fortunes), Défense, Jiujutstu, deux compétences au choix</t>
  </si>
  <si>
    <t>Bushi Shimanashi</t>
  </si>
  <si>
    <t>Dissimulation d'identité, Protection rapprochée</t>
  </si>
  <si>
    <t>Athlétisme(Natation), Defense, Etiquette, Iaijutsu, Kenjutsu, Jiujutsu, une compétence Noble au choix.</t>
  </si>
  <si>
    <t>Armure Légère, Vêtements Légers, Daisho, Nécéssaire de Voyage</t>
  </si>
  <si>
    <t>Bushi Marumaru</t>
  </si>
  <si>
    <t>Katas</t>
  </si>
  <si>
    <t>Athlétisme, Commerce générale: Bushido 2, Commerce générale: Théologie, Défense, Iaijutstu, Kenjutstu</t>
  </si>
  <si>
    <t>Ranger Fenroku</t>
  </si>
  <si>
    <t>Athlétisme, Chasse, Connaissance générale: Nature, Discrétion, Elevage, Kenjutstu, 1 compétence d'Arme au choix.</t>
  </si>
  <si>
    <t>Armure Légère, Vêtements Robustes, une cape, Daisho, 1 Arme au choix, Nécéssaire de Voyage, Esprit Animal</t>
  </si>
  <si>
    <t>Esprit animal</t>
  </si>
  <si>
    <t>Courtisan Hachi</t>
  </si>
  <si>
    <t>Mode, Arts</t>
  </si>
  <si>
    <t>Calligraphie, Cérémonie du thé, Connaissace générales: Mode, Courtisan (Commérage), Etiquette (Conversation), Jeu (Sadane), une Compétence d'Artisanat ou de Spectacle au choix</t>
  </si>
  <si>
    <t>Trois sets de Vêtements extravagants, Wakishashi, Nécéssaire de Calligraphie</t>
  </si>
  <si>
    <t>Bushi Karasu</t>
  </si>
  <si>
    <t>Arts de la guerre, Chasse, Connaissance générale: Théologie, Jiujutsu, Kenjutsu (katana), Kyujutsu, une compétence d'Arme au choix</t>
  </si>
  <si>
    <t>Amères Fiançailles</t>
  </si>
  <si>
    <t>Lire le Corps</t>
  </si>
  <si>
    <t>Crocs de Furie</t>
  </si>
  <si>
    <t>Surveiller vos Arrières</t>
  </si>
  <si>
    <t>Deux ne font qu'Un</t>
  </si>
  <si>
    <t>+1g0 à l'atk pr vous et votre compagnon quand vous attaquez la même cible et n'êtes jamais pénalisés pour attaquer une même cible. Vous ajoutez mutuellement vos Rangs de Perception à vos ND d'Armure.</t>
  </si>
  <si>
    <t>Vous pouvez effectuer une attaque au Corps à Corps au prix d'une AS au lieu d'une AC à Mains Nues ou lorsque vous et votre compagnon attaquez la même cible.</t>
  </si>
  <si>
    <t>Doublez le bonus aloué par la technique de rang 1 quand vous ajoutez mutuellement vos Rangs de Perception à vos ND d'Armure.</t>
  </si>
  <si>
    <t>La Voie du Drake</t>
  </si>
  <si>
    <t>Tirer avant de Taillader</t>
  </si>
  <si>
    <t>Les Bases Toujours en Place</t>
  </si>
  <si>
    <t>Efficacité du Tir</t>
  </si>
  <si>
    <t>Zone de Destruction Maximale</t>
  </si>
  <si>
    <t>Ajoutez votre Rang d'Arme à Feu à votre jet d'Initiative avec un bonus de +2g1 lorsque vous tirez d'abord avec une arme à feu avant d'engager le combat au CàC.</t>
  </si>
  <si>
    <t>Vous pouvez effectuer une attaque avec une arme "Samuraï" au prix d'une AS au lieu d'une AC.</t>
  </si>
  <si>
    <t>En posture d'Assaut, vous gagnez 2A pour effectuer la maneouvre d'attaque supplémentaire.</t>
  </si>
  <si>
    <t>Dépensez un Pvide: Résolvez une atk sur tous les ennemis à portée (à moitié de portée pour les armes à feu). Vous ne pouvez pas prendre d'A sur ces attaques.</t>
  </si>
  <si>
    <t>La Voie de l'Anguille</t>
  </si>
  <si>
    <t>L'Evasion de l'Anguille</t>
  </si>
  <si>
    <t>+1g1 à tous les test de Sincérité (Tromperie) pour échapper à  la responsabilité de vos actions.</t>
  </si>
  <si>
    <t>Ecailles Brillantes, Yeux Vides</t>
  </si>
  <si>
    <t>Les Dents de l'Anguille</t>
  </si>
  <si>
    <t>Emmêlé dans les Nœuds</t>
  </si>
  <si>
    <t>Sonder les Profondeurs</t>
  </si>
  <si>
    <t>Lorsque vous dépensez un Pvide pour un test de Sincérité (Tromperie) ou Contrefaçon votre bonus est de +2g2.</t>
  </si>
  <si>
    <t>Paperasse, Lecture et Fuite de responsabilité</t>
  </si>
  <si>
    <r>
      <t xml:space="preserve">Vous gagnez l'Avantage </t>
    </r>
    <r>
      <rPr>
        <i/>
        <sz val="9"/>
        <rFont val="Arial"/>
        <family val="2"/>
      </rPr>
      <t>Sage</t>
    </r>
    <r>
      <rPr>
        <sz val="9"/>
        <rFont val="Arial"/>
        <family val="2"/>
      </rPr>
      <t xml:space="preserve"> (ou récupérez vos 4XP si vous l'avez déjà) et un bonus de +5g0 à tous les tests de Connaissances dans lesquels vous avez au moins un rang.</t>
    </r>
  </si>
  <si>
    <t>AG sur tous les sorts de Divination. Dépensez un emplacement de sort pour réduire le temps nécessaire pour lire un texte de moitié. Si vous arrêtez la lecture, vous devez dépenser un nouvel emplacement de sort pour utiliser cet avantage.</t>
  </si>
  <si>
    <t>La Vérité derrière les Paupières</t>
  </si>
  <si>
    <t>Mépris de Sakkaku</t>
  </si>
  <si>
    <t>Contre toute personne que vous savez vous mentir ajoutez votre Rg. d'Honneur à tout jet d'atk, d'Enquête et tests Sociaux contestés. Ce bonus est doublé contre les créatures de Sakkaku</t>
  </si>
  <si>
    <t xml:space="preserve">Lorsque vous combatez un métamorphe vous gagnez un nbre de dés non-gardés égal à votre Rg. d'Ecole que vous pouvez distribuer comme vous le souhaitez sur vos jets d'atk et/ou de dégâts. </t>
  </si>
  <si>
    <t>Vous pouvez effectuer une attaque avec une arme "Samourai" au prix d'une AS au lieu d'une AC</t>
  </si>
  <si>
    <t>La Vérité derrière la Lame</t>
  </si>
  <si>
    <t>Justice de Sakkaku</t>
  </si>
  <si>
    <t>+3g0 (+3g1 contre Sakkaku) sur tous les tests de Comédie, Contrefaçon, Sincérité (Tromperie), Passe-passe, Discrétion et la manœuvre de Feinte aussi longtemps que vous agissez sans malice ni pour vous enrichir.</t>
  </si>
  <si>
    <t>La Vérité derrière le Sang</t>
  </si>
  <si>
    <t>Perspicacité, détection des mensonges, Sakkaku, Changeformes</t>
  </si>
  <si>
    <t>Quand vous touchez un changeforme avec un atk de mêlée, test contesté d'Eau pour le forcer à reprendre sa forme naturelle et lui ôter tout bonus issu d'une métamorphose.</t>
  </si>
  <si>
    <t>Factotum Naomi</t>
  </si>
  <si>
    <t>Conseiller Naomi</t>
  </si>
  <si>
    <t>La Voie Sans Nom</t>
  </si>
  <si>
    <t>La Voie Constante</t>
  </si>
  <si>
    <t>Gagnez 12XP pr acheter des compétences Nobles, de Marchand ou de Bugei uniquement. A chaque fois que vous rencontrez une nouvelle technique ou école de Bushi, vs pouvez acheter une compétence liée que vous n'avez pas encore avec un bonus de +1 rang.</t>
  </si>
  <si>
    <t>La Voie de l'Alouette</t>
  </si>
  <si>
    <t>La Guérison de la Main de Grâce</t>
  </si>
  <si>
    <t>La Pierre Endure</t>
  </si>
  <si>
    <t>La Force d'un Homme</t>
  </si>
  <si>
    <t>Le Sanctuaire dans le Cœur</t>
  </si>
  <si>
    <t>Lorsque vous essayer de persuader ou influencer qqun ajoutez votre Rang de Théologie au résultat. Lorsque vous résistez à la Séducton, l'Intimidation ou la Conviction d'une personne d'au moins 2 rangs de Statut supérieur, gagnez une AG.</t>
  </si>
  <si>
    <t>Max 1x/jour/personne: Dépensez un Pvide et un AC pour soigner un allié de 2g1 blessures ou lui donner un bonus équivalent sur un jet d'Etiquette. Ne fonctionne pas sur vous.</t>
  </si>
  <si>
    <t>Après une conversation de 5min, test de Connaissance (Théologie) /Volonté vs. Sincérité/Intuition. En cas de succès la cible ne peut user d'aucun avantage Social contre vous pendant les 24h suivantes.</t>
  </si>
  <si>
    <t>+5g0 à tout test Social contesté contre toute personne d'un Statut supérieur au vôtre.</t>
  </si>
  <si>
    <t>Sanctuaire du Sutra de la Pierre</t>
  </si>
  <si>
    <t>Réduction des dégâts</t>
  </si>
  <si>
    <t>Bâtons, Connaissance: Théologie (Shintao),  Defense, Jiujustu, Méditation, Deux Compétences au choix</t>
  </si>
  <si>
    <t>Temple des Bénédictions Silencieuses</t>
  </si>
  <si>
    <t>Marchandage, Artisanat</t>
  </si>
  <si>
    <t>2 compétences d'Artisanat (Sauf poison et fabrication d'armes), Connaissances générales: Théologie (Fortunes), Commerce, Etiquette, Méditation, une compétence de Marchand au choix.</t>
  </si>
  <si>
    <t>Méditation, Contemplation</t>
  </si>
  <si>
    <t>Ordre de la Haute Voie</t>
  </si>
  <si>
    <t>Kiho Internes</t>
  </si>
  <si>
    <t>Cérémonie du Thé, Conaissance: Théologie (Shintao), Défense, Enquête, Méditation, une compétence de Connaissance au choix, une compétence au choix.</t>
  </si>
  <si>
    <t>Dépensez un Pvide: Ignorez jusqu'à 20 points de dégâts</t>
  </si>
  <si>
    <t>Même le Caillou</t>
  </si>
  <si>
    <t>Faire le Monde</t>
  </si>
  <si>
    <t>Lorsque vous dépensez un Pvide pour améliorer un test d'Artisanat ou de Marchand vous recevez un bonus de +2g2 au lieu de +1g1. Vous ne perdez aucun Honneur à faire du commerce car vous n'êtes pas un Samouraï</t>
  </si>
  <si>
    <t>Entrée, Sortie</t>
  </si>
  <si>
    <t>Vous pouvez avoir deux kihos Internes actifs simultanément.</t>
  </si>
  <si>
    <t>Repouser les Esprits</t>
  </si>
  <si>
    <t>Franchir la Frontière</t>
  </si>
  <si>
    <t>Perturber les Esprits</t>
  </si>
  <si>
    <t>Frapper l'Âme</t>
  </si>
  <si>
    <t>Vous pouvez effectuer une attaque au Corps à Corps au prix d'une AS au lieu d'une AC avec un Bâton ou à Mains Nues</t>
  </si>
  <si>
    <t>Entend le Rugissement de mon Âme</t>
  </si>
  <si>
    <t>Sept Bras, Huit Vertus</t>
  </si>
  <si>
    <t>Caché dans la Couleur</t>
  </si>
  <si>
    <t>Existence Flottante</t>
  </si>
  <si>
    <t>Les Bras qui Donnent</t>
  </si>
  <si>
    <t>Atteindre tous les Coins</t>
  </si>
  <si>
    <t>Ajoutez vos Rangs en Contrefaçon à tous vos Tests d'Artisanat. Dépensez un Pvide: ajoutez vos plus au Rang d'Artisanat à tous vos Tests de Contrefaçon et augmentez le ND pour détecter la supercherie du même nombre.</t>
  </si>
  <si>
    <t>+1g0 pour tous les tests de compétences Dégradantes, jets d'attaque non armés ou avec les armes "Petite". Vous ne perdez plus que la moité d'Honneur prévu pour utiliser des compétences Dégradantes.</t>
  </si>
  <si>
    <t>+2g0 à tout test social impliquant des heimins, etas, geisha, ronin, criminels et cibles que vous savez posséder une de vos œuvres.</t>
  </si>
  <si>
    <t>La Voie de la Louttre</t>
  </si>
  <si>
    <t>Soin</t>
  </si>
  <si>
    <t>Défense, Glyphes, Soin</t>
  </si>
  <si>
    <t>Art de la Guerre, Soin</t>
  </si>
  <si>
    <t>Défense, Soin</t>
  </si>
  <si>
    <t>Glyphes, Soin</t>
  </si>
  <si>
    <t>Art de la Guerre, Glyphes, Soin</t>
  </si>
  <si>
    <t>Vous êtes immédiatement soigné de toute Blessure, Maladie et Poison. Tant que dure ce sort vous pouvez soigner d'autres personnes de la même façon en dépensant une Action Complexe en les touchant.</t>
  </si>
  <si>
    <t>Dragon, Soin</t>
  </si>
  <si>
    <t>Kuni, Jade, Soin</t>
  </si>
  <si>
    <t>Barrière du Kami de l'Eau</t>
  </si>
  <si>
    <t>Rayon de 30m centré sur le lanceur</t>
  </si>
  <si>
    <t>2 jours</t>
  </si>
  <si>
    <t>Durée (+1 jour), Zone d'effet (+15 m de rayon)</t>
  </si>
  <si>
    <t>Les Kamis de l'eau empêchent toute forme de contagion en empêchant les germes de passer à travers l'air, les liquides ou en contact direct dans la zone ciblée. Le sort ne guérit pas de la maladie, du poison ou d'autres affections.</t>
  </si>
  <si>
    <t>Ne Tombe Jamais</t>
  </si>
  <si>
    <t>Ne Disparait Jamais</t>
  </si>
  <si>
    <t>Ne Concède Jamais</t>
  </si>
  <si>
    <t>Ne Meurt Jamais</t>
  </si>
  <si>
    <t>Vous pouvez effectuer une attaque de mêlée au prix d'une AS au lieu d'une AC avec une arme "Samouraï".</t>
  </si>
  <si>
    <t xml:space="preserve">Bushi Jirozame </t>
  </si>
  <si>
    <t>Dégâts, combat brutal</t>
  </si>
  <si>
    <t>Courtisan, Defense, Etiquette, Iaijutsu, Intimidation, Kenjutsu (no-dachi), une compétence Noble au choix</t>
  </si>
  <si>
    <t>Armure Lourde, Vêtements Extravagants, Nécéssaire de Voyage, Daisho, No-dachi, une aurme au choix</t>
  </si>
  <si>
    <t>Shugenja Hitokage</t>
  </si>
  <si>
    <t>Utilisation du Vide sans être Ishiken</t>
  </si>
  <si>
    <t>Art de la Magie (Recherche de Sorts), Calligraphie (Codage des Clan), Connaissances: Elements, Connaissances:  Theologie, Etiquette, Navigation, Sailing, une compétence au choix</t>
  </si>
  <si>
    <t>Vêtements Robustes, Wakizashi,  Etui à Parchemin, Nécéssaire de Caligraphie, Nécéssaire de Voyage</t>
  </si>
  <si>
    <t>Bushi Hotaru</t>
  </si>
  <si>
    <t>Adaptation à l'ennemi</t>
  </si>
  <si>
    <t>Chasse, Defense, Equitation, Enquête (Sens de l'observation), Kenjustu, Kyujutsu, une compétence Noble ou de Bugei au choix.</t>
  </si>
  <si>
    <t>Armure Légère, Vêtements Robustes, Daisho, Nécéssaire de Voyage, une arme au choix, Poney rokugani</t>
  </si>
  <si>
    <t>Bushi Tanuki</t>
  </si>
  <si>
    <t>Combat en état d'ébriété</t>
  </si>
  <si>
    <t>Métamorphes</t>
  </si>
  <si>
    <t>Armes à Chaine, Chasse (Survie), Connaissance: Roy. Spirituels (Métamorphes), Defense, , Jiujutsu, Kenjutsu, une compétence Noble ou de Bugei au choix.</t>
  </si>
  <si>
    <t>Bushi Kujaku</t>
  </si>
  <si>
    <t>Armure Légère, Vêtements Extravagants, Daisho, 1 Arme au choix, Nécéssaire de maquillage, Nécéssaire de Voyage</t>
  </si>
  <si>
    <t>Elevage de Paons, Extravagance, Garde</t>
  </si>
  <si>
    <t>Elevage (Paons), Defense, Etiquette, Iaijutsu, Kenjutsu, Spectacle (une spécialisation au choix), Tentation (Séduction).</t>
  </si>
  <si>
    <t>Paons</t>
  </si>
  <si>
    <t>Infiltrateur Samon</t>
  </si>
  <si>
    <t>Goûteur Samon</t>
  </si>
  <si>
    <t>La Voie du Saumon</t>
  </si>
  <si>
    <t>Echapper aux Filets</t>
  </si>
  <si>
    <t>Deux Crocs dans la Gueule</t>
  </si>
  <si>
    <t>L'appel de la Rivère</t>
  </si>
  <si>
    <t>Couler les Crocs</t>
  </si>
  <si>
    <t>Bushi Samon 4</t>
  </si>
  <si>
    <t>Goûter le Vide</t>
  </si>
  <si>
    <t>Athétisme 5, Couteaux 3 , Discrétion 3</t>
  </si>
  <si>
    <t>La Fumée dans l'Eau</t>
  </si>
  <si>
    <t>+1g0 en Initiative et ne subit aucune pénalité aux mvmt quand vous vous trouvez sur une surface instable. Les Sasumata, Sodegarami et Bo sont considérés comme des Lances pour vous.</t>
  </si>
  <si>
    <t>Aucun malus en Athlétisme quand vous portez une armure légère, +1g1 en Force pour résister à un test opposé pour vous Etourdir, Ajoutez deux fois votre Rg. d'école aux ND des tests pour vous Enchevêtrer ou vous saisir.</t>
  </si>
  <si>
    <t>Vous pouvez effectuer une attaque à la Lance au prix d'une AS au lieu d'une AC. Cette technique s'applique aussi aux armes affectées par la technique de Rang 1.</t>
  </si>
  <si>
    <t>Vous pouvez prendre 2A pour porter une attaque dévastatrice. Faites un test opposé d'Eau contre la Terre de votre ennemi. Si vous gagnez, il est Hébêté (sauf s'il est déjà Hébêté).</t>
  </si>
  <si>
    <t>+1g1 en Discrétion quand vous nagez. +2g0 en Couteau et Jiujitsu et +1g1 aux dégâts du Couteau durant le 1er round d'un combat. Ne perdez aucun honneur pour porter des atk sournoises contre un adversaire avec un Honneur &lt;3.0</t>
  </si>
  <si>
    <r>
      <t xml:space="preserve">+2g1 à tout test d'Enquête pour détecter une anomalie dans un breuvage ou de la nourriture. L'avantage </t>
    </r>
    <r>
      <rPr>
        <i/>
        <sz val="9"/>
        <rFont val="Arial"/>
        <family val="2"/>
      </rPr>
      <t>Bénédiction de Fukurokujin</t>
    </r>
    <r>
      <rPr>
        <sz val="9"/>
        <rFont val="Arial"/>
        <family val="2"/>
      </rPr>
      <t xml:space="preserve"> vous coûte 2 au lieu de 4.</t>
    </r>
  </si>
  <si>
    <t>Aller de l'Avant chaque Jour</t>
  </si>
  <si>
    <t>Vous gagnez une AG quand vous activez un Kiho mystique avec la compétence Méditation.</t>
  </si>
  <si>
    <t>Magistrat Shimanashi</t>
  </si>
  <si>
    <t>La Voie du Cygne</t>
  </si>
  <si>
    <t>Prendre son Envol</t>
  </si>
  <si>
    <t>Les Ailes du Cygne</t>
  </si>
  <si>
    <t>Franchir la Porte</t>
  </si>
  <si>
    <t>Le Sang du Cygne</t>
  </si>
  <si>
    <t>Sous le Ciel, Sous la Loi</t>
  </si>
  <si>
    <t xml:space="preserve">En posture d'Assaut, vous gagnez un bonus à votre ND d'armure égal à votre Rg. d'école. Vous pouvez entreprendre une et une seule AS autre qu'une atk quand vous êtes en posture de Défense. </t>
  </si>
  <si>
    <t>Lorsque vous usez de la manœuvre Garder pour une personne, cette personne gagne une AS au round suivant. Si cette AS est utilisée pour se déplacer, le distance parcourue peut être doublée.</t>
  </si>
  <si>
    <t>En Posture de Défence vous pouvez une fois par round dépenser un Pvide pour porter une seule attaque. Les règles classiques s'appliquent toujours pour toutes les autres attaques.</t>
  </si>
  <si>
    <t>Lorsque vous touchez un adversaire, sa prochaine action d'atk contre vous ou la personne que vous gardez souffre d'un malus égal au double de vos malus de blessures en plus de toute autre pénalité.</t>
  </si>
  <si>
    <t>L'Espadon Doit Vivre Comme le Requin</t>
  </si>
  <si>
    <t>Aiguiser ses Talents</t>
  </si>
  <si>
    <t>Le Soleil Brille Derrière les Nuages d'Orage</t>
  </si>
  <si>
    <t>Annoncer la Tempête</t>
  </si>
  <si>
    <t>Un Espadon est plus qu'uen Epeé</t>
  </si>
  <si>
    <t>Pour chaque adversaire (max: votre Rg. d'école) : +1g0 à vos tests d'atk en posture d'Assaut ou d'Attaque OU +3 à votre ND d'armure en posture d'Esquive ou de Défense. Les Katas vous côutent 1XP de moins.</t>
  </si>
  <si>
    <t xml:space="preserve">Vous pouvez avoir 2 Katas actifs simultanément tant que leurs bonus ne s'additionnent pas ou vous ne prenez que les plus élevé des deux. </t>
  </si>
  <si>
    <t>Vous pouvez avoir 3 Katas actifs simultanément dans les mêmes limites qu'au Rang 1. Si vous méditez en début de journée pour activer un Kata, celui-ci est actif pour le reste de la journée ou jusqu'à ce que vous le remplaciez.</t>
  </si>
  <si>
    <t>Démarche du Loup</t>
  </si>
  <si>
    <t>Allié du Loup</t>
  </si>
  <si>
    <t>Crocs du Loup</t>
  </si>
  <si>
    <t>Ombre du Loup</t>
  </si>
  <si>
    <t>Lien du Loup</t>
  </si>
  <si>
    <t>Aucun malus d'armure pr porter une armure légère ni aux mvmts dans les milieux naturels. Ne perdez aucun Honneur pour user de Discrétion. Rations pour 2X votre rg de Survie/personnes. Vous avez un animal totem.</t>
  </si>
  <si>
    <t>Vous pouvez utiliser les Sorts de Communion, Sensation et Invocation sur les animaux locaux en utilisant votre compétence d'Elevage à la place du test d'incantation.</t>
  </si>
  <si>
    <t>Vous percevez les créatures issues de Chikushudo et savez les distinguer des créatures de Nigen-Do. Votre technique de rang 1 peut les affecter.  +1g1 à vos tests de Discrétion en milieu naturel même si vous êtes observé.</t>
  </si>
  <si>
    <t>Grand Loup</t>
  </si>
  <si>
    <t>Elevage (Loups) 5, Chasse 5</t>
  </si>
  <si>
    <t>Loups</t>
  </si>
  <si>
    <t>Chikushudo, animaux</t>
  </si>
  <si>
    <t>Terrain de Chasse du Grand Loup</t>
  </si>
  <si>
    <t>Meute du Grand Loup</t>
  </si>
  <si>
    <t>Le Loup Alpha</t>
  </si>
  <si>
    <t>Vous pouvez utiliser des techniques de Rang 2 et 4 de l'école de Ranger Fenroku autant de fois que vous le souhaitez par jour. Vous pouvez parler avec des animaux et des esprits animaux avec un bonus de +2g0 à tous vos tests Sociaux.</t>
  </si>
  <si>
    <t>Le Dard de l'Abeille</t>
  </si>
  <si>
    <t>Les Couleurs de Sainon</t>
  </si>
  <si>
    <t>Les Mots de mes Sœurs</t>
  </si>
  <si>
    <t>Briser l'Ego</t>
  </si>
  <si>
    <t>Au Delà- du Voile</t>
  </si>
  <si>
    <t>Test de Connaissance: Mode / Intelligence  ND 15. En cas de succès, 2g0 + aux tests d' Etiquette ou Courtisan utilisant des emphases pour la durée de la journée.</t>
  </si>
  <si>
    <t>Test de Calligraphie/Intelligence contre un ND de 20 pour obtenir de la famille des informations sur les arts ou la mode en 3 semaines. La réponse donne un bonus de +3g0 sur un jet relatif à cette information.</t>
  </si>
  <si>
    <t>Si Test d'Artisan ou d'Art/Intuition réussi dépenser un Pvide permet d'infliger à l'adversaire critiqué un malus de -2g0 et l'empêche de dépenser des PVides pour tous ses tests Sociaux jusqu'à la fin de la journée.</t>
  </si>
  <si>
    <t>1/jour: Test d'Artisan ou d'Art/Intuition approprié TN 25 pour critiquer Art ou représentation qui nécéssite au moins 5A: Si réussi, l'Artisan ciblé retrouve tous les Pvides dépensés pour l'œuvre +3 Pvide (valables pdt 24h)</t>
  </si>
  <si>
    <t>Vents de la Guerre</t>
  </si>
  <si>
    <t>Jamais Sans un Avantage</t>
  </si>
  <si>
    <t>Les Ailes de la Corneille</t>
  </si>
  <si>
    <t>La Bénédiction des Fortunes</t>
  </si>
  <si>
    <t>Plus Aucune Lumière</t>
  </si>
  <si>
    <t>+1g0 à tous vos tests d'attaque quelque soit l'arme utilisée y compris à distance et à Mains Nues.</t>
  </si>
  <si>
    <t>+2g0 à tous les Tests visant à éviter d'être Surpris. '+2g0 au premier jet de dégâts effectué dans un combat quelque soit l'arme utilisée y compris à distance et à Mains Nues.</t>
  </si>
  <si>
    <t>Vous pouvez effectuer une attaque au prix d'une AS au lieu d'une AC quand vous utilisez une compétence de votre école y compris Kyujutstu et Jiujutsu.</t>
  </si>
  <si>
    <t>Vous pouvez réduite toutes vos pénalités de Blessures de votre Rang en Connaissance: Théologie</t>
  </si>
  <si>
    <t>Bushi Jirozame</t>
  </si>
  <si>
    <t>La Dent du Requin</t>
  </si>
  <si>
    <t>Yeux du Prédateur</t>
  </si>
  <si>
    <t>Le Sang Suit</t>
  </si>
  <si>
    <t>La Morsure du Requin</t>
  </si>
  <si>
    <t>La Mort Vient</t>
  </si>
  <si>
    <t>Ajoutez le double de votre Rang d'école à tout jet de dégâts réalisé avec un sabre</t>
  </si>
  <si>
    <t>Avant l'initiative, vous pouvez tenter un jet d'opposition d'Intimidation/Intuition contrel'Honneur/Volonté votre adversaire. Si vous gagnez vous ajoutez +5 à votre Initiative ou à votre jet de Focalisation en Duel.</t>
  </si>
  <si>
    <t>Vous pouvez effectuer une attaque avec une lame au prix d'une AS au lieu d'une AC</t>
  </si>
  <si>
    <t xml:space="preserve">Vous gagnez un bonus de +3g0 aux tests d'attaque contre un seul adversaire choisi au début du round chez qui vous avez déjà causé des dégâts durant ce combat. </t>
  </si>
  <si>
    <t>En posture d'Assaut, avant l'initiative et l'utilisation de votre technique de rang 2, dépensez un Pvide pour augmenter votre Initiative de +10 et +2g1 aux dégâts que vous infligez mais votre ND d'armure est diminué de 5 au 1er round. Ne peut pas être utilisé en Duel.</t>
  </si>
  <si>
    <t>Une Chemin à travers de Nombreuses Voies</t>
  </si>
  <si>
    <t>La Lumière de la Luciole</t>
  </si>
  <si>
    <t>La Luciole en Vol</t>
  </si>
  <si>
    <t>Préparé pour la Nuit</t>
  </si>
  <si>
    <t>La Force du Devoir</t>
  </si>
  <si>
    <t>Frappe Crépusculaire</t>
  </si>
  <si>
    <t>Avant l'initiative, vous pouvez faire un test d'opposition d'Enquête/Intuition contre le test d'Arme/Trait adéquat de votre adversaire. Si vous réussissez vous pouvez ajouter votre Rang d'Enquête à votre ND d'armure (max Rg. D'école X2)</t>
  </si>
  <si>
    <t>+2g0 à tous vos tests de Défense et +2 à votre ND d'armure quand vous êtes en posture de Défense.</t>
  </si>
  <si>
    <t>Vous pouvez effectuer une attaque avec une arme Samourai ou un arc au prix d'une AS au lieu d'une AC même si vous êtes Monté.</t>
  </si>
  <si>
    <t>En posture de Défense, si votre adversaire manque une attaque contre vous, dépensez un Pvide pour attaquer immédiatement cet adversaire avec un bonus de +2g0 à l'atk et aux dégats.</t>
  </si>
  <si>
    <t>Moine Tanuki</t>
  </si>
  <si>
    <t>Moine Tanuki de Rang 2 ou 4</t>
  </si>
  <si>
    <t>Ambassadeur Tanuki</t>
  </si>
  <si>
    <t>Juste un Verre de Plus</t>
  </si>
  <si>
    <t>Un de Plus pour la Route</t>
  </si>
  <si>
    <t>Artisan (Brasserie) 3, Tentation 3</t>
  </si>
  <si>
    <t>Jet de Tentation/Intuition contre Etiquette (Courtoisie)/Intuition pour provoquer un duel de beuverie. Dépensez un Pvide pour impliquer une personne en plus. Ceux qui réussissent ce test peuvent renoncer mais perdent 2 Gloire.</t>
  </si>
  <si>
    <t>Les Milles Feux du Gourou</t>
  </si>
  <si>
    <t>Buveur ayant de la Bouteille</t>
  </si>
  <si>
    <t>Armure Légère, Vêtements Robustes, Daisho, 1 Arme au choix, Bouteille de saké, Nécéssaire de Voyage</t>
  </si>
  <si>
    <t>Provocateur Kujaku</t>
  </si>
  <si>
    <t>Provocation</t>
  </si>
  <si>
    <t>Provovateur Kujaku</t>
  </si>
  <si>
    <t>Le Vœu du Paon</t>
  </si>
  <si>
    <t>Contemplation d'un Millier d'Yeux</t>
  </si>
  <si>
    <t>La Roue Paradisiaque</t>
  </si>
  <si>
    <t>Une Démonstration Impressionante</t>
  </si>
  <si>
    <t>La Colère du Paon Doré</t>
  </si>
  <si>
    <t>Les Actes du Paon</t>
  </si>
  <si>
    <t>La Grâce du Paon</t>
  </si>
  <si>
    <t>L'Appel du Paon d'Or</t>
  </si>
  <si>
    <t>+1g0 à tous vos tests pour déjouer une embuscade ou des adversaires cachés. En posture du Centre, ajoutez votre Rg. d'Elevage à votre jet d'Iaijutstu (Evaluation).</t>
  </si>
  <si>
    <t>En Concentration lors d'un duel, gagnez une AG en Iaijutsu (Concentration) pour chaque tranche de 2 Rangs en Elevage. Si personne ne bat l'autre à ce test par une différence de 5 ou plus, vous frappez en 1er.</t>
  </si>
  <si>
    <t>Style du Paon Sublime</t>
  </si>
  <si>
    <t>En Posture de Défense avec une arme de mêlée samouraï, Test d'Intimidation/Intuition avec un ND= le plus haut Anneau de votre adversaireX5. En cas de réussite, tant que ce Kata est actif, ajoutez la différence de ce test à votre ND d'Armure.</t>
  </si>
  <si>
    <t>Contemplation de la Cocotte</t>
  </si>
  <si>
    <t>Lorsque vous entamez un Test d'Opposition Social vous savez immédiatement si votre adversaire a le Désavantage Joli Cœur.</t>
  </si>
  <si>
    <t>Anko</t>
  </si>
  <si>
    <t>Baudroie</t>
  </si>
  <si>
    <t>Empire of Emerald Stars</t>
  </si>
  <si>
    <t>Kuma</t>
  </si>
  <si>
    <t>Aibisu</t>
  </si>
  <si>
    <t>Ibis</t>
  </si>
  <si>
    <t>Xiongmao</t>
  </si>
  <si>
    <t>Panda</t>
  </si>
  <si>
    <t>Courtisan Anko</t>
  </si>
  <si>
    <t>Tromperie, Mensonge</t>
  </si>
  <si>
    <t>Comédie, Courtisan, Etiquette, Méditation, Sincerité (Tromperie), Tentation, une Compétence Dégradante au choix</t>
  </si>
  <si>
    <t>Vêtements Simples, Couteau, Wakizashi, Nécéssaire de Voyage</t>
  </si>
  <si>
    <t>Bushi Kuma</t>
  </si>
  <si>
    <t>Force tranquile, Tenacité</t>
  </si>
  <si>
    <t>Bushi Kakita, Bushi Mirumoto, Bushi Kujaku, Bushi Hotaru, Danseur de Guerre Aibisu, Garde Seppun</t>
  </si>
  <si>
    <t>Danseur de Guerre Aibisu</t>
  </si>
  <si>
    <t>Tessen, Danse Exubérance</t>
  </si>
  <si>
    <t>Athletisme, Comédie, Eventails de Guerre, Intimidation, Jiujutsu, Kenjutsu, une compétence de Spectacle au choix</t>
  </si>
  <si>
    <t>Vêtemens Extravagants, Daisho, deux Tessens, Enregistreur/Emeteur de musique, Nécéssaire de Voyage</t>
  </si>
  <si>
    <t>Sumotori Xiongmao</t>
  </si>
  <si>
    <t>Tempérance</t>
  </si>
  <si>
    <t>Cérémonie du Thé, Connaissance: Théologie (Fortunes), Etiquette (Courtoisie), Jiujutsu (Sumai), Méditation, Sincerité (Honêteté), une Compétence Noble au choix.</t>
  </si>
  <si>
    <t>Vêtements Simples, un Bo ou une paire de Jo, Nécéssaire de Voyage</t>
  </si>
  <si>
    <t>La Face Cachée de la Lune</t>
  </si>
  <si>
    <t>L'Eclat des Tènèbres Pures</t>
  </si>
  <si>
    <t>Plus Grand est le Sourire, Plus Tranchante est la Lame</t>
  </si>
  <si>
    <t>Le Revers de la Médaille</t>
  </si>
  <si>
    <t>Vers les Abysses de la Baudroie</t>
  </si>
  <si>
    <t>1X/mois Test opposé Courtisan/Intelligence vs. Courtisan/Intuition d'un adversaire de Statut &gt; au votre. Succes: gagnez autant de kokus que la différence de Statut mais perdez autant de pts d'Honneur.</t>
  </si>
  <si>
    <t>Utilisez un Pvide ou perdez 5 pts d'Honneur: Vous pouvez effectuer une attaque de mêlée au prix d'une AS au lieu d'une AC avec une arme "Samouraï" pendant ce combat.</t>
  </si>
  <si>
    <t>Qd. perte d'Honneur, de Statut ou de Gloire: Test de Sincérité (Deception)/Intuition contre Sincérité (Honnêteté)/Intuition d'un adv. d'un statut inféreur pour lui infliger vos pertes.</t>
  </si>
  <si>
    <t>La Voie de l'Ours</t>
  </si>
  <si>
    <t>Les Griffes et les Crocs</t>
  </si>
  <si>
    <t>Ajoute +1g0 lorsque vous ajoutez votre Rg. d'Honneur pour résister à la Tentation ou l'Intimitation</t>
  </si>
  <si>
    <t>Flamboiement de l'Ibis</t>
  </si>
  <si>
    <t>L'Eclat de l'Eventail de Fer</t>
  </si>
  <si>
    <t>Vitesse des Etoiles</t>
  </si>
  <si>
    <t>Bouclier d'Anonymat</t>
  </si>
  <si>
    <t>Trance du Rythme</t>
  </si>
  <si>
    <t>Aucun malus pour porter instrument de musique ou un éventail dans votre main non directrice. Ajoutez votre Rg. d'Eventail de Guerre à votre ND d'armure tant que vous en portez un.</t>
  </si>
  <si>
    <t>Vous pouvez effectuer une attaque avec un éventail de guerre ou en écoutant de la bonne musique au prix d'une AS au lieu d'une AC.</t>
  </si>
  <si>
    <t>Lorsque vous effectuez plus d'une atk avec un éventail de guerre, un inst. de musique ou en écoutant de la bonne musique vs pouvez entreprendre 2X la manœuvre d'atk sup. pour 3 au lieu de 5.</t>
  </si>
  <si>
    <t>Moine Xiongmao</t>
  </si>
  <si>
    <t>Maitre des Sushis Xiongmao</t>
  </si>
  <si>
    <t>L'Estomac est le Siège de la Bonne Humeur</t>
  </si>
  <si>
    <t>Artisanat (Cuisine) 4</t>
  </si>
  <si>
    <t>Stabilité des Cieux</t>
  </si>
  <si>
    <t>L'Esprit Sain dans un Corps Sain</t>
  </si>
  <si>
    <t>Ne jamais se Répéter</t>
  </si>
  <si>
    <t>Disséminer la Paix Impériale</t>
  </si>
  <si>
    <t>Solide comme un Banbou</t>
  </si>
  <si>
    <t>Corpulent (Faible)</t>
  </si>
  <si>
    <t>Corpulent (Moyen)</t>
  </si>
  <si>
    <t>Corpulent (Obèse)</t>
  </si>
  <si>
    <t>Toutes vos vitesses de déplacement diminuent de 3m</t>
  </si>
  <si>
    <t>Toutes vos vitesses de déplacement diminuent de 1,5m</t>
  </si>
  <si>
    <t>Toutes vos vitesses de déplacement diminuent de 4,5m. Vos armures et vêtements doivent être spécialement ajustés pour vous.</t>
  </si>
  <si>
    <t>Vos achats d'Avantages Mentaux et de Désavantages Physiques sont diminués de 1. +1g1 à tous vos tests de compétence d'école.</t>
  </si>
  <si>
    <t>Vous pouvez effectuer une attaque avec un Bo ou une Paire de jo au prix d'une AS au lieu d'une AC</t>
  </si>
  <si>
    <r>
      <t xml:space="preserve">Dépensez un Pvide pour ignorer tous les dégâts subits pendant 1 round. Vous recevez l'avantage </t>
    </r>
    <r>
      <rPr>
        <i/>
        <sz val="9"/>
        <rFont val="Arial"/>
        <family val="2"/>
      </rPr>
      <t>Bénédiction d'Inar</t>
    </r>
    <r>
      <rPr>
        <sz val="9"/>
        <rFont val="Arial"/>
        <family val="2"/>
      </rPr>
      <t>i gratuitement.</t>
    </r>
  </si>
  <si>
    <t>Kudos</t>
  </si>
  <si>
    <t>Elephant</t>
  </si>
  <si>
    <t>Satsuei</t>
  </si>
  <si>
    <t>Sterne</t>
  </si>
  <si>
    <t xml:space="preserve">Toshigo </t>
  </si>
  <si>
    <t>Shugenja Satsuei</t>
  </si>
  <si>
    <t>Glace</t>
  </si>
  <si>
    <t>Athlétisme OU Equitation, Arme: Boomerang, Chasse, Connaissance: Mers et Océans, Défense, Divination, Navigation</t>
  </si>
  <si>
    <t>Vêtements robustes, Boomerang, Nécéssaire de Voyage</t>
  </si>
  <si>
    <t>La Voie de la Glace</t>
  </si>
  <si>
    <t>Boomerang</t>
  </si>
  <si>
    <t>Court of the Minor Clans</t>
  </si>
  <si>
    <t>Revient dans la main du lanceur s'il rate sa cible sur un jet d'Armes: Boomerang réussi</t>
  </si>
  <si>
    <t>1 koku</t>
  </si>
  <si>
    <t>Shiono</t>
  </si>
  <si>
    <t>Rossignol</t>
  </si>
  <si>
    <t>Ikaso</t>
  </si>
  <si>
    <t>Hajime</t>
  </si>
  <si>
    <t>Lynx</t>
  </si>
  <si>
    <t>Bushi Hajime</t>
  </si>
  <si>
    <t>Points faibles</t>
  </si>
  <si>
    <t>Armure Légère, Vêtements Robustes, Daisho, Nécéssaire de Voyage, une arme au choix</t>
  </si>
  <si>
    <t>Athlétisme, Chasse, Connaissance: Histoire, Défense, Iaijutsu, Kenjustsu (katana), une Compétence Noble ou de Bugei au choix</t>
  </si>
  <si>
    <t>La Voie du Lynx</t>
  </si>
  <si>
    <t>La Vue du Lynx</t>
  </si>
  <si>
    <t>Griffes Jumelles</t>
  </si>
  <si>
    <t>L'Intuition du Lynx</t>
  </si>
  <si>
    <t>Coup Vif</t>
  </si>
  <si>
    <t>Linceul du Lynx</t>
  </si>
  <si>
    <t>Bushi Hajime 2</t>
  </si>
  <si>
    <t>Vous pouvez effectuer une attaque avec une arme Samourai au prix d'une AS au lieu d'une AC.</t>
  </si>
  <si>
    <t>+1g1 en Discrétion et AG à toutes les attaques que vous effectuez par surprise. Lorsque vous commetez des actes déshonorants pour le bien de votre clan, vos pertes d'Honneur sont réduites de moitié.</t>
  </si>
  <si>
    <t>Bushi Shiono</t>
  </si>
  <si>
    <t>Voyant Ikaso</t>
  </si>
  <si>
    <t>Chasse, Defense, Iaijutsu, Kenjutsu (Katana), Kyujutsu, Deux compétences Nobles ou de Bugei au choix</t>
  </si>
  <si>
    <t>Maintien de la Paix</t>
  </si>
  <si>
    <t>Voir Courts p.65</t>
  </si>
  <si>
    <t>Robe Robuste, Wakizashi,  Une arme au choix, Etui à Parchemin, Nécéssaire de Voyage</t>
  </si>
  <si>
    <t>Art de la Magie, Calligraphie (Code Secret), Connaissance: Théologie, Divination, Méditation, deux Compétences Noble ou de Bugei au choix</t>
  </si>
  <si>
    <t>Visions à distance</t>
  </si>
  <si>
    <t>Ombre</t>
  </si>
  <si>
    <t>Voir ennemis p.207</t>
  </si>
  <si>
    <t>Choix affinité?</t>
  </si>
  <si>
    <t>'Choix Statistique?</t>
  </si>
  <si>
    <t>La Voie du Rossignol</t>
  </si>
  <si>
    <t>Un à la Fois</t>
  </si>
  <si>
    <t>La Mesure d'un Souffle</t>
  </si>
  <si>
    <t>Le Plus Grand Bien</t>
  </si>
  <si>
    <t>La Lutte Eternelle</t>
  </si>
  <si>
    <t>Tout et Rien</t>
  </si>
  <si>
    <t>Valeur du Trait</t>
  </si>
  <si>
    <t>Avalanche</t>
  </si>
  <si>
    <t>Marante</t>
  </si>
  <si>
    <t>Si vous l'activez au premier round d'initiative vous ajoutez 1 dé et votre valeur de rang d'école au résultat de votre test d'Initiative</t>
  </si>
  <si>
    <t>Campanule</t>
  </si>
  <si>
    <t>Os</t>
  </si>
  <si>
    <t>Carpe</t>
  </si>
  <si>
    <t>Si vous activez ce tatouage avant de faire une test de compétence, les dés qui obtiennent un 9 explosent une seule fois.</t>
  </si>
  <si>
    <t>Fleur de cerisier</t>
  </si>
  <si>
    <t>Chrysanthème</t>
  </si>
  <si>
    <t>Criquet</t>
  </si>
  <si>
    <t>Corbeau</t>
  </si>
  <si>
    <t>Vous pouvez activer ce tatouage juste après avoir été la cible d'un sort amical. Ce sort ne coûte aucun emplacement de sort à son lanceur et l'effet du tatouage s'interrompt immédiatement. Vous ne pouvez utiliser ce tatouage que pour un sort dont le rang de maitrise égale ou est inférieur à votre Rg. d'école.</t>
  </si>
  <si>
    <t>Œil</t>
  </si>
  <si>
    <t>Quand vous activez ce tatouage vous pouvez dans l'heure qui suit lancer une fois chacun les sorts de Sensation, Invocation et Communion comme un shugenja de même rang que votre rang d'école.</t>
  </si>
  <si>
    <t>Ouragan</t>
  </si>
  <si>
    <t>[Continu] A l'aquisition de ce tatouage choisissez et apprenez un kiho d'Air qui y sera associé. Votre anneau d'Air est considéré comme d'un rang supérieur pour les prérequis de ce kiho. Ajoutez votre Rang d'école à vos tests d'attaque à mains nues si vous faites des attaques atemi avec ce kiho.</t>
  </si>
  <si>
    <t>[Continu] A l'aquisition de ce tatouage choisissez et apprenez un kiho du Vide qui y sera associé. Votre anneau de Vide est considéré comme d'un rang supérieur pour les prérequis de ce kiho. Ajoutez votre Rang d'école à vos tests d'attaque à mains nues si vous faites des attaques atemi avec ce kiho.</t>
  </si>
  <si>
    <t>[Continu] A l'aquisition de ce tatouage choisissez et apprenez un kiho d'Eau qui y sera associé. Votre anneau de d'Eau est considéré comme d'un rang supérieur pour les prérequis de ce kiho. Ajoutez votre Rang d'école à vos tests d'attaque à mains nues si vous faites des attaques atemi avec ce kiho.</t>
  </si>
  <si>
    <t>[Continu] A l'aquisition de ce tatouage choisissez et apprenez un kiho de Terre qui y sera associé. Votre anneau de Terre est considéré comme d'un rang supérieur pour les prérequis de ce kiho. Ajoutez votre Rang d'école à vos tests d'attaque à mains nues si vous faites des attaques atemi avec ce kiho.</t>
  </si>
  <si>
    <t>[Continu] A l'aquisition de ce tatouage choisissez et apprenez un kiho de Feu qui y sera associé. Votre anneau de Feu est considéré comme d'un rang supérieur pour les prérequis de ce kiho. Ajoutez votre Rang d'école à vos tests d'attaque à mains nues si vous faites des attaques atemi avec ce kiho.</t>
  </si>
  <si>
    <t>Dragon Blanc</t>
  </si>
  <si>
    <t>Tant qu'il est actif diminue le ND des tests d'Evaluation à son porteur de10 pendant un duel.</t>
  </si>
  <si>
    <t>Soleil (Plein)</t>
  </si>
  <si>
    <t>A chaque activation de ce Tatouage, vous gagnez un point de Vide</t>
  </si>
  <si>
    <t>Lune (croissant)</t>
  </si>
  <si>
    <t>Lune (pleine)</t>
  </si>
  <si>
    <t>Si vous activez ce tatouage après avoir porté avec succès une attaque à mains nues, votre cible perds un Pvide en plus de toute autre effet du à votre attaque. Ci votre cible n'a pas de Pvide, vous en gagnez un à la place qui disparait après usage ou à la prochaine aube.</t>
  </si>
  <si>
    <t>Tant que ce tatouage est actif vous bénéficiez des mêmes avantages qu'un moine de la Confrérie en ce qui concerne la dépense de Pvide concernant l'usage de Kihos. Vous gagnez un Pvide au début de chaque round qui ne peut être utilisé que pour activer un Kiho et est perdu à la fin du round si inutilisé.</t>
  </si>
  <si>
    <t>Tant que ce Tatouage est actif, la manœuvre de Désarmement ne demande qu'une seule A</t>
  </si>
  <si>
    <t>[Continu] En recevant ce tatouage, vous êtes immunisé contre les effets de Peur.</t>
  </si>
  <si>
    <t>Tant que ce tatouage est actif, vous ne pouvez porter aucune attaque, toutefois pour chaque attaque de Corps à Corps qui vous touche, votre adversaire doit immédatement effectuer un second jet d'attaque. Si ce second jet d'attaque échoue, l'attaque est manquée.</t>
  </si>
  <si>
    <t>Tant qu'il est actif permet à son porteur de reproduire les effets du sort de Maho "Marionnettiste" sans que cela ne soit considéré comme de la maho. L'effet reste actif tant que le tatouage est maintenu activé.</t>
  </si>
  <si>
    <t>Ciel de Nuit</t>
  </si>
  <si>
    <t>Tant que ce tatouage est actif, les relances de dés et dépenses de Pvide contre vous sont inefficaces. Votre cible est consciente que cela ne fonctionne pas.</t>
  </si>
  <si>
    <t>Orochi</t>
  </si>
  <si>
    <t>Panthère</t>
  </si>
  <si>
    <t>Pin</t>
  </si>
  <si>
    <t>Tant que ce tatouage est actif, vous pouvez vous libérer d'une Condition qui vous affecte. Si la condition du plus que la durée du tatouage elle vous affecte à la fin de celui-ci mais est interrompue tant qu'il reste actif.</t>
  </si>
  <si>
    <t>Tant que ce tatouage est actif dès qu'un de vos dés de dégâts exlose alors que vous venez de réussir une attaque à mains nues, votre cible est Etoudie</t>
  </si>
  <si>
    <t>Grue des neiges</t>
  </si>
  <si>
    <t>Soleil (Levant)</t>
  </si>
  <si>
    <t>Tant que ce tatouage est actif vos attaques à mains nues qui réussissent aveuglent toutes les cibles qui sont marquée par la Souillure.</t>
  </si>
  <si>
    <t>Torii</t>
  </si>
  <si>
    <t>Lorsque ce tatouage est actif, vous pouvez utiliser la technique des Yeux des ancêtres comme si vous étiez un shugenja Kitsu de même niveau que votre rang d'école.</t>
  </si>
  <si>
    <t>Vigne</t>
  </si>
  <si>
    <t>Vipère</t>
  </si>
  <si>
    <t>Masque Blanc</t>
  </si>
  <si>
    <t>Tant que ce tatouage est actif dès qu'un de vos dés de dégâts exlose alors que vous venez de réussir une attaque à mains nues, votre cible est Fatiquée</t>
  </si>
  <si>
    <t>Puit Suppurant</t>
  </si>
  <si>
    <t>Obsidienne</t>
  </si>
  <si>
    <t xml:space="preserve">Shikibu no Oni </t>
  </si>
  <si>
    <t>Tsuburu no Oni</t>
  </si>
  <si>
    <t>Officier de Protocole Komori</t>
  </si>
  <si>
    <t>Shugenja Komori 1</t>
  </si>
  <si>
    <t>La Sagesse des Kamis</t>
  </si>
  <si>
    <t>Fraternité de la Fumée</t>
  </si>
  <si>
    <t>De la Fumée au Coup</t>
  </si>
  <si>
    <t>Danseur Sakura</t>
  </si>
  <si>
    <t>Danse des Boutons de Cerise</t>
  </si>
  <si>
    <t>Loups de Sairou</t>
  </si>
  <si>
    <t>Meute de Loups</t>
  </si>
  <si>
    <t>Art de la Guerre 5, Deux Armes à 2</t>
  </si>
  <si>
    <t>Plus Loin dans l'Aube</t>
  </si>
  <si>
    <t>Loups de Pierre</t>
  </si>
  <si>
    <t>Crocs de Pierre</t>
  </si>
  <si>
    <t>Vous pouvez porter une Arme à deux mains dans une seule mains sans pénalité. Si vous portez une arme Lourde dans chaque main votre malus est de -5. Ajoutez votre Rg. de maitrise à tous vos dégâts lorsque vous frappez avec une arme lourde.</t>
  </si>
  <si>
    <t xml:space="preserve"> Feu</t>
  </si>
  <si>
    <t>Tables d'Héritage des Clans Majeurs</t>
  </si>
  <si>
    <t>Humain</t>
  </si>
  <si>
    <t>Non-Humain</t>
  </si>
  <si>
    <t>Membre d'un clan Mineur</t>
  </si>
  <si>
    <t>Membre d'un clan Majeur</t>
  </si>
  <si>
    <t>Noh</t>
  </si>
  <si>
    <t>Kabuki</t>
  </si>
  <si>
    <t>Drame</t>
  </si>
  <si>
    <t>Scènes d'Action</t>
  </si>
  <si>
    <t>Abeilles</t>
  </si>
  <si>
    <t>Recherche</t>
  </si>
  <si>
    <t>Programmation</t>
  </si>
  <si>
    <t>Piratage</t>
  </si>
  <si>
    <t>Modelisation</t>
  </si>
  <si>
    <t>The art of making computers do what one wants</t>
  </si>
  <si>
    <t>Fab. d'armes ancien</t>
  </si>
  <si>
    <t>Fab. d'armures ancien</t>
  </si>
  <si>
    <t>Fab. d'armes moderne</t>
  </si>
  <si>
    <t>Fab. d'armures moderne</t>
  </si>
  <si>
    <t>(Al)Chimie</t>
  </si>
  <si>
    <t>Engin à roue</t>
  </si>
  <si>
    <t>Engin à chenilles</t>
  </si>
  <si>
    <t>Hoovercraft</t>
  </si>
  <si>
    <t>Bonus de +5 au total de tout jet de Conduite intervenant dans un Jet Coopératif ou Cumulatif de Compétence</t>
  </si>
  <si>
    <t>Design Naval</t>
  </si>
  <si>
    <t>Minage</t>
  </si>
  <si>
    <t>Moteurs</t>
  </si>
  <si>
    <t>Electronique</t>
  </si>
  <si>
    <t>Démolition</t>
  </si>
  <si>
    <t>Arme Lourde</t>
  </si>
  <si>
    <t>Arme de poing</t>
  </si>
  <si>
    <t>Fusil</t>
  </si>
  <si>
    <t>Dégainer une arme Petite ou Moyenne en AG au lieu de AS</t>
  </si>
  <si>
    <t>Dégainer une arme Petite ou Moyenne en AG au lieu de AS, Recharger une arme à feu requiert une AC de moins</t>
  </si>
  <si>
    <t>Dégainer une arme Petite ou Moyenne en AG au lieu de AS, Recharger une arme à feu requiert une AC de moins, Perception +1 en usant une arme à feu</t>
  </si>
  <si>
    <t>Engins marins</t>
  </si>
  <si>
    <t xml:space="preserve">The ability to operate vehicles. All characters are able to drive vehicles with automatic transmission unless his school or disadvantages imply otherwise, in which such a driving skill can be learned as a skill. </t>
  </si>
  <si>
    <t>Avions</t>
  </si>
  <si>
    <t>Hélicoptères</t>
  </si>
  <si>
    <t>En Combat</t>
  </si>
  <si>
    <t>Dockage</t>
  </si>
  <si>
    <t>The skill used when operating flying craft within planetary atmosphere</t>
  </si>
  <si>
    <t>Bonus de +5 au total de tout jet de Pilotage Atmosphérique intervenant dans un Jet Coopératif ou Cumulatif de Compétence</t>
  </si>
  <si>
    <t>The skill of controlling a spacecraft</t>
  </si>
  <si>
    <t>Bonus de +5 au total de tout jet de Pilotage Spatial intervenant dans un Jet Coopératif ou Cumulatif de Compétence</t>
  </si>
  <si>
    <t>Médico-légale</t>
  </si>
  <si>
    <t>Autopsie</t>
  </si>
  <si>
    <t>Jeux Vidéos</t>
  </si>
  <si>
    <t>Pose de Prothèse</t>
  </si>
  <si>
    <t>Bénédiction des Fortunes: Toyoyuke-Omikami</t>
  </si>
  <si>
    <t>Bénédiction des Fortunes: Kojin</t>
  </si>
  <si>
    <t>Emerald Stars</t>
  </si>
  <si>
    <t>Pdt 1h à votre arrivée: +1g0 en Etiquette et si vous mangez avec vos hôtes, +0g1 en Etiquette et +1g0 pour tous les autres tests Sociaux. Tout repas que vous partagez est toujours suffisant pour nourrir tout le monde présent à table.</t>
  </si>
  <si>
    <t>"+1g0 en Cérémonie du Thé et en Artisanat: Cuisine qui est une compétence Noble pour vous. Aucune cuisine où vous officiez ne prendra jamais feu.</t>
  </si>
  <si>
    <t>Arme Sacrée: Médiateur</t>
  </si>
  <si>
    <t>Arme à Feu Lourde 5k3; Incassable, -2 à la Réduction de la Cible</t>
  </si>
  <si>
    <t>Arme à Feu, Arme de Poing 4k2; Peut relancer son jet de dégâts une fois par session de jeu.</t>
  </si>
  <si>
    <t>Contexte du jeu:</t>
  </si>
  <si>
    <t>Contexte du jeu</t>
  </si>
  <si>
    <t>La Guerre du Destructeur</t>
  </si>
  <si>
    <t>L'Âge de l'Exploration</t>
  </si>
  <si>
    <t>La Course au Trône</t>
  </si>
  <si>
    <t>La Pluie de Sang</t>
  </si>
  <si>
    <t>Le Temps de l'Illumination</t>
  </si>
  <si>
    <t>La Guerre des Esprits</t>
  </si>
  <si>
    <t>L'Ere des Quatre Vents</t>
  </si>
  <si>
    <t>L'Âge des Conquêtes</t>
  </si>
  <si>
    <t>L'Aube de l'Empire</t>
  </si>
  <si>
    <t>Le Règne du Gozoku</t>
  </si>
  <si>
    <t>L'Ere du Cerf Blanc</t>
  </si>
  <si>
    <t>La Grande Famine</t>
  </si>
  <si>
    <t>Prélude au coup d'Etat du Scorpion</t>
  </si>
  <si>
    <t>La Guerre des Clans</t>
  </si>
  <si>
    <t>Les Héros de Rokugan</t>
  </si>
  <si>
    <t>Les Mille Ans de Ténèbres</t>
  </si>
  <si>
    <t>Alternatif</t>
  </si>
  <si>
    <t>La Dynastie Togashi</t>
  </si>
  <si>
    <t>Rokugan de Fer</t>
  </si>
  <si>
    <t>L'Herésie des 5 Anneaux</t>
  </si>
  <si>
    <t>Le Chrysanthème d'Acier</t>
  </si>
  <si>
    <t>Les 8 siècles de crise</t>
  </si>
  <si>
    <t>Le Retour de la Licorne</t>
  </si>
  <si>
    <t>L'Empire Disloqué</t>
  </si>
  <si>
    <t>Le Trône Assombri</t>
  </si>
  <si>
    <t>L'Empire Stellaire d'Emeraude</t>
  </si>
  <si>
    <t>Futur</t>
  </si>
  <si>
    <t>Vide=Rang à AtteindreX6xp</t>
  </si>
  <si>
    <t>Trait= Rang à AtteindreX4xp</t>
  </si>
  <si>
    <t>Compétence=Rang à AtteindreX1xp</t>
  </si>
  <si>
    <t>Achat de Spécialisation=2xp</t>
  </si>
  <si>
    <t>Arme Sacrée: Radiances jumelles</t>
  </si>
  <si>
    <t>Deux Armes à Feu, Armes de Poing 3k3; +1k0 aux dégâts si les deux sont tenues simultanément.</t>
  </si>
  <si>
    <t>Arme Sacrée: Indomptable X32</t>
  </si>
  <si>
    <t>Arme Sacrée: Tonnerre Distant</t>
  </si>
  <si>
    <t>Arme à Feu, Fusil; 4k2 +1 Rang d'honneur quand le personnage la ceint</t>
  </si>
  <si>
    <t>Armes à Feu, Fusil Sniper 3k2. Peut tirer sans malus jusqu'à 1200m</t>
  </si>
  <si>
    <t>Arme à Feu, Arme de Poing 3k2. Projectiles considérés comme de Jade contre les créatures souilées</t>
  </si>
  <si>
    <t>Arme Sacrée: Pistolet Démontable</t>
  </si>
  <si>
    <t>Arme à Feu, Arme de Poing, Petite, 4k2; +10 aux jets de dissimulation pour le cacher.</t>
  </si>
  <si>
    <t>Arme Sacrée: Sombre Radiance</t>
  </si>
  <si>
    <t>Katana 4g2, tout jet de dégâts qui explose donne 1pt de Souillure d'Outremonde (ND de 15 pour résister)</t>
  </si>
  <si>
    <t>Armes à Feu, Fusil 4g2, tout jet de dégâts qui explose donne 1pt de Souillure d'Outremonde (ND de 15 pour résister)</t>
  </si>
  <si>
    <t>Arme Sacrée: Arme à feu de classe Khol</t>
  </si>
  <si>
    <t>Armes à Feu, Fusil 3g3, +3 aux jets de dommages quand vous êtres Monté</t>
  </si>
  <si>
    <t>Cimeterre 3g3; +3 aux dommages quand vous êtes Monté</t>
  </si>
  <si>
    <t>Une fois par jour et par personne, vous pouvez dépenser un emplacement de sort de l'eau ou deux emplacements de sorts en tout autre élément pour guérir un Rang de blessure d'un Rokugani que vous touchez.</t>
  </si>
  <si>
    <t>Vous possédez un kobune</t>
  </si>
  <si>
    <t>Langue non humaine: Goryu</t>
  </si>
  <si>
    <t>Vous parlez sobrement le Goryu</t>
  </si>
  <si>
    <t>Langue non humaine: Ryunin</t>
  </si>
  <si>
    <t>Vous parlez sobrement le Ryunin</t>
  </si>
  <si>
    <t>Langue non humaine: Hanajin</t>
  </si>
  <si>
    <t>Vous parlez sobrement le Hanajin</t>
  </si>
  <si>
    <t>Langue non humaine: Scarabée</t>
  </si>
  <si>
    <t>Vous parlez sobrement le Scarabée</t>
  </si>
  <si>
    <t>Leçons du Passé</t>
  </si>
  <si>
    <t>Le personnage peut acheter des ancêtres pour 1pt de moins. +2g0 quand il utilise des compétences anciennes et aux dégâts des armes anciennes.</t>
  </si>
  <si>
    <t>Opportuniste</t>
  </si>
  <si>
    <t>Lorsque vous affrontez un adv. avec un rg d'honneur inférieur au vôtre, perdez 3pts d'honneur pour ajouter la différence de rang d'honneurs à vos jets de dégâts jusqu'à la fin du combat.</t>
  </si>
  <si>
    <t>Pratique</t>
  </si>
  <si>
    <t>Pour tout test de compétence Marchand non entrainé, vous êtes considéré comme ayant 1 rang dans la compétence</t>
  </si>
  <si>
    <t>Arme Sacrée: Mange Terre</t>
  </si>
  <si>
    <t>Arme Sacrée: Avantage du Tueur</t>
  </si>
  <si>
    <t>Tetsubo 4g3. Vous pouvez dépenser des Pvide pour augmenter les dégâts de cette arme comme un katana</t>
  </si>
  <si>
    <t>Masakari 3g3, +3 aux jets d'attaque contre les adversaires pris par surprise</t>
  </si>
  <si>
    <t>Arme Sacrée: Marteau de la Terre</t>
  </si>
  <si>
    <t>Dai Tsuchi 5g3, considéré comme de Jade contre les créatures souilées</t>
  </si>
  <si>
    <t>Arme Sacrée: Lame d'esprit</t>
  </si>
  <si>
    <t>Katana 4g2, ajoutez vos rangs de Connaisance des Royaumes Spirituels à vos jets d'attaque contre des créatures qui en sont issues</t>
  </si>
  <si>
    <t>Arme Sacrée: Jitte Doré</t>
  </si>
  <si>
    <t>Jitte, 2k1. Gagne une AG pour utiliser la manœuvre de désarmement</t>
  </si>
  <si>
    <t>Arme Sacrée: Lance céleste</t>
  </si>
  <si>
    <t>Katana 4g2; ajoute +5 au ND pour résister aux poisons enduisant la lame</t>
  </si>
  <si>
    <t>Yari 3k2; Peut être lancé avec précision jusqu'à 50m et fait alors des dégâts de 2g2</t>
  </si>
  <si>
    <t>Arme Sacrée: Don de Dame Doji</t>
  </si>
  <si>
    <t>Tessen 1g1; +1 Rang d'honneur quand le personnage la ceint en dehors des combats</t>
  </si>
  <si>
    <t>Arme Sacrée: Tessen Légendaire</t>
  </si>
  <si>
    <t>Tessen 1g1; Double tous les ND d'armure obtenus grâce à la compétence Eventails de Guerre du porteur</t>
  </si>
  <si>
    <t>No-Dachi 3g4; Gagne une AG pour utiliser la manœuvre d'attaque supplémentaire</t>
  </si>
  <si>
    <t>Arme Sacrée: Lame des tempêtes</t>
  </si>
  <si>
    <t>Wakizashi 3g2; Ajoutez votre Rg. D'Honneur aux jets d'Incantation de Sorts portant le mot-clef Tonnerre</t>
  </si>
  <si>
    <t>Arme Sacrée: Yumi de la Guêpe</t>
  </si>
  <si>
    <t>Yumi de force 4.  Gagne une AG pour utiliser la manœuvre de coup précis</t>
  </si>
  <si>
    <t>Arme Sacrée: Naginata Shiba</t>
  </si>
  <si>
    <t>Naginata 2g4; +3 à votre ND d'armure ou +6 à celui de la cible de votre manœuvre de Garde</t>
  </si>
  <si>
    <t>Arme Sacrée: Tranchant du Sombre Mirroir</t>
  </si>
  <si>
    <t>Katana 4g2: tout dé de dégât qui explose demande à la cible de réussir un jet de Réflexes de ND 15 ou elle est Aveuglée jusqu'à sa guérison</t>
  </si>
  <si>
    <t>Arme Sacrée: Lame Invisible</t>
  </si>
  <si>
    <t>Wakizashi 3g2; Gagnez un AG lorsque vous portez une attaque ou incantez un sort et que votre cible ne peut pas vous voir</t>
  </si>
  <si>
    <t>Arme Sacrée: Jitte Yogo</t>
  </si>
  <si>
    <t>Jitte, 2k1. Tout dé qui explose confère à la cible le désavantage Malchanceux mineur jusqu'à la fin du combat</t>
  </si>
  <si>
    <t>Arme Sacrée: Eventail Ide</t>
  </si>
  <si>
    <t>Tessen 1g1; Donne une AG sur tous les tests de Défense</t>
  </si>
  <si>
    <t>Arme Sacrée: Arc de cavalerie antique</t>
  </si>
  <si>
    <t>Arme Sacrée: Fendoir Utaku</t>
  </si>
  <si>
    <t>Naginata 3g3; Gagne une AG pour utiliser la manœuvre de coup précis, +1 AG si vous êtes Monté</t>
  </si>
  <si>
    <t>Arme Sacrée: Han-Kyu Chuda</t>
  </si>
  <si>
    <t>Han-Kyu de Force 3; Peut charger un sort de maho dans une flèche. Si la flèche atteint une cible durant les 5 rounds, elle subit le sort.</t>
  </si>
  <si>
    <t>Arme Sacrée: Lame d'obisienne</t>
  </si>
  <si>
    <t>Katana 4g2, considéré comme d'Osidienne pour vaincre la Réduction et/ou l'Invulnérabilité</t>
  </si>
  <si>
    <t>Arme Sacrée: Bisento de l'Araignée</t>
  </si>
  <si>
    <t>Bisento 6g3</t>
  </si>
  <si>
    <t>Passe-muraille</t>
  </si>
  <si>
    <t>Permet de passer à travers la pierre et la terre (mais ni métal ni bois ou papier) sans aucun effet au dixième de la vitesse normale</t>
  </si>
  <si>
    <t>Technophile</t>
  </si>
  <si>
    <t>Arme Sacrée: Arme de Siège Dévastator</t>
  </si>
  <si>
    <t>+1g0 pour utiliser ou réparer un engin ou appareil électronique moderne</t>
  </si>
  <si>
    <t>Vous gagnez 1 rang dans la compétence Jeu de votre choix. Votre pécule de départ est augmenté de 50%</t>
  </si>
  <si>
    <t>Entrainement en Gravité Zéro</t>
  </si>
  <si>
    <t>+1g0 quand vous agissez en gravité zéro et/ou pour résister aux effets de l'apensenteur.</t>
  </si>
  <si>
    <t>Amnésie Totale</t>
  </si>
  <si>
    <t>Vous débuttez le jeu sans école et tous vos tests de compétence sont considérés comme non entrainés.</t>
  </si>
  <si>
    <t>Amnésie</t>
  </si>
  <si>
    <t>Tant que vous n'aurez pas retrouvé la mémoire: Vos tests de compétence sont considérés comme non entrainés, vous ne bénéficiez plus ni d'ancêtres ni d'avantages ou désavantages sociaux ou mentaux et vous ne pouvez plus utiliser de technique d'école (et donc plus lancer de sort).</t>
  </si>
  <si>
    <t>Cruel</t>
  </si>
  <si>
    <t>-1g1 à tous vos tests Sociaux et d'Honneur</t>
  </si>
  <si>
    <t>Malédiction des Fortunes: Toyoyuke-Omikami</t>
  </si>
  <si>
    <t xml:space="preserve">Malédiction des Fortunes: Kojin </t>
  </si>
  <si>
    <t>-1g0 en Etiquette la 1ère heure. Si vous restez plus longtemps: -1g1 en Etiquette et -1g0 pour tous les autres tests Sociaux. Tout grain situé dans un rayon de 100mX vide autour de vous à tendence à dépérir.</t>
  </si>
  <si>
    <t>Toute nourriture que vous prépareriez sans prendre au minimum une A brulera. Tout repas préparé par vous sans au moins 4 A ne sera jamais appétissant.</t>
  </si>
  <si>
    <t>Sombre Secret: Mutation</t>
  </si>
  <si>
    <t>Vous possédez une terrible mutation qui marquerait votre perte si on la découvrait. -1g0 pour résister aux maladies et cancers.</t>
  </si>
  <si>
    <t>Sourd</t>
  </si>
  <si>
    <t>Vous ne pouvez pas entendre et tout test basé sur l'écoute échoue automatiquement. Lire sur les lèvres coûte -1 pour vous.</t>
  </si>
  <si>
    <t>Analphabète</t>
  </si>
  <si>
    <t>Matériel/Social</t>
  </si>
  <si>
    <t>Physique/Social</t>
  </si>
  <si>
    <t>Mêle-tout</t>
  </si>
  <si>
    <t>Malus de +5 au ND de tous vos tests de Courtisan et Etiquette</t>
  </si>
  <si>
    <t>Nihiliste</t>
  </si>
  <si>
    <t>Vous êtes cynique, désabusé et noyez votre chagrin dans le saké ou l'opium. Vous n'êtes pas encore dépendant. Quoique…</t>
  </si>
  <si>
    <t>Vieux</t>
  </si>
  <si>
    <t>Vénérable</t>
  </si>
  <si>
    <t>+5 au ND de tous vos tests de compétences et de traits basés sur l'Agilité et la Force</t>
  </si>
  <si>
    <t>+10 au ND de tous vos tests de compétences et de traits basés sur l'Agilité et la Force. Votre Eau est réduite de 1 pour le mvmt.</t>
  </si>
  <si>
    <t>Paranoïaque</t>
  </si>
  <si>
    <t>Le MJ peut demander un test de Volonté de ND 15. Si le test échoue il faut dépenser un Pvide pour faire confiance à qqun.</t>
  </si>
  <si>
    <t>Technophobe</t>
  </si>
  <si>
    <t>Technophobe Total</t>
  </si>
  <si>
    <t>-1g0 à tout test visant à utiliser un appareil moderne électronique. Sait manipuler une voiture OU un ordi mais pas les deux</t>
  </si>
  <si>
    <t>-3g0 à tout test visant à utiliser un appareil moderne électronique.Doit réussir un test d'Intelligence pour allumer un appareil.</t>
  </si>
  <si>
    <t>Vaniteux</t>
  </si>
  <si>
    <t>Test de Volonté de ND 25 chaque matin ou perdre son temps. Malus de -1g0 aux tests sociaux contre les personnes qui ne vous ont pas complimenté.</t>
  </si>
  <si>
    <t>Mal de l'Espace</t>
  </si>
  <si>
    <t>Malus de -0g2 à tous les test quand vous êtes en apesenteur et pour résister au vertige</t>
  </si>
  <si>
    <t>Le Règne de l'Empereur Etincelant</t>
  </si>
  <si>
    <t>1er siècle</t>
  </si>
  <si>
    <t>Entrainé par les Watanu</t>
  </si>
  <si>
    <t>Bénédiction des Sept Fortunes pour -1XP, AG dans vos Tests Sociaux avec des Moines alignés à cette fortune</t>
  </si>
  <si>
    <t>Vous récupérez tous vos points de vie après 4h de repos au lieu de 8h</t>
  </si>
  <si>
    <t>Récupération:</t>
  </si>
  <si>
    <t>Remède médical: Prothèse oculaire</t>
  </si>
  <si>
    <t>Remède médical: Prothèse oculaire: Rayons X</t>
  </si>
  <si>
    <t>Remède médical: Prothèse oculaire: Vision longue</t>
  </si>
  <si>
    <t>Remède médical: Prothèse oculaire IR et UV</t>
  </si>
  <si>
    <t>Remède médical: Prothèse de jambe: Vibrations</t>
  </si>
  <si>
    <t>Remède médical: Prothèse de bras hydraulique</t>
  </si>
  <si>
    <t>Vous permet de nier un désavantage Estropié. Trait de Perception augmenté de +1.</t>
  </si>
  <si>
    <t xml:space="preserve">Vous permet de nier un désavantage Aveugle. Permet de percevoir en plus les Infra-Rouge et les U.V </t>
  </si>
  <si>
    <t>Vous permet de nier un désavantage Aveugle. Permet de percevoir normalement à deux fois la distance normale</t>
  </si>
  <si>
    <t>Vous permet de nier un désavantage Aveugle. Permet de percevoir en plus à travers la matière par rayons X</t>
  </si>
  <si>
    <t>Vous permet de nier un désavantage Aveugle.</t>
  </si>
  <si>
    <t>Vous permet de nier un désavantage Estropié.</t>
  </si>
  <si>
    <t>Remède médical: Prothèse auditive</t>
  </si>
  <si>
    <t>Remède médical: Prothèse auditive normale</t>
  </si>
  <si>
    <t>Vous permet de nier un désavantage Sourd</t>
  </si>
  <si>
    <t>Vous permet de nier un désavantage Sourd. Trait de Perception augmenté de +1.</t>
  </si>
  <si>
    <t>Remède médical: Vocaliseur</t>
  </si>
  <si>
    <t>Remède médical: Vocaliseur amélioré</t>
  </si>
  <si>
    <t>Vous permet de parler même si vous avez été rendu muet</t>
  </si>
  <si>
    <t>Remède médical: Stimulateur régénérant</t>
  </si>
  <si>
    <t>Vous permet de nier un désavantage Blesssure Permanente</t>
  </si>
  <si>
    <t>Remède médical: Stimulateur régénérant amélioré</t>
  </si>
  <si>
    <t>Remède médical: Stimulateur analgésique</t>
  </si>
  <si>
    <t>Vous permet de nier un désavantage Douillet</t>
  </si>
  <si>
    <t>Remède médical: Stimulateur analgésique amélioré</t>
  </si>
  <si>
    <t>Remède médical: Régulateur Neural</t>
  </si>
  <si>
    <t>Vous permet de nier un désavantage Epileptique</t>
  </si>
  <si>
    <t>Remède médical: Régulateur Neural amélioré</t>
  </si>
  <si>
    <t>Remède médical: Stimulateur immunitaire</t>
  </si>
  <si>
    <t>Vous permet de nier un désavantage Fragile</t>
  </si>
  <si>
    <t>Remède médical: Neurogyroscpoe</t>
  </si>
  <si>
    <t>Vous permet de nier un désavantage Mal de l'espace</t>
  </si>
  <si>
    <t>Remède médical: Prothèse caudale</t>
  </si>
  <si>
    <t>Vous permet de nier un désavantage Queue Manquante et vous donne l'avantage Queue Habile</t>
  </si>
  <si>
    <t>Remède médical: Prothèse normale de membre</t>
  </si>
  <si>
    <t>Vous permet de nier un désavantage Blesssure Permanente. Donne l'avantage Rétablissement Rapide</t>
  </si>
  <si>
    <t>Vous permet de parler même si vous avez été rendu muet. Donne l'avantage Voix Mélodieuse</t>
  </si>
  <si>
    <t>Vous permet de nier un désavantage Estropié. Donne l'Avantage Poings de Pierre</t>
  </si>
  <si>
    <t>Materiel</t>
  </si>
  <si>
    <t>Vous permet de nier un désavantage Epileptique. Donne l'Avantage Excellente Mémoire</t>
  </si>
  <si>
    <t>Physique/Matériel</t>
  </si>
  <si>
    <t>Gagnez les bénéfices de Maitrise des Compétences Courtisan et Art de la guerre selon lequel des 2 est le plus haut</t>
  </si>
  <si>
    <t>Spécial (Augmente la clarté des infos)</t>
  </si>
  <si>
    <t>Ce sort cible un appareil électrique et interroge les esprits qui s'y trouvent. Permet de connaitre une donnée qui y aurait été saisie, avoir l'image d'un utilisateur ou d'un destinataire,…</t>
  </si>
  <si>
    <t>Durée (+5 Rounds), Spécial (+1g0 par 2A)</t>
  </si>
  <si>
    <t>Ce sort crée un lien entre une machine électronique et une personne qui se comprennent alors mutuellement. Tant que perdure ce lien, +1g0 à tout test visant à utiliser cet appareil. Ne fonctionne pas sur un objet simplement mécanique (outil, arme à feu, lames,...)</t>
  </si>
  <si>
    <t>Cœur de Pierre</t>
  </si>
  <si>
    <t>Durée (+5 Rounds), Spécial (+5 au bonus d'armure)</t>
  </si>
  <si>
    <t>1m</t>
  </si>
  <si>
    <t>Durée (+5 Rounds), Spécial  (-5 au ND de défense)</t>
  </si>
  <si>
    <t>Tout appareil électronique se trouvant dans l'aire d'influence de l'aura du shugenja est innopérant durant 1d6 minutes. Les appareils les plus délicats comme les ordinateurs doivent réussir un test de ND déterminé par le MJ ou risquer d'être endommagés de manière permanante.</t>
  </si>
  <si>
    <t>Lait de Daikoku</t>
  </si>
  <si>
    <t>Tant que le lanceur du sort est en contact avec un appareil électrique, il peut alimenter celui-ci en énergie avec sa propre énergie vitale au prix d'une blessure par round d'utilisation. Cette blessure ne peut pas être prévenue par un kiho, un sort, un ancêtre, une technique ni un avantage.</t>
  </si>
  <si>
    <t>Spécial (+5 au ND pour résister)</t>
  </si>
  <si>
    <t>Test d'opposition de la Terre contre la cible. En cas de succès, permet de faire fusioner de la matière vivante avec un appareil mécanique. Celui-ci ne demande plus de munitions ni d'énergie ou combustible pour fonctionner. Les deux se réparent par des soins classiques.</t>
  </si>
  <si>
    <t>Torsion de l'Âme</t>
  </si>
  <si>
    <t>Durée (+1 Round), Spécial</t>
  </si>
  <si>
    <t>Samurai, Petite</t>
  </si>
  <si>
    <t>Samurai, Moyenne</t>
  </si>
  <si>
    <t>Demande une Force minimale de 4 pour être utilisée.</t>
  </si>
  <si>
    <t>Dégâts des armes à distance</t>
  </si>
  <si>
    <t>Cape Tout terrains</t>
  </si>
  <si>
    <t>+5 au ND de tout jet visant à résister au climat</t>
  </si>
  <si>
    <t>Filtre l'Air pendant 1h. Remplacer le filtre demande un test d'Ingéniérie/Intelligence de ND 15</t>
  </si>
  <si>
    <t>Diminue le ND de crochetage de portes de sécurité de 10</t>
  </si>
  <si>
    <t>Moyen</t>
  </si>
  <si>
    <t>Lanterne</t>
  </si>
  <si>
    <t/>
  </si>
  <si>
    <t>8km</t>
  </si>
  <si>
    <t>Murmures de la ville</t>
  </si>
  <si>
    <t>Portée (+3,2km), Durée (+5 min), Spécial (+1 question par 2A)</t>
  </si>
  <si>
    <t>Ce sort permet d'invoquer depuis Tengoku une fortune qui se manifestera à travers une icône d'un lieu sacré qui lui est réservé. Elle répondra aux questions du shugenja tant que celui-ci fait preuve d'un profond respect. Il ne peut être utilisé qu'une fois par mois sous peine de déclencher la fureur de Tengoku.</t>
  </si>
  <si>
    <t>En réussissant un test d'opposition d'Air contre la cible, le shugenja peut pénétrer l'esprit de celle-ci, y lire ses pensées et y imposer les siennes. Il faut un contact visuel direct sinon le sort s'interrompt et connaître le nom réel de la personne ciblée. Si le nom est incorrect le ND d'incantation augmente de +10.</t>
  </si>
  <si>
    <t>3,2 km</t>
  </si>
  <si>
    <t>Portée (+1,6 km), Spécial (+1 personne voyageant par 2A)</t>
  </si>
  <si>
    <t>Vous permet de voyager à la vitesse de la lumière entre 2 emplacements reliés par un réseau électrique physique. Vous disparaissez avec tous votre équipement porté en une forme d'énergie pure et vous rematerialisez en quelques secondes à votre destination. Vous devez avoir été à l'emplacement de votre destination par le passé et le réseau doit être alimenté en énergie lorsque vous utilisez le sort ou vous réapparaîssez au point le plus proche qui remplit ces conditions.</t>
  </si>
  <si>
    <t>Hist. Grue</t>
  </si>
  <si>
    <t>Kobo Ichi-Kai</t>
  </si>
  <si>
    <t>Himisuheiki</t>
  </si>
  <si>
    <t>Kinenhi</t>
  </si>
  <si>
    <t>Marumojutsu</t>
  </si>
  <si>
    <t>Shiotome-Do</t>
  </si>
  <si>
    <t>Chisaijutsu</t>
  </si>
  <si>
    <t>Nagai Michinori</t>
  </si>
  <si>
    <t>Hitsu-Do</t>
  </si>
  <si>
    <t>Mizu-Do</t>
  </si>
  <si>
    <t>Sagasu-Do</t>
  </si>
  <si>
    <t>Conduite</t>
  </si>
  <si>
    <t>Pilotage Atmosphèrique</t>
  </si>
  <si>
    <t>Pilotage Spatial</t>
  </si>
  <si>
    <t>Informatique</t>
  </si>
  <si>
    <t>Lezam</t>
  </si>
  <si>
    <t>Shigeto-yumi</t>
  </si>
  <si>
    <t>Exotic Arms Guide</t>
  </si>
  <si>
    <t>Balliste (Oyumi)</t>
  </si>
  <si>
    <t>Bélier de Siège (Ohitsuji)</t>
  </si>
  <si>
    <t>Catapulte (Tosekiki)</t>
  </si>
  <si>
    <t>Kopesh</t>
  </si>
  <si>
    <t>Kopesh (Cimeterre lourd Senpet)</t>
  </si>
  <si>
    <t>Chakram</t>
  </si>
  <si>
    <t>Peut être projeté jusqu'à 15m</t>
  </si>
  <si>
    <t>Rapière</t>
  </si>
  <si>
    <t>Niveau de souillure</t>
  </si>
  <si>
    <t>Numérologie</t>
  </si>
  <si>
    <t>Ecritures Gaijins</t>
  </si>
  <si>
    <t>Codes anciens</t>
  </si>
  <si>
    <t>Design</t>
  </si>
  <si>
    <t>Moteurs ioniques</t>
  </si>
  <si>
    <t>A basic understanding of how to fix and build ships and vehicles.</t>
  </si>
  <si>
    <t>Bonus de +5 au total de tout jet d'Ingénierie intervenant dans un Jet Coopératif ou Cumulatif de Compétence</t>
  </si>
  <si>
    <t>Peut opérer les armes d'un engin avec la moitié de son équipage,</t>
  </si>
  <si>
    <t>Peut opérer les armes d'un engin avec les 3/4 de son équipage,</t>
  </si>
  <si>
    <t>Ingénierie Spatiale</t>
  </si>
  <si>
    <t>Biba</t>
  </si>
  <si>
    <t>Castor</t>
  </si>
  <si>
    <t>Kato</t>
  </si>
  <si>
    <t>Murakumo</t>
  </si>
  <si>
    <t>Shouko</t>
  </si>
  <si>
    <t>Vautour</t>
  </si>
  <si>
    <t>Risu</t>
  </si>
  <si>
    <t>Ecureuil</t>
  </si>
  <si>
    <t>Karaushi</t>
  </si>
  <si>
    <t>Yack</t>
  </si>
  <si>
    <t>Grenouille</t>
  </si>
  <si>
    <t>Technocrate Biba</t>
  </si>
  <si>
    <t>Technologie</t>
  </si>
  <si>
    <t>Art de la Magie 2, Cryptographie (Chiffrage), Connaissance (Théologie), Informatique, Méditation, une Compétence Noble au choix</t>
  </si>
  <si>
    <t>Vêtements délicats, Wakizashi, Une arme au choix, Etui à parchemin, Nécéssaire de Voyage</t>
  </si>
  <si>
    <t>Découvrir les Kamis de l'électricité</t>
  </si>
  <si>
    <t>Vous pouvez en AS dépenser autant d'Emplacements de sorts d'Air que vous le souhaitez pour donner un bonus de +1g1 à un test faisant intervenir de la technologie (informatique, Cryptographie, Pilotage, Conduite). Vous gagnez une AG à tous les sorts de Technologie</t>
  </si>
  <si>
    <t>Voyage, Technologie</t>
  </si>
  <si>
    <t>Ryoshun</t>
  </si>
  <si>
    <t>Porter une armure de cavalerie augmente le ND de tout test basé sur Agilité ou Réflexes de 5 sauf en étant Monté. Bonus de +8 suppl. au ND d'armure une fois Monté. Considéré comme Armure Lourde.</t>
  </si>
  <si>
    <t>Bushi Bayushi, Bushi Hiruma, Bushi Mirumoto, Bushi Shiba</t>
  </si>
  <si>
    <t>Bushi Akodo, Bushi Kakita, Bushi Shinjo</t>
  </si>
  <si>
    <t>Bushi Daigotsu, Bushi Hida, Bushi Moto</t>
  </si>
  <si>
    <t>Courtisan Ryoshun</t>
  </si>
  <si>
    <t>Plans Spirituels</t>
  </si>
  <si>
    <t>Calligraphie, Conn.: Royaumes Spirituels (Un au choix), Courtisan (Commérage), Etiquette (Courtoisie), Méditation, Sincérité, une Compétence Noble au choix</t>
  </si>
  <si>
    <t>Vêtements Légers, Wakisashi, Nécéssaire de Calligraphie, Nécéssaire de Voyage</t>
  </si>
  <si>
    <t>Touché par les Esprits</t>
  </si>
  <si>
    <t>Répendre la Volonté des Esprits</t>
  </si>
  <si>
    <t>Plus Loin dans la Connaissance</t>
  </si>
  <si>
    <t>Maudit par les Réalités</t>
  </si>
  <si>
    <t>Un avec les Esprits</t>
  </si>
  <si>
    <t>Caresse des Royaumes Spirituels: Uragiri-Do</t>
  </si>
  <si>
    <t>Little Truths</t>
  </si>
  <si>
    <t>+2g0 en Perception dans les Tests Opposés à Discrétion et Passe-Passe</t>
  </si>
  <si>
    <t>Maudit par les Royaumes Spirituels: Uragiri-Do</t>
  </si>
  <si>
    <t>Le ND de tout jet coopératif auquel vous participez est augmenté de 10 à cause de votre paranoïa.</t>
  </si>
  <si>
    <t>Vous êtes promis(e) à une personne ou déjà marié(e) et cette situation vous contrarie tous les deux.</t>
  </si>
  <si>
    <t>Honteux</t>
  </si>
  <si>
    <t>Vous devez déclarer au moins une Augmentation avant de pouvoir bénéficier d'une Augmentation Gratuite</t>
  </si>
  <si>
    <t>Little Truths/Emerald Stars</t>
  </si>
  <si>
    <t>Le personnage ne sait ni lire ni écrire même pour les langues pour lesquelles vous avez un avantage Langue</t>
  </si>
  <si>
    <t>Réduire en Cendres</t>
  </si>
  <si>
    <t>30 m³</t>
  </si>
  <si>
    <t>Croissance Fulgurante</t>
  </si>
  <si>
    <t>Rayon de 3m centré sur le shugenja ou une créature végétale</t>
  </si>
  <si>
    <t>Portée (+3m), Cible (+3m²)</t>
  </si>
  <si>
    <t xml:space="preserve">Toutes les plantes dans la zone d'effet subissent l'équivalent d'un mois de croissance ce qui augmente la difficulté du terrain d'un cran. Plus de trois lancer consécutifs sur une même zone tue toute végétation pour un an. Lancé sur une créature végétale, augmente de 1 son Anneau de Terre (et ses blessures) jusqu'à deux fois. </t>
  </si>
  <si>
    <t>Chijiriki</t>
  </si>
  <si>
    <t>Shobo</t>
  </si>
  <si>
    <t>Petite, Moine</t>
  </si>
  <si>
    <t>Tout avantage ou technique à Mains Nues peut être utilisée avec un Shobo</t>
  </si>
  <si>
    <t>Tankoji</t>
  </si>
  <si>
    <t>2</t>
  </si>
  <si>
    <t>Aveugle la 1ère personne touchée à moins de réussir un ND d'Intelligence de ND 20</t>
  </si>
  <si>
    <t>Demande une Force minimale de 5 pour être utilisée.</t>
  </si>
  <si>
    <t>Lajatang</t>
  </si>
  <si>
    <t>Bâton Trois-Section (Sansetsukon)</t>
  </si>
  <si>
    <t>Tashi</t>
  </si>
  <si>
    <t>+1g0 si vous êtes Monté contre les adversaire non-Montés</t>
  </si>
  <si>
    <t>Style de l'Eventail Subjugant</t>
  </si>
  <si>
    <t>Les Manœuvres de Désarmement et de Feinte requièrent une A de moins avec un Eventail de Guerre.</t>
  </si>
  <si>
    <t>Localisation des dégâts</t>
  </si>
  <si>
    <t>Rang de Destinée</t>
  </si>
  <si>
    <t>Ebriété</t>
  </si>
  <si>
    <t>Acteur Akodo</t>
  </si>
  <si>
    <t>Acteur de cinéma d'Action</t>
  </si>
  <si>
    <t>Armes à Feu, Comédie (Films d'Action), Conduite, Défense, Jiujitsu,Kenjitsu,  une compétence Noble ou de Bugei au choix</t>
  </si>
  <si>
    <t>Programmeur Kakita</t>
  </si>
  <si>
    <t>Etiquette, Informatique 2, Méditation, 3 compétences Nobles au choix</t>
  </si>
  <si>
    <t>Vêtements simples, Ordinateur Portable, Tanto, Nécéssaire de Voyage</t>
  </si>
  <si>
    <t>Commerçant du Marché Noir Rakuda</t>
  </si>
  <si>
    <t>Marché Noir</t>
  </si>
  <si>
    <t>Armes à Feu,Commerce, Connaissance générale: Droit, Discrétion, Enquête, Jeu , Sincérité</t>
  </si>
  <si>
    <t>Vêtements Simples, Manteau, Couteau, une petite arme à feu, un véhicule terrestre, Nécéssaire de Voyage</t>
  </si>
  <si>
    <t>Yobimbo du Scorpion</t>
  </si>
  <si>
    <t>Armes à Feu, Conduite, Courtisan (Intimidation), Defense 2, Discrétion, Jiujitstu</t>
  </si>
  <si>
    <t>Officier de Police Toku</t>
  </si>
  <si>
    <t>Police Intérieure</t>
  </si>
  <si>
    <t>Armes à Feu, Art de la Guerre, Conduite, Connaissance générale: Droit, Défense, Enquête, une compétence de Bugei au choix</t>
  </si>
  <si>
    <t>Pistolero Usagi</t>
  </si>
  <si>
    <t>Duels aux armes à feu, Films d'action</t>
  </si>
  <si>
    <t>Artisanat Noble: Armes à feu, Athlétisme, Armes à feu, Comédie, Conduite, Kenjutstsu, une compétence Noble ou de Bugei au choix</t>
  </si>
  <si>
    <t>Daisho, Arme à feu de poing, Armure légère, une arme au choix, Vêtements Simples, Nécéssaire de Voyage</t>
  </si>
  <si>
    <t>Armure légère, Arme à Feu, Vêtements Simples, 2 armes au choix, Nécéssaire de Voyage</t>
  </si>
  <si>
    <t>Arme à feu de poing, Armure légère ou lourde, Matraque, Vêtements Simples, une arme au choix, Nécéssaire de Voyage</t>
  </si>
  <si>
    <t>Marine Daidoji</t>
  </si>
  <si>
    <t>Jiujutsu  3</t>
  </si>
  <si>
    <t>Garde de la Flotte isawa</t>
  </si>
  <si>
    <t>Pilotage Spatial 3</t>
  </si>
  <si>
    <t>Contremaitre Kaiu</t>
  </si>
  <si>
    <t>1 ou 3</t>
  </si>
  <si>
    <t>Ingénieur Kaiu 3, Maître de Siège Kaiu 1</t>
  </si>
  <si>
    <t>Art de la Guerre 4, Pilotage Spatial 5</t>
  </si>
  <si>
    <t xml:space="preserve">Test d'Art de la Guerre/ Intelligence de ND 25 au début d'un combat si vous êtes le commandant pour conférer à votre vaisseau une résistance égale à votre rang en Pilotage Spatial X2 (ou X4 s'il est de facture Kaiu). </t>
  </si>
  <si>
    <t>Cherche-roche</t>
  </si>
  <si>
    <t>N'importe quelle technique de Shugenja de Rang 5</t>
  </si>
  <si>
    <t>Connaissance générale: Eléments 4</t>
  </si>
  <si>
    <t>Tout sort de la Terre voit son ND diminué de 10, tout sort Non-Terre voit son ND augmenté de 10. Cela s'ajoute aux Déficiences et Affinités.</t>
  </si>
  <si>
    <t>Une Âme de Tonerre</t>
  </si>
  <si>
    <t>On ne vit qu'une Fois</t>
  </si>
  <si>
    <t>Frapper sans Frapper</t>
  </si>
  <si>
    <t>Le Champion du Peuple</t>
  </si>
  <si>
    <t>Le Spectacle doit continuer</t>
  </si>
  <si>
    <t>La Nouvelle Voie</t>
  </si>
  <si>
    <t>Murs d'Information</t>
  </si>
  <si>
    <t>Le Temps est l'Essence</t>
  </si>
  <si>
    <t>Les Programmes forment ma Réalité</t>
  </si>
  <si>
    <t>Vous pouvez ajouter +1 pour chaque rang que vous avez en Informatique au résultat de tous les dés que vous gardez pour vos jets d'Informatique</t>
  </si>
  <si>
    <t>Lorsque vous effectuez une recherche sur le YNN, vous êtes considéré comme ayant un rang dans la Conaissance adéquate (ou +1 rang si vous avez déjà cette connaissance). Cette recherche vous prends 10 (-Rang en Informatique) minutes.</t>
  </si>
  <si>
    <t>Toute opération effectuée sur un ordinateur ne vous demande plus que la moitié du temps normal requis (en incluant les techniques de Rang)</t>
  </si>
  <si>
    <t>Vous réussisses automatiquement tous vos tests d'Informatique sauf si vous souhaitez déclarer des Augmentations.</t>
  </si>
  <si>
    <t>Par les Fortunes</t>
  </si>
  <si>
    <t>Oeuil de la Nuit</t>
  </si>
  <si>
    <t>Des Mots qui mordent</t>
  </si>
  <si>
    <t>Enfant de Daikoku</t>
  </si>
  <si>
    <t>Au-delà des Voiles</t>
  </si>
  <si>
    <t>Ajoutez votre Rang de Perception à tous vos tests de Commerce ou de détection d'une embuscade.</t>
  </si>
  <si>
    <t>Vous pouvez dépenser un Pvide en AS et réussir un test de Sincérité/Intuition pour influencer un adversire lors d'un marchandage (voir le détail des effets EoES p.63)</t>
  </si>
  <si>
    <t>Les tests de Sincérité et tous les effets magiques qui permettent de détecter les mensonges sont sans effet sur vous. Vous pouvez faire un jet d'Enquête/Perception contre Sincérité/Intuition vous détecter un mensonge par A lorsqu'on tente de vous mentir.</t>
  </si>
  <si>
    <t>Lorsque vous faites des tests opposés de Commerce ou Sincérité votre adversaire son trait requis est égal à son trait ayant la plus faible valeur.</t>
  </si>
  <si>
    <t>Toshigo Shojo</t>
  </si>
  <si>
    <t>La Loyauté c'est Tout</t>
  </si>
  <si>
    <t>Mort de Subtilité</t>
  </si>
  <si>
    <t>Ma Vie pour mon Daimyo</t>
  </si>
  <si>
    <t>Fureur du Yojimbo</t>
  </si>
  <si>
    <t>Juste pour Vous</t>
  </si>
  <si>
    <t>Ajoutez le rang de Gloire de la personne que vous protégez au ND pour vous toucher et à vos test d'Initiative</t>
  </si>
  <si>
    <t>Vous gagnez une AG à tous vos tests d'Intimidation et vous pouvez ajouter votre rang d'Intimidation à tous vos tests d'attaque et de dégâts.</t>
  </si>
  <si>
    <t>Tant que vous êtes dans un rayon de 3m de la personne que vous protégez vous pouvez dépenser un Pvide en AS pour rediriger toute attaque qui la touche vers vous.</t>
  </si>
  <si>
    <t xml:space="preserve">Vous pouvez effectuer une attaque à Mains Nues ou avec une arme Samourai au prix d'une AS au lieu d'une AC avec une Petite Arme </t>
  </si>
  <si>
    <t>L'Appel du Devoir</t>
  </si>
  <si>
    <t>Force de Volonté</t>
  </si>
  <si>
    <t>Pour l'Empire</t>
  </si>
  <si>
    <t>Protéger et Servir</t>
  </si>
  <si>
    <t>Au-dessus et Au-delà</t>
  </si>
  <si>
    <t>Tout test coopératif visant à interférer avec vos actions de service voit son ND augmenté de +10. Tout test coppératif visant à aider vos actions de service voit son ND diminué de -10.</t>
  </si>
  <si>
    <t>Vous pouvez dépenser deux PVide en AS pour entreprendre une AC supplémentaire ce round. Lancez une Initiative séparée pour cette action.</t>
  </si>
  <si>
    <t>Tant que vous agissez en respectant la loi vous ne perdez aucun honneur en usant de compétences Dégradantes pour résoudre une enquête. Vous pouvez tenter un test de Connaissances:Loi/Intelligence contre le statut de votre cibleX5 pour nier les conséquences de vos actes.</t>
  </si>
  <si>
    <t>La Voie du Flingue</t>
  </si>
  <si>
    <t>A Midi</t>
  </si>
  <si>
    <t>Danse de Mort</t>
  </si>
  <si>
    <t>Pluie de Mort</t>
  </si>
  <si>
    <t>Des balles guidées par les Kamis</t>
  </si>
  <si>
    <t>Ajoutez votre rang d'Ecole à tous vos tests de Comédie, Intimidation et à tous vos tests de duels impliquant des armes à feu.</t>
  </si>
  <si>
    <t>Vous pouvez effectuer une attaque à Mains Nues, au Couteau ou avec des Armes "Samurai" au prix d'une AS au lieu d'une AC</t>
  </si>
  <si>
    <t>Modélisation</t>
  </si>
  <si>
    <t>En combat</t>
  </si>
  <si>
    <t>Fab. d'armes modernes</t>
  </si>
  <si>
    <t>Fab. d'armures modernes</t>
  </si>
  <si>
    <t>Massue d'Ogre</t>
  </si>
  <si>
    <t>Guitare électrique</t>
  </si>
  <si>
    <t>Monte</t>
  </si>
  <si>
    <t>Provinces</t>
  </si>
  <si>
    <t xml:space="preserve">Agasha </t>
  </si>
  <si>
    <t>Horiuchi</t>
  </si>
  <si>
    <t>Origines</t>
  </si>
  <si>
    <t>Origine:</t>
  </si>
  <si>
    <t>Otosan Ushi</t>
  </si>
  <si>
    <t>Toshi Ranbo</t>
  </si>
  <si>
    <t>Second City</t>
  </si>
  <si>
    <t>Province de Garanto</t>
  </si>
  <si>
    <t>Province de Juuin</t>
  </si>
  <si>
    <t>Province de Kyoukan</t>
  </si>
  <si>
    <t xml:space="preserve">Province d'Ishibei </t>
  </si>
  <si>
    <t>Province d'Ishigaki</t>
  </si>
  <si>
    <t>Province d'Hissori</t>
  </si>
  <si>
    <t>Province d'Ienikaeru</t>
  </si>
  <si>
    <t>Province de Kinbou</t>
  </si>
  <si>
    <t>Province de Hokufuu</t>
  </si>
  <si>
    <t>Province de Yoake</t>
  </si>
  <si>
    <t>Province de Kuda</t>
  </si>
  <si>
    <t>Province de Midakai</t>
  </si>
  <si>
    <t>Province d'Adauchi</t>
  </si>
  <si>
    <t>Province de Toritaka</t>
  </si>
  <si>
    <t>Province de Sunda Mizu</t>
  </si>
  <si>
    <t>Province de Junkin</t>
  </si>
  <si>
    <t>Province de Shinpi</t>
  </si>
  <si>
    <t>Province de Kaitou</t>
  </si>
  <si>
    <t>Province de Sinjutsu</t>
  </si>
  <si>
    <t>Province de Chokai</t>
  </si>
  <si>
    <t>Province de Gaien</t>
  </si>
  <si>
    <t>Province de Yakeishi</t>
  </si>
  <si>
    <t>Province de Toshibu</t>
  </si>
  <si>
    <t>Province de Kousou</t>
  </si>
  <si>
    <t>Province de Sabishii</t>
  </si>
  <si>
    <t>Province de Kinenkan</t>
  </si>
  <si>
    <t>Province de Mucha</t>
  </si>
  <si>
    <t>Province d'Anshin</t>
  </si>
  <si>
    <t>Province de Wakiaiai</t>
  </si>
  <si>
    <t>Province de Shinkyou</t>
  </si>
  <si>
    <t>Province de Kosaten</t>
  </si>
  <si>
    <t>Province d'Hayaku</t>
  </si>
  <si>
    <t>Province d'Ichigun</t>
  </si>
  <si>
    <t>Province de Kazenmuketsu</t>
  </si>
  <si>
    <t>Province d'Oyomesan</t>
  </si>
  <si>
    <t>Province d'Itoshii</t>
  </si>
  <si>
    <t>Province d'Umoeru</t>
  </si>
  <si>
    <t>Province de Kougen</t>
  </si>
  <si>
    <t>Province de Takuetsu</t>
  </si>
  <si>
    <t>Province de Nanhan</t>
  </si>
  <si>
    <t>Province de Gyousha</t>
  </si>
  <si>
    <t>Province de Kishou</t>
  </si>
  <si>
    <t>Province d'Ashinagabachi</t>
  </si>
  <si>
    <t>Province d'Enzan</t>
  </si>
  <si>
    <t>Province de Chuuhan</t>
  </si>
  <si>
    <t>Province de Douro</t>
  </si>
  <si>
    <t>Province de Shaiga</t>
  </si>
  <si>
    <t>Province de Seppun</t>
  </si>
  <si>
    <t>Province d'Ujidera</t>
  </si>
  <si>
    <t>Province d'Eijitsu</t>
  </si>
  <si>
    <t>Province de Gakko</t>
  </si>
  <si>
    <t>Province de Shinten</t>
  </si>
  <si>
    <t>Province de Kaihi</t>
  </si>
  <si>
    <t>Province de Zenzan</t>
  </si>
  <si>
    <t>Province de Kawabi</t>
  </si>
  <si>
    <t>Province d'Ikoku</t>
  </si>
  <si>
    <t>Province d'Enkaku</t>
  </si>
  <si>
    <t>Province d'Aishou</t>
  </si>
  <si>
    <t>Province d'Haisho</t>
  </si>
  <si>
    <t>Province de Kouryo</t>
  </si>
  <si>
    <t>Province de Bugaisha</t>
  </si>
  <si>
    <t>Province d'Isei</t>
  </si>
  <si>
    <t>Province de Manaka</t>
  </si>
  <si>
    <t>Province de Tsuriai</t>
  </si>
  <si>
    <t>Province de Koubaku</t>
  </si>
  <si>
    <t>Province de Senseki</t>
  </si>
  <si>
    <t>Province de Gisei</t>
  </si>
  <si>
    <t>Province d'Eiyu</t>
  </si>
  <si>
    <t>Province de Shirani</t>
  </si>
  <si>
    <t>Province d'Ikota</t>
  </si>
  <si>
    <t>Province de Gunsho</t>
  </si>
  <si>
    <t>Province d'Hayai</t>
  </si>
  <si>
    <t>Province de Rugashi</t>
  </si>
  <si>
    <t>Province de Dairiki</t>
  </si>
  <si>
    <t>Province de Foshi</t>
  </si>
  <si>
    <t>Province de Gakka</t>
  </si>
  <si>
    <t>Province de Chuugen</t>
  </si>
  <si>
    <t>Province de Tonfajutsen</t>
  </si>
  <si>
    <t>Province d'Azuma</t>
  </si>
  <si>
    <t>Province d'Heigen</t>
  </si>
  <si>
    <t>Province de Kaeru</t>
  </si>
  <si>
    <t>Province de Yojin</t>
  </si>
  <si>
    <t>Province de Yama</t>
  </si>
  <si>
    <t>Province de Kakusu</t>
  </si>
  <si>
    <t>Province d'Hinome</t>
  </si>
  <si>
    <t>Province de Gotei</t>
  </si>
  <si>
    <t>Province de Koutetsukan</t>
  </si>
  <si>
    <t>Province de Kaze</t>
  </si>
  <si>
    <t>Province d'Inazuma</t>
  </si>
  <si>
    <t>Province d'Irie</t>
  </si>
  <si>
    <t>Province de Tokigogachu</t>
  </si>
  <si>
    <t>Province de Maigosera</t>
  </si>
  <si>
    <t>Province de Mihari</t>
  </si>
  <si>
    <t xml:space="preserve">Province d'Omoidasu </t>
  </si>
  <si>
    <t>Province d'Haimaato</t>
  </si>
  <si>
    <t>Province d'Enju</t>
  </si>
  <si>
    <t>Province de la Ki-rin</t>
  </si>
  <si>
    <t>Province de Kyuukai</t>
  </si>
  <si>
    <t>Province de Yogen</t>
  </si>
  <si>
    <t>Province de Yosomono</t>
  </si>
  <si>
    <t>Province de Kinkaku</t>
  </si>
  <si>
    <t>Province d'Aoijiroi</t>
  </si>
  <si>
    <t>Province de Maryoku</t>
  </si>
  <si>
    <t>Province d'Enjaku</t>
  </si>
  <si>
    <t>Province d'Ukabu</t>
  </si>
  <si>
    <t>Province de Nanimo</t>
  </si>
  <si>
    <t>Province de Bachiatari</t>
  </si>
  <si>
    <t>Province de Nejiro</t>
  </si>
  <si>
    <t>Province de Kunizakai</t>
  </si>
  <si>
    <t>Province de Hizoku</t>
  </si>
  <si>
    <t>Province de Chuuou</t>
  </si>
  <si>
    <t>Province de Nezuban</t>
  </si>
  <si>
    <t>Province de Ryoko</t>
  </si>
  <si>
    <t>Province de Kakushikoto</t>
  </si>
  <si>
    <t>Province de Kawa</t>
  </si>
  <si>
    <t>Province d'An'ei</t>
  </si>
  <si>
    <t>Province de Yuma</t>
  </si>
  <si>
    <t>Province de Fukitsu</t>
  </si>
  <si>
    <t>Province de Beiden</t>
  </si>
  <si>
    <t>12ème siècle</t>
  </si>
  <si>
    <t>Vous pouvez alimenter un petit appareil électrique que vous tenez en main avec votre propre énergie vitale. Chaque round d'utilisation vous cause une blessure qui ne peut pas être prévenue d'aucune manière.</t>
  </si>
  <si>
    <t>Explosif</t>
  </si>
  <si>
    <t>g3</t>
  </si>
  <si>
    <t>Dégâts à mains nues:</t>
  </si>
  <si>
    <t>+1g0 en Contrefaçon pr déterminer le ND d'Enquête/Perception de l'ennemi pour déceler une fraude</t>
  </si>
  <si>
    <t>Peut dresser les animaux courants pour servir d'autres personnes</t>
  </si>
  <si>
    <t>Peut dresser les animaux courants pour servir d'autres personnes, l'animal dréssé peut attaquer une cible désignée par son maître</t>
  </si>
  <si>
    <t>Peut dresser les animaux courants pour servir d'autres personnes, l'animal dréssé peut attaquer une cible et recevoir des ordres non-verbaux</t>
  </si>
  <si>
    <t>Maintient du résultat de Défense/Réflexes, ND d'armure +3 en Défense ou Esquive, Peut entreprendre une AS lors d'une Esquive</t>
  </si>
  <si>
    <t>Un jet réussi de Méditation fait récupérer jusqu'à 3 Points de Vide, le ND de tous les Jets de Méditation (Jeûne) est réduit de 5</t>
  </si>
  <si>
    <t>Dépensez un emplacement de Terre pour faire un jet d'Incantation pour préparer un cercle de coercition pdt. 1h. Tout oni qui pénètre ce cercle ne peut le quitter sans réussir un jet de Volonté &gt; ou = à votre Jet d'Incantation</t>
  </si>
  <si>
    <t>Esprit de Tokaji</t>
  </si>
  <si>
    <t>Fléau des Sorcières</t>
  </si>
  <si>
    <t>Dépensez un Pvide en AC pour augmenter de 1g1 les dégâts de vos sorts jusqu'à la fin du combat contre une personne ayant lancé un sort de Maho que vous avez identifié comme tel.</t>
  </si>
  <si>
    <t>Kaze No Shiro School Updates</t>
  </si>
  <si>
    <t>Shugenja Asahina 2</t>
  </si>
  <si>
    <t>Lame des Murmures</t>
  </si>
  <si>
    <t>Bushi Kakita 3</t>
  </si>
  <si>
    <t>Lame de Hoturi</t>
  </si>
  <si>
    <t>Courtisan 4, Kenjutsu 4</t>
  </si>
  <si>
    <t>Dépensez un Pvide en AC pour garder tous les jets lancés en Iaijutstu lors d'un Duel ou en Courtisan dans un test opposé.</t>
  </si>
  <si>
    <t>La Griffe du Dragon</t>
  </si>
  <si>
    <t>Garde d'Elite Mirumoto</t>
  </si>
  <si>
    <t>Bushi Mirumoto 3</t>
  </si>
  <si>
    <t>Lorsque vous touchez un moine ou un shugenja avec un atk., dépensez un Pvide en AS: il ne peut pas utiliser de sort ni de kiho jusqu'à la fin du prochain round de combat. Ne peut être utilisé consécutivement deux rounds d'affiliée et est sans effet sur une cible déjà atteinte par cet effet.</t>
  </si>
  <si>
    <t>B/C</t>
  </si>
  <si>
    <t>Equêteur Kitsuki 3, Bushi Mirumoto 3</t>
  </si>
  <si>
    <t>Chercheur de Nemuranai</t>
  </si>
  <si>
    <t>Vous pouvez dépenser un Pvide en AS pour ressentir la présence de tout objet magique ou en substance sacrée dans un rayon de 15m. Vous pouvez tenter un test de Perception de ND 15 pour déterminer un des pouvoirs de l'objet en main. (des A permettent d'en savoir plus)</t>
  </si>
  <si>
    <t>Chercher la Cage des Esprits</t>
  </si>
  <si>
    <t>Garde d'Elite Shinjo</t>
  </si>
  <si>
    <t>Bushi Shinjo 4</t>
  </si>
  <si>
    <t>Vitesse de Shinjo</t>
  </si>
  <si>
    <t>+1g1 à tous vos tests de Bugei. AG à tout test d'attaque contre de l'infanterie lorsque vous êtes Monté.</t>
  </si>
  <si>
    <t>Lorsque vous bannissez un kami de l'Air responsable d'une illusion, vous avez besoin de seulement deux A sur le sort de Sensation (au lieu de 3 normalement) et de seulement 3 A sur le sort de Communion (plutôt que 5).</t>
  </si>
  <si>
    <t>Toucher les Kamis</t>
  </si>
  <si>
    <t>Grâce des Fortunes</t>
  </si>
  <si>
    <t>Ecole de Shugenja Ronin de Rang 1</t>
  </si>
  <si>
    <t>Personnage fémininayant fait vœu de célibat uniquement.</t>
  </si>
  <si>
    <t>Vous pouver lancer le sort de Communion un nombre de fois par jour égal à votre rang d'anneau le plus élevé sans utiliser d'Emplacement de Sort pour ce faire.</t>
  </si>
  <si>
    <t>Pirate de l'Aube Rouge</t>
  </si>
  <si>
    <t>Ecole de Bushi Ronin ou Phénix de Rang 2</t>
  </si>
  <si>
    <t>Faire face Aux Abysses</t>
  </si>
  <si>
    <t>Shuganja Chuda 4</t>
  </si>
  <si>
    <t>Toucher les Ancêtres</t>
  </si>
  <si>
    <t>Connaissances générales: Histoire (Clan du personnage) 1, Connaissances dégradantes: Maho 3, Méditation 2</t>
  </si>
  <si>
    <t>Saigner les Elements</t>
  </si>
  <si>
    <t>La Beauté de la Mort</t>
  </si>
  <si>
    <t>N'importe quelle technique de rang 2</t>
  </si>
  <si>
    <t>Calligraphie 1, Connaissances dégradantes: Maho 3, Méditation 2</t>
  </si>
  <si>
    <t>Culte de la Lune Sanglante</t>
  </si>
  <si>
    <r>
      <t>Test de Volonté contre le ND du sort de maho pour réduire de 3/4 (arrondi à l'inférieur) tout gain de Souillure en la redirigeant vers Yomi. Vous gagnez le désavantage</t>
    </r>
    <r>
      <rPr>
        <i/>
        <sz val="9"/>
        <rFont val="Arial"/>
        <family val="2"/>
      </rPr>
      <t xml:space="preserve"> Maudit par les Royaumes Spirituels: Yomi</t>
    </r>
  </si>
  <si>
    <r>
      <t>Test de Volonté contre le ND du sort de maho pour réduire de 3/4 (arrondi à l'inférieur) tout gain de Souillure en la redirigeant vers la nature qui vous entoure. Tous les animaux vous craignent et vous grognent. Vous gagnez un malus de -2g0 en Equitation et le désavantage</t>
    </r>
    <r>
      <rPr>
        <i/>
        <sz val="9"/>
        <rFont val="Arial"/>
        <family val="2"/>
      </rPr>
      <t xml:space="preserve"> Maudit par les Royaumes Spirituels: Chikushudo</t>
    </r>
  </si>
  <si>
    <t>Cape de Gongsun</t>
  </si>
  <si>
    <t>N'importe quelle technique de rang 3</t>
  </si>
  <si>
    <t>Art de la Magie 2, Connaissances dégradantes: Maho 4, Méditation 2</t>
  </si>
  <si>
    <t>Vous pouvez attendre de voir le résultat de votre jet d'Incantation de tout sort de Maho avant de déclarer des Augmentations pour celui-ci.</t>
  </si>
  <si>
    <t>Légion de Daigotsu</t>
  </si>
  <si>
    <t>Web</t>
  </si>
  <si>
    <t xml:space="preserve">Connaissance générale : Outremonde, Intimidation, Jiujutsu, Kenjutsu, Kyujutsu et deux compétences au choix. </t>
  </si>
  <si>
    <t>Armure légère ou lourde, Daisho, Yumi et 20 flèches aux choix, Kimono pourrissant, une arme au choix, Nécéssaire de Voyage</t>
  </si>
  <si>
    <t>Fureur de la Panthère</t>
  </si>
  <si>
    <t>Serres du Vautour</t>
  </si>
  <si>
    <t xml:space="preserve">Frappe des Ailes Cendreuses </t>
  </si>
  <si>
    <t>Faim de la Vermine</t>
  </si>
  <si>
    <t>Chaque fois que vous tuez un adversaire vous regagnez deux rangs complets de Blessures.</t>
  </si>
  <si>
    <t>Dragon de l'Ombre</t>
  </si>
  <si>
    <t>Garde d'Elite de Daigotsu</t>
  </si>
  <si>
    <t>Embrassez les Ténèbres</t>
  </si>
  <si>
    <t>Bushi Daigotsu 4, Légion de Daigotsu 4</t>
  </si>
  <si>
    <t>Temple d’Onnotangu</t>
  </si>
  <si>
    <r>
      <t xml:space="preserve">Vous gagnez l'avantage </t>
    </r>
    <r>
      <rPr>
        <i/>
        <sz val="9"/>
        <rFont val="Arial"/>
        <family val="2"/>
      </rPr>
      <t>Honneur Apparent Moyen</t>
    </r>
    <r>
      <rPr>
        <sz val="9"/>
        <rFont val="Arial"/>
        <family val="2"/>
      </rPr>
      <t xml:space="preserve"> et deux kihos. + 1g0 à tous les jets effectués à la lumière de la Lune mais – 1g0 à tous les jets de Terre pour résister à la souillure de l’Outremonde.</t>
    </r>
  </si>
  <si>
    <t>Ordre des Moines de l'Araignée 1</t>
  </si>
  <si>
    <t>Temple du Venin</t>
  </si>
  <si>
    <t>Vous gagnez un pouvoir mineur de l'Outremonde au choix.</t>
  </si>
  <si>
    <t>Garde d'Elite Yoritomo</t>
  </si>
  <si>
    <t>Les Tempêtes n'Echouent Jamais</t>
  </si>
  <si>
    <t>Bushi Yorimoto 4, Baroudeur du Clan de la Mante 4, Combattant Tourbillonant de la Mante 4</t>
  </si>
  <si>
    <t>Souillure</t>
  </si>
  <si>
    <t>Désavantage: Sombre Secret: Maho-tsukai</t>
  </si>
  <si>
    <t>Etre choisi par Jikogu</t>
  </si>
  <si>
    <t>Statut</t>
  </si>
  <si>
    <t>Gloire</t>
  </si>
  <si>
    <t>Pré-requis Stats</t>
  </si>
  <si>
    <t>4 Avantages Relations dont au moins un d'une valeur &gt;4</t>
  </si>
  <si>
    <r>
      <t xml:space="preserve">un Avantage </t>
    </r>
    <r>
      <rPr>
        <i/>
        <sz val="6"/>
        <rFont val="Arial"/>
        <family val="2"/>
      </rPr>
      <t>Parangon</t>
    </r>
  </si>
  <si>
    <t>Familles Impériales uniquement</t>
  </si>
  <si>
    <t>Vous devez être une femme de la famille Matsu</t>
  </si>
  <si>
    <t>Vous devez être un homme de la famille Matsu</t>
  </si>
  <si>
    <t>Vous devez être une homme de la famille Matsu</t>
  </si>
  <si>
    <t>Gloire &lt;2,0</t>
  </si>
  <si>
    <t>*1 spécialisation max au rang 1, 2 au rang 3, 3au rang5, 4 au rang 7, 5 au rang 9</t>
  </si>
  <si>
    <t>Adaptation des règles de combat de masse pour les guerres de siège</t>
  </si>
  <si>
    <t>Etudiants à l'Entrainement</t>
  </si>
  <si>
    <t>Iweko</t>
  </si>
  <si>
    <t>Byako</t>
  </si>
  <si>
    <t>Date</t>
  </si>
  <si>
    <t>Sagara</t>
  </si>
  <si>
    <t>Epéiste Date</t>
  </si>
  <si>
    <t>L'épée des Falaises</t>
  </si>
  <si>
    <t>Archer Sagara</t>
  </si>
  <si>
    <t>Focalise et Tire</t>
  </si>
  <si>
    <t>Kyujutsu 4</t>
  </si>
  <si>
    <t>Couper les Fèches en vol</t>
  </si>
  <si>
    <t>2 ou 3</t>
  </si>
  <si>
    <t>Expert Yadomejutsu</t>
  </si>
  <si>
    <t>Bushi Akodo 2, Bushi  Kakita 2, Bushi Mirumoto 2, Bushi Suzume 3</t>
  </si>
  <si>
    <t>Arme Sacrée: Lame d'Asahina</t>
  </si>
  <si>
    <t>Wakizashi 3g2; Lorsque vous êtes en posture de Garde, le bonus de votre ND d'armure augmente de votre Rg. D'honneur</t>
  </si>
  <si>
    <t>Arc de cavalerie antique</t>
  </si>
  <si>
    <t>Avantage du Tueur</t>
  </si>
  <si>
    <t>Bisento de l'Araignée</t>
  </si>
  <si>
    <t>Cimeterre Moto</t>
  </si>
  <si>
    <t>Don de Dame Doji</t>
  </si>
  <si>
    <t>Eventail Ide</t>
  </si>
  <si>
    <t>Fendoir Utaku</t>
  </si>
  <si>
    <t>Frappe de l'Inquisiteur</t>
  </si>
  <si>
    <t>Jitte Doré</t>
  </si>
  <si>
    <t>Jitte Yogo</t>
  </si>
  <si>
    <t>Han-Kyu Chuda</t>
  </si>
  <si>
    <t>Kama des Tempêtes</t>
  </si>
  <si>
    <t>Lame Akodo</t>
  </si>
  <si>
    <t>Lame d'Asahina</t>
  </si>
  <si>
    <t>Lame d'acier Noir</t>
  </si>
  <si>
    <t>Lame d'esprit</t>
  </si>
  <si>
    <t>Lame de la Chouette</t>
  </si>
  <si>
    <t>Lame des tempêtes</t>
  </si>
  <si>
    <t>Lame d'obisienne</t>
  </si>
  <si>
    <t>Lame Invisible</t>
  </si>
  <si>
    <t>Lame Kaiu</t>
  </si>
  <si>
    <t>Lame Kakita</t>
  </si>
  <si>
    <t>Lame Shosuro</t>
  </si>
  <si>
    <t>Lames jumelles</t>
  </si>
  <si>
    <t>Lance céleste</t>
  </si>
  <si>
    <t>Mange Terre</t>
  </si>
  <si>
    <t>Marteau de la Terre</t>
  </si>
  <si>
    <t>Naginata Shiba</t>
  </si>
  <si>
    <t>Tessen Légendaire</t>
  </si>
  <si>
    <t>Tranchant du Sombre Mirroir</t>
  </si>
  <si>
    <t>Yumi de la Guêpe</t>
  </si>
  <si>
    <t>Arme Sacrée: Gardien</t>
  </si>
  <si>
    <t xml:space="preserve"> +3 aux jets de dommages quand vous êtres Monté</t>
  </si>
  <si>
    <t>+3 aux jets d'attaque contre les adversaires pris par surprise</t>
  </si>
  <si>
    <t>+3 aux dommages quand vous êtes Monté</t>
  </si>
  <si>
    <t>Donne une AG sur tous les tests de Défense</t>
  </si>
  <si>
    <t>Gagne une AG pour utiliser la manœuvre de coup précis, +1 AG si vous êtes Monté</t>
  </si>
  <si>
    <t>Projectiles considérés comme de Jade contre les créatures souilées</t>
  </si>
  <si>
    <t>Gagne une AG pour utiliser la manœuvre de désarmement</t>
  </si>
  <si>
    <t>Tout dé qui explose confère à la cible le désavantage Malchanceux mineur jusqu'à la fin du combat</t>
  </si>
  <si>
    <t>+1 Rang d'honneur quand le personnage la ceint</t>
  </si>
  <si>
    <t>Peut charger un sort de maho dans une flèche. Si la flèche atteint une cible durant les 5 rounds, elle subit le sort.</t>
  </si>
  <si>
    <t>+1g0 aux jets d'attaque lorsque le personnage porte les deux</t>
  </si>
  <si>
    <t xml:space="preserve"> Lorsque vous êtes en posture de Garde, le bonus de votre ND d'armure augmente de votre Rg. D'honneur</t>
  </si>
  <si>
    <t>tout jet de dégâts qui explose donne 1pt de Souillure d'Outremonde (ND de 15 pour résister)</t>
  </si>
  <si>
    <t>Ajoutez vos rangs de Connaisance des Royaumes Spirituels à vos jets d'attaque contre des créatures qui en sont issues</t>
  </si>
  <si>
    <t>Considéré comme de Cristal contre les créatures souilées</t>
  </si>
  <si>
    <t>Considéré comme de Jade contre les créatures souilées</t>
  </si>
  <si>
    <t>+1 Rang d'honneur quand le personnage la ceint en dehors des combats</t>
  </si>
  <si>
    <t>Ajoutez votre Rg. D'Honneur aux jets d'Incantation de Sorts portant le mot-clef Tonnerre</t>
  </si>
  <si>
    <t>Considéré comme d'Osidienne pour vaincre la Réduction et/ou l'Invulnérabilité</t>
  </si>
  <si>
    <t>Gagnez un AG lorsque vous portez une attaque ou incantez un sort et que votre cible ne peut pas vous voir</t>
  </si>
  <si>
    <t>Incassable, -2 à la Réduction de la cible</t>
  </si>
  <si>
    <t>Katana 3g3, Incassable, -2 à la Réduction de la cible</t>
  </si>
  <si>
    <t>Peut relancer les dommages une fois par duel Iaijutstu</t>
  </si>
  <si>
    <t>Ajoute +5 au ND pour résister aux poisons enduisant la lame</t>
  </si>
  <si>
    <t>+5 au ND de tout désarmement contre vous</t>
  </si>
  <si>
    <t>Peut être lancé avec précision jusqu'à 50m et fait alors des dégâts de 2g2</t>
  </si>
  <si>
    <t>Vous pouvez dépenser des Pvide pour augmenter les dégâts de cette arme comme un katana</t>
  </si>
  <si>
    <t>Peut relancer son jet de dégâts une fois par session de jeu</t>
  </si>
  <si>
    <t>+3 à votre ND d'armure ou +6 à celui de la cible de votre manœuvre de Garde</t>
  </si>
  <si>
    <t>+10 aux jets de dissimulation pour le cacher.</t>
  </si>
  <si>
    <t>Petite, Scorpion</t>
  </si>
  <si>
    <t>+1k0 aux dégâts si les deux sont tenues simultanément.</t>
  </si>
  <si>
    <t>Tout jet de dégâts qui explose donne 1pt de Souillure d'Outremonde (ND de 15 pour résister)</t>
  </si>
  <si>
    <t>Gagne une AG pour utiliser la manœuvre d'attaque supplémentaire</t>
  </si>
  <si>
    <t>Double tous les ND d'armure obtenus grâce à la compétence Eventails de Guerre du porteur</t>
  </si>
  <si>
    <t>Peut tirer sans malus jusqu'à 1200m</t>
  </si>
  <si>
    <t>Tout dé de dégât qui explose demande à la cible de réussir un jet de Réflexes de ND 15 ou elle est Aveuglée jusqu'à sa guérison</t>
  </si>
  <si>
    <t>Gagne une AG pour utiliser la manœuvre de coup précis</t>
  </si>
  <si>
    <t>Grande, Licorne</t>
  </si>
  <si>
    <t>Grande, Araignée</t>
  </si>
  <si>
    <t>Grande, Mante</t>
  </si>
  <si>
    <t>Petite, Lion</t>
  </si>
  <si>
    <t>Petite, Grue</t>
  </si>
  <si>
    <t>Petite, Licorne</t>
  </si>
  <si>
    <t>Grande, Lourde, Crabe</t>
  </si>
  <si>
    <t>Nécéssite 4 servants. Incassable, -2 à la Réduction de la Cible</t>
  </si>
  <si>
    <t>Petite, Samurai, Phénix</t>
  </si>
  <si>
    <t>Petite, Samurai, Licorne</t>
  </si>
  <si>
    <t>Moyenne, Samurai, Lion</t>
  </si>
  <si>
    <t>Grande, Samurai, Crabe</t>
  </si>
  <si>
    <t>Samurai, Grande</t>
  </si>
  <si>
    <t>Grande, Crabe</t>
  </si>
  <si>
    <t>Tashi de Fureur</t>
  </si>
  <si>
    <t>Arme Sacrée: Tashi de Fureur</t>
  </si>
  <si>
    <t>Samurai, Petite, Scorpion</t>
  </si>
  <si>
    <t>Moyenne, Samurai, Araignée</t>
  </si>
  <si>
    <t>Grande, Samurai, Mante</t>
  </si>
  <si>
    <t>Grande, Grue</t>
  </si>
  <si>
    <t>Petite, Crabe</t>
  </si>
  <si>
    <t>Petite, Mante</t>
  </si>
  <si>
    <t>Moyenne, Crabe</t>
  </si>
  <si>
    <t>Grande, Phénix</t>
  </si>
  <si>
    <t>Samurai, Moyenne, Phénix</t>
  </si>
  <si>
    <t>Moyenne, Samurai, Grue</t>
  </si>
  <si>
    <t>Moyenne, Samurai, Crabe</t>
  </si>
  <si>
    <t>Moyenne, Samurai, Chouette</t>
  </si>
  <si>
    <t>Moyenne, Samurai, Mante</t>
  </si>
  <si>
    <t>Moyenne, Samurai, Scorpion</t>
  </si>
  <si>
    <t>Moyenne, Samurai, Dragon</t>
  </si>
  <si>
    <t>Armure d'Ashigaru du Marteau d'Eau</t>
  </si>
  <si>
    <t>Armure de Cavalerie du Marteau d'Eau</t>
  </si>
  <si>
    <t>Armure Légère du Marteau d'Eau</t>
  </si>
  <si>
    <t>Armure Lourde du Marteau d'Eau</t>
  </si>
  <si>
    <t>Armure Légère (Yoroi)</t>
  </si>
  <si>
    <t>Armure de fer (Tetsu-Dou)</t>
  </si>
  <si>
    <t>Armure Lourde (O-Yoroi)</t>
  </si>
  <si>
    <t>Légère, Dragon</t>
  </si>
  <si>
    <t>Lourde, Dragon</t>
  </si>
  <si>
    <t>Moyenne, Dragon</t>
  </si>
  <si>
    <t>Une écaille de dragon augmente votre Résistance</t>
  </si>
  <si>
    <t>Aucun malus au ND d'armure pour le manipuler en étant Monté</t>
  </si>
  <si>
    <t>Yumi de force 4.  Aucun malus au ND d'armure pour le manipuler en étant Monté</t>
  </si>
  <si>
    <t>Détection des Avantages</t>
  </si>
  <si>
    <t>Détection des Désavantages</t>
  </si>
  <si>
    <t>Prérequis de Clan</t>
  </si>
  <si>
    <t>Clan ou Faction</t>
  </si>
  <si>
    <t>Pré-requis Avantages</t>
  </si>
  <si>
    <t>Vaildité 5</t>
  </si>
  <si>
    <t>Vaildité 6</t>
  </si>
  <si>
    <t>Pré-requis Désavantages</t>
  </si>
  <si>
    <t>Sombre Parangon?</t>
  </si>
  <si>
    <r>
      <t xml:space="preserve">Un Trait&gt;5, Un Avantage </t>
    </r>
    <r>
      <rPr>
        <i/>
        <sz val="6"/>
        <rFont val="Arial"/>
        <family val="2"/>
      </rPr>
      <t>Sombre Parangon</t>
    </r>
    <r>
      <rPr>
        <sz val="6"/>
        <rFont val="Arial"/>
        <family val="2"/>
      </rPr>
      <t>, capacité de faire une attaque en AS</t>
    </r>
  </si>
  <si>
    <t>Parangon?</t>
  </si>
  <si>
    <t>Faveur Elémentaire (Air)</t>
  </si>
  <si>
    <t>Faveur Elémentaire (Eau)</t>
  </si>
  <si>
    <t>Faveur Elémentaire (Feu)</t>
  </si>
  <si>
    <t>Faveur Elémentaire (Terre)</t>
  </si>
  <si>
    <t>-1 XP pour augmenter les Traits Réflexes et Intuition</t>
  </si>
  <si>
    <t>-1 XP pour augmenter les Traits Force et Perception</t>
  </si>
  <si>
    <t>-1 XP pour augmenter les Traits Agilité et Intelligence</t>
  </si>
  <si>
    <t>-1 XP pour augmenter les Traits Constitution et Volonté</t>
  </si>
  <si>
    <t>Vous pouvez choisir une école et un pseudonyme autre que votre identité réèle</t>
  </si>
  <si>
    <t>Position Sociale</t>
  </si>
  <si>
    <t>+1 à votre Rang de Statut</t>
  </si>
  <si>
    <r>
      <t xml:space="preserve">+1g0 à 3 compétences non-scolaires. Chaque fois que vous dépensez un PVide pr améliorer une jet de ces compétences, désavantage </t>
    </r>
    <r>
      <rPr>
        <i/>
        <sz val="6"/>
        <rFont val="Arial"/>
        <family val="2"/>
      </rPr>
      <t>Anachronique</t>
    </r>
    <r>
      <rPr>
        <sz val="6"/>
        <rFont val="Arial"/>
        <family val="2"/>
      </rPr>
      <t xml:space="preserve"> pendant 1d10h. Vs avez parfois des visions de votre vie antérieure.</t>
    </r>
  </si>
  <si>
    <t>Toujours 1 rang quelle que la représentation (Spectacle) que vous faites</t>
  </si>
  <si>
    <t>Vous êtes l'ôtage d'un autre clan que le vôtre</t>
  </si>
  <si>
    <t>Vous ne pouvez pas disposer d'Avantages ou de facultés associées à un lien ancestral (Héritage, Ancêtre,…)</t>
  </si>
  <si>
    <t>Umiu</t>
  </si>
  <si>
    <t>Cormoran</t>
  </si>
  <si>
    <t>Harinezumi</t>
  </si>
  <si>
    <t>Hérisson</t>
  </si>
  <si>
    <t>Bushi Harinezumi</t>
  </si>
  <si>
    <t>Moine Toshigo</t>
  </si>
  <si>
    <t>Armes d'Hast ou Lances, Chasse, Connaissances générales: Nature Défense, Enquête, Kyujutsu, 2 compétences de Bugei au choix</t>
  </si>
  <si>
    <t>Vêtements Robustes, Armure d'Ashigaru, Yari OU Sasumata, Han-Kyu et 20 flèches, Daisho, Nécéssaire de Voyage</t>
  </si>
  <si>
    <t>Bushi Umiu</t>
  </si>
  <si>
    <t>Cormorant</t>
  </si>
  <si>
    <t>Résilience et Lances</t>
  </si>
  <si>
    <t>Divination, Jeux</t>
  </si>
  <si>
    <t>Connaissance générales: Bénédictions, Divination, Défense, Jeux: Dés, Kenjutsu, Meditation, Une compétence de Bugei ou de Marchand au choix.</t>
  </si>
  <si>
    <t>Vêtements Robustes, Armure Légère ou d'Ashigaru, Daisho, Une arme au choix, Dés et gobelet, Nécéssaire de divination (Kawaru), Nécéssaire de Voyage</t>
  </si>
  <si>
    <t>Jetter les Os</t>
  </si>
  <si>
    <t>Fortune Inconstante</t>
  </si>
  <si>
    <t>Glisser Dessous</t>
  </si>
  <si>
    <t>Briser la Surface</t>
  </si>
  <si>
    <t>Une fois par jour, vous pouvez faire un test de Divination / Vide contre un ND de 20. Si vous réussissez ce test, vous pouvez relancer un test de votre choix jusqu'au crépuscule.</t>
  </si>
  <si>
    <t>Avant de lancer les dés pour une attaque, vous pouvez ignorer les dés ouverts. Si vous le faites et que vous touchez tout de même l'ennemi, vous pouvez compter tous les 10 obtenus comme des AG pour réaliser une manœuvre. Le nombre de ces augmentations ne peut pas dépasser votre anneau de vide.</t>
  </si>
  <si>
    <t>Vous pouvez effectuer une attaque au prix d'une AS au lieu d'une AC quand vous utilisez une arme Samourai. Si votre ennemi a un Désavantage Incroyant ou Maudit par les Royaumes Spirituels, la manœuvre Dommages Augmentés confère un bonus de +1g1 pour la première A.</t>
  </si>
  <si>
    <t>En posture du Centre ou dès que vous quittez cette posture, ajoutez votre rang de Divination à votre ND d'armure et à vos jets d'attaque. Si vous avez utilisé et réussi votre technique de Rang 1 ce jour, vos dépenses de Points de Vides vous donnent un bonus de +2g1 au lieu de +1g1.</t>
  </si>
  <si>
    <t>Maintenir à Distance</t>
  </si>
  <si>
    <t>Pureté d'Intention</t>
  </si>
  <si>
    <t>Les Cents Points</t>
  </si>
  <si>
    <t>Lorsque vous utilisé une arme "Grande" vous gagnez un bonus à votre ND d'Armure égal à 2x votre Rg. D'école contre les Armes improvisées, Paysan, Petite et les atks à Mains Nues.</t>
  </si>
  <si>
    <t>Vous pouvez ajouter votre rang d'école aux dés nons gardés sur tout jet impliquant l'anneau deTerre, (Constitution et Volonté inclus). Vous ne subissez pas de pénalités de mouvement lorsque vous vous déplacez dans des forêts même denses.</t>
  </si>
  <si>
    <t>Vous pouvez effectuer une attaque avec une Arme Samurai, une Lance ou une Arme d'Hast au prix d'une AS au lieu d'une AC.</t>
  </si>
  <si>
    <t>Belette</t>
  </si>
  <si>
    <t>Echidné</t>
  </si>
  <si>
    <t>La Voie de l'Echidné</t>
  </si>
  <si>
    <t>Les Epines de l'Echidné</t>
  </si>
  <si>
    <t>Hironoda</t>
  </si>
  <si>
    <t>Itachi</t>
  </si>
  <si>
    <t>Ecureil</t>
  </si>
  <si>
    <t>Athletisme, Armes Lourdes, Jiujisu (Empoignades), Kenjutsu, deux Compétences au choix</t>
  </si>
  <si>
    <t>Vêtements Commodes, Armure Lourde ou légère, Daisho, Une arme au choix, Nécéssaire de Voyage</t>
  </si>
  <si>
    <t>+1g0 à tous vos jets de dégâts de mélée (y compris à mains nues). Vous gagnez 3 blessures supplémentaires à chaque rang de blessures.</t>
  </si>
  <si>
    <t>Vous pouvez effectuer une attaque au corps à corps (y compris à mains nues) au prix d'une AS au lieu d'une AC</t>
  </si>
  <si>
    <t>Dépensez un Pvide sur un test basé sur la Force (y compris les dégâts) pour faire en sorte que le dé gardé avec le plus bas résultat explose.</t>
  </si>
  <si>
    <t>La Fin de l'Hibernation</t>
  </si>
  <si>
    <t>La Force qui Dort</t>
  </si>
  <si>
    <t>La Force de l'Ours</t>
  </si>
  <si>
    <t>Lancier Hironoda</t>
  </si>
  <si>
    <t>Lances et Formations défensivs</t>
  </si>
  <si>
    <t>Athletisme, Art de la Guerre, Chasse, Défense, Kenjutsu, Lances (Yari), une Compétence au choix</t>
  </si>
  <si>
    <t>Armure Légère ou Lourde, Vêtements Robustes, Daisho, Yari, Nécéssaire de Voyage</t>
  </si>
  <si>
    <t>La Voie du Hérisson</t>
  </si>
  <si>
    <t>Descends Vermine!</t>
  </si>
  <si>
    <t>Approche si tu l'Ose</t>
  </si>
  <si>
    <t>Un millier d'Epines</t>
  </si>
  <si>
    <t>Le Hérisson ne Fuit Pas</t>
  </si>
  <si>
    <t>Vous pouvez préparer une Lance en AG. +1g0 à tous vos jets de dégâts avec une Lance, +1g1 à la place si la cible est Montée</t>
  </si>
  <si>
    <t>A chaque fois que vous tentez de désarçonner un adveraire (ou une maneuvre de Renversement) vous gagnez une AG.</t>
  </si>
  <si>
    <t>En Posture d'Esquive ou de Défence qd vs manipulez une Lance ou arme d'Hast dès qu'un ennemi vs attaque dépensez un Pvide et une ActG pour faire une attaque contre cet ennemi. Votre posture change automatiquement en Attaque.</t>
  </si>
  <si>
    <t>Vous pouvez effectuer une attaque au Corps à Corps au prix d'une AS au lieu d'une AC avec une lance ou une Arme Samourai.</t>
  </si>
  <si>
    <t>Lancier Hironoda 2</t>
  </si>
  <si>
    <t>Cavalier Hironoda</t>
  </si>
  <si>
    <t>La Sérénité du Hérisson</t>
  </si>
  <si>
    <t>Lancier Hironoda 3</t>
  </si>
  <si>
    <t>+1g0 à vos jets de Lance et d'Equitation lorsque vous êtes Monté</t>
  </si>
  <si>
    <t>Lancier Hironoda 5</t>
  </si>
  <si>
    <t>Les Epines Repoussent</t>
  </si>
  <si>
    <t>Si un ennemi a bougé de plus de 5m pour vous attaquer alors que vous êtês resté immobile vous pouvez déclarer une Action Complète pour attaquer cet ennemi. Si vous faites de dégâts, faitez un en plus un Test Opposé de Force (avec une AG si vous êtes armé d'une lance). En cas de réussite, votre adversaire est désarçonné et mis Au Sol.</t>
  </si>
  <si>
    <t>Hida Hironoda</t>
  </si>
  <si>
    <t>Vous bénéficiez toujours d'une Augmentation Gratuite tant que vous manipulez une Lance</t>
  </si>
  <si>
    <t>Hida Hironoda vous abandonnera si vous trahissez le clan du Hérisson, nuisez à l'un de ses membres ou prennez le mérite d'actions que vous n'avez pas faites.</t>
  </si>
  <si>
    <t>Harinezumi Nobuo</t>
  </si>
  <si>
    <t>7</t>
  </si>
  <si>
    <t>Vous gagnez un bonus de +1g0 à tous les tests de Terre visant à résister à la Souillure, à l'Intimidation, la Tentation ou la Peur</t>
  </si>
  <si>
    <t>Nobuo vous abandonnera si vous vous associez à des créatures de l'Outremonde ou à des individus ouvertement Souillés. Il vous abandonnera également si vous vous conformez aux ordres d'un descendant d' Hida Kisada (comme la plupart des champions récents du Crabe) à moins que vous ne le fassiez sur ordre impérial.</t>
  </si>
  <si>
    <t>Traqueur Itachi</t>
  </si>
  <si>
    <t>Recherche de Numenerais</t>
  </si>
  <si>
    <t>Connaissances générales: Théologie, Couteaux (Kama), Defense, Elevage, Enquête, Kenjutsu, une Compétence d'Artisanat au choix.</t>
  </si>
  <si>
    <t>La Poursuite du Mystère</t>
  </si>
  <si>
    <t>Le Fardeau des Cieux</t>
  </si>
  <si>
    <t>L'Enigme des Dieux Affamés</t>
  </si>
  <si>
    <t>Briser le Lien</t>
  </si>
  <si>
    <t>Vêtements Robustes, ArmureLégère ou d'Ashigaru, Daisho, une armue au choix, Chien Inubuki, Nécéssaire de Voyage</t>
  </si>
  <si>
    <t>Vous pouvez en AC ordoner à votre chien d'effectuer une atk. Vous et votre chien avez un bonus égal à votre Rg. de Théologie à tout jet d'atk contre une créature non-humaine, un porteur d'un nemunarai ou que vous savez maudite.</t>
  </si>
  <si>
    <t>Succès de la Parade Nocture</t>
  </si>
  <si>
    <t>Vous pouvez effectuer une attaque au prix d'une AS au lieu d'une AC quand vous manipulez une arme dotée du mot-clef Samourai ou Paysan</t>
  </si>
  <si>
    <t>Vous pouvez ajouter votre rang en Connaissance:Théologie ou Connaissance:Eléments pour résister à un sort, une malédiction ou capacité surnaturelle. Si vous avez une affinité pour l'élément du sort qui vous est lancé, vous pouvez dépenser un Pvide pour provoquer un test d'opposition en Connaissance:Théologie ou Connaissance:Eléments. En cas de succès, le sort affecte son lanceur.</t>
  </si>
  <si>
    <t>Vous et votre chien gagnez un bonus de +1g0 à l'atk et +0g1 aux dégâts contre les enemis maudits ou bénis. Si vous réussissez un manœuvre de Désarmement contre le porteur d'un nemunarai, vous pouvez dépenser la totalité de vos Pvide (min 1) pour détruire cet objet et le rendre inerte. Vous ne pouvez plus regagner de PVide durant une semaine.</t>
  </si>
  <si>
    <t>Mauvaise Fortune: Albinos</t>
  </si>
  <si>
    <t>Vous présentez une décoloration de la peau et des cheveux, des yeux rouges et les gens font tout pour vous éviter.</t>
  </si>
  <si>
    <t>Technologie, Tonnerre</t>
  </si>
  <si>
    <t>Durée (+1), Cible (+1 par 2A)</t>
  </si>
  <si>
    <t>Vise un petit élément technologique et l'empêche de fonctionner pendant toute la durée avec une surcharge d'énergie. Peut cibler les véhicules avec une durée d'un round au lieu de cinq, avec 1A pour un petit véhicule, 2A pour quelque chose avec deux ou quatre sièges et de plus grands véhicules au jugement du MJ. Cela ne peut pas cibler d'appareils qui n'utilisent pas d'électronique (comme les armes à feu) ou les nemunarais.</t>
  </si>
  <si>
    <t>Voile et compétition</t>
  </si>
  <si>
    <t>Outils du Ninja</t>
  </si>
  <si>
    <t>Dragons et Oracles du 12è siècle</t>
  </si>
  <si>
    <t>Mécaniques de jeu pour les endroits sacrés</t>
  </si>
  <si>
    <t>Vide uniquement pour les Illuminés</t>
  </si>
  <si>
    <t>Forêt de Nazo Mori</t>
  </si>
  <si>
    <t>Total</t>
  </si>
  <si>
    <t>Blessures actuelles</t>
  </si>
  <si>
    <t>Rangs de blessure</t>
  </si>
  <si>
    <t>Atteint?</t>
  </si>
  <si>
    <t>Le personnage est mort</t>
  </si>
  <si>
    <t>Immobile, inconscient et agonisant</t>
  </si>
  <si>
    <t xml:space="preserve"> à l'attaque tant que 2 armes en main</t>
  </si>
  <si>
    <t>Combat à deux armes et à Mains Nues</t>
  </si>
  <si>
    <t>(Jalousie: seul un Ancêtre peut conseiller un personnage)</t>
  </si>
  <si>
    <t>Détection des voies</t>
  </si>
  <si>
    <t>b10</t>
  </si>
  <si>
    <t>b11</t>
  </si>
  <si>
    <t>b12</t>
  </si>
  <si>
    <t>b13</t>
  </si>
  <si>
    <t>b14</t>
  </si>
  <si>
    <t>b15</t>
  </si>
  <si>
    <t>b16</t>
  </si>
  <si>
    <t>b17</t>
  </si>
  <si>
    <t>total</t>
  </si>
  <si>
    <t>Vous permet de nier un désavantage Douillet. Diminiue de 2 le ND de pénalités dus aux blessures (minimum 0). Cumulable avec Force de la Terre</t>
  </si>
  <si>
    <t>Base</t>
  </si>
  <si>
    <t>Calcul du ND du aux blessures</t>
  </si>
  <si>
    <t>+/- PV</t>
  </si>
  <si>
    <t>Calcul des Pénalités actuelles:</t>
  </si>
  <si>
    <t>+/-   ND</t>
  </si>
  <si>
    <t>Dépensez un Pvide et une AC pr réduire les Dommages des Adversaires dans un rayon de 6m de 0g1 pdt un nmbre de Rounds égal à votre Rg. de Maîtrise. AG aux sorts de Défense.</t>
  </si>
  <si>
    <t>Art de la Guerre, Défense 2, Kenjutsu (Katana), Kyujutsu, Lances, une Compétence au choix</t>
  </si>
  <si>
    <t>Tant qu'il est actif, ce tatouage vous permet de sentir intuitivement votre environnement, en ignorant toutes les pénalités d'obscurité, de cécité ou toute autre obscurité visuelle. Cela ne supprime pas les tests de Furtivité ni l'invisibilité magique.</t>
  </si>
  <si>
    <t>Tant que ce Tatouage est actif, son porteur peut altérer son apparence pour ressembler à quelqu'un d'autre mais à personne en particulier. Si vous donnez à d'autresdes  raisons de soupçonner la tromperie, ils peuvent faire un test d' Enquête( Perception)/ Intuition contre un ND égal à votre Intuition x 5.N'altère pas la voix.</t>
  </si>
  <si>
    <t>29/16</t>
  </si>
  <si>
    <t>Empire of Emerald Stars/ Little Thruths</t>
  </si>
  <si>
    <t>Etoile</t>
  </si>
  <si>
    <t>Eventail</t>
  </si>
  <si>
    <t>Amaterasu</t>
  </si>
  <si>
    <t>Fleur de prunier</t>
  </si>
  <si>
    <t>En AC, Jet d'Opposition: Incantation vs VolontéX5 de la cible. En cas de succès vous découvrez tous les Avantages ou Désavantages Spirituels de la cible. Ne permets pas de détecter le Désavantage Souillure de l'Outremonde. AG aux sorts Art de la Guerre</t>
  </si>
  <si>
    <t>Vous pouvez effectuer une attaque au Corps à Corps au prix d'une AS au lieu d'une AC avec un katana, wakizashi, magari-yari, nage-yari, couteau, des griffes de dompteur ou à Mains Nues.</t>
  </si>
  <si>
    <t>Athlétisme, Commerce, Couteaux, Intimidation, Jiujutsu (Armes Improvisées), Navigation, une Compétence d'une arme au choix</t>
  </si>
  <si>
    <t>Armure légère, Vêtements Robustes, Daisho, 2 armes au choix, Nécéssaire de Voyage</t>
  </si>
  <si>
    <t>Vous ne perdez ni Honneur ni Gloire lorsque vs utilisez Commerce ou Intimidation (Contrôle) en public. Tout test d'Intimidation effectué se fait avec Volonté à la place d'Intuition. Vous gagnez un nombre d'AG = Votre Rg. D'Ecole à tous vos Tests Sociaux vs. Ronins, bandits,…</t>
  </si>
  <si>
    <t>Vous pouvez effectuer une attaque au prix d'une AS au lieu d'une AC quand vous surprenez un adversaire ou avec des armes "Ninjutsu", un shuriken ou un tsubute. Lorsque vous manipulez des shuriken, vous pouvez déclarer une AC pour effectuer un nombre d'attaques à distance égale à votre rang d'Ecole.</t>
  </si>
  <si>
    <t>Gardien de le Loi Sochi</t>
  </si>
  <si>
    <t>Loi</t>
  </si>
  <si>
    <t>Courtisan(Manipulation), Connaissance générale (Histoire), Connaissance générale (Loi), Enquête, Etiquette, Sincérité (Tromperie), une compétence de Connaissance et/ou Dégradante au choix.</t>
  </si>
  <si>
    <t>Armure d'Ashigaru, Vêtements Traditionnels, Wakizashi, Jitte, une arme au choix, Nécéssaire de Voyage</t>
  </si>
  <si>
    <t>La Méthode de Saibankan</t>
  </si>
  <si>
    <t>Intruments de la Justice</t>
  </si>
  <si>
    <t>Connaitre la Loi</t>
  </si>
  <si>
    <t>La Perception est Vérité</t>
  </si>
  <si>
    <t>Ajoutez +2g2 a tout test d'Opposition contre une personne contre laquelle vous avez réussi un test de Sincérité (Tromperie) au cours de ces dernières 24h.</t>
  </si>
  <si>
    <t>Il n'y a Aucune Innocence</t>
  </si>
  <si>
    <t>Arc Long Tsuruchi</t>
  </si>
  <si>
    <t>Sansetsukon</t>
  </si>
  <si>
    <t>Shikomizue</t>
  </si>
  <si>
    <t>Vous percevez d'instinct l'humeur des animaux qui vous considèrent toujours comme amical; +1g0 à tout test d'Equitation, Elevage et compétence sociale avec des animaux.</t>
  </si>
  <si>
    <t>Résultats sur la Table des Batailles de Masse: vous pouvez vfaire arier le résultat de +/- 5</t>
  </si>
  <si>
    <t>Vous avez reçu un tatouage de l'ordre de Togashi. L'activer vous coute toujours un Pvide même s'il est sensé être toujours actif.</t>
  </si>
  <si>
    <t>Daltonisme</t>
  </si>
  <si>
    <t>Augmente le ND de vos Tests basés sur la Perception de la couleur de 5.</t>
  </si>
  <si>
    <t>+1g0 à l'atk et aux dégâts à une portée &lt;75m. ND +10 si Monté.</t>
  </si>
  <si>
    <t>Johyo (Corde à flèchettes)</t>
  </si>
  <si>
    <t xml:space="preserve">Johyo </t>
  </si>
  <si>
    <t>En AC, vous pouvez utiliser un emplacement de sort pour gagner +1g0 sur un Jet de Compétence Sociale. AG aux Sorts de Divination.</t>
  </si>
  <si>
    <t>Devin Usagi</t>
  </si>
  <si>
    <t>Art de la Magie, Calligraphie (Code Secret), Divination, Enquête, Connaissance Dégradante :Maho OU Kolat, une compétence Noble au choix, une compétence au choix</t>
  </si>
  <si>
    <t>Robe, Wakizashi, Nécéssaire de Divination, Etui à Parchemins/Amulettes, Nécéssaire de Voyage</t>
  </si>
  <si>
    <t>Voir l'Inconnu</t>
  </si>
  <si>
    <t>En lançant le sort Bassin Réfléchissant, vous pouvez déclarer une A pour voir un endroit que ne connaissez pas, pour autant que vous connaissiez le nom de l'endroit, le nom de qqun qui s'y trouve actuellement ou que vous possédiez un objet qui en est issu (comme une pierre d'un bosquet ou un parchemin d'une bibliothèque). Cela peut être effectué une seule fois par jour par emplacement donné.</t>
  </si>
  <si>
    <t>Shugenja Isawa 1</t>
  </si>
  <si>
    <t>Vigie Sans Repos</t>
  </si>
  <si>
    <t>Sentinelle Hotaru</t>
  </si>
  <si>
    <t>Enquête 2, Méditation 2</t>
  </si>
  <si>
    <t>Si vous réussissez à un test de Méditation / Constitution (ND 20), vous pouvez surveiller pendant une journée entière sans avoir besoin de repos, de nourriture ou d'eau. Pendant ce temps, vous gagnez + 2g2 à tous les tests basés sur la Perception. Cette technique ne peut être utilisée à nouveau tant que vous n'avez pas dormi pendant une nuit entière.</t>
  </si>
  <si>
    <t>Shinrai Jotomon</t>
  </si>
  <si>
    <t>Elements</t>
  </si>
  <si>
    <t>Maître des Elements</t>
  </si>
  <si>
    <t>Iaijutsu 5, Jiujutsu 5, Kenjutsu 5, Connaissance générale: Bushido 6</t>
  </si>
  <si>
    <t>Iaijutsu 5, Jiujutsu 5, Kenjutsu 5, Connaissance générale: Bushido 7</t>
  </si>
  <si>
    <t>Iaijutsu 5, Jiujutsu 5, Kenjutsu 5, Connaissance générale: Bushido 8</t>
  </si>
  <si>
    <t>La Main est mon épéé</t>
  </si>
  <si>
    <t>La Pureté de l'Honneur</t>
  </si>
  <si>
    <t>Les Coupures de l'Harmonie</t>
  </si>
  <si>
    <t>Spécial (voir Little Truths p.31)</t>
  </si>
  <si>
    <t xml:space="preserve">Vous pouvez utiliser votre compétence de Kenjutsu à la place de Iaijutsu à Mains Nues et à la place d'Athlétisme avec un wakisashi. Ajoutez la moitié (arrondi supérieur) de vos rangs en Connaissance générale: Bushido au résultat de chacun de vos tests d'attaque et de dégâts. </t>
  </si>
  <si>
    <t>Dépensez un Pvide après avoir subit une atk pour faire un test de Kenjustsu/Eau avec un ND égal au rang de l'arme utilisée par votre adv. X5. Si l'adversaire a déclaré des A vous devez les déclarer aussi pour réussir. En cas de réussite vous redirigez cette atk vers une autre personne à portée. Ajoutez le double de vos rangs en Connaissance générale: Bushido au résultat de chacun de vos tests d'Initiative et à votre ND d'armure.</t>
  </si>
  <si>
    <t>Lorsque vous portez une atk ou faites un test opposé contre une personne de rang d'Honneur inférieur au vôtre, vous gagnez +Xg0 où X égale le différence entre vos rangs d'Honnneur et ceux de votre ennemi. Vous ne pouvez utiliser cette compétence avec une compétence Dégradante ou si cet acte conduit à une perte d'Honneur.</t>
  </si>
  <si>
    <t>La Pierre parmi les Flammes</t>
  </si>
  <si>
    <t>Le Vent parmi les Vagues</t>
  </si>
  <si>
    <t>Les Secrets entre Toutes Choses</t>
  </si>
  <si>
    <t>Connaissance générale: Elements 5, Connaissance générale: Théologie 5, Art de la Magie 7</t>
  </si>
  <si>
    <t>Connaissance générale: Elements 5, Connaissance générale: Théologie 5, Art de la Magie 8</t>
  </si>
  <si>
    <t>Connaissance générale: Elements 5, Connaissance générale: Théologie 5, Art de la Magie 9</t>
  </si>
  <si>
    <t>Shugenja uniquement, Un Anneau à 6, tous les autres à 4</t>
  </si>
  <si>
    <t>Dépensez un Pvide lorsque vous incantez un sort pour réussir automatiquement l'incantation sans devoir lancer le moindre dé. Ce sort de consomme aucun emplacement de Sort. Un sort incanté de cette façon ne peut bénéficier que d'AG et aucune autre A. Vous êtes considéré comme supérieur d'un rang dans votre Ecole de Shugenja.</t>
  </si>
  <si>
    <t>Vous pouvez changer l'élément de n'importe quel sort de niveau 1 à 5 en augmentant de 1 le rang d'un sort. Vous êtes considéré comme supérieur de deux rangs dans votre Ecole de Shugenja.</t>
  </si>
  <si>
    <t>Guide Ancestral</t>
  </si>
  <si>
    <t>Spécialiste d'Arme</t>
  </si>
  <si>
    <t>Rang 3 ou 4 de n'importe quelle école Bushi</t>
  </si>
  <si>
    <t>Une Compétence d'Arme avec un emphase à 5</t>
  </si>
  <si>
    <t>Un avec l'Acier</t>
  </si>
  <si>
    <t>Vous pouvez effectuer une attaque avec votre arme d'emphase ou toute arme Samourai au prix d'une AS au lieu d'une AC. De plus lorsque vous manipulez cette arme, ajouter votre Rang dans cette arme à votre ND d'armune lorsque vous êtes en posture d'Esquive ou de Défense.</t>
  </si>
  <si>
    <t>Remplace une technique qui permet d'attaquer en AS au lieu d'une AC</t>
  </si>
  <si>
    <t>Epéiste Kenku 2</t>
  </si>
  <si>
    <t>Par delà le Vent</t>
  </si>
  <si>
    <t>Dueliste Kenku</t>
  </si>
  <si>
    <t>Durant la Phase d'Evaluation d'un duel, le ND de toute tentative de votre adversaire pour obtenir des informations sur vous est augmenté de 10. Si votre adversaire échoue ce test, vous gagnez un bonus de +1g1 au test de Focalisation suivant.</t>
  </si>
  <si>
    <t>Boureau Eta</t>
  </si>
  <si>
    <t>Budoka</t>
  </si>
  <si>
    <t>Geisha</t>
  </si>
  <si>
    <t>Couteaux, Connaissance générale: Anatomie Enquête (Interrogatoire), Intimidation (Torture), 3 Compétences au choix d'Artisanat ou Dégradantes</t>
  </si>
  <si>
    <t>Vêtements Robustes, Aiguchi, Instruments de Torture</t>
  </si>
  <si>
    <t>Armure d'Ashigaru, Vêtements Robustes, Yari, 2 armes aux choix (non samourai), Nécéssaire de Voyage</t>
  </si>
  <si>
    <t>Art de la Guerre, Etiquette, Lances, 2 compétences de Bugei au choix (sauf Equitation et Kenjutsu), 2 Compétences d'Artisanat ou Dégradantes au choix</t>
  </si>
  <si>
    <t>Etiquette (Conversation), Spectacle: Danse, Tentation (Séduction), 3 Compétences d'Atrisanant, de Spectacle ou Sociales au choix</t>
  </si>
  <si>
    <t>Vêtements élégants, Nécéssaire de maquillage, Nécéssaire à Thé, un instrument de musique au choix</t>
  </si>
  <si>
    <t>La Question Nécéssite une réponse</t>
  </si>
  <si>
    <t>La Voie du Guerrier</t>
  </si>
  <si>
    <t>Feuille et Saule</t>
  </si>
  <si>
    <t>Désavantage: Désavantage Social: Eta</t>
  </si>
  <si>
    <t>Ne Stoppe Jamais</t>
  </si>
  <si>
    <t>Sous le Couvert de la Nuit</t>
  </si>
  <si>
    <t>Pour chaque A que vous déclarez sur une attaque, vous pouvez augmenter votre ND d'armure de 3 jusqu'à votre prochaine action. Ce bonus ne se cumule pas si vous faites des attaques multiples en un seul tour; il suffit de prendre le plus grand nombre à la place.</t>
  </si>
  <si>
    <r>
      <t xml:space="preserve">En méditant, gagnez un avantage </t>
    </r>
    <r>
      <rPr>
        <i/>
        <sz val="9"/>
        <rFont val="Arial"/>
        <family val="2"/>
      </rPr>
      <t>Bénédiction des Septs Fortunes</t>
    </r>
    <r>
      <rPr>
        <sz val="9"/>
        <rFont val="Arial"/>
        <family val="2"/>
      </rPr>
      <t xml:space="preserve"> jusqu'à ce que vous vous reposiez, même si vous en avez déjà une (on ne peut pas doubler une bénédiction). Vous ne pouvez en gagner qu'une seule de cette façon. Le MJ a le dernier mot.</t>
    </r>
  </si>
  <si>
    <r>
      <t xml:space="preserve">Test d'Enquête/ Intelligence contre l'Honneur x 10 pour trouver un bénéficier de l'Avantage </t>
    </r>
    <r>
      <rPr>
        <i/>
        <sz val="9"/>
        <rFont val="Arial"/>
        <family val="2"/>
      </rPr>
      <t>Chantage</t>
    </r>
    <r>
      <rPr>
        <sz val="9"/>
        <rFont val="Arial"/>
        <family val="2"/>
      </rPr>
      <t xml:space="preserve"> de votre cible. Si ce 1er jet échoue vous pouvez le retenter en usant de Contrefaçon/Intuition contre Commerce/Intuition.</t>
    </r>
  </si>
  <si>
    <t>Bonus, Comp., Honn. et Equip. de Bushi Daigotsu 1. Ajoutez vos Rg. de Percep. et de Souillure aux Comp. Nobles et Bugei SAUF Armes. Ajoutez la diff.entre votre Rg. d'Honneur et celui de votre adv. en atk.</t>
  </si>
  <si>
    <t>Discrétion=Compétence d'école et vous gagnez une spécialisation suppl. même au-delà du nbre max. Vos actions de déplacement ne sont pas réduites lors de l'utilisation de Discrétion, et vs ignorez les pénalités de terrain qui réduiraient vos actions de mouvement</t>
  </si>
  <si>
    <t>Vous pouvez effectuer une attaque de Corps à Corps au prix d'une AS au lieu d'une AC</t>
  </si>
  <si>
    <t>Vous pouvez effectuer une attaque de Corps à Corps avec une Arme d'Hast ou à Mains Nues au prix d'une AS au lieu d'une AC</t>
  </si>
  <si>
    <t>Chaque fois que vous tuez un adversaire vous pouvez gagner un point de souillure pour le faire se relever en zombie sous votre contrôle durant le round suivant et ce jusqu'à la fin du combat.</t>
  </si>
  <si>
    <r>
      <t xml:space="preserve">Vous gagnez un avantage </t>
    </r>
    <r>
      <rPr>
        <i/>
        <sz val="9"/>
        <rFont val="Arial"/>
        <family val="2"/>
      </rPr>
      <t>Caresse des Royaumes Spirituels</t>
    </r>
    <r>
      <rPr>
        <sz val="9"/>
        <rFont val="Arial"/>
        <family val="2"/>
      </rPr>
      <t xml:space="preserve"> sans devoir dépenser d'XP. Vous gagnez un bonus au résultat de tous vos tests d'Etiquette et Courtisan égal au nombre d'occurences que vous avez de  </t>
    </r>
    <r>
      <rPr>
        <i/>
        <sz val="9"/>
        <rFont val="Arial"/>
        <family val="2"/>
      </rPr>
      <t>Caresse des Royaumes Spirituels</t>
    </r>
    <r>
      <rPr>
        <sz val="9"/>
        <rFont val="Arial"/>
        <family val="2"/>
      </rPr>
      <t>.</t>
    </r>
  </si>
  <si>
    <t>Vous bénéficiez d'un bonus de +2g1 en Calligraphie (Code Secrets). Après avoir passé un mois avec une personne parlant une langue étrangère vous pouvez acheter l'Avantage Langue correspondant pour 1 pt de moins.</t>
  </si>
  <si>
    <t>Vous pouvez ignorer les effets d'armure du ND d'Armure d'un adversaire. Vos attaques à Mains Nues ignorent 1 Rang de Réduction de votre cible</t>
  </si>
  <si>
    <r>
      <t xml:space="preserve">+2g1 à tous vous tests Sociaux. Vous gagnez un avantage </t>
    </r>
    <r>
      <rPr>
        <i/>
        <sz val="9"/>
        <rFont val="Arial"/>
        <family val="2"/>
      </rPr>
      <t>Caresse des Royaumes Spirituels</t>
    </r>
    <r>
      <rPr>
        <sz val="9"/>
        <rFont val="Arial"/>
        <family val="2"/>
      </rPr>
      <t xml:space="preserve"> sans devoir dépenser d'XP.</t>
    </r>
  </si>
  <si>
    <t>Peut relancer tout jet de Compétence ou de Trait s'appuyant sur la Force mais vous devez garder le second résultat. Vous ne subissez pas de malus en terrain médiocre, seulement la moitié du malus en terrain difficile</t>
  </si>
  <si>
    <r>
      <t xml:space="preserve">Tous les bonus et pénalités, Nd d'armures conférés par </t>
    </r>
    <r>
      <rPr>
        <i/>
        <sz val="9"/>
        <rFont val="Arial"/>
        <family val="2"/>
      </rPr>
      <t>Caresse des Royaumes Spirituels</t>
    </r>
    <r>
      <rPr>
        <sz val="9"/>
        <rFont val="Arial"/>
        <family val="2"/>
      </rPr>
      <t xml:space="preserve"> et </t>
    </r>
    <r>
      <rPr>
        <i/>
        <sz val="9"/>
        <rFont val="Arial"/>
        <family val="2"/>
      </rPr>
      <t>Maudit par les Royaumes Spirituels</t>
    </r>
    <r>
      <rPr>
        <sz val="9"/>
        <rFont val="Arial"/>
        <family val="2"/>
      </rPr>
      <t xml:space="preserve"> sont doublés pour vous et les personnes que vous affectez avec vos techniques. Vous gagnez deux avantages Caresse des Royaumes Spirituels sans devoir dépenser d'XP.</t>
    </r>
  </si>
  <si>
    <r>
      <t xml:space="preserve">Lorsque vous effectuez un Test de Sincérité ou de Commerce vous avez un bonus égal à la différence entre l'Intelligence de votre adversaire et la vôtre (sauf si la sienne est plus élevée). Vous gagnez un Avantage </t>
    </r>
    <r>
      <rPr>
        <i/>
        <sz val="9"/>
        <rFont val="Arial"/>
        <family val="2"/>
      </rPr>
      <t>Relations</t>
    </r>
    <r>
      <rPr>
        <sz val="9"/>
        <rFont val="Arial"/>
        <family val="2"/>
      </rPr>
      <t xml:space="preserve"> valant au maximum 6XP qui ne vous sert que comme informateur.</t>
    </r>
  </si>
  <si>
    <t>Tout personnage passant au moins 4h aux bons soins du Sensualiste sera reposé comme s'il avait passé une nuit entière de repos. +1g0 à tous les jets de Tentation (Séduction)</t>
  </si>
  <si>
    <t>La cible de cette technique a l'Avantage Clairvoyant pour les prochaines 24h. +1g0 à tous les jets de Tentation (Séduction) qui s'adittione à la technique de Rang 1.</t>
  </si>
  <si>
    <r>
      <t xml:space="preserve">Après 4h avec un perso Test de Tentation (Séduction)/Intuition contre ND 30. En cas de réussite vous pouvez prendre l'avantage </t>
    </r>
    <r>
      <rPr>
        <i/>
        <sz val="9"/>
        <rFont val="Arial"/>
        <family val="2"/>
      </rPr>
      <t>Chantage</t>
    </r>
    <r>
      <rPr>
        <sz val="9"/>
        <rFont val="Arial"/>
        <family val="2"/>
      </rPr>
      <t xml:space="preserve"> contre ce perso à un nbre de Rg. égal aux A de votre Test.</t>
    </r>
  </si>
  <si>
    <t>+1g1 aux dégâts pour vous et votre compagnon quand vous attaquez la même cible.</t>
  </si>
  <si>
    <t>A chaque fois que vous portez au moins deux attaques durant un même round, votre compagnon peut attaquer deux fois au round suivant.</t>
  </si>
  <si>
    <r>
      <t>+3g0 à votre Intimidation. Cumulatif avec la technique d'Ecole de Rang 4:</t>
    </r>
    <r>
      <rPr>
        <i/>
        <sz val="9"/>
        <rFont val="Arial"/>
        <family val="2"/>
      </rPr>
      <t xml:space="preserve"> Soutenir la Paix</t>
    </r>
  </si>
  <si>
    <t>Vs. pouvez faire une attaque à l'arc pour une AC avec un Bonus de +1ko pr chaque Kiho Martial actif au moment où vs. le faites. Si vous tuez un être intelligent de cette manière, vous perdez 3 pts d'Honneur.</t>
  </si>
  <si>
    <t>Dépenser un Pvide et une ActG: +1g1 à un test pour un de vos alliés qui n'a pas encore agit ce Round ci. (ne peut pas augmenter un jet ne pouvant recevoir d'augmentation par usage de Pvide)</t>
  </si>
  <si>
    <r>
      <t>Désavantage:</t>
    </r>
    <r>
      <rPr>
        <i/>
        <sz val="9"/>
        <rFont val="Arial"/>
        <family val="2"/>
      </rPr>
      <t xml:space="preserve"> Aspect Dérangeant</t>
    </r>
    <r>
      <rPr>
        <sz val="9"/>
        <rFont val="Arial"/>
        <family val="2"/>
      </rPr>
      <t xml:space="preserve"> sans gagner d'XP, +1g0 à vos Tests de Méditation, Peur et Tests Sociaux contre des heimin et hinin. Vous ne perdez pas d'Honneur en touchant les morts.</t>
    </r>
  </si>
  <si>
    <t>AG en Discrétion et Sincérité (Tromperie) qd vous agissez contre un Agent du Gozoku ou sous une authorité Impériale. Vs ne perdez aucun Honneur quand vs utilisez ces compétences dans ces circonstances.</t>
  </si>
  <si>
    <t>Pour chaque semaine passée en travaillant de manière humble, vous gagnez un PVide qui vous ne pouvez utiliser que sur des compétences d'Artisanat, Médecine pour aider les paysans /hinin, ou jets de Compétences Sociales contre des samouraïs. Nbre maximum de PVide bonus "gardés"= votre Rg de Vide.</t>
  </si>
  <si>
    <t>Tant que vs restez absolument pacifiste et aidez ttes les victimes avec un soin égal, vos test de médecine guérissent 2g1 blessures suppl. Si vous vous engagez volontairement violement une créature, vs perdez ce benefice pr toujours. Vous ne gagnez pas de Kiho à ce Rang.</t>
  </si>
  <si>
    <t>Lorsque vous tirez à l'arc, ignorez tous les malus et réductions de dés dus à l'Aveuglement, à un Oeuil Manquant ou aux effets de Dissimulation, Illusion magique, Brouillard ou Obscurité. Dépensez un Pvide: +1g1 aux Dommages quand vous maniez un arc</t>
  </si>
  <si>
    <r>
      <t xml:space="preserve">Dépensez un Pvide et réusissez une atk avec 3A ou 5A: votre cible est Aveuglée (3A) pour le reste du combat ou aquiert le Désavantage </t>
    </r>
    <r>
      <rPr>
        <i/>
        <sz val="9"/>
        <rFont val="Arial"/>
        <family val="2"/>
      </rPr>
      <t>Aveugle</t>
    </r>
    <r>
      <rPr>
        <sz val="9"/>
        <rFont val="Arial"/>
        <family val="2"/>
      </rPr>
      <t xml:space="preserve"> (5A). La cible doit réussir un test de Volonté de ND 20 (ou 30 si 5A) ou être considérée Hors Combat.</t>
    </r>
  </si>
  <si>
    <t>Vous pouvez ajouter votre Rg. de Discrétion à votre Score d'Initiative (tant que vous n'êtes pas Surpris). +1g0 à vos Tests de Discrétion en Outremonde. Vos rations de nourriture, eau et jade durent 2X plus lomgtemps.</t>
  </si>
  <si>
    <t>+1g0 pour résister à l'Intimidation et à la Peur. +1g0 aux Dommages et à l'Attaque et quand vous combattez à Mains Nues ou avec une Arme Improvisée. Vous ne pouvez garder que les dés les plus élevés.</t>
  </si>
  <si>
    <t>+1g0 aux jets d'Incantation quand la cible est une créature Non-humaine. +1g1 aux Dommages à tout sort infligeant des dégâts contre une créature ayant un Rg. de Souillure. AG aux Sorts de Jade</t>
  </si>
  <si>
    <t>Jet d'Opposition Volonté/Intimidation vs Volonté/Etiquette. En cas de succès +1g0 (+1g0 pour toute A prise) à tout jets d'attaque au 1er Round de Combat contre cette cible lors du prochain combat. Si effectué lors d'un combat, compte pour une AC.</t>
  </si>
  <si>
    <t>Vous pouvez faire un Test de Commerce/Intuition ND 20 pour localiser un objet rare ou utile pour le compte d'autrui. Les objets plus rares ou de meilleure qualité sont obtenus en prenant des Augmentations.</t>
  </si>
  <si>
    <t>Vous pouvez effectuer une attaque avec un Yumi au prix d'une AS au lieu d'une AC. Attaque avec un yumi, ignorez toute Réduction naturelle de la cible (par exemple de la Réduction de l'armure ou protection naturelle) et la moitié de la Réduction due aux effets magiques.</t>
  </si>
  <si>
    <t>Pas de malus pr utiliserun  Masakari en main gauche (toujours malus pour manier deux armes). Attaque en AS avec un Masakari et en posture d'Assaut contre n'importe quel ennemi, ou dans la Posture d'Attaque contre l'Outremonde ou un ennemi corrompu, +3g0 à vos dommages.</t>
  </si>
  <si>
    <t>La Peur est un Don</t>
  </si>
  <si>
    <r>
      <t>Test d'Opposition Intimidation (Contrôle)/Volonté vs. Etiquette (Courtoisie)/Volonté d'un adversaire auquel vs avez délivré de l'argent ou des biens matériels. En cas de succès, vous pouvez acheter</t>
    </r>
    <r>
      <rPr>
        <i/>
        <sz val="9"/>
        <rFont val="Arial"/>
        <family val="2"/>
      </rPr>
      <t xml:space="preserve"> Chantage</t>
    </r>
    <r>
      <rPr>
        <sz val="9"/>
        <rFont val="Arial"/>
        <family val="2"/>
      </rPr>
      <t xml:space="preserve"> contre la cible ou lui infliger une </t>
    </r>
    <r>
      <rPr>
        <i/>
        <sz val="9"/>
        <rFont val="Arial"/>
        <family val="2"/>
      </rPr>
      <t>Obligation</t>
    </r>
    <r>
      <rPr>
        <sz val="9"/>
        <rFont val="Arial"/>
        <family val="2"/>
      </rPr>
      <t xml:space="preserve"> pour 3 XP.</t>
    </r>
  </si>
  <si>
    <t>+2g0 à tous tests de Jeux: Sadane et à tous les tests d'Artisan ou Spectacle effectués pour évaluer la qualité du travail de quelqu'un d'autre. Si l'œuvre que vous appréciez a nécéssité au moins autant d'A, que votre Rg. D'école son auteur gagne autant pts de Gloire que votre rang d'Ecole</t>
  </si>
  <si>
    <t>Ne perdez pas de Gloire pour user de Commerce ni d'Honneur pr détruire des écrits dangereux. Vos gains d'Honneur sont réduits de moitié. Le TN de toute tentative pour vous calomnier est augmenté de 5X Votre rang d'Ecole.</t>
  </si>
  <si>
    <t>AG lorsque que vous utilisez Sincérité (Tromperie). Les ND de Jets pour déctecter votre Souillure augmentent de 5X votre Rang d'école Quand qqun tente de deviner votre Honneur, ajoutez-y votre Rang d'Ecole.</t>
  </si>
  <si>
    <t>+1g0 aux total des jets d'Attaque à Mains Nues ou Armes d'hast. Ajoutez deux fois votre rang d'Ecole à votre ND d'Armure contre les attaques de Corps à Corps.</t>
  </si>
  <si>
    <t>Test de Courtisan (Manipulation)/Volonté vs Etiquette (Courtoisie)/Volonté de la cible. En cas de réussite, la cible gagne un Désavantage Rongé par le Shourido pdt un nombre d'heures égal à votre Rang d'Ecole.</t>
  </si>
  <si>
    <t>Dépensez 3 Emplacements de Sorts pour réprimer votre Souillure. Elle est indétectable et vous êtes immunisé au jade, au cristal et ne pouvez user de maho pendant un nombre d'ahures égal à votre Rang d'Ecole.</t>
  </si>
  <si>
    <t>Vous (ou un allié concentant) perdez volontairement jusqu'à 10pts d'Honneur, ajoutez le même bonus à un Test Social Contesté. Ajoutez votre Rg. D'école à votre Rg. d'Honneur quand qqun essaie de le deviner.</t>
  </si>
  <si>
    <t>Ajoutez votre Rg. D'Ecole X5 au ND de tout test pour détecter vos mensonges. AG en Sincérité (Tromperie) et toute compétence Dégradante</t>
  </si>
  <si>
    <t>Un nmbre de fois par jour égal à votre Rg. D'Ecole,vous pouvez dépenser un Pvide pour donner à un allié dans un rayon de 9m un avantage  Caresse des Royaumes Spirituels pour un nbre d'heures égal à votre Rg. d'Ecole.</t>
  </si>
  <si>
    <t>Un nmbre fois par jour égal à votre Rg. d'école vous pouvez tenter un test opposé de Courtisan (Manipulation)/ Volonté contre Etiquette (Courtoisie) Intuition. En cas de réussite votre ennemi reçoit un désavantage Maudit par les Royaumes Spirituel pendant un nombre d'heures égal à votre Rg. d'école.</t>
  </si>
  <si>
    <t>Au début d'un combat, vous pouvez choisir un nombre de Compétences de Bugei égal à votre rang d'école. +1g0 aux jets liés aux Compétences choisies.</t>
  </si>
  <si>
    <t>Ajoutez votre rang d'école +1 à vos blessures à chacun de vos rangs de blessures. Vos pénalités de blessures sont réduites de 5.</t>
  </si>
  <si>
    <t>Au début du premier tour d'une Embuscade, choissisez un nombre de compétence(s) égal à votre rang d'école. +1g0 à tous les jets de ces compétences tant que dure cette escarmouche.</t>
  </si>
  <si>
    <t>En AC, vous pouvez utiliser un emplacement de sort pour envoyer un message chuchoté de 30 secondes X votre rang d'école à un individu situé à maximum 150 X votre rang d'école km</t>
  </si>
  <si>
    <t>En posture d'Attaque, ajoutez 5 à votre ND d'Armure à chaque fois que vous touchez un adversaire au Corps à Corps. Cumulable jusqu'à un nombre de fois égal à votre rang d'école jusqu'à la fin de l'escarmouche.</t>
  </si>
  <si>
    <t>Un nombre de fois égal à votre rang d'école  par session, vous pouvez relancer un Test d'Intimidation ou de Sincérité raté. Vous devez conserver le résultat du second jet de dés.</t>
  </si>
  <si>
    <t>Lorsque vous construisez une armure, vous pouvez doubler les temps et coûts de fabrication pour ajouter votre rang d'école à la Réduction et la moitié de votre dang d'école au ND de l'Armure</t>
  </si>
  <si>
    <t>1X/Round qd un adversaire ajoutez le double de votre rang d'école à votre ND d'Armure. Peut se cumuler avec tout autre bonus au ND d'Armure (y compris en dépensant un Pvide)</t>
  </si>
  <si>
    <t>Tant que vs êtes caché ou dissimulé, vous pouvez dépenser un Pvide pour avoir un bonus de ajoutez +XgX à votre Discrétion où X est éga à votre rang d'école. Annulé si vous faites du bruit ou vous vous déplacez.</t>
  </si>
  <si>
    <t>Lorsque vous faites un jet sur la Table des Combats de Masse (p.240) vous pouvez ajouter ou enlever la moité de votre rang d'école au total du jet. Vous pouvez effectuer une attaque au CàC au prix d'une AS au lieu d'une AC avec un katana ou un dai tsuchi ou un éventail de guerre</t>
  </si>
  <si>
    <t>Augmentez de 5 fois votre rang d'école tous les ND des Compétences Sociales de tout individu cherchant à vous mentir, vous tromper, vous duper, vous désarmer ou vous feinter.</t>
  </si>
  <si>
    <t>Lorsque vous tentez de résister à une technique de compétence Sociale ou de Courtisan vous pouvez utiliser votre Volonté à la place du Trait normalement requis. Si cette technique interfère avec une autre le MJ a le dernier mot.</t>
  </si>
  <si>
    <t>Dépensez un Pvide lors d'une étape de Réaction: A votre tour suivant uniqment, vous pouvez entreprendre des actions comme si vous étiez au rang de Blessure Indemne. Ignorez Hébété, Fatigué et Etourdi.</t>
  </si>
  <si>
    <t>Jusqu'à la fin du combat, si vous infligez plus de Blessures que nécéssaire pour tuer votre cible, reportez le surplus à la prochaine cible que vs toucherez. Cette technique n'active pas 2 attaques d'affilée.</t>
  </si>
  <si>
    <t>En siège, vous ajoutez ou soustrayez votre Rg d'école à vos jets sur le tableau de bataille de masse (remplace le Ingénieur Kaiu de Rang 4). Si vs êtes en défense dans un siège, +2g0 Ingéniérie (Siege) pr utiliser armes de siège, Réduction de ttes structures augmentée de 50%.</t>
  </si>
  <si>
    <t>Dépsensez un Pvide et une AC: Vous pouvez faire une attaque en ignorant tous vos malus de Rg. de Blessure et de tout Désavantage Physique que vous possédez. +3g1 aux Dommages de cette attaque.</t>
  </si>
  <si>
    <t>Dépensez un Pvide et une ActG. pr activer cette technique pour un nbre de Rounds= Votre Rg. De Maîtrise. +1g1 à vos attaques OU +1g0 aux dégâts à Mains Nues. Vous gagnez un tatouage et 2 kihos</t>
  </si>
  <si>
    <t>Vous pouvez mobiliser un emplacement de Sort pour y stocker l'effet d'un de vos sorts qui cible 1 créature ou 1 personne sous la forme d'une potion. AG aux Sorts d'Artisanat</t>
  </si>
  <si>
    <t>Ajoutez votre Rg. d'Enquête à vos tests d'Observation et +1g0 dans les phases de Concentration et Frappe de duels Iaijutsu si votre adversaire a été déclaré coupable d'un crime par une authorité Impériale ou du Dragon. +1g0 en Chasse et Enquête pour traquer de telles proies.</t>
  </si>
  <si>
    <t>Dans la région pour laquelle vous avez l'Avantage Grand Voyageur, +1g0 dans une compétence de Bugei de votre choix. Test d'Opposition de Vide avant l'Initiative. En cas de succès l'Anneau d'Eau de votre adv. est considédé comme 1 Rg. inférieur pr son mvmt lors du prochain combat.</t>
  </si>
  <si>
    <t>Vous pouvez faire un Test d'Enquête (Sens de l'Observation)/Perception vs ND égal à 5X l'Intelligence de votre interlocuteur pour dresser un tableau précis de sa personnalité et ses motivations.</t>
  </si>
  <si>
    <t>Lorsque vous êtes Monté, votre monture considère les terrains Difficiles comme Modérés et les terrains Modérés comme des terrains Normaux. Vous pouvez tirez avec un arc en AS au lieu d'AC.</t>
  </si>
  <si>
    <t>Dépensez un Pvide et une AS: Ignorez les malus de Rg. de Blessure (y compris Epuisé mais pas Hors Combat) jusqu'à la fin du combat (ou 10 minutes en dehors d'un Combat)</t>
  </si>
  <si>
    <t>Aucune pénalité qd vous maniez un Katana ou Wakizashi dans votre main principale et une arme à feu dans votre autre main, Pas de perte d'honneur pour l'utilisation de poivre gaijin sur Rokugan et pour la seule gloire de l'Empire.</t>
  </si>
  <si>
    <t>+1g0 à vos atk avec une Lance ou une Arme d'Hast et dans vos jets Sociaux impliquants des heimins. Vous pouvez ajouter vos rangs de Chasse à vos résultats de jets d'Enquête.</t>
  </si>
  <si>
    <t>Jet d'Enquête (Sens de l'Observation)/Perception contre l'Etiquette/Intuition de votre ennemi. En cas de succès, vous percevez si cette personne est maudite et d'où émane cette malédiction. Vous gagnez un bonus de +3 au résultat de tous vos tests Sociaux contre une personne que vous savez maudite.</t>
  </si>
  <si>
    <t>Vous pouvez effectuer une attaque au prix d'une AS au lieu d'une AC tant que vous combattez plusieurs adversaires ou qu'un de vos adversaires peut porter plusieurs attaques en un round.</t>
  </si>
  <si>
    <t>+1g0 à vos Jets de Compétence et de Trait s'appuyant sur la Perception. +1g0 aux jets de Dommages contre les créatures venant d'un Royaume Spirituel.</t>
  </si>
  <si>
    <t>Test de Perception contre ND égal à l'Anneau d'Air de la créature X5 pour détecter la présence de créatures venant d'un Royaume Spirituel.</t>
  </si>
  <si>
    <t>Vous pouvez effectuer une attaque à la Lance et attaques avec des Armes "Samurai" au prix d'une AS au lieu d'une AC</t>
  </si>
  <si>
    <t>Vous pouvez faire un jet en [art] de ND 40, En cas de Succès devant un public, vous gagnez 5pts de Gloire +1 pour chaque A. Toute personne dans le public gagne 1 Pvide.  (ou 2 Pvide si vs. aviez pris 4A)</t>
  </si>
  <si>
    <t>Une fois/Mois, vous pouvez dépenser 2PVide et faire une test [art choisi]/Intuition contre un ND de 50. En cas de succès, votre œuvre prends vie pendant qques minutes (ou heure par Augmentation).</t>
  </si>
  <si>
    <r>
      <t>Pour une des 3 Compétences que vs avez choisi, votre "</t>
    </r>
    <r>
      <rPr>
        <i/>
        <sz val="9"/>
        <rFont val="Arial"/>
        <family val="2"/>
      </rPr>
      <t>art</t>
    </r>
    <r>
      <rPr>
        <sz val="9"/>
        <rFont val="Arial"/>
        <family val="2"/>
      </rPr>
      <t>";  Bonus de +2g0 et n'est pas limité par votre Vide quant au nbre de Pvide que vous pouvez y dépenser. AG au jeu: Sadane pr critiquer une œuvre</t>
    </r>
  </si>
  <si>
    <t>Bonus de +1g0 en Discrétion et Chasse. Toutes les pièges ruraux/ improvisés que vous créez sont exceptionnellement mortels, infligeant +1g1 dommages supplémentaires.</t>
  </si>
  <si>
    <t>Lorsque qu'une de vos œuvres est exposée: Jet d'Opposition [art choisi]/Intuition vs Courtoisie (Etiquette)/Volonté. Ceux qui ratent ce jet d'op. sont pronfondément touchés et son plus amicaux envers vous.</t>
  </si>
  <si>
    <t>Jet en Courtisan/Intelligence contre un ND de 15 pour communiquer des idées simples par langage corporel à un autre Grue de l'école de Courtisan Doji ayant 5 Rg. de Courtisan ou plus.</t>
  </si>
  <si>
    <t>Qd. vs utilisez Art ou Artisanat pr créer babiole, dépensez un Pvide pour conférer à l'objet un usage unique donnant +2g0 à un Jet de Compétence Noble. Un individu ne peut user que d'un objet de ce type par jour</t>
  </si>
  <si>
    <t>Vous pouvez frapper le 1er en duel si vous remportez le jet d'Iaijutsu/Vide d'au moins 3pts. AG sur votre Frappe pour chaque tranche de 3 pts entière supplémentaire.</t>
  </si>
  <si>
    <t>Vs pouvez ignorer tte Réduction provenant de l'Armure ou d'une Technique de votre adversaire (sauf la Réduction naturelle d'une créature). +1g0 à votre attaque contre un adversaire ayant de la Réduction</t>
  </si>
  <si>
    <t>Test d'opposition de Commerce/Intuition contre un marchand rival. En cas de succès, vous lui infligez une perte, d'un certain nombre de koku égal au montant par lequel votre test surpasse le sien. Si vous perdez le jet d'opposition, vous perdez la moitié de ce montant en kokus.</t>
  </si>
  <si>
    <r>
      <t xml:space="preserve">Jet en Courtisan/Intuition contre un ND de 20 afin de trouver un présent approprié ou une faveur. Si votre cadeau est accepté, vous pouvez prendre la cible comme </t>
    </r>
    <r>
      <rPr>
        <i/>
        <sz val="9"/>
        <rFont val="Arial"/>
        <family val="2"/>
      </rPr>
      <t>Relation</t>
    </r>
    <r>
      <rPr>
        <sz val="9"/>
        <rFont val="Arial"/>
        <family val="2"/>
      </rPr>
      <t xml:space="preserve"> à 1pt sans dépenser d'XP</t>
    </r>
  </si>
  <si>
    <r>
      <t xml:space="preserve">Test de Sincérité (Honnêteté)/Intuition vs Enquête (Interrogatoire) /Perception. En cas de succès,vous pouvez prendre la cible comme </t>
    </r>
    <r>
      <rPr>
        <i/>
        <sz val="9"/>
        <rFont val="Arial"/>
        <family val="2"/>
      </rPr>
      <t>Relation</t>
    </r>
    <r>
      <rPr>
        <sz val="9"/>
        <rFont val="Arial"/>
        <family val="2"/>
      </rPr>
      <t xml:space="preserve"> à 1 pt gratuitement. Max 1/Mois par cible. Tout succès ultérieur augmente de 1 la </t>
    </r>
    <r>
      <rPr>
        <i/>
        <sz val="9"/>
        <rFont val="Arial"/>
        <family val="2"/>
      </rPr>
      <t>Relation</t>
    </r>
    <r>
      <rPr>
        <sz val="9"/>
        <rFont val="Arial"/>
        <family val="2"/>
      </rPr>
      <t>. Dès que vous mentez -2pts d'Honneur.</t>
    </r>
  </si>
  <si>
    <t>Vous pouvez augmenter le ND pour accéder à un système amical de +5 par tranche de 10 minutes (max Rg. En Informatique X5) et créer des programmes qui rendent un ordinateur plus difficile d'accès.</t>
  </si>
  <si>
    <r>
      <t xml:space="preserve">Vous gagnez l'avantage: </t>
    </r>
    <r>
      <rPr>
        <i/>
        <sz val="9"/>
        <rFont val="Arial"/>
        <family val="2"/>
      </rPr>
      <t>Réseau d'espions</t>
    </r>
    <r>
      <rPr>
        <sz val="9"/>
        <rFont val="Arial"/>
        <family val="2"/>
      </rPr>
      <t xml:space="preserve"> gratuitement ou si vs l'avez déjà, vs pouvez l'utiliser 2X plus souvent. Bonus de +2g0 en Enquête, Discrétion et Tentation. Lorsque vous entreprenez une action déshonorante uniquement pour le compte du clan de la Grue vous ne perdez que la moitié de l'honneur arrondi au supérieur.</t>
    </r>
  </si>
  <si>
    <t>Dépensez un max de X Emplacement de Sort pour ajouter +2 pour tout emplacement (+3 à la place pour les emplacement d'Air) sacrifié au résultat d'un de vos Tests d'Artisanat où X =2X votre Rg. de Maîtrise</t>
  </si>
  <si>
    <t>Test d'Opposition: [art chosi]/Intuition contre ND=20 plus 5xRg. de gloire de l'advseraire. En cas de succès vous pouvez augmenter ou diminuer sa Gloire de max. 5pts +5pts pour chaque A. 2A pour Infâmie</t>
  </si>
  <si>
    <t>Test d'Opposition: [art chosi]/Intuition vs. Etiquette(Courtoisie)/Volonté. En cas de réussite, l'atitude de la cible envers votre clan s'améliore de manière permanente. Echec: l'effet inverse se produit.</t>
  </si>
  <si>
    <t>Dépensez une Act.G et un Pvide: tte manœuvre du Round suivant demande une A de moins pr être effectuée et fait +1g1 Dommages. Les A ne sont plus limitées par votre Vide Max si votre adversaire est Surpris.</t>
  </si>
  <si>
    <t>Dépensez un PVide pdt la phase Réaction pour forcer quiconque vous attaque à soustraire son Anneau d'Air de chacun de ses dés au prochain Tour. (Les dés qui s'ouvrent voient leur total final réduit.)</t>
  </si>
  <si>
    <t>+1g1 en d'Intimidation vs caste inférieure,+1g0 contre les Samurai mais s'applique pas à tte Compétence Sociale. +X dés en plus où X égale votre Rg. De Maitrise en Chasse et Enquête quand vous traquez.</t>
  </si>
  <si>
    <t>Tant que vous ne vous déplacez pas de plus d'1m50 durant votre dernier round, vous gagnez une AG à toutes vos atks avec une Lance et tout adversaire qui vous attaque doit déclarer une A sans effet.</t>
  </si>
  <si>
    <t xml:space="preserve">1X/Cycle lunaire/Perso: Après 1h dans eau de mer et Méditation, test de Volonté de la cible+ Anneau d'eau du moine/Volonté avec un ND de 20 + rang de Souillure de la cibleX 5. Succès: la cible perd 3 pts de Souillure. Si des Pvide sont dépensées ils doivent l'^^etre par la moine et sa cible et sont non récupérables pdt. 24h. </t>
  </si>
  <si>
    <r>
      <t>Vous pouvez acheter l'avantage</t>
    </r>
    <r>
      <rPr>
        <i/>
        <sz val="9"/>
        <rFont val="Arial"/>
        <family val="2"/>
      </rPr>
      <t xml:space="preserve"> Serviteur</t>
    </r>
    <r>
      <rPr>
        <sz val="9"/>
        <rFont val="Arial"/>
        <family val="2"/>
      </rPr>
      <t xml:space="preserve"> pour 4 pts au lieu de 5. Tout le monde peut utiliser la postude de Garde en vous ciblant en Action Gratuite. +1g1 à tous vos tests de Spectacle.</t>
    </r>
  </si>
  <si>
    <t>Lorsque vous portez des vêtements extravagants vous gagnez Peur 2 (+1 pour chaque autre Danseur qui combat avec vous, max +6). Qd vous portez des vêtements normaux, +10 au ND de Connaissance. (Héraldique)/Intelligence pour deviner votre identité.</t>
  </si>
  <si>
    <t>Lorsque vous effectuez un jet de compétence Noble ou Bugei dans lequel vous avez au moins 1 Rang, dépensez un PVide pour remplacer votre Rg. dans cette compétence par votre Rg. d'Honneur</t>
  </si>
  <si>
    <t>Si votre Rg. d'Honneur dépasse celui de votre adversaire, vous pouvez faire une seule attaque de mêlée supplémentaire (en AG) une fois par Round contre cet adversaire.</t>
  </si>
  <si>
    <t>Vous ne perdez ni Gloire ni Honneur qd vous utilisez Intimidation (Contrôle). Jet d'Opposition Coutisan (Manipulation)/Intuition vs. Etiquette (Courtoisie)/ Intuition pour suciter un désaccord ou une dispute.</t>
  </si>
  <si>
    <r>
      <t xml:space="preserve">Dépensez un Pvide: gagner l'Avantage </t>
    </r>
    <r>
      <rPr>
        <i/>
        <sz val="9"/>
        <rFont val="Arial"/>
        <family val="2"/>
      </rPr>
      <t>Grand Voyageur</t>
    </r>
    <r>
      <rPr>
        <sz val="9"/>
        <rFont val="Arial"/>
        <family val="2"/>
      </rPr>
      <t xml:space="preserve"> dans la province dans laquelle vous vous trouvez pdt. 24h. Toute personne qui vous attaque perd un nbre de Pt. D'honneur = 2XVotre Rg. de Maîtrise</t>
    </r>
  </si>
  <si>
    <r>
      <t xml:space="preserve">Avantage </t>
    </r>
    <r>
      <rPr>
        <i/>
        <sz val="9"/>
        <rFont val="Arial"/>
        <family val="2"/>
      </rPr>
      <t>Sens de l'Orientation</t>
    </r>
    <r>
      <rPr>
        <sz val="9"/>
        <rFont val="Arial"/>
        <family val="2"/>
      </rPr>
      <t xml:space="preserve"> sans dépenser d'XP et +1g0 à tt test de Bugei si vs êtes dans région pr laquelle vous avez </t>
    </r>
    <r>
      <rPr>
        <i/>
        <sz val="9"/>
        <rFont val="Arial"/>
        <family val="2"/>
      </rPr>
      <t>Grand Voyageur</t>
    </r>
    <r>
      <rPr>
        <sz val="9"/>
        <rFont val="Arial"/>
        <family val="2"/>
      </rPr>
      <t>. Test d'Intelligence/Connaissance: Cartographie ND 20 après 2j pr créer une carte de cette région.  Qui a cette carte a Grand Voyageur pr cette région.</t>
    </r>
  </si>
  <si>
    <t>Dépensez un Pvide et ActG: Test d'Enquête(Sens de l'Observation)/Perception vs. ND 25 pour mettre à jour les illusions. (La dépense de Pvide est annulée en présence d'un impérial important)</t>
  </si>
  <si>
    <t>Dépensez un Pvide et une ActG durant la phase d'Observation d'un duel pour faire un test d'Opposition Intimidation/Volonté. En cas de réussite, les dés de votre adversaire ne peuvent pas s'ouvrir durant les phases d'Obesrvation et de Concentration de ce duel.</t>
  </si>
  <si>
    <t>Dépensez un Pvide: Test d'Opposition Courtisan(Manipulation)/Intuition vs. Etiquette(Courtoisie)/Intuition. En cas de succès votre adverasire doit se rétracter ou perdre 5 Pts. d'Honneur</t>
  </si>
  <si>
    <t>Qd vous infligez plus de 10 pts de Dommages en une seule attaque, votre ennemi perds 1 Pvide. Relancez un seul dé de dommages et choissisez le meilleur si votre adversaire n'a plus ou pas de Pvide.</t>
  </si>
  <si>
    <t>Si vous retardez votre Tour pdt un Round jusqu'à ce que tous vos adversaires aient agi, ignorez toutes les pénalités de Blessure et vous pouvez dépenser autant de Pvide que souhaitez pr vos Dommages</t>
  </si>
  <si>
    <t>Dépensez un Pvide et une ActG pour cibler un adversaire à 9m: le ND de tous ses jets augmente d'une valeur égale à votre Rg. en Connaissance: Théologie jusqu'à la fin du combat. Une cible maximum.</t>
  </si>
  <si>
    <t xml:space="preserve">Choisissez Kenjutsu, Armes d'hast, ou Lances: gagnez une spécialité et un bonus de +1g0 à l'attaque. Lance ou Armes d'hast, en défense ajoutez votre Rg. de Compétence (/2 Kenjutsu) à votre ND d'Armure. </t>
  </si>
  <si>
    <r>
      <t xml:space="preserve">Bonus, Equipement et Honneur du Rang 1 de votre école de Base. +1g1 dans toutes les Compétences de Marchand et les Compétences Sociales qui ciblent vos clients. Vous gagnez un niveau d'Avantage </t>
    </r>
    <r>
      <rPr>
        <i/>
        <sz val="9"/>
        <rFont val="Arial"/>
        <family val="2"/>
      </rPr>
      <t>Riche</t>
    </r>
    <r>
      <rPr>
        <sz val="9"/>
        <rFont val="Arial"/>
        <family val="2"/>
      </rPr>
      <t xml:space="preserve"> et de </t>
    </r>
    <r>
      <rPr>
        <i/>
        <sz val="9"/>
        <rFont val="Arial"/>
        <family val="2"/>
      </rPr>
      <t xml:space="preserve">Grand Voyageur </t>
    </r>
    <r>
      <rPr>
        <sz val="9"/>
        <rFont val="Arial"/>
        <family val="2"/>
      </rPr>
      <t>sans dépenser d'XP.</t>
    </r>
  </si>
  <si>
    <t>Sacrifiez un Eplmnt sort et AS pour cibler un adv. à 100mXRg. De Maîtrise: Test d'Opp. de Volonté. Succès: les dés de la cible ne peuvent pas être relancés et s'ouvrent pas contre vs. AG aux sorts de Voyage</t>
  </si>
  <si>
    <t>Dépensez une Act.G en posture de Défense lorsqu'un adversaire réussit une attaque :Test d'Opposition d'Agilité. En cas de succès, l'attaque manque à la place. Max un nombre de fois par round égal à votre Rg d'école.</t>
  </si>
  <si>
    <t>Si votre adversaire dans une Empoignade n'a pas la spécialité Bariqu du Jiujutsu: +1g1 à vos tests pour contrôler l'Empoignade. Si votre Rg. d'Agilité &gt; à celui de votre adversaire dans une Empoignade :+2g0 à vos tests pour contrôler l'Empoignade. Bonus cumulables.</t>
  </si>
  <si>
    <r>
      <t xml:space="preserve">Vs ne perdez ni Honneur ni Gloire en utilisant Commerce en public. Test en Courtisan(Manipulation)/Intuition +2X votre Rg de Commerce vs. ND de 25 ou contre Etiquette(Courtoisie)/Volonté +2X Rg de Commerce pr gagner un partenaire commercial et le prendre comme </t>
    </r>
    <r>
      <rPr>
        <i/>
        <sz val="9"/>
        <rFont val="Arial"/>
        <family val="2"/>
      </rPr>
      <t>Relation</t>
    </r>
    <r>
      <rPr>
        <sz val="9"/>
        <rFont val="Arial"/>
        <family val="2"/>
      </rPr>
      <t xml:space="preserve"> à 1 gratuitement </t>
    </r>
  </si>
  <si>
    <t>Vous pouvez effectuer une attaque au Corps à Corps au prix d'une AS au lieu d'une AC lorsque vous attaquez avec un Arc si vous êtes Monté ou avec une arme "Samurai"</t>
  </si>
  <si>
    <r>
      <t xml:space="preserve">Jet d'Opposition Sincérité (Honnêteté)/Intuition vs. Etiquette (Courtoisie)/Volonté. En cas de réussite vs. Modifiez l'attitude de la cible à votre avantage. Si 2 Augm. la cible vous prend comme </t>
    </r>
    <r>
      <rPr>
        <i/>
        <sz val="9"/>
        <rFont val="Arial"/>
        <family val="2"/>
      </rPr>
      <t>Relation</t>
    </r>
    <r>
      <rPr>
        <sz val="9"/>
        <rFont val="Arial"/>
        <family val="2"/>
      </rPr>
      <t xml:space="preserve"> pdt. 24h</t>
    </r>
  </si>
  <si>
    <t>Dépensez une Act.G en Défense et si un adversaire réussit une attaque, pour porter une attaque au Corps à Corps contre cet adversaire mais vous met en Posture d'Attaque. Max 1X/Round, Max Rg. D'école/combat.</t>
  </si>
  <si>
    <t>Dépensez un Pvide quand vous êtes Monté: Faites une AS de Mvmt et attaquez votre cible à la fin du MVmt. En cas de succès, +2g1 au total de tous vos jets de Dommage pour ce tour.</t>
  </si>
  <si>
    <t>A chaque fois que vous êtes en présence d'un démon, d'un khadi ou d'un monstre similaire, Test de Volonté ND 25 pour sentir leur présence et les localiser. En cas de succès vous trouvez des indices qui permettent d'identifier sa vraie nature.</t>
  </si>
  <si>
    <t>Bonus au ND d'Armure de la tech. de Rg 1 aussi en attaque. 1X/Combat en posture d'Assaut, +4g2 à votre jet de dommages avec votre arme choisie. Si l'arme choisie est une Lances ou une Arme d'hast, aussi en posture d'Attaque.</t>
  </si>
  <si>
    <t>Dépensez une ActG. pour gagner un bonus à vos Dommages égal à votre pénalité de ND dus à vos Rg. de Blessures par défaut (Ignore les sorts,…). Les effets durent 2 Rounds mais vous pouvez les prolonger d'un Round suppl. en subissant à chaque fois 10 Blessures.</t>
  </si>
  <si>
    <t>Dépensez un Pvide: Jet d'Opposition Sincérité(Honnêteté)/Intuition vs. Etiquette(Coutoisie)/Intuition. En cas de réussite la cible (de Rg. d'honneur &gt;2.0) ne peut entreprendre aucune action hostile contre vous.</t>
  </si>
  <si>
    <t>S'il y a assez d'espace pour esquiver ou sauter, vous pouvez ajouter votre Rg. d'Athlétisme à votre ND d'Armure sauf en Posture d'Assaut ou de Centre. Anneau d'Eau +1 pour les Actions de Mvmt.</t>
  </si>
  <si>
    <t>En Posture d'Assaut, vous pouvez sauter pour attaquer un adversaire dans un rayon de 4,5m sans entreprendre d'action de mouvement. Toutes vos attaques de ce round doivent cibler cet adversaire.</t>
  </si>
  <si>
    <t>Lors des combats avec un couteau dans chaque main: +1g0 à vos test d'Initiative et  +1g1 à vos jets de dommages avec des couteaux</t>
  </si>
  <si>
    <t>Vous gagnez un nombre d'AG égal à votre rang d'école en Armes à Feu. Chaque rang d'école augmente aussi la portée de vos armes à feu de 30m.</t>
  </si>
  <si>
    <r>
      <t>Vous pouvez utiliser "</t>
    </r>
    <r>
      <rPr>
        <i/>
        <sz val="9"/>
        <rFont val="Arial"/>
        <family val="2"/>
      </rPr>
      <t>Rapide Comme l'Eclair</t>
    </r>
    <r>
      <rPr>
        <sz val="9"/>
        <rFont val="Arial"/>
        <family val="2"/>
      </rPr>
      <t>" aussi en Posture d'Attaque. Cette technique utilisée en postur d'Assaut, vous pouvez aussi effectuer votre 2ème attaque contre un autre adversaire situé à 4,5m du premier.</t>
    </r>
  </si>
  <si>
    <t>Vous ne souffrez d'aucune pénalité pour utiliser deux armes à feu simultanément. Vous pouvez effectuer une attaque à Mains Nues, ou avec une arme à feu " au prix d'une AS au lieu d'une AC</t>
  </si>
  <si>
    <t>Vous pouvez dépenser un Pvide en AC pour effectuer une attaque supplémentaire avec chacune de vos armes. Vous rechargez vos armes en une Action Gratuite.</t>
  </si>
  <si>
    <t>Vous pouvez relancer l'un de vos dés à chaque Round de combat de masse ou lors d'un test d'attaque dans lequel vous avez pris au moins une Augmentation.</t>
  </si>
  <si>
    <t>Lorsqu'un adversaire déclare une attaque contre vous et que vous n'avez encore fait aucune action, dépensez un Pvide et une AS pour effectuer une attaque contre cet ennemi avant la sienne. Max une AS.</t>
  </si>
  <si>
    <t>+1g0 aux dégâts à Mains Nues. Test de Méditation ND 30 pour projeter votre âme dans les domaines de la Meido ou Yomi, où vous pouvez interagir avec les esprits des ancêtres</t>
  </si>
  <si>
    <t>Ignorez le ND d'Armure de votre adv. ou gagnez une AG en attaquant (mais vs devez tenir compte de la Réduction d'armure). +1g0 au jet d'atk de votre 1ère attaque ou par AG de votre ennemi.</t>
  </si>
  <si>
    <t>Vous avez un lien avec un Lion. Aucun Lion ne vous attaquera, le vôtre uniquement que sur votre ordre et peut comprendre des ordres simples. AC pour que votre Lion attaque. Tout Lion proche de vous est en posture de Garde.</t>
  </si>
  <si>
    <t>+1g0 avec les Lances et Armes d'Hast. En posture de Défense, Centre ou Esquive, avec une Lance ou Arme d'Hast vous obtenez une Réduction égale à la moitié de votre Rg. dans cette compétence</t>
  </si>
  <si>
    <t>Vous ne perdez ni Honneur ni Gloire qd. vous utilisez des Compétences Dégradantes au service du Clan du Lion. Act.G: +1g0 à vous Tests d'Attaque ou d'Opposition. Max. Rg. de Maîtrise/Jour</t>
  </si>
  <si>
    <r>
      <t>Vous gagnez l'Avantage</t>
    </r>
    <r>
      <rPr>
        <i/>
        <sz val="9"/>
        <rFont val="Arial"/>
        <family val="2"/>
      </rPr>
      <t xml:space="preserve"> Excellente Mémoire</t>
    </r>
    <r>
      <rPr>
        <sz val="9"/>
        <rFont val="Arial"/>
        <family val="2"/>
      </rPr>
      <t xml:space="preserve"> sans dépenser d'XP. Test d'Opposition Art du Conteur/Intuition contre un ND 20 pour qu'une cible gagne un nombre de Pts de Gloire égal à votre Rg. de Maîtrise</t>
    </r>
  </si>
  <si>
    <t>En Posture d'Assaut, désignez un adversaire à 9m. Si vous touchez, l'adversaire est paralysé de Terreur. Il peut tenter un Test de Volonté=Dmg Infligés pr. mettre fin à l'effet à l'étape de réaction suivante.</t>
  </si>
  <si>
    <t>Lorsque vous êtes Monté, +1g0 à toutes les compétences de Bugei. Quand vous dépensez un PVide pour augmenter un jet de compétence Equitation ou Enquête, vous gagnez un bonus de +2g2 au lieu de +1g1.</t>
  </si>
  <si>
    <t>Une fois par jour en Action Simple vous pouvez dépenser un Pvide pour relancer un jet manqué et choisir un des deux résultats au choix.</t>
  </si>
  <si>
    <t>Une fois par tour, perdez 3pts d'honneur et une Act.G pour ajouter 2g1 à votre attaque, dommages et jet d'Opposition de compétences sociales jusqu'à la fin du Round.</t>
  </si>
  <si>
    <t>Vous pouvez en posture d'Assaut choisir de ne faire aucun dégâts. Au lieu de subir les dégâts d'une atk réussie, votre adversaire réussir faire un jet de Défense + Constitution ou être mis au sol et étourdi, perdant toute action jusqu'à la fin du prochain round.</t>
  </si>
  <si>
    <t>Dépensez un emplacement de Sort et une ActG: +1g0 à un jet lié à la Force (y compris les Dommages au CàC) OU +1g0 à l'Incantation d'un Sort "Art de la Guerre"</t>
  </si>
  <si>
    <t>1X/Combat: désignez un adversaire lors de l'étape de Réactions: Ignorez le ND d'armure que la cible tire de sa Posture durant le round suivant</t>
  </si>
  <si>
    <t>Les Lions de votre fierté peuvent effectuer 2 attaques de griffe par round au lieu d'une. Qd vous combattez côte à côte tous ont +2g1 aux Dommages. Un lion peut faire un AS de mvmt quand il attaque.</t>
  </si>
  <si>
    <t>Vous pouvez effectuer une attaque au Corps à Corps au prix d'une AS au lieu d'une AC à Mains Nues ou avec des Armes Improvisées. 1X par combat, vous pouvez prendre 2A sur une telle attaque, en cas de succès infligez un effet de Peur de Rg. égal à votre Maitrise.</t>
  </si>
  <si>
    <t>Quand vous portez un tessen, +1g1 en Art de la Guerre (Combat de Masse) et ajoutez la moitié de vos Rangs en Eventail de guerre à votre ND d'armure. Si vous ne portez qu'un tessen en posture de Défence ou d'Esquive, ajoutez votre Rg. en Eventail de guerre à votre ND d'armure.</t>
  </si>
  <si>
    <t>Test en Art de la Guerre/Intuition ND 15 en ActG. au début d'un combat. En cas de succès, gagnez un nmbre d'AG = nbre d'alliés + tte A prise au jet. Max 2X votre Rg. d'école. Vs pouvez dépenser ces dès en attaque, en Dommages ou en Défense (en Posture de Défense)</t>
  </si>
  <si>
    <t>Lorsque vous êtes attaquant dans un siège, vous recevez toujours une opportunité héroïque sur le tableau de ​bataille de masse quel que soit le résultat normal. Toutes les structures du côté du défenseur souffrent d'une pénalité de 50% à leur Réduction (appliquée après les Bonus)</t>
  </si>
  <si>
    <t>Vous pouvez effectuer une attaque à mains nues ou avec une arme samouraï au prix d'une AS au lieu d'une AC</t>
  </si>
  <si>
    <t>1X/Rencontre après avoir lancé des Dommages, dépensez un Pvide et une Act.G: Tous les dés que vous décidez de garder deviennent ouverts si bien que vous les relancez et ajoutez leur résultat au total</t>
  </si>
  <si>
    <t>La Victoire du Lion</t>
  </si>
  <si>
    <t>Lorsque vous maniez une Lance ou Arme d'Hast, vous pouvez entreprendre la manœuvre Attaque Supplémentaire pour 3A. Lorsque vous lancez une Lance vous le faites en ActG.</t>
  </si>
  <si>
    <t>Toutes vos Compétences d'Artisanat sont des Compétences d'Ecole. Gagnez 1pt de Gloire pour chaque Test d'Artisant réussi +1pt/5pts dépassant le ND (si ND&gt; ou = (10+ Rg. De Maitrise X5))</t>
  </si>
  <si>
    <t>Quand vous utilisez une de vos créations vous gagnez +2g1 par Pvide dépensé dans la Compétence adéquate. Quand on fait cadeau de vos œuvres vous gagnez votre Rg. de Maitrise en Pts de Gloire.</t>
  </si>
  <si>
    <t>1X/Jour, Dépensez tous vos Pvide pour créer une Arme Sacrée (voir Core p.221)</t>
  </si>
  <si>
    <t>Dépensez un Pvide et une AC pour disparaitre en Chikushudo et réparaitre dans un rayon de 50m X votre Rg. D'école.</t>
  </si>
  <si>
    <t>Vous subissez une transformation qui fait de vous un lycanthrope. Voir détails dans Court of the minor clans p.113.</t>
  </si>
  <si>
    <t>Vous pouvez effectuer une attaque au Corps à Corps au prix d'une AS au lieu d'une AC avec une arme liée à votre totem. Votre animal totem évolue en un esprit mineur (voir Court of the Minors Clans p.111)</t>
  </si>
  <si>
    <t>Votre animal totem évolue en un esprit majeur (voir Court of the Minors Clans p.111)</t>
  </si>
  <si>
    <r>
      <t xml:space="preserve">Doublez la durée des Sorts </t>
    </r>
    <r>
      <rPr>
        <i/>
        <sz val="9"/>
        <rFont val="Arial"/>
        <family val="2"/>
      </rPr>
      <t>Baume de Jurojin</t>
    </r>
    <r>
      <rPr>
        <sz val="9"/>
        <rFont val="Arial"/>
        <family val="2"/>
      </rPr>
      <t xml:space="preserve"> et </t>
    </r>
    <r>
      <rPr>
        <i/>
        <sz val="9"/>
        <rFont val="Arial"/>
        <family val="2"/>
      </rPr>
      <t>Voie Vers la Paix Intérieure.</t>
    </r>
    <r>
      <rPr>
        <sz val="9"/>
        <rFont val="Arial"/>
        <family val="2"/>
      </rPr>
      <t xml:space="preserve"> AG pour tous les sorts de Soin.</t>
    </r>
  </si>
  <si>
    <t>Chaque jour, vous recevez un nbre d'AG = Rg. d'école. Vous ne pouvez les utiliser que pour vos compétences d'école et une seule  à la fois. Se réinitialise chaque jour AG non dépensées sont perdues.</t>
  </si>
  <si>
    <t>Votre Rg. de Statut est considéré comme un Rg. Supérieur quand vous avez à faire au Clan de la Mante ou à des marchands. Lorsque vous dépensez un Pvide pour augmenter Commerce vous gagnez +2g2 au lieu de +1g1</t>
  </si>
  <si>
    <r>
      <t xml:space="preserve">Vous gagnez 30Xp que vous devez dépenser en Avantages: </t>
    </r>
    <r>
      <rPr>
        <i/>
        <sz val="9"/>
        <rFont val="Arial"/>
        <family val="2"/>
      </rPr>
      <t>Serviteur</t>
    </r>
    <r>
      <rPr>
        <sz val="9"/>
        <rFont val="Arial"/>
        <family val="2"/>
      </rPr>
      <t>. Vous pouvez y dépenser 10Xp poura voir 1 Shugenja Moshi de rang 1 avec Air 3 comme navigateur.</t>
    </r>
  </si>
  <si>
    <t>Pas de malus de mvmt dus aux Terrains médiocre ou difficile. Vous ne perdez ni Gloire ni Honneur en vous servant d'armes improvisées ou Paysan. Pas de malus à la main non-directrice. +1g0 à l'Attaque.</t>
  </si>
  <si>
    <t>+1g1 en d'Intimidation contre une caste inférieure,+1g0 contre les Samurai mais s'applique aux Compétence Sociale. +X dés en plus où X égale votre Rg. De Maitrise  en Chasse et Enquête quand vous traquez.</t>
  </si>
  <si>
    <t>Au Sol: aucun malus à votre ND d'Armure, ni à vos attaques avec de Petites Armes (ou à Mains Nues). +1g0 pour contrôler une Empoignade et à vos dégâts à Mains Nues, Petites Armes ou Armes Improvisées</t>
  </si>
  <si>
    <t>Bonus, Equipement et Honneur du Rang 1 de votre école de Base. Lorsque vous défendez une possession ou un personnage Moshi, vous pouvez choisir: +1g0 en attaque OU +1g1 à votre ND d'armure (ou celui de la personne que vous défendez).</t>
  </si>
  <si>
    <t>Vous gagnez un AG pour la Manœuvre Coup Précis. Vos dégâts augmentent de +2g0 quand vous utilisez un arc.</t>
  </si>
  <si>
    <t>Chaque fois que vous touchez un adversaire au Corps à Corps, son ND d'Armure est réduit de 5 pendant 2 Rounds. Cumulatif un nombre de fois égal à votre Rg. de Maîtrise.</t>
  </si>
  <si>
    <t>Quand vous réussissez une Feinte, réduisez les dmgs supplémentaires de la Feinte de 5 pour ajouter 5 (+10 à la place si vous êtes Au Sol) à votre Armure TN jusqu'au prochain tour. ActG. pour vous mettre Au Sol</t>
  </si>
  <si>
    <t>(Stats de départ: Voir CM p.199) AG en Chasse et Discrétion dans les environnements naturels. 2g0 à tout test d'Opposition visant à éviter ou détecter une personne dissimulée.</t>
  </si>
  <si>
    <t>Qd vous dépensez un Pvide pour ajouter +1g1 à un jet de d'Athlétisme, Navigation, Commerce, Sincérité ou une compétence Dégradante, ajoutez 2X votre Rg. de Maîtrise au total de ce jet</t>
  </si>
  <si>
    <t>Au cours d'un combat, vous ne souffrez pas de pénalités pour être Fatigué  ou Etourdi. Vs ne souffrez pas de pénalités pour intoxication. Si vous devenez étourdi, vous pouvez toujours prendre une AS par Round.</t>
  </si>
  <si>
    <t>Si vs utilisez un kusarigama pr une manoeuvre de Renversement ou Désarmement, +2g1 à votre attaque et vs pouvez pr 3A Enchevêter un adversaire jusqu'à 4,5m. Cela dure jusqu'à ce que vs relâchiez l'ennemi (en ActG), ou s'il réussit un jet d'opposition de Force contre vous (en AS).</t>
  </si>
  <si>
    <t>Un nombre de fois par session égal à votre Rg. De Maîtrise vous pouvez rejouer un Test de Sincérité comme si c'était un Test d'Intimidation (Contrôle) à la place. Vous devez garder le second résultat.</t>
  </si>
  <si>
    <t>Dépensez un Pvide et une AS pour annuler une condition climatique dans un rayon de 6m x X pdt X Round en Combat ou X heures où X=votre Rg. de Maîtrise. Voir Core p.234 pour contrer un sort.</t>
  </si>
  <si>
    <t>Dépensez un Pvide et une AC pour tirer une flèche qui ignore vos ND d'armure, malus de Visibilité et Rg. de Blessures. Vous ne pouvez pas cibler hors de portée ni faire d'autre attaque ce Round.</t>
  </si>
  <si>
    <t>Vous pouvez dépenser un Pvide en AS pour relancer un jet de Dommages ou d'attaque. Vous devez garder le résultat du second jet.</t>
  </si>
  <si>
    <t>Test d'Opposition: Intimidation (Contrôle) /Volonté vs. Etiquette (Courtoisie)/Volonté. En cas de réussite, votre cible ne peut pas dépenser de Pvide contre vous et à -3g0 à tous les Tests Sociaux pendant 1h.</t>
  </si>
  <si>
    <t>Vous pouvez lancer le sort Fureur d'Osano-Wo en AS en sacrifiant un emplacement de sort quelconque. Vos A pour des dommages de ce sort donnent +1g1 par A au lieu de +1g0.</t>
  </si>
  <si>
    <t>Tout en surfant sur l'Orochi: +2g0 à en Athlétisme,  vous êtes considéré comme ayant deux rangs de résistance contre la magie hostile de l'eau et vous pouvez retenir votre respiration sous l'eau deux fois plus longtemps</t>
  </si>
  <si>
    <t>Au début d'un Round de Combat, avant qu'un personnage n'agisse, réduisez votre Score d'Initiative de 5 pour ajouter +1g0 à vos jets d'Attaque et de Dommages pour ce Round</t>
  </si>
  <si>
    <t>Vous pouvez effectuer une attaque de Corps à Corps au prix d'une AS au lieu d'une AC lorsque vous adoptez la Posture d'Attaque</t>
  </si>
  <si>
    <t>AG pour vous redresser sur votre queue. Tant que vous êtes dans cette position, -5 à votre ND d'Armure mais +2g0 à tous vos jets d'attaque. ActG pour changer de posture au Round suivant, AS au même Round</t>
  </si>
  <si>
    <t>Dépensez un emplacement de Sort et une AC pour boyer une perle et déclencher une atk magique jusqu'à 30,5m. Jet d'atk= Agilité+ (2X votre Rg. de Maîtrise) conservant l'Agilité. Dommages= Akasha+Rg. de Maîtrise) conservant Akasha. Ignore les bonus au ND d'Armure.</t>
  </si>
  <si>
    <t>Vous pouvez opérer normalement en abscence d'eau, de repos ou de nourriture pendant 3 jours. Après cette période vous devez vous nourrir puis vous reposer pendant 4h ou vous êtes Fatigué.</t>
  </si>
  <si>
    <t>Dépensez un Point d'Akasha et une en Act.G pendnat votre propre tour pour élmininer un Condition qui vous affecte. Si vous êtes Etourdi cela vous demande une AS.</t>
  </si>
  <si>
    <t>Un guerrier nezumi peut relancer son jet d'Initiative un nombre de fois par jour égal à sonr Rg. d'Ecole de Guerrier. Bonus au ND d'Armure égal à la moitié de son Rg. d'Athlétisme quand il n'est pas en Posture d'Attaque</t>
  </si>
  <si>
    <t>Portez une attaque, dissimulez vous et ne faites aucun dommage. Pt de Nom: Test d'Opposition Discrétion (Furtivité)/Agilité vs Enquête (Sens l'Obs.)/Perception. Succès: votre adversaire perd toute trace de vous.</t>
  </si>
  <si>
    <t>+10 au ND d'Armure contre tout jet d'attaque d'un adversaire dont le score d'Initiative est inférieur au sien</t>
  </si>
  <si>
    <t>AC: Test d'Opposition Discrétion (Furtivité)/Agilité vs. Enquête (Sens de l'Observation)/Perception. En cas de succès par 15 ou plus, vous vous dissimulez dans le dos de votre adversaire</t>
  </si>
  <si>
    <t xml:space="preserve">+0g1 à tousles tests Sociaux contre des Esprits. Vous pouvez créer 3 +Rg. de Maîtrise talismans par jour. Chaque talisman placé sur une ouverture ou section de mur de 1,5m empêche que celle-ci soit franchie par un esprit. </t>
  </si>
  <si>
    <t>Vos attaques à Mains Nues ou avec un bâton nient toute invulérabilité contre les M-V et les esprits. Bonus de +1g0 à tout test visant à résister à un effet de Peur.</t>
  </si>
  <si>
    <t>Vous ne pouvez pas utiliser ni apprendre de Sorts Universels. Vous n'avez pas d'Affinité ni de Déficience mais n'avez pas besoin de parchemins pour lancer de sort. Vous ne pouvez pas non plus apprendre de kiho.</t>
  </si>
  <si>
    <t>Augmentez votre ND d'armure jusqu'à votre Rg. d'école x 5. Le TN de tous vos jets autres qu'Athlétisme, Défense, Discrétion est augmenté du même montant. L'activation de cette technique est une AS, elle dure pendant toute la durée de l'escarmouche.</t>
  </si>
  <si>
    <t>Vous gagnez un nombre de dés gardès égal à votre Rg. d'école en Discrétion. Tout test incontesté fait par un adversaire pr vous détecter voit son ND automatiquement augmenté d'un montant égal à 5X votre Rg. d'école. AG sur tous les jets d'attaque contre des adv. Surpris.</t>
  </si>
  <si>
    <t>Vous pouvez effectuer une attaque au Corps à Corps au prix d'une AS au lieu d'une AC avec un arme de Ninjutsu. En brandissant des shuriken, vous pouvez prendre une AC pr faire un certain nbre d'attaques à distance qui correspond à votre Rg d'école.</t>
  </si>
  <si>
    <t>Vous pouvez entrer n'importe quelle ombre assez grande pour cacher une personne de votre taille et sortir de toute autre ombre de taille similaire à proximité. Considéré comme un mouvement d'AS. La portée de ce mouvement est égal à votre rang École x 30,5m.</t>
  </si>
  <si>
    <t>Traits du visage effacés. Dans obscurité ou ombre, dissolvez votre corps physique en AS: Mvmt vitesse max ms ne peut interagir physiqmnt et ni être bléssé par autre chose que cristal. Traverser matière solide épaisseur de 12,5X votre Rg d'Ecole en cm. +5 en Initiative au 1er Round chaque fois que vous modifiez votre forme corporelle. Revenir en forme corporelle en ActG.</t>
  </si>
  <si>
    <t>Une fois par rencontre lorsque vous faites des dégâts à un adversaire avec une atk de mélée ou en Empoignade, dépensez un Pvide pour que votre ennemi doive réussir un test de Terre de TN égal aux dégâts subis. S'il le rate, il est Etourdi pour un Round.</t>
  </si>
  <si>
    <r>
      <t xml:space="preserve">Le ND de tout test visan tà vous déstabiliser est augmenté de 20. Vous devez acheter le Désavantage </t>
    </r>
    <r>
      <rPr>
        <i/>
        <sz val="9"/>
        <rFont val="Arial"/>
        <family val="2"/>
      </rPr>
      <t>Corpulent</t>
    </r>
    <r>
      <rPr>
        <sz val="9"/>
        <rFont val="Arial"/>
        <family val="2"/>
      </rPr>
      <t xml:space="preserve"> mais bénéficiez d'une </t>
    </r>
    <r>
      <rPr>
        <i/>
        <sz val="9"/>
        <rFont val="Arial"/>
        <family val="2"/>
      </rPr>
      <t>Bénédiction des Fortunes de la Nourriture</t>
    </r>
    <r>
      <rPr>
        <sz val="9"/>
        <rFont val="Arial"/>
        <family val="2"/>
      </rPr>
      <t xml:space="preserve"> au choix</t>
    </r>
  </si>
  <si>
    <r>
      <t xml:space="preserve">Qd vous êtes calomnié: Test Social Opposé de Sincérité (Honnêteté)/Intuition vs. Sincérité (Tromperie)/Intuition. En cas de succès la perte d'Honneur est doublée et infligée à votre adv. </t>
    </r>
    <r>
      <rPr>
        <i/>
        <sz val="9"/>
        <rFont val="Arial"/>
        <family val="2"/>
      </rPr>
      <t>Sacrosaint</t>
    </r>
    <r>
      <rPr>
        <sz val="9"/>
        <rFont val="Arial"/>
        <family val="2"/>
      </rPr>
      <t xml:space="preserve"> et</t>
    </r>
    <r>
      <rPr>
        <i/>
        <sz val="9"/>
        <rFont val="Arial"/>
        <family val="2"/>
      </rPr>
      <t xml:space="preserve"> Alliance Impériale</t>
    </r>
    <r>
      <rPr>
        <sz val="9"/>
        <rFont val="Arial"/>
        <family val="2"/>
      </rPr>
      <t xml:space="preserve"> vous coûte 1pt de moins.</t>
    </r>
  </si>
  <si>
    <t>+1g0 en Tentation (Séduction). En Manœuvre de Garde, vous pouvez ajouter votre Rg. d'école+1 au ND d'armure de votre cible en plus des autres bonus.</t>
  </si>
  <si>
    <t>Lors d'un Test Social Contesté, si votre Statut est plus élevé et votre Gloire moins élevée que celles de votre adversaire, ajoutez 2X votre Rg. d'Elevage au résultat de ce test.</t>
  </si>
  <si>
    <t>Dépensez un Pvide: pour chaque round où vous parlez en vous déplaçant, bonus cumulatif de +1g0 en Intimidation et Tentation (max +5g0). Tant que vous usez de cette technique ce ne sont pas des compétences Dégradantes.</t>
  </si>
  <si>
    <t>Rg. d'Ecole considéré comme un Rg.supérieur pr. Incanter des sorts. Non-Shugenja gagnent un kiho suppl. Dépensez une AC pr Contresort: En Act.G +2A à l'Incantation d'un ennemi sans en tirer bénéfice.</t>
  </si>
  <si>
    <t>Dépensez un Pvide: le sort que vous lancez obtient le mot-clef Jade ou Cristal. Si vous ne lancez pas de sorts, vous pouvez effectuer une attaque au Corps à Corps au prix d'une AS au lieu d'une AC à la place.</t>
  </si>
  <si>
    <t>Rg. d'Ecole est considéré comme un Rg.supérieur pr. Incanter des sorts de l'Elément choisi. Dépenser un Pvide et une Act.G pour ajouter cet AnneauX2 à votre ND d'Armure pdt cet Anneau/min.</t>
  </si>
  <si>
    <t>Dépensez un Pvide pour gagner +1g1 à un Test ou 2 Pvide pour gagner +2g2 à un Test. Vous pouvez entreprendre la manœuvre de Garde en Act.G. la cible de votre garde augmente de +5 son ND d'Armure au lieu de 10.</t>
  </si>
  <si>
    <r>
      <t xml:space="preserve">1X/mois, test Compétence d'Artisanat ND15. En cas de réussite, gagnez un nbre d'XP=au montant par lequel votre jet dépasse le ND, uniquement pour acheter l'avantage </t>
    </r>
    <r>
      <rPr>
        <i/>
        <sz val="9"/>
        <rFont val="Arial"/>
        <family val="2"/>
      </rPr>
      <t>Relations</t>
    </r>
    <r>
      <rPr>
        <sz val="9"/>
        <rFont val="Arial"/>
        <family val="2"/>
      </rPr>
      <t>. Dure Rg. de Maitrise/Sem.</t>
    </r>
  </si>
  <si>
    <t>Qd vous adoptez une Posture de Garde pendant un round choisisez une cible dans un rayon de 10m. Quand votre cible lance un sort ou est la cible d'un sort, vous pouvez augmenter ou diminuer le ND de 5  du jet d'Incantation de ce sort.</t>
  </si>
  <si>
    <t>Qd vous dépensez un Pvide en posture de Défense ou d'Esquive pour augmenter votre ND d'Armure, ajoutez-y votre Rg. d'Etiquette</t>
  </si>
  <si>
    <t>Les No-Dachi aet Parangu sont maintenant des armes "Samurai" pour vous. Vous pouvez dépenser des Pvides pour augmenter les dégâts d'un No-Dachi ou d'un Parangu comme si c'était un katana.</t>
  </si>
  <si>
    <t>Si après un Round passé en Position du Centre vous tirez une flèche, ajoutez les bonus d'1g1 (et de vide normaux) à votre jet d'attaque et de dommages.</t>
  </si>
  <si>
    <t>Après avoir passé au moins une journée dans une Cour, vous pouvez faire un Test de Connaissance (Histoire)/Perception de ND 20. En cas de réussite, +2g0 à tous vos tests de Comp. Sociales pdt 2 jours</t>
  </si>
  <si>
    <t>Lorsque vous incantez un sort qui ne fait pas de dégâts et qui ne vous cible pas vous-même, si vous avez au moins 3 Rangs dans une Connaissance appropriée, vous gagnez +1g1 à l'Incantation.</t>
  </si>
  <si>
    <t>Si une personne dépense un Pvide durant le combat à la phase de Réaction qui suit vous regagnez un Pvide deux foispar combat. Peut dépasser votre maximum jusqu'à la fin du combat en cours.</t>
  </si>
  <si>
    <t>Choissisez un élément autre que Vide quand vous obtenez cette technique. Qd. un shugenja à vue lance un sort de l'élément corespondant, vous gagnez un Pvide qui ne peut être dépensé que pour un Bonus associé à cet élément. (voir GC p. 203)</t>
  </si>
  <si>
    <t>Qd. un allié désigné dans un rayon de 3m subit attaque physique ou un sort, Test de Défense/Réflexes de ND 25. En cas de succès, vs subissez les dégats à sa place. Dépensez un Pvide pour réduire les dégâts de 20 au lieu de 10.</t>
  </si>
  <si>
    <t xml:space="preserve">Test d'Enquête/Intelligence ND 25 après avoir passé un jour à observer la vie d'une cour. Vs pouvez prendre une A par allié pr faire bénéficier un allié en plus. En cas de succès, vos riveaux ne peuvent utiliser des A ni de Pvide dans les Tests Socaux contre vous (eux) durant les prochaines 24h. </t>
  </si>
  <si>
    <t>Test de Connaissance (Histoire)/Intelligence contre un ND de 25. En cas de succès, un allié peut ajouter vos Rg. en Connaissance: Histoire à tous ses Jets Sociaux pdt. 24h. 2A ajoutent une cible à la technique.</t>
  </si>
  <si>
    <r>
      <t xml:space="preserve">Jet de Connaisance (Guerre) /Intelligence ND 25 ou Connaissance (Histoire)/Intelligence au ND 35 pour donner à X bushi alliés un rang unique de </t>
    </r>
    <r>
      <rPr>
        <i/>
        <sz val="9"/>
        <rFont val="Arial"/>
        <family val="2"/>
      </rPr>
      <t>Chance</t>
    </r>
    <r>
      <rPr>
        <sz val="9"/>
        <rFont val="Arial"/>
        <family val="2"/>
      </rPr>
      <t xml:space="preserve"> pour la durée de la mission (si non utilisé il disparaît à la fin de la mission) où X= nbre de A+1, Max. votre Rang d'école.</t>
    </r>
  </si>
  <si>
    <t>Dépensez une AS: pdt un nbre d'haures égal à votre Rg. de Maîtrise vs ne pouvez pas être trompé par une illusion. Si ces fausses images ont un Rg. plus élevé que votre Rg. de Maîtirse, test d'Oppostion d'Air.</t>
  </si>
  <si>
    <r>
      <t xml:space="preserve">À bord d'un navire sur l'eau, dépensez un empl. de sort Eau ou Air en AC pour créer une barrière autour du navire qui dure 3 Rounds. Le navire a Réduction de 10 vs atk physiques et de 25 contre toute atk à base de feu.  Entrave les flèches (y compris de) tte personne sur le navire en reproduisant </t>
    </r>
    <r>
      <rPr>
        <i/>
        <sz val="9"/>
        <rFont val="Arial"/>
        <family val="2"/>
      </rPr>
      <t>Appel de la Tempête</t>
    </r>
    <r>
      <rPr>
        <sz val="9"/>
        <rFont val="Arial"/>
        <family val="2"/>
      </rPr>
      <t>.</t>
    </r>
  </si>
  <si>
    <t>En défendant un lieu sacré comme un sanctuaire, un temple ou monastère,  AG sur tous les sorts de la Terre et vs. pouvez dépenser un Pvide et une ActG lorsque vous lancez un sort de terre qui inflige des dégâts afin de lui accorder le mot-clé Jade.</t>
  </si>
  <si>
    <t>Vous pouvez dépenser un Emplacement de sort autre que Vide pour créer une barrière autour d'un vaisseau qui augmente sa Réduction de +10 contre les attaques physiques et de +25 contre les attaques radiantes et immunise des effets de toute arme de poing à l'extérieur de la coque.</t>
  </si>
  <si>
    <t>Pour chaque Pvide que vous dépensez, vous obtenez un résultat double de ce que vous auriez du avoir normalement.Vous pouvez dépenser 2 Pvide au lieu de 1 par round pour obtenir des effets d'Améliration.</t>
  </si>
  <si>
    <t>Lorsque vous utilisez la technique de Yojimbo Shiba de Rang 3 vous pouvez un plus: Dépensez un Pvide pour annuler tous les dégâts au lieu de les transférer vers vous.</t>
  </si>
  <si>
    <t>+5g0 à tous vos Tests de Connaissance en plus de tous les bonus de vos autres techniques</t>
  </si>
  <si>
    <t>Test Connaissances: Elements (Eau) /Eau ND 20. En cas de réussite, vous pouvez effectuer une AS et une AC OU 3 AS par Round</t>
  </si>
  <si>
    <t xml:space="preserve">A chaque Test d'Artisanat opposé si vous avez plus de compétences d'Artisanat que votre adversaire, gagnez un AG. Si vous gagnez et que votre adversaire est supérieur, gagnez 1pt de Gloire. Ne perdez aucun Honneur pour user de compétences Marchand. </t>
  </si>
  <si>
    <r>
      <t>A chaque fois que qqun commisione une de vos œuvres d'Art, vous pouvez dépenser un Pvide pour la prendre comme un Avantage d'</t>
    </r>
    <r>
      <rPr>
        <i/>
        <sz val="9"/>
        <rFont val="Arial"/>
        <family val="2"/>
      </rPr>
      <t>Allié</t>
    </r>
    <r>
      <rPr>
        <sz val="9"/>
        <rFont val="Arial"/>
        <family val="2"/>
      </rPr>
      <t xml:space="preserve"> à 1 OU </t>
    </r>
    <r>
      <rPr>
        <i/>
        <sz val="9"/>
        <rFont val="Arial"/>
        <family val="2"/>
      </rPr>
      <t xml:space="preserve">Chantage </t>
    </r>
    <r>
      <rPr>
        <sz val="9"/>
        <rFont val="Arial"/>
        <family val="2"/>
      </rPr>
      <t>contre elle. Ces effets sont perdus après 30 jours.</t>
    </r>
  </si>
  <si>
    <t>Vous gagnez une AG pour tous les tests de Sociabilité vis-à-vis de vos clients, d'Etiquette et de Savoir le reste du temps.</t>
  </si>
  <si>
    <t>Test d'Héraldique/Perception contre Sincérité/Intuition de deux personnes que vous cherchez à mettre en relation. En cas de succès bonus de +3g0 à vos tests sociaux contre ces personnes durant 48h.</t>
  </si>
  <si>
    <r>
      <t xml:space="preserve">Quand vous arrangez un marriage même si celui-ci n'a pas lieu et que vous avez l'accord du MJ, vous pouvez prendre cette personne pour </t>
    </r>
    <r>
      <rPr>
        <i/>
        <sz val="9"/>
        <rFont val="Arial"/>
        <family val="2"/>
      </rPr>
      <t xml:space="preserve">Allié </t>
    </r>
    <r>
      <rPr>
        <sz val="9"/>
        <rFont val="Arial"/>
        <family val="2"/>
      </rPr>
      <t>sans payer de coût en XP.</t>
    </r>
  </si>
  <si>
    <r>
      <t xml:space="preserve">Après une semaine dépensez un Pvide pour donner l'Avantage </t>
    </r>
    <r>
      <rPr>
        <i/>
        <sz val="9"/>
        <rFont val="Arial"/>
        <family val="2"/>
      </rPr>
      <t>Heureuses Fiançailles</t>
    </r>
    <r>
      <rPr>
        <sz val="9"/>
        <rFont val="Arial"/>
        <family val="2"/>
      </rPr>
      <t xml:space="preserve"> ou le désavantage </t>
    </r>
    <r>
      <rPr>
        <i/>
        <sz val="9"/>
        <rFont val="Arial"/>
        <family val="2"/>
      </rPr>
      <t>Amères Fiançailles</t>
    </r>
    <r>
      <rPr>
        <sz val="9"/>
        <rFont val="Arial"/>
        <family val="2"/>
      </rPr>
      <t xml:space="preserve"> aux époux. Vous gagnez autant de pts de Gloire que le plus haut Staut des époux.</t>
    </r>
  </si>
  <si>
    <t>Vous pouvez vous servir des Sorts Universels pour affecter des esprits animaux et les kami. AG pour les sorts n'infligeant pas de Dommages lancés sur les animaux.</t>
  </si>
  <si>
    <t>(Stats de départ: Voir GC p.170). AG en Chasse et Discrétion dans les environnements naturels. 2g0 à tout test d'Opposition visant à éviter ou détecter une personne dissimulée.</t>
  </si>
  <si>
    <t>Dépensez un empl. De Sort de Terre et réussissez un test d'Incantation de 5+(5X le trait de Terre de l'animal invoqué) pour invoquer un esprit animal. Cet esprit est votre allié mais pas un serviteur. Il reste sur Nigen-Do pendant un nombre d'heure égal à à votre Rang de Terre</t>
  </si>
  <si>
    <t>Lorsque vous souffrez de Malus du au Rg. de Blessure, test de Terre ND=5+5 par Rg. de Blessure. En cas de succès, ignorez ces malus jusqu'à la prochaine phase de Réactions.</t>
  </si>
  <si>
    <t>Lorsque vous utilisez kiseru ou une paire de Jo au combat, gagne une AG et les maneouvres de Feintes et de Désarmement lui demandent une A de moins. +1g0 en Intimidation contre toute personne ayant un Statut de 0 ou moins.</t>
  </si>
  <si>
    <t>Deux ronins avec cette technique qui attaquent une même cible se confèrent mutuellement un bonus de +1g0 à l'atk. Si 3 ronins +5 au ND d'armure en plus. Si 4 ronins ou plus +1g0 aux dégâts. Requiert deux fois plus d'alliés pour déclencher les bonus s'ils ne connaissent pas cette technique.</t>
  </si>
  <si>
    <t>Vous pouvez lancer sans les apprendre tous les sorts du Vide de rang &lt;= à votre Rg. D'école (Max Rang 5) et n'avez besoin ni de parler ni de parchemin pour les lancer. Vous ne pouvez lancer QUE des sorts du Vide et gagnez une AG à tous les sorts de Divination.</t>
  </si>
  <si>
    <t>Vs ne subissez aucune pénalité à cause de l'obscurité naturelle. De nuit ou dans l'obscurité quand vous dépensez un Pvide pour augmenter une compétence de Bugei autre qu'une compétence d'Arme, +2g1 au lieu de +1g1.</t>
  </si>
  <si>
    <t>Sur un champ de bataille +1g1 à tout jet de Discrétion et +1A à tout jet d'attaque fait par surprise. Lorsque vs commetez un acte déshonorant au nom du Phénix vs ne perdez que la moitié d'Honneur (arrondi au supérieur)</t>
  </si>
  <si>
    <t>Quand vous surprenez un adversaire au 1er Round d'Escarmouche, doublez votre Force pour le calcul des Dommages contre cette cible.</t>
  </si>
  <si>
    <t>Test d'Opposition Comédie OU Spectacle/Intuition vs. Etiquette(Courtoisie)/Volonté. En cas de succès vous améliorez l'attitude de la cible en votre faveur. Si elle ne réagit pas avant 1 sem., perds 1 Rang dans toute Relation. Max une fois pas mois par personne ciblée.</t>
  </si>
  <si>
    <r>
      <t xml:space="preserve">+1g0 à tous les jets de Tentation (Corruption), +1g1 contre un samuraï du Crabe ou de la Grue à la place. Si le samuraï accepte le pot de vin vs. pouvez dépenser un PVide pr le gagner comme un </t>
    </r>
    <r>
      <rPr>
        <i/>
        <sz val="9"/>
        <rFont val="Arial"/>
        <family val="2"/>
      </rPr>
      <t>Allié</t>
    </r>
    <r>
      <rPr>
        <sz val="9"/>
        <rFont val="Arial"/>
        <family val="2"/>
      </rPr>
      <t xml:space="preserve"> avec 1 pt de dévotion. Il restera un allié en permanence, sauf si vous le trahissez.</t>
    </r>
  </si>
  <si>
    <t>Vous pouvez effectuer une attaque au Corps à Corps au prix d'une AS au lieu d'une AC avec une arme supplémentaire de votre choix. 1X/Combat vous pouvez dépenser un Pvide pour augmenter vos Dommages.</t>
  </si>
  <si>
    <t>Pendant un Round où vous défendez ou protégez activement quelqu'un d'autre, vous gagnez un Pvide à utiliser durant ce Round. Les Pvides non dépensés sont perdus à la fin du Round.</t>
  </si>
  <si>
    <t>Chaque fois qu'un adversaire déclare une Manœuvre contre vous, vous pouvez effectuer immédiatement une AG et dépenser un Pvide et annuler les effets bénéfiques de la manœuvre. Ignorez la pénalité à votre ND d'Armure quand vous êtes Empoigné.</t>
  </si>
  <si>
    <t>Dépensez un Pvide et une ActG durant la phase d'Observation d'un duel pour faire un test d'Opposition Intimidation/Volonté. En cas de réussite, les dés de votre adversaire ne peuvent pas exploser durant les phases d'Obesrvation et de Concentration de ce duel.</t>
  </si>
  <si>
    <t>Vous pouvez incanter les Sorts d'Invocation d'Armes élémentaires en AS plutôt qu'en AC. Dépensez un Pvide et une ActG: Vous pouvez effectuer une attaque au Corps à Corps au prix d'une AS au lieu d'une AC avec ces armes pdt. un nombre de Rounds=Votre Rg. de Maîtrise</t>
  </si>
  <si>
    <t>Qd. Vous maniez un éventail de guerre dans votre main non directrice, vous ne subissez pas de malus aux attaques portées avec cette main. Ajoutez votre Rg. d'Eventail de Guerre à votre ND d'Armure.</t>
  </si>
  <si>
    <t xml:space="preserve">Si vous avez remporté un jet d'Opposition contre qqun en utilisant votre Discrétion, vous pouvez dépenser un Pvide pr ajouter la différence entre votre jet de Discrétion et celui de votre adversaire pour vous détecter au prochain jet d'attaque effectué dans l'heure contre cet ennemi. </t>
  </si>
  <si>
    <t>A chaque fois que vous utilisez un sort ou une capacité qui permet de voir ou d'entendre au loin gagnez un nombre d'AG égal à votre Rg. de Divination. Peut dépenser un Pvide pour bénéficier de cet effet pour n'importe quel sort pour lequel vous avez une Affinité.</t>
  </si>
  <si>
    <t>Continuez de bénéficier des bonus de la posture du Centre pour un nombre de rounds égal à votre rang d'Iaijutsu après l'avoir quittée.</t>
  </si>
  <si>
    <t>+1g0 à tous vos tests de Compétence d'Arme de votre Ecole. Votre Volonté est considérée comme supérieure d'un Rang pour résister à la Peur</t>
  </si>
  <si>
    <r>
      <t xml:space="preserve">Gagnez un sort du Vide à chaque rang mais pour le lancer vous devez dépenser un Empl. de sort de 2 éléments opposés et utiliser votre Trait le plus bas. Vous ne pouvez pas apprendre d'autres sorts du Vide sans </t>
    </r>
    <r>
      <rPr>
        <i/>
        <sz val="9"/>
        <rFont val="Arial"/>
        <family val="2"/>
      </rPr>
      <t xml:space="preserve">Ishiken-do </t>
    </r>
  </si>
  <si>
    <t>Si vous êtes en Posture d'Assaut vous pouvez apprêter une arme Moyenne ou une Lance au prix d'une Act.G. +0g1 aux Dommages quand vous maniez une lance au combat.</t>
  </si>
  <si>
    <t>En posture d'Esquive, vous pouvez effectuer une attaque à la Lance ou avec des armes "Samurai" au prix d'une AS au lieu d'une AC en ignorant la restriction d'Esquive. +2g0 au jet d'Attaque à cette Attaque.</t>
  </si>
  <si>
    <t>Lorsque vous faites un Test d'Opposition Social vous Gagnez +Xg0 où X est une valeur absolue égale à la différence entre votre Rg. d'Honneur et celui de votre adversaire</t>
  </si>
  <si>
    <r>
      <t>Dépensez un Pvide et une AC: Test d'Opposition Courtisan (Manipulation) /Intuition vs Etiquette (Courtoisie) /Volonté pour mposer une action à une cible de votre</t>
    </r>
    <r>
      <rPr>
        <i/>
        <sz val="9"/>
        <rFont val="Arial"/>
        <family val="2"/>
      </rPr>
      <t xml:space="preserve"> Chantage. E</t>
    </r>
    <r>
      <rPr>
        <sz val="9"/>
        <rFont val="Arial"/>
        <family val="2"/>
      </rPr>
      <t>lle perds 4 pts d'Honneur si elle ne l'exécute pas.</t>
    </r>
  </si>
  <si>
    <t>Lorsque vous dépensez un PVide pour ajouter un 1g1 à tout jet d'Artisanat: Explosifs, vous gagnez +2g2 à la place. Vous ne souffrez d'aucun effet néfaste en cas de faible test utilisant du poivre gaijin.</t>
  </si>
  <si>
    <t>Lorsque vous lancez un sort "Glyphe", prenez autant d'A que le Rg. du sort pour le stocker sur un parchemin. Déchargez le Sort en Act.G en plaçant le papier sur la cible. Si le Parchemin est détruit le Sort est perdu.</t>
  </si>
  <si>
    <t>Vous pouvez sacrifier un Emplacement de Sort du même élément que le sort que vous lancez et qui n'inflige aucun Dommage pour dissimuler tous les effets relatifs à l'Incantation du Sort. AG aux Sorts Illusion</t>
  </si>
  <si>
    <t>Sacrifiez Pts. d'honneur (max votre Rg. d'école Scorpion) face à des adversaires non-Scorpion pour: +1g0 en attaque pr Bushi et Ninja, +1g0 dans les Tests d'Opposition Social pr Courtisan, +1g0 pour les jets d'Incantation d'Air qui ciblent un adversaire pr Shugenja.</t>
  </si>
  <si>
    <r>
      <t xml:space="preserve">Une fois tous les 3 mois vous pouvez fabriquer un masque qui correspond à l'avantage </t>
    </r>
    <r>
      <rPr>
        <i/>
        <sz val="9"/>
        <rFont val="Arial"/>
        <family val="2"/>
      </rPr>
      <t>Héritage</t>
    </r>
    <r>
      <rPr>
        <sz val="9"/>
        <rFont val="Arial"/>
        <family val="2"/>
      </rPr>
      <t xml:space="preserve"> pour la Sincérité et demande 2A en Artisanat pour être fabriqué. Vous gagnez un bonus de +2g0 à tous les jets Sociaux visant à détecter des intensions fausses ou cachées.</t>
    </r>
  </si>
  <si>
    <t>Test d'Opposition: Enquête/Intuition vs. Etiquette/Intuition. En cas de réussite, vous apprenez l'identité de la cible et le plus faible des Traits Mental ou Compétence Sociale qui comporte au moins 1 Rang. Chaque Pvide dépensé vous permet de découvrir une information supplémentaire.</t>
  </si>
  <si>
    <t>Dépensez un Emplacement de Sort et une AS pour gagner durant 1h des Rangs égaux à votre Rg. d'Ecole en Athlétisme, Défense, Intimidation ou Connaissance: Pègre</t>
  </si>
  <si>
    <t>Dépensez un Pvide et une AS pour gagner durant 1h des rangs égaux à votre Rg. d'Ecole en Calligraphie, Courtisan, Etiquette, Connaissance; Théologie, Art de la Magie ou Discrétion</t>
  </si>
  <si>
    <t>Vous pouvez dépenser un Pvide pour refaire n'importe quel jet. Ce jet ne subit pas de malus au ND même si vous avez raté le 1er. Conservez le résultat de votre choix mais vous ne pouvez plus le relancer.</t>
  </si>
  <si>
    <t>Au début de votre tour qd vs adoptez une Posture, chosisissez un cible à 9m. Si vous la touchez durant votre tour la cible est Fatiguée. Elle peut tenter un Test de Terre TN égal à 25 pour annuler cet effet.</t>
  </si>
  <si>
    <t>Dans une escarmouche, 1X/ adversaire, si vous réussissez une manoeuvre de Coups Précis avec au moins 3A, sur une attaque de mêlée, votre adversaire est Aveuglé jusqu'à la prochaine étape de réaction.</t>
  </si>
  <si>
    <r>
      <t xml:space="preserve">Test d'Opposition: Courtisan(Manipulation)/Intuition vs Etiquette(Courtoisie)/Intuition. En cas de succès vous forcez votre cible à vous révéler un de ses Désavantages Social ou Mental, et pouvez lui assigner un </t>
    </r>
    <r>
      <rPr>
        <i/>
        <sz val="9"/>
        <rFont val="Arial"/>
        <family val="2"/>
      </rPr>
      <t>Chantage</t>
    </r>
    <r>
      <rPr>
        <sz val="9"/>
        <rFont val="Arial"/>
        <family val="2"/>
      </rPr>
      <t xml:space="preserve"> à 2 sans XP.</t>
    </r>
  </si>
  <si>
    <t>Dépensez un empl. de Sort pr acquérir une vision nocturne parfaite. Dépensez un empl. de Sort d'Air ou Vide pr +1g1 d'un Test de Discrétion, Passe-Passe OU Sincérité (Tromperie). Max X empl. de Sort par Test où X= Votre Rg. de Maîtrise</t>
  </si>
  <si>
    <t>Nbre de fois par combat = Rg. d'école, dépensez une ActG pr utiliser la compétence d'une arme de CàC avec une autre arme de CàC aux jets d'atk. Pas d'avantage de maîtrise ou de spécialité. Dure un nnbre de rounds = Rg. d'école, vs pouvez effectuer une attaque au prix d'une AS.</t>
  </si>
  <si>
    <r>
      <t>Si vs utilisez une arme à chaîne en escalade, +1g1 en athlétisme. Vs pouvez attaquer avec un kusarigama à une distance allant jusqu'à 4,5 m et pouvez prendre 3A sur l'atk pour infliger le Désatantage</t>
    </r>
    <r>
      <rPr>
        <i/>
        <sz val="9"/>
        <rFont val="Arial"/>
        <family val="2"/>
      </rPr>
      <t xml:space="preserve"> Estropié</t>
    </r>
    <r>
      <rPr>
        <sz val="9"/>
        <rFont val="Arial"/>
        <family val="2"/>
      </rPr>
      <t xml:space="preserve"> à votre adversaire jusqu'à ce que les blessures de cette attaque soient guéries.</t>
    </r>
  </si>
  <si>
    <r>
      <t xml:space="preserve">A chaque fois que vous faite un Test d'Opposition Social contre un adversaire, dépensez un Pvide pour le forcer à changer de Trait Mental. Si vous avez l'Avantage </t>
    </r>
    <r>
      <rPr>
        <i/>
        <sz val="9"/>
        <rFont val="Arial"/>
        <family val="2"/>
      </rPr>
      <t>Chantage contre elle</t>
    </r>
    <r>
      <rPr>
        <sz val="9"/>
        <rFont val="Arial"/>
        <family val="2"/>
      </rPr>
      <t xml:space="preserve">, ses dés ne peuvent s'ouvrir. </t>
    </r>
  </si>
  <si>
    <t>Test d'Opposition Discrétion/Agilité vs. Enquête(Sens de l'Observation)/Perception après avoir effectué une attaque pour cacher l'origine de l'attaque et empêcher votre détection. Une seule attaque par Round max.</t>
  </si>
  <si>
    <t xml:space="preserve">A chaque fois que vous lancez un sort, vous pouvez dépenser un emplacement de Sort suppl. et une AS pour déclencher un Test d'Opposion en Volonté avec votre cible. En cas de succès, vous sentez si votre cible est Souillée ou non. </t>
  </si>
  <si>
    <t>1X/Combat vs pouvez dépenser un Pvide et une AC en attaquant un adversaire au CàC. Si votre attaque réussi, votre cible est Etourdie. Elle peut tenter un Test de Terre TN égal aux dégâts pour annuler les effets.</t>
  </si>
  <si>
    <t>Une fois par Combat, +Xg0 à votre attaque du Round où X= votre Rg. en Intimidation. Cette technique ne peut pas être utilisée dans la posture du Centre</t>
  </si>
  <si>
    <r>
      <t xml:space="preserve">Après 10 minutes de conversation; Test de Sincérité (Tromperie)/Intelligence vs. Enquête/Volonté de la cible pour la convaincre de culpabilité. Elle perd 1pt d'Honneur pour chaque tranche de 5 pts qui excèdent son résultat. Elle peut éviter cette perte d'honneur en gagnant un Désavantage </t>
    </r>
    <r>
      <rPr>
        <i/>
        <sz val="9"/>
        <rFont val="Arial"/>
        <family val="2"/>
      </rPr>
      <t xml:space="preserve">Obligation </t>
    </r>
    <r>
      <rPr>
        <sz val="9"/>
        <rFont val="Arial"/>
        <family val="2"/>
      </rPr>
      <t xml:space="preserve"> envers vous. Mineure si la perte est &lt; à 5, sinon Majeure.</t>
    </r>
  </si>
  <si>
    <t xml:space="preserve">Dépensez une AS et un Pvide puis réussissez un Test d'Opposition Vide contre Volonté pour révéler la véritable nature ou porter une atk magique ou physique tout à fait normalement sans résistance ou immunité sur un minion de l'Ombre Rampante. </t>
  </si>
  <si>
    <t>Dépensez un PVide et une ActG: Annulez tout ou une partie de la Réduction (max: votre Rg. de Maîtrise). Ajoutez votre Rg. de Maîtrise aux Dommages contre les cibles dotées de minimum 1 Rang de Souillure complet.</t>
  </si>
  <si>
    <t>Dépensez un Pvide quand vous subissez des Blessures&gt; Votre adversaire doit renoncer aux 2 dés les plus élévés de ses dégâts pour un minimum de 1g1.</t>
  </si>
  <si>
    <t>Vous pouvez effectuer une attaque à Mains Nues ou avec une Arme à Feu "Samourai" au prix d'une AS au lieu d'une AC.</t>
  </si>
  <si>
    <t>Dépensez un Pvide et une AC: Un allié à vue qui combat sous vos ordres peut utiliser une de vos Techniques comme un membre de votre école de Rang équivalent jusqu'au début de votre tour suivant.</t>
  </si>
  <si>
    <t>+1g1 aux jets de Compétence Noble et Bugei, +1g0 supplémentaire aux Compétences d'Ecole. Vous gagnez un nombre de Pvide égal votre Anneau le plus élévé mais vous devez les donner à vos alliés en ActG.</t>
  </si>
  <si>
    <t>Dépensez une ActG. et un Pvide pour gagner la faculté de vous servir de n'importe quelle technique de Courtisan utilisée contre vous durant ces 7 derniers jours.</t>
  </si>
  <si>
    <t>AG aux jets d'Incantation. AG supplémentaire aux jets d'Incantation quand vous ciblez une créature corrompue ou Souillée ou combatez une magie interdite dans l'Empire</t>
  </si>
  <si>
    <t>Vous perdez toutes vos Déficiences et ne gardez que vos Affinités. Vous êtes considéré comme supérieur d'un rang dans votre Ecole de Shugenja.</t>
  </si>
  <si>
    <t>Si votre Rang d'Honneur dépasse celui de votre adversaire, ajoutez la différence aux jets d'attaque et de dégâts le visant. Les créatures sans honneur ont un honneur égal à 0 pour cette technique.</t>
  </si>
  <si>
    <t>Quand vous utilisez un Pvide en présence de Magistrats, Champions ou Légionnaires, vous gagnez un bonus égal au nombre de ceux-ci dans un rayon de 7,5m (max votre Rg. de Maîtrise X5)</t>
  </si>
  <si>
    <t>Test de Kenjutstu/Agilité en ActG contre le ND d'attaque d'un projectile qui vous touche pour éviter tous les dégâts dus à cette attaque. Si vous pouvez dégainer une arme en ActG (ou contre un projectile plus petit ou plus grand que la moyenne) cela demande une A à chaque fois.</t>
  </si>
  <si>
    <t>Deux fois par combat, dépensez un Pvide et une ActG avant une atk. Si l'attaque suivante réussit, vous pouvez ajouter votre Rg. de Connaissance: Théologie. à vos dés de Dommages non-gardés.</t>
  </si>
  <si>
    <t xml:space="preserve">Vs perdez toute Affinité et Déficience et gagnez une Affinité aux sorts "Dragon". Vos Emplacements de Sorts sont réduits de 2 dans chaque Anneau mais vs gagnez 3 Emplacements Dragon. (Voir Book of Void p.184) </t>
  </si>
  <si>
    <t>X fois par session = Rg. d'école, en état d'ébriété, les bonus pour dépensser des Pvide sont doublés. Vous pouvez utiliser la Cérémonie du Thé avec du Saké et ceux qui s'y enivrent reçoivent un Pvide en plus. Vous connaissez 2 Kiho et pouvez les effectuer avec un bâton. AG pour les sorts de Divination.</t>
  </si>
  <si>
    <t>Vous ne perdez que la moitié de votre Honneur quand vous utilisez la Discrétion. En ville, +1g0 à votre Discrétion et vous pouvez ajouter votre Rang de compétence de Discrétion à votre ND d'Armure.</t>
  </si>
  <si>
    <t>Durant chaque Round ou vous défendez un allié, vous gagnez un Pvide utilisable durant ce Round uniquement.</t>
  </si>
  <si>
    <t>Vous apprenez une Langue supplémentaire pour chaque Avantage Langue. Vous ne perdez ni Honneur si utilisez une Compétence Dégradante ni Gloire en Commerce. +2g0  en Compétence Sociale contre les hinin, heimin ou eta.</t>
  </si>
  <si>
    <t>Utilise Athlétisme/Agilité pour atk. La Force ne s'ajoute pas au DR et la réduction est doublée contre atk portées à la fronde.</t>
  </si>
  <si>
    <t>Lorsque vous êtes bléssé, gagnez une Réduction égale à vos pénalités de Blessure de base. Cesse de fonctionner si vous êtes amené à Epuisé ou Hors de Combat.</t>
  </si>
  <si>
    <r>
      <t xml:space="preserve">Affinité pour les Sorts liés au Royaume Spirit. pour lequel vous avez l'avantage </t>
    </r>
    <r>
      <rPr>
        <i/>
        <sz val="9"/>
        <rFont val="Arial"/>
        <family val="2"/>
      </rPr>
      <t>Caresse des Royaumes Spirituels</t>
    </r>
    <r>
      <rPr>
        <sz val="9"/>
        <rFont val="Arial"/>
        <family val="2"/>
      </rPr>
      <t xml:space="preserve">. Déficience pour les Sorts liés au Royaume Spirit. pour lequel vous avez le Désavantage </t>
    </r>
    <r>
      <rPr>
        <i/>
        <sz val="9"/>
        <rFont val="Arial"/>
        <family val="2"/>
      </rPr>
      <t>Maudit par le Royaume</t>
    </r>
  </si>
  <si>
    <t>1X par jour peut pousser un hurlement: tout adv. Qui l'entend est affecté par Peur 5 et tout allié à un bonus de +1g0 à ses jets d'attaque. Dure un nombre de Rounds égal au Rg. de Maitrise. Non cumulable.</t>
  </si>
  <si>
    <t>Si vous êtes bléssé un ennemi ou qu'l vous a bléssé: Test d'Intuition ND 15 (ND 25 dans les Royaumes. Spirutueles) en AS. En cas de succès vous savez dans quelle direction se trouve cet ennemi, la distance qui vpus sépare et sa condition physique.</t>
  </si>
  <si>
    <t>S vous tuez un adversaire, gagnez immédiatement un nombre de bonus individuels de +1g1 égal à son Rg. d'Ecole. Ils doivent être utilisés avant la fin du Round suivant sur attaque, dommages, trait ou compétence.</t>
  </si>
  <si>
    <t>Sadhu Kudos</t>
  </si>
  <si>
    <t>Eléphant</t>
  </si>
  <si>
    <t>Connaissance générale (Theologie), Defense, Etiquette, Kyujutsu, Meditation (Récup. du Vide), Armes à chaines ou Lances, une compétence Noble ou Dégradante au choix</t>
  </si>
  <si>
    <t>Guenilles, Kyu, Lance ou Arme à chaine, une autre arme au choix, Nécéssaire de Voyage</t>
  </si>
  <si>
    <t>Puriste Kudos</t>
  </si>
  <si>
    <t>Combattre la Maho avec de la Maho</t>
  </si>
  <si>
    <t>Art de la Magie, Calligraphie, Connaissance générale: Théologie; Couteaux, Divination, Connaissance Dégradante: Maho, Méditation</t>
  </si>
  <si>
    <t>Guenilles, Couteau, Etui à Parchemins, Nécéssaire de Voyage</t>
  </si>
  <si>
    <t>Défenses de l'Elephant</t>
  </si>
  <si>
    <t>N'Oublie Jamais, Ne Pardonne Jamais</t>
  </si>
  <si>
    <t>La Force du Vide</t>
  </si>
  <si>
    <t>La Trompe de l'Elephant</t>
  </si>
  <si>
    <t>La Sapience du Vide</t>
  </si>
  <si>
    <t>La Douleur ne touche que les Impurs</t>
  </si>
  <si>
    <t>+Xg0 en Défense ou X est égal à la moitié de vos Rangs en Connaissance: Théologie. +1g0 aux ataques portées avec une Lance ou une Arme à Chaine</t>
  </si>
  <si>
    <t>Vous gagnez un sort de Maho à chaque rang en plus de tout autre sort. Vous pouvez utiliser ces sorts de Maho que contre des cibles Souillées sans gagner de Souillure vous-même. Si vous ciblez une créature non-Souilllée avec un sort de Maho (même à votre ainsu), vous gagnez de la Souillure normalement.</t>
  </si>
  <si>
    <t xml:space="preserve">+2g0 à toute ataque et  à tout test d'opposition sociale contre un ennemi (ou contre un type d'ennemi particulier) que vous avez déjà rencontré. </t>
  </si>
  <si>
    <t>Réduisez toutes vos pénalités de blessures de 5 (min 0). Au rangs de blessures Bléssé ou Gravement Bléssé vous pouvez dépenser un Pvide pour ignorer totalement les pénalités de blessures pendant un round.</t>
  </si>
  <si>
    <t>Vous pouvez effectuer une attaque au prix d'une AS au lieu d'une AC quand vous manipulez une lance, un arc ou une arme à chaine.</t>
  </si>
  <si>
    <t>A chaque fois que vous dépensez un Pvide pour augmenter les dégâts, vous pouvez en dépenser 2 à la place pour obtenir un bonus de +4g2. Ce bonus s'ajoute à la technique de rang 2.</t>
  </si>
  <si>
    <t>Mahout Kudos</t>
  </si>
  <si>
    <t>Elevage (Eléphant) 2</t>
  </si>
  <si>
    <t>Eléphants</t>
  </si>
  <si>
    <t>Karaoké</t>
  </si>
  <si>
    <t>Sur le Dos du Monde</t>
  </si>
  <si>
    <t>Lorsque vous êtes Monté sur un éléphant vous ne pouvez attaquer qu'avec une lance ou un arc mais gagnez un bonus de +1g1 contre les cibles en contrebas. Vous ne pouvez pas utiliser de posture d'Assaut.</t>
  </si>
  <si>
    <t>Vengeur Kudos</t>
  </si>
  <si>
    <t>Bushi Kudos 2</t>
  </si>
  <si>
    <t>Une école de rang 2</t>
  </si>
  <si>
    <t>Rédemption dans la Colère</t>
  </si>
  <si>
    <t>Une fois par escarmouche vous pouvez perdre 1pt de Souillure après avoir infligé au moins 20 pts de dégâts à un adversaire Souillé en une seule attaque (et non toutes les attaques d'un round). Vous ne pouvez pas vider votre 1er rang de Souillure de cette façon.</t>
  </si>
  <si>
    <t>15/93</t>
  </si>
  <si>
    <t>Château d'Eau</t>
  </si>
  <si>
    <t>Rayon de 1,5m centré sur le lanceur</t>
  </si>
  <si>
    <t>Zone d'Effet (+1,5m),  Dégâts (1g0 par 2A), Spécial</t>
  </si>
  <si>
    <t xml:space="preserve">Si le bénéficiaire porte ce bâton pendant au moins une journée complète et qu'il le tient dans ses mains pendant au moins 1h, il guérir ses blessures comme si son rang de Constitution était augmenté de 1. </t>
  </si>
  <si>
    <t>Ce bâton tant qu'il est actif confère à son détenteur un bonus de +1g1 aux jets de compétence d'Artisanat déterminées au moment de sa création</t>
  </si>
  <si>
    <t>Ce bâton tant qu'il est actif confère à son détenteur un bonus de +1g1 aux jets de le compétence d'Armes (ou Jiujutsu) déterminées au moment de sa création</t>
  </si>
  <si>
    <t xml:space="preserve">Une fois par heure, le nezumi détenant ce bâton peut lui demander dans quelle direction se trouve la créature consciente à laquelle il est lié pourvu qu'elle se trouve à moins de 3,5km autour de lui. </t>
  </si>
  <si>
    <t>Les nezumis se servent de ce bâton afin de toujours savoir dans quelle direction se trouve leur demeure. (L'emplacement actuel de leur tribu ou de leur terrier le plus important). Ce bâton peut être employé autant de fois que le souhaite son porteur.</t>
  </si>
  <si>
    <t>Ce bâton tant qu'il est actif confère à son détenteur un bonus de +1g1 aux jets de le compétences sociales déterminése au moment de sa création</t>
  </si>
  <si>
    <t>Le processus de création de ce bâton crée deux bâtons interconnectés. Une fois par heure chacun des bâtons peut être employé pour déterminer la position de l'autre avec une fiabilité absolue pour autant qu'il se trouve dans un rayon de 80 km</t>
  </si>
  <si>
    <t>En brisant ce bâton, le porteur gane le droit de poser une question unique à un Transcendant qui fera de son mieux pour lui répondre.</t>
  </si>
  <si>
    <t>Une fois par semaine le porteur de ce bâton peut guérir une cible (qui peut-être lui-même) des effets d'un poison à l'exeption des poisons crées à l'aide de magie.</t>
  </si>
  <si>
    <t>Si ce bâton est tenu en main tant qu'un autre bâton est crée, celui-ci ne compte pas dans la limite du nombre de bâtons dont l'anamnète peut disposer. Ce bâton ne peut être employé qu'une fois par semaine.</t>
  </si>
  <si>
    <r>
      <t xml:space="preserve">Ce bâton doit être façonné pour un nezumi unique et ne peut fonctionner qu'en possession de cet individu. Le nezumi en question possède l'avantage </t>
    </r>
    <r>
      <rPr>
        <i/>
        <sz val="6"/>
        <rFont val="Arial"/>
        <family val="2"/>
      </rPr>
      <t>Grande Destinée</t>
    </r>
    <r>
      <rPr>
        <sz val="6"/>
        <rFont val="Arial"/>
        <family val="2"/>
      </rPr>
      <t xml:space="preserve"> tant qu'il conserve ce bâton et qu'il demeure intact. En revanche le porteur de se bâton meurt instantanément si le bâton est brisé avant d'être utilisé. Max 3 à la fois.</t>
    </r>
  </si>
  <si>
    <t>Le porteur de ce bâton est protégé des bêtes de l'Outremonde, de la Souillure de l'Outremonde et de tout effet provenant de celle-ci. Tant que le bâton est actif une créature de l'Outremonde doit réussir un jet de Volonté de ND 35 pour s'en prendre à son porteur. Ne fonctionne qu'une heure avant de se briser.</t>
  </si>
  <si>
    <t>Ce bâton peut être utilisé une fois par heure pour indiquer la direction d'objets précieux (en dehors de ceux déjà en possession de la tribu). Ce trésor prend la forme de toute chose que la tribu jugera utile ou précieux qu'il s'agisse de nourriture ou d'objet brillant. Il n'indique qu'un trésor tant que son porteur n'a pas trouvé le précédent.</t>
  </si>
  <si>
    <t>La cible gagne 2 AG à tous ses jets implicant la Perception, 1 Rang en Chasse:Traque si elle ne l'a pas déjà. Cependant elle gagne également une fascination pour les objets brillants ou rapides et doit réussir un jet de Volonté de ND 15 à chaque Round en ActG pour éviter de poursuivre sa distraction</t>
  </si>
  <si>
    <t>La cible subit un affaiblissemnt du lien avec ses ancêtres. Elle ne perd pas les avantages procurés par un Ancêtre mais tous les jets de Compétence et de Trait de la cible voient leur ND augmenter de 5 pendant la durée du sort.</t>
  </si>
  <si>
    <t>Le lanceur du sort peut poser 2 questions aux ancêtres d'un humain, les esprits lui répondront correctement. Si le déchireur d'äme interroge un ancêtre dont l'humain bénéficie, le ND au jet d'Incantation augmente de la valeur en points d'expérience de cet ancêtre.</t>
  </si>
  <si>
    <r>
      <t xml:space="preserve">Pendant toute la durée de ce sort, la cible ne peut pas récupérer de Pvide, de Blessures ou d'Emplacement de Sorts en se reposant. Chaque matin elle doit faire un jet de Méditation/Constitution (ND 15 +5 par jour sans dormir) ou devenir Fatiguée. Ce sort active les effets liés au Désavantage </t>
    </r>
    <r>
      <rPr>
        <i/>
        <sz val="6"/>
        <rFont val="Arial"/>
        <family val="2"/>
      </rPr>
      <t>Phobie</t>
    </r>
    <r>
      <rPr>
        <sz val="6"/>
        <rFont val="Arial"/>
        <family val="2"/>
      </rPr>
      <t>.</t>
    </r>
  </si>
  <si>
    <t>Une créature affectée par ce sort reçoit un bonus de +2-1g0 sur tous ces jets de Compétence et ne subit aucune pénalité pour les jets effectués sans Rang de Compétence</t>
  </si>
  <si>
    <t>Ce sort cible un objet non-magique (souvent une arme ou une armure) qui se brisera la prochaine fois qu'il est utilisé. Si l'objet acquiert des propriétés magiques (ou est la cible d'un sort) alors qu'il est affecté par ce pouvoir, le Vandalisme de Sakkaru est annulé.</t>
  </si>
  <si>
    <t>Le Déchireur d'âme fait appel au pouvoir des esprits des Royaumes Célestes pour protéger la cible de ce sort. Pendant toute la durée du sort, la cible gagne une Réduction d'une valeur équivalente au Rang d'Ecole du Déchireur d'Âmes X2.</t>
  </si>
  <si>
    <t>La cible de ce pouvoir doit réussir un jet de Constitution égal à 10 X Le Rang d'école du Déchireur d'Âmes. Si elle réussit la douleur ne la submerge pas, si elle échoue elle subit 3g3 Blessures et tombe Au Sol.</t>
  </si>
  <si>
    <r>
      <t xml:space="preserve">Pendant toute la durée du sort, la cible ne subit aucune pénalité de blessure dont celles des états Epuisé et Hors Combat et gagne les effets de l'Avantage </t>
    </r>
    <r>
      <rPr>
        <i/>
        <sz val="6"/>
        <rFont val="Arial"/>
        <family val="2"/>
      </rPr>
      <t>Grande Destinée,</t>
    </r>
    <r>
      <rPr>
        <sz val="6"/>
        <rFont val="Arial"/>
        <family val="2"/>
      </rPr>
      <t xml:space="preserve"> un bonus de +1g1 à tous ses jets de compétence et ne peut recevoir de Souillure de l'outremonde, ni lancer de sort de maho.</t>
    </r>
  </si>
  <si>
    <r>
      <t xml:space="preserve">Toute créature affectée par ce sort gagne un nombre de Rangs dans le désavantage </t>
    </r>
    <r>
      <rPr>
        <i/>
        <sz val="6"/>
        <rFont val="Arial"/>
        <family val="2"/>
      </rPr>
      <t>Malchanceux</t>
    </r>
    <r>
      <rPr>
        <sz val="6"/>
        <rFont val="Arial"/>
        <family val="2"/>
      </rPr>
      <t xml:space="preserve"> égal au nombre de Rangs d'Ecole du Déchireur d'Âme. Elle peut perdre une nombre de Rangs dans l'Avantage </t>
    </r>
    <r>
      <rPr>
        <i/>
        <sz val="6"/>
        <rFont val="Arial"/>
        <family val="2"/>
      </rPr>
      <t xml:space="preserve">Chanceux </t>
    </r>
    <r>
      <rPr>
        <sz val="6"/>
        <rFont val="Arial"/>
        <family val="2"/>
      </rPr>
      <t xml:space="preserve">pour diminuer le gain de Rangs de </t>
    </r>
    <r>
      <rPr>
        <i/>
        <sz val="6"/>
        <rFont val="Arial"/>
        <family val="2"/>
      </rPr>
      <t>Malchanceux</t>
    </r>
    <r>
      <rPr>
        <sz val="6"/>
        <rFont val="Arial"/>
        <family val="2"/>
      </rPr>
      <t xml:space="preserve"> d'autant.</t>
    </r>
  </si>
  <si>
    <t>Si la cible de ce sort est en plein combat on considère que son score d'Initiative est immédiatement réduit de 5X le Rg. D'école du Déchireur d'Âme. Si la cible tombe en léthargie elle gagne aussi +Xg0 (où  X est le Rg. D'école du Déchireur d'Âmes) à toutes ses compétences de Connaissance  et ses jets implicant la mémoire.</t>
  </si>
  <si>
    <t>La cible de ce sort ressent une faim insatiable et monstrueuse. Pendant toute la durée du sort, elle subit une pénalité de 5X le Rang d'école du Déchireur d'Âmes au ND de toutes ses actions.</t>
  </si>
  <si>
    <t>Lorsque vous portez une Armure en posture d'attaque, votre armure gagne un bonus de +2 Réduction supplémentaire</t>
  </si>
  <si>
    <t>Une fois par round, vous pouvez ajouter votre Rang de Discrétion à votre ND d'armure contre une seule attaque</t>
  </si>
  <si>
    <t>Vos attaques de Désarmement infligent des dégâts normaux et non 2g1. Vous ne pouvez cependant pas accroître ces dommages au moyen d'Augmentations (y compris en utilisant la manœuvre de Feinte)</t>
  </si>
  <si>
    <t>Une fois par Round durant l'étape de Réactions, vous pouvez ajouter +3 au Score d'Initiative d'un allié impliqué dans ce combat. Cet effet peut se cumuler tant que ce kata est actif mais disparait dès que vous le désactivez.</t>
  </si>
  <si>
    <t>Choississez un adversaire. Une fois par tour vous pouvez utiliser votre Agilité au lieu de votre Force pour les Dommages contre lui.</t>
  </si>
  <si>
    <t>Une fois par Round, si vous infligez au moins 15 blessures à un adversaire, il subit un malus de -3 à tous ses tests au Round suivant.</t>
  </si>
  <si>
    <t>En mettant l'accent sur ​​l'omniprésence de l'Air, vous êtes en mesure de tirer une flèche sur une cible qui est hors de vue, mais à portée. La flèche doit toujours être en mesure de voyager en ligne droite jusqu'à la cible et vous devez connaître son existence et son emplacement approximatif dans les 9 m de sa position réelle</t>
  </si>
  <si>
    <t>Tant que ce Kiho est actif, vous pouvez en AC concentrer votre chi en restant totalement immobile. Aussi longtemps que vous maintenez la concentration et ne bougez pas, vous pouvez voir à 1,5kmX votre Rg. d'école. Le niveau de détail est suffisant pour remarquer des caractéristiques physiques.</t>
  </si>
  <si>
    <t>Si vous réussissez un ataque atemi, votre cible perds une Action Simple à ce Round ci. Vous ne pouvez viser que les adversaires qui n'ont pas encore agi durant ce Round et un adversaire à la fois ne peut pas être affecté plus d'une fois par escarmouche par ce kiho.</t>
  </si>
  <si>
    <t>La cible est embrouillée par une perturbation momentanée de son chi de Feu. La cible du coup atemi qui active ce kiho est Hébètée.</t>
  </si>
  <si>
    <t>Qd vous activez ce kiho, les tentatives de Renversement vous visant nécéssitent 2A supplémentaires. Tout effort visant à vous déplacer contre votre volonté (dont les Renversements) passe par un jet d'Opposition de Terre en plus de toute autre jet d'Opposition. Vous ne pouvez faire d'action de mvmt sans dissiper ce kiho.</t>
  </si>
  <si>
    <t>Après 2h de méditation vous pouvez activer ce kiho en AC. Vous devez prendre une A pour chaque poison ou maladie courante ciblée. Si l'activation est réussie votre corps est purgé d'un nbre d'impuretés égal au nbre de Pvide que vous avez dépensé pour activer ce kiho. Ne fonctionne pas contre la Souillure ni les effets magiques.</t>
  </si>
  <si>
    <t xml:space="preserve">Ce Kiho est délivré via une attaque atemi. Si le coup est réussi, vous devez déclarer que vous attaquez le feu ou l'eau de votre cible. Si vous attaquez l'eau de la cible, elle souffre d'une pénalité-4g0 à tous les jets de dégâts. Si vous attaquez le feu de la cible,elle est forcée de prendre 2A sans aucun bénéfice sur chaque jet d'attaque. </t>
  </si>
  <si>
    <t>Ce kiho doit être délivré au moyen d'une attaque de type atemi. En cas de succès, votre cible doit réussir un Test d'Opposition de Feu contre votre Vide. En cas de succès, la cible est purgée de toute pensée, oublie tout ce qu'elle a vécu durant la dernière minute et est Hébéteé pour un Round</t>
  </si>
  <si>
    <t>Vous devez délivrer ce kiho au moyen d'une attaque à Mains Nues. Ce kiho activé, dépensez tous vos Pvide restants. La cible de votre attaque perd un Désavantage Spiritul ou Mental déterminé aléatoirement et en gagne un nouveau de valeur égale déterminé de a même façon. Le MJ peut le choisir si cela lui parait plus intéressant.</t>
  </si>
  <si>
    <r>
      <t xml:space="preserve">Pour toute la durée du sort, la cible reçoit une </t>
    </r>
    <r>
      <rPr>
        <i/>
        <sz val="6"/>
        <rFont val="Arial"/>
        <family val="2"/>
      </rPr>
      <t>Phobie</t>
    </r>
    <r>
      <rPr>
        <sz val="6"/>
        <rFont val="Arial"/>
        <family val="2"/>
      </rPr>
      <t xml:space="preserve"> à 3 pts choisie par le lanceur du sort. Les maho-tsukai se servent généralement de ce sort pour que les victimes aient peur de leurs propres armes ou alliés, que les shugenja aient peur de leurs parchemins, ou autres ruses cruelles.</t>
    </r>
  </si>
  <si>
    <t>Ce sort crée autour du lanceur de sort une sorte de périmètre noire ou rouge. Tous ceux qui restent dans ce périmètre sont Aveuglés (à l'exeption du lanceur) jusqu'à ce qu'ils quittent la zone d'effet. Une fois crée la zone de ténèbres ne se déplace pas. Les effets et pouvoirs de l'Outremonde qui surmontent la cécité permettent de voir.</t>
  </si>
  <si>
    <t>La victime commence à entendre constamment des voix dans sa tête. Cette distration lui inflige une pénailté de-1g0 à tous ses jets de Courtisan, Etiquette, d'Honneur et Sincérité. Si elle effectue un jet pour résister à une Tentation, le malus passe à -2g0.</t>
  </si>
  <si>
    <r>
      <t xml:space="preserve">Le sort matérialise une puissante illusion qui ne peut être perçue que par la cible et qui matérialise ce qu'elle craint le plus. Elle doit réussir à résister à un Effet de Peur 5. Si la cible souffre d'une </t>
    </r>
    <r>
      <rPr>
        <i/>
        <sz val="6"/>
        <rFont val="Arial"/>
        <family val="2"/>
      </rPr>
      <t>Phobie</t>
    </r>
    <r>
      <rPr>
        <sz val="6"/>
        <rFont val="Arial"/>
        <family val="2"/>
      </rPr>
      <t>, ce sort en active les effets.</t>
    </r>
  </si>
  <si>
    <t>Pour la durée du sort une rage meurtrière incontrôlable dévore la victime qui ne songe qu'à tuer l'objet de sa haine. Au début de chaque round, la victime fait un jet d'Honneur de ND 30 afin de contrôler sa rage pour ce Round. Tant qu'elle contient sa colère elle ne peut entreprendre que des AC ou AS pour le Round.</t>
  </si>
  <si>
    <t>Dès qu'un intrus non adepte du sang entre dans le rayon d'effet du glyphe, il brille d'une lumière verte écoeurante et l'intrus est dévoré par des flammes sinistres qui lui infligent 4g3 dommages. Le symbole peut se décharger autant de fois que voulu mais chaque cible ne peut être affectée qu'une fois pendant la durée du sort.</t>
  </si>
  <si>
    <t>Une fois le sort lancé, le maho-tuskai doit réussir un jet de Volonté contre la cible. S'il échoue il subit 2g1 Blessures mais s'il réussi il possède le corps de la victime et peut en faire ce qu'il veut. Toutefois il n'a pas accès à ses souvenirs et connaissances. La victime vit comme un rêve éveillé.</t>
  </si>
  <si>
    <t>Ce sort permet au lanceur de faire "sauter son âme" dans les corps d'une autre personne à portée. Le lanceur doit réussir un jet de Volonté contre la victime. Si la victime réussi le jet, l'âme du lanceur est renvoyée dans son corps actuel. Normalement le sort ne fait pas "permuter" 2 âmes.</t>
  </si>
  <si>
    <r>
      <t xml:space="preserve">Tous les jets physiques entrepris avec le membre ciblé subissent un malus de +15 au ND. Par ailleurs, si le membre visé est une jambe, on considère la victime comme sous l'effet du Désavantage </t>
    </r>
    <r>
      <rPr>
        <i/>
        <sz val="6"/>
        <rFont val="Arial"/>
        <family val="2"/>
      </rPr>
      <t>Estropié</t>
    </r>
    <r>
      <rPr>
        <sz val="6"/>
        <rFont val="Arial"/>
        <family val="2"/>
      </rPr>
      <t xml:space="preserve"> pendant toute le durée du sort.</t>
    </r>
  </si>
  <si>
    <t>Tant que perdure le sort, permutez la valeur de Trait la plus élevée de la cible avec la valeur de Trait la moins élevée du shugenja. Pour chaque tranche de 2A augmente de 1 le transfert de trait. Si un Trait de la victime tombe à 0, elle tombe inconsciente tant que dure le sort.</t>
  </si>
  <si>
    <t>Ce sort permet au maho-tsukai d'exercer sa volonté sur un mort-vivant intelligent présent dans la zone. Si le M-V possède un libre-arbitre il peut résister par un jet de Volonté. De même si le M-V est contrôlé par un autre maho-tsukai, le jet de volonté se fait contre lui. Le M-V obéit aux ordres à portée de leur intelligence pour la durée du sort.</t>
  </si>
  <si>
    <t>Si la cible se voit frappée ou affectée par un sort accompagné du mot-clef Jade, les kansens annulent l'effet. L'armure magique ne fonctionne normalement qu'une fois mais un maho-tsukai de talent peut la rendre résistante à de multiples sorts.</t>
  </si>
  <si>
    <t>Ce sort introduit des kanses de feu dans le système sanguin de la cible qui font bouillir son sang .Le VD du sort comporte autant de dés que l'Anneau de Feu de la cible. Elle doit réussir un jet de Volonté de ND 20 ou tomber Au Sol à cause de la douleur. Elle est considérée comme Fatiguée pendant ses deux prochains Tours.</t>
  </si>
  <si>
    <t>Le lanceur doit toucher un cadavre humain mort au cours des dernières 24h. Le cadavre flétrit alors que le lanceur de sort puise son essence. Le maho-tsukai guérit de 2g2 Blessures et ragagne 1 Rang dans n'importe quel Anneau ou Trait qui aurait été diminué en-dessous de sa valeur normale.</t>
  </si>
  <si>
    <t>La cadavre situé à portée s'anime sous l'action d'un kansen et sert son maitre au mieux. Le cadavre devient un zombie (voir Core p.331). Et obéit aux ordres simples du maho-tsukai qui l'a créé. Une fois crée le zombie peut sortir du périmètre su sort. Détruit ou décapité le zombie ne sera réanimé que si on relance le sort à nouveau.</t>
  </si>
  <si>
    <t>Le sort fait pourrir la nourriture et gâte l'eau, les rendants impropres à la consommation. Quiconque en consomme doit réussir un jet de Constitution de ND 20 ou tomber malade et subir un malus de -3g0 à tous ses jets de compétence, Trait et Incanation. La maladie ne peut pas être soignée par médecine et dure 2 sem.</t>
  </si>
  <si>
    <t>La cible regagne aussi tôt 1g1 blessures et on considère qu'un de ses Traits (au choix du lanceur de sort) augmente de 1 pour la durée du sort. Toutefois le pris à payer pour cette "assistance" n'a rien d'enviable: la cible du sort gagne 1g1 points de Souillure de l'Outremonde.</t>
  </si>
  <si>
    <t>La victime de ce sort devient pâle et faible et est incapable de guérir naturellement ou grâce à l'utilisation de la compétence Médecine. Elle est également incapable de se gérir d'une maladie ou d'un poison et subit un malus de -2g0 pour y résister. La guérison magique affecte toujours la cible normalement.</t>
  </si>
  <si>
    <t>La vicime tombe Au Sol, terrassée par la douleur et ne peut agir à son Tour suivant. Par ailleurs elle doit réussir un jet de Volonté contre un ND de 20 pour éviter de hurler ce qui pourrait valoir une perte d'Honneur ou de Gloire.</t>
  </si>
  <si>
    <t>Ce sort anime un cadavre pour en faire un guerrier M-V. Ce sort lie un kansen au cadavre créant un puissant cadavre Souillé qui sert le lanceur au mieux. (Voir le revenant p.238). Le monstre reste indéfiniment et la Souillure qui l'imprègne l'empêche de se décomposer d'avantage. Il ne peut pas parler mais comprend les ordre verbaux.</t>
  </si>
  <si>
    <t>Ce sort invoque un oni de Jikogu mais il faut immédiatement lui donner un nom (celui du lanceur ou d'une personne étroitement liée aul anceur). Une fois l'oni batptisé il faut effectuer un jet d'opposition de Volonté contre lui. (Bonus de +3g2 s'il lui a donné son propre nom).  (Voir détails Core p.271)</t>
  </si>
  <si>
    <t>Ce sort permet au lanceur de sort de tromper la mort pour lui ou autrui. Si la cible meurt tant que le sort fait effet, les kansen emportent l'âme du défunt à la rapportent dans son corps 8h après le décès. La cible revient au niveau de Blessures Epuisé.  La cible gagne un Rang complet de Souillure pour être restée avec les kansen.</t>
  </si>
  <si>
    <t>Le sort nécéssite 1h à psalmodier et transfère équitablement un nmbre de pts de Souillure depuis les lanceurs de sorts (égal aux Rangs combinés de Terre et de Réputation de l'ensemble des lanceurs) à un nmbre de cibles marquées égales au nmbre de lanceur de sort. Les cibles peuvent résister: jet d'Opposition de Volonté.</t>
  </si>
  <si>
    <t>Qd on lanceTombe de terre, la cible à portée qui ne possède pas au moins un rang de Souillure complet se trouve immobilisée. Chque round, le lanceur de sort doit faire un jet de Réputation/Terre vs Réputation/Air de sa cible. Si cette dernière l'emporte le sort s'achève. Sinon, elle subit 2g2 blessures jusqu'à ce qu'elle réussise un jet d'Opposition.</t>
  </si>
  <si>
    <t>Ce sort permet au chaman de partager son nom avec un petit animal (furet ou chat par exemple) et de créer un lien indissoluble avec lui. Ils sont capables de communiquer entre eux, savent immédiatement quand l'un est en danger et connaissant toujours la distance qui les sépare. L'animal se voit aussi immunisé à la Souillure.</t>
  </si>
  <si>
    <t>Ce sort fait apparaitre un nuage de fumée roulant de la couleur du choix du chaman. La visibilité est réduite à un maximum d'1,5m à l'intérieur du nuage. Si le vent souffle fort, la fumée sera agitée de vifs remous mais ne se dissipera pas avant la fin de l'effet du sort.</t>
  </si>
  <si>
    <t>Le chamane choisit une compétence qu'il possède personellement. Tant que le sort est actif, les individus ciblés peuvent se servir de cette cométence. Le Rang de Maitrise de celle-ci est égal au Rang de Maitrise du chaman ou à son Rang de Nom si ce dernier est plus bas.</t>
  </si>
  <si>
    <t>Le chamane s'inflige des coupures aux mains et libère un torrent d'énergie rouge en direction de la cible infligeant des dommages avec une VD égale au Rang de Nom effectif du chamane. Si le chaman choisit d'utiliser des A pour infliger des dommages suppl. les dégâts de la saignée sont augmentés de 2 par A.</t>
  </si>
  <si>
    <t>Ce sort ne peut être employé que si le chaman connait le nom véritable de la cible. Cela permet de sceller la bouche de la cible pendant le durée du sort, ce qui rends toute incantation et toute communication verbale impossible. La cible peut rouvrir sa bouche au moyen d'un objet tranchant mais cela inflige des blessures.</t>
  </si>
  <si>
    <t>Tant que le sort est actif dans la zone concernée, tous les alliés du nezumi dont c'est la demeure bénéficient d'un bonus de +1g1 à leur jet d'Incantation. Tout sort ou effet employé contre le chamane ou ses alliés voit son ND d'incantation augmenté de +10. Le chaman ne peut nommer qu'un seul terrier à la fois.</t>
  </si>
  <si>
    <r>
      <t>Le chaman fait appel aux objets et aux personnes liés à son Nom. Ce sort peut invoquer toute créature sous le coup d'un sort</t>
    </r>
    <r>
      <rPr>
        <i/>
        <sz val="6"/>
        <rFont val="Arial"/>
        <family val="2"/>
      </rPr>
      <t xml:space="preserve"> Partage du Nom, Conjuration de Mujina</t>
    </r>
    <r>
      <rPr>
        <sz val="6"/>
        <rFont val="Arial"/>
        <family val="2"/>
      </rPr>
      <t xml:space="preserve"> ou </t>
    </r>
    <r>
      <rPr>
        <i/>
        <sz val="6"/>
        <rFont val="Arial"/>
        <family val="2"/>
      </rPr>
      <t>Ami Nommé</t>
    </r>
    <r>
      <rPr>
        <sz val="6"/>
        <rFont val="Arial"/>
        <family val="2"/>
      </rPr>
      <t xml:space="preserve"> ou un Objet Nommé. Le Chamane peut utiliser ce sort pour se téléporter lui-même là où se trouve l'objet, la créature ou le </t>
    </r>
    <r>
      <rPr>
        <i/>
        <sz val="6"/>
        <rFont val="Arial"/>
        <family val="2"/>
      </rPr>
      <t>Terrier Nommé</t>
    </r>
    <r>
      <rPr>
        <sz val="6"/>
        <rFont val="Arial"/>
        <family val="2"/>
      </rPr>
      <t>.</t>
    </r>
  </si>
  <si>
    <t>Ce sort ne peut être employé que si le chaman connait le nom véritable de la cible et ne peut être employé que contre un esprit originaire de Nigen-Do. Ce sort coupe le lien qui relie l'esprit au Royaume des Mortels, le renvoyant dans le Royaume des Esprits. La créature ne peut pas regagner Nigen-Do avant un an et un jour.</t>
  </si>
  <si>
    <t>Tant que dure ce sort, la cible acquiert un Désavantage Social ou Spirituel choisi par le chaman et quiconque se trouve en présence de la cible se comporte comme si elle avait depuis toujours. Le Coût du Désavantage choisi ne peut être supérieur en XP au double du Nom du chaman. Il n'est pas possible de conférer de la Souillure.</t>
  </si>
  <si>
    <t>Ce sort ne peut être employé que si le chaman connait le nom véritable de la cible. En oigant celle-ci de peintures préparées lors d'un rituel, la cible gagne alors un Avantage Physique ou Mental de son choix qui ne peut avoit un coût en XP supérieur à 2X le Rang de Nom du chamane. Ce sort peut contrecarrer un Désavantage.</t>
  </si>
  <si>
    <t>Le chamane emprunte temporairement un peu du Nom de sa cible. Choississez une Compétence que la cible possède; tant que le sort est actif, le chamane possède cette compétence au même rang que sa cible tandis que celle-ci en perds l'usage. Le ND du sort est augmenté de +10 si la cible n'est pas consentante.</t>
  </si>
  <si>
    <t>Le chamane met de côté une partie de son sang pour l'utiliser plus tard. La saignée peut aller jusqu'à 3/4 des Blessures du chamane. Celui-ci prends la forme d'un cristal que le chamane peut briser au prix d'une ActG pr payer une saignée ou qu'une créature qu'il touche ou lui même soit guérie du nbre de Blessures correspondant.</t>
  </si>
  <si>
    <t>La chamane invoque une puissante tempête. Tous ceux qui restent dans un rayon de 6m autour de lui sentent vent et pluie mais aucun effet néfaste. Toute autre personne dans la zone d'effet voit ses mvmts réduits comme si son Anneau de l'Eau était égal à 1. La foudre frappe au hasard, infligeant 7g7 dommages.</t>
  </si>
  <si>
    <t>Une créature ayant le profil d'un ogre mais ne portant pas la Souillure de l'Outremonde avec un Effet de Peur de 5 apparait et attaque tout ce qu'elle voit. La créature n'a pas le moyen de déterminer ce qui est ami ou ennemi mais n'attaquera généralement pas son invocateur sauf si elle n'a aucune autre cible.</t>
  </si>
  <si>
    <t>Ce sort permet à la cible de jeter et de conserver des dés supplémentaires lors de ses jets d'attaque (1 dé suppl par Rang de Nom du Chamane), ignore toutes les pénalités de Blessures (y compris Hors Comat et Impotent) tant que dure le sort. Ce sort ne peut prendre pour cible un nezumi berserker du Chitatchikkan.</t>
  </si>
  <si>
    <t>La cible conserve une existence physique mais personne en dehors du chamane n'est capable de savoir qu'elle a jamais existé. La réalité se réajuste en conséquence. Chaque fois qu'il utilise ce sort, le Rang de Nom du Chamane diminue de 1. Seul celui-ci peut mettre fin au sort mais il meurt alors instantanément.</t>
  </si>
  <si>
    <t>Le jakla peut entrer en état de communication complète avec la cible. Si la cible est naga il peut lui poser une question à laquelle elle répondra par oui ou non de manière véridique. Si la cible n'est pas naga, le jakla obtient un bonus de +3g1 aux tests de Courtisan contre elle mais il ne peut être sûr que les réponses sont véridiques.</t>
  </si>
  <si>
    <t>On considère que l'Anneau de l'Eau de la cible est augmenté de 2 par rapport à ce qu'il est réèlement pour déterminer son mouvement dans l'eau.</t>
  </si>
  <si>
    <t>Quand le Jakla concentre son attention au moyen de cette perle, il forme une sphère d'énergie translucide. Toute flèche tirée depuis l'intérieur de la bulle se transforme en trait d'énergie qui ignore le bonus au ND d'armure et inflige +0g1 dommages supplémentaires. Le Jakla ne peut pas se déplacer tant qu'il utilise cette perle.</t>
  </si>
  <si>
    <t>Les créatures dotées d'au moins un Rg complet de Souillure ou de Corruption du Néant doivent réussir un jet de Volonté de ND 20 sous peine de fuir immédiatement. La créature doit réussir ce même test de volonté à chaque fois qu'elle tente de rentrer à nouveau dans la zone d'effet du sort.</t>
  </si>
  <si>
    <t>La cible acquiert des écailles d'acier qui lui permettent de faire face à n'importe quel adversaire. La Réduction de la cible augmente de +2 ou de +5 si elle fait face à des créatures de l'Outremonde ou du Néant.</t>
  </si>
  <si>
    <t>Vous créez un double illusoire de vous-même qui vous ressemble en tout point y compris vos habits et équipements et qui agit exactement comme vous. Pour 2A vous pouvez quitter la zone définie et y laisser votre illusion.</t>
  </si>
  <si>
    <t>Permet de purger l'esprit de votre cible de tout malus mental ou social. Ajoutez au ND d'Incantation du Sort: le Niveau du Sort ciblé, le Rang de Blessures ou le Rang de Technique. Les malus permanents ne peuvent pas être annulés.</t>
  </si>
  <si>
    <t>Permet de parler à un animal ordinaire (ne fonctionne pas sur les créatures de l'Outremonde ni issus des Royaumes Spirituels) et de s'assurer qu'il compend ce qe vous lui dites dans la limite de ses capacités mentales. Dure tant que vous vous concentrez et que vous continuez à parler.</t>
  </si>
  <si>
    <t>Vous faites appel aux kamis pour qu'ils vous révèlent tous les objets dissimulés autrement que par magie (y compris les passages secrets, portes dérobées, armes dissimulés) dans la zone d'effet. Ils vous apparaissent à vous et à vous seul comme soulignés par un léger halo de lumière.</t>
  </si>
  <si>
    <t>Les kamis soufflent apparement dans un chaos pur mais finissent par ramener du désordre tout objet spécifié par le shugenja qui se trouve dans la zone d'effet du sort à l'endroit que celui-ci désire. Très utile pour localiser un objet perdu ou dissimulé mais ne peut servir à arracher un objet d'une personne.</t>
  </si>
  <si>
    <t>Vous créez l'illusion d'un objet qui perdure jusqu'à l'expiration du sort. Cet objet doit rester parfaitement immobile ou il disparait. Il ne peut soutenir de poids ni infliger des Dommages physiques. Il est possible de détecter la supercherie au moyen d'un jet de Perception contre un ND égal au jet d'Incantation.</t>
  </si>
  <si>
    <t>Vous créez une bourasque puissante qui vient bousculer tous ceux sui se trouvent sur votre chemin, les projettant à terre: Toutes les créatures dans la Zone d'effet subissent 1g1 Blessures et doivent effectuer un Jet d'Opposition de Terre contre votre Anneau d'Air ou être mis Au Sol.</t>
  </si>
  <si>
    <t>Vous vous enveloppez de tourbillons de vents qui vous protègent des attaques à distance et dévient les flèches et autres projectiles. Votre ND d'Armure est de +15 contre toutes les attaques à distance non-magiques tant que vous y consacrez toute votre concentration.</t>
  </si>
  <si>
    <t>Toute flèche tirée par une personne (ayant au moins un Rang en Kyujitstu) tant que perdure ce sort touchera infailliblement sa cible. Toutefois le kami de l'Air qui guide la flèche refuse toute utilisation d'A ainsi que tout effet de technique.</t>
  </si>
  <si>
    <t>Il s'agit d'un rituel de nettoyage et de purification qui chasse toute poussière, impureté ou vermine de la zone ciblée. Les esprits malfaisants tels les kansens et fantômes se sentent mal dans ces lieux et quittent l'endroit tant que le sort persiste à moins d'être assez résistants.</t>
  </si>
  <si>
    <t>Ce sort vous permet de poser une question aux kamis de l'Air. Pour la durée du sort, ils espionnent pour vous parmi les murmures de la communauté et vous retournent celle-ci aussi vite qu'ils le peuvent. La réponse peut être assez déroutante, car ils la rapportent sous la forme de voix issues de  conversations multiples se rapportant directement à la question. Vous pouvez ainsi essayer de localiser un élément ou une personne ou trouver des nouvelles à ce sujet, mais l'interprétation des résultats peut être très frustrante.</t>
  </si>
  <si>
    <t>Ce sort crée une bulle de silence centrée sur le lanceur de sort ou sur un objet désigné par lui mais ne peut être déplacée. Les kamis ne tolèrent l'entrée d'aucun son ou bruit à l'intérieur, créant une zone d'intimité parfaite. Toute personne gagne 2 AG en Discrétion contre une personne située de l'autre côté de la bulle.</t>
  </si>
  <si>
    <t>Après un rituel de méditation de 10 min ininterompues, a tout moment dans les 48h qui suivent vous pouvez lancer ce sort et entendre tout de qui se dit dans la zone ainsi préparée. Si votre Conc. est rompue, votre sort s'achève et ne peut être renouvellé sans un autre rituel préparatoire. Une seule zone à la fois.</t>
  </si>
  <si>
    <t>Une cible physiquement et mentalement inactive (comme un garde en poste permanent de la nuit ou un samouraï méditant dans son dojo) tombe automatiquement endormie lorsqu'elle est cibléé avec ce sort. Une cible active devient Fatiguée et s'il elle l'est déjà les effets s'aggravent.</t>
  </si>
  <si>
    <t>En recourant à ce sort vous pouvez déterminier si la dernière chose que vient de dire la cible était un mensonge ou une vérité. Les kamis ne connaissant pas le concept d'opinion personelle, si la cible croit vraiment ce qu'elle dit, ils en seront également persuadés.</t>
  </si>
  <si>
    <t>Vous ordonnez à des bourraques de vents d'encercler une personne particulière ce qui l'empêche d'attaquer et d'être attaquée. Affecte une zone de 9m autour dela cible. Quiconque s'y trouve a +15 à son ND d'armure contre les attaques à distance mais -3g3 à ses propres jets d'attaque à distance.</t>
  </si>
  <si>
    <t>Vous pouvez voir le monde à travers les yeux d'une créature à portée de vue mais en rien ressentir ou influer sur ce que la cible regarde. Durant la durée du sort tout jet basé sur la Perception que vous faites pour votre propre corps subit un malus de -2g2 de par la distraction que ce sort engendre.</t>
  </si>
  <si>
    <t>Les kamis murmurent à l'oreille de ceux qui vous entourent dans un rayon de 6m détournant leur attention de votre présence. Vs n'êtes pas invisible mais imperceptible tant que vous en faites pas de grands bruits et n'atirez pas l'attention. Ts ceux en dehors du périmètre vous voient sans problème.</t>
  </si>
  <si>
    <r>
      <t>Tant que dure le sort annule les effets d'</t>
    </r>
    <r>
      <rPr>
        <i/>
        <sz val="6"/>
        <rFont val="Arial"/>
        <family val="2"/>
      </rPr>
      <t>Aspect Dérangeant</t>
    </r>
    <r>
      <rPr>
        <sz val="6"/>
        <rFont val="Arial"/>
        <family val="2"/>
      </rPr>
      <t xml:space="preserve"> et </t>
    </r>
    <r>
      <rPr>
        <i/>
        <sz val="6"/>
        <rFont val="Arial"/>
        <family val="2"/>
      </rPr>
      <t>Malédiction des Sept Fortunes: Benten</t>
    </r>
    <r>
      <rPr>
        <sz val="6"/>
        <rFont val="Arial"/>
        <family val="2"/>
      </rPr>
      <t>. Si la cible ne possède pas l'un ou l'autre de ces désavantages, il gagne à la place les avantages correspondants (</t>
    </r>
    <r>
      <rPr>
        <i/>
        <sz val="6"/>
        <rFont val="Arial"/>
        <family val="2"/>
      </rPr>
      <t>Beauté du Diable</t>
    </r>
    <r>
      <rPr>
        <sz val="6"/>
        <rFont val="Arial"/>
        <family val="2"/>
      </rPr>
      <t xml:space="preserve"> et </t>
    </r>
    <r>
      <rPr>
        <i/>
        <sz val="6"/>
        <rFont val="Arial"/>
        <family val="2"/>
      </rPr>
      <t>Bénédiction des Sept Fortunes: Benten</t>
    </r>
    <r>
      <rPr>
        <sz val="6"/>
        <rFont val="Arial"/>
        <family val="2"/>
      </rPr>
      <t>). Si la cible possède déjà les 2 avantages, le sort est sans effet.</t>
    </r>
  </si>
  <si>
    <t xml:space="preserve">Vous pouvez convoquer un esprit depuis n'importe quel royaume spirituel (y compris un oni si vous lui donnez un nom mais pas une fortunes). Pour invoquer un esprit particulier vous devez connaitre une information spécifique. La nature du sort empêche l'esprit de vous attaquer mais il ne sera pas forcément amical. </t>
  </si>
  <si>
    <r>
      <t xml:space="preserve">Ce sort permet crée une sorte de lentille à travers laquelle le shugenja perçoit le monde comme le voient les kamis. Il permet de distinguer la composition élémentaire des personnes et donc de connaitre la valeur des 2 Anneaux les plus faibles de la cible à l'exeption du Vide sauf si le shugenja est un </t>
    </r>
    <r>
      <rPr>
        <i/>
        <sz val="6"/>
        <rFont val="Arial"/>
        <family val="2"/>
      </rPr>
      <t>Ishiken-do</t>
    </r>
  </si>
  <si>
    <t>Quiconque tente de traverser un espace protégé par un Symbole de l'Air doit réussir un Test d'Opposition Terre vs. Air du lanceur de Sort. En cas d'échec, il doit réussir un test de Volonté ayant pour ND le jet d'incnatation pour créer le glyphe ou tomber dans un sommeil profond pdt. 1h. 1 Seul Glyphe à la fois.</t>
  </si>
  <si>
    <t xml:space="preserve">Toutes les illusions créees pas des sorts de Rg. de Maîtrise &lt;5 sont immédiatement dissipés. Dans le cas de sorts de Rg. de Maîtrise &gt;5, ou d'effets magiques qui ne produisent pas des illusions, test d'Opposition en Air contre l'Air du lanceur. Si vous l'emportez, les effets magiques sont dissipés. </t>
  </si>
  <si>
    <t>Tant que dure le sort inverse les traits les + élevés et les + bas de la cible pour la durée du sort. Cela peut entraîner des changements dans les rangs d'anneaux de la cible, avec des conséquences potentiellement graves. Le lanceur du sort peut choisir les traits affectés en cas d'égalité.</t>
  </si>
  <si>
    <t>Vous pouvez invoquer les faveurs de la lune qui dissimule alors un groupe d'individus aux yeux de tous. Tout individu inclus dans le sort devient invisible et inaccessible durant la durée du sort. Quiconque compris dans le sort interagit de manière physique avec un individu non affecté est immédiatement exclu du sort.</t>
  </si>
  <si>
    <t>Ce sort doit être lancé près d'une surface d'Eau plane et fait apparaitre des images et du son comme perçus depuis un arbre perché ou jusqu'à hauteur des nuages d'un endroit situé à portée. Des applications militaires sont possibles.</t>
  </si>
  <si>
    <t>Ce sort ne fonctionne que sur une surface naturelle (pas dans un bâtiment). Tous ceux qui se trouvent dans la zone d'effet du cyclone subissent 4g2 Blessures (de Jade contre les créatures Souillées) et sont Hébêtés. Ils doivent ausi réussir un Test d'Opposition de Terre contre le lanceur ou être jetés Au Sol.</t>
  </si>
  <si>
    <t>Ce sort crée un nuage de possuière dense qui obscurcit la vision et rend la respiration difficile. Tant que le sort perdure tous ceux qui se trouvent dans la zone d'effet sont aveuglés jusqu'à un round après qu'ils aient quitté la zone. Au début de chaque Round dans la zone, ils doivent réussir un jet d'Opposition de Constitution contre la Terre du lanceurX5 ou ne peuvent entreprendre aucune Act.G</t>
  </si>
  <si>
    <t>Crée une barrière qui peut être franchie en AS en réussissant un test d'opposition de Terre contre votre Rg.d'école/Eau. Ceux qui échouent sont repoussés de1,5m et subissent 1g1 dégâts. Attaquer à travers la barrière nécéssite de réussir ce même jet d'avoir la portée suffisante.</t>
  </si>
  <si>
    <t>L'esprit de l'eau se montre à la fois fluide et rapide. Le cible bénéficie d'une Action Simple supplémentaire durant l'étape de Réactions du Round où le Sort est accompli. Ce action ne peut pas être utilisée pour poser une attaque.</t>
  </si>
  <si>
    <t>Vous pouvez réduire n'importe lequel de vos Traits Physiques en lui retirant un nombre&lt; à votre Rg. de Maîtrise. La cible du sort voit son Trait augmenter du nombre choisi. Si votre trait passe à 0, vous sombrez immédiatement dans l'inconscience et la durée du Sort est réduite à 1 Round. Max 2X Trait normal.</t>
  </si>
  <si>
    <t>En lançant ce sort sur un objet, vous apprenez automatiquement tous ses pouvoirs,  capacités et une idée de son origine. Peut reconnaitre le sort d'un parchemin de shugenja ou identifier les qualités surnaturelles des nenunarai ou objets maudits mais ne permets pas de déchiffrer un code secret.</t>
  </si>
  <si>
    <t>Ce sort génère assez de nourriture et de boisson pour sustenter un nbre d'individus égal à votre Rg. de Maîtrise +1 pdt une journée. Sans augmentation, la nourriture se révèle assez fade comme du riz sans accompagnement et de l'eau. Le ND du Sort est doublé dans l'Outremonde.</t>
  </si>
  <si>
    <t>Ce sort fait geler instantanément une étendue d'eau. Il est souvent employé pour permettre à des personnes de traverser un obstacle aquatique. Toute personne située sous l'eau dans la zone du sort, suffoque instantanément. Briser la glace requiert un jet d'opposition de Force contre l'Eau du lanceur du sort.</t>
  </si>
  <si>
    <t>Un shugenja compétent peut s'approprier la vivacité des eaux de la rivière. On rajoute 2 à votre Anneau d'Eau pour calculer la limite de déplacements effectués à l'aide d'Actions de Mouvement pendant ce Round et le suivant.</t>
  </si>
  <si>
    <t>Pendant la durée de ce sort, votre vitesse de lecture est doublée et vous vous souvenez de tout ce que vous avez lu pendant que vous étiez sous son influence. Il n'améliore pas vos facultés de compréhension et les langues ou codes secrets que vous ne maitrisez pas restent donc indéchiffrables.</t>
  </si>
  <si>
    <t>La cible de ce sort peut se déplacer à la surface d'une étendue d'eau comme s'il s'agissait d'un terrain normal. Si l'au est agitée par une tempête ou des vagues par exemple on considère que le terrain est difficile.</t>
  </si>
  <si>
    <t>Ce sort nécéssite un rituel d'au moins 10 minutes durant lesquelles des nuages sombres s'amoncèlent. A la fin du rituel il se met à pleuvoir massivement de manière ininterrompue. Malus de -1g0 à toute action physique, de -2g0 à toute attaque à distance et de -1g1 à toute incantation d'un sort de feu. Peut causer des inondations.</t>
  </si>
  <si>
    <t>Vous invoquez une vague d'eau déferlante qui submerge tout sur son passage. Elle inflige 3g3 Dommages à quiconque se trouve dans le zone d'effet et qui doit effectuer un jet de Terre (ND 15) pour éviter d'être jettée Au Sol. Tout ce qui se trouve dans la zone d'effet est inondé et saturé d'eau.</t>
  </si>
  <si>
    <t>Ce sort vous permet de plonger votre regard dans une étendue d'eau et de voir tout ce qui se passe à proximité d'une autre étendue d'eau située à portée du sort. Vous devez connaitre l'endroit précis visionné. Vous voyez comme si vous étiez sous la surface de l'eau à cet endroit et n'entendez rien.</t>
  </si>
  <si>
    <t>La cible de ce sort peut ignorer les bonus au ND d'armure de ses adversaires quand ils proviennenent de leur armure ou d'effets de sorts de Niv. De Maîtrise &lt;3 et non de techniques. Ne réduit pas la Réduction ni les bonus accordés par les postures de Défense ou d'Esquive.</t>
  </si>
  <si>
    <t>Ce sort crée un lien temporaire entre deux personnes qui étaient au contact du shugenja au moment où il a lancé le sort et ne peuvent s'éloigner de plus de 15m l'une de l'autre sous peine de mettre fin au sort. Elles peuvent employer les rangs de compétences l'une de l'autre sans pour autant bénéficier des capacités de maitrise.</t>
  </si>
  <si>
    <t>Ce sort invoque des kamis qui s'assemblent sous la forme d'un cheval translucide considéré comme une monture Utaku mais avec une réduction de 15. Il se comporte comme un cheval normal et peut être dirigé par Equitation. A la fin du sort, le cheval se liquéfie ce qui peut être fort déplaisant si quelqu'un le monte encore.</t>
  </si>
  <si>
    <t>Quiconque tente de traverser un espace protégé par un Symbole de l'Eau doit réussir un Test d'Opposition Feu vs. Eau du lanceur de Sort. En cas déchec il doit réussir un test de Peur de 7. Un seul Glyphe à la fois.</t>
  </si>
  <si>
    <t>Avant de lancer le Sort vous devez choisir d'affaiblir un de vos Anneaux afin d'en renforcer un autre d'autant. Une fois le sort lancé avec succès, vous pouvez transférer un nbre d'emplacements de sorts quotidien non utilisés de l'Anneau affibli au renforcé. Dure exatement 1 jour.</t>
  </si>
  <si>
    <t>Je d'opposition de Terre contre l'Eau du lanceur. Si le test échoue le lait perturbe le système nerveux de la cible: Avec aucune A elle ne ressent puls de douleur pdt 1h (plus de pénalités de blesures) mais lance un dé de moins à tous ses tests. 2A: la cible s'endort pour 1h. 4A: La cible a un arrêt cardiaque dans les 10 minutes.</t>
  </si>
  <si>
    <t>Ce sort vous permet de détecter l'endroit exacte ou se trouve un invidivu ou un objet que vous connaissez bien. Si la cible se trouve au-delà des frontières de l'Empire de Rokugan, la sort échoue automatiquement.</t>
  </si>
  <si>
    <t>Dans le zone d'effet du sort, vous pouvez choisir un nombre de personnes consentantes et intervertir leurs positions à votre guise en les échangeant les unes avec les autres. A la fin du sort il doit y avoir une personne à chauqe position occupée quand le sort a commencé.</t>
  </si>
  <si>
    <t>Les valeurs des Traits physique et mentaux d'un élément désigné par le lanceur du sort sont inversés pour la durée de celui-ci. De cette manière un shugenja peut inverser les valeurs de Traits d'Intelligence et d'Agilité par exemple.</t>
  </si>
  <si>
    <t>Ce sort vous permets de modifier votre apparence pour prendre celle d'une créature naturelle. Vous conservez vos Traits Mentaux. Vous conservez vos Traits Physiques sauf si les Traits Physiques de l'animal dont vous avez prix la forme sont plus élevés. Vous gagnez les capacités naturelles de l'animal.</t>
  </si>
  <si>
    <t>En consentrant votre vision sur une étendue d'eau vous pouvez invoquer d'intenses visions du futur basées sur vos questions. Vous pouvez poser une question et les eaux vous donneront la réponse. Celle-ci prends la forme de 3 images séparées qui peuvent être reliées de toute sorte de façons.</t>
  </si>
  <si>
    <t>Terre/Feu</t>
  </si>
  <si>
    <t>Une personne visée par ce sort est immédiatement nettoyée de toute saleté et crasse, a +2g1 à tout jet effectué dans les 24h pr résister aux maladies, poisons ou infections. Si la cible n'est pas Souiléé, +2g1 à tous les jets pour résister à la Souillure. Max un sort de ce type par délai de 24 h</t>
  </si>
  <si>
    <t>Pendant la durée de ce sort, tous les feux dans la zone d'effet deviennent impossibles à éteindre par des moyens normaux, et tout effort magique pour les éteindre (comme le sort Extinction) doivent réussir un jet d'opposition de de feu contre le jet d'Incantation du sort du lanceur de la Bénédiction d'Osano-Wo.</t>
  </si>
  <si>
    <t>Lorsque le sort est lancé, le lanceur choisit un seul élément (sauf Vide) qu'il veut garder, le reste des éléments est détruit de manière appropriée, laissant derrière eux l'élément désiré seul. La perte de certains éléments peut avoir des effets différent, selon l'objet. Une perte d'eau rends moins flexible, une perte de terre le fragilise,...</t>
  </si>
  <si>
    <t>Tous les défauts de l'objet, fêlures, griffures et autresmenues entailles disparaissent. Ce sort ne peut toutefois pas réparer un objet totalement détruit ou brisé et ne peut affecter que les objets de qualité ordinaire.</t>
  </si>
  <si>
    <t>Ne peut se lancer qu'en extérieur. Invoque un éclair qui s'abat sur une cible lui infligeant 5g2 Blessures. Quiconce se trouve à 3m de la cible doit réussir un jet de Constitution de ND 15 ou être Sourd durant 2 Rounds. Si le sort est lancé dans un orage 6g2 Blessures voir 6g3 dans un ouragan ou terrible orage.</t>
  </si>
  <si>
    <t>La VD de l'arme enchantée augmente de 1g1 durant toute la durée du sort. Ne peut pas effecter une arme déjà améliorée par un effet magique ni un nemunarai ou qui ne comporte pas une lame en acier.</t>
  </si>
  <si>
    <t>Quand vous lancez ce sort vos bras se changent en ailes de Feu qui vous permettent de voler en ActG comme si votre Anneau de 4  si vous avez la capacité de léviter ou 1 autrement. Vous ne pouvez vous servir de vos bras pour autre chose que voler. Si vous vous trouvez dans les airs au moment où ce sort s'arrête les kamis du Feu disparaissent et la chute peut être rude.</t>
  </si>
  <si>
    <t>Ce sorf fait étinceler une armure comme si elle reflétait le soleil du désert. Quiconque tente de frapper le porteur de cette armure que l'attaque réussise ou non devient Fatigué. Tout adversaire ayant la posture d'Assaut, prend la posture d'Attaque à la place. Aucun effet sur les sorts ou les attaques à distance.</t>
  </si>
  <si>
    <t>Tous ceux qui se trouvent dans la zone d'effet y compris le lanceur de sort subissent 3g2  dommages. Toute personne qui reste dans la zone tant que le sort est actif subit 1g2 dommages suppl. au début de chaque Round. Toutefois le lanceur du sort ne subit que la moitié de ces dommages.</t>
  </si>
  <si>
    <t>Le temps d'incantation du prochain sort que vous lancerez est réduit de 4 Rounds. S'il s'agit d'un sort de Niveau de maitrise &lt; ou = à 3, vous pouvez le lancer instantanément en AS. Si vous ne commencez aucune incantation  en-déhans les 2 Rounds suivants, le bonus est perdu.</t>
  </si>
  <si>
    <t xml:space="preserve">Pureté de Shinsei annule les effets d'un sort ou effet gaijin etc. Typiquement, il permet de cibler un individu ou un lieu affligé par un effet de sort gaijin. Le MJ décide si un effet magique gaijin particulier peut être contrée par la pureté de Shinsei. </t>
  </si>
  <si>
    <r>
      <t xml:space="preserve">En combat, la cible de ce sort est prise de fureur et adopte immédiatement la posture d'assaut et ne peut en changer tant que perdure ce sort. Si le sort est lancé en dehors d'un combat la cible reçoit les désatantages </t>
    </r>
    <r>
      <rPr>
        <i/>
        <sz val="6"/>
        <rFont val="Arial"/>
        <family val="2"/>
      </rPr>
      <t>Impétueux</t>
    </r>
    <r>
      <rPr>
        <sz val="6"/>
        <rFont val="Arial"/>
        <family val="2"/>
      </rPr>
      <t xml:space="preserve"> et </t>
    </r>
    <r>
      <rPr>
        <i/>
        <sz val="6"/>
        <rFont val="Arial"/>
        <family val="2"/>
      </rPr>
      <t>Contrariant</t>
    </r>
    <r>
      <rPr>
        <sz val="6"/>
        <rFont val="Arial"/>
        <family val="2"/>
      </rPr>
      <t xml:space="preserve"> tant que perdure le sort.</t>
    </r>
  </si>
  <si>
    <t>Tous les matériaux inflammables de la zone prennent immédiatement feu et brûlent jusqu'à ce qu'il ne reste que des cendres. Ce feu ne peut être étaient que par magie. Les êtres vivants et matériaux ininflammables ne subissent aucune blessure même si leurs vêtements brûlent, leur peau est intacte.</t>
  </si>
  <si>
    <t>Le porteur de cette armure ajoute +1g0 à tous ses jets d'attaque et tous ses dés de dommages donnant un 8 ou plus s'ouvrent. Chaque dé ne peut s'ouvrir qu'une et une seule fois de cette manière même si le porteur bénéficie d'autres effets pouvant ouvrir les dés.</t>
  </si>
  <si>
    <t>Vous invoquez un trait de feu qui jaillit en direction de la cible avec une violence sans limites. Les flammes infligent 4g3 Blessures à l'impact puis l'entourent d'un cercle de feu. Si la cible lance un sort de Feu tant que le sort est actif elle subit 3g3 dommages suppl. et son incantation échoue automatiquement.</t>
  </si>
  <si>
    <t>Pour la durée du sort, 2 cibles reçoivent un bonus de +2g0 à tous les jets impliquant les Traits et Anneau du feu (par exemple, tous les jets impliquant Agilité et Intelligence). Toute condition comme Fatigué, Hébété ou Etourdi, subie par une cible affecte aussi automatiquement l'autre. Le sort d'arrête si une cible est mise Hors Combat.</t>
  </si>
  <si>
    <t>La cible de ce sort gagne un bonus de +1g1 à tous les jets de compétence basés sur l'Agilité et un bonus de +1g0 à tous les jets de dommages tant qu'elle reste sous la lumière directe du soleil. Le sort ne peut pas fonctionner sous terre, de nuit, ou lorsque le Soleil est obscurci par les nuages mais il ne tient pas compte du feuillage.</t>
  </si>
  <si>
    <t>La cible récupère instantanément de la condition Hébété. Pendant la durée du sort, tous les tests liés au Feu de la cible ignorent les effets de la Fatigue et les malus dus aux niveaux de Blessure. Toutefois, la fin du sort, la cible devient Fatiguée (cumulable) et ne peut pas s'en remettre d'aucune façon pendant 24h</t>
  </si>
  <si>
    <t>Tout objet matériel endommagé ou détruit peut être réparé moyennant que tous ces morceaux aient étés rassemblés. Le lancer prends 1 minute et nécéssite toute votre concenrtation. En cas de succès l'objet redevient entier et intact. Vous devez offrir aux kamis du feu un objet de valeur identique en échange.</t>
  </si>
  <si>
    <t>Vous invoquez un mur de flammes qui fait 3m de haut, 30 cm d'épaisseur et 7,5m de long. Il inflige 6g6 dommages à quiconque le touche. Le mur peut être crée où des créatures se trouvent, les obligeants à un jet de Réflexes de ND 20 pour éviter d'être bléssées.</t>
  </si>
  <si>
    <t>Quiconque tente de traverser un espace protégé par un Symbole de Feu doit réussir un Test d'Opposition d'Eau vs. Feu du lanceur de Sort. En cas déchec il devient Hébété et Aveuglé pendant 1 Round et subit 3g3 Blessures. 1 Seul Glyphe à la fois.</t>
  </si>
  <si>
    <t>Tant que le sort est actif, les yeux de la cible brillent d'une aura de feu et tous ses alliés subissent un effet de Peur 3 (s'ils sont vulnérables à la peur, au choix du MJ, les Morts-Vivants sont immunisés). Plus important encore, pour la durée du sort, la cible est considérée comme Aveugle.</t>
  </si>
  <si>
    <t xml:space="preserve">Les individus qui passent à travers la barrière du château (ou sont pris par lui quand il apparaît) feu subissent 6g6 dommages et sont incendiés. Tte personne sous la barrière de feu lorsqu'elle apparait doit réussir un test de Réflexes de ND 20. La barrière incinère instantanément les flèches ou autres projectiles qui la traversent. </t>
  </si>
  <si>
    <t>Chaque cible subit 8g6 dégâts. Cependant, la nature de ce sort est telle que le kami de feu ciblera seulement ceux qu'il considère comme faibles et indignes c'est-à-dire les ennemis de Rang de Maitrise &lt; 2 ou non-humains de puissance comparable (à la discrétion du MJ) .</t>
  </si>
  <si>
    <t>Imprègne une arme de kamis du Feu particulièrement puissants. Pendant toute la durée du Sort, l'arme enchantée outrepasse toute Invulnérabilité et chaque cible qu'elle touche est automatiquement Etourdie.</t>
  </si>
  <si>
    <t>Après une minute et avoir réussi un test d'Opposition de feu contre la cible, celle-ci se retrouve constamment couronnée de flammes. Ces feux ne lui nuisent pas ni à ses ennemis, mais tout ami, allié ou innocent qui le touche subit 3g3 dommages. Les objets physiques inflammables que la cible touche prennent feu.</t>
  </si>
  <si>
    <t>Pendant tout la durée de ce sort les sentiments de la cible deviennent immuables. Elle bénéficie de +3g0 à tous ses jets destinées à résister aux manipulations émotionelles ou aux distrations sucitées par le désir. Toutefois elle subit aussi un malus de -1g0 en Intuition et à toutes les compétences liées à ce trait.</t>
  </si>
  <si>
    <t>Toute créature de l'Outremonde dont l'Anneau de la Terre est &lt; 3 peut être la cible de ce sort. N'affecte ni les Damnés, ni les Seigneurs Onis, ni leurs rejetons, ni les créatures sans Souillure. Si le sort est lancé avec succès, il invoque des menotes de fer qui emprisonnent la cible et la rendent impuissante tant que dure le sort.</t>
  </si>
  <si>
    <t>Tant que le sort fait effet, toutes les cibles de ce sort (dont le shugenja peut faire partie) bénéficient d'un bonus de +5g0 à aux tests visant à résister à la Peur s'ils sont issus d'un Clan Majeur, de +3g0 sinon. Tous ceux qui disposent d'au moins un Rg. de Souillure complet ne bénéficient pas de ce sort mais il ne révèle pas leur Souillure.</t>
  </si>
  <si>
    <t>La frappe de Jade invoquée ne peut pas être déviée ni interceptée et inflige 3g3 blessures à toute cible ayant au moins un Rg. de Souillure. Les cibles n'ayant pas un  Rg. de Souillure ne sont pas affectées par ce sort et le lancer sur une telle cible est considéré comme une grave insulte.</t>
  </si>
  <si>
    <t>Quand un Shugenja lance ce sort il choisit un élément (à l'exeption du Vide, Dragon ou de Maho). Tous les sorts de cet élément subissent un malus au ND égal au Rg. de Maîtrise du lanceur du sort X5 quand ils sont lancés sur quiconque bénéficie de la protection de ce sort. Les sorts "bénéfiques" comme les soins sont aussi affectés.</t>
  </si>
  <si>
    <t>Invoque l'élément Terre contenu dans la cible pour la rendre pesante et freiner ses mouvements. La cible subit un malus de -2g0 à tous ses tests ayant recours à l'Agilité et retire 1 à son Anneau de l'Eau pour calculer ses mouvements.</t>
  </si>
  <si>
    <t>La cible peut voir à 30m à travers le sol et s'y déplacer. Elle peut voir le monde normal quand elle est "sous terre" mais ne peut pas attaquer, lancer de sorts, parler ou interagir d'une quelconque manière que ce soit à moins qu'elle n'en émerge et ne mette fin au sort. Dès que le sort s'achève les kamis expulsent la cible à l'air libre.</t>
  </si>
  <si>
    <t>Après avor lancé le sort avec succès, en ActG, le lanceur de sort peut effectuer un jet d'opposition de Terre la créature naturelle ciblée. En cas de succès, la créature cesse toute action hostile et peut recevoir de ordres simples par des jets de Dressage. A la fin du sort, la créature retrouve un comportement normal.</t>
  </si>
  <si>
    <t>Ce sort permet de fusionner les mains du lanceur avec l'élément terre lui permettant d'escalader des surfaces abruptes à la moitié de sa vitesse de déplacement ordinaire. Peut même se suspendre au plafond mais ne se déplace que de 1,5m en AS. Qd le sort s'achève, il prend fin sans avertissement, provoquant une chute.</t>
  </si>
  <si>
    <t>La cible bénéficie d'un bonus de +3g0 contre toutes les manœuvres de Renversement. Par ailleurs il faut d'abord réussir un test d'opposition entre l'élément d'un sort et la valeur de Terre du lanceur pour la soulever du sol, la jetter à terre ou rompre le contact avec le sol grâce à un sort.</t>
  </si>
  <si>
    <t>Tout tentative magique ou physique viant à accroitre ou décroitre un Anneau de la cible se montre totalement inefficace pendant la durée du sort car les kamis de la Terre s'opposent fermement à altérer l'équilibre de la cible.</t>
  </si>
  <si>
    <t>Pendant la durée de ce sort la cible est imminisée aux malus issus des Rangs de Blessures et ne meurt pas même si le Rang de Blessures Hors Combat est complet. Toutefois lorsque le sort s'achève tous les effets des blessurs s'appliquent instantanément. Ce sort fournit donc un bref délais permetant un soin.</t>
  </si>
  <si>
    <t>Ce sort recouvre le lanceur de sort d'un facsimilé d'un objet naturel qui semblera parfaitement normal. Ce sort est peu utile en ville ou dans un chateau. Le shugenja peut respirer et entendre normalement mais ne peut interagir avec l'extérieur. S'il bouge, parle, porte ou est la cible d'une attaque, le sort prend fin.</t>
  </si>
  <si>
    <t>Pendant la durée de ce sort, la cible gagne +2 Blessures par Rang de Blessure ainsi qu'un bonus de +1g1 à tos ses jets impliquant l'Anneau de Terre et les Traits associés. Quand le sort s'achève toutes les Blessures subies par la cible persistent ce qui peut l'amener à un niveau de Blessure inférieur voir la tuer.</t>
  </si>
  <si>
    <t>Pdt. la durée de ce sort, toute cible (qui peut être le shugenja lui-même) bénéficie de +5g5 pour résister à la Souillure et tous les effets de sorts de Maho qui tentent de les affecter ont un malus de +10 à leur ND. Il ne protège pas contre les gains de Souillures obtenus pas aggravation de Souillure déjà présente ni par lancer de maho</t>
  </si>
  <si>
    <t xml:space="preserve">Les personnes dans la zone d'effet doivent réussir un test d'Agilité de ND 20 ou être mises Au Sol, subir 1g1 dommages et être Hébétées pour un round. Le sort cause 4g2 dommage à toutes les structures au sein de sa zone d'effet en ignorant leur réduction et peut renverser des constructions à la discrétion du MJ. </t>
  </si>
  <si>
    <t>Pendant toute la durée du sort, l'Anneau de Terre le plus bas parmi les cibles (dont l'une peut-être le shugenja) s'ajoute à tous les jets d'Anneau, de Traits, de Compétences qu'elle effectue sauf les jets d'Incantation.</t>
  </si>
  <si>
    <t>Tant que le shugeja qui lance ce sort reste concentré, tous les effets de sorts des 3 autres éléments s'amoindrissent. Tout sort hostile d'Air, Feu ou Eau lancé dans la zone subit un malus de +10 à son ND et tous les dommages que ces sorts infligent sont réduits de -1g1 (pour un minimum de 1g1) pour toutes les créatures.</t>
  </si>
  <si>
    <t>Fait appel aux kamis de la terre après 1h de rituel pour purger une zone de la Souillure de l'Outremonde y compris les plantes et objets inanimés qui s'y trouvent. Il n'a aucune effet sur les autres créatures vivantes, sur les reliques souillées ni les objets en obsidienne. Malus de +15 au ND de tout sort lancé dans la zone.</t>
  </si>
  <si>
    <t>Le shugenja fissure le sol dans une direction au sein de la zone d'effet. Toutes les créatures dans la zone d'effet doivent réussir un jet d'opposition de Force contre la Terre du lanceur ou être comme frappés par une manoeuvre de Renversement. Les créatures avec plus de deux jambes ont 2 AG sur ce test.</t>
  </si>
  <si>
    <t>Chaque fois que le lanceur subit des dégâts issus d'une attaque physique ou magique on soustrait son Rang de Maîtrise de Shugenja à CHACUN de ses dés de Dommages. Cet effet peut réduire le résultat d'un dé de dommage à 0 mais pas en dessous.</t>
  </si>
  <si>
    <t>La Frappe de Saphir inflige 4g4 dommages mais uniquement aux cibles sensibles au jade ou au cristal. Ce sort est considéré comme de jade et de cristal contre les effets d'Invulnérabilité et pour ce qui est du franchissement des Réductions.</t>
  </si>
  <si>
    <t>Quiconque tente de traverser un espace protégé par un Symbole de Terre doit réussir un Test d'Opposition Air vs. Terre du lanceur de Sort. En cas d'échec il doit réussir un jet de Force de ND= au jet d'incantation ou tomber Au Sol et être Etourdi. Si elle a un Rg de Souillure elle subit en plus 2g2 Blessures. 1 Seul Glyphe à la fois.</t>
  </si>
  <si>
    <t>Qd on lance Tombe de jade la cible qui possède au moins un rang de Souillure complet à portée se trouve immobilisée. Cahque round, le lanceur de sort doit faire un jet d'opposition de Terre contre sa cible. Si cette dernière l'emporte le sort s'achève. Sinon, elle subit 2g2 blessures jusqu'à ce qu'elle réussise un jet d'opposition.</t>
  </si>
  <si>
    <t>Ce sort désintègre toute matière naturelle non-vivante et non travaillée (n'affecte pas un mur par exemple). Les kamis de la Terre vous ignorent la journée suivante tant que vous n'avez pas consacré 1h à Méditer pour les remercier ce qui signifie que vous devez prendre au moins une A sans en tirer bénéfice pour lancer tout sort de Terre.</t>
  </si>
  <si>
    <t xml:space="preserve">Le séisme détruit tout bâtiment en bois situé dans la zone d'effet et inflige de graves dégâts aux bâtiments de pierre. Tous les individus dans la zone de sort tombent Au Sol et sont Etourdis juqu' la fin du sort et subissent 2g1 blessures (Seul le Shugenja n'est pas affecté) ou 6g6 Blessures (Shugenja compris) si à l'intérieur d'un bâtiment.. </t>
  </si>
  <si>
    <t>Une lumière verte et sacrée entoure la cible tant que perdure le sort qui la protège contre la Souillure et les sorts de maho. Ce sort ne peut pas être lancé sur quelqu'un qui compte au moins un rang complet de Souillure car les esprits du jade refusent de fréquenter ce genre d'individu.</t>
  </si>
  <si>
    <t>Ce sort permet d'emprisonner toute créature non-humaine ayant au moins 1 rang de souillure complet dans un objet précieux. Le shugenja doit effectuer un jet d'opposition de Volonté. Si le lanceur l'emporte, l'enveloppe physique de la cible disparait et son esprit est emprisonné. Elle y demeure jusqu'à ce que l'ojet soit détruit.</t>
  </si>
  <si>
    <t>Ce sort permet d'invoquer 30dm³ de l'élément choisi qui se matérialise souvent sous la forme d'une sphère dont les composants se comportent de façon normale. Ce sort n'a que peu d'utilité au combat. On peut déclarer des A pour invoquer des matérieux plus spécifiques sauf des matériaux précieux comme de l'or, ou les 3 substances sacrées.</t>
  </si>
  <si>
    <t>Ce sort permet au lanceur de ressentir la quantité, la présence et l'endroit approximatif où se trouvent les esprits d'un élément choisi (mais pas les kansen) dans la limite de sa portée. On l'utilise souvent pour détecter les esprits avec lesquels communier mais il peut aussi servr comme moyen de détection grossier pour trouver une source.</t>
  </si>
  <si>
    <t>Vous pouvez neutraliser un Désavantage Mental ou Spirituel dont la cible est affligée et dont la valeur est &lt; à 5. La Souillure de l'Outremonde ne peut pas être retirée par ce sort même si les soucis mentaux qu'elle sucite peuvent être soulagés temporairement.</t>
  </si>
  <si>
    <t>Si vous retardez votre action, vous pouvez interrompre la cible de ce sort après qu'elle ait déclaré son action mais avant qu'elle ne l'accomplisse quand vient votre tour. Vous pouvez agir ainsi à chaque Round pendant toute la durée du sort (normalement quelqu'un qui retarde son action ne peut pas interrompre celle d'un autre)</t>
  </si>
  <si>
    <t>Un fois ce sort lancé vous gagnez un nombre de Pvide supplémentaires égal à votre Rang de Maîtrise+1. Si cela vous amène à dépasser votre total de Pvide, vous perdez un des ces points supplémentaire à chaque Round où vous n'en dépensez pas un.</t>
  </si>
  <si>
    <t>Prende directement contact avec le vide peut s'avèrer particulièrement troublant pour ceux n'en ayant pas l'habitude. La cible de ce sort subit 1g1 blessures et devient Hébétée</t>
  </si>
  <si>
    <t>Ce sort vous permet de percevoir l'existence et l'endroit de toutes les créatures vivantes dans la zone du sort. Vous ne pouvez ni les voir ni obtenir de détails à leur sujet. Les esprits de l'Outremonde vous apparaissent comme des "Vides" mais ce sort ne permet pas de détecter la présence ou non de Souillure.</t>
  </si>
  <si>
    <t>Vous pouvez transformer une petite quantité de matière élémentaire pure -eau, feu, air, terre ou boue- en n'importe quel autre élément</t>
  </si>
  <si>
    <t>En concentrant votre énergie vous pouvez voir un lieu familier comme si vous vous y trouviez en personne. Vous pouvez voir et entendre tout ce qui s'y passe mais ne pouvez ni être détecté ni interagir avec les objets ou personnes qui s'y trouvent de quelque manière que ce soit. Pendant votre transe votre corps est très vulnérable.</t>
  </si>
  <si>
    <t>Vous pouvez dépenser n'importe quel nombre de Pvide pour n'importe quel jet effectué pendant la durée de ce sort à condition que l'utilisation du vide soit permise pourl'action entreprise (par exemple aucun jet de dommages ne peut normalement être amélioré par ce sort).</t>
  </si>
  <si>
    <t>Une fois ce sort lancé, vous pouvez lancer n'importe quel sort d'un seul élément comme s'il fesait partie d'un autre élément. Ce changement est effectif sur l'Anneau utilisé, le nombre de sorts et les Affinités/Déficiences du sort. Le MJ a le dernier mot quant à l'effet exact du sort ainsi modifié.</t>
  </si>
  <si>
    <t>Si ce sort est lancé avec succès, la cible de ce sort doit réussir un jet d'opposition de vide contre vous avant de pouvoir utiliser le moindre Pvide tant que perdure le sort. Ce jet ne compte pas pour une action pour la cible et elle ne doit réussir qu'un jet par tour même si elle utilise plusieurs PVide pour déclencher une technique ou capacité.</t>
  </si>
  <si>
    <t>Tant que ce sort fait effet, tout shugenja dans la zone d'effet gagne une AG pour lancer des sorts du Vide mais inflige un malus de +5 au ND de tous les autres sorts élémentaires. Toute créature avec un Rg. De Néant ou affiliée à l'Ombre Rampante qui entre dans la zone doit réussir un test de Volonté de ND 20 ou subir un malus de +10 à tous leurs tests de compétence ou d'attaque.</t>
  </si>
  <si>
    <t>Tant que ce sort fait effet, tout shugenja dans la zone d'effet a un malus de +10 au ND d'Incantation de tout autre sort du Vide. Tout effet se déclenchant par dépense d'un Pvide voit son coût augmenté d'un Pvide. Si un effet demande de cette manière 2 Pvide et qu'il n'en reste qu'un, il ne peut être utilisé.</t>
  </si>
  <si>
    <t>Vous pouvez cibler un individu consentant à l'aide de ce sort: tous les Pvides que vous possédez tous les 2 sont unis au sein d'une même réserve au sein de laquelle vous pouvez puiser librement tant que perdure le sort. A la fin du sort les Pvide restants sont disctribués équitablement jusqu'au maximum de PVide.</t>
  </si>
  <si>
    <t>Tant que vous maintenez votre Concentration sur une personne précise et que ce sort est actif, vous entendez ses pensées. La façon dont ses penseés se manifestent dépend de l'individu. Un artisant s'exprime en poèmes, un guerrier loyal fera des phrases brèves et précises.</t>
  </si>
  <si>
    <t>Effectuez un jet d'Oppostion de Vide contre la cible. En cas de succès, la cible perds 1 Pvide et vous en gagnez 1. 1 point suppl. s'échange de cette manière pour chaque tranche entière de 5 points que vous obtenez au dessus du résultat de votre adversaire. Ce sort ne peut être utilisé contre une créature n'ayant pas de PVide.</t>
  </si>
  <si>
    <t>Vous pouvez annuler 2 des désavantages de la cible durant la durée du sort. Les effets négatifs dus aux sorts, (comme la réduction du ND d'armure ou des Traits/Anneaux) s'annulent eux aussi si leur niveau de maitrise est &lt; à 3. Cette restauration de la trame du vide soigne également 3g3 Blessures.</t>
  </si>
  <si>
    <t>En utilisant ce sort vous pouvez diviser votre âme et exister simultanément en 2 endroits du royaume des mortels. Votre "double" apparait dans votre champ de vision. Vous percevez noramelement tout ce qu'il ressent et pouvez interagir normalement mais 1 seul peut incanter. Toutes les blessures subies par ces deux incarnations se cumulent à la fin du sort.</t>
  </si>
  <si>
    <t xml:space="preserve">Tant que dure le sort, les anneaux de la cible sont réorganisés de façon aléatoire (et les Traits sont modifiés en conséquence). L'anneau d'Air de la cible peut ainsi se substituer à son Anneau de Feu qui lui-même se substitue à celui de Terre.  </t>
  </si>
  <si>
    <t>Réussissez un jet d'opposition de Vide contre l'Anneau de Terre de votre cible. En cas de succès, la cible meurt instantanément et ses restes disparaissent dans le vide. Le succès est automatique contre les objets non-éveillés. Les kamis contenus dans les nemuranai réagissent souvent avec démesure contre ce type d'attaque.</t>
  </si>
  <si>
    <t>Tant que dure le sort: vous pouvez traverser les murs, vous cacher dans les ombres et êtes immunisé aux attaques physiques. Vous gagnez un Rang de Néant.</t>
  </si>
  <si>
    <t>Tant que dure le sort vous avez la capacité de changer votre apparence physique tant que celle-ci a une taille et un poids plus ou moins similaire. Vous gagnez aussi la capacité de lire les penseés des personnes situés à moins de 7,5m de vous. A la fin de ce sort, vous êtes Hébêté durant 1 jour.</t>
  </si>
  <si>
    <t>Après 1h de rituel, vous pouvez restaurer un individu tel qu'il était 8h avant que le sort ne fasse effet. Tous les effets et condtions disparaissent. Vous perdez tous vos Pvide et ne pouvez pas les regagner durant 3j après quoi vous en regagnez 1 par jour jusqu'à votre maximum. Ce sort ne peut pas ramener un mort à la vie.</t>
  </si>
  <si>
    <t>Vous avez les cheveux et la peau pâles comme la mort. Du maquillage permet de dissimuler tout cela. Vous subissez un malus de -1g0 aux jets de Compétences Sociales quand on voit votre véritable apparence.</t>
  </si>
  <si>
    <t>A chaque fois que vous infligez au moins 15 Blessures à un adversaire, vous gagnez une Réduction de 10 (5 contre le jade) pour le reste de cette escarmouche. Cet effet se cumule avec les autres sources de Réduction mais ne se cumule pas avec lui-même.</t>
  </si>
  <si>
    <r>
      <t xml:space="preserve">Tous les sorts ordinaires (sauf la maho) suceptibles de vous affecter voient leur jet d'incantation augmenter d'un malus de ND de +10 Toutefois les sorts de maho bénéficient d'une AG contre vous. Un shugenja qui lance </t>
    </r>
    <r>
      <rPr>
        <i/>
        <sz val="6"/>
        <rFont val="Arial"/>
        <family val="2"/>
      </rPr>
      <t xml:space="preserve">Sensation </t>
    </r>
    <r>
      <rPr>
        <sz val="6"/>
        <rFont val="Arial"/>
        <family val="2"/>
      </rPr>
      <t>réalisera l'abscence de kamis autour de vous.</t>
    </r>
  </si>
  <si>
    <t>Si vous méditez  pdt 2h et réussissez un jet de Méditation/Volonté contre un ND de 20, vs pouvez dissimuler votre Souillure pdt 8h. Vous n'êtes plus considéré comme Souillé toutefois les mutations physiques restent en place et vous ne pouvez user de maho ou de pouvoir de l'Outremonde.</t>
  </si>
  <si>
    <t>Vous ne subissez plus de signes extérieurs de la Souillure et vos mutations physiques disparaissent. Vous pouvez gagner de nouveaux pouvoirs de l'Outremonde et ils ne s'accompagnent pas de symptômes physiques mais vous mutez de l'intérieur de tumeurs et organes difformes.</t>
  </si>
  <si>
    <t>Toute tentative visant à vous influencer au moyen de Compétences Sociales ou de Techniques ou encore de vous contrôler au moyen de sorts échoue automatiquement.</t>
  </si>
  <si>
    <t>Les créatures de l'Outremonde ne vous attaquent pas sauf si vous les menacez en premier. Si vous parvenez à communiquer avec elles, elles pourraient vous obéir, surtout si vous vous montrez puissant ou persuasif.</t>
  </si>
  <si>
    <t>Extraire la Noirceur</t>
  </si>
  <si>
    <t>Vous avez désormais une longue langue fourchue semblable à celle d'un serpent. Pour dissimuler cette mutation lorsque mangez ou parlez vous devez réussir un jet de Comédie/Intuition contre un ND de 20.</t>
  </si>
  <si>
    <t>Vous savez où se trouve la moindre parcelle de votre sang ou chair (cheveux et ongles exceptés) où qu'elle se situe. Si vous avez déjà la pouvoir Domination du Sang, vous êtes même capable de pister une créature qui a bu votre sang.</t>
  </si>
  <si>
    <r>
      <t xml:space="preserve">L'un de vos membres (jambe ou bras à déterminer aléatoirement) est tordu et inutilisable. Dans le cas d'une jambe, vous gagnez le Désavantage </t>
    </r>
    <r>
      <rPr>
        <i/>
        <sz val="6"/>
        <rFont val="Arial"/>
        <family val="2"/>
      </rPr>
      <t>Estropié</t>
    </r>
    <r>
      <rPr>
        <sz val="6"/>
        <rFont val="Arial"/>
        <family val="2"/>
      </rPr>
      <t>. Si c'est un bras, malus de -3g0 au jets liés à ce bras.</t>
    </r>
  </si>
  <si>
    <t>Vous avez désormais un ou plusieurs tentacules que vous contrôlez plus ou moins. Vous pouvez vous en servir pour ramasser de petits objets, attaquer avec des armes de petite taille ou entamer une Empoignade. Quiconque voit ces tentacules comprendra que vous êtes Souillé.</t>
  </si>
  <si>
    <t>La curiosité d'Agasha Kasuga vous octroie un bonus de +1g1 à tout jet de compétence pour lequel vous effectuez un acte déshonorant (ou qui vous cause une perte d'Honneur) tant qu'il est sanctionné par votre devoir envers la maison impériale.</t>
  </si>
  <si>
    <r>
      <t xml:space="preserve">Tant qu'Asako guide vos pas, les autres trouvent en vous un allié de charme et un véritable ami. Tous vos avantages Relations gagnent une augmentation de leur niveau de dévotion, et vous gagnez +1g0 à tous les jets de compétences sociales portées contre une personne avec qui vous êtes allié. Toutefois, si un allié vous trahit, vous gagnez automatiquement </t>
    </r>
    <r>
      <rPr>
        <i/>
        <sz val="6"/>
        <rFont val="Arial"/>
        <family val="2"/>
      </rPr>
      <t>Omnubilé: Détruire le Traitre</t>
    </r>
    <r>
      <rPr>
        <sz val="6"/>
        <rFont val="Arial"/>
        <family val="2"/>
      </rPr>
      <t xml:space="preserve"> contre aucun point d'expérience.</t>
    </r>
  </si>
  <si>
    <r>
      <t xml:space="preserve">=CONCATENER("Ceux qui sont guidés par l'esprit de Chiroru gagnent sa capacité à tisser des liens puissants de loyauté avec leurs camarades. Vous pouvez choisir ";Vide;" personnes pour être vos "frères et sœurs". Vous êtes considéré comme ayant l'Avantage </t>
    </r>
    <r>
      <rPr>
        <i/>
        <sz val="6"/>
        <rFont val="Arial"/>
        <family val="2"/>
      </rPr>
      <t>Lien Kharmique</t>
    </r>
    <r>
      <rPr>
        <sz val="6"/>
        <rFont val="Arial"/>
        <family val="2"/>
      </rPr>
      <t xml:space="preserve"> avec chacune de ces personnes, et vous êtes toujours au courant si l'une d'entre elles est en danger.")</t>
    </r>
  </si>
  <si>
    <t>La direction de Fureheshu vous permet d'en appeler à votre propre force dans des situations inhabituelles. Lorsque vous effectuez un jet de compétence avec un trait physique, vous pouvez dépenser un point de vide pour utiliser la Force à la place du Trait normal.</t>
  </si>
  <si>
    <t>Les dons de Kaiu vous donnent un bonus de +3g1 (au lieu de +1g1) à tout test d'Ingénierie ou d'Artisanat. En outre, une fois par an de jeu, vous pouvez faire appel à l'inspiration de Kaiu et tenter un jet d'Artisanat de ND 50 pour créer un Nemuranai éveillé mineur. Les pouvoirs initiaux de cet ouvrage magique sont choisis par le MJ.</t>
  </si>
  <si>
    <t>Vous bénéficiez des connaissances de votre ancêtre et d'un bonus de +3g0 sur tous vos tests de Médecine (maladies)</t>
  </si>
  <si>
    <t>Seuls les shugenjas ronins peuvent bénéficier des conseils de l'esprit de Miyuko, et ils partagent ses idées profondes sur la nature de la magie et des éléments. Vous êtes considéré comme étant d'un Rang d'École supérieur dans le but de lancer des sorts (Niveau de maîtrise, jets d'incantation de sorts, et effets du sort).</t>
  </si>
  <si>
    <t>Vous pouvez respirer et ne pouvez pas vous noyer dans l'eau de mer. Vous pouvez vous mouvoir, bouger et parler sous l'eau quelque soit la profondeur et sans limite de temps. Ne fonctionne pas dans l'eau douce.</t>
  </si>
  <si>
    <r>
      <t xml:space="preserve">Tant que Toku veille sur vous, vous êtes considéré comme ayant un rang dans l'avantage de </t>
    </r>
    <r>
      <rPr>
        <i/>
        <sz val="6"/>
        <rFont val="Arial"/>
        <family val="2"/>
      </rPr>
      <t xml:space="preserve">Chanceux </t>
    </r>
    <r>
      <rPr>
        <sz val="6"/>
        <rFont val="Arial"/>
        <family val="2"/>
      </rPr>
      <t>(ou un Rang supplémentaire si vous possédez déjà l'avantage Chanceux).</t>
    </r>
  </si>
  <si>
    <r>
      <t xml:space="preserve">[Continu] Vous gagnez l'Avantage: </t>
    </r>
    <r>
      <rPr>
        <i/>
        <sz val="6"/>
        <rFont val="Arial"/>
        <family val="2"/>
      </rPr>
      <t>Bénédiction de Benten</t>
    </r>
  </si>
  <si>
    <t>Ceux qui ont l'honneur d'être sous le patronnage d'Isawa gagnent un bonus de +1g1 à tous leurs jets d'Art de la Magie: Recherche de Sorts et apprenent 1 sort supplémentaire à chaque fois qu'ils gagnent un Rang d'école de Shugenja.</t>
  </si>
  <si>
    <t>X</t>
  </si>
  <si>
    <t>9ème siècle</t>
  </si>
  <si>
    <t>6ème siècle</t>
  </si>
  <si>
    <t>La Guerre contre l'Ombre/L'Empereur Disparu</t>
  </si>
  <si>
    <t>5ème siècle</t>
  </si>
  <si>
    <t>Vous parlez le Yobanjin</t>
  </si>
  <si>
    <t>Si votre honneur tombe jamais en dessous de 5.0, que vous portez la moindre trace de souillure ou que vous pillez les fonds marins pour votre seul profit, Toshigo Shojo vous abandonne immédiatement.</t>
  </si>
  <si>
    <t>Kokujin</t>
  </si>
  <si>
    <t>Sumumu</t>
  </si>
  <si>
    <t>La Pince du Crabe</t>
  </si>
  <si>
    <t>Aggripeur Hiruma</t>
  </si>
  <si>
    <t>Art of the Duel</t>
  </si>
  <si>
    <t>Vous recevez un bonus à vos tests d’Initiative égal à votre Agilité et un bonus égal à Terre + Agilité à vos tests de Jiujitsu et à tous les jets liés à l’initiation et à la maintenance d’un état Empoigné/Agrippé. Si vous contrôlez cet état Empoigné/Agrippé au début de vous pouvez désarmer votre adversaire en AS.</t>
  </si>
  <si>
    <t>Eviscérer l'Anguille</t>
  </si>
  <si>
    <t>Courtisan Doji 2</t>
  </si>
  <si>
    <t>Maître des esprits</t>
  </si>
  <si>
    <t>Vous bénéficiez de 2 AG lorsque vous utilisez la compétence Courtisan. Vous gagnez immédiatement 1 rang  dans la compétence Jeu: Sadane (même si vous ne la possedez pas encore).</t>
  </si>
  <si>
    <t>Héritier de Seijuro</t>
  </si>
  <si>
    <t>Dueliste Matsu</t>
  </si>
  <si>
    <t>Berserker Matsu 2</t>
  </si>
  <si>
    <t>Citoyen: World of Dreams</t>
  </si>
  <si>
    <t>Garde Seppun 3</t>
  </si>
  <si>
    <t>Dueliste Seppun</t>
  </si>
  <si>
    <t>Un esprit concentré</t>
  </si>
  <si>
    <t>Chaque jour, vous recevez un nbre de Pvide = Rg. de Satut. Vous ne pouvez les utiliser que pour vos compétences d'école et un seul à la fois. Se réinitialise chaque jour, les pVides non dépensées sont perdus.</t>
  </si>
  <si>
    <t>En l'Honneur d'Hantei</t>
  </si>
  <si>
    <t>Bushi Seppun</t>
  </si>
  <si>
    <t>Tant que ce kata est actif, vos malus de blessures sont réduits d'un montant égal à votre Rg. D'honneur</t>
  </si>
  <si>
    <t>Arme Sacrée: Wakisashi Otomo</t>
  </si>
  <si>
    <t>Wakisashi 3g2; +0,5 Rang de Statut quand le personnage la ceint. AG aux jets de Courtisan et Etiquette.</t>
  </si>
  <si>
    <t>Arme Sacrée: Katana Doré du Loriot</t>
  </si>
  <si>
    <t>Katana 3g3, +0,5 Rang de Statut quand un personnage d'un clan mineur la ceint. AG aux jets d'Intuition quand un personnage d'un clan majeur la ceint.</t>
  </si>
  <si>
    <t>Arme Sacrée: Lame du Temple</t>
  </si>
  <si>
    <t>Cimeterre Naga 4g2, bonus de +1g0 aux tests de Kenjutsu réalisés avec cette arme.</t>
  </si>
  <si>
    <t>Kaito</t>
  </si>
  <si>
    <t>Katana Doré du Loriot</t>
  </si>
  <si>
    <t>Moyenne, Samurai, Loriot</t>
  </si>
  <si>
    <t xml:space="preserve"> +0,5 Rang de Statut quand un personnage d'un clan mineur la ceint. AG aux jets d'Intuition quand un personnage d'un clan majeur la ceint.</t>
  </si>
  <si>
    <t>Lame du Temple</t>
  </si>
  <si>
    <t>Bonus de +1g0 aux tests de Kenjutsu réalisés avec cette arme.</t>
  </si>
  <si>
    <t>Wakizashi Otomo</t>
  </si>
  <si>
    <t>+0,5 Rang de Statut quand le personnage la ceint. AG aux jets de Courtisan et Etiquette.</t>
  </si>
  <si>
    <t>Guerrier-Fermier Suzume</t>
  </si>
  <si>
    <t>Frères des Champs</t>
  </si>
  <si>
    <t>Agriculture</t>
  </si>
  <si>
    <t>Elevage 2, Artisanat (Agriculture)  2</t>
  </si>
  <si>
    <t xml:space="preserve">Musha Shuygo Minor Clans </t>
  </si>
  <si>
    <r>
      <t>Vous bénéficiez gratuitement des avangages</t>
    </r>
    <r>
      <rPr>
        <i/>
        <sz val="9"/>
        <rFont val="Arial"/>
        <family val="2"/>
      </rPr>
      <t xml:space="preserve"> Héros Populaire</t>
    </r>
    <r>
      <rPr>
        <sz val="9"/>
        <rFont val="Arial"/>
        <family val="2"/>
      </rPr>
      <t xml:space="preserve"> et</t>
    </r>
    <r>
      <rPr>
        <i/>
        <sz val="9"/>
        <rFont val="Arial"/>
        <family val="2"/>
      </rPr>
      <t xml:space="preserve"> Bénédiction des Sept Fortunes: Daikoku</t>
    </r>
  </si>
  <si>
    <t>Chasse-Esprit Toritaka</t>
  </si>
  <si>
    <t>Shugenka Kuni 3</t>
  </si>
  <si>
    <t>Leçon d'Hayabusa</t>
  </si>
  <si>
    <r>
      <t xml:space="preserve">Vous pouvez effectuer une attaque au prix d'une AS au lieu d'une AC lorsque vous attaquez une créature qui n'est pas issue de Nigen-Do ni de Jikogu ou une personne possédée ou ayant un avantage </t>
    </r>
    <r>
      <rPr>
        <i/>
        <sz val="9"/>
        <rFont val="Arial"/>
        <family val="2"/>
      </rPr>
      <t>Caresse des Royaumes Spirituels</t>
    </r>
    <r>
      <rPr>
        <sz val="9"/>
        <rFont val="Arial"/>
        <family val="2"/>
      </rPr>
      <t xml:space="preserve"> ou un désavantage </t>
    </r>
    <r>
      <rPr>
        <i/>
        <sz val="9"/>
        <rFont val="Arial"/>
        <family val="2"/>
      </rPr>
      <t>Maudit par les Royaumes Spirituels.</t>
    </r>
  </si>
  <si>
    <t>Nekoma</t>
  </si>
  <si>
    <t>Kaikoga</t>
  </si>
  <si>
    <t>Shika</t>
  </si>
  <si>
    <t>Daim</t>
  </si>
  <si>
    <t>Courts of Stone</t>
  </si>
  <si>
    <t>Enfants de Kumo</t>
  </si>
  <si>
    <t>Artillerie/ Réflexes</t>
  </si>
  <si>
    <t>Sp.</t>
  </si>
  <si>
    <t>Les araignées des enfants de Kumo atterrissent sur la coque du navire et commencent à déchirer le blindage. L'objectif est de réduire la Réduction d'un navire. En 2 rounds les araignéées créent une déchirure sans Réduction qui nécéssite 3 A pour être atteinte. Chaque rond suivant réduit le nombre d'Augmentations nécessaires. Au bout de 5 rounds, ils explosent et infligent 3g3 dégâts.</t>
  </si>
  <si>
    <t>Cannon Ionique Iridescent</t>
  </si>
  <si>
    <t>Artillerie/ Intelligence</t>
  </si>
  <si>
    <t>Une Augmentation doit être déclarée au jet d'attaque de cette arme avant le tir. En cas de succès, le vaisseau ennemi doit réussir un jet de Terre (ND 25) ou un de ses systèmes est désactivé pendant 5 rounds.</t>
  </si>
  <si>
    <t>Modules d'abordage</t>
  </si>
  <si>
    <t>Techniquement pas une arme, les modules d'aborgade se trouvent sur la plupart des grands navires. Le Pilote du module fait un test de Pilotage/ Réflexes. Lorsqu'il est touché, le navire ciblé doit faire un test un test contesté de Terre contre le Feu du pilote. un succès mène à brèche dans la coque.</t>
  </si>
  <si>
    <t>Capsule de sauvetage</t>
  </si>
  <si>
    <t>Tri familles</t>
  </si>
  <si>
    <t>Tri Voies</t>
  </si>
  <si>
    <t>Tri Ecoles</t>
  </si>
  <si>
    <t>Tri avantages</t>
  </si>
  <si>
    <t>Groupes</t>
  </si>
  <si>
    <t>Tri désavantages</t>
  </si>
  <si>
    <t>Tri ancêtres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</si>
</sst>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00;[Red]&quot;€&quot;\ \-#,##0.00"/>
    <numFmt numFmtId="165" formatCode="0.0"/>
  </numFmts>
  <fonts count="8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sz val="7"/>
      <name val="Arial"/>
      <family val="2"/>
    </font>
    <font>
      <sz val="9"/>
      <name val="Arial"/>
      <family val="2"/>
    </font>
    <font>
      <sz val="6"/>
      <name val="Arial"/>
      <family val="2"/>
    </font>
    <font>
      <sz val="8"/>
      <color theme="1"/>
      <name val="Calibri"/>
      <family val="2"/>
      <scheme val="minor"/>
    </font>
    <font>
      <sz val="10"/>
      <color theme="1"/>
      <name val="Calibri"/>
      <family val="2"/>
      <scheme val="minor"/>
    </font>
    <font>
      <sz val="8"/>
      <name val="Calibri"/>
      <family val="2"/>
      <scheme val="minor"/>
    </font>
    <font>
      <b/>
      <sz val="8"/>
      <name val="Calibri"/>
      <family val="2"/>
      <scheme val="minor"/>
    </font>
    <font>
      <sz val="10"/>
      <name val="Goudy"/>
    </font>
    <font>
      <sz val="9"/>
      <name val="Goudy"/>
    </font>
    <font>
      <sz val="8"/>
      <name val="Goudy"/>
    </font>
    <font>
      <b/>
      <sz val="8"/>
      <name val="Goudy"/>
    </font>
    <font>
      <sz val="10"/>
      <name val="Kudasai"/>
    </font>
    <font>
      <b/>
      <sz val="10"/>
      <name val="Kudasai"/>
    </font>
    <font>
      <b/>
      <sz val="12"/>
      <name val="Kudasai"/>
    </font>
    <font>
      <i/>
      <sz val="10"/>
      <name val="Goudy"/>
    </font>
    <font>
      <i/>
      <sz val="8"/>
      <name val="Goudy"/>
    </font>
    <font>
      <b/>
      <sz val="11"/>
      <name val="Arial"/>
      <family val="2"/>
    </font>
    <font>
      <sz val="11"/>
      <name val="Arial"/>
      <family val="2"/>
    </font>
    <font>
      <sz val="8"/>
      <name val="Kudasai"/>
    </font>
    <font>
      <sz val="6"/>
      <name val="Goudy"/>
    </font>
    <font>
      <sz val="9"/>
      <name val="Kudasai"/>
    </font>
    <font>
      <sz val="10"/>
      <color theme="0"/>
      <name val="Arial"/>
      <family val="2"/>
    </font>
    <font>
      <b/>
      <sz val="10"/>
      <color theme="0" tint="-0.249977111117893"/>
      <name val="Goudy"/>
    </font>
    <font>
      <b/>
      <sz val="10"/>
      <color rgb="FFFF0000"/>
      <name val="Goudy"/>
    </font>
    <font>
      <b/>
      <sz val="10"/>
      <color rgb="FF7030A0"/>
      <name val="Goudy"/>
    </font>
    <font>
      <b/>
      <sz val="10"/>
      <color rgb="FF00B0F0"/>
      <name val="Goudy"/>
    </font>
    <font>
      <b/>
      <sz val="10"/>
      <color theme="6" tint="0.39997558519241921"/>
      <name val="Goudy"/>
    </font>
    <font>
      <i/>
      <sz val="6"/>
      <name val="Goudy"/>
    </font>
    <font>
      <sz val="6"/>
      <name val="Kudasai"/>
    </font>
    <font>
      <sz val="5"/>
      <name val="Kudasai"/>
    </font>
    <font>
      <b/>
      <sz val="8"/>
      <name val="Kudasai"/>
    </font>
    <font>
      <b/>
      <sz val="9"/>
      <name val="Kudasai"/>
    </font>
    <font>
      <b/>
      <sz val="9"/>
      <name val="Arial"/>
      <family val="2"/>
    </font>
    <font>
      <sz val="11"/>
      <name val="Kudasai"/>
    </font>
    <font>
      <b/>
      <sz val="6"/>
      <name val="Arial"/>
      <family val="2"/>
    </font>
    <font>
      <i/>
      <sz val="9"/>
      <name val="Arial"/>
      <family val="2"/>
    </font>
    <font>
      <b/>
      <sz val="8"/>
      <color theme="0"/>
      <name val="Arial"/>
      <family val="2"/>
    </font>
    <font>
      <b/>
      <sz val="7"/>
      <name val="Arial"/>
      <family val="2"/>
    </font>
    <font>
      <sz val="10"/>
      <color theme="0"/>
      <name val="Goudy"/>
    </font>
    <font>
      <sz val="8"/>
      <color theme="1"/>
      <name val="Arial"/>
      <family val="2"/>
    </font>
    <font>
      <i/>
      <sz val="6"/>
      <name val="Arial"/>
      <family val="2"/>
    </font>
    <font>
      <i/>
      <sz val="10"/>
      <name val="Arial"/>
      <family val="2"/>
    </font>
    <font>
      <sz val="10"/>
      <color theme="1"/>
      <name val="Arial"/>
      <family val="2"/>
    </font>
    <font>
      <sz val="10"/>
      <name val="Arial"/>
      <family val="2"/>
    </font>
    <font>
      <sz val="5"/>
      <name val="Arial"/>
      <family val="2"/>
    </font>
    <font>
      <sz val="10"/>
      <color theme="0"/>
      <name val="Kudasai"/>
    </font>
    <font>
      <sz val="6"/>
      <color theme="0"/>
      <name val="Kudasai"/>
    </font>
    <font>
      <sz val="8"/>
      <color theme="0"/>
      <name val="Goudy"/>
    </font>
    <font>
      <sz val="8"/>
      <color theme="0"/>
      <name val="Arial"/>
      <family val="2"/>
    </font>
    <font>
      <sz val="10"/>
      <color theme="0" tint="-4.9989318521683403E-2"/>
      <name val="Kudasai"/>
    </font>
    <font>
      <sz val="7"/>
      <name val="Kudasai"/>
    </font>
    <font>
      <sz val="5"/>
      <name val="Goudy"/>
    </font>
    <font>
      <vertAlign val="superscript"/>
      <sz val="6"/>
      <name val="Goudy"/>
    </font>
    <font>
      <sz val="4"/>
      <color theme="0"/>
      <name val="Goudy"/>
    </font>
    <font>
      <b/>
      <sz val="10"/>
      <color theme="1"/>
      <name val="Arial"/>
      <family val="2"/>
    </font>
    <font>
      <i/>
      <sz val="10"/>
      <name val="Times New Roman"/>
      <family val="1"/>
    </font>
    <font>
      <u/>
      <sz val="10"/>
      <color theme="10"/>
      <name val="Arial"/>
      <family val="2"/>
    </font>
    <font>
      <b/>
      <i/>
      <sz val="10"/>
      <name val="Arial"/>
      <family val="2"/>
    </font>
    <font>
      <b/>
      <i/>
      <sz val="10"/>
      <name val="Goudy"/>
    </font>
    <font>
      <b/>
      <sz val="10"/>
      <name val="Goudy"/>
    </font>
    <font>
      <b/>
      <i/>
      <sz val="5"/>
      <name val="Goudy"/>
    </font>
    <font>
      <sz val="4"/>
      <color theme="0"/>
      <name val="Arial"/>
      <family val="2"/>
    </font>
    <font>
      <sz val="6"/>
      <color theme="1"/>
      <name val="Arial"/>
      <family val="2"/>
    </font>
  </fonts>
  <fills count="26">
    <fill>
      <patternFill patternType="none"/>
    </fill>
    <fill>
      <patternFill patternType="gray125"/>
    </fill>
    <fill>
      <patternFill patternType="solid">
        <fgColor indexed="12"/>
        <bgColor indexed="39"/>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theme="3"/>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9" tint="-0.499984740745262"/>
        <bgColor indexed="64"/>
      </patternFill>
    </fill>
    <fill>
      <patternFill patternType="solid">
        <fgColor rgb="FF7030A0"/>
        <bgColor indexed="64"/>
      </patternFill>
    </fill>
    <fill>
      <patternFill patternType="solid">
        <fgColor rgb="FFFF33CC"/>
        <bgColor indexed="64"/>
      </patternFill>
    </fill>
    <fill>
      <patternFill patternType="solid">
        <fgColor rgb="FF66FF33"/>
        <bgColor indexed="64"/>
      </patternFill>
    </fill>
    <fill>
      <patternFill patternType="solid">
        <fgColor rgb="FF92D050"/>
        <bgColor indexed="64"/>
      </patternFill>
    </fill>
    <fill>
      <patternFill patternType="solid">
        <fgColor theme="8"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39997558519241921"/>
        <bgColor indexed="53"/>
      </patternFill>
    </fill>
    <fill>
      <patternFill patternType="solid">
        <fgColor rgb="FF66FF99"/>
        <bgColor indexed="35"/>
      </patternFill>
    </fill>
  </fills>
  <borders count="62">
    <border>
      <left/>
      <right/>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right/>
      <top style="thin">
        <color theme="5" tint="-0.499984740745262"/>
      </top>
      <bottom style="thin">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bottom style="thick">
        <color theme="9" tint="-0.2499465926084170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top style="thick">
        <color theme="9" tint="-0.24994659260841701"/>
      </top>
      <bottom/>
      <diagonal/>
    </border>
    <border>
      <left style="thin">
        <color auto="1"/>
      </left>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bottom style="thin">
        <color theme="5" tint="-0.499984740745262"/>
      </bottom>
      <diagonal/>
    </border>
    <border>
      <left style="medium">
        <color theme="5" tint="-0.499984740745262"/>
      </left>
      <right/>
      <top style="thin">
        <color auto="1"/>
      </top>
      <bottom style="thin">
        <color auto="1"/>
      </bottom>
      <diagonal/>
    </border>
    <border>
      <left style="thin">
        <color auto="1"/>
      </left>
      <right/>
      <top style="thin">
        <color theme="5" tint="-0.499984740745262"/>
      </top>
      <bottom style="thin">
        <color theme="5" tint="-0.499984740745262"/>
      </bottom>
      <diagonal/>
    </border>
    <border>
      <left/>
      <right style="thin">
        <color auto="1"/>
      </right>
      <top style="thin">
        <color theme="5" tint="-0.499984740745262"/>
      </top>
      <bottom style="thin">
        <color theme="5" tint="-0.499984740745262"/>
      </bottom>
      <diagonal/>
    </border>
    <border>
      <left style="thin">
        <color auto="1"/>
      </left>
      <right/>
      <top style="thick">
        <color theme="9" tint="-0.24994659260841701"/>
      </top>
      <bottom style="thin">
        <color auto="1"/>
      </bottom>
      <diagonal/>
    </border>
    <border>
      <left/>
      <right style="thin">
        <color auto="1"/>
      </right>
      <top style="thick">
        <color theme="9" tint="-0.24994659260841701"/>
      </top>
      <bottom style="thin">
        <color auto="1"/>
      </bottom>
      <diagonal/>
    </border>
    <border>
      <left style="thin">
        <color theme="5" tint="-0.499984740745262"/>
      </left>
      <right/>
      <top style="thin">
        <color theme="5" tint="-0.499984740745262"/>
      </top>
      <bottom style="thin">
        <color indexed="64"/>
      </bottom>
      <diagonal/>
    </border>
    <border>
      <left/>
      <right/>
      <top style="thin">
        <color theme="5" tint="-0.499984740745262"/>
      </top>
      <bottom style="thin">
        <color indexed="64"/>
      </bottom>
      <diagonal/>
    </border>
    <border>
      <left/>
      <right style="thin">
        <color theme="5" tint="-0.499984740745262"/>
      </right>
      <top style="thin">
        <color theme="5" tint="-0.499984740745262"/>
      </top>
      <bottom style="thin">
        <color indexed="64"/>
      </bottom>
      <diagonal/>
    </border>
    <border>
      <left/>
      <right/>
      <top style="thin">
        <color auto="1"/>
      </top>
      <bottom style="thin">
        <color theme="5" tint="-0.499984740745262"/>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style="thin">
        <color theme="5" tint="-0.499984740745262"/>
      </top>
      <bottom style="thin">
        <color theme="5" tint="-0.499984740745262"/>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diagonal/>
    </border>
    <border>
      <left/>
      <right style="medium">
        <color theme="5" tint="-0.499984740745262"/>
      </right>
      <top/>
      <bottom style="thin">
        <color theme="5" tint="-0.499984740745262"/>
      </bottom>
      <diagonal/>
    </border>
    <border>
      <left/>
      <right/>
      <top style="thin">
        <color auto="1"/>
      </top>
      <bottom style="thick">
        <color theme="9"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s>
  <cellStyleXfs count="3">
    <xf numFmtId="0" fontId="0" fillId="0" borderId="0"/>
    <xf numFmtId="0" fontId="18" fillId="0" borderId="0"/>
    <xf numFmtId="0" fontId="78" fillId="0" borderId="0" applyNumberFormat="0" applyFill="0" applyBorder="0" applyAlignment="0" applyProtection="0"/>
  </cellStyleXfs>
  <cellXfs count="975">
    <xf numFmtId="0" fontId="0" fillId="0" borderId="0" xfId="0"/>
    <xf numFmtId="0" fontId="0" fillId="0" borderId="0" xfId="0" applyAlignment="1">
      <alignment horizontal="center"/>
    </xf>
    <xf numFmtId="0" fontId="19" fillId="0" borderId="0" xfId="0" applyFont="1"/>
    <xf numFmtId="0" fontId="0" fillId="0" borderId="0" xfId="0" applyFont="1"/>
    <xf numFmtId="49"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0" fillId="0" borderId="0" xfId="0" applyFont="1" applyAlignment="1">
      <alignment horizontal="left"/>
    </xf>
    <xf numFmtId="0" fontId="20" fillId="0" borderId="0" xfId="0" applyFont="1" applyAlignment="1">
      <alignment horizontal="left" vertical="center"/>
    </xf>
    <xf numFmtId="0" fontId="20" fillId="0" borderId="0" xfId="0" quotePrefix="1" applyFont="1"/>
    <xf numFmtId="0" fontId="0" fillId="9" borderId="0" xfId="0" applyFill="1"/>
    <xf numFmtId="0" fontId="19" fillId="9" borderId="0" xfId="0" applyFont="1" applyFill="1" applyAlignment="1">
      <alignment horizontal="center"/>
    </xf>
    <xf numFmtId="0" fontId="0" fillId="0" borderId="0" xfId="0" applyAlignment="1">
      <alignment horizontal="center" vertical="center"/>
    </xf>
    <xf numFmtId="0" fontId="0" fillId="0" borderId="0" xfId="0" applyFont="1" applyAlignment="1">
      <alignment horizontal="center" vertical="center"/>
    </xf>
    <xf numFmtId="49" fontId="20" fillId="0" borderId="0" xfId="0" quotePrefix="1" applyNumberFormat="1" applyFont="1" applyAlignment="1">
      <alignment horizontal="center"/>
    </xf>
    <xf numFmtId="0" fontId="20" fillId="0" borderId="0" xfId="0" applyFont="1" applyAlignment="1">
      <alignment horizontal="center" vertical="center"/>
    </xf>
    <xf numFmtId="0" fontId="0" fillId="0" borderId="0" xfId="0" quotePrefix="1" applyAlignment="1">
      <alignment horizontal="center" vertical="center"/>
    </xf>
    <xf numFmtId="0" fontId="20" fillId="0" borderId="0" xfId="0" applyNumberFormat="1" applyFont="1" applyAlignment="1">
      <alignment horizontal="center"/>
    </xf>
    <xf numFmtId="49" fontId="18" fillId="0" borderId="0" xfId="1" applyNumberFormat="1"/>
    <xf numFmtId="49" fontId="25" fillId="0" borderId="0" xfId="1" applyNumberFormat="1" applyFont="1"/>
    <xf numFmtId="49" fontId="25" fillId="0" borderId="0" xfId="1" applyNumberFormat="1" applyFont="1" applyAlignment="1"/>
    <xf numFmtId="0" fontId="20" fillId="0" borderId="0" xfId="0" applyFont="1" applyAlignment="1"/>
    <xf numFmtId="49" fontId="25" fillId="0" borderId="0" xfId="1" applyNumberFormat="1" applyFont="1" applyFill="1" applyAlignment="1"/>
    <xf numFmtId="0" fontId="27" fillId="0" borderId="0" xfId="0" applyFont="1" applyAlignment="1"/>
    <xf numFmtId="0" fontId="0" fillId="0" borderId="0" xfId="0" applyFont="1" applyFill="1"/>
    <xf numFmtId="0" fontId="19" fillId="9" borderId="0" xfId="0" applyFont="1" applyFill="1" applyBorder="1" applyAlignment="1"/>
    <xf numFmtId="0" fontId="19" fillId="9" borderId="0" xfId="0" applyFont="1" applyFill="1"/>
    <xf numFmtId="0" fontId="19" fillId="9" borderId="0" xfId="0" applyFont="1" applyFill="1" applyAlignment="1">
      <alignment horizontal="center" vertical="center"/>
    </xf>
    <xf numFmtId="49" fontId="19" fillId="9" borderId="0" xfId="0" applyNumberFormat="1" applyFont="1" applyFill="1" applyAlignment="1">
      <alignment horizontal="center"/>
    </xf>
    <xf numFmtId="0" fontId="29" fillId="0" borderId="0" xfId="0" applyFont="1"/>
    <xf numFmtId="0" fontId="29" fillId="0" borderId="0" xfId="0" applyFont="1" applyAlignment="1"/>
    <xf numFmtId="0" fontId="32" fillId="0" borderId="0" xfId="0" applyFont="1"/>
    <xf numFmtId="0" fontId="32" fillId="0" borderId="0" xfId="0" applyFont="1" applyAlignment="1"/>
    <xf numFmtId="0" fontId="33" fillId="0" borderId="0" xfId="0" applyFont="1"/>
    <xf numFmtId="0" fontId="34" fillId="0" borderId="0" xfId="0" applyFont="1"/>
    <xf numFmtId="0" fontId="29" fillId="0" borderId="0" xfId="0" applyFont="1" applyAlignment="1">
      <alignment horizontal="center"/>
    </xf>
    <xf numFmtId="0" fontId="29" fillId="0" borderId="9" xfId="0" applyFont="1" applyBorder="1"/>
    <xf numFmtId="0" fontId="29" fillId="0" borderId="0" xfId="0" applyFont="1" applyBorder="1"/>
    <xf numFmtId="0" fontId="29" fillId="0" borderId="10" xfId="0" applyFont="1" applyBorder="1"/>
    <xf numFmtId="0" fontId="29" fillId="0" borderId="12" xfId="0" applyFont="1" applyBorder="1"/>
    <xf numFmtId="0" fontId="29" fillId="0" borderId="13" xfId="0" applyFont="1" applyBorder="1"/>
    <xf numFmtId="0" fontId="33" fillId="0" borderId="24" xfId="0" applyFont="1" applyBorder="1"/>
    <xf numFmtId="0" fontId="29" fillId="0" borderId="22" xfId="0" applyFont="1" applyBorder="1"/>
    <xf numFmtId="0" fontId="35" fillId="0" borderId="25" xfId="0" applyFont="1" applyBorder="1"/>
    <xf numFmtId="0" fontId="29" fillId="0" borderId="25" xfId="0" applyFont="1" applyBorder="1"/>
    <xf numFmtId="0" fontId="36" fillId="0" borderId="0" xfId="0" applyFont="1"/>
    <xf numFmtId="0" fontId="37" fillId="0" borderId="0" xfId="0" applyFont="1"/>
    <xf numFmtId="0" fontId="33" fillId="0" borderId="0" xfId="0" applyFont="1" applyFill="1" applyBorder="1" applyAlignment="1"/>
    <xf numFmtId="0" fontId="33" fillId="0" borderId="24" xfId="0" applyFont="1" applyBorder="1" applyAlignment="1"/>
    <xf numFmtId="0" fontId="33" fillId="0" borderId="0" xfId="0" applyFont="1" applyBorder="1" applyAlignment="1"/>
    <xf numFmtId="0" fontId="33" fillId="17" borderId="0" xfId="0" applyFont="1" applyFill="1" applyBorder="1" applyAlignment="1"/>
    <xf numFmtId="0" fontId="29" fillId="0" borderId="12" xfId="0" applyFont="1" applyBorder="1" applyAlignment="1"/>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33" fillId="0" borderId="0" xfId="0" applyNumberFormat="1" applyFont="1" applyFill="1" applyBorder="1" applyAlignment="1" applyProtection="1">
      <alignment horizontal="center" vertical="center"/>
      <protection locked="0"/>
    </xf>
    <xf numFmtId="0" fontId="33" fillId="0" borderId="29" xfId="0" applyFont="1" applyBorder="1" applyAlignment="1"/>
    <xf numFmtId="0" fontId="33" fillId="0" borderId="18" xfId="0" applyNumberFormat="1" applyFont="1" applyFill="1" applyBorder="1" applyAlignment="1" applyProtection="1">
      <alignment horizontal="center" vertical="center"/>
      <protection locked="0"/>
    </xf>
    <xf numFmtId="0" fontId="33" fillId="0" borderId="30" xfId="0" applyNumberFormat="1" applyFont="1" applyFill="1" applyBorder="1" applyAlignment="1" applyProtection="1">
      <alignment horizontal="center" vertical="center"/>
      <protection locked="0"/>
    </xf>
    <xf numFmtId="0" fontId="33" fillId="0" borderId="20" xfId="0" applyNumberFormat="1" applyFont="1" applyFill="1" applyBorder="1" applyAlignment="1" applyProtection="1">
      <alignment horizontal="center" vertical="center"/>
      <protection locked="0"/>
    </xf>
    <xf numFmtId="0" fontId="33" fillId="0" borderId="28" xfId="0" applyNumberFormat="1" applyFont="1" applyFill="1" applyBorder="1" applyAlignment="1" applyProtection="1">
      <alignment horizontal="center" vertical="center"/>
      <protection locked="0"/>
    </xf>
    <xf numFmtId="0" fontId="45" fillId="0" borderId="6" xfId="0" applyFont="1" applyBorder="1"/>
    <xf numFmtId="0" fontId="47" fillId="0" borderId="5" xfId="0" applyFont="1" applyBorder="1"/>
    <xf numFmtId="0" fontId="33" fillId="0" borderId="0" xfId="0" applyNumberFormat="1" applyFont="1" applyFill="1" applyBorder="1" applyAlignment="1" applyProtection="1">
      <protection locked="0"/>
    </xf>
    <xf numFmtId="0" fontId="40" fillId="0" borderId="0" xfId="0" applyNumberFormat="1" applyFont="1" applyFill="1" applyBorder="1" applyAlignment="1" applyProtection="1">
      <protection locked="0"/>
    </xf>
    <xf numFmtId="0" fontId="33" fillId="0" borderId="0" xfId="0" applyNumberFormat="1" applyFont="1" applyFill="1" applyBorder="1" applyAlignment="1" applyProtection="1">
      <alignment horizontal="center" vertical="center"/>
      <protection locked="0"/>
    </xf>
    <xf numFmtId="0" fontId="29" fillId="0" borderId="16" xfId="0" applyFont="1" applyBorder="1" applyAlignment="1"/>
    <xf numFmtId="0" fontId="49" fillId="0" borderId="0" xfId="0" applyFont="1" applyAlignment="1">
      <alignment vertical="top"/>
    </xf>
    <xf numFmtId="0" fontId="33" fillId="0" borderId="0" xfId="0" applyNumberFormat="1" applyFont="1" applyFill="1" applyBorder="1" applyAlignment="1" applyProtection="1">
      <alignment horizontal="center" vertical="center"/>
      <protection locked="0"/>
    </xf>
    <xf numFmtId="49" fontId="26" fillId="19" borderId="0" xfId="1" applyNumberFormat="1" applyFont="1" applyFill="1" applyAlignment="1"/>
    <xf numFmtId="49" fontId="25" fillId="19" borderId="0" xfId="1" applyNumberFormat="1" applyFont="1" applyFill="1" applyAlignment="1"/>
    <xf numFmtId="0" fontId="0" fillId="19" borderId="0" xfId="0" applyFont="1" applyFill="1" applyAlignment="1"/>
    <xf numFmtId="0" fontId="40" fillId="0" borderId="7" xfId="0" applyNumberFormat="1" applyFont="1" applyFill="1" applyBorder="1" applyAlignment="1" applyProtection="1">
      <alignment horizontal="center" vertical="center"/>
      <protection locked="0"/>
    </xf>
    <xf numFmtId="0" fontId="33" fillId="0" borderId="0" xfId="0" applyFont="1" applyBorder="1" applyAlignment="1">
      <alignment horizontal="center"/>
    </xf>
    <xf numFmtId="0" fontId="40" fillId="18" borderId="7" xfId="0" applyFont="1" applyFill="1" applyBorder="1" applyAlignment="1">
      <alignment horizontal="center" vertical="center"/>
    </xf>
    <xf numFmtId="0" fontId="27" fillId="0" borderId="0" xfId="0" quotePrefix="1" applyFont="1" applyAlignment="1"/>
    <xf numFmtId="49" fontId="25" fillId="0" borderId="0" xfId="1" quotePrefix="1" applyNumberFormat="1" applyFont="1" applyAlignment="1"/>
    <xf numFmtId="49" fontId="25" fillId="0" borderId="0" xfId="1" quotePrefix="1" applyNumberFormat="1" applyFont="1" applyFill="1" applyAlignment="1"/>
    <xf numFmtId="0" fontId="33" fillId="0" borderId="0" xfId="0" applyFont="1" applyBorder="1"/>
    <xf numFmtId="0" fontId="33" fillId="0" borderId="30" xfId="0" applyFont="1" applyBorder="1" applyAlignment="1">
      <alignment horizontal="center"/>
    </xf>
    <xf numFmtId="0" fontId="31" fillId="0" borderId="14" xfId="0" applyFont="1" applyBorder="1" applyAlignment="1"/>
    <xf numFmtId="0" fontId="31" fillId="0" borderId="36" xfId="0" applyFont="1" applyBorder="1" applyAlignment="1"/>
    <xf numFmtId="0" fontId="31" fillId="0" borderId="37" xfId="0" applyFont="1" applyBorder="1" applyAlignment="1"/>
    <xf numFmtId="0" fontId="50" fillId="0" borderId="0" xfId="0" applyFont="1" applyBorder="1" applyAlignment="1">
      <alignment horizontal="center"/>
    </xf>
    <xf numFmtId="0" fontId="40" fillId="0" borderId="22" xfId="0" applyFont="1" applyBorder="1"/>
    <xf numFmtId="0" fontId="29" fillId="0" borderId="7" xfId="0" applyFont="1" applyBorder="1" applyAlignment="1"/>
    <xf numFmtId="0" fontId="29" fillId="0" borderId="30" xfId="0" applyFont="1" applyBorder="1"/>
    <xf numFmtId="0" fontId="40" fillId="0" borderId="0" xfId="0" applyFont="1" applyAlignment="1"/>
    <xf numFmtId="0" fontId="35" fillId="0" borderId="0" xfId="0" applyFont="1" applyBorder="1"/>
    <xf numFmtId="49" fontId="19" fillId="9" borderId="0" xfId="0" applyNumberFormat="1" applyFont="1" applyFill="1" applyAlignment="1">
      <alignment horizontal="center" vertical="center"/>
    </xf>
    <xf numFmtId="0" fontId="0"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Border="1"/>
    <xf numFmtId="0" fontId="0" fillId="0" borderId="0" xfId="0" applyFill="1" applyBorder="1"/>
    <xf numFmtId="0" fontId="21" fillId="9" borderId="0" xfId="0" applyFont="1" applyFill="1" applyAlignment="1">
      <alignment horizontal="center" vertical="center" wrapText="1"/>
    </xf>
    <xf numFmtId="0" fontId="35" fillId="0" borderId="0" xfId="0" applyFont="1" applyFill="1" applyBorder="1"/>
    <xf numFmtId="0" fontId="42" fillId="0" borderId="0" xfId="0" applyFont="1"/>
    <xf numFmtId="0" fontId="42" fillId="0" borderId="0" xfId="0" applyFont="1" applyBorder="1"/>
    <xf numFmtId="0" fontId="35" fillId="18" borderId="7" xfId="0" applyFont="1" applyFill="1" applyBorder="1" applyAlignment="1">
      <alignment horizontal="center" vertical="center"/>
    </xf>
    <xf numFmtId="0" fontId="42" fillId="0" borderId="7" xfId="0" applyFont="1" applyFill="1" applyBorder="1" applyAlignment="1">
      <alignment horizontal="center" vertical="center"/>
    </xf>
    <xf numFmtId="0" fontId="35" fillId="0" borderId="25" xfId="0" applyFont="1" applyBorder="1" applyAlignment="1">
      <alignment horizontal="center" vertical="center"/>
    </xf>
    <xf numFmtId="0" fontId="53" fillId="18" borderId="7" xfId="0" applyFont="1" applyFill="1" applyBorder="1" applyAlignment="1">
      <alignment horizontal="center" vertical="center"/>
    </xf>
    <xf numFmtId="0" fontId="42" fillId="0" borderId="7" xfId="0" applyFont="1" applyBorder="1" applyAlignment="1">
      <alignment horizontal="center" vertical="center"/>
    </xf>
    <xf numFmtId="0" fontId="33" fillId="0" borderId="7" xfId="0" applyFont="1" applyBorder="1" applyAlignment="1">
      <alignment horizontal="center" vertical="center"/>
    </xf>
    <xf numFmtId="0" fontId="0" fillId="0" borderId="0" xfId="0" applyBorder="1" applyAlignment="1">
      <alignment horizontal="center" vertical="center"/>
    </xf>
    <xf numFmtId="0" fontId="52" fillId="18" borderId="7" xfId="0" applyFont="1" applyFill="1" applyBorder="1" applyAlignment="1">
      <alignment horizontal="center" vertical="center"/>
    </xf>
    <xf numFmtId="0" fontId="35" fillId="18" borderId="7" xfId="0" applyFont="1" applyFill="1" applyBorder="1" applyAlignment="1">
      <alignment horizontal="left" vertical="center"/>
    </xf>
    <xf numFmtId="0" fontId="42" fillId="18" borderId="7" xfId="0" applyFont="1" applyFill="1" applyBorder="1" applyAlignment="1">
      <alignment horizontal="center" vertical="center"/>
    </xf>
    <xf numFmtId="0" fontId="50" fillId="0" borderId="7" xfId="0" applyFont="1" applyBorder="1" applyAlignment="1">
      <alignment horizontal="center" vertical="center" wrapText="1"/>
    </xf>
    <xf numFmtId="0" fontId="55" fillId="0" borderId="7" xfId="0" applyFont="1" applyBorder="1" applyAlignment="1">
      <alignment horizontal="center" vertical="center"/>
    </xf>
    <xf numFmtId="0" fontId="42" fillId="0" borderId="7" xfId="0" applyFont="1" applyBorder="1" applyAlignment="1">
      <alignment vertical="center"/>
    </xf>
    <xf numFmtId="0" fontId="42" fillId="0" borderId="22" xfId="0" applyFont="1" applyBorder="1" applyAlignment="1">
      <alignment horizontal="center" vertical="center"/>
    </xf>
    <xf numFmtId="0" fontId="52" fillId="18" borderId="22" xfId="0" applyFont="1" applyFill="1" applyBorder="1" applyAlignment="1">
      <alignment horizontal="center" vertical="center"/>
    </xf>
    <xf numFmtId="0" fontId="42" fillId="0" borderId="21" xfId="0" applyFont="1" applyBorder="1" applyAlignment="1">
      <alignment horizontal="right" vertical="center"/>
    </xf>
    <xf numFmtId="0" fontId="42" fillId="0" borderId="23" xfId="0" applyFont="1" applyBorder="1" applyAlignment="1">
      <alignment horizontal="left" vertical="center"/>
    </xf>
    <xf numFmtId="0" fontId="52" fillId="18" borderId="21" xfId="0" applyFont="1" applyFill="1" applyBorder="1" applyAlignment="1">
      <alignment horizontal="right" vertical="center"/>
    </xf>
    <xf numFmtId="0" fontId="52" fillId="18" borderId="23" xfId="0" applyFont="1" applyFill="1" applyBorder="1" applyAlignment="1">
      <alignment horizontal="left" vertical="center"/>
    </xf>
    <xf numFmtId="0" fontId="50" fillId="0" borderId="7" xfId="0" applyFont="1" applyFill="1" applyBorder="1" applyAlignment="1">
      <alignment horizontal="center" vertical="center"/>
    </xf>
    <xf numFmtId="0" fontId="21" fillId="9" borderId="0" xfId="0" applyFont="1" applyFill="1" applyAlignment="1">
      <alignment horizontal="center"/>
    </xf>
    <xf numFmtId="0" fontId="41" fillId="0" borderId="0" xfId="0" applyFont="1" applyBorder="1" applyAlignment="1">
      <alignment horizontal="left"/>
    </xf>
    <xf numFmtId="0" fontId="19" fillId="9" borderId="0" xfId="0" applyFont="1" applyFill="1" applyAlignment="1">
      <alignment wrapText="1"/>
    </xf>
    <xf numFmtId="0" fontId="21" fillId="9" borderId="0" xfId="0" applyFont="1" applyFill="1" applyAlignment="1"/>
    <xf numFmtId="0" fontId="28" fillId="9" borderId="0" xfId="0" applyFont="1" applyFill="1" applyAlignment="1"/>
    <xf numFmtId="0" fontId="0" fillId="3" borderId="7" xfId="0" applyFill="1" applyBorder="1" applyAlignment="1">
      <alignment horizontal="center" vertical="center" textRotation="90"/>
    </xf>
    <xf numFmtId="0" fontId="0" fillId="20" borderId="7" xfId="0" applyFill="1" applyBorder="1" applyAlignment="1">
      <alignment horizontal="center" vertical="center" textRotation="90"/>
    </xf>
    <xf numFmtId="0" fontId="0" fillId="5" borderId="7" xfId="0" applyFill="1" applyBorder="1" applyAlignment="1">
      <alignment horizontal="center" vertical="center" textRotation="90"/>
    </xf>
    <xf numFmtId="0" fontId="0" fillId="15" borderId="7" xfId="0" applyFill="1" applyBorder="1" applyAlignment="1">
      <alignment horizontal="center" vertical="center" textRotation="90"/>
    </xf>
    <xf numFmtId="0" fontId="0" fillId="7" borderId="7" xfId="0" applyFill="1" applyBorder="1" applyAlignment="1">
      <alignment horizontal="center" vertical="center" textRotation="90"/>
    </xf>
    <xf numFmtId="0" fontId="20" fillId="0" borderId="7" xfId="0" applyFont="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0" fillId="0" borderId="7" xfId="0" applyFont="1" applyBorder="1" applyAlignment="1">
      <alignment horizontal="center" vertical="center"/>
    </xf>
    <xf numFmtId="0" fontId="21" fillId="9" borderId="0" xfId="0" applyFont="1" applyFill="1" applyAlignment="1">
      <alignment horizontal="left" vertical="center" wrapText="1"/>
    </xf>
    <xf numFmtId="0" fontId="59" fillId="9" borderId="0" xfId="0" applyFont="1" applyFill="1" applyAlignment="1">
      <alignment horizontal="left" vertical="center" wrapText="1"/>
    </xf>
    <xf numFmtId="0" fontId="20" fillId="0" borderId="0" xfId="0" applyFont="1" applyAlignment="1">
      <alignment horizontal="left" vertical="center" wrapText="1"/>
    </xf>
    <xf numFmtId="0" fontId="60" fillId="0" borderId="0" xfId="0" applyFont="1"/>
    <xf numFmtId="49" fontId="15" fillId="0" borderId="0" xfId="1" applyNumberFormat="1" applyFont="1"/>
    <xf numFmtId="49" fontId="61" fillId="0" borderId="0" xfId="1" applyNumberFormat="1" applyFont="1" applyAlignment="1">
      <alignment horizontal="left" vertical="center" wrapText="1"/>
    </xf>
    <xf numFmtId="0" fontId="24" fillId="0" borderId="7" xfId="0" applyFont="1" applyBorder="1" applyAlignment="1">
      <alignment horizontal="center" vertical="center" wrapText="1"/>
    </xf>
    <xf numFmtId="0" fontId="0" fillId="0" borderId="7" xfId="0" applyBorder="1" applyAlignment="1">
      <alignment horizontal="center" vertical="center"/>
    </xf>
    <xf numFmtId="0" fontId="20" fillId="0" borderId="7" xfId="0" quotePrefix="1" applyFont="1" applyFill="1" applyBorder="1" applyAlignment="1">
      <alignment horizontal="center" vertical="center"/>
    </xf>
    <xf numFmtId="0" fontId="23" fillId="0" borderId="7" xfId="0" quotePrefix="1" applyFont="1" applyFill="1" applyBorder="1" applyAlignment="1">
      <alignment horizontal="center" vertical="center"/>
    </xf>
    <xf numFmtId="0" fontId="23" fillId="0" borderId="7" xfId="0" applyFont="1" applyFill="1" applyBorder="1" applyAlignment="1">
      <alignment horizontal="center" vertical="center"/>
    </xf>
    <xf numFmtId="0" fontId="23" fillId="0" borderId="7" xfId="0" quotePrefix="1" applyFont="1" applyFill="1" applyBorder="1" applyAlignment="1">
      <alignment horizontal="center" vertical="center" textRotation="90"/>
    </xf>
    <xf numFmtId="0" fontId="23" fillId="0" borderId="7" xfId="0" applyNumberFormat="1" applyFont="1" applyFill="1" applyBorder="1" applyAlignment="1" applyProtection="1">
      <alignment horizontal="center" vertical="center" textRotation="90"/>
      <protection locked="0"/>
    </xf>
    <xf numFmtId="0" fontId="20" fillId="0" borderId="7" xfId="0" applyFont="1" applyFill="1" applyBorder="1" applyAlignment="1">
      <alignment horizontal="center" vertical="center"/>
    </xf>
    <xf numFmtId="0" fontId="56" fillId="9" borderId="7" xfId="0" applyFont="1" applyFill="1" applyBorder="1" applyAlignment="1">
      <alignment horizontal="center" vertical="center" textRotation="90"/>
    </xf>
    <xf numFmtId="0" fontId="0" fillId="3" borderId="7" xfId="0" applyFill="1" applyBorder="1" applyAlignment="1">
      <alignment horizontal="center" vertical="center"/>
    </xf>
    <xf numFmtId="0" fontId="0" fillId="20" borderId="7" xfId="0" applyFill="1" applyBorder="1" applyAlignment="1">
      <alignment horizontal="center" vertical="center"/>
    </xf>
    <xf numFmtId="0" fontId="0" fillId="5" borderId="7" xfId="0" applyFill="1" applyBorder="1" applyAlignment="1">
      <alignment horizontal="center" vertical="center"/>
    </xf>
    <xf numFmtId="0" fontId="0" fillId="15" borderId="7" xfId="0" applyFill="1" applyBorder="1" applyAlignment="1">
      <alignment horizontal="center" vertical="center"/>
    </xf>
    <xf numFmtId="0" fontId="0" fillId="7" borderId="7" xfId="0" applyFill="1" applyBorder="1" applyAlignment="1">
      <alignment horizontal="center" vertical="center"/>
    </xf>
    <xf numFmtId="0" fontId="20" fillId="0" borderId="0" xfId="0" applyNumberFormat="1" applyFont="1" applyAlignment="1">
      <alignment horizontal="center" vertical="center"/>
    </xf>
    <xf numFmtId="0" fontId="0" fillId="3" borderId="7" xfId="0" applyFont="1" applyFill="1" applyBorder="1" applyAlignment="1">
      <alignment horizontal="center" vertical="center"/>
    </xf>
    <xf numFmtId="0" fontId="0" fillId="20" borderId="7" xfId="0" applyFont="1" applyFill="1" applyBorder="1" applyAlignment="1">
      <alignment horizontal="center" vertical="center"/>
    </xf>
    <xf numFmtId="0" fontId="0" fillId="5" borderId="7" xfId="0" applyFont="1" applyFill="1" applyBorder="1" applyAlignment="1">
      <alignment horizontal="center" vertical="center"/>
    </xf>
    <xf numFmtId="0" fontId="0" fillId="15" borderId="7" xfId="0" applyFont="1" applyFill="1" applyBorder="1" applyAlignment="1">
      <alignment horizontal="center" vertical="center"/>
    </xf>
    <xf numFmtId="0" fontId="0" fillId="7" borderId="7" xfId="0" applyFont="1" applyFill="1" applyBorder="1" applyAlignment="1">
      <alignment horizontal="center" vertical="center"/>
    </xf>
    <xf numFmtId="0" fontId="0" fillId="0" borderId="0" xfId="0" quotePrefix="1" applyFont="1" applyAlignment="1">
      <alignment horizontal="center" vertical="center"/>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40" fillId="0" borderId="7" xfId="0" applyFont="1" applyFill="1" applyBorder="1" applyAlignment="1">
      <alignment horizontal="center" vertical="center"/>
    </xf>
    <xf numFmtId="0" fontId="40" fillId="0" borderId="7" xfId="0" applyFont="1" applyBorder="1" applyAlignment="1">
      <alignment horizontal="center" vertical="center"/>
    </xf>
    <xf numFmtId="0" fontId="20" fillId="0" borderId="0" xfId="0" applyFont="1" applyAlignment="1">
      <alignment horizontal="center" vertical="center" wrapText="1"/>
    </xf>
    <xf numFmtId="0" fontId="24" fillId="0" borderId="0" xfId="0" applyFont="1"/>
    <xf numFmtId="0" fontId="21" fillId="0" borderId="7" xfId="0" applyFont="1" applyFill="1" applyBorder="1" applyAlignment="1">
      <alignment horizontal="center" vertical="center" wrapText="1"/>
    </xf>
    <xf numFmtId="0" fontId="0" fillId="0" borderId="0" xfId="0" quotePrefix="1" applyFont="1" applyBorder="1" applyAlignment="1">
      <alignment horizontal="center" vertical="center"/>
    </xf>
    <xf numFmtId="49" fontId="14" fillId="0" borderId="0" xfId="1" applyNumberFormat="1" applyFont="1"/>
    <xf numFmtId="0" fontId="20" fillId="0" borderId="0" xfId="0" applyFont="1" applyAlignment="1">
      <alignment horizontal="center" wrapText="1"/>
    </xf>
    <xf numFmtId="0" fontId="19" fillId="9" borderId="0" xfId="0" applyFont="1" applyFill="1" applyAlignment="1">
      <alignment horizontal="center" vertical="center" wrapText="1"/>
    </xf>
    <xf numFmtId="0" fontId="56" fillId="9" borderId="0" xfId="0" applyFont="1" applyFill="1" applyAlignment="1">
      <alignment horizontal="center" vertical="center" wrapText="1"/>
    </xf>
    <xf numFmtId="0" fontId="24" fillId="0" borderId="0" xfId="0" quotePrefix="1" applyFont="1" applyAlignment="1">
      <alignment horizontal="center" vertical="center" wrapText="1"/>
    </xf>
    <xf numFmtId="0" fontId="24" fillId="0" borderId="0" xfId="0" applyFont="1" applyFill="1" applyAlignment="1">
      <alignment horizontal="center" wrapText="1"/>
    </xf>
    <xf numFmtId="0" fontId="24" fillId="0" borderId="0" xfId="0" applyFont="1" applyAlignment="1">
      <alignment horizontal="center" wrapText="1"/>
    </xf>
    <xf numFmtId="0" fontId="0" fillId="0" borderId="0" xfId="0" applyFont="1" applyAlignment="1">
      <alignment horizontal="center" wrapText="1"/>
    </xf>
    <xf numFmtId="0" fontId="0" fillId="0" borderId="0" xfId="0" applyFill="1" applyAlignment="1">
      <alignment horizontal="center" wrapText="1"/>
    </xf>
    <xf numFmtId="0" fontId="0" fillId="0" borderId="0" xfId="0" applyAlignment="1">
      <alignment horizontal="center" wrapText="1"/>
    </xf>
    <xf numFmtId="0" fontId="0" fillId="0" borderId="0" xfId="0" applyFont="1" applyFill="1" applyAlignment="1">
      <alignment horizontal="center" wrapText="1"/>
    </xf>
    <xf numFmtId="0" fontId="53" fillId="18" borderId="7" xfId="0" applyFont="1" applyFill="1" applyBorder="1" applyAlignment="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33" fillId="0" borderId="7" xfId="0" applyFont="1" applyBorder="1" applyAlignment="1">
      <alignment horizontal="center" vertical="center" wrapText="1"/>
    </xf>
    <xf numFmtId="0" fontId="20" fillId="0" borderId="0" xfId="0" applyFont="1" applyAlignment="1">
      <alignment wrapText="1"/>
    </xf>
    <xf numFmtId="0" fontId="20" fillId="0" borderId="0" xfId="0" applyFont="1" applyFill="1" applyAlignment="1">
      <alignment wrapText="1"/>
    </xf>
    <xf numFmtId="0" fontId="24" fillId="0" borderId="0" xfId="0" applyFont="1" applyFill="1" applyAlignment="1">
      <alignment horizontal="center" vertical="center" wrapText="1"/>
    </xf>
    <xf numFmtId="0" fontId="20" fillId="0" borderId="0" xfId="0" applyNumberFormat="1" applyFont="1" applyAlignment="1" applyProtection="1">
      <alignment horizontal="center"/>
      <protection locked="0"/>
    </xf>
    <xf numFmtId="1" fontId="20" fillId="0" borderId="0" xfId="0" applyNumberFormat="1" applyFont="1" applyAlignment="1" applyProtection="1">
      <alignment horizontal="center"/>
      <protection locked="0"/>
    </xf>
    <xf numFmtId="0" fontId="20" fillId="0" borderId="0" xfId="0" applyNumberFormat="1" applyFont="1" applyProtection="1">
      <protection locked="0"/>
    </xf>
    <xf numFmtId="1" fontId="20" fillId="0" borderId="0" xfId="0" applyNumberFormat="1" applyFont="1" applyAlignment="1" applyProtection="1">
      <alignment horizontal="left"/>
      <protection locked="0"/>
    </xf>
    <xf numFmtId="0" fontId="56" fillId="0" borderId="7" xfId="0" applyFont="1" applyFill="1" applyBorder="1" applyAlignment="1">
      <alignment horizontal="center" vertical="center" textRotation="90" shrinkToFit="1"/>
    </xf>
    <xf numFmtId="0" fontId="56" fillId="0" borderId="0" xfId="0" applyFont="1" applyFill="1" applyBorder="1" applyAlignment="1">
      <alignment horizontal="center" vertical="center" textRotation="90" shrinkToFit="1"/>
    </xf>
    <xf numFmtId="0" fontId="0" fillId="0" borderId="0" xfId="0" applyFill="1" applyBorder="1" applyAlignment="1">
      <alignment horizontal="center" vertical="center" textRotation="90" shrinkToFit="1"/>
    </xf>
    <xf numFmtId="0" fontId="56" fillId="9" borderId="0" xfId="0" applyFont="1" applyFill="1" applyAlignment="1" applyProtection="1">
      <alignment horizontal="center" vertical="center" wrapText="1"/>
      <protection locked="0"/>
    </xf>
    <xf numFmtId="0" fontId="24" fillId="0" borderId="0" xfId="0" quotePrefix="1" applyFont="1" applyFill="1" applyAlignment="1">
      <alignment horizontal="center" vertical="center" wrapText="1"/>
    </xf>
    <xf numFmtId="0" fontId="0"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xf numFmtId="0" fontId="0" fillId="0" borderId="0" xfId="0" applyAlignment="1">
      <alignment horizontal="right"/>
    </xf>
    <xf numFmtId="0" fontId="0" fillId="0" borderId="0" xfId="0"/>
    <xf numFmtId="0" fontId="0" fillId="0" borderId="0" xfId="0" applyFont="1"/>
    <xf numFmtId="0" fontId="0" fillId="0" borderId="0" xfId="0" applyFont="1" applyAlignment="1">
      <alignment horizontal="center"/>
    </xf>
    <xf numFmtId="0" fontId="0" fillId="0" borderId="0" xfId="0" applyFont="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0" fillId="0" borderId="0" xfId="0" applyFont="1" applyAlignment="1">
      <alignment horizontal="left" vertical="center"/>
    </xf>
    <xf numFmtId="49" fontId="64" fillId="0" borderId="0" xfId="1" quotePrefix="1" applyNumberFormat="1" applyFont="1" applyAlignment="1">
      <alignment horizontal="center" vertical="center" wrapText="1"/>
    </xf>
    <xf numFmtId="49" fontId="64" fillId="0" borderId="0" xfId="1" applyNumberFormat="1" applyFont="1" applyAlignment="1">
      <alignment horizontal="center" vertical="center"/>
    </xf>
    <xf numFmtId="49" fontId="64" fillId="0" borderId="0" xfId="1" applyNumberFormat="1" applyFont="1" applyFill="1" applyAlignment="1">
      <alignment horizontal="center" vertical="center"/>
    </xf>
    <xf numFmtId="0" fontId="20" fillId="3" borderId="0" xfId="0" applyFont="1" applyFill="1" applyAlignment="1">
      <alignment horizontal="right"/>
    </xf>
    <xf numFmtId="0" fontId="20" fillId="21" borderId="0" xfId="0" applyFont="1" applyFill="1" applyAlignment="1">
      <alignment horizontal="right"/>
    </xf>
    <xf numFmtId="0" fontId="20" fillId="22" borderId="0" xfId="0" applyFont="1" applyFill="1" applyAlignment="1">
      <alignment horizontal="right"/>
    </xf>
    <xf numFmtId="49" fontId="61" fillId="3" borderId="0" xfId="1" applyNumberFormat="1" applyFont="1" applyFill="1" applyAlignment="1">
      <alignment horizontal="right"/>
    </xf>
    <xf numFmtId="49" fontId="61" fillId="21" borderId="0" xfId="1" applyNumberFormat="1" applyFont="1" applyFill="1" applyAlignment="1">
      <alignment horizontal="right"/>
    </xf>
    <xf numFmtId="49" fontId="61" fillId="22" borderId="0" xfId="1" applyNumberFormat="1" applyFont="1" applyFill="1" applyAlignment="1">
      <alignment horizontal="right"/>
    </xf>
    <xf numFmtId="0" fontId="61" fillId="3" borderId="0" xfId="1" applyNumberFormat="1" applyFont="1" applyFill="1" applyAlignment="1">
      <alignment horizontal="right"/>
    </xf>
    <xf numFmtId="0" fontId="61" fillId="21" borderId="0" xfId="1" applyNumberFormat="1" applyFont="1" applyFill="1" applyAlignment="1">
      <alignment horizontal="right"/>
    </xf>
    <xf numFmtId="0" fontId="61" fillId="22" borderId="0" xfId="1" applyNumberFormat="1" applyFont="1" applyFill="1" applyAlignment="1">
      <alignment horizontal="right"/>
    </xf>
    <xf numFmtId="0" fontId="61" fillId="3" borderId="0" xfId="1" quotePrefix="1" applyNumberFormat="1" applyFont="1" applyFill="1" applyAlignment="1">
      <alignment horizontal="right" vertical="center" wrapText="1"/>
    </xf>
    <xf numFmtId="49" fontId="61" fillId="21" borderId="0" xfId="1" quotePrefix="1" applyNumberFormat="1" applyFont="1" applyFill="1" applyAlignment="1">
      <alignment horizontal="right" vertical="center" wrapText="1"/>
    </xf>
    <xf numFmtId="49" fontId="61" fillId="22" borderId="0" xfId="1" quotePrefix="1" applyNumberFormat="1" applyFont="1" applyFill="1" applyAlignment="1">
      <alignment horizontal="right" vertical="center" wrapText="1"/>
    </xf>
    <xf numFmtId="0" fontId="52" fillId="18" borderId="7" xfId="0" applyFont="1" applyFill="1" applyBorder="1" applyAlignment="1">
      <alignment horizontal="center" vertical="center" wrapText="1"/>
    </xf>
    <xf numFmtId="0" fontId="20" fillId="0" borderId="0" xfId="0" applyFont="1" applyBorder="1" applyAlignment="1">
      <alignment horizontal="center" vertical="center" wrapText="1"/>
    </xf>
    <xf numFmtId="0" fontId="35" fillId="18" borderId="7" xfId="0" applyFont="1" applyFill="1" applyBorder="1" applyAlignment="1">
      <alignment horizontal="center" vertical="center" wrapText="1"/>
    </xf>
    <xf numFmtId="0" fontId="50" fillId="0" borderId="7" xfId="0" applyFont="1" applyFill="1" applyBorder="1" applyAlignment="1">
      <alignment horizontal="center" vertical="center" wrapText="1"/>
    </xf>
    <xf numFmtId="49" fontId="19" fillId="9" borderId="0" xfId="0" applyNumberFormat="1" applyFont="1" applyFill="1" applyAlignment="1">
      <alignment horizontal="center" vertical="center" wrapText="1"/>
    </xf>
    <xf numFmtId="49" fontId="24" fillId="0" borderId="0" xfId="0" applyNumberFormat="1" applyFont="1" applyAlignment="1">
      <alignment horizontal="left" vertical="center" wrapText="1"/>
    </xf>
    <xf numFmtId="0" fontId="43" fillId="0" borderId="0" xfId="0" applyFont="1"/>
    <xf numFmtId="0" fontId="34" fillId="18" borderId="7" xfId="0" applyFont="1" applyFill="1" applyBorder="1" applyAlignment="1">
      <alignment horizontal="center" vertical="center"/>
    </xf>
    <xf numFmtId="0" fontId="19" fillId="9" borderId="7" xfId="0" applyFont="1" applyFill="1" applyBorder="1" applyAlignment="1">
      <alignment horizontal="center" vertical="center"/>
    </xf>
    <xf numFmtId="0" fontId="0" fillId="0" borderId="7" xfId="0" applyBorder="1"/>
    <xf numFmtId="0" fontId="19" fillId="9" borderId="0" xfId="0" applyFont="1" applyFill="1" applyAlignment="1">
      <alignment horizontal="center" vertical="center"/>
    </xf>
    <xf numFmtId="0" fontId="35" fillId="0" borderId="0" xfId="0" applyFont="1" applyBorder="1" applyAlignment="1"/>
    <xf numFmtId="0" fontId="40" fillId="0" borderId="7" xfId="0" applyFont="1" applyBorder="1" applyAlignment="1"/>
    <xf numFmtId="0" fontId="50" fillId="0" borderId="7" xfId="0" applyFont="1" applyBorder="1"/>
    <xf numFmtId="0" fontId="65" fillId="0" borderId="0" xfId="0" applyFont="1"/>
    <xf numFmtId="49" fontId="65" fillId="0" borderId="0" xfId="0" applyNumberFormat="1" applyFont="1" applyAlignment="1"/>
    <xf numFmtId="0" fontId="66" fillId="0" borderId="27" xfId="0" applyFont="1" applyBorder="1" applyAlignment="1">
      <alignment horizontal="center" vertical="center"/>
    </xf>
    <xf numFmtId="0" fontId="31" fillId="0" borderId="11" xfId="0" applyFont="1" applyBorder="1" applyAlignment="1"/>
    <xf numFmtId="0" fontId="42" fillId="7" borderId="7" xfId="0" applyFont="1" applyFill="1" applyBorder="1" applyAlignment="1">
      <alignment horizontal="left"/>
    </xf>
    <xf numFmtId="0" fontId="53" fillId="0" borderId="0" xfId="0" applyFont="1" applyFill="1" applyBorder="1" applyAlignment="1">
      <alignment horizontal="center" vertical="center"/>
    </xf>
    <xf numFmtId="0" fontId="53" fillId="0" borderId="0" xfId="0" applyFont="1" applyFill="1" applyBorder="1" applyAlignment="1">
      <alignment vertical="center"/>
    </xf>
    <xf numFmtId="0" fontId="50" fillId="0" borderId="0" xfId="0" applyFont="1" applyBorder="1"/>
    <xf numFmtId="0" fontId="50" fillId="0" borderId="0" xfId="0" applyFont="1" applyBorder="1" applyAlignment="1">
      <alignment vertical="center" wrapText="1"/>
    </xf>
    <xf numFmtId="0" fontId="35" fillId="0" borderId="0" xfId="0" applyFont="1" applyBorder="1" applyAlignment="1">
      <alignment horizontal="center"/>
    </xf>
    <xf numFmtId="0" fontId="42" fillId="0" borderId="0" xfId="0" applyNumberFormat="1" applyFont="1" applyFill="1" applyBorder="1" applyAlignment="1" applyProtection="1">
      <alignment horizontal="center" vertical="center" wrapText="1"/>
      <protection locked="0"/>
    </xf>
    <xf numFmtId="0" fontId="42" fillId="7" borderId="7" xfId="0" applyFont="1" applyFill="1" applyBorder="1" applyAlignment="1"/>
    <xf numFmtId="0" fontId="42" fillId="0" borderId="0" xfId="0" applyFont="1" applyBorder="1" applyAlignment="1">
      <alignment vertical="center" wrapText="1"/>
    </xf>
    <xf numFmtId="0" fontId="66" fillId="0" borderId="0" xfId="0" applyFont="1" applyBorder="1" applyAlignment="1">
      <alignment horizontal="center" vertical="center"/>
    </xf>
    <xf numFmtId="0" fontId="34" fillId="0" borderId="25" xfId="0" applyFont="1" applyBorder="1" applyAlignment="1"/>
    <xf numFmtId="0" fontId="34" fillId="0" borderId="25" xfId="0" applyFont="1" applyBorder="1" applyAlignment="1">
      <alignment horizontal="center"/>
    </xf>
    <xf numFmtId="0" fontId="40" fillId="7" borderId="21" xfId="0" applyFont="1" applyFill="1" applyBorder="1" applyAlignment="1"/>
    <xf numFmtId="0" fontId="40" fillId="7" borderId="22" xfId="0" applyFont="1" applyFill="1" applyBorder="1" applyAlignment="1"/>
    <xf numFmtId="0" fontId="40" fillId="7" borderId="23" xfId="0" applyFont="1" applyFill="1" applyBorder="1" applyAlignment="1"/>
    <xf numFmtId="0" fontId="33" fillId="0" borderId="7" xfId="0" applyNumberFormat="1" applyFont="1" applyFill="1" applyBorder="1" applyAlignment="1" applyProtection="1">
      <alignment horizontal="center" vertical="center" wrapText="1"/>
      <protection locked="0"/>
    </xf>
    <xf numFmtId="0" fontId="30" fillId="0" borderId="21" xfId="0" applyFont="1" applyBorder="1" applyAlignment="1">
      <alignment vertical="center" wrapText="1"/>
    </xf>
    <xf numFmtId="0" fontId="30" fillId="0" borderId="23" xfId="0" applyFont="1" applyBorder="1" applyAlignment="1">
      <alignment vertical="center" wrapText="1"/>
    </xf>
    <xf numFmtId="0" fontId="40" fillId="0" borderId="23" xfId="0" applyNumberFormat="1" applyFont="1" applyFill="1" applyBorder="1" applyAlignment="1" applyProtection="1">
      <alignment horizontal="center" vertical="center"/>
      <protection locked="0"/>
    </xf>
    <xf numFmtId="0" fontId="40" fillId="0" borderId="21" xfId="0" applyNumberFormat="1" applyFont="1" applyFill="1" applyBorder="1" applyAlignment="1" applyProtection="1">
      <alignment horizontal="center" vertical="center"/>
      <protection locked="0"/>
    </xf>
    <xf numFmtId="0" fontId="52" fillId="18" borderId="7" xfId="0" applyFont="1" applyFill="1" applyBorder="1" applyAlignment="1">
      <alignment vertical="center"/>
    </xf>
    <xf numFmtId="1" fontId="40" fillId="0" borderId="0" xfId="0" applyNumberFormat="1" applyFont="1"/>
    <xf numFmtId="0" fontId="23" fillId="0" borderId="0" xfId="0" applyFont="1"/>
    <xf numFmtId="49" fontId="13" fillId="0" borderId="0" xfId="1" applyNumberFormat="1" applyFont="1" applyFill="1"/>
    <xf numFmtId="0" fontId="41" fillId="0" borderId="33" xfId="0" applyFont="1" applyBorder="1" applyAlignment="1"/>
    <xf numFmtId="0" fontId="20" fillId="9" borderId="0" xfId="0" applyFont="1" applyFill="1" applyAlignment="1">
      <alignment horizontal="right" vertical="center" textRotation="90" wrapText="1"/>
    </xf>
    <xf numFmtId="0" fontId="0" fillId="0" borderId="0" xfId="0" applyAlignment="1">
      <alignment horizontal="center"/>
    </xf>
    <xf numFmtId="0" fontId="29" fillId="0" borderId="16" xfId="0" applyFont="1" applyBorder="1" applyAlignment="1">
      <alignment horizontal="center"/>
    </xf>
    <xf numFmtId="0" fontId="29" fillId="0" borderId="21" xfId="0" applyFont="1" applyBorder="1" applyAlignment="1">
      <alignment horizontal="right"/>
    </xf>
    <xf numFmtId="0" fontId="31" fillId="0" borderId="7" xfId="0" applyFont="1" applyBorder="1" applyAlignment="1">
      <alignment horizontal="center" vertical="center"/>
    </xf>
    <xf numFmtId="0" fontId="29" fillId="0" borderId="43" xfId="0" applyFont="1" applyBorder="1" applyAlignment="1">
      <alignment horizontal="center"/>
    </xf>
    <xf numFmtId="0" fontId="21" fillId="9" borderId="0" xfId="0" applyFont="1" applyFill="1" applyAlignment="1">
      <alignment horizontal="center" vertical="center" wrapText="1"/>
    </xf>
    <xf numFmtId="0" fontId="21" fillId="9" borderId="0" xfId="0" applyFont="1" applyFill="1" applyAlignment="1">
      <alignment horizontal="center" vertical="center"/>
    </xf>
    <xf numFmtId="0" fontId="19" fillId="9" borderId="0" xfId="0" applyFont="1" applyFill="1" applyAlignment="1">
      <alignment horizontal="center" vertical="center"/>
    </xf>
    <xf numFmtId="0" fontId="24" fillId="0" borderId="0" xfId="0" quotePrefix="1" applyFont="1"/>
    <xf numFmtId="0" fontId="19" fillId="9" borderId="0" xfId="0" applyNumberFormat="1" applyFont="1" applyFill="1" applyAlignment="1" applyProtection="1">
      <alignment horizontal="center" vertical="center"/>
      <protection locked="0"/>
    </xf>
    <xf numFmtId="49" fontId="54" fillId="9" borderId="0" xfId="0" applyNumberFormat="1" applyFont="1" applyFill="1" applyAlignment="1">
      <alignment horizontal="center" vertical="center"/>
    </xf>
    <xf numFmtId="0" fontId="24" fillId="9" borderId="0" xfId="0" applyFont="1" applyFill="1" applyAlignment="1">
      <alignment horizontal="center" vertical="center"/>
    </xf>
    <xf numFmtId="0" fontId="0" fillId="9" borderId="0" xfId="0" applyFont="1" applyFill="1" applyAlignment="1">
      <alignment horizontal="center" vertical="center"/>
    </xf>
    <xf numFmtId="1" fontId="22" fillId="0" borderId="0" xfId="0" applyNumberFormat="1" applyFont="1" applyAlignment="1" applyProtection="1">
      <alignment horizontal="left"/>
      <protection locked="0"/>
    </xf>
    <xf numFmtId="0" fontId="20" fillId="0" borderId="0" xfId="0" applyFont="1" applyFill="1" applyAlignment="1">
      <alignment horizontal="center" vertical="center" wrapText="1"/>
    </xf>
    <xf numFmtId="0" fontId="31" fillId="0" borderId="27" xfId="0" applyFont="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xf>
    <xf numFmtId="0" fontId="31" fillId="0" borderId="23" xfId="0" applyFont="1" applyBorder="1" applyAlignment="1">
      <alignment horizontal="left"/>
    </xf>
    <xf numFmtId="0" fontId="56" fillId="9" borderId="0" xfId="0" applyFont="1" applyFill="1" applyAlignment="1">
      <alignment horizontal="center"/>
    </xf>
    <xf numFmtId="0" fontId="50" fillId="0" borderId="7" xfId="0" applyNumberFormat="1" applyFont="1" applyFill="1" applyBorder="1" applyAlignment="1" applyProtection="1">
      <alignment horizontal="center" vertical="center"/>
      <protection locked="0"/>
    </xf>
    <xf numFmtId="0" fontId="29" fillId="0" borderId="43" xfId="0" applyFont="1" applyBorder="1" applyAlignment="1">
      <alignment horizontal="left"/>
    </xf>
    <xf numFmtId="0" fontId="29" fillId="0" borderId="16" xfId="0" applyFont="1" applyBorder="1" applyAlignment="1">
      <alignment horizontal="right"/>
    </xf>
    <xf numFmtId="49" fontId="61" fillId="0" borderId="0" xfId="1" applyNumberFormat="1" applyFont="1" applyAlignment="1">
      <alignment horizontal="center" vertical="center"/>
    </xf>
    <xf numFmtId="49" fontId="61" fillId="0" borderId="0" xfId="1" applyNumberFormat="1" applyFont="1" applyFill="1" applyAlignment="1">
      <alignment horizontal="center" vertical="center"/>
    </xf>
    <xf numFmtId="49" fontId="61" fillId="0" borderId="0" xfId="1" quotePrefix="1" applyNumberFormat="1" applyFont="1" applyAlignment="1">
      <alignment horizontal="center" vertical="center" wrapText="1"/>
    </xf>
    <xf numFmtId="49" fontId="12" fillId="0" borderId="0" xfId="1" applyNumberFormat="1" applyFont="1"/>
    <xf numFmtId="0" fontId="24" fillId="0" borderId="0" xfId="0" quotePrefix="1" applyFont="1" applyAlignment="1">
      <alignment wrapText="1"/>
    </xf>
    <xf numFmtId="0" fontId="49" fillId="0" borderId="0" xfId="0" applyFont="1" applyBorder="1" applyAlignment="1">
      <alignment horizontal="left" vertical="center"/>
    </xf>
    <xf numFmtId="0" fontId="37" fillId="0" borderId="0" xfId="0" applyFont="1" applyAlignment="1">
      <alignment vertical="top"/>
    </xf>
    <xf numFmtId="0" fontId="37" fillId="0" borderId="14" xfId="0" applyFont="1" applyBorder="1" applyAlignment="1">
      <alignment horizontal="left" vertical="top"/>
    </xf>
    <xf numFmtId="0" fontId="24" fillId="0" borderId="7" xfId="0" applyFont="1" applyBorder="1" applyAlignment="1">
      <alignment horizontal="center" vertical="center"/>
    </xf>
    <xf numFmtId="0" fontId="0" fillId="0" borderId="30" xfId="0" applyBorder="1"/>
    <xf numFmtId="0" fontId="0" fillId="0" borderId="28" xfId="0" applyBorder="1"/>
    <xf numFmtId="0" fontId="24" fillId="0" borderId="0" xfId="0" applyFont="1" applyBorder="1"/>
    <xf numFmtId="0" fontId="0" fillId="0" borderId="19" xfId="0" applyBorder="1"/>
    <xf numFmtId="0" fontId="0" fillId="0" borderId="20" xfId="0" applyBorder="1"/>
    <xf numFmtId="0" fontId="0" fillId="23" borderId="27" xfId="0" applyFill="1" applyBorder="1"/>
    <xf numFmtId="0" fontId="0" fillId="0" borderId="24" xfId="0" applyBorder="1"/>
    <xf numFmtId="0" fontId="31" fillId="0" borderId="0" xfId="0" applyFont="1"/>
    <xf numFmtId="165" fontId="40" fillId="0" borderId="28" xfId="0" applyNumberFormat="1" applyFont="1" applyFill="1" applyBorder="1" applyAlignment="1" applyProtection="1">
      <alignment horizontal="center" vertical="center"/>
      <protection locked="0"/>
    </xf>
    <xf numFmtId="0" fontId="30" fillId="0" borderId="0" xfId="0" applyFont="1" applyBorder="1" applyAlignment="1">
      <alignment horizontal="right" vertical="center" wrapText="1"/>
    </xf>
    <xf numFmtId="0" fontId="30" fillId="0" borderId="0" xfId="0" applyFont="1" applyBorder="1" applyAlignment="1">
      <alignment vertical="center" wrapText="1"/>
    </xf>
    <xf numFmtId="0" fontId="30" fillId="0" borderId="0" xfId="0" applyFont="1" applyBorder="1" applyAlignment="1">
      <alignment horizontal="center" vertical="center" wrapText="1"/>
    </xf>
    <xf numFmtId="0" fontId="30" fillId="0" borderId="0" xfId="0" applyFont="1" applyBorder="1" applyAlignment="1">
      <alignment horizontal="left" vertical="center" wrapText="1"/>
    </xf>
    <xf numFmtId="0" fontId="40" fillId="0" borderId="7" xfId="0" applyFont="1" applyBorder="1" applyAlignment="1">
      <alignment horizontal="center" vertical="center" wrapText="1"/>
    </xf>
    <xf numFmtId="49" fontId="64" fillId="0" borderId="0" xfId="1" applyNumberFormat="1" applyFont="1" applyAlignment="1">
      <alignment horizontal="left" vertical="center" wrapText="1"/>
    </xf>
    <xf numFmtId="0" fontId="42" fillId="0" borderId="22" xfId="0" applyFont="1" applyBorder="1"/>
    <xf numFmtId="165" fontId="50" fillId="0" borderId="28" xfId="0" applyNumberFormat="1" applyFont="1" applyFill="1" applyBorder="1" applyAlignment="1" applyProtection="1">
      <alignment horizontal="center" vertical="center"/>
      <protection locked="0"/>
    </xf>
    <xf numFmtId="0" fontId="42" fillId="0" borderId="23" xfId="0" applyFont="1" applyBorder="1"/>
    <xf numFmtId="0" fontId="41" fillId="0" borderId="0" xfId="0" applyFont="1"/>
    <xf numFmtId="1" fontId="60" fillId="0" borderId="0" xfId="0" applyNumberFormat="1" applyFont="1"/>
    <xf numFmtId="1" fontId="67" fillId="0" borderId="0" xfId="0" applyNumberFormat="1" applyFont="1" applyBorder="1"/>
    <xf numFmtId="0" fontId="0" fillId="23" borderId="16" xfId="0" applyFill="1" applyBorder="1" applyAlignment="1"/>
    <xf numFmtId="0" fontId="60" fillId="0" borderId="28" xfId="0" applyFont="1" applyBorder="1"/>
    <xf numFmtId="0" fontId="68" fillId="0" borderId="28" xfId="0" applyFont="1" applyBorder="1"/>
    <xf numFmtId="0" fontId="69" fillId="0" borderId="0" xfId="0" applyFont="1"/>
    <xf numFmtId="0" fontId="60" fillId="0" borderId="0" xfId="0" applyFont="1" applyBorder="1"/>
    <xf numFmtId="0" fontId="33" fillId="7" borderId="21" xfId="0" applyFont="1" applyFill="1" applyBorder="1" applyAlignment="1">
      <alignment vertical="center"/>
    </xf>
    <xf numFmtId="0" fontId="33" fillId="7" borderId="22" xfId="0" applyFont="1" applyFill="1" applyBorder="1" applyAlignment="1">
      <alignment vertical="center"/>
    </xf>
    <xf numFmtId="0" fontId="33" fillId="7" borderId="23" xfId="0" applyFont="1" applyFill="1" applyBorder="1" applyAlignment="1">
      <alignment vertical="center"/>
    </xf>
    <xf numFmtId="0" fontId="40" fillId="0" borderId="7" xfId="0" applyFont="1" applyFill="1" applyBorder="1" applyAlignment="1">
      <alignment horizontal="center" vertical="center" wrapText="1"/>
    </xf>
    <xf numFmtId="0" fontId="33" fillId="0" borderId="7" xfId="0" applyFont="1" applyFill="1" applyBorder="1" applyAlignment="1">
      <alignment horizontal="center" vertical="center"/>
    </xf>
    <xf numFmtId="0" fontId="50" fillId="0" borderId="7" xfId="0" applyFont="1" applyBorder="1" applyAlignment="1">
      <alignment horizontal="right"/>
    </xf>
    <xf numFmtId="0" fontId="70" fillId="0" borderId="7" xfId="0" applyFont="1" applyFill="1" applyBorder="1"/>
    <xf numFmtId="0" fontId="70" fillId="0" borderId="7" xfId="0" applyFont="1" applyBorder="1"/>
    <xf numFmtId="0" fontId="35" fillId="0" borderId="25" xfId="0" applyFont="1" applyBorder="1" applyAlignment="1"/>
    <xf numFmtId="0" fontId="35" fillId="0" borderId="53" xfId="0" applyFont="1" applyBorder="1" applyAlignment="1"/>
    <xf numFmtId="0" fontId="32" fillId="0" borderId="7" xfId="0" applyFont="1" applyBorder="1" applyAlignment="1">
      <alignment horizontal="center" vertical="center"/>
    </xf>
    <xf numFmtId="0" fontId="24" fillId="0" borderId="0" xfId="0" applyFont="1" applyAlignment="1">
      <alignment wrapText="1"/>
    </xf>
    <xf numFmtId="0" fontId="20" fillId="3" borderId="0" xfId="0" applyFont="1" applyFill="1" applyAlignment="1">
      <alignment horizontal="center" wrapText="1"/>
    </xf>
    <xf numFmtId="0" fontId="20" fillId="16" borderId="0" xfId="0" applyFont="1" applyFill="1" applyAlignment="1">
      <alignment horizontal="center" wrapText="1"/>
    </xf>
    <xf numFmtId="0" fontId="20" fillId="5" borderId="0" xfId="0" applyFont="1" applyFill="1" applyAlignment="1">
      <alignment horizontal="center" wrapText="1"/>
    </xf>
    <xf numFmtId="0" fontId="20" fillId="4" borderId="0" xfId="0" applyFont="1" applyFill="1" applyBorder="1" applyAlignment="1">
      <alignment horizontal="center" wrapText="1"/>
    </xf>
    <xf numFmtId="0" fontId="20" fillId="10" borderId="0" xfId="0" applyFont="1" applyFill="1" applyAlignment="1">
      <alignment horizontal="center" wrapText="1"/>
    </xf>
    <xf numFmtId="0" fontId="20" fillId="7" borderId="0" xfId="0" applyFont="1" applyFill="1" applyAlignment="1">
      <alignment horizontal="center" wrapText="1"/>
    </xf>
    <xf numFmtId="0" fontId="20" fillId="3" borderId="0" xfId="0" applyFont="1" applyFill="1" applyBorder="1" applyAlignment="1">
      <alignment horizontal="center" wrapText="1"/>
    </xf>
    <xf numFmtId="0" fontId="20" fillId="5" borderId="0" xfId="0" applyFont="1" applyFill="1" applyBorder="1" applyAlignment="1">
      <alignment horizontal="center" wrapText="1"/>
    </xf>
    <xf numFmtId="0" fontId="20" fillId="7" borderId="0" xfId="0" applyFont="1" applyFill="1" applyBorder="1" applyAlignment="1">
      <alignment horizontal="center" wrapText="1"/>
    </xf>
    <xf numFmtId="0" fontId="20" fillId="0" borderId="0" xfId="0" applyFont="1" applyFill="1" applyAlignment="1">
      <alignment horizontal="center"/>
    </xf>
    <xf numFmtId="0" fontId="20" fillId="0" borderId="0" xfId="0" applyFont="1" applyFill="1" applyAlignment="1">
      <alignment horizontal="center" wrapText="1"/>
    </xf>
    <xf numFmtId="0" fontId="71" fillId="0" borderId="24" xfId="0" applyFont="1" applyBorder="1" applyAlignment="1"/>
    <xf numFmtId="0" fontId="33" fillId="0" borderId="7" xfId="0" applyFont="1" applyBorder="1" applyAlignment="1">
      <alignment horizontal="center" vertical="center"/>
    </xf>
    <xf numFmtId="0" fontId="21" fillId="9" borderId="0" xfId="0" applyFont="1" applyFill="1" applyAlignment="1">
      <alignment horizontal="center" vertical="center"/>
    </xf>
    <xf numFmtId="0" fontId="31" fillId="0" borderId="7" xfId="0" applyFont="1" applyBorder="1" applyProtection="1"/>
    <xf numFmtId="165" fontId="31" fillId="0" borderId="7" xfId="0" applyNumberFormat="1" applyFont="1" applyBorder="1" applyProtection="1"/>
    <xf numFmtId="0" fontId="29" fillId="0" borderId="7" xfId="0" applyFont="1" applyBorder="1" applyProtection="1"/>
    <xf numFmtId="0" fontId="47" fillId="0" borderId="5" xfId="0" applyFont="1" applyBorder="1" applyProtection="1"/>
    <xf numFmtId="0" fontId="45" fillId="0" borderId="6" xfId="0" applyFont="1" applyBorder="1" applyProtection="1"/>
    <xf numFmtId="0" fontId="46" fillId="0" borderId="1" xfId="0" applyFont="1" applyBorder="1" applyProtection="1"/>
    <xf numFmtId="0" fontId="48" fillId="0" borderId="4" xfId="0" applyFont="1" applyBorder="1" applyProtection="1"/>
    <xf numFmtId="0" fontId="0" fillId="0" borderId="16" xfId="0" applyBorder="1"/>
    <xf numFmtId="0" fontId="0" fillId="0" borderId="17" xfId="0" applyBorder="1"/>
    <xf numFmtId="0" fontId="24" fillId="0" borderId="0" xfId="0" applyFont="1" applyBorder="1" applyAlignment="1">
      <alignment horizontal="center" vertical="center" wrapText="1"/>
    </xf>
    <xf numFmtId="0" fontId="23"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0" fillId="0" borderId="0" xfId="0" applyFill="1" applyBorder="1" applyAlignment="1">
      <alignment horizontal="center" vertical="center"/>
    </xf>
    <xf numFmtId="0" fontId="19" fillId="9" borderId="7" xfId="0" applyFont="1" applyFill="1" applyBorder="1"/>
    <xf numFmtId="0" fontId="19" fillId="9" borderId="7" xfId="0" applyFont="1" applyFill="1" applyBorder="1" applyAlignment="1">
      <alignment horizontal="center"/>
    </xf>
    <xf numFmtId="49" fontId="19" fillId="9" borderId="7" xfId="0" applyNumberFormat="1" applyFont="1" applyFill="1" applyBorder="1" applyAlignment="1">
      <alignment horizontal="center"/>
    </xf>
    <xf numFmtId="0" fontId="63" fillId="0" borderId="7" xfId="0" applyFont="1" applyBorder="1"/>
    <xf numFmtId="0" fontId="0" fillId="0" borderId="7" xfId="0" quotePrefix="1" applyBorder="1" applyAlignment="1">
      <alignment horizontal="center"/>
    </xf>
    <xf numFmtId="0" fontId="0" fillId="0" borderId="7" xfId="0" applyBorder="1" applyAlignment="1">
      <alignment horizontal="center"/>
    </xf>
    <xf numFmtId="0" fontId="0" fillId="0" borderId="7" xfId="0" applyFont="1" applyBorder="1"/>
    <xf numFmtId="0" fontId="0" fillId="0" borderId="7" xfId="0" applyNumberFormat="1" applyFont="1" applyBorder="1" applyAlignment="1">
      <alignment horizontal="center"/>
    </xf>
    <xf numFmtId="0" fontId="0" fillId="0" borderId="7" xfId="0" applyFont="1" applyBorder="1" applyAlignment="1">
      <alignment horizontal="center"/>
    </xf>
    <xf numFmtId="0" fontId="65" fillId="0" borderId="7" xfId="0" applyFont="1" applyBorder="1" applyAlignment="1">
      <alignment vertical="center" wrapText="1"/>
    </xf>
    <xf numFmtId="0" fontId="63" fillId="0" borderId="7" xfId="0" applyFont="1" applyBorder="1" applyAlignment="1">
      <alignment vertical="center" wrapText="1"/>
    </xf>
    <xf numFmtId="0" fontId="0" fillId="0" borderId="7" xfId="0" quotePrefix="1" applyFont="1" applyBorder="1" applyAlignment="1">
      <alignment horizontal="center"/>
    </xf>
    <xf numFmtId="0" fontId="0" fillId="0" borderId="7" xfId="0" applyFont="1" applyBorder="1" applyAlignment="1">
      <alignment horizontal="left"/>
    </xf>
    <xf numFmtId="0" fontId="63" fillId="0" borderId="7" xfId="0" applyFont="1" applyBorder="1" applyAlignment="1">
      <alignment horizontal="left"/>
    </xf>
    <xf numFmtId="0" fontId="0" fillId="0" borderId="7" xfId="0" applyFont="1" applyBorder="1" applyAlignment="1">
      <alignment vertical="center" wrapText="1"/>
    </xf>
    <xf numFmtId="165" fontId="31" fillId="0" borderId="27" xfId="0" applyNumberFormat="1" applyFont="1" applyBorder="1" applyProtection="1"/>
    <xf numFmtId="0" fontId="21" fillId="9" borderId="0" xfId="0" applyFont="1" applyFill="1" applyBorder="1" applyAlignment="1"/>
    <xf numFmtId="0" fontId="21" fillId="9" borderId="0" xfId="0" applyFont="1" applyFill="1"/>
    <xf numFmtId="49" fontId="21" fillId="9" borderId="0" xfId="0" applyNumberFormat="1" applyFont="1" applyFill="1" applyAlignment="1">
      <alignment horizontal="center"/>
    </xf>
    <xf numFmtId="0" fontId="0" fillId="0" borderId="0" xfId="0" applyFont="1" applyAlignment="1">
      <alignment wrapText="1"/>
    </xf>
    <xf numFmtId="0" fontId="20" fillId="4" borderId="0" xfId="0" applyFont="1" applyFill="1" applyAlignment="1">
      <alignment horizontal="center" vertical="center" wrapText="1"/>
    </xf>
    <xf numFmtId="0" fontId="20" fillId="0" borderId="0" xfId="0" applyNumberFormat="1" applyFont="1" applyAlignment="1">
      <alignment horizontal="center" wrapText="1"/>
    </xf>
    <xf numFmtId="0" fontId="0" fillId="0" borderId="0" xfId="0" applyAlignment="1">
      <alignment wrapText="1"/>
    </xf>
    <xf numFmtId="49" fontId="20" fillId="0" borderId="0" xfId="0" applyNumberFormat="1" applyFont="1" applyAlignment="1">
      <alignment horizontal="center" wrapText="1"/>
    </xf>
    <xf numFmtId="0" fontId="20" fillId="3" borderId="0" xfId="0" applyFont="1" applyFill="1" applyAlignment="1">
      <alignment horizontal="center" vertical="center" wrapText="1"/>
    </xf>
    <xf numFmtId="0" fontId="20" fillId="8" borderId="0" xfId="0" applyFont="1" applyFill="1" applyAlignment="1">
      <alignment horizontal="center" vertical="center" wrapText="1"/>
    </xf>
    <xf numFmtId="0" fontId="20" fillId="6" borderId="0" xfId="0" applyFont="1" applyFill="1" applyAlignment="1">
      <alignment horizontal="center" vertical="center" wrapText="1"/>
    </xf>
    <xf numFmtId="0" fontId="22" fillId="0" borderId="0" xfId="0" applyFont="1" applyBorder="1" applyAlignment="1">
      <alignment horizontal="center" vertical="center" wrapText="1"/>
    </xf>
    <xf numFmtId="0" fontId="54" fillId="0" borderId="0" xfId="0" applyFont="1" applyFill="1" applyBorder="1" applyAlignment="1">
      <alignment horizontal="center" vertical="center" wrapText="1"/>
    </xf>
    <xf numFmtId="0" fontId="54" fillId="0" borderId="0" xfId="0" applyFont="1" applyFill="1" applyAlignment="1">
      <alignment horizontal="center" vertical="center" wrapText="1"/>
    </xf>
    <xf numFmtId="0" fontId="19" fillId="9" borderId="0" xfId="0" applyFont="1" applyFill="1" applyAlignment="1">
      <alignment horizontal="center" vertical="center"/>
    </xf>
    <xf numFmtId="0" fontId="40" fillId="0" borderId="7"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6" fillId="9" borderId="0" xfId="0" applyNumberFormat="1" applyFont="1" applyFill="1" applyAlignment="1">
      <alignment horizontal="center" vertical="center"/>
    </xf>
    <xf numFmtId="49" fontId="21" fillId="9" borderId="0" xfId="0" applyNumberFormat="1" applyFont="1" applyFill="1" applyAlignment="1">
      <alignment horizontal="center" vertical="center" wrapText="1"/>
    </xf>
    <xf numFmtId="0" fontId="54" fillId="9" borderId="0" xfId="0" applyFont="1" applyFill="1" applyAlignment="1">
      <alignment horizontal="center" vertical="center"/>
    </xf>
    <xf numFmtId="0" fontId="42" fillId="18" borderId="7" xfId="0" applyFont="1" applyFill="1" applyBorder="1" applyAlignment="1">
      <alignment horizontal="left"/>
    </xf>
    <xf numFmtId="0" fontId="0" fillId="0" borderId="22" xfId="0" applyBorder="1" applyAlignment="1">
      <alignment horizontal="center"/>
    </xf>
    <xf numFmtId="0" fontId="0" fillId="17" borderId="30" xfId="0" applyFont="1" applyFill="1" applyBorder="1" applyAlignment="1">
      <alignment horizontal="center" vertical="center"/>
    </xf>
    <xf numFmtId="0" fontId="0" fillId="9" borderId="7" xfId="0" applyFont="1" applyFill="1" applyBorder="1" applyAlignment="1">
      <alignment horizontal="center" vertical="center"/>
    </xf>
    <xf numFmtId="0" fontId="20" fillId="9" borderId="7" xfId="0" applyFont="1" applyFill="1" applyBorder="1" applyAlignment="1">
      <alignment horizontal="center" vertical="center" wrapText="1"/>
    </xf>
    <xf numFmtId="0" fontId="33" fillId="0" borderId="0" xfId="0" applyNumberFormat="1" applyFont="1" applyFill="1" applyBorder="1" applyAlignment="1" applyProtection="1">
      <alignment vertical="center"/>
      <protection locked="0"/>
    </xf>
    <xf numFmtId="0" fontId="40" fillId="0" borderId="0" xfId="0" applyFont="1" applyBorder="1" applyAlignment="1"/>
    <xf numFmtId="0" fontId="34" fillId="0" borderId="0" xfId="0" applyFont="1" applyAlignment="1">
      <alignment horizontal="center"/>
    </xf>
    <xf numFmtId="0" fontId="33" fillId="0" borderId="0" xfId="0" applyNumberFormat="1" applyFont="1" applyFill="1" applyBorder="1" applyAlignment="1" applyProtection="1">
      <alignment horizontal="center" vertical="center"/>
      <protection locked="0"/>
    </xf>
    <xf numFmtId="0" fontId="40" fillId="0" borderId="7" xfId="0" applyNumberFormat="1" applyFont="1" applyFill="1" applyBorder="1" applyAlignment="1" applyProtection="1">
      <alignment horizontal="center" vertical="center" wrapText="1"/>
      <protection locked="0"/>
    </xf>
    <xf numFmtId="0" fontId="24" fillId="0" borderId="21" xfId="0" applyFont="1" applyBorder="1" applyAlignment="1">
      <alignment horizontal="center" vertical="center" wrapText="1"/>
    </xf>
    <xf numFmtId="0" fontId="42" fillId="0" borderId="0" xfId="0" applyFont="1" applyFill="1" applyBorder="1" applyAlignment="1"/>
    <xf numFmtId="0" fontId="48" fillId="0" borderId="0" xfId="0" applyFont="1" applyBorder="1" applyProtection="1"/>
    <xf numFmtId="0" fontId="47" fillId="0" borderId="0" xfId="0" applyFont="1" applyBorder="1" applyProtection="1"/>
    <xf numFmtId="0" fontId="44" fillId="0" borderId="0" xfId="0" applyFont="1" applyBorder="1" applyAlignment="1" applyProtection="1"/>
    <xf numFmtId="0" fontId="47" fillId="0" borderId="0" xfId="0" applyFont="1" applyBorder="1"/>
    <xf numFmtId="0" fontId="40" fillId="0" borderId="18" xfId="0" applyFont="1" applyBorder="1" applyAlignment="1"/>
    <xf numFmtId="0" fontId="40" fillId="0" borderId="19" xfId="0" applyFont="1" applyBorder="1" applyAlignment="1"/>
    <xf numFmtId="0" fontId="34" fillId="0" borderId="0" xfId="0" applyFont="1" applyAlignment="1">
      <alignment horizontal="right"/>
    </xf>
    <xf numFmtId="0" fontId="40" fillId="0" borderId="23" xfId="0" applyFont="1" applyBorder="1" applyAlignment="1">
      <alignment horizontal="left"/>
    </xf>
    <xf numFmtId="0" fontId="42" fillId="0" borderId="7" xfId="0" applyNumberFormat="1" applyFont="1" applyFill="1" applyBorder="1" applyAlignment="1" applyProtection="1">
      <alignment horizontal="center" vertical="center"/>
      <protection locked="0"/>
    </xf>
    <xf numFmtId="0" fontId="40" fillId="0" borderId="17" xfId="0" applyFont="1" applyBorder="1" applyAlignment="1">
      <alignment horizontal="left"/>
    </xf>
    <xf numFmtId="0" fontId="41" fillId="0" borderId="7" xfId="0" applyFont="1" applyBorder="1" applyAlignment="1">
      <alignment horizontal="center" vertical="center" wrapText="1"/>
    </xf>
    <xf numFmtId="0" fontId="40" fillId="18" borderId="22" xfId="0" applyFont="1" applyFill="1" applyBorder="1" applyAlignment="1">
      <alignment horizontal="center" wrapText="1"/>
    </xf>
    <xf numFmtId="0" fontId="50" fillId="0" borderId="0" xfId="0" applyNumberFormat="1" applyFont="1" applyFill="1" applyBorder="1" applyAlignment="1" applyProtection="1">
      <alignment horizontal="left" wrapText="1"/>
      <protection locked="0"/>
    </xf>
    <xf numFmtId="165" fontId="33" fillId="0" borderId="0" xfId="0" applyNumberFormat="1" applyFont="1" applyFill="1" applyBorder="1" applyAlignment="1" applyProtection="1">
      <alignment horizontal="center" vertical="center"/>
      <protection locked="0"/>
    </xf>
    <xf numFmtId="0" fontId="32" fillId="0" borderId="30" xfId="0" applyFont="1" applyBorder="1" applyAlignment="1"/>
    <xf numFmtId="0" fontId="31" fillId="0" borderId="0" xfId="0" applyFont="1" applyAlignment="1">
      <alignment wrapText="1"/>
    </xf>
    <xf numFmtId="0" fontId="31" fillId="0" borderId="16" xfId="0" applyFont="1" applyBorder="1" applyAlignment="1">
      <alignment vertical="top" wrapText="1"/>
    </xf>
    <xf numFmtId="0" fontId="35" fillId="0" borderId="19" xfId="0" applyNumberFormat="1" applyFont="1" applyFill="1" applyBorder="1" applyAlignment="1" applyProtection="1">
      <alignment horizontal="center" vertical="center"/>
      <protection locked="0"/>
    </xf>
    <xf numFmtId="0" fontId="35" fillId="0" borderId="19" xfId="0" applyNumberFormat="1" applyFont="1" applyFill="1" applyBorder="1" applyAlignment="1" applyProtection="1">
      <alignment vertical="center"/>
      <protection locked="0"/>
    </xf>
    <xf numFmtId="0" fontId="33" fillId="0" borderId="28" xfId="0" applyFont="1" applyBorder="1"/>
    <xf numFmtId="165" fontId="33" fillId="0" borderId="7" xfId="0" applyNumberFormat="1" applyFont="1" applyFill="1" applyBorder="1" applyAlignment="1" applyProtection="1">
      <alignment horizontal="center" vertical="center"/>
      <protection locked="0"/>
    </xf>
    <xf numFmtId="0" fontId="30" fillId="0" borderId="0" xfId="0" applyFont="1" applyBorder="1" applyAlignment="1"/>
    <xf numFmtId="3" fontId="0" fillId="0" borderId="7" xfId="0" applyNumberFormat="1" applyBorder="1"/>
    <xf numFmtId="0" fontId="43" fillId="0" borderId="0" xfId="0" applyFont="1" applyFill="1"/>
    <xf numFmtId="0" fontId="40" fillId="0" borderId="7" xfId="0" applyNumberFormat="1" applyFont="1" applyFill="1" applyBorder="1" applyAlignment="1" applyProtection="1">
      <alignment horizontal="center" vertical="center" wrapText="1"/>
      <protection locked="0"/>
    </xf>
    <xf numFmtId="0" fontId="0" fillId="9" borderId="7" xfId="0" applyFont="1" applyFill="1" applyBorder="1" applyAlignment="1">
      <alignment horizontal="center" vertical="center" wrapText="1"/>
    </xf>
    <xf numFmtId="0" fontId="30" fillId="0" borderId="0" xfId="0" applyFont="1" applyAlignment="1"/>
    <xf numFmtId="0" fontId="51" fillId="18" borderId="7" xfId="0" applyFont="1" applyFill="1" applyBorder="1" applyAlignment="1">
      <alignment horizontal="left" textRotation="90"/>
    </xf>
    <xf numFmtId="0" fontId="50" fillId="18" borderId="22" xfId="0" applyFont="1" applyFill="1" applyBorder="1" applyAlignment="1">
      <alignment horizontal="center" textRotation="90"/>
    </xf>
    <xf numFmtId="0" fontId="50" fillId="18" borderId="7" xfId="0" applyFont="1" applyFill="1" applyBorder="1" applyAlignment="1">
      <alignment horizontal="center" textRotation="90"/>
    </xf>
    <xf numFmtId="0" fontId="33" fillId="18" borderId="7" xfId="0" applyFont="1" applyFill="1" applyBorder="1"/>
    <xf numFmtId="0" fontId="42" fillId="0" borderId="7" xfId="0" applyFont="1" applyBorder="1" applyAlignment="1">
      <alignment horizontal="left"/>
    </xf>
    <xf numFmtId="0" fontId="75" fillId="0" borderId="0" xfId="0" applyFont="1"/>
    <xf numFmtId="0" fontId="40" fillId="0" borderId="7" xfId="0" applyNumberFormat="1" applyFont="1" applyFill="1" applyBorder="1" applyAlignment="1" applyProtection="1">
      <alignment horizontal="center" vertical="center" wrapText="1"/>
      <protection locked="0"/>
    </xf>
    <xf numFmtId="0" fontId="24" fillId="0" borderId="7" xfId="0" applyFont="1" applyBorder="1" applyAlignment="1">
      <alignment horizontal="center" vertical="center"/>
    </xf>
    <xf numFmtId="0" fontId="31" fillId="0" borderId="0" xfId="0" applyFont="1" applyAlignment="1"/>
    <xf numFmtId="0" fontId="20" fillId="24" borderId="0" xfId="0" applyFont="1" applyFill="1" applyBorder="1" applyAlignment="1">
      <alignment horizontal="center" vertical="center"/>
    </xf>
    <xf numFmtId="0" fontId="20" fillId="25" borderId="0" xfId="0" applyFont="1" applyFill="1" applyBorder="1" applyAlignment="1">
      <alignment horizontal="center" vertical="center"/>
    </xf>
    <xf numFmtId="0" fontId="58" fillId="2" borderId="7" xfId="0" applyFont="1" applyFill="1" applyBorder="1" applyAlignment="1">
      <alignment horizontal="center" vertical="center"/>
    </xf>
    <xf numFmtId="0" fontId="21" fillId="9" borderId="7" xfId="0" applyFont="1" applyFill="1" applyBorder="1" applyAlignment="1">
      <alignment horizontal="center" vertical="center"/>
    </xf>
    <xf numFmtId="0" fontId="21" fillId="0" borderId="7" xfId="0" applyFont="1" applyFill="1" applyBorder="1" applyAlignment="1">
      <alignment horizontal="center" vertical="center"/>
    </xf>
    <xf numFmtId="0" fontId="20"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0" fillId="0" borderId="7" xfId="0" applyFill="1" applyBorder="1" applyAlignment="1">
      <alignment horizontal="center" vertical="center"/>
    </xf>
    <xf numFmtId="0" fontId="24" fillId="0" borderId="7" xfId="0" applyFont="1" applyFill="1" applyBorder="1" applyAlignment="1">
      <alignment horizontal="center" vertical="center"/>
    </xf>
    <xf numFmtId="0" fontId="24" fillId="0" borderId="7" xfId="0" quotePrefix="1" applyFont="1" applyFill="1" applyBorder="1" applyAlignment="1">
      <alignment horizontal="center" vertical="center" wrapText="1"/>
    </xf>
    <xf numFmtId="164" fontId="23" fillId="0" borderId="7" xfId="0" quotePrefix="1" applyNumberFormat="1" applyFont="1" applyFill="1" applyBorder="1" applyAlignment="1">
      <alignment horizontal="center" vertical="center"/>
    </xf>
    <xf numFmtId="0" fontId="20" fillId="0" borderId="7" xfId="0" quotePrefix="1" applyFont="1" applyFill="1" applyBorder="1" applyAlignment="1">
      <alignment horizontal="center" vertical="center" textRotation="90"/>
    </xf>
    <xf numFmtId="0" fontId="20" fillId="0" borderId="7" xfId="0" applyNumberFormat="1" applyFont="1" applyFill="1" applyBorder="1" applyAlignment="1">
      <alignment horizontal="center" vertical="center"/>
    </xf>
    <xf numFmtId="0" fontId="22" fillId="0" borderId="7" xfId="0" applyFont="1" applyFill="1" applyBorder="1" applyAlignment="1">
      <alignment horizontal="center" vertical="center" wrapText="1"/>
    </xf>
    <xf numFmtId="0" fontId="0" fillId="0" borderId="0" xfId="0" applyFont="1" applyFill="1" applyBorder="1"/>
    <xf numFmtId="0" fontId="24" fillId="0" borderId="7" xfId="0" quotePrefix="1" applyFont="1" applyFill="1" applyBorder="1" applyAlignment="1">
      <alignment horizontal="center" vertical="center" textRotation="90" wrapText="1"/>
    </xf>
    <xf numFmtId="0" fontId="0" fillId="0" borderId="0" xfId="0" applyFill="1" applyBorder="1" applyAlignment="1">
      <alignment wrapText="1"/>
    </xf>
    <xf numFmtId="0" fontId="21" fillId="0" borderId="0" xfId="0" applyFont="1" applyFill="1" applyBorder="1" applyAlignment="1">
      <alignment horizontal="center" vertical="center" wrapText="1"/>
    </xf>
    <xf numFmtId="0" fontId="23" fillId="0" borderId="0" xfId="0" quotePrefix="1" applyFont="1" applyFill="1" applyBorder="1" applyAlignment="1">
      <alignment horizontal="center" vertical="center" textRotation="90"/>
    </xf>
    <xf numFmtId="0" fontId="20"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0" fontId="23" fillId="0" borderId="0" xfId="0" applyFont="1" applyFill="1" applyBorder="1" applyAlignment="1">
      <alignment horizontal="center" vertical="center" textRotation="90"/>
    </xf>
    <xf numFmtId="0" fontId="54" fillId="0" borderId="0" xfId="0" applyFont="1" applyFill="1" applyBorder="1" applyAlignment="1">
      <alignment horizontal="center" vertical="center"/>
    </xf>
    <xf numFmtId="0" fontId="19" fillId="9" borderId="7"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56" fillId="9" borderId="7" xfId="0" applyFont="1" applyFill="1" applyBorder="1" applyAlignment="1">
      <alignment horizontal="center" vertical="center"/>
    </xf>
    <xf numFmtId="0" fontId="21" fillId="9" borderId="7" xfId="0" applyFont="1" applyFill="1" applyBorder="1" applyAlignment="1">
      <alignment horizontal="center" vertical="center" textRotation="90"/>
    </xf>
    <xf numFmtId="49" fontId="21" fillId="9" borderId="7" xfId="0" applyNumberFormat="1" applyFont="1" applyFill="1" applyBorder="1" applyAlignment="1">
      <alignment horizontal="center" vertical="center"/>
    </xf>
    <xf numFmtId="0" fontId="56" fillId="9" borderId="7" xfId="0" applyFont="1" applyFill="1" applyBorder="1" applyAlignment="1">
      <alignment horizontal="center" vertical="center" wrapText="1"/>
    </xf>
    <xf numFmtId="0" fontId="56" fillId="9" borderId="7" xfId="0" applyFont="1" applyFill="1" applyBorder="1" applyAlignment="1">
      <alignment horizontal="center" vertical="center" textRotation="90" shrinkToFit="1"/>
    </xf>
    <xf numFmtId="0" fontId="0" fillId="9" borderId="0" xfId="0" applyFill="1" applyBorder="1" applyAlignment="1">
      <alignment horizontal="center" vertical="center"/>
    </xf>
    <xf numFmtId="0" fontId="76" fillId="0" borderId="7" xfId="0" applyFont="1" applyFill="1" applyBorder="1" applyAlignment="1">
      <alignment horizontal="center" vertical="center"/>
    </xf>
    <xf numFmtId="0" fontId="76" fillId="0" borderId="0" xfId="0" applyFont="1" applyFill="1" applyAlignment="1">
      <alignment horizontal="center" vertical="center"/>
    </xf>
    <xf numFmtId="0" fontId="24" fillId="0" borderId="7" xfId="0" quotePrefix="1" applyFont="1" applyFill="1" applyBorder="1" applyAlignment="1">
      <alignment horizontal="center" vertical="center" textRotation="90"/>
    </xf>
    <xf numFmtId="0" fontId="51" fillId="0" borderId="23" xfId="0" applyFont="1" applyBorder="1" applyAlignment="1">
      <alignment horizontal="center" wrapText="1"/>
    </xf>
    <xf numFmtId="0" fontId="40" fillId="0" borderId="7" xfId="0" applyFont="1" applyBorder="1" applyAlignment="1">
      <alignment horizontal="center" vertical="center" wrapText="1"/>
    </xf>
    <xf numFmtId="49" fontId="6" fillId="0" borderId="0" xfId="1" applyNumberFormat="1" applyFont="1"/>
    <xf numFmtId="0" fontId="25" fillId="0" borderId="0" xfId="1" applyNumberFormat="1" applyFont="1"/>
    <xf numFmtId="0" fontId="6" fillId="0" borderId="0" xfId="1" applyNumberFormat="1" applyFont="1"/>
    <xf numFmtId="0" fontId="38" fillId="9" borderId="0" xfId="0" applyNumberFormat="1" applyFont="1" applyFill="1"/>
    <xf numFmtId="0" fontId="11" fillId="0" borderId="0" xfId="1" applyNumberFormat="1" applyFont="1"/>
    <xf numFmtId="0" fontId="17" fillId="0" borderId="0" xfId="1" applyNumberFormat="1" applyFont="1"/>
    <xf numFmtId="0" fontId="12" fillId="0" borderId="0" xfId="1" applyNumberFormat="1" applyFont="1"/>
    <xf numFmtId="0" fontId="10" fillId="0" borderId="0" xfId="1" applyNumberFormat="1" applyFont="1"/>
    <xf numFmtId="0" fontId="8" fillId="0" borderId="0" xfId="1" applyNumberFormat="1" applyFont="1"/>
    <xf numFmtId="0" fontId="15" fillId="0" borderId="0" xfId="1" applyNumberFormat="1" applyFont="1"/>
    <xf numFmtId="0" fontId="14" fillId="0" borderId="0" xfId="1" applyNumberFormat="1" applyFont="1"/>
    <xf numFmtId="0" fontId="7" fillId="0" borderId="0" xfId="1" applyNumberFormat="1" applyFont="1"/>
    <xf numFmtId="0" fontId="9" fillId="0" borderId="0" xfId="1" applyNumberFormat="1" applyFont="1"/>
    <xf numFmtId="0" fontId="16" fillId="0" borderId="0" xfId="1" applyNumberFormat="1" applyFont="1"/>
    <xf numFmtId="0" fontId="39" fillId="0" borderId="0" xfId="0" applyNumberFormat="1" applyFont="1"/>
    <xf numFmtId="0" fontId="61" fillId="0" borderId="0" xfId="1" applyNumberFormat="1" applyFont="1" applyAlignment="1">
      <alignment horizontal="left" vertical="center" wrapText="1"/>
    </xf>
    <xf numFmtId="0" fontId="0" fillId="23" borderId="15" xfId="0" applyNumberFormat="1" applyFill="1" applyBorder="1" applyAlignment="1"/>
    <xf numFmtId="0" fontId="0" fillId="0" borderId="30" xfId="0" applyNumberFormat="1" applyBorder="1"/>
    <xf numFmtId="0" fontId="0" fillId="0" borderId="18" xfId="0" applyNumberFormat="1" applyBorder="1"/>
    <xf numFmtId="0" fontId="0" fillId="0" borderId="0" xfId="0" applyNumberFormat="1"/>
    <xf numFmtId="0" fontId="61" fillId="0" borderId="30" xfId="1" applyNumberFormat="1" applyFont="1" applyBorder="1" applyAlignment="1">
      <alignment horizontal="left" vertical="center" wrapText="1"/>
    </xf>
    <xf numFmtId="0" fontId="61" fillId="0" borderId="0" xfId="1" applyNumberFormat="1" applyFont="1" applyBorder="1" applyAlignment="1">
      <alignment horizontal="left" vertical="center" wrapText="1"/>
    </xf>
    <xf numFmtId="0" fontId="61" fillId="0" borderId="30" xfId="1" applyNumberFormat="1" applyFont="1" applyBorder="1"/>
    <xf numFmtId="0" fontId="61" fillId="0" borderId="18" xfId="1" applyNumberFormat="1" applyFont="1" applyBorder="1"/>
    <xf numFmtId="0" fontId="5" fillId="0" borderId="0" xfId="1" applyNumberFormat="1" applyFont="1"/>
    <xf numFmtId="0" fontId="4" fillId="0" borderId="0" xfId="1" applyNumberFormat="1" applyFont="1"/>
    <xf numFmtId="0" fontId="66" fillId="0" borderId="7" xfId="0" applyFont="1" applyFill="1" applyBorder="1" applyAlignment="1">
      <alignment horizontal="center" vertical="center"/>
    </xf>
    <xf numFmtId="0" fontId="20" fillId="10" borderId="0" xfId="0" applyFont="1" applyFill="1" applyAlignment="1">
      <alignment horizontal="center" vertical="center" wrapText="1"/>
    </xf>
    <xf numFmtId="0" fontId="20" fillId="11" borderId="0" xfId="0" applyFont="1" applyFill="1" applyAlignment="1">
      <alignment horizontal="center" vertical="center" wrapText="1"/>
    </xf>
    <xf numFmtId="0" fontId="20" fillId="12" borderId="0" xfId="0" applyFont="1" applyFill="1" applyAlignment="1">
      <alignment horizontal="center" vertical="center" wrapText="1"/>
    </xf>
    <xf numFmtId="0" fontId="20" fillId="14" borderId="0" xfId="0" applyFont="1" applyFill="1" applyAlignment="1">
      <alignment horizontal="center" vertical="center" wrapText="1"/>
    </xf>
    <xf numFmtId="0" fontId="20" fillId="13" borderId="0" xfId="0" applyFont="1" applyFill="1" applyAlignment="1">
      <alignment horizontal="center" vertical="center" wrapText="1"/>
    </xf>
    <xf numFmtId="0" fontId="3" fillId="0" borderId="0" xfId="1" applyNumberFormat="1" applyFont="1"/>
    <xf numFmtId="0" fontId="29" fillId="0" borderId="12" xfId="0" applyFont="1" applyBorder="1" applyAlignment="1">
      <alignment horizontal="left"/>
    </xf>
    <xf numFmtId="0" fontId="53" fillId="18" borderId="7" xfId="0" applyFont="1" applyFill="1" applyBorder="1" applyAlignment="1">
      <alignment horizontal="center" vertical="center"/>
    </xf>
    <xf numFmtId="0" fontId="19" fillId="9" borderId="30" xfId="0" applyFont="1" applyFill="1" applyBorder="1"/>
    <xf numFmtId="0" fontId="19" fillId="9" borderId="28" xfId="0" applyFont="1" applyFill="1" applyBorder="1"/>
    <xf numFmtId="0" fontId="0" fillId="0" borderId="15" xfId="0" applyBorder="1"/>
    <xf numFmtId="0" fontId="0" fillId="0" borderId="0" xfId="0" quotePrefix="1" applyBorder="1"/>
    <xf numFmtId="0" fontId="0" fillId="0" borderId="18" xfId="0" applyBorder="1"/>
    <xf numFmtId="0" fontId="29" fillId="0" borderId="0" xfId="0" applyFont="1" applyBorder="1" applyAlignment="1">
      <alignment horizontal="left"/>
    </xf>
    <xf numFmtId="0" fontId="78" fillId="0" borderId="7" xfId="2" applyFill="1" applyBorder="1" applyAlignment="1">
      <alignment horizontal="center" vertical="center" wrapText="1"/>
    </xf>
    <xf numFmtId="0" fontId="20" fillId="0" borderId="0" xfId="0" quotePrefix="1" applyFont="1" applyAlignment="1">
      <alignment horizontal="center" vertical="center"/>
    </xf>
    <xf numFmtId="0" fontId="56" fillId="9" borderId="21" xfId="0" applyFont="1" applyFill="1" applyBorder="1" applyAlignment="1">
      <alignment horizontal="center" vertical="center" textRotation="90"/>
    </xf>
    <xf numFmtId="0" fontId="0" fillId="0" borderId="21" xfId="0" applyFont="1" applyBorder="1" applyAlignment="1">
      <alignment horizontal="center" vertical="center"/>
    </xf>
    <xf numFmtId="0" fontId="21" fillId="9" borderId="20" xfId="0" applyFont="1" applyFill="1" applyBorder="1" applyAlignment="1">
      <alignment vertical="center"/>
    </xf>
    <xf numFmtId="0" fontId="79" fillId="0" borderId="0" xfId="0" applyFont="1" applyAlignment="1">
      <alignment horizontal="center" vertical="center"/>
    </xf>
    <xf numFmtId="0" fontId="20" fillId="0" borderId="0" xfId="0" applyFont="1" applyFill="1" applyAlignment="1">
      <alignment horizontal="center" vertical="center"/>
    </xf>
    <xf numFmtId="0" fontId="61" fillId="0" borderId="0" xfId="1" applyNumberFormat="1" applyFont="1" applyFill="1" applyAlignment="1">
      <alignment horizontal="center" vertical="center"/>
    </xf>
    <xf numFmtId="49" fontId="61" fillId="0" borderId="0" xfId="1" quotePrefix="1" applyNumberFormat="1" applyFont="1" applyFill="1" applyAlignment="1">
      <alignment horizontal="center" vertical="center" wrapText="1"/>
    </xf>
    <xf numFmtId="0" fontId="0" fillId="23" borderId="15" xfId="0" applyFill="1" applyBorder="1" applyAlignment="1"/>
    <xf numFmtId="1" fontId="20" fillId="0" borderId="30" xfId="0" applyNumberFormat="1" applyFont="1" applyBorder="1" applyAlignment="1" applyProtection="1">
      <alignment horizontal="left"/>
      <protection locked="0"/>
    </xf>
    <xf numFmtId="1" fontId="22" fillId="0" borderId="30" xfId="0" applyNumberFormat="1" applyFont="1" applyBorder="1" applyAlignment="1" applyProtection="1">
      <alignment horizontal="left"/>
      <protection locked="0"/>
    </xf>
    <xf numFmtId="1" fontId="20" fillId="0" borderId="18" xfId="0" applyNumberFormat="1" applyFont="1" applyBorder="1" applyAlignment="1" applyProtection="1">
      <alignment horizontal="left"/>
      <protection locked="0"/>
    </xf>
    <xf numFmtId="0" fontId="0" fillId="19" borderId="0" xfId="0" applyFill="1"/>
    <xf numFmtId="0" fontId="50" fillId="0" borderId="7" xfId="0" applyNumberFormat="1" applyFont="1" applyFill="1" applyBorder="1" applyAlignment="1" applyProtection="1">
      <alignment horizontal="center" vertical="center" wrapText="1"/>
      <protection locked="0"/>
    </xf>
    <xf numFmtId="0" fontId="40" fillId="18" borderId="23" xfId="0" applyFont="1" applyFill="1" applyBorder="1" applyAlignment="1">
      <alignment horizontal="center"/>
    </xf>
    <xf numFmtId="0" fontId="29" fillId="0" borderId="21" xfId="0" applyFont="1" applyBorder="1" applyAlignment="1">
      <alignment horizontal="center"/>
    </xf>
    <xf numFmtId="0" fontId="29" fillId="0" borderId="17" xfId="0" applyFont="1" applyBorder="1" applyAlignment="1">
      <alignment vertical="center"/>
    </xf>
    <xf numFmtId="0" fontId="29" fillId="0" borderId="26" xfId="0" applyFont="1" applyBorder="1" applyAlignment="1"/>
    <xf numFmtId="0" fontId="29" fillId="0" borderId="28" xfId="0" applyFont="1" applyBorder="1"/>
    <xf numFmtId="0" fontId="29" fillId="0" borderId="19" xfId="0" applyFont="1" applyBorder="1"/>
    <xf numFmtId="0" fontId="29" fillId="0" borderId="20" xfId="0" applyFont="1" applyBorder="1"/>
    <xf numFmtId="0" fontId="34" fillId="18" borderId="21" xfId="0" applyFont="1" applyFill="1" applyBorder="1" applyAlignment="1">
      <alignment horizontal="left"/>
    </xf>
    <xf numFmtId="0" fontId="34" fillId="18" borderId="22" xfId="0" applyFont="1" applyFill="1" applyBorder="1" applyAlignment="1">
      <alignment horizontal="left"/>
    </xf>
    <xf numFmtId="0" fontId="34" fillId="18" borderId="23" xfId="0" applyFont="1" applyFill="1" applyBorder="1" applyAlignment="1">
      <alignment horizontal="left"/>
    </xf>
    <xf numFmtId="0" fontId="31" fillId="0" borderId="0" xfId="0" applyFont="1" applyBorder="1" applyAlignment="1">
      <alignment horizontal="left"/>
    </xf>
    <xf numFmtId="0" fontId="29" fillId="0" borderId="18" xfId="0" applyFont="1" applyBorder="1"/>
    <xf numFmtId="0" fontId="37" fillId="0" borderId="0" xfId="0" applyFont="1" applyBorder="1"/>
    <xf numFmtId="0" fontId="40" fillId="0" borderId="21" xfId="0" applyNumberFormat="1" applyFont="1" applyFill="1" applyBorder="1" applyAlignment="1" applyProtection="1">
      <alignment horizontal="center"/>
      <protection locked="0"/>
    </xf>
    <xf numFmtId="0" fontId="50" fillId="0" borderId="7" xfId="0" applyFont="1" applyBorder="1" applyAlignment="1">
      <alignment horizontal="center" vertical="center" wrapText="1"/>
    </xf>
    <xf numFmtId="0" fontId="35" fillId="0" borderId="0" xfId="0" applyFont="1" applyBorder="1" applyAlignment="1">
      <alignment horizontal="center"/>
    </xf>
    <xf numFmtId="0" fontId="19" fillId="9" borderId="0" xfId="0" applyFont="1" applyFill="1" applyAlignment="1">
      <alignment horizontal="center" vertical="center"/>
    </xf>
    <xf numFmtId="0" fontId="29" fillId="0" borderId="0" xfId="0" applyFont="1" applyBorder="1" applyAlignment="1"/>
    <xf numFmtId="1" fontId="60" fillId="0" borderId="0" xfId="0" quotePrefix="1" applyNumberFormat="1" applyFont="1"/>
    <xf numFmtId="0" fontId="23" fillId="0" borderId="0" xfId="0" applyFont="1" applyFill="1" applyAlignment="1">
      <alignment horizontal="left" vertical="center" wrapText="1"/>
    </xf>
    <xf numFmtId="0" fontId="19" fillId="9" borderId="28" xfId="0" applyFont="1" applyFill="1" applyBorder="1" applyAlignment="1">
      <alignment horizontal="center" vertical="center"/>
    </xf>
    <xf numFmtId="0" fontId="0" fillId="0" borderId="28" xfId="0" applyBorder="1" applyAlignment="1">
      <alignment horizontal="center" vertical="center"/>
    </xf>
    <xf numFmtId="0" fontId="19" fillId="9" borderId="30" xfId="0" applyFont="1" applyFill="1" applyBorder="1" applyAlignment="1">
      <alignment horizontal="center" vertical="center"/>
    </xf>
    <xf numFmtId="0" fontId="0" fillId="0" borderId="30" xfId="0" applyBorder="1" applyAlignment="1">
      <alignment horizontal="center" vertical="center"/>
    </xf>
    <xf numFmtId="0" fontId="82" fillId="0" borderId="59" xfId="0" quotePrefix="1" applyFont="1" applyBorder="1" applyAlignment="1">
      <alignment horizontal="center" vertical="center" wrapText="1"/>
    </xf>
    <xf numFmtId="1" fontId="60" fillId="0" borderId="0" xfId="0" applyNumberFormat="1" applyFont="1" applyAlignment="1">
      <alignment textRotation="90"/>
    </xf>
    <xf numFmtId="0" fontId="60" fillId="0" borderId="0" xfId="0" applyFont="1" applyBorder="1" applyAlignment="1">
      <alignment vertical="center"/>
    </xf>
    <xf numFmtId="0" fontId="21" fillId="9" borderId="0" xfId="0" applyFont="1" applyFill="1" applyBorder="1" applyAlignment="1">
      <alignment wrapText="1"/>
    </xf>
    <xf numFmtId="0" fontId="20" fillId="0" borderId="0" xfId="0" applyFont="1" applyAlignment="1">
      <alignment horizontal="left" wrapText="1"/>
    </xf>
    <xf numFmtId="0" fontId="2" fillId="0" borderId="0" xfId="1" applyNumberFormat="1" applyFont="1"/>
    <xf numFmtId="0" fontId="23" fillId="0" borderId="0" xfId="0" quotePrefix="1" applyFont="1" applyFill="1" applyAlignment="1">
      <alignment horizontal="left" vertical="center" wrapText="1"/>
    </xf>
    <xf numFmtId="0" fontId="23" fillId="0" borderId="0" xfId="0" applyFont="1" applyFill="1" applyAlignment="1">
      <alignment vertical="center" wrapText="1"/>
    </xf>
    <xf numFmtId="0" fontId="24" fillId="0" borderId="0" xfId="0" applyFont="1" applyFill="1" applyAlignment="1">
      <alignment horizontal="left" vertical="center" wrapText="1"/>
    </xf>
    <xf numFmtId="0" fontId="24" fillId="17" borderId="0" xfId="0" applyFont="1" applyFill="1" applyAlignment="1">
      <alignment horizontal="left" vertical="center" wrapText="1"/>
    </xf>
    <xf numFmtId="0" fontId="24" fillId="0" borderId="0" xfId="0" applyNumberFormat="1" applyFont="1" applyAlignment="1">
      <alignment horizontal="left" vertical="center" wrapText="1"/>
    </xf>
    <xf numFmtId="0" fontId="19" fillId="9" borderId="0" xfId="0" applyNumberFormat="1" applyFont="1" applyFill="1" applyAlignment="1">
      <alignment horizontal="center" vertical="center" wrapText="1"/>
    </xf>
    <xf numFmtId="0" fontId="64" fillId="0" borderId="0" xfId="0" applyFont="1"/>
    <xf numFmtId="0" fontId="83" fillId="0" borderId="0" xfId="0" applyFont="1"/>
    <xf numFmtId="49" fontId="84" fillId="0" borderId="0" xfId="1" applyNumberFormat="1" applyFont="1" applyAlignment="1">
      <alignment horizontal="left" vertical="center" wrapText="1"/>
    </xf>
    <xf numFmtId="0" fontId="1" fillId="0" borderId="0" xfId="1" applyNumberFormat="1" applyFont="1"/>
    <xf numFmtId="0" fontId="19" fillId="9" borderId="0" xfId="0" applyFont="1" applyFill="1" applyBorder="1"/>
    <xf numFmtId="0" fontId="0" fillId="0" borderId="0" xfId="0" applyFont="1" applyBorder="1"/>
    <xf numFmtId="0" fontId="20" fillId="0" borderId="28" xfId="0" applyFont="1" applyBorder="1"/>
    <xf numFmtId="0" fontId="20" fillId="0" borderId="28" xfId="0" applyFont="1" applyFill="1" applyBorder="1"/>
    <xf numFmtId="0" fontId="0" fillId="9" borderId="28" xfId="0" applyFont="1" applyFill="1" applyBorder="1" applyAlignment="1">
      <alignment horizontal="center" vertical="center"/>
    </xf>
    <xf numFmtId="0" fontId="82" fillId="0" borderId="57" xfId="0" quotePrefix="1" applyFont="1" applyBorder="1" applyAlignment="1">
      <alignment horizontal="center" vertical="center" wrapText="1"/>
    </xf>
    <xf numFmtId="0" fontId="82" fillId="0" borderId="55" xfId="0" applyFont="1" applyBorder="1" applyAlignment="1">
      <alignment horizontal="center" vertical="center" wrapText="1"/>
    </xf>
    <xf numFmtId="0" fontId="40" fillId="0" borderId="27" xfId="0" applyNumberFormat="1" applyFont="1" applyFill="1" applyBorder="1" applyAlignment="1" applyProtection="1">
      <alignment horizontal="center"/>
      <protection locked="0"/>
    </xf>
    <xf numFmtId="0" fontId="40" fillId="0" borderId="26" xfId="0" applyNumberFormat="1" applyFont="1" applyFill="1" applyBorder="1" applyAlignment="1" applyProtection="1">
      <alignment horizontal="center"/>
      <protection locked="0"/>
    </xf>
    <xf numFmtId="0" fontId="42" fillId="0" borderId="21" xfId="0" applyFont="1" applyBorder="1" applyAlignment="1">
      <alignment horizontal="center"/>
    </xf>
    <xf numFmtId="0" fontId="42" fillId="0" borderId="22" xfId="0" applyFont="1" applyBorder="1" applyAlignment="1">
      <alignment horizontal="center"/>
    </xf>
    <xf numFmtId="0" fontId="42" fillId="0" borderId="23" xfId="0" applyFont="1" applyBorder="1" applyAlignment="1">
      <alignment horizontal="center"/>
    </xf>
    <xf numFmtId="0" fontId="40" fillId="18" borderId="15" xfId="0" applyFont="1" applyFill="1" applyBorder="1" applyAlignment="1">
      <alignment horizontal="center" vertical="center" wrapText="1"/>
    </xf>
    <xf numFmtId="0" fontId="40" fillId="18" borderId="16" xfId="0" applyFont="1" applyFill="1" applyBorder="1" applyAlignment="1">
      <alignment horizontal="center" vertical="center" wrapText="1"/>
    </xf>
    <xf numFmtId="0" fontId="40" fillId="18" borderId="17" xfId="0" applyFont="1" applyFill="1" applyBorder="1" applyAlignment="1">
      <alignment horizontal="center" vertical="center" wrapText="1"/>
    </xf>
    <xf numFmtId="0" fontId="40" fillId="18" borderId="18" xfId="0" applyFont="1" applyFill="1" applyBorder="1" applyAlignment="1">
      <alignment horizontal="center" vertical="center" wrapText="1"/>
    </xf>
    <xf numFmtId="0" fontId="40" fillId="18" borderId="19" xfId="0" applyFont="1" applyFill="1" applyBorder="1" applyAlignment="1">
      <alignment horizontal="center" vertical="center" wrapText="1"/>
    </xf>
    <xf numFmtId="0" fontId="40" fillId="18" borderId="20" xfId="0" applyFont="1" applyFill="1" applyBorder="1" applyAlignment="1">
      <alignment horizontal="center" vertical="center" wrapText="1"/>
    </xf>
    <xf numFmtId="0" fontId="29" fillId="0" borderId="27" xfId="0" applyFont="1" applyBorder="1" applyAlignment="1">
      <alignment horizontal="center" vertical="center"/>
    </xf>
    <xf numFmtId="0" fontId="29" fillId="0" borderId="26" xfId="0" applyFont="1" applyBorder="1" applyAlignment="1">
      <alignment horizontal="center" vertical="center"/>
    </xf>
    <xf numFmtId="0" fontId="29" fillId="0" borderId="21" xfId="0" applyFont="1" applyBorder="1" applyAlignment="1">
      <alignment horizontal="center" vertical="center"/>
    </xf>
    <xf numFmtId="0" fontId="29" fillId="0" borderId="23" xfId="0" applyFont="1" applyBorder="1" applyAlignment="1">
      <alignment horizontal="center" vertical="center"/>
    </xf>
    <xf numFmtId="0" fontId="29" fillId="0" borderId="15"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left"/>
    </xf>
    <xf numFmtId="0" fontId="29" fillId="0" borderId="22" xfId="0" applyFont="1" applyBorder="1" applyAlignment="1">
      <alignment horizontal="left"/>
    </xf>
    <xf numFmtId="0" fontId="29" fillId="0" borderId="23" xfId="0" applyFont="1" applyBorder="1" applyAlignment="1">
      <alignment horizontal="left"/>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29" fillId="0" borderId="17" xfId="0" applyFont="1" applyBorder="1" applyAlignment="1">
      <alignment horizontal="left" vertical="center" wrapText="1"/>
    </xf>
    <xf numFmtId="0" fontId="29" fillId="0" borderId="18" xfId="0" applyFont="1" applyBorder="1" applyAlignment="1">
      <alignment horizontal="left" vertical="center" wrapText="1"/>
    </xf>
    <xf numFmtId="0" fontId="29" fillId="0" borderId="19" xfId="0" applyFont="1" applyBorder="1" applyAlignment="1">
      <alignment horizontal="left" vertical="center" wrapText="1"/>
    </xf>
    <xf numFmtId="0" fontId="29" fillId="0" borderId="20" xfId="0" applyFont="1" applyBorder="1" applyAlignment="1">
      <alignment horizontal="left" vertical="center" wrapText="1"/>
    </xf>
    <xf numFmtId="0" fontId="31" fillId="0" borderId="7" xfId="0" applyFont="1" applyBorder="1" applyAlignment="1">
      <alignment horizontal="center" vertical="center" wrapText="1"/>
    </xf>
    <xf numFmtId="0" fontId="40" fillId="0" borderId="60" xfId="0" applyNumberFormat="1" applyFont="1" applyFill="1" applyBorder="1" applyAlignment="1" applyProtection="1">
      <alignment horizontal="center"/>
      <protection locked="0"/>
    </xf>
    <xf numFmtId="0" fontId="40" fillId="0" borderId="61" xfId="0" applyNumberFormat="1" applyFont="1" applyFill="1" applyBorder="1" applyAlignment="1" applyProtection="1">
      <alignment horizontal="center"/>
      <protection locked="0"/>
    </xf>
    <xf numFmtId="0" fontId="40" fillId="0" borderId="21" xfId="0" applyNumberFormat="1" applyFont="1" applyFill="1" applyBorder="1" applyAlignment="1" applyProtection="1">
      <alignment horizontal="center"/>
      <protection locked="0"/>
    </xf>
    <xf numFmtId="0" fontId="40" fillId="0" borderId="23" xfId="0" applyNumberFormat="1" applyFont="1" applyFill="1" applyBorder="1" applyAlignment="1" applyProtection="1">
      <alignment horizontal="center"/>
      <protection locked="0"/>
    </xf>
    <xf numFmtId="0" fontId="40" fillId="0" borderId="15"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protection locked="0"/>
    </xf>
    <xf numFmtId="0" fontId="40" fillId="0" borderId="18" xfId="0" applyNumberFormat="1" applyFont="1" applyFill="1" applyBorder="1" applyAlignment="1" applyProtection="1">
      <alignment horizontal="center" vertical="center"/>
      <protection locked="0"/>
    </xf>
    <xf numFmtId="0" fontId="40" fillId="0" borderId="20" xfId="0" applyNumberFormat="1" applyFont="1" applyFill="1" applyBorder="1" applyAlignment="1" applyProtection="1">
      <alignment horizontal="center" vertical="center"/>
      <protection locked="0"/>
    </xf>
    <xf numFmtId="0" fontId="80" fillId="0" borderId="55" xfId="0" applyFont="1" applyBorder="1" applyAlignment="1">
      <alignment horizontal="center" vertical="center" wrapText="1"/>
    </xf>
    <xf numFmtId="0" fontId="80" fillId="0" borderId="56" xfId="0" applyFont="1" applyBorder="1" applyAlignment="1">
      <alignment horizontal="center" vertical="center" wrapText="1"/>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51" fillId="0" borderId="21" xfId="0" applyFont="1" applyBorder="1" applyAlignment="1">
      <alignment horizontal="center" wrapText="1"/>
    </xf>
    <xf numFmtId="0" fontId="51" fillId="0" borderId="22" xfId="0" applyFont="1" applyBorder="1" applyAlignment="1">
      <alignment horizontal="center" wrapText="1"/>
    </xf>
    <xf numFmtId="0" fontId="29" fillId="0" borderId="27" xfId="0" applyNumberFormat="1" applyFont="1" applyFill="1" applyBorder="1" applyAlignment="1" applyProtection="1">
      <alignment horizontal="center"/>
      <protection locked="0"/>
    </xf>
    <xf numFmtId="0" fontId="51" fillId="0" borderId="23" xfId="0" applyFont="1" applyBorder="1" applyAlignment="1">
      <alignment horizontal="center" wrapText="1"/>
    </xf>
    <xf numFmtId="0" fontId="52" fillId="0" borderId="0" xfId="0" applyFont="1" applyBorder="1" applyAlignment="1">
      <alignment horizontal="center"/>
    </xf>
    <xf numFmtId="0" fontId="42" fillId="0" borderId="0" xfId="0" applyNumberFormat="1" applyFont="1" applyFill="1" applyBorder="1" applyAlignment="1" applyProtection="1">
      <alignment horizontal="center"/>
      <protection locked="0"/>
    </xf>
    <xf numFmtId="0" fontId="33" fillId="0" borderId="0" xfId="0" applyNumberFormat="1" applyFont="1" applyFill="1" applyBorder="1" applyAlignment="1" applyProtection="1">
      <alignment horizontal="left"/>
      <protection locked="0"/>
    </xf>
    <xf numFmtId="0" fontId="33" fillId="0" borderId="0" xfId="0" applyFont="1" applyAlignment="1">
      <alignment horizontal="center"/>
    </xf>
    <xf numFmtId="0" fontId="33" fillId="0" borderId="0" xfId="0" applyFont="1" applyAlignment="1">
      <alignment horizontal="right"/>
    </xf>
    <xf numFmtId="0" fontId="42" fillId="0" borderId="0" xfId="0" applyFont="1" applyAlignment="1">
      <alignment horizontal="left"/>
    </xf>
    <xf numFmtId="0" fontId="33" fillId="0" borderId="25" xfId="0" applyNumberFormat="1" applyFont="1" applyFill="1" applyBorder="1" applyAlignment="1" applyProtection="1">
      <alignment horizontal="center" vertical="center"/>
      <protection locked="0"/>
    </xf>
    <xf numFmtId="0" fontId="50" fillId="0" borderId="21" xfId="0" applyNumberFormat="1" applyFont="1" applyFill="1" applyBorder="1" applyAlignment="1" applyProtection="1">
      <alignment horizontal="left"/>
      <protection locked="0"/>
    </xf>
    <xf numFmtId="0" fontId="50" fillId="0" borderId="22" xfId="0" applyNumberFormat="1" applyFont="1" applyFill="1" applyBorder="1" applyAlignment="1" applyProtection="1">
      <alignment horizontal="left"/>
      <protection locked="0"/>
    </xf>
    <xf numFmtId="0" fontId="50" fillId="0" borderId="23" xfId="0" applyNumberFormat="1" applyFont="1" applyFill="1" applyBorder="1" applyAlignment="1" applyProtection="1">
      <alignment horizontal="left"/>
      <protection locked="0"/>
    </xf>
    <xf numFmtId="0" fontId="31" fillId="0" borderId="21" xfId="0" applyFont="1" applyBorder="1" applyAlignment="1">
      <alignment horizontal="right"/>
    </xf>
    <xf numFmtId="0" fontId="31" fillId="0" borderId="22" xfId="0" applyFont="1" applyBorder="1" applyAlignment="1">
      <alignment horizontal="right"/>
    </xf>
    <xf numFmtId="0" fontId="41" fillId="0" borderId="7" xfId="0" applyFont="1" applyBorder="1" applyAlignment="1">
      <alignment horizontal="center" vertical="center" wrapText="1"/>
    </xf>
    <xf numFmtId="0" fontId="42" fillId="18" borderId="7" xfId="0" applyFont="1" applyFill="1" applyBorder="1" applyAlignment="1">
      <alignment horizontal="center"/>
    </xf>
    <xf numFmtId="0" fontId="42" fillId="0" borderId="0" xfId="0" applyFont="1" applyAlignment="1">
      <alignment horizontal="center"/>
    </xf>
    <xf numFmtId="0" fontId="40" fillId="0" borderId="0" xfId="0" applyFont="1" applyAlignment="1">
      <alignment horizontal="center"/>
    </xf>
    <xf numFmtId="0" fontId="33" fillId="0" borderId="0" xfId="0" applyFont="1" applyAlignment="1">
      <alignment horizontal="left"/>
    </xf>
    <xf numFmtId="165" fontId="40" fillId="0" borderId="0" xfId="0" applyNumberFormat="1" applyFont="1" applyFill="1" applyBorder="1" applyAlignment="1" applyProtection="1">
      <alignment horizontal="center" vertical="center"/>
      <protection locked="0"/>
    </xf>
    <xf numFmtId="165" fontId="40" fillId="0" borderId="28" xfId="0" applyNumberFormat="1" applyFont="1" applyFill="1" applyBorder="1" applyAlignment="1" applyProtection="1">
      <alignment horizontal="center" vertical="center"/>
      <protection locked="0"/>
    </xf>
    <xf numFmtId="0" fontId="29" fillId="0" borderId="0" xfId="0" applyFont="1" applyAlignment="1">
      <alignment horizontal="center"/>
    </xf>
    <xf numFmtId="0" fontId="29" fillId="0" borderId="19" xfId="0" applyFont="1" applyBorder="1" applyAlignment="1">
      <alignment horizontal="center"/>
    </xf>
    <xf numFmtId="0" fontId="42" fillId="18" borderId="21" xfId="0" applyFont="1" applyFill="1" applyBorder="1" applyAlignment="1">
      <alignment horizontal="center"/>
    </xf>
    <xf numFmtId="0" fontId="42" fillId="18" borderId="22" xfId="0" applyFont="1" applyFill="1" applyBorder="1" applyAlignment="1">
      <alignment horizontal="center"/>
    </xf>
    <xf numFmtId="0" fontId="40" fillId="18" borderId="21" xfId="0" applyFont="1" applyFill="1" applyBorder="1" applyAlignment="1">
      <alignment horizontal="left"/>
    </xf>
    <xf numFmtId="0" fontId="40" fillId="18" borderId="22" xfId="0" applyFont="1" applyFill="1" applyBorder="1" applyAlignment="1">
      <alignment horizontal="left"/>
    </xf>
    <xf numFmtId="0" fontId="40" fillId="18" borderId="23" xfId="0" applyFont="1" applyFill="1" applyBorder="1" applyAlignment="1">
      <alignment horizontal="left"/>
    </xf>
    <xf numFmtId="0" fontId="50" fillId="18" borderId="15" xfId="0" applyFont="1" applyFill="1" applyBorder="1" applyAlignment="1">
      <alignment horizontal="left"/>
    </xf>
    <xf numFmtId="0" fontId="50" fillId="18" borderId="17" xfId="0" applyFont="1" applyFill="1" applyBorder="1" applyAlignment="1">
      <alignment horizontal="left"/>
    </xf>
    <xf numFmtId="0" fontId="50" fillId="0" borderId="21" xfId="0" applyNumberFormat="1" applyFont="1" applyFill="1" applyBorder="1" applyAlignment="1" applyProtection="1">
      <alignment horizontal="center"/>
      <protection locked="0"/>
    </xf>
    <xf numFmtId="0" fontId="50" fillId="0" borderId="22" xfId="0" applyNumberFormat="1" applyFont="1" applyFill="1" applyBorder="1" applyAlignment="1" applyProtection="1">
      <alignment horizontal="center"/>
      <protection locked="0"/>
    </xf>
    <xf numFmtId="0" fontId="50" fillId="0" borderId="23" xfId="0" applyNumberFormat="1" applyFont="1" applyFill="1" applyBorder="1" applyAlignment="1" applyProtection="1">
      <alignment horizontal="center"/>
      <protection locked="0"/>
    </xf>
    <xf numFmtId="0" fontId="32" fillId="0" borderId="22" xfId="0" applyFont="1" applyBorder="1" applyAlignment="1">
      <alignment horizontal="center"/>
    </xf>
    <xf numFmtId="0" fontId="50" fillId="0" borderId="21" xfId="0" applyNumberFormat="1" applyFont="1" applyFill="1" applyBorder="1" applyAlignment="1" applyProtection="1">
      <alignment horizontal="center" wrapText="1"/>
      <protection locked="0"/>
    </xf>
    <xf numFmtId="0" fontId="50" fillId="0" borderId="22" xfId="0" applyNumberFormat="1" applyFont="1" applyFill="1" applyBorder="1" applyAlignment="1" applyProtection="1">
      <alignment horizontal="center" wrapText="1"/>
      <protection locked="0"/>
    </xf>
    <xf numFmtId="0" fontId="50" fillId="0" borderId="23" xfId="0" applyNumberFormat="1" applyFont="1" applyFill="1" applyBorder="1" applyAlignment="1" applyProtection="1">
      <alignment horizontal="center" wrapText="1"/>
      <protection locked="0"/>
    </xf>
    <xf numFmtId="0" fontId="40" fillId="18" borderId="15" xfId="0" applyFont="1" applyFill="1" applyBorder="1" applyAlignment="1">
      <alignment horizontal="center" vertical="center" textRotation="90"/>
    </xf>
    <xf numFmtId="0" fontId="40" fillId="18" borderId="17" xfId="0" applyFont="1" applyFill="1" applyBorder="1" applyAlignment="1">
      <alignment horizontal="center" vertical="center" textRotation="90"/>
    </xf>
    <xf numFmtId="0" fontId="40" fillId="18" borderId="30" xfId="0" applyFont="1" applyFill="1" applyBorder="1" applyAlignment="1">
      <alignment horizontal="center" vertical="center" textRotation="90"/>
    </xf>
    <xf numFmtId="0" fontId="40" fillId="18" borderId="28" xfId="0" applyFont="1" applyFill="1" applyBorder="1" applyAlignment="1">
      <alignment horizontal="center" vertical="center" textRotation="90"/>
    </xf>
    <xf numFmtId="0" fontId="40" fillId="18" borderId="18" xfId="0" applyFont="1" applyFill="1" applyBorder="1" applyAlignment="1">
      <alignment horizontal="center" vertical="center" textRotation="90"/>
    </xf>
    <xf numFmtId="0" fontId="40" fillId="18" borderId="20" xfId="0" applyFont="1" applyFill="1" applyBorder="1" applyAlignment="1">
      <alignment horizontal="center" vertical="center" textRotation="90"/>
    </xf>
    <xf numFmtId="0" fontId="40" fillId="18" borderId="21" xfId="0" applyFont="1" applyFill="1" applyBorder="1" applyAlignment="1">
      <alignment horizontal="center"/>
    </xf>
    <xf numFmtId="0" fontId="40" fillId="18" borderId="22" xfId="0" applyFont="1" applyFill="1" applyBorder="1" applyAlignment="1">
      <alignment horizontal="center"/>
    </xf>
    <xf numFmtId="0" fontId="40" fillId="18" borderId="23" xfId="0" applyFont="1" applyFill="1" applyBorder="1" applyAlignment="1">
      <alignment horizontal="center"/>
    </xf>
    <xf numFmtId="0" fontId="30" fillId="0" borderId="22" xfId="0" applyFont="1" applyBorder="1" applyAlignment="1">
      <alignment horizontal="left"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20" xfId="0" applyFont="1" applyBorder="1" applyAlignment="1">
      <alignment horizontal="center" vertical="center" wrapText="1"/>
    </xf>
    <xf numFmtId="0" fontId="33" fillId="0" borderId="21" xfId="0" applyFont="1" applyBorder="1" applyAlignment="1">
      <alignment horizontal="center"/>
    </xf>
    <xf numFmtId="0" fontId="33" fillId="0" borderId="22" xfId="0" applyFont="1" applyBorder="1" applyAlignment="1">
      <alignment horizontal="center"/>
    </xf>
    <xf numFmtId="0" fontId="33" fillId="0" borderId="23" xfId="0" applyFont="1" applyBorder="1" applyAlignment="1">
      <alignment horizontal="center"/>
    </xf>
    <xf numFmtId="0" fontId="40" fillId="0" borderId="0" xfId="0" applyNumberFormat="1" applyFont="1" applyFill="1" applyBorder="1" applyAlignment="1" applyProtection="1">
      <alignment horizontal="center"/>
      <protection locked="0"/>
    </xf>
    <xf numFmtId="0" fontId="42" fillId="0" borderId="30" xfId="0" applyFont="1" applyBorder="1" applyAlignment="1">
      <alignment horizontal="center"/>
    </xf>
    <xf numFmtId="0" fontId="42" fillId="0" borderId="0" xfId="0" applyFont="1" applyBorder="1" applyAlignment="1">
      <alignment horizontal="center"/>
    </xf>
    <xf numFmtId="0" fontId="44" fillId="0" borderId="2" xfId="0" applyFont="1" applyBorder="1" applyAlignment="1" applyProtection="1">
      <alignment horizontal="center"/>
    </xf>
    <xf numFmtId="0" fontId="44" fillId="0" borderId="3" xfId="0" applyFont="1" applyBorder="1" applyAlignment="1" applyProtection="1">
      <alignment horizontal="center"/>
    </xf>
    <xf numFmtId="0" fontId="34" fillId="0" borderId="0" xfId="0" applyFont="1" applyAlignment="1">
      <alignment horizontal="center"/>
    </xf>
    <xf numFmtId="165" fontId="33" fillId="0" borderId="7" xfId="0" applyNumberFormat="1" applyFont="1" applyBorder="1" applyAlignment="1">
      <alignment horizontal="left"/>
    </xf>
    <xf numFmtId="0" fontId="33" fillId="0" borderId="25" xfId="0" applyFont="1" applyBorder="1" applyAlignment="1">
      <alignment horizontal="center"/>
    </xf>
    <xf numFmtId="165" fontId="33" fillId="0" borderId="0" xfId="0" applyNumberFormat="1" applyFont="1" applyFill="1" applyBorder="1" applyAlignment="1" applyProtection="1">
      <alignment horizontal="center" vertical="center"/>
      <protection locked="0"/>
    </xf>
    <xf numFmtId="0" fontId="33" fillId="0" borderId="29" xfId="0" applyNumberFormat="1" applyFont="1" applyFill="1" applyBorder="1" applyAlignment="1" applyProtection="1">
      <alignment horizontal="center"/>
      <protection locked="0"/>
    </xf>
    <xf numFmtId="0" fontId="40" fillId="18" borderId="7" xfId="0" applyFont="1" applyFill="1" applyBorder="1" applyAlignment="1">
      <alignment horizontal="left"/>
    </xf>
    <xf numFmtId="0" fontId="40" fillId="18" borderId="15" xfId="0" applyFont="1" applyFill="1" applyBorder="1" applyAlignment="1">
      <alignment horizontal="center"/>
    </xf>
    <xf numFmtId="0" fontId="40" fillId="18" borderId="16" xfId="0" applyFont="1" applyFill="1" applyBorder="1" applyAlignment="1">
      <alignment horizontal="center"/>
    </xf>
    <xf numFmtId="0" fontId="40" fillId="18" borderId="17" xfId="0" applyFont="1" applyFill="1" applyBorder="1" applyAlignment="1">
      <alignment horizontal="center"/>
    </xf>
    <xf numFmtId="0" fontId="42" fillId="18" borderId="23" xfId="0" applyFont="1" applyFill="1" applyBorder="1" applyAlignment="1">
      <alignment horizontal="center"/>
    </xf>
    <xf numFmtId="0" fontId="37" fillId="0" borderId="18" xfId="0" applyFont="1" applyBorder="1" applyAlignment="1">
      <alignment horizontal="left"/>
    </xf>
    <xf numFmtId="0" fontId="37" fillId="0" borderId="19" xfId="0" applyFont="1" applyBorder="1" applyAlignment="1">
      <alignment horizontal="left"/>
    </xf>
    <xf numFmtId="0" fontId="37" fillId="0" borderId="20" xfId="0" applyFont="1" applyBorder="1" applyAlignment="1">
      <alignment horizontal="left"/>
    </xf>
    <xf numFmtId="0" fontId="29" fillId="0" borderId="15" xfId="0" applyFont="1" applyBorder="1" applyAlignment="1">
      <alignment horizontal="left"/>
    </xf>
    <xf numFmtId="0" fontId="29" fillId="0" borderId="16" xfId="0" applyFont="1" applyBorder="1" applyAlignment="1">
      <alignment horizontal="left"/>
    </xf>
    <xf numFmtId="0" fontId="29" fillId="0" borderId="17" xfId="0" applyFont="1" applyBorder="1" applyAlignment="1">
      <alignment horizontal="left"/>
    </xf>
    <xf numFmtId="0" fontId="29" fillId="0" borderId="18" xfId="0" applyFont="1" applyBorder="1" applyAlignment="1">
      <alignment horizontal="left"/>
    </xf>
    <xf numFmtId="0" fontId="29" fillId="0" borderId="19" xfId="0" applyFont="1" applyBorder="1" applyAlignment="1">
      <alignment horizontal="left"/>
    </xf>
    <xf numFmtId="0" fontId="29" fillId="0" borderId="20" xfId="0" applyFont="1" applyBorder="1" applyAlignment="1">
      <alignment horizontal="left"/>
    </xf>
    <xf numFmtId="0" fontId="29" fillId="0" borderId="16" xfId="0" applyFont="1" applyBorder="1" applyAlignment="1">
      <alignment horizontal="center" vertical="center"/>
    </xf>
    <xf numFmtId="0" fontId="29" fillId="0" borderId="19" xfId="0" applyFont="1" applyBorder="1" applyAlignment="1">
      <alignment horizontal="center" vertical="center"/>
    </xf>
    <xf numFmtId="0" fontId="29" fillId="0" borderId="22" xfId="0" applyFont="1" applyBorder="1" applyAlignment="1">
      <alignment horizontal="center" vertical="center"/>
    </xf>
    <xf numFmtId="0" fontId="30" fillId="0" borderId="7" xfId="0" applyFont="1" applyBorder="1" applyAlignment="1">
      <alignment horizontal="center" vertical="center" wrapText="1"/>
    </xf>
    <xf numFmtId="0" fontId="29" fillId="0" borderId="7" xfId="0" applyFont="1" applyBorder="1" applyAlignment="1">
      <alignment horizontal="center" vertical="center"/>
    </xf>
    <xf numFmtId="0" fontId="30" fillId="0" borderId="21" xfId="0" applyFont="1" applyBorder="1" applyAlignment="1">
      <alignment horizontal="right" vertical="center" wrapText="1"/>
    </xf>
    <xf numFmtId="0" fontId="30" fillId="0" borderId="22" xfId="0" applyFont="1" applyBorder="1" applyAlignment="1">
      <alignment horizontal="right" vertical="center" wrapText="1"/>
    </xf>
    <xf numFmtId="0" fontId="60" fillId="0" borderId="0" xfId="0" applyFont="1" applyAlignment="1">
      <alignment horizontal="center" textRotation="90"/>
    </xf>
    <xf numFmtId="0" fontId="33" fillId="18" borderId="40" xfId="0" applyFont="1" applyFill="1" applyBorder="1" applyAlignment="1">
      <alignment horizontal="left"/>
    </xf>
    <xf numFmtId="0" fontId="33" fillId="18" borderId="41" xfId="0" applyFont="1" applyFill="1" applyBorder="1" applyAlignment="1">
      <alignment horizontal="left"/>
    </xf>
    <xf numFmtId="0" fontId="33" fillId="18" borderId="42" xfId="0" applyFont="1" applyFill="1" applyBorder="1" applyAlignment="1">
      <alignment horizontal="left"/>
    </xf>
    <xf numFmtId="0" fontId="29" fillId="0" borderId="8" xfId="0" applyFont="1" applyBorder="1" applyAlignment="1">
      <alignment horizontal="center"/>
    </xf>
    <xf numFmtId="0" fontId="29" fillId="0" borderId="33" xfId="0" applyFont="1" applyBorder="1" applyAlignment="1">
      <alignment horizontal="center"/>
    </xf>
    <xf numFmtId="0" fontId="50" fillId="0" borderId="21"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0" borderId="23" xfId="0" applyNumberFormat="1" applyFont="1" applyFill="1" applyBorder="1" applyAlignment="1" applyProtection="1">
      <alignment horizontal="center" vertical="center" wrapText="1"/>
      <protection locked="0"/>
    </xf>
    <xf numFmtId="0" fontId="29" fillId="0" borderId="34" xfId="0" applyFont="1" applyBorder="1" applyAlignment="1">
      <alignment horizontal="center"/>
    </xf>
    <xf numFmtId="0" fontId="34" fillId="18" borderId="27" xfId="0" applyFont="1" applyFill="1" applyBorder="1" applyAlignment="1">
      <alignment horizontal="center"/>
    </xf>
    <xf numFmtId="0" fontId="41" fillId="0" borderId="44" xfId="0" applyFont="1" applyBorder="1" applyAlignment="1">
      <alignment horizontal="center" vertical="center" wrapText="1"/>
    </xf>
    <xf numFmtId="0" fontId="41" fillId="0" borderId="45" xfId="0" applyFont="1" applyBorder="1" applyAlignment="1">
      <alignment horizontal="center" vertical="center" wrapText="1"/>
    </xf>
    <xf numFmtId="0" fontId="41" fillId="0" borderId="46"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50" fillId="0" borderId="35" xfId="0" applyNumberFormat="1" applyFont="1" applyFill="1" applyBorder="1" applyAlignment="1" applyProtection="1">
      <alignment horizontal="center"/>
      <protection locked="0"/>
    </xf>
    <xf numFmtId="0" fontId="34" fillId="0" borderId="54" xfId="0" applyFont="1" applyBorder="1" applyAlignment="1">
      <alignment horizontal="left" vertical="center" wrapText="1"/>
    </xf>
    <xf numFmtId="0" fontId="34" fillId="0" borderId="55" xfId="0" applyFont="1" applyBorder="1" applyAlignment="1">
      <alignment horizontal="left" vertical="center" wrapText="1"/>
    </xf>
    <xf numFmtId="0" fontId="34" fillId="0" borderId="56" xfId="0" applyFont="1" applyBorder="1" applyAlignment="1">
      <alignment horizontal="left" vertical="center" wrapText="1"/>
    </xf>
    <xf numFmtId="0" fontId="31" fillId="0" borderId="13" xfId="0" applyFont="1" applyBorder="1" applyAlignment="1">
      <alignment horizontal="center"/>
    </xf>
    <xf numFmtId="0" fontId="31" fillId="0" borderId="33" xfId="0" applyFont="1" applyBorder="1" applyAlignment="1">
      <alignment horizontal="center"/>
    </xf>
    <xf numFmtId="0" fontId="31" fillId="0" borderId="9" xfId="0" applyFont="1" applyBorder="1" applyAlignment="1">
      <alignment horizontal="center" wrapText="1"/>
    </xf>
    <xf numFmtId="0" fontId="31" fillId="0" borderId="0" xfId="0" applyFont="1" applyBorder="1" applyAlignment="1">
      <alignment horizontal="center" wrapText="1"/>
    </xf>
    <xf numFmtId="0" fontId="31" fillId="0" borderId="11" xfId="0" applyFont="1" applyBorder="1" applyAlignment="1">
      <alignment horizontal="center" wrapText="1"/>
    </xf>
    <xf numFmtId="0" fontId="31" fillId="0" borderId="12" xfId="0" applyFont="1" applyBorder="1" applyAlignment="1">
      <alignment horizontal="center" wrapText="1"/>
    </xf>
    <xf numFmtId="0" fontId="31" fillId="0" borderId="7" xfId="0" applyFont="1" applyBorder="1" applyAlignment="1">
      <alignment horizontal="center" wrapText="1"/>
    </xf>
    <xf numFmtId="0" fontId="29" fillId="0" borderId="21" xfId="0" applyFont="1" applyBorder="1" applyAlignment="1">
      <alignment horizontal="center"/>
    </xf>
    <xf numFmtId="0" fontId="29" fillId="0" borderId="23" xfId="0" applyFont="1" applyBorder="1" applyAlignment="1">
      <alignment horizontal="center"/>
    </xf>
    <xf numFmtId="0" fontId="30" fillId="0" borderId="0" xfId="0" applyFont="1" applyAlignment="1">
      <alignment horizontal="center"/>
    </xf>
    <xf numFmtId="0" fontId="30" fillId="0" borderId="28" xfId="0" applyFont="1" applyBorder="1" applyAlignment="1">
      <alignment horizontal="center"/>
    </xf>
    <xf numFmtId="0" fontId="33" fillId="18" borderId="21" xfId="0" applyFont="1" applyFill="1" applyBorder="1" applyAlignment="1">
      <alignment horizontal="center"/>
    </xf>
    <xf numFmtId="0" fontId="33" fillId="18" borderId="22" xfId="0" applyFont="1" applyFill="1" applyBorder="1" applyAlignment="1">
      <alignment horizontal="center"/>
    </xf>
    <xf numFmtId="0" fontId="33" fillId="18" borderId="23" xfId="0" applyFont="1" applyFill="1" applyBorder="1" applyAlignment="1">
      <alignment horizontal="center"/>
    </xf>
    <xf numFmtId="0" fontId="31" fillId="0" borderId="7" xfId="0" applyFont="1" applyBorder="1" applyAlignment="1">
      <alignment horizontal="center" vertical="center"/>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7" xfId="0" applyFont="1" applyBorder="1" applyAlignment="1">
      <alignment horizontal="center" vertical="center" wrapText="1"/>
    </xf>
    <xf numFmtId="0" fontId="29" fillId="0" borderId="12" xfId="0" applyFont="1" applyBorder="1" applyAlignment="1">
      <alignment horizontal="center"/>
    </xf>
    <xf numFmtId="0" fontId="41" fillId="0" borderId="50"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52" xfId="0" applyFont="1" applyBorder="1" applyAlignment="1">
      <alignment horizontal="center" vertical="center" wrapText="1"/>
    </xf>
    <xf numFmtId="0" fontId="33" fillId="18" borderId="31" xfId="0" applyFont="1" applyFill="1" applyBorder="1" applyAlignment="1">
      <alignment horizontal="left" vertical="top"/>
    </xf>
    <xf numFmtId="0" fontId="33" fillId="18" borderId="32" xfId="0" applyFont="1" applyFill="1" applyBorder="1" applyAlignment="1">
      <alignment horizontal="left" vertical="top"/>
    </xf>
    <xf numFmtId="0" fontId="33" fillId="18" borderId="33" xfId="0" applyFont="1" applyFill="1" applyBorder="1" applyAlignment="1">
      <alignment horizontal="left" vertical="top"/>
    </xf>
    <xf numFmtId="0" fontId="33" fillId="18" borderId="8" xfId="0" applyFont="1" applyFill="1" applyBorder="1" applyAlignment="1">
      <alignment horizontal="left"/>
    </xf>
    <xf numFmtId="0" fontId="33" fillId="18" borderId="47" xfId="0" applyFont="1" applyFill="1" applyBorder="1" applyAlignment="1">
      <alignment horizontal="left"/>
    </xf>
    <xf numFmtId="0" fontId="34" fillId="18" borderId="8" xfId="0" applyFont="1" applyFill="1" applyBorder="1" applyAlignment="1">
      <alignment horizontal="left"/>
    </xf>
    <xf numFmtId="0" fontId="31" fillId="0" borderId="45" xfId="0" applyFont="1" applyBorder="1" applyAlignment="1">
      <alignment horizontal="center" wrapText="1"/>
    </xf>
    <xf numFmtId="0" fontId="31" fillId="0" borderId="48" xfId="0" applyFont="1" applyBorder="1" applyAlignment="1">
      <alignment horizontal="center"/>
    </xf>
    <xf numFmtId="0" fontId="29" fillId="0" borderId="43" xfId="0" applyFont="1" applyBorder="1" applyAlignment="1">
      <alignment horizontal="left"/>
    </xf>
    <xf numFmtId="0" fontId="29" fillId="0" borderId="49" xfId="0" applyFont="1" applyBorder="1" applyAlignment="1">
      <alignment horizontal="left"/>
    </xf>
    <xf numFmtId="0" fontId="42" fillId="18" borderId="44" xfId="0" applyFont="1" applyFill="1" applyBorder="1" applyAlignment="1">
      <alignment horizontal="left" vertical="center" wrapText="1"/>
    </xf>
    <xf numFmtId="0" fontId="42" fillId="18" borderId="45" xfId="0" applyFont="1" applyFill="1" applyBorder="1" applyAlignment="1">
      <alignment horizontal="left" vertical="center" wrapText="1"/>
    </xf>
    <xf numFmtId="0" fontId="42" fillId="18" borderId="46" xfId="0" applyFont="1" applyFill="1" applyBorder="1" applyAlignment="1">
      <alignment horizontal="left" vertical="center" wrapText="1"/>
    </xf>
    <xf numFmtId="0" fontId="42" fillId="18" borderId="11" xfId="0" applyFont="1" applyFill="1" applyBorder="1" applyAlignment="1">
      <alignment horizontal="left" vertical="center" wrapText="1"/>
    </xf>
    <xf numFmtId="0" fontId="42" fillId="18" borderId="12" xfId="0" applyFont="1" applyFill="1" applyBorder="1" applyAlignment="1">
      <alignment horizontal="left" vertical="center" wrapText="1"/>
    </xf>
    <xf numFmtId="0" fontId="42" fillId="18" borderId="13" xfId="0" applyFont="1" applyFill="1" applyBorder="1" applyAlignment="1">
      <alignment horizontal="left" vertical="center" wrapText="1"/>
    </xf>
    <xf numFmtId="0" fontId="29" fillId="0" borderId="22" xfId="0" applyFont="1" applyBorder="1" applyAlignment="1">
      <alignment horizontal="center"/>
    </xf>
    <xf numFmtId="0" fontId="29" fillId="0" borderId="15" xfId="0" applyFont="1" applyBorder="1" applyAlignment="1">
      <alignment horizontal="center"/>
    </xf>
    <xf numFmtId="0" fontId="29" fillId="0" borderId="16" xfId="0" applyFont="1" applyBorder="1" applyAlignment="1">
      <alignment horizontal="center"/>
    </xf>
    <xf numFmtId="0" fontId="29" fillId="0" borderId="30" xfId="0" applyFont="1" applyBorder="1" applyAlignment="1">
      <alignment horizontal="center"/>
    </xf>
    <xf numFmtId="0" fontId="29" fillId="0" borderId="0" xfId="0" applyFont="1" applyBorder="1" applyAlignment="1">
      <alignment horizontal="center"/>
    </xf>
    <xf numFmtId="0" fontId="33" fillId="0" borderId="16" xfId="0" applyFont="1" applyBorder="1" applyAlignment="1">
      <alignment horizontal="center"/>
    </xf>
    <xf numFmtId="0" fontId="33" fillId="0" borderId="0" xfId="0" applyFont="1" applyBorder="1" applyAlignment="1">
      <alignment horizontal="center"/>
    </xf>
    <xf numFmtId="0" fontId="29" fillId="0" borderId="0" xfId="0" applyFont="1" applyBorder="1" applyAlignment="1">
      <alignment horizontal="left"/>
    </xf>
    <xf numFmtId="0" fontId="29" fillId="0" borderId="28" xfId="0" applyFont="1" applyBorder="1" applyAlignment="1">
      <alignment horizontal="left"/>
    </xf>
    <xf numFmtId="0" fontId="33" fillId="0" borderId="22" xfId="0" applyNumberFormat="1" applyFont="1" applyFill="1" applyBorder="1" applyAlignment="1" applyProtection="1">
      <alignment horizontal="left"/>
      <protection locked="0"/>
    </xf>
    <xf numFmtId="0" fontId="35" fillId="18" borderId="21" xfId="0" applyFont="1" applyFill="1" applyBorder="1" applyAlignment="1">
      <alignment horizontal="center" vertical="center"/>
    </xf>
    <xf numFmtId="0" fontId="35" fillId="18" borderId="22" xfId="0" applyFont="1" applyFill="1" applyBorder="1" applyAlignment="1">
      <alignment horizontal="center" vertical="center"/>
    </xf>
    <xf numFmtId="0" fontId="35" fillId="18" borderId="23" xfId="0" applyFont="1" applyFill="1" applyBorder="1" applyAlignment="1">
      <alignment horizontal="center" vertical="center"/>
    </xf>
    <xf numFmtId="0" fontId="50" fillId="0" borderId="21" xfId="0"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0" fillId="0" borderId="23" xfId="0" applyFont="1" applyFill="1" applyBorder="1" applyAlignment="1">
      <alignment horizontal="center" vertical="center" wrapText="1"/>
    </xf>
    <xf numFmtId="0" fontId="50" fillId="0" borderId="7"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23" xfId="0" applyFont="1" applyBorder="1" applyAlignment="1">
      <alignment horizontal="center" vertical="center" wrapText="1"/>
    </xf>
    <xf numFmtId="0" fontId="53" fillId="18" borderId="21" xfId="0" applyFont="1" applyFill="1" applyBorder="1" applyAlignment="1">
      <alignment horizontal="center" vertical="center"/>
    </xf>
    <xf numFmtId="0" fontId="53" fillId="18" borderId="23" xfId="0" applyFont="1" applyFill="1" applyBorder="1" applyAlignment="1">
      <alignment horizontal="center" vertical="center"/>
    </xf>
    <xf numFmtId="0" fontId="40" fillId="0" borderId="21" xfId="0" applyFont="1" applyFill="1" applyBorder="1" applyAlignment="1">
      <alignment horizontal="center" vertical="center"/>
    </xf>
    <xf numFmtId="0" fontId="40" fillId="0" borderId="23" xfId="0" applyFont="1" applyFill="1" applyBorder="1" applyAlignment="1">
      <alignment horizontal="center" vertical="center"/>
    </xf>
    <xf numFmtId="0" fontId="35" fillId="18" borderId="7" xfId="0" applyFont="1" applyFill="1" applyBorder="1" applyAlignment="1">
      <alignment horizontal="center" vertical="center"/>
    </xf>
    <xf numFmtId="0" fontId="35" fillId="18" borderId="7" xfId="0" applyFont="1" applyFill="1" applyBorder="1" applyAlignment="1">
      <alignment horizontal="center"/>
    </xf>
    <xf numFmtId="0" fontId="50" fillId="0" borderId="21" xfId="0" applyNumberFormat="1" applyFont="1" applyFill="1" applyBorder="1" applyAlignment="1" applyProtection="1">
      <alignment horizontal="center" vertical="center"/>
      <protection locked="0"/>
    </xf>
    <xf numFmtId="0" fontId="50" fillId="0" borderId="23" xfId="0" applyNumberFormat="1" applyFont="1" applyFill="1" applyBorder="1" applyAlignment="1" applyProtection="1">
      <alignment horizontal="center" vertical="center"/>
      <protection locked="0"/>
    </xf>
    <xf numFmtId="0" fontId="35" fillId="18" borderId="38" xfId="0" applyFont="1" applyFill="1" applyBorder="1" applyAlignment="1">
      <alignment horizontal="center"/>
    </xf>
    <xf numFmtId="0" fontId="35" fillId="18" borderId="39" xfId="0" applyFont="1" applyFill="1" applyBorder="1" applyAlignment="1">
      <alignment horizontal="center"/>
    </xf>
    <xf numFmtId="0" fontId="33" fillId="0" borderId="21" xfId="0" applyFont="1" applyFill="1" applyBorder="1" applyAlignment="1">
      <alignment horizontal="center" vertical="center"/>
    </xf>
    <xf numFmtId="0" fontId="33" fillId="0" borderId="23" xfId="0" applyFont="1" applyFill="1" applyBorder="1" applyAlignment="1">
      <alignment horizontal="center" vertical="center"/>
    </xf>
    <xf numFmtId="0" fontId="33" fillId="0" borderId="7" xfId="0" applyFont="1" applyBorder="1" applyAlignment="1">
      <alignment horizontal="center" vertical="center" wrapText="1"/>
    </xf>
    <xf numFmtId="0" fontId="33" fillId="0" borderId="21" xfId="0" applyFont="1" applyBorder="1" applyAlignment="1">
      <alignment horizontal="center" vertical="center"/>
    </xf>
    <xf numFmtId="0" fontId="33" fillId="0" borderId="23" xfId="0" applyFont="1" applyBorder="1" applyAlignment="1">
      <alignment horizontal="center" vertical="center"/>
    </xf>
    <xf numFmtId="0" fontId="35" fillId="0" borderId="25" xfId="0" applyFont="1" applyBorder="1" applyAlignment="1">
      <alignment horizontal="center"/>
    </xf>
    <xf numFmtId="0" fontId="33" fillId="7" borderId="21" xfId="0" applyFont="1" applyFill="1" applyBorder="1" applyAlignment="1">
      <alignment horizontal="center" vertical="center"/>
    </xf>
    <xf numFmtId="0" fontId="33" fillId="7" borderId="23" xfId="0" applyFont="1" applyFill="1" applyBorder="1" applyAlignment="1">
      <alignment horizontal="center" vertical="center"/>
    </xf>
    <xf numFmtId="0" fontId="50" fillId="0" borderId="7" xfId="0" applyNumberFormat="1" applyFont="1" applyFill="1" applyBorder="1" applyAlignment="1" applyProtection="1">
      <alignment horizontal="center" vertical="center" wrapText="1"/>
      <protection locked="0"/>
    </xf>
    <xf numFmtId="0" fontId="42" fillId="0" borderId="21"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0" fillId="0" borderId="7" xfId="0" applyFont="1" applyBorder="1" applyAlignment="1">
      <alignment horizontal="center"/>
    </xf>
    <xf numFmtId="0" fontId="40" fillId="0" borderId="21" xfId="0" applyFont="1" applyBorder="1" applyAlignment="1">
      <alignment horizontal="center"/>
    </xf>
    <xf numFmtId="0" fontId="40" fillId="0" borderId="22" xfId="0" applyFont="1" applyBorder="1" applyAlignment="1">
      <alignment horizontal="center"/>
    </xf>
    <xf numFmtId="0" fontId="40" fillId="0" borderId="23" xfId="0" applyFont="1" applyBorder="1" applyAlignment="1">
      <alignment horizontal="center"/>
    </xf>
    <xf numFmtId="0" fontId="53" fillId="18" borderId="7" xfId="0" applyFont="1" applyFill="1" applyBorder="1" applyAlignment="1">
      <alignment horizontal="center" vertical="center"/>
    </xf>
    <xf numFmtId="0" fontId="53" fillId="18" borderId="22" xfId="0" applyFont="1" applyFill="1" applyBorder="1" applyAlignment="1">
      <alignment horizontal="center" vertical="center"/>
    </xf>
    <xf numFmtId="0" fontId="35" fillId="0" borderId="0" xfId="0" applyFont="1" applyBorder="1" applyAlignment="1">
      <alignment horizontal="center"/>
    </xf>
    <xf numFmtId="0" fontId="50" fillId="0" borderId="7" xfId="0" applyFont="1" applyBorder="1" applyAlignment="1">
      <alignment horizontal="center"/>
    </xf>
    <xf numFmtId="0" fontId="52" fillId="18" borderId="21" xfId="0" applyFont="1" applyFill="1" applyBorder="1" applyAlignment="1">
      <alignment horizontal="center" vertical="center"/>
    </xf>
    <xf numFmtId="0" fontId="52" fillId="18" borderId="22" xfId="0" applyFont="1" applyFill="1" applyBorder="1" applyAlignment="1">
      <alignment horizontal="center" vertical="center"/>
    </xf>
    <xf numFmtId="0" fontId="40" fillId="0" borderId="21"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21" xfId="0" applyNumberFormat="1" applyFont="1" applyFill="1" applyBorder="1" applyAlignment="1" applyProtection="1">
      <alignment horizontal="center" vertical="center" wrapText="1"/>
      <protection locked="0"/>
    </xf>
    <xf numFmtId="0" fontId="40" fillId="0" borderId="22"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53" fillId="18" borderId="7" xfId="0" applyFont="1" applyFill="1" applyBorder="1" applyAlignment="1">
      <alignment horizontal="center"/>
    </xf>
    <xf numFmtId="0" fontId="72" fillId="0" borderId="0" xfId="0" applyFont="1" applyBorder="1" applyAlignment="1">
      <alignment horizontal="center" vertical="center"/>
    </xf>
    <xf numFmtId="0" fontId="35" fillId="0" borderId="25" xfId="0" applyFont="1" applyBorder="1" applyAlignment="1">
      <alignment horizontal="left"/>
    </xf>
    <xf numFmtId="0" fontId="40" fillId="7" borderId="7" xfId="0" applyFont="1" applyFill="1" applyBorder="1" applyAlignment="1">
      <alignment horizontal="center"/>
    </xf>
    <xf numFmtId="0" fontId="40" fillId="7" borderId="21" xfId="0" applyFont="1" applyFill="1" applyBorder="1" applyAlignment="1">
      <alignment horizontal="left"/>
    </xf>
    <xf numFmtId="0" fontId="40" fillId="7" borderId="22" xfId="0" applyFont="1" applyFill="1" applyBorder="1" applyAlignment="1">
      <alignment horizontal="left"/>
    </xf>
    <xf numFmtId="0" fontId="40" fillId="7" borderId="23" xfId="0" applyFont="1" applyFill="1" applyBorder="1" applyAlignment="1">
      <alignment horizontal="left"/>
    </xf>
    <xf numFmtId="0" fontId="40" fillId="0" borderId="7" xfId="0" applyFont="1" applyBorder="1" applyAlignment="1">
      <alignment horizontal="center" vertical="center" textRotation="90" wrapText="1"/>
    </xf>
    <xf numFmtId="0" fontId="72" fillId="0" borderId="0" xfId="0" applyFont="1" applyBorder="1" applyAlignment="1">
      <alignment horizontal="center" vertical="center" wrapText="1"/>
    </xf>
    <xf numFmtId="0" fontId="72" fillId="0" borderId="29" xfId="0" applyFont="1" applyBorder="1" applyAlignment="1">
      <alignment horizontal="center" vertical="center" wrapText="1"/>
    </xf>
    <xf numFmtId="0" fontId="42" fillId="7" borderId="7" xfId="0" applyFont="1" applyFill="1" applyBorder="1" applyAlignment="1">
      <alignment horizontal="center"/>
    </xf>
    <xf numFmtId="0" fontId="42" fillId="0" borderId="7" xfId="0" applyNumberFormat="1" applyFont="1" applyFill="1" applyBorder="1" applyAlignment="1" applyProtection="1">
      <alignment horizontal="center" vertical="center" wrapText="1"/>
      <protection locked="0"/>
    </xf>
    <xf numFmtId="0" fontId="53" fillId="18" borderId="15" xfId="0" applyFont="1" applyFill="1" applyBorder="1" applyAlignment="1">
      <alignment horizontal="center" vertical="center"/>
    </xf>
    <xf numFmtId="0" fontId="53" fillId="18" borderId="17" xfId="0" applyFont="1" applyFill="1" applyBorder="1" applyAlignment="1">
      <alignment horizontal="center" vertical="center"/>
    </xf>
    <xf numFmtId="0" fontId="53" fillId="18" borderId="18" xfId="0" applyFont="1" applyFill="1" applyBorder="1" applyAlignment="1">
      <alignment horizontal="center" vertical="center"/>
    </xf>
    <xf numFmtId="0" fontId="53" fillId="18" borderId="20" xfId="0" applyFont="1" applyFill="1" applyBorder="1" applyAlignment="1">
      <alignment horizontal="center" vertical="center"/>
    </xf>
    <xf numFmtId="0" fontId="0" fillId="0" borderId="7" xfId="0" applyBorder="1" applyAlignment="1">
      <alignment horizontal="center" vertical="center"/>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20" xfId="0" applyFont="1" applyBorder="1" applyAlignment="1">
      <alignment horizontal="center" vertical="center" wrapText="1"/>
    </xf>
    <xf numFmtId="0" fontId="42" fillId="7" borderId="21" xfId="0" applyFont="1" applyFill="1" applyBorder="1" applyAlignment="1">
      <alignment horizontal="center"/>
    </xf>
    <xf numFmtId="0" fontId="42" fillId="7" borderId="23" xfId="0" applyFont="1" applyFill="1" applyBorder="1" applyAlignment="1">
      <alignment horizontal="center"/>
    </xf>
    <xf numFmtId="0" fontId="40" fillId="7" borderId="21" xfId="0" applyFont="1" applyFill="1" applyBorder="1" applyAlignment="1">
      <alignment horizontal="center"/>
    </xf>
    <xf numFmtId="0" fontId="40" fillId="7" borderId="22" xfId="0" applyFont="1" applyFill="1" applyBorder="1" applyAlignment="1">
      <alignment horizontal="center"/>
    </xf>
    <xf numFmtId="0" fontId="40" fillId="0" borderId="7" xfId="0" applyNumberFormat="1" applyFont="1" applyFill="1" applyBorder="1" applyAlignment="1" applyProtection="1">
      <alignment horizontal="center" vertical="center" wrapText="1"/>
      <protection locked="0"/>
    </xf>
    <xf numFmtId="0" fontId="42" fillId="7" borderId="22" xfId="0" applyFont="1" applyFill="1" applyBorder="1" applyAlignment="1">
      <alignment horizontal="center"/>
    </xf>
    <xf numFmtId="0" fontId="52" fillId="18" borderId="23" xfId="0" applyFont="1" applyFill="1" applyBorder="1" applyAlignment="1">
      <alignment horizontal="center" vertical="center"/>
    </xf>
    <xf numFmtId="0" fontId="40" fillId="0" borderId="16" xfId="0" applyFont="1" applyBorder="1" applyAlignment="1">
      <alignment horizontal="center" vertical="top"/>
    </xf>
    <xf numFmtId="0" fontId="24" fillId="0" borderId="7" xfId="0" applyFont="1" applyBorder="1" applyAlignment="1">
      <alignment horizontal="center" vertical="center" wrapText="1"/>
    </xf>
    <xf numFmtId="0" fontId="50" fillId="0" borderId="7" xfId="0" applyFont="1" applyBorder="1" applyAlignment="1">
      <alignment horizontal="center" vertical="center"/>
    </xf>
    <xf numFmtId="0" fontId="41" fillId="0" borderId="21" xfId="0" applyFont="1" applyBorder="1" applyAlignment="1">
      <alignment horizontal="center"/>
    </xf>
    <xf numFmtId="0" fontId="41" fillId="0" borderId="22" xfId="0" applyFont="1" applyBorder="1" applyAlignment="1">
      <alignment horizontal="center"/>
    </xf>
    <xf numFmtId="0" fontId="41" fillId="0" borderId="23" xfId="0" applyFont="1" applyBorder="1" applyAlignment="1">
      <alignment horizontal="center"/>
    </xf>
    <xf numFmtId="0" fontId="42" fillId="0" borderId="7" xfId="0" applyFont="1" applyFill="1" applyBorder="1" applyAlignment="1">
      <alignment horizontal="center"/>
    </xf>
    <xf numFmtId="0" fontId="40" fillId="0" borderId="7" xfId="0" applyNumberFormat="1" applyFont="1" applyFill="1" applyBorder="1" applyAlignment="1" applyProtection="1">
      <alignment horizontal="left" vertical="center" wrapText="1"/>
      <protection locked="0"/>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7" xfId="0" applyFont="1" applyBorder="1" applyAlignment="1">
      <alignment horizontal="center" vertical="center"/>
    </xf>
    <xf numFmtId="0" fontId="30" fillId="0" borderId="0" xfId="0" applyFont="1" applyAlignment="1">
      <alignment horizontal="center" wrapText="1"/>
    </xf>
    <xf numFmtId="0" fontId="30" fillId="0" borderId="28" xfId="0" applyFont="1" applyBorder="1" applyAlignment="1">
      <alignment horizontal="center" wrapText="1"/>
    </xf>
    <xf numFmtId="0" fontId="41" fillId="0" borderId="0" xfId="0" applyFont="1" applyAlignment="1">
      <alignment horizontal="center"/>
    </xf>
    <xf numFmtId="0" fontId="33" fillId="18" borderId="7" xfId="0" applyFont="1" applyFill="1" applyBorder="1" applyAlignment="1">
      <alignment horizontal="left"/>
    </xf>
    <xf numFmtId="0" fontId="30" fillId="0" borderId="0" xfId="0" applyFont="1" applyAlignment="1">
      <alignment horizontal="right"/>
    </xf>
    <xf numFmtId="0" fontId="73" fillId="0" borderId="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7" xfId="0" applyFont="1" applyBorder="1" applyAlignment="1">
      <alignment horizontal="center" vertical="center"/>
    </xf>
    <xf numFmtId="0" fontId="33" fillId="18" borderId="7" xfId="0" applyFont="1" applyFill="1" applyBorder="1" applyAlignment="1">
      <alignment horizontal="center"/>
    </xf>
    <xf numFmtId="0" fontId="33" fillId="0" borderId="7" xfId="0" applyFont="1" applyFill="1" applyBorder="1" applyAlignment="1">
      <alignment horizontal="center"/>
    </xf>
    <xf numFmtId="0" fontId="72" fillId="0" borderId="7" xfId="0" applyFont="1" applyBorder="1" applyAlignment="1">
      <alignment horizontal="center"/>
    </xf>
    <xf numFmtId="1" fontId="33" fillId="0" borderId="7" xfId="0" applyNumberFormat="1" applyFont="1" applyBorder="1" applyAlignment="1">
      <alignment horizontal="left"/>
    </xf>
    <xf numFmtId="0" fontId="42" fillId="0" borderId="7" xfId="0" applyFont="1" applyBorder="1" applyAlignment="1">
      <alignment horizontal="center"/>
    </xf>
    <xf numFmtId="0" fontId="33" fillId="0" borderId="7" xfId="0" applyFont="1" applyBorder="1" applyAlignment="1">
      <alignment horizontal="right"/>
    </xf>
    <xf numFmtId="0" fontId="33" fillId="0" borderId="27" xfId="0" applyFont="1" applyBorder="1" applyAlignment="1">
      <alignment horizontal="right"/>
    </xf>
    <xf numFmtId="0" fontId="31" fillId="0" borderId="21" xfId="0" applyFont="1" applyBorder="1" applyAlignment="1">
      <alignment horizontal="center"/>
    </xf>
    <xf numFmtId="0" fontId="31" fillId="0" borderId="22" xfId="0" applyFont="1" applyBorder="1" applyAlignment="1">
      <alignment horizontal="center"/>
    </xf>
    <xf numFmtId="0" fontId="31" fillId="0" borderId="23" xfId="0" applyFont="1" applyBorder="1" applyAlignment="1">
      <alignment horizontal="center"/>
    </xf>
    <xf numFmtId="0" fontId="40" fillId="18" borderId="18" xfId="0" applyFont="1" applyFill="1" applyBorder="1" applyAlignment="1">
      <alignment horizontal="center"/>
    </xf>
    <xf numFmtId="0" fontId="40" fillId="18" borderId="19" xfId="0" applyFont="1" applyFill="1" applyBorder="1" applyAlignment="1">
      <alignment horizontal="center"/>
    </xf>
    <xf numFmtId="0" fontId="40" fillId="18" borderId="20" xfId="0" applyFont="1" applyFill="1" applyBorder="1" applyAlignment="1">
      <alignment horizontal="center"/>
    </xf>
    <xf numFmtId="0" fontId="32" fillId="0" borderId="0" xfId="0" applyFont="1" applyAlignment="1">
      <alignment horizontal="right"/>
    </xf>
    <xf numFmtId="0" fontId="32" fillId="0" borderId="28" xfId="0" applyFont="1" applyBorder="1" applyAlignment="1">
      <alignment horizontal="right"/>
    </xf>
    <xf numFmtId="0" fontId="42" fillId="0" borderId="21" xfId="0" applyFont="1" applyFill="1" applyBorder="1" applyAlignment="1">
      <alignment horizontal="center"/>
    </xf>
    <xf numFmtId="0" fontId="42" fillId="0" borderId="23" xfId="0" applyFont="1" applyFill="1" applyBorder="1" applyAlignment="1">
      <alignment horizontal="center"/>
    </xf>
    <xf numFmtId="0" fontId="33" fillId="0" borderId="19" xfId="0" applyNumberFormat="1" applyFont="1" applyFill="1" applyBorder="1" applyAlignment="1" applyProtection="1">
      <alignment horizontal="center" wrapText="1"/>
      <protection locked="0"/>
    </xf>
    <xf numFmtId="0" fontId="35" fillId="0" borderId="19" xfId="0" applyNumberFormat="1" applyFont="1" applyFill="1" applyBorder="1" applyAlignment="1" applyProtection="1">
      <alignment horizontal="center" vertical="center"/>
      <protection locked="0"/>
    </xf>
    <xf numFmtId="0" fontId="33" fillId="0" borderId="0" xfId="0" applyNumberFormat="1" applyFont="1" applyFill="1" applyBorder="1" applyAlignment="1" applyProtection="1">
      <alignment horizontal="center" wrapText="1"/>
      <protection locked="0"/>
    </xf>
    <xf numFmtId="0" fontId="72" fillId="0" borderId="21" xfId="0" applyFont="1" applyBorder="1" applyAlignment="1">
      <alignment horizontal="left"/>
    </xf>
    <xf numFmtId="0" fontId="72" fillId="0" borderId="22" xfId="0" applyFont="1" applyBorder="1" applyAlignment="1">
      <alignment horizontal="left"/>
    </xf>
    <xf numFmtId="0" fontId="33" fillId="0" borderId="19" xfId="0" applyNumberFormat="1" applyFont="1" applyFill="1" applyBorder="1" applyAlignment="1" applyProtection="1">
      <alignment horizontal="center" vertical="center"/>
      <protection locked="0"/>
    </xf>
    <xf numFmtId="0" fontId="40" fillId="0" borderId="15" xfId="0" applyFont="1" applyBorder="1" applyAlignment="1">
      <alignment horizontal="center"/>
    </xf>
    <xf numFmtId="0" fontId="40" fillId="0" borderId="16" xfId="0" applyFont="1" applyBorder="1" applyAlignment="1">
      <alignment horizontal="center"/>
    </xf>
    <xf numFmtId="0" fontId="33" fillId="0" borderId="0" xfId="0" applyNumberFormat="1" applyFont="1" applyFill="1" applyBorder="1" applyAlignment="1" applyProtection="1">
      <alignment horizontal="center" vertical="center"/>
      <protection locked="0"/>
    </xf>
    <xf numFmtId="0" fontId="33" fillId="0" borderId="7" xfId="0" applyFont="1" applyBorder="1" applyAlignment="1">
      <alignment horizontal="center"/>
    </xf>
    <xf numFmtId="0" fontId="42" fillId="0" borderId="27" xfId="0" applyFont="1" applyBorder="1" applyAlignment="1">
      <alignment horizontal="center"/>
    </xf>
    <xf numFmtId="0" fontId="33" fillId="0" borderId="15" xfId="0" applyFont="1" applyBorder="1" applyAlignment="1">
      <alignment horizontal="center"/>
    </xf>
    <xf numFmtId="0" fontId="33" fillId="0" borderId="17" xfId="0" applyFont="1" applyBorder="1" applyAlignment="1">
      <alignment horizontal="center"/>
    </xf>
    <xf numFmtId="0" fontId="42" fillId="0" borderId="16" xfId="0" applyFont="1" applyBorder="1" applyAlignment="1">
      <alignment horizontal="right"/>
    </xf>
    <xf numFmtId="0" fontId="33" fillId="0" borderId="21" xfId="0" applyNumberFormat="1" applyFont="1" applyFill="1" applyBorder="1" applyAlignment="1" applyProtection="1">
      <alignment horizontal="center" wrapText="1"/>
      <protection locked="0"/>
    </xf>
    <xf numFmtId="0" fontId="33" fillId="0" borderId="22" xfId="0" applyNumberFormat="1" applyFont="1" applyFill="1" applyBorder="1" applyAlignment="1" applyProtection="1">
      <alignment horizontal="center" wrapText="1"/>
      <protection locked="0"/>
    </xf>
    <xf numFmtId="0" fontId="33" fillId="0" borderId="23" xfId="0" applyNumberFormat="1" applyFont="1" applyFill="1" applyBorder="1" applyAlignment="1" applyProtection="1">
      <alignment horizontal="center" wrapText="1"/>
      <protection locked="0"/>
    </xf>
    <xf numFmtId="0" fontId="40" fillId="0" borderId="17" xfId="0" applyFont="1" applyBorder="1" applyAlignment="1">
      <alignment horizontal="center"/>
    </xf>
    <xf numFmtId="0" fontId="44" fillId="0" borderId="5" xfId="0" applyFont="1" applyBorder="1" applyAlignment="1" applyProtection="1">
      <alignment horizontal="center" vertical="top"/>
    </xf>
    <xf numFmtId="0" fontId="44" fillId="0" borderId="6" xfId="0" applyFont="1" applyBorder="1" applyAlignment="1" applyProtection="1">
      <alignment horizontal="center" vertical="top"/>
    </xf>
    <xf numFmtId="0" fontId="44" fillId="0" borderId="2" xfId="0" applyFont="1" applyBorder="1" applyAlignment="1" applyProtection="1">
      <alignment horizontal="center" vertical="top"/>
    </xf>
    <xf numFmtId="0" fontId="44" fillId="0" borderId="3" xfId="0" applyFont="1" applyBorder="1" applyAlignment="1" applyProtection="1">
      <alignment horizontal="center" vertical="top"/>
    </xf>
    <xf numFmtId="0" fontId="34" fillId="0" borderId="0" xfId="0" applyFont="1" applyAlignment="1">
      <alignment horizontal="right"/>
    </xf>
    <xf numFmtId="0" fontId="34" fillId="0" borderId="0" xfId="0" applyFont="1" applyAlignment="1">
      <alignment horizontal="left"/>
    </xf>
    <xf numFmtId="0" fontId="40" fillId="0" borderId="21" xfId="0" applyNumberFormat="1"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33" fillId="18" borderId="21" xfId="0" applyFont="1" applyFill="1" applyBorder="1" applyAlignment="1">
      <alignment horizontal="left"/>
    </xf>
    <xf numFmtId="0" fontId="33" fillId="18" borderId="23" xfId="0" applyFont="1" applyFill="1" applyBorder="1" applyAlignment="1">
      <alignment horizontal="left"/>
    </xf>
    <xf numFmtId="0" fontId="0" fillId="9" borderId="21" xfId="0" applyFill="1" applyBorder="1" applyAlignment="1">
      <alignment horizontal="center"/>
    </xf>
    <xf numFmtId="0" fontId="0" fillId="9" borderId="22" xfId="0" applyFill="1" applyBorder="1" applyAlignment="1">
      <alignment horizontal="center"/>
    </xf>
    <xf numFmtId="0" fontId="0" fillId="9" borderId="23" xfId="0" applyFill="1" applyBorder="1" applyAlignment="1">
      <alignment horizontal="center"/>
    </xf>
    <xf numFmtId="0" fontId="19" fillId="9" borderId="0" xfId="0" applyFont="1" applyFill="1" applyAlignment="1">
      <alignment horizontal="center"/>
    </xf>
    <xf numFmtId="0" fontId="19" fillId="9" borderId="30" xfId="0" applyFont="1" applyFill="1" applyBorder="1" applyAlignment="1">
      <alignment horizontal="center" vertical="center"/>
    </xf>
    <xf numFmtId="0" fontId="19" fillId="9" borderId="0" xfId="0" applyFont="1" applyFill="1" applyBorder="1" applyAlignment="1">
      <alignment horizontal="center" vertical="center"/>
    </xf>
    <xf numFmtId="0" fontId="19" fillId="9" borderId="28" xfId="0" applyFont="1" applyFill="1" applyBorder="1" applyAlignment="1">
      <alignment horizontal="center" vertical="center"/>
    </xf>
    <xf numFmtId="0" fontId="19" fillId="9" borderId="21" xfId="0" applyFont="1" applyFill="1" applyBorder="1" applyAlignment="1">
      <alignment horizontal="center" vertical="center"/>
    </xf>
    <xf numFmtId="0" fontId="19" fillId="9" borderId="22" xfId="0" applyFont="1" applyFill="1" applyBorder="1" applyAlignment="1">
      <alignment horizontal="center" vertical="center"/>
    </xf>
    <xf numFmtId="0" fontId="19" fillId="9" borderId="23" xfId="0" applyFont="1" applyFill="1" applyBorder="1" applyAlignment="1">
      <alignment horizontal="center" vertical="center"/>
    </xf>
    <xf numFmtId="0" fontId="19" fillId="9" borderId="18" xfId="0" applyFont="1" applyFill="1" applyBorder="1" applyAlignment="1">
      <alignment horizontal="center" vertical="center"/>
    </xf>
    <xf numFmtId="0" fontId="19" fillId="9" borderId="19" xfId="0" applyFont="1" applyFill="1" applyBorder="1" applyAlignment="1">
      <alignment horizontal="center" vertical="center"/>
    </xf>
    <xf numFmtId="0" fontId="19" fillId="9" borderId="20" xfId="0" applyFont="1" applyFill="1" applyBorder="1" applyAlignment="1">
      <alignment horizontal="center" vertical="center"/>
    </xf>
    <xf numFmtId="0" fontId="19" fillId="9" borderId="0" xfId="0" applyFont="1" applyFill="1" applyAlignment="1">
      <alignment horizontal="center" vertical="center" wrapText="1"/>
    </xf>
    <xf numFmtId="0" fontId="19" fillId="9" borderId="0" xfId="0" applyFont="1" applyFill="1" applyAlignment="1">
      <alignment horizontal="center" vertical="center"/>
    </xf>
    <xf numFmtId="0" fontId="19" fillId="9" borderId="28"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0" xfId="0" applyFont="1" applyFill="1" applyBorder="1" applyAlignment="1">
      <alignment horizontal="center" vertical="center" textRotation="90" wrapText="1"/>
    </xf>
    <xf numFmtId="0" fontId="21" fillId="9" borderId="0" xfId="0" applyFont="1" applyFill="1" applyBorder="1" applyAlignment="1">
      <alignment horizontal="left" vertical="center" wrapText="1"/>
    </xf>
    <xf numFmtId="0" fontId="54" fillId="9" borderId="0" xfId="0" applyFont="1" applyFill="1" applyBorder="1" applyAlignment="1">
      <alignment horizontal="center" vertical="center" wrapText="1"/>
    </xf>
    <xf numFmtId="0" fontId="19" fillId="9" borderId="0" xfId="0" applyFont="1" applyFill="1" applyBorder="1" applyAlignment="1">
      <alignment horizontal="center" vertical="center" wrapText="1"/>
    </xf>
    <xf numFmtId="0" fontId="54" fillId="9" borderId="0" xfId="0" applyFont="1" applyFill="1" applyAlignment="1">
      <alignment horizontal="center" vertical="center" wrapText="1"/>
    </xf>
    <xf numFmtId="0" fontId="54" fillId="9" borderId="21" xfId="0" applyFont="1" applyFill="1" applyBorder="1" applyAlignment="1">
      <alignment horizontal="center" vertical="center" wrapText="1"/>
    </xf>
    <xf numFmtId="0" fontId="54" fillId="9" borderId="22" xfId="0" applyFont="1" applyFill="1" applyBorder="1" applyAlignment="1">
      <alignment horizontal="center" vertical="center" wrapText="1"/>
    </xf>
    <xf numFmtId="0" fontId="54" fillId="9" borderId="23" xfId="0" applyFont="1" applyFill="1" applyBorder="1" applyAlignment="1">
      <alignment horizontal="center" vertical="center" wrapText="1"/>
    </xf>
    <xf numFmtId="0" fontId="21" fillId="9" borderId="18" xfId="0" applyFont="1" applyFill="1" applyBorder="1" applyAlignment="1">
      <alignment horizontal="center" vertical="center"/>
    </xf>
    <xf numFmtId="0" fontId="21" fillId="9" borderId="19" xfId="0" applyFont="1" applyFill="1" applyBorder="1" applyAlignment="1">
      <alignment horizontal="center" vertical="center"/>
    </xf>
    <xf numFmtId="0" fontId="54" fillId="9" borderId="7" xfId="0" applyFont="1" applyFill="1" applyBorder="1" applyAlignment="1">
      <alignment horizontal="center" vertical="center" wrapText="1"/>
    </xf>
    <xf numFmtId="0" fontId="0" fillId="9" borderId="0" xfId="0" applyFont="1" applyFill="1" applyAlignment="1">
      <alignment horizontal="center" vertical="center"/>
    </xf>
    <xf numFmtId="0" fontId="19" fillId="9" borderId="0" xfId="0" applyFont="1" applyFill="1" applyAlignment="1">
      <alignment horizontal="left" wrapText="1"/>
    </xf>
    <xf numFmtId="0" fontId="21" fillId="9" borderId="0" xfId="0" applyFont="1" applyFill="1" applyAlignment="1">
      <alignment horizontal="center" vertical="center" wrapText="1"/>
    </xf>
    <xf numFmtId="0" fontId="21" fillId="9" borderId="0" xfId="0" applyFont="1" applyFill="1" applyAlignment="1">
      <alignment horizontal="center" vertical="center" textRotation="90" wrapText="1"/>
    </xf>
    <xf numFmtId="0" fontId="20" fillId="9" borderId="0" xfId="0" applyFont="1" applyFill="1" applyAlignment="1">
      <alignment horizontal="center" vertical="center" textRotation="90" wrapText="1"/>
    </xf>
    <xf numFmtId="0" fontId="24" fillId="0" borderId="0" xfId="0" applyFont="1" applyAlignment="1">
      <alignment horizontal="center"/>
    </xf>
    <xf numFmtId="0" fontId="0" fillId="23" borderId="16" xfId="0" applyFill="1" applyBorder="1" applyAlignment="1">
      <alignment horizontal="center" textRotation="90" wrapText="1"/>
    </xf>
    <xf numFmtId="0" fontId="0" fillId="23" borderId="0" xfId="0" applyFill="1" applyBorder="1" applyAlignment="1">
      <alignment horizontal="center" textRotation="90" wrapText="1"/>
    </xf>
    <xf numFmtId="0" fontId="0" fillId="23" borderId="17" xfId="0" applyFill="1" applyBorder="1" applyAlignment="1">
      <alignment horizontal="center" textRotation="90" wrapText="1"/>
    </xf>
    <xf numFmtId="0" fontId="0" fillId="23" borderId="28" xfId="0" applyFill="1" applyBorder="1" applyAlignment="1">
      <alignment horizontal="center" textRotation="90" wrapText="1"/>
    </xf>
    <xf numFmtId="0" fontId="0" fillId="23" borderId="15" xfId="0" applyFill="1" applyBorder="1" applyAlignment="1">
      <alignment horizontal="left"/>
    </xf>
    <xf numFmtId="0" fontId="0" fillId="23" borderId="16" xfId="0" applyFill="1" applyBorder="1" applyAlignment="1">
      <alignment horizontal="left"/>
    </xf>
    <xf numFmtId="0" fontId="0" fillId="23" borderId="7" xfId="0" applyFill="1" applyBorder="1" applyAlignment="1">
      <alignment horizontal="left"/>
    </xf>
  </cellXfs>
  <cellStyles count="3">
    <cellStyle name="Lien hypertexte" xfId="2" builtinId="8"/>
    <cellStyle name="Normal" xfId="0" builtinId="0"/>
    <cellStyle name="Normal 2" xfId="1" xr:uid="{00000000-0005-0000-0000-000002000000}"/>
  </cellStyles>
  <dxfs count="126">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tint="-0.34998626667073579"/>
      </font>
      <fill>
        <patternFill>
          <bgColor theme="0" tint="-0.34998626667073579"/>
        </patternFill>
      </fill>
    </dxf>
    <dxf>
      <font>
        <color rgb="FF00B0F0"/>
      </font>
      <fill>
        <patternFill>
          <bgColor rgb="FF00B0F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3FF23"/>
      <rgbColor rgb="000000FF"/>
      <rgbColor rgb="00FFFF00"/>
      <rgbColor rgb="00FF00FF"/>
      <rgbColor rgb="0000FFFF"/>
      <rgbColor rgb="00800000"/>
      <rgbColor rgb="00008000"/>
      <rgbColor rgb="00000080"/>
      <rgbColor rgb="00996633"/>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66"/>
      <rgbColor rgb="0099CC00"/>
      <rgbColor rgb="00FFCC00"/>
      <rgbColor rgb="00FF950E"/>
      <rgbColor rgb="00FF6600"/>
      <rgbColor rgb="009966CC"/>
      <rgbColor rgb="00969696"/>
      <rgbColor rgb="00003366"/>
      <rgbColor rgb="00339966"/>
      <rgbColor rgb="00003300"/>
      <rgbColor rgb="00333300"/>
      <rgbColor rgb="00993300"/>
      <rgbColor rgb="00993366"/>
      <rgbColor rgb="00333399"/>
      <rgbColor rgb="00333333"/>
    </indexedColors>
    <mruColors>
      <color rgb="FFFF33CC"/>
      <color rgb="FF800000"/>
      <color rgb="FF66FF99"/>
      <color rgb="FF66FF33"/>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xdr:colOff>
          <xdr:row>11</xdr:row>
          <xdr:rowOff>30480</xdr:rowOff>
        </xdr:from>
        <xdr:to>
          <xdr:col>8</xdr:col>
          <xdr:colOff>99060</xdr:colOff>
          <xdr:row>14</xdr:row>
          <xdr:rowOff>144780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11</xdr:row>
          <xdr:rowOff>30480</xdr:rowOff>
        </xdr:from>
        <xdr:to>
          <xdr:col>10</xdr:col>
          <xdr:colOff>251460</xdr:colOff>
          <xdr:row>14</xdr:row>
          <xdr:rowOff>144780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144780</xdr:rowOff>
        </xdr:from>
        <xdr:to>
          <xdr:col>6</xdr:col>
          <xdr:colOff>297180</xdr:colOff>
          <xdr:row>19</xdr:row>
          <xdr:rowOff>7620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15</xdr:row>
          <xdr:rowOff>22860</xdr:rowOff>
        </xdr:from>
        <xdr:to>
          <xdr:col>11</xdr:col>
          <xdr:colOff>0</xdr:colOff>
          <xdr:row>19</xdr:row>
          <xdr:rowOff>22860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19</xdr:row>
          <xdr:rowOff>7620</xdr:rowOff>
        </xdr:from>
        <xdr:to>
          <xdr:col>9</xdr:col>
          <xdr:colOff>60960</xdr:colOff>
          <xdr:row>22</xdr:row>
          <xdr:rowOff>45720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xdr:row>
          <xdr:rowOff>45720</xdr:rowOff>
        </xdr:from>
        <xdr:to>
          <xdr:col>34</xdr:col>
          <xdr:colOff>7620</xdr:colOff>
          <xdr:row>8</xdr:row>
          <xdr:rowOff>175260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213360</xdr:colOff>
          <xdr:row>7</xdr:row>
          <xdr:rowOff>30480</xdr:rowOff>
        </xdr:from>
        <xdr:to>
          <xdr:col>8</xdr:col>
          <xdr:colOff>137160</xdr:colOff>
          <xdr:row>10</xdr:row>
          <xdr:rowOff>22860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30480</xdr:rowOff>
        </xdr:from>
        <xdr:to>
          <xdr:col>11</xdr:col>
          <xdr:colOff>144780</xdr:colOff>
          <xdr:row>10</xdr:row>
          <xdr:rowOff>22860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11</xdr:row>
          <xdr:rowOff>0</xdr:rowOff>
        </xdr:from>
        <xdr:to>
          <xdr:col>6</xdr:col>
          <xdr:colOff>563880</xdr:colOff>
          <xdr:row>14</xdr:row>
          <xdr:rowOff>83820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11</xdr:row>
          <xdr:rowOff>0</xdr:rowOff>
        </xdr:from>
        <xdr:to>
          <xdr:col>11</xdr:col>
          <xdr:colOff>220980</xdr:colOff>
          <xdr:row>14</xdr:row>
          <xdr:rowOff>99060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15</xdr:row>
          <xdr:rowOff>22860</xdr:rowOff>
        </xdr:from>
        <xdr:to>
          <xdr:col>10</xdr:col>
          <xdr:colOff>251460</xdr:colOff>
          <xdr:row>18</xdr:row>
          <xdr:rowOff>7620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5.emf"/><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oleObject" Target="../embeddings/oleObject11.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8.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voixrokugan.org/Forum/viewtopic.php?t=2801"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voixrokugan.org/Forum/viewtopic.php?t=2801" TargetMode="External"/><Relationship Id="rId2" Type="http://schemas.openxmlformats.org/officeDocument/2006/relationships/hyperlink" Target="http://www.voixrokugan.org/Forum/viewtopic.php?t=2801" TargetMode="External"/><Relationship Id="rId1" Type="http://schemas.openxmlformats.org/officeDocument/2006/relationships/hyperlink" Target="http://www.voixrokugan.org/Forum/viewtopic.php?t=2801" TargetMode="External"/><Relationship Id="rId6" Type="http://schemas.openxmlformats.org/officeDocument/2006/relationships/printerSettings" Target="../printerSettings/printerSettings9.bin"/><Relationship Id="rId5" Type="http://schemas.openxmlformats.org/officeDocument/2006/relationships/hyperlink" Target="http://www.voixrokugan.org/Forum/viewtopic.php?t=2801" TargetMode="External"/><Relationship Id="rId4" Type="http://schemas.openxmlformats.org/officeDocument/2006/relationships/hyperlink" Target="http://www.voixrokugan.org/Forum/viewtopic.php?t=2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N69"/>
  <sheetViews>
    <sheetView tabSelected="1" zoomScale="115" zoomScaleNormal="115" workbookViewId="0"/>
  </sheetViews>
  <sheetFormatPr baseColWidth="10" defaultColWidth="11.5546875" defaultRowHeight="13.2" x14ac:dyDescent="0.25"/>
  <cols>
    <col min="1" max="1" width="1.109375" style="29" customWidth="1"/>
    <col min="2" max="2" width="4.6640625" style="29" customWidth="1"/>
    <col min="3" max="3" width="4.5546875" style="29" customWidth="1"/>
    <col min="4" max="4" width="3.6640625" style="29" customWidth="1"/>
    <col min="5" max="5" width="3.44140625" style="29" customWidth="1"/>
    <col min="6" max="6" width="3.33203125" style="29" customWidth="1"/>
    <col min="7" max="7" width="4.5546875" style="29" customWidth="1"/>
    <col min="8" max="8" width="2.44140625" style="29" customWidth="1"/>
    <col min="9" max="10" width="2.88671875" style="29" customWidth="1"/>
    <col min="11" max="11" width="4.6640625" style="29" customWidth="1"/>
    <col min="12" max="12" width="1.33203125" style="29" customWidth="1"/>
    <col min="13" max="13" width="2.6640625" style="29" customWidth="1"/>
    <col min="14" max="14" width="3" style="29" customWidth="1"/>
    <col min="15" max="16" width="2.33203125" style="29" customWidth="1"/>
    <col min="17" max="18" width="1.6640625" style="29" customWidth="1"/>
    <col min="19" max="19" width="0.88671875" style="29" customWidth="1"/>
    <col min="20" max="20" width="1.44140625" style="29" customWidth="1"/>
    <col min="21" max="21" width="2.6640625" style="29" customWidth="1"/>
    <col min="22" max="22" width="1.33203125" style="29" customWidth="1"/>
    <col min="23" max="23" width="3.109375" style="29" customWidth="1"/>
    <col min="24" max="24" width="1.6640625" style="29" customWidth="1"/>
    <col min="25" max="25" width="4.33203125" style="29" customWidth="1"/>
    <col min="26" max="26" width="3.6640625" style="29" customWidth="1"/>
    <col min="27" max="27" width="6.5546875" style="29" customWidth="1"/>
    <col min="28" max="28" width="1.6640625" style="29" customWidth="1"/>
    <col min="29" max="29" width="2" style="29" customWidth="1"/>
    <col min="30" max="30" width="5.33203125" style="29" customWidth="1"/>
    <col min="31" max="31" width="2.109375" style="29" customWidth="1"/>
    <col min="32" max="32" width="6.44140625" style="29" customWidth="1"/>
    <col min="33" max="33" width="0.44140625" style="29" customWidth="1"/>
    <col min="34" max="34" width="1.6640625" style="29" customWidth="1"/>
    <col min="35" max="35" width="5.88671875" style="29" customWidth="1"/>
    <col min="36" max="36" width="1" style="29" hidden="1" customWidth="1"/>
    <col min="37" max="37" width="0.33203125" style="29" customWidth="1"/>
    <col min="38" max="38" width="2.6640625" style="134" customWidth="1"/>
    <col min="39" max="39" width="4.44140625" style="134" customWidth="1"/>
    <col min="40" max="40" width="5.5546875" style="134" customWidth="1"/>
    <col min="41" max="41" width="4.33203125" style="134" customWidth="1"/>
    <col min="42" max="42" width="3.33203125" style="134" customWidth="1"/>
    <col min="43" max="43" width="15.44140625" style="134" customWidth="1"/>
    <col min="44" max="49" width="3.44140625" style="29" customWidth="1"/>
    <col min="50" max="16384" width="11.5546875" style="29"/>
  </cols>
  <sheetData>
    <row r="1" spans="1:44" ht="6" customHeight="1" x14ac:dyDescent="0.25"/>
    <row r="2" spans="1:44" ht="13.2" customHeight="1" thickBot="1" x14ac:dyDescent="0.35">
      <c r="B2" s="43" t="s">
        <v>1870</v>
      </c>
      <c r="C2" s="43"/>
      <c r="D2" s="630"/>
      <c r="E2" s="630"/>
      <c r="F2" s="630"/>
      <c r="G2" s="630"/>
      <c r="H2" s="630"/>
      <c r="I2" s="634"/>
      <c r="J2" s="634"/>
      <c r="K2" s="634"/>
      <c r="L2" s="634"/>
      <c r="M2" s="634"/>
      <c r="N2" s="634"/>
      <c r="O2" s="634"/>
      <c r="P2" s="634"/>
      <c r="Q2" s="634"/>
      <c r="R2" s="634"/>
      <c r="S2" s="634"/>
      <c r="T2" s="634"/>
      <c r="U2" s="634"/>
      <c r="W2" s="628" t="s">
        <v>7459</v>
      </c>
      <c r="X2" s="628"/>
      <c r="Y2" s="628"/>
      <c r="Z2" s="628"/>
      <c r="AA2" s="629"/>
      <c r="AB2" s="629"/>
      <c r="AC2" s="629"/>
      <c r="AD2" s="629"/>
      <c r="AE2" s="629"/>
      <c r="AF2" s="629"/>
      <c r="AG2" s="629"/>
      <c r="AH2" s="629"/>
      <c r="AI2" s="629"/>
    </row>
    <row r="3" spans="1:44" ht="13.2" customHeight="1" thickTop="1" x14ac:dyDescent="0.25">
      <c r="B3" s="55" t="s">
        <v>1869</v>
      </c>
      <c r="C3" s="694"/>
      <c r="D3" s="694"/>
      <c r="E3" s="694"/>
      <c r="F3" s="694"/>
      <c r="G3" s="694"/>
      <c r="H3" s="694"/>
      <c r="I3" s="694"/>
      <c r="J3" s="55" t="s">
        <v>1918</v>
      </c>
      <c r="K3" s="55"/>
      <c r="L3" s="685"/>
      <c r="M3" s="685"/>
      <c r="N3" s="685"/>
      <c r="O3" s="685"/>
      <c r="P3" s="685"/>
      <c r="Q3" s="685"/>
      <c r="R3" s="685"/>
      <c r="S3" s="685"/>
      <c r="T3" s="685"/>
      <c r="U3" s="685"/>
      <c r="W3" s="647" t="str">
        <f>IF(J4="","",VLOOKUP(J4,Ecoles!B:S,7,0))</f>
        <v/>
      </c>
      <c r="X3" s="647"/>
      <c r="Y3" s="647"/>
      <c r="Z3" s="647"/>
      <c r="AA3" s="647"/>
      <c r="AB3" s="647"/>
      <c r="AC3" s="647"/>
      <c r="AD3" s="647"/>
      <c r="AE3" s="647"/>
      <c r="AF3" s="647"/>
      <c r="AG3" s="647"/>
      <c r="AH3" s="647"/>
      <c r="AI3" s="647"/>
    </row>
    <row r="4" spans="1:44" ht="13.2" customHeight="1" x14ac:dyDescent="0.25">
      <c r="B4" s="33" t="s">
        <v>1928</v>
      </c>
      <c r="C4" s="33"/>
      <c r="D4" s="630"/>
      <c r="E4" s="630"/>
      <c r="F4" s="630"/>
      <c r="G4" s="630"/>
      <c r="H4" s="643" t="s">
        <v>1868</v>
      </c>
      <c r="I4" s="643"/>
      <c r="J4" s="685"/>
      <c r="K4" s="685"/>
      <c r="L4" s="685"/>
      <c r="M4" s="685"/>
      <c r="N4" s="685"/>
      <c r="O4" s="685"/>
      <c r="P4" s="685"/>
      <c r="Q4" s="685"/>
      <c r="R4" s="685"/>
      <c r="S4" s="685"/>
      <c r="T4" s="685"/>
      <c r="U4" s="685"/>
      <c r="W4" s="647"/>
      <c r="X4" s="647"/>
      <c r="Y4" s="647"/>
      <c r="Z4" s="647"/>
      <c r="AA4" s="647"/>
      <c r="AB4" s="647"/>
      <c r="AC4" s="647"/>
      <c r="AD4" s="647"/>
      <c r="AE4" s="647"/>
      <c r="AF4" s="647"/>
      <c r="AG4" s="647"/>
      <c r="AH4" s="647"/>
      <c r="AI4" s="647"/>
    </row>
    <row r="5" spans="1:44" ht="13.2" customHeight="1" x14ac:dyDescent="0.25">
      <c r="B5" s="633" t="s">
        <v>1871</v>
      </c>
      <c r="C5" s="633"/>
      <c r="D5" s="633"/>
      <c r="E5" s="633"/>
      <c r="F5" s="63"/>
      <c r="G5" s="62"/>
      <c r="H5" s="644" t="s">
        <v>1876</v>
      </c>
      <c r="I5" s="644"/>
      <c r="J5" s="644"/>
      <c r="K5" s="644"/>
      <c r="L5" s="643">
        <f>(H16+I16+H17+I17+H19)*10+SUM(G28:G44)+IF(Calculs!S394&gt;2,3,0)+IF(Calculs!S394&gt;6,7,0)+IF(Calculs!S402&gt;2,3,0)+IF(Calculs!S402&gt;6,7,0)</f>
        <v>100</v>
      </c>
      <c r="M5" s="643"/>
      <c r="N5" s="633" t="s">
        <v>1945</v>
      </c>
      <c r="O5" s="633"/>
      <c r="P5" s="633"/>
      <c r="Q5" s="633"/>
      <c r="R5" s="631">
        <f>IF(L5&lt;150,1,IF(AND(L5&gt;=150,L5&lt;175),2,IF(AND(L5&gt;=175,L5&lt;200),3,IF(AND(L5&gt;=200,L5&lt;225),4,IF(AND(L5&gt;=225,L5&lt;250),5,IF(AND(L5&gt;=250,L5&lt;275),6,IF(AND(L5&gt;=275,L5&lt;300),7,IF(AND(L5&gt;=300,L5&lt;325),8,IF(AND(L5&gt;=325,L5&lt;350),9,IF(AND(L5&gt;=350,L5&lt;375),10,IF(AND(L5&gt;=375,L5&lt;400),11,IF(AND(L5&gt;=400,L5&lt;425),12,IF(AND(L5&gt;=425,L5&lt;450),13,IF(AND(L5&gt;=450,L5&lt;475),14,0))))))))))))))</f>
        <v>1</v>
      </c>
      <c r="S5" s="631"/>
      <c r="T5" s="631"/>
      <c r="W5" s="647"/>
      <c r="X5" s="647"/>
      <c r="Y5" s="647"/>
      <c r="Z5" s="647"/>
      <c r="AA5" s="647"/>
      <c r="AB5" s="647"/>
      <c r="AC5" s="647"/>
      <c r="AD5" s="647"/>
      <c r="AE5" s="647"/>
      <c r="AF5" s="647"/>
      <c r="AG5" s="647"/>
      <c r="AH5" s="647"/>
      <c r="AI5" s="647"/>
    </row>
    <row r="6" spans="1:44" ht="13.2" customHeight="1" x14ac:dyDescent="0.25">
      <c r="B6" s="33"/>
      <c r="C6" s="33"/>
      <c r="D6" s="33"/>
      <c r="E6" s="33"/>
      <c r="F6" s="33"/>
      <c r="G6" s="33"/>
      <c r="H6" s="33"/>
      <c r="I6" s="33"/>
      <c r="J6" s="33"/>
      <c r="K6" s="33"/>
      <c r="L6" s="33"/>
      <c r="M6" s="33"/>
      <c r="W6" s="647"/>
      <c r="X6" s="647"/>
      <c r="Y6" s="647"/>
      <c r="Z6" s="647"/>
      <c r="AA6" s="647"/>
      <c r="AB6" s="647"/>
      <c r="AC6" s="647"/>
      <c r="AD6" s="647"/>
      <c r="AE6" s="647"/>
      <c r="AF6" s="647"/>
      <c r="AG6" s="647"/>
      <c r="AH6" s="647"/>
      <c r="AI6" s="647"/>
    </row>
    <row r="7" spans="1:44" ht="13.2" customHeight="1" x14ac:dyDescent="0.25">
      <c r="B7" s="642" t="s">
        <v>1872</v>
      </c>
      <c r="C7" s="642"/>
      <c r="D7" s="302"/>
      <c r="E7" s="346">
        <f>IF(J4="",0,D7+(VLOOKUP(J4,Ecoles!B:E,4,FALSE)))+IF(Calculs!G734&gt;0,1,0)</f>
        <v>0</v>
      </c>
      <c r="F7" s="632" t="s">
        <v>1873</v>
      </c>
      <c r="G7" s="632"/>
      <c r="H7" s="310"/>
      <c r="I7" s="374">
        <f>H7+1+IF(Calculs!G732&gt;0,1,0)</f>
        <v>1</v>
      </c>
      <c r="J7" s="631" t="str">
        <f>IF(Clan="Nezumi","Niche:","Statut:")</f>
        <v>Statut:</v>
      </c>
      <c r="K7" s="631"/>
      <c r="L7" s="645"/>
      <c r="M7" s="645"/>
      <c r="N7" s="347">
        <f>IF(Calculs!G892&gt;0,0,L7+IF(Calculs!G775&gt;0,0,1)+IF(Calculs!G427&gt;0,0.5,0)+IF(Calculs!G547&gt;0,1,0)+IF(Calculs!G647&gt;0,1,0))</f>
        <v>1</v>
      </c>
      <c r="O7" s="686" t="s">
        <v>4932</v>
      </c>
      <c r="P7" s="687"/>
      <c r="Q7" s="687"/>
      <c r="R7" s="687"/>
      <c r="S7" s="645"/>
      <c r="T7" s="646"/>
      <c r="U7" s="348">
        <f>S7</f>
        <v>0</v>
      </c>
      <c r="W7" s="647"/>
      <c r="X7" s="647"/>
      <c r="Y7" s="647"/>
      <c r="Z7" s="647"/>
      <c r="AA7" s="647"/>
      <c r="AB7" s="647"/>
      <c r="AC7" s="647"/>
      <c r="AD7" s="647"/>
      <c r="AE7" s="647"/>
      <c r="AF7" s="647"/>
      <c r="AG7" s="647"/>
      <c r="AH7" s="647"/>
      <c r="AI7" s="647"/>
      <c r="AQ7" s="318"/>
      <c r="AR7" s="301"/>
    </row>
    <row r="8" spans="1:44" ht="13.2" customHeight="1" x14ac:dyDescent="0.25">
      <c r="B8" s="86" t="s">
        <v>2044</v>
      </c>
      <c r="D8" s="67"/>
      <c r="E8" s="643" t="s">
        <v>2043</v>
      </c>
      <c r="F8" s="643"/>
      <c r="G8" s="643"/>
      <c r="H8" s="691">
        <f>ROUNDDOWN(L8,0)+IF(Calculs!G897&gt;0,0.5,0)</f>
        <v>0</v>
      </c>
      <c r="I8" s="691"/>
      <c r="J8" s="642" t="s">
        <v>1874</v>
      </c>
      <c r="K8" s="642"/>
      <c r="L8" s="693"/>
      <c r="M8" s="693"/>
      <c r="O8" s="631" t="s">
        <v>1875</v>
      </c>
      <c r="P8" s="631"/>
      <c r="Q8" s="631"/>
      <c r="R8" s="631"/>
      <c r="S8" s="693"/>
      <c r="T8" s="693"/>
      <c r="U8" s="693"/>
      <c r="W8" s="647"/>
      <c r="X8" s="647"/>
      <c r="Y8" s="647"/>
      <c r="Z8" s="647"/>
      <c r="AA8" s="647"/>
      <c r="AB8" s="647"/>
      <c r="AC8" s="647"/>
      <c r="AD8" s="647"/>
      <c r="AE8" s="647"/>
      <c r="AF8" s="647"/>
      <c r="AG8" s="647"/>
      <c r="AH8" s="647"/>
      <c r="AI8" s="647"/>
    </row>
    <row r="9" spans="1:44" ht="15" customHeight="1" thickBot="1" x14ac:dyDescent="0.35">
      <c r="B9" s="692" t="s">
        <v>1915</v>
      </c>
      <c r="C9" s="692"/>
      <c r="D9" s="692"/>
      <c r="E9" s="692"/>
      <c r="F9" s="692"/>
      <c r="G9" s="692"/>
      <c r="H9" s="692"/>
      <c r="I9" s="692"/>
      <c r="J9" s="692"/>
      <c r="K9" s="692"/>
      <c r="L9" s="692"/>
      <c r="M9" s="634"/>
      <c r="N9" s="634"/>
      <c r="O9" s="44" t="s">
        <v>1877</v>
      </c>
      <c r="P9" s="634"/>
      <c r="Q9" s="634"/>
      <c r="R9" s="634"/>
      <c r="S9" s="43"/>
      <c r="T9" s="43"/>
      <c r="U9" s="43"/>
      <c r="W9" s="648"/>
      <c r="X9" s="648"/>
      <c r="Y9" s="648"/>
      <c r="Z9" s="648"/>
      <c r="AA9" s="648"/>
      <c r="AB9" s="648"/>
      <c r="AC9" s="648"/>
      <c r="AD9" s="648"/>
      <c r="AE9" s="648"/>
      <c r="AF9" s="648"/>
      <c r="AG9" s="648"/>
      <c r="AH9" s="648"/>
      <c r="AI9" s="648"/>
    </row>
    <row r="10" spans="1:44" ht="13.2" customHeight="1" thickTop="1" x14ac:dyDescent="0.25">
      <c r="W10" s="641" t="s">
        <v>1879</v>
      </c>
      <c r="X10" s="641"/>
      <c r="Y10" s="641"/>
      <c r="Z10" s="641"/>
      <c r="AA10" s="641"/>
      <c r="AB10" s="641"/>
      <c r="AC10" s="641"/>
      <c r="AD10" s="641"/>
      <c r="AE10" s="641"/>
      <c r="AF10" s="638">
        <f>M13+R5</f>
        <v>3</v>
      </c>
      <c r="AG10" s="639"/>
      <c r="AH10" s="279" t="s">
        <v>1880</v>
      </c>
      <c r="AI10" s="280">
        <f>IF(AF10&gt;M13,M13,AF10)</f>
        <v>2</v>
      </c>
    </row>
    <row r="11" spans="1:44" ht="11.25" customHeight="1" x14ac:dyDescent="0.25">
      <c r="G11" s="690" t="s">
        <v>577</v>
      </c>
      <c r="H11" s="690"/>
      <c r="J11" s="690" t="s">
        <v>100</v>
      </c>
      <c r="K11" s="690"/>
      <c r="L11" s="35"/>
    </row>
    <row r="12" spans="1:44" ht="9" customHeight="1" x14ac:dyDescent="0.25">
      <c r="W12" s="695" t="s">
        <v>1878</v>
      </c>
      <c r="X12" s="695"/>
      <c r="Y12" s="695"/>
      <c r="Z12" s="695"/>
      <c r="AA12" s="278" t="str">
        <f>IF(Y14="","",VLOOKUP(Y14,Objets!A5:O298,9,0))</f>
        <v/>
      </c>
      <c r="AB12" s="649" t="s">
        <v>1967</v>
      </c>
      <c r="AC12" s="650"/>
      <c r="AD12" s="650"/>
      <c r="AE12" s="650"/>
      <c r="AF12" s="650"/>
      <c r="AG12" s="650"/>
      <c r="AH12" s="650"/>
      <c r="AI12" s="265">
        <f>IF(M13="","",5+5*M13)</f>
        <v>15</v>
      </c>
    </row>
    <row r="13" spans="1:44" ht="13.2" customHeight="1" x14ac:dyDescent="0.25">
      <c r="A13" s="32" t="s">
        <v>1907</v>
      </c>
      <c r="D13" s="30"/>
      <c r="E13" s="58"/>
      <c r="F13" s="348">
        <f>Calculs!D10+E13</f>
        <v>2</v>
      </c>
      <c r="M13" s="348">
        <f>Calculs!D13+N13</f>
        <v>2</v>
      </c>
      <c r="N13" s="56"/>
      <c r="O13" s="31" t="s">
        <v>1911</v>
      </c>
      <c r="V13" s="37"/>
      <c r="W13" s="651" t="s">
        <v>5595</v>
      </c>
      <c r="X13" s="652"/>
      <c r="Y13" s="652"/>
      <c r="Z13" s="652"/>
      <c r="AA13" s="653"/>
      <c r="AB13" s="659">
        <f>IF(AA12="",0,AA12)+AI12+IF(Calculs!S403&gt;4,1,0)+IF(Calculs!S403&gt;6,3,0)</f>
        <v>15</v>
      </c>
      <c r="AC13" s="659"/>
      <c r="AD13" s="659"/>
      <c r="AE13" s="659"/>
      <c r="AF13" s="669" t="s">
        <v>5195</v>
      </c>
      <c r="AG13" s="670"/>
      <c r="AH13" s="671"/>
      <c r="AI13" s="330" t="str">
        <f>IF(Y14="","",VLOOKUP(Y14,Objets!A5:O298,12,0))</f>
        <v/>
      </c>
      <c r="AJ13" s="37"/>
      <c r="AK13" s="37"/>
      <c r="AL13" s="319"/>
      <c r="AM13" s="319"/>
      <c r="AN13" s="319"/>
    </row>
    <row r="14" spans="1:44" ht="13.2" customHeight="1" x14ac:dyDescent="0.25">
      <c r="A14" s="31" t="s">
        <v>1908</v>
      </c>
      <c r="D14" s="59"/>
      <c r="E14" s="348">
        <f>Calculs!D12+D14</f>
        <v>2</v>
      </c>
      <c r="F14" s="30"/>
      <c r="N14" s="348">
        <f>Calculs!D14+O14</f>
        <v>2</v>
      </c>
      <c r="O14" s="57"/>
      <c r="P14" s="31" t="s">
        <v>1912</v>
      </c>
      <c r="W14" s="654" t="s">
        <v>57</v>
      </c>
      <c r="X14" s="655"/>
      <c r="Y14" s="656"/>
      <c r="Z14" s="657"/>
      <c r="AA14" s="657"/>
      <c r="AB14" s="657"/>
      <c r="AC14" s="657"/>
      <c r="AD14" s="657"/>
      <c r="AE14" s="658"/>
      <c r="AF14" s="696" t="s">
        <v>5193</v>
      </c>
      <c r="AG14" s="697"/>
      <c r="AH14" s="698"/>
      <c r="AI14" s="277" t="str">
        <f>IF(Y14="","",VLOOKUP(Y14,Objets!A:O,3,0))</f>
        <v/>
      </c>
    </row>
    <row r="15" spans="1:44" ht="13.2" customHeight="1" thickBot="1" x14ac:dyDescent="0.3">
      <c r="W15" s="663" t="s">
        <v>627</v>
      </c>
      <c r="X15" s="664"/>
      <c r="Y15" s="611" t="str">
        <f>IF(Y14="","",VLOOKUP(Y14,Objets!A:P,16,0))</f>
        <v/>
      </c>
      <c r="Z15" s="611"/>
      <c r="AA15" s="611"/>
      <c r="AB15" s="611"/>
      <c r="AC15" s="611"/>
      <c r="AD15" s="611"/>
      <c r="AE15" s="611"/>
      <c r="AF15" s="611"/>
      <c r="AG15" s="611"/>
      <c r="AH15" s="611"/>
      <c r="AI15" s="611"/>
    </row>
    <row r="16" spans="1:44" ht="13.2" customHeight="1" x14ac:dyDescent="0.25">
      <c r="A16" s="31" t="s">
        <v>1909</v>
      </c>
      <c r="C16" s="59"/>
      <c r="D16" s="348">
        <f>Calculs!D6+C16</f>
        <v>2</v>
      </c>
      <c r="H16" s="352">
        <f>IF(F13&lt;ROUNDDOWN((F13+E14)/2,0),F13,IF(E14&lt;ROUNDDOWN((F13+E14)/2,0),E14,ROUNDDOWN((F13+E14)/2,0)))</f>
        <v>2</v>
      </c>
      <c r="I16" s="351">
        <f>IF(M13&lt;ROUNDDOWN((N14+M13)/2,0),M13,IF(N14&lt;ROUNDDOWN((N14+M13)/2,0),N14,ROUNDDOWN((N14+M13)/2,0)))</f>
        <v>2</v>
      </c>
      <c r="N16" s="348">
        <f>Calculs!D7+O16</f>
        <v>2</v>
      </c>
      <c r="O16" s="57"/>
      <c r="P16" s="31" t="s">
        <v>1913</v>
      </c>
      <c r="W16" s="665"/>
      <c r="X16" s="666"/>
      <c r="Y16" s="611"/>
      <c r="Z16" s="611"/>
      <c r="AA16" s="611"/>
      <c r="AB16" s="611"/>
      <c r="AC16" s="611"/>
      <c r="AD16" s="611"/>
      <c r="AE16" s="611"/>
      <c r="AF16" s="611"/>
      <c r="AG16" s="611"/>
      <c r="AH16" s="611"/>
      <c r="AI16" s="611"/>
    </row>
    <row r="17" spans="1:62" ht="13.2" customHeight="1" x14ac:dyDescent="0.25">
      <c r="A17" s="31" t="s">
        <v>1910</v>
      </c>
      <c r="D17" s="59"/>
      <c r="E17" s="348">
        <f>Calculs!D9+D17</f>
        <v>2</v>
      </c>
      <c r="H17" s="349">
        <f>IF(D16&lt;ROUNDDOWN((D16+E17)/2,0),D16,IF(E17&lt;ROUNDDOWN((D16+E17)/2,0),E17,ROUNDDOWN((D16+E17)/2,0)))</f>
        <v>2</v>
      </c>
      <c r="I17" s="350">
        <f>IF(N16&lt;ROUNDDOWN((N16+M17)/2,0),N16,IF(M17&lt;ROUNDDOWN((N16+M17)/2,0),M17,ROUNDDOWN((N16+M17)/2,0)))</f>
        <v>2</v>
      </c>
      <c r="M17" s="348">
        <f>Calculs!D8+N17</f>
        <v>2</v>
      </c>
      <c r="N17" s="57"/>
      <c r="O17" s="31" t="s">
        <v>1914</v>
      </c>
      <c r="W17" s="667"/>
      <c r="X17" s="668"/>
      <c r="Y17" s="611"/>
      <c r="Z17" s="611"/>
      <c r="AA17" s="611"/>
      <c r="AB17" s="611"/>
      <c r="AC17" s="611"/>
      <c r="AD17" s="611"/>
      <c r="AE17" s="611"/>
      <c r="AF17" s="611"/>
      <c r="AG17" s="611"/>
      <c r="AH17" s="611"/>
      <c r="AI17" s="611"/>
      <c r="AR17" s="134"/>
    </row>
    <row r="18" spans="1:62" ht="3" customHeight="1" x14ac:dyDescent="0.25">
      <c r="A18" s="31"/>
      <c r="E18" s="37"/>
      <c r="H18" s="61"/>
      <c r="I18" s="60"/>
      <c r="M18" s="37"/>
      <c r="N18" s="31"/>
      <c r="O18" s="31"/>
      <c r="AR18" s="134"/>
    </row>
    <row r="19" spans="1:62" ht="13.2" customHeight="1" thickBot="1" x14ac:dyDescent="0.3">
      <c r="H19" s="688">
        <f>E22+Calculs!D11+IF(Recto!W3="",0,IF(Recto!W3="M",1,0))</f>
        <v>2</v>
      </c>
      <c r="I19" s="689"/>
      <c r="M19" s="669" t="s">
        <v>5596</v>
      </c>
      <c r="N19" s="670"/>
      <c r="O19" s="670"/>
      <c r="P19" s="670"/>
      <c r="Q19" s="670"/>
      <c r="R19" s="670"/>
      <c r="S19" s="670"/>
      <c r="T19" s="670"/>
      <c r="U19" s="671"/>
      <c r="W19" s="649" t="s">
        <v>1882</v>
      </c>
      <c r="X19" s="650"/>
      <c r="Y19" s="650"/>
      <c r="Z19" s="650"/>
      <c r="AA19" s="650"/>
      <c r="AB19" s="650"/>
      <c r="AC19" s="650"/>
      <c r="AD19" s="650"/>
      <c r="AE19" s="650"/>
      <c r="AF19" s="650"/>
      <c r="AG19" s="650"/>
      <c r="AH19" s="650"/>
      <c r="AI19" s="699"/>
      <c r="AM19" s="716" t="s">
        <v>5995</v>
      </c>
      <c r="AN19" s="716" t="s">
        <v>7334</v>
      </c>
      <c r="AR19" s="134"/>
      <c r="AS19" s="134"/>
      <c r="AT19" s="134"/>
      <c r="AU19" s="134"/>
      <c r="AV19" s="134"/>
      <c r="AW19" s="134"/>
    </row>
    <row r="20" spans="1:62" ht="13.2" customHeight="1" x14ac:dyDescent="0.25">
      <c r="F20" s="34" t="s">
        <v>578</v>
      </c>
      <c r="K20" s="34" t="s">
        <v>579</v>
      </c>
      <c r="M20" s="673" t="str">
        <f>IF(J4="","",VLOOKUP(J4,Ecoles!A:N,14,0))</f>
        <v/>
      </c>
      <c r="N20" s="674"/>
      <c r="O20" s="674"/>
      <c r="P20" s="674"/>
      <c r="Q20" s="674"/>
      <c r="R20" s="674"/>
      <c r="S20" s="674"/>
      <c r="T20" s="674"/>
      <c r="U20" s="675"/>
      <c r="W20" s="713" t="s">
        <v>1883</v>
      </c>
      <c r="X20" s="713"/>
      <c r="Y20" s="713"/>
      <c r="Z20" s="596" t="s">
        <v>1884</v>
      </c>
      <c r="AA20" s="597"/>
      <c r="AB20" s="753" t="s">
        <v>1885</v>
      </c>
      <c r="AC20" s="753"/>
      <c r="AD20" s="753"/>
      <c r="AE20" s="713" t="s">
        <v>1886</v>
      </c>
      <c r="AF20" s="713"/>
      <c r="AG20" s="713"/>
      <c r="AH20" s="713"/>
      <c r="AI20" s="713"/>
      <c r="AM20" s="716"/>
      <c r="AN20" s="716"/>
      <c r="AR20" s="134"/>
      <c r="AS20" s="134"/>
      <c r="AT20" s="134"/>
      <c r="AU20" s="134"/>
      <c r="AV20" s="134"/>
      <c r="AW20" s="134"/>
    </row>
    <row r="21" spans="1:62" ht="13.2" customHeight="1" x14ac:dyDescent="0.25">
      <c r="M21" s="676"/>
      <c r="N21" s="677"/>
      <c r="O21" s="677"/>
      <c r="P21" s="677"/>
      <c r="Q21" s="677"/>
      <c r="R21" s="677"/>
      <c r="S21" s="677"/>
      <c r="T21" s="677"/>
      <c r="U21" s="678"/>
      <c r="W21" s="640" t="s">
        <v>1925</v>
      </c>
      <c r="X21" s="640"/>
      <c r="Y21" s="640"/>
      <c r="Z21" s="640" t="s">
        <v>1924</v>
      </c>
      <c r="AA21" s="640"/>
      <c r="AB21" s="640"/>
      <c r="AC21" s="640"/>
      <c r="AD21" s="640"/>
      <c r="AE21" s="640" t="s">
        <v>1887</v>
      </c>
      <c r="AF21" s="640"/>
      <c r="AG21" s="640"/>
      <c r="AH21" s="640"/>
      <c r="AI21" s="640"/>
      <c r="AM21" s="716"/>
      <c r="AN21" s="716"/>
      <c r="AP21" s="716" t="s">
        <v>5996</v>
      </c>
      <c r="AR21" s="134"/>
      <c r="AS21" s="134"/>
      <c r="AT21" s="134"/>
      <c r="AU21" s="134"/>
      <c r="AV21" s="134"/>
      <c r="AW21" s="134"/>
    </row>
    <row r="22" spans="1:62" ht="13.2" customHeight="1" x14ac:dyDescent="0.25">
      <c r="B22" s="647" t="str">
        <f>IF(Clan="Naga","Bonus d'Akasha","Bonus de vide:")</f>
        <v>Bonus de vide:</v>
      </c>
      <c r="C22" s="647"/>
      <c r="D22" s="647"/>
      <c r="E22" s="54"/>
      <c r="M22" s="676"/>
      <c r="N22" s="677"/>
      <c r="O22" s="677"/>
      <c r="P22" s="677"/>
      <c r="Q22" s="677"/>
      <c r="R22" s="677"/>
      <c r="S22" s="677"/>
      <c r="T22" s="677"/>
      <c r="U22" s="678"/>
      <c r="W22" s="714">
        <f>IF(AK22&gt;$AE$22,$AE$22,IF(AK22&lt;0,0,AK22))</f>
        <v>3</v>
      </c>
      <c r="X22" s="715"/>
      <c r="Y22" s="253" t="s">
        <v>5594</v>
      </c>
      <c r="Z22" s="252">
        <f>IF(AQ22&gt;$AE$22,$AE$22,IF(AQ22&lt;0,0,AQ22))</f>
        <v>6</v>
      </c>
      <c r="AA22" s="253" t="s">
        <v>5594</v>
      </c>
      <c r="AB22" s="712"/>
      <c r="AC22" s="712"/>
      <c r="AD22" s="712"/>
      <c r="AE22" s="714">
        <f>IF($H$17="","",IF(AND(Désavantages!N175=TRUE,Désavantages!N49=TRUE),$H$17-2,IF(OR(Désavantages!N175=TRUE,Désavantages!N49=TRUE),$H$17-1,$H$17))*6)</f>
        <v>12</v>
      </c>
      <c r="AF22" s="715"/>
      <c r="AG22" s="672" t="s">
        <v>5594</v>
      </c>
      <c r="AH22" s="672"/>
      <c r="AI22" s="253"/>
      <c r="AK22" s="29">
        <f>IF($H$17="","",IF(AND(Désavantages!N175=TRUE,Désavantages!N49=TRUE),$H$17-2,IF(OR(Désavantages!N175=TRUE,Désavantages!N49=TRUE),$H$17-1,$H$17))*1.5)-IF(Désavantages!N27=TRUE,1.5,IF(Désavantages!N28=TRUE,3,IF(Désavantages!N29=TRUE,4.5,0)))+IF(Calculs!S376&gt;6,1.5,0)</f>
        <v>3</v>
      </c>
      <c r="AL22" s="716" t="s">
        <v>5993</v>
      </c>
      <c r="AM22" s="716"/>
      <c r="AN22" s="716"/>
      <c r="AO22" s="716" t="s">
        <v>5994</v>
      </c>
      <c r="AP22" s="716"/>
      <c r="AQ22" s="134">
        <f>IF($H$17="","",IF(AND(Désavantages!N175=TRUE,Désavantages!N49=TRUE),$H$17-2,IF(OR(Désavantages!N175=TRUE,Désavantages!N49=TRUE),$H$17-1,$H$17))*3-IF(Désavantages!N27=TRUE,1.5,IF(Désavantages!N28=TRUE,3,IF(Désavantages!N29=TRUE,4.5,0))))+IF(Calculs!S376&gt;6,1.5,0)</f>
        <v>6</v>
      </c>
      <c r="AR22" s="134"/>
      <c r="AS22" s="134"/>
      <c r="AT22" s="134"/>
      <c r="AU22" s="134"/>
      <c r="AV22" s="134"/>
      <c r="AW22" s="134"/>
    </row>
    <row r="23" spans="1:62" ht="9.75" customHeight="1" x14ac:dyDescent="0.25">
      <c r="G23" s="690" t="str">
        <f>IF(Clan="Naga","Akasha","Vide")</f>
        <v>Vide</v>
      </c>
      <c r="H23" s="690"/>
      <c r="I23" s="690"/>
      <c r="J23" s="690"/>
      <c r="M23" s="679"/>
      <c r="N23" s="680"/>
      <c r="O23" s="680"/>
      <c r="P23" s="680"/>
      <c r="Q23" s="680"/>
      <c r="R23" s="680"/>
      <c r="S23" s="680"/>
      <c r="T23" s="680"/>
      <c r="U23" s="681"/>
      <c r="W23" s="303"/>
      <c r="X23" s="303"/>
      <c r="Y23" s="304"/>
      <c r="Z23" s="304"/>
      <c r="AA23" s="304"/>
      <c r="AB23" s="305"/>
      <c r="AC23" s="305"/>
      <c r="AD23" s="305"/>
      <c r="AE23" s="303"/>
      <c r="AF23" s="303"/>
      <c r="AG23" s="306"/>
      <c r="AH23" s="306"/>
      <c r="AI23" s="304"/>
      <c r="AL23" s="716"/>
      <c r="AM23" s="716"/>
      <c r="AN23" s="716"/>
      <c r="AO23" s="716"/>
      <c r="AP23" s="716"/>
      <c r="AR23" s="134"/>
      <c r="AS23" s="134"/>
      <c r="AT23" s="134"/>
      <c r="AU23" s="134"/>
      <c r="AV23" s="134"/>
      <c r="AW23" s="134"/>
    </row>
    <row r="24" spans="1:62" ht="3" customHeight="1" x14ac:dyDescent="0.25">
      <c r="G24" s="690"/>
      <c r="H24" s="690"/>
      <c r="I24" s="690"/>
      <c r="J24" s="690"/>
      <c r="AL24" s="716"/>
      <c r="AM24" s="716"/>
      <c r="AN24" s="716"/>
      <c r="AO24" s="716"/>
      <c r="AP24" s="716"/>
      <c r="AR24" s="134"/>
      <c r="AS24" s="134"/>
      <c r="AT24" s="134"/>
      <c r="AU24" s="134"/>
      <c r="AV24" s="134"/>
      <c r="AW24" s="134"/>
    </row>
    <row r="25" spans="1:62" ht="13.2" customHeight="1" x14ac:dyDescent="0.25">
      <c r="B25" s="748" t="str">
        <f>IF(Clan="Naga","Points d'Akasha utilisés:","Points de vide utilisés:")</f>
        <v>Points de vide utilisés:</v>
      </c>
      <c r="C25" s="748"/>
      <c r="D25" s="748"/>
      <c r="E25" s="748"/>
      <c r="F25" s="748"/>
      <c r="G25" s="64"/>
      <c r="I25" s="748" t="str">
        <f>IF(Clan="Naga","Pts d'Akasha max/nbr Augm max:","Pts de vide max/nbr Augm max:")</f>
        <v>Pts de vide max/nbr Augm max:</v>
      </c>
      <c r="J25" s="748"/>
      <c r="K25" s="748"/>
      <c r="L25" s="748"/>
      <c r="M25" s="748"/>
      <c r="N25" s="748"/>
      <c r="O25" s="748"/>
      <c r="P25" s="748"/>
      <c r="Q25" s="748"/>
      <c r="R25" s="749"/>
      <c r="S25" s="746">
        <f>H19</f>
        <v>2</v>
      </c>
      <c r="T25" s="747"/>
      <c r="W25" s="641" t="s">
        <v>1888</v>
      </c>
      <c r="X25" s="641"/>
      <c r="Y25" s="641"/>
      <c r="Z25" s="641"/>
      <c r="AA25" s="641"/>
      <c r="AB25" s="641"/>
      <c r="AC25" s="641"/>
      <c r="AD25" s="255">
        <f>Calculs!S371</f>
        <v>0</v>
      </c>
      <c r="AE25" s="42" t="s">
        <v>1880</v>
      </c>
      <c r="AF25" s="254">
        <f>Perception</f>
        <v>2</v>
      </c>
      <c r="AG25" s="37"/>
      <c r="AL25" s="716"/>
      <c r="AM25" s="716"/>
      <c r="AN25" s="716"/>
      <c r="AO25" s="716"/>
      <c r="AP25" s="716"/>
      <c r="AR25" s="134"/>
      <c r="AS25" s="134"/>
      <c r="AT25" s="134"/>
      <c r="AU25" s="134"/>
      <c r="AV25" s="134"/>
      <c r="AW25" s="134"/>
    </row>
    <row r="26" spans="1:62" ht="3.75" customHeight="1" x14ac:dyDescent="0.25">
      <c r="T26" s="37"/>
      <c r="AL26" s="716"/>
      <c r="AM26" s="716"/>
      <c r="AN26" s="716"/>
      <c r="AO26" s="716"/>
      <c r="AP26" s="716"/>
      <c r="AR26" s="134"/>
      <c r="AS26" s="134"/>
      <c r="AT26" s="134"/>
      <c r="AU26" s="134"/>
      <c r="AV26" s="134"/>
      <c r="AW26" s="134"/>
    </row>
    <row r="27" spans="1:62" ht="13.2" customHeight="1" x14ac:dyDescent="0.25">
      <c r="B27" s="750" t="s">
        <v>1890</v>
      </c>
      <c r="C27" s="751"/>
      <c r="D27" s="751"/>
      <c r="E27" s="752"/>
      <c r="F27" s="41"/>
      <c r="G27" s="73" t="s">
        <v>1894</v>
      </c>
      <c r="H27" s="50"/>
      <c r="I27" s="669" t="s">
        <v>1946</v>
      </c>
      <c r="J27" s="670"/>
      <c r="K27" s="671"/>
      <c r="L27" s="41"/>
      <c r="M27" s="750" t="s">
        <v>1891</v>
      </c>
      <c r="N27" s="751"/>
      <c r="O27" s="751"/>
      <c r="P27" s="751"/>
      <c r="Q27" s="751"/>
      <c r="R27" s="752"/>
      <c r="S27" s="37"/>
      <c r="T27" s="316"/>
      <c r="U27" s="751" t="s">
        <v>1892</v>
      </c>
      <c r="V27" s="751"/>
      <c r="W27" s="752"/>
      <c r="X27" s="41"/>
      <c r="Y27" s="750" t="s">
        <v>1974</v>
      </c>
      <c r="Z27" s="751"/>
      <c r="AA27" s="751"/>
      <c r="AB27" s="751"/>
      <c r="AC27" s="751"/>
      <c r="AD27" s="751"/>
      <c r="AE27" s="751"/>
      <c r="AF27" s="752"/>
      <c r="AG27" s="47"/>
      <c r="AH27" s="669" t="s">
        <v>1921</v>
      </c>
      <c r="AI27" s="670"/>
      <c r="AJ27" s="671"/>
      <c r="AK27" s="85"/>
      <c r="AL27" s="716"/>
      <c r="AM27" s="716"/>
      <c r="AN27" s="716"/>
      <c r="AO27" s="716"/>
      <c r="AP27" s="716"/>
      <c r="AR27" s="134"/>
      <c r="AS27" s="134" t="s">
        <v>343</v>
      </c>
      <c r="AT27" s="134">
        <v>1</v>
      </c>
      <c r="AU27" s="134"/>
      <c r="AV27" s="134">
        <v>2</v>
      </c>
      <c r="AW27" s="134">
        <v>3</v>
      </c>
      <c r="AX27" s="134">
        <v>4</v>
      </c>
      <c r="AY27" s="134">
        <v>5</v>
      </c>
      <c r="AZ27" s="134">
        <v>6</v>
      </c>
      <c r="BA27" s="134">
        <v>7</v>
      </c>
      <c r="BB27" s="134">
        <v>8</v>
      </c>
      <c r="BC27" s="134">
        <v>9</v>
      </c>
      <c r="BD27" s="134">
        <v>10</v>
      </c>
      <c r="BE27" s="134">
        <v>11</v>
      </c>
      <c r="BF27" s="134">
        <v>12</v>
      </c>
      <c r="BG27" s="134">
        <v>13</v>
      </c>
      <c r="BH27" s="134">
        <v>14</v>
      </c>
      <c r="BI27" s="134">
        <v>15</v>
      </c>
      <c r="BJ27" s="134">
        <v>16</v>
      </c>
    </row>
    <row r="28" spans="1:62" ht="16.2" customHeight="1" x14ac:dyDescent="0.25">
      <c r="B28" s="635"/>
      <c r="C28" s="636"/>
      <c r="D28" s="636"/>
      <c r="E28" s="637"/>
      <c r="F28" s="48"/>
      <c r="G28" s="71"/>
      <c r="H28" s="49"/>
      <c r="I28" s="660"/>
      <c r="J28" s="661"/>
      <c r="K28" s="662"/>
      <c r="L28" s="343">
        <f>G28</f>
        <v>0</v>
      </c>
      <c r="M28" s="682" t="str">
        <f>IF(B28="","",IF(OR(B28="Artisanat Dégradant",B28="Artisanat Marchand",B28="Artisanat Noble",B28="Navigation",B28="Jeu",B28="Spectacle"),VLOOKUP(I28,Tableaux!N:O,2,0),(VLOOKUP(B28,Compétences!A:U,21,0))))</f>
        <v/>
      </c>
      <c r="N28" s="683"/>
      <c r="O28" s="683"/>
      <c r="P28" s="683"/>
      <c r="Q28" s="683"/>
      <c r="R28" s="684"/>
      <c r="S28" s="78"/>
      <c r="T28" s="317" t="str">
        <f>IF(B28="","",VLOOKUP(M28,Calculs!$A$6:$E$14,5,FALSE)+G28)</f>
        <v/>
      </c>
      <c r="U28" s="309" t="str">
        <f>IF(B28="","",IF(T28&lt;10,T28,10))</f>
        <v/>
      </c>
      <c r="V28" s="83" t="str">
        <f>IF(B28="","","g")</f>
        <v/>
      </c>
      <c r="W28" s="311" t="str">
        <f>IF(B28="","",IF(AO28&lt;10,AO28,10))</f>
        <v/>
      </c>
      <c r="X28" s="312" t="str">
        <f>IF(AQ28=0,"",IF(AQ28=1,"+2",IF(AQ28=2,"+4",IF(AQ28=3,"+6",IF(AQ28=4,"+8",IF(AQ28=5,"+10",IF(AQ28=6,"+12",IF(AQ28=7,"+14",IF(AQ28=8,"+16",IF(AQ28=9,"+18",IF(AQ28=10,"+20","")))))))))))</f>
        <v/>
      </c>
      <c r="Y28" s="624" t="str">
        <f>IF(B28="","",IF(OR(G28=3,G28=4),VLOOKUP(B28,Compétences!A$2:Y$61,23,FALSE),IF(OR(G28=5,G28=6),VLOOKUP(B28,Compétences!A$2:Y$61,24,FALSE),IF(G28&gt;6,VLOOKUP(B28,Compétences!A$2:Y$61,25,FALSE),""))))</f>
        <v/>
      </c>
      <c r="Z28" s="625"/>
      <c r="AA28" s="625"/>
      <c r="AB28" s="625"/>
      <c r="AC28" s="625"/>
      <c r="AD28" s="625"/>
      <c r="AE28" s="625"/>
      <c r="AF28" s="627"/>
      <c r="AG28" s="49"/>
      <c r="AH28" s="624" t="str">
        <f>IF(B28="","",IF(OR(I28="Piratage",I28="Autopsie"),"Dégrad.",(VLOOKUP(B28,Compétences!$A$2:$U$61,3,FALSE))))</f>
        <v/>
      </c>
      <c r="AI28" s="625"/>
      <c r="AJ28" s="478"/>
      <c r="AK28" s="85"/>
      <c r="AL28" s="134" t="str">
        <f>T28</f>
        <v/>
      </c>
      <c r="AM28" s="313" t="str">
        <f>IF(B28="","",ROUNDDOWN(IF(AL28&gt;=10,(AL28-10)/2),0))</f>
        <v/>
      </c>
      <c r="AN28" s="313" t="str">
        <f>IF(B28="","",(VLOOKUP(M28,Calculs!$A$6:$E$14,5,FALSE)))</f>
        <v/>
      </c>
      <c r="AO28" s="314" t="str">
        <f>IF(B28="","",IF(AN28&gt;U28,U28,AN28+AM28))</f>
        <v/>
      </c>
      <c r="AP28" s="313" t="str">
        <f>IF(AO28="","",AO28+AM28)</f>
        <v/>
      </c>
      <c r="AQ28" s="313">
        <f>IF(B28="",0,ROUNDDOWN(IF(AP28&gt;=10,(AP28-10)/2),0))</f>
        <v>0</v>
      </c>
      <c r="AR28" s="134"/>
      <c r="AS28" s="134" t="str">
        <f>IF($B28="","",IF(VLOOKUP($B28,Compétences!$A:$T,4,FALSE)="","",(VLOOKUP($B28,Compétences!$A:$T,4,FALSE))))</f>
        <v/>
      </c>
      <c r="AT28" s="134" t="str">
        <f>IF($B28="","",IF(VLOOKUP($B28,Compétences!$A:$T,5,FALSE)="","",(VLOOKUP($B28,Compétences!$A:$T,5,FALSE))))</f>
        <v/>
      </c>
      <c r="AU28" s="134"/>
      <c r="AV28" s="134" t="str">
        <f>IF($B28="","",IF(VLOOKUP($B28,Compétences!$A:$T,6,FALSE)="","",(VLOOKUP($B28,Compétences!$A:$T,6,FALSE))))</f>
        <v/>
      </c>
      <c r="AW28" s="134" t="str">
        <f>IF($B28="","",IF(VLOOKUP($B28,Compétences!$A:$T,7,FALSE)="","",(VLOOKUP($B28,Compétences!$A:$T,7,FALSE))))</f>
        <v/>
      </c>
      <c r="AX28" s="134" t="str">
        <f>IF($B28="","",IF(VLOOKUP($B28,Compétences!$A:$T,8,FALSE)="","",(VLOOKUP($B28,Compétences!$A:$T,8,FALSE))))</f>
        <v/>
      </c>
      <c r="AY28" s="134" t="str">
        <f>IF($B28="","",IF(VLOOKUP($B28,Compétences!$A:$T,9,FALSE)="","",(VLOOKUP($B28,Compétences!$A:$T,9,FALSE))))</f>
        <v/>
      </c>
      <c r="AZ28" s="134" t="str">
        <f>IF($B28="","",IF(VLOOKUP($B28,Compétences!$A:$T,10,FALSE)="","",(VLOOKUP($B28,Compétences!$A:$T,10,FALSE))))</f>
        <v/>
      </c>
      <c r="BA28" s="134" t="str">
        <f>IF($B28="","",IF(VLOOKUP($B28,Compétences!$A:$T,11,FALSE)="","",(VLOOKUP($B28,Compétences!$A:$T,11,FALSE))))</f>
        <v/>
      </c>
      <c r="BB28" s="134" t="str">
        <f>IF($B28="","",IF(VLOOKUP($B28,Compétences!$A:$T,12,FALSE)="","",(VLOOKUP($B28,Compétences!$A:$T,12,FALSE))))</f>
        <v/>
      </c>
      <c r="BC28" s="134" t="str">
        <f>IF($B28="","",IF(VLOOKUP($B28,Compétences!$A:$T,13,FALSE)="","",(VLOOKUP($B28,Compétences!$A:$T,13,FALSE))))</f>
        <v/>
      </c>
      <c r="BD28" s="134" t="str">
        <f>IF($B28="","",IF(VLOOKUP($B28,Compétences!$A:$T,14,FALSE)="","",(VLOOKUP($B28,Compétences!$A:$T,14,FALSE))))</f>
        <v/>
      </c>
      <c r="BE28" s="134" t="str">
        <f>IF($B28="","",IF(VLOOKUP($B28,Compétences!$A:$T,15,FALSE)="","",(VLOOKUP($B28,Compétences!$A:$T,15,FALSE))))</f>
        <v/>
      </c>
      <c r="BF28" s="134" t="str">
        <f>IF($B28="","",IF(VLOOKUP($B28,Compétences!$A:$T,16,FALSE)="","",(VLOOKUP($B28,Compétences!$A:$T,16,FALSE))))</f>
        <v/>
      </c>
      <c r="BG28" s="134" t="str">
        <f>IF($B28="","",IF(VLOOKUP($B28,Compétences!$A:$T,17,FALSE)="","",(VLOOKUP($B28,Compétences!$A:$T,17,FALSE))))</f>
        <v/>
      </c>
      <c r="BH28" s="134" t="str">
        <f>IF($B28="","",IF(VLOOKUP($B28,Compétences!$A:$T,18,FALSE)="","",(VLOOKUP($B28,Compétences!$A:$T,18,FALSE))))</f>
        <v/>
      </c>
      <c r="BI28" s="134" t="str">
        <f>IF($B28="","",IF(VLOOKUP($B28,Compétences!$A:$T,19,FALSE)="","",(VLOOKUP($B28,Compétences!$A:$T,19,FALSE))))</f>
        <v/>
      </c>
      <c r="BJ28" s="134" t="str">
        <f>IF($B28="","",IF(VLOOKUP($B28,Compétences!$A:$T,20,FALSE)="","",(VLOOKUP($B28,Compétences!$A:$T,20,FALSE))))</f>
        <v/>
      </c>
    </row>
    <row r="29" spans="1:62" ht="16.2" customHeight="1" x14ac:dyDescent="0.25">
      <c r="B29" s="635"/>
      <c r="C29" s="636"/>
      <c r="D29" s="636"/>
      <c r="E29" s="637"/>
      <c r="F29" s="41"/>
      <c r="G29" s="71"/>
      <c r="H29" s="49"/>
      <c r="I29" s="660"/>
      <c r="J29" s="661"/>
      <c r="K29" s="662"/>
      <c r="L29" s="343">
        <f t="shared" ref="L29:L44" si="0">G29</f>
        <v>0</v>
      </c>
      <c r="M29" s="682" t="str">
        <f>IF(B29="","",IF(OR(B29="Artisanat Dégradant",B29="Artisanat Marchand",B29="Artisanat Noble",B29="Navigation",B29="Jeu",B29="Spectacle"),VLOOKUP(I29,Tableaux!N:O,2,0),(VLOOKUP(B29,Compétences!A:U,21,0))))</f>
        <v/>
      </c>
      <c r="N29" s="683"/>
      <c r="O29" s="683"/>
      <c r="P29" s="683"/>
      <c r="Q29" s="683"/>
      <c r="R29" s="684"/>
      <c r="S29" s="78"/>
      <c r="T29" s="317" t="str">
        <f>IF(B29="","",VLOOKUP(M29,Calculs!$A$6:$E$14,5,FALSE)+G29)</f>
        <v/>
      </c>
      <c r="U29" s="309" t="str">
        <f t="shared" ref="U29:U44" si="1">IF(B29="","",IF(T29&lt;10,T29,10))</f>
        <v/>
      </c>
      <c r="V29" s="83" t="str">
        <f t="shared" ref="V29:V44" si="2">IF(B29="","","g")</f>
        <v/>
      </c>
      <c r="W29" s="311" t="str">
        <f t="shared" ref="W29:W44" si="3">IF(B29="","",IF(AO29&lt;10,AO29,10))</f>
        <v/>
      </c>
      <c r="X29" s="312" t="str">
        <f t="shared" ref="X29:X44" si="4">IF(AQ29=0,"",IF(AQ29=1,"+2",IF(AQ29=2,"+4",IF(AQ29=3,"+6",IF(AQ29=4,"+8",IF(AQ29=5,"+10",IF(AQ29=6,"+12",IF(AQ29=7,"+14",IF(AQ29=8,"+16",IF(AQ29=9,"+18",IF(AQ29=10,"+20","")))))))))))</f>
        <v/>
      </c>
      <c r="Y29" s="624" t="str">
        <f>IF(B29="","",IF(OR(G29=3,G29=4),VLOOKUP(B29,Compétences!A$2:Y$61,23,FALSE),IF(OR(G29=5,G29=6),VLOOKUP(B29,Compétences!A$2:Y$61,24,FALSE),IF(G29&gt;6,VLOOKUP(B29,Compétences!A$2:Y$61,25,FALSE),""))))</f>
        <v/>
      </c>
      <c r="Z29" s="625"/>
      <c r="AA29" s="625"/>
      <c r="AB29" s="625"/>
      <c r="AC29" s="625"/>
      <c r="AD29" s="625"/>
      <c r="AE29" s="625"/>
      <c r="AF29" s="627"/>
      <c r="AG29" s="49"/>
      <c r="AH29" s="624" t="str">
        <f>IF(B29="","",IF(OR(I29="Piratage",I29="Autopsie"),"Dégrad.",(VLOOKUP(B29,Compétences!$A$2:$U$61,3,FALSE))))</f>
        <v/>
      </c>
      <c r="AI29" s="625"/>
      <c r="AJ29" s="478"/>
      <c r="AK29" s="85"/>
      <c r="AL29" s="134" t="str">
        <f t="shared" ref="AL29:AL44" si="5">T29</f>
        <v/>
      </c>
      <c r="AM29" s="313" t="str">
        <f t="shared" ref="AM29:AM44" si="6">IF(B29="","",ROUNDDOWN(IF(AL29&gt;=10,(AL29-10)/2),0))</f>
        <v/>
      </c>
      <c r="AN29" s="313" t="str">
        <f>IF(B29="","",(VLOOKUP(M29,Calculs!$A$6:$E$14,5,FALSE)))</f>
        <v/>
      </c>
      <c r="AO29" s="314" t="str">
        <f t="shared" ref="AO29:AO44" si="7">IF(B29="","",IF(AN29&gt;U29,U29,AN29+AM29))</f>
        <v/>
      </c>
      <c r="AP29" s="313" t="str">
        <f t="shared" ref="AP29:AP44" si="8">IF(AO29="","",AO29+AM29)</f>
        <v/>
      </c>
      <c r="AQ29" s="313">
        <f t="shared" ref="AQ29:AQ44" si="9">IF(B29="",0,ROUNDDOWN(IF(AP29&gt;=10,(AP29-10)/2),0))</f>
        <v>0</v>
      </c>
      <c r="AR29" s="134"/>
      <c r="AS29" s="134" t="str">
        <f>IF($B29="","",IF(VLOOKUP($B29,Compétences!$A:$T,4,FALSE)="","",(VLOOKUP($B29,Compétences!$A:$T,4,FALSE))))</f>
        <v/>
      </c>
      <c r="AT29" s="134" t="str">
        <f>IF($B29="","",IF(VLOOKUP($B29,Compétences!$A:$T,5,FALSE)="","",(VLOOKUP($B29,Compétences!$A:$T,5,FALSE))))</f>
        <v/>
      </c>
      <c r="AU29" s="134"/>
      <c r="AV29" s="134" t="str">
        <f>IF($B29="","",IF(VLOOKUP($B29,Compétences!$A:$T,6,FALSE)="","",(VLOOKUP($B29,Compétences!$A:$T,6,FALSE))))</f>
        <v/>
      </c>
      <c r="AW29" s="134" t="str">
        <f>IF($B29="","",IF(VLOOKUP($B29,Compétences!$A:$T,7,FALSE)="","",(VLOOKUP($B29,Compétences!$A:$T,7,FALSE))))</f>
        <v/>
      </c>
      <c r="AX29" s="134" t="str">
        <f>IF($B29="","",IF(VLOOKUP($B29,Compétences!$A:$T,8,FALSE)="","",(VLOOKUP($B29,Compétences!$A:$T,8,FALSE))))</f>
        <v/>
      </c>
      <c r="AY29" s="134" t="str">
        <f>IF($B29="","",IF(VLOOKUP($B29,Compétences!$A:$T,9,FALSE)="","",(VLOOKUP($B29,Compétences!$A:$T,9,FALSE))))</f>
        <v/>
      </c>
      <c r="AZ29" s="134" t="str">
        <f>IF($B29="","",IF(VLOOKUP($B29,Compétences!$A:$T,10,FALSE)="","",(VLOOKUP($B29,Compétences!$A:$T,10,FALSE))))</f>
        <v/>
      </c>
      <c r="BA29" s="134" t="str">
        <f>IF($B29="","",IF(VLOOKUP($B29,Compétences!$A:$T,11,FALSE)="","",(VLOOKUP($B29,Compétences!$A:$T,11,FALSE))))</f>
        <v/>
      </c>
      <c r="BB29" s="134" t="str">
        <f>IF($B29="","",IF(VLOOKUP($B29,Compétences!$A:$T,12,FALSE)="","",(VLOOKUP($B29,Compétences!$A:$T,12,FALSE))))</f>
        <v/>
      </c>
      <c r="BC29" s="134" t="str">
        <f>IF($B29="","",IF(VLOOKUP($B29,Compétences!$A:$T,13,FALSE)="","",(VLOOKUP($B29,Compétences!$A:$T,13,FALSE))))</f>
        <v/>
      </c>
      <c r="BD29" s="134" t="str">
        <f>IF($B29="","",IF(VLOOKUP($B29,Compétences!$A:$T,14,FALSE)="","",(VLOOKUP($B29,Compétences!$A:$T,14,FALSE))))</f>
        <v/>
      </c>
      <c r="BE29" s="134" t="str">
        <f>IF($B29="","",IF(VLOOKUP($B29,Compétences!$A:$T,15,FALSE)="","",(VLOOKUP($B29,Compétences!$A:$T,15,FALSE))))</f>
        <v/>
      </c>
      <c r="BF29" s="134" t="str">
        <f>IF($B29="","",IF(VLOOKUP($B29,Compétences!$A:$T,16,FALSE)="","",(VLOOKUP($B29,Compétences!$A:$T,16,FALSE))))</f>
        <v/>
      </c>
      <c r="BG29" s="134" t="str">
        <f>IF($B29="","",IF(VLOOKUP($B29,Compétences!$A:$T,17,FALSE)="","",(VLOOKUP($B29,Compétences!$A:$T,17,FALSE))))</f>
        <v/>
      </c>
      <c r="BH29" s="134" t="str">
        <f>IF($B29="","",IF(VLOOKUP($B29,Compétences!$A:$T,18,FALSE)="","",(VLOOKUP($B29,Compétences!$A:$T,18,FALSE))))</f>
        <v/>
      </c>
      <c r="BI29" s="134" t="str">
        <f>IF($B29="","",IF(VLOOKUP($B29,Compétences!$A:$T,19,FALSE)="","",(VLOOKUP($B29,Compétences!$A:$T,19,FALSE))))</f>
        <v/>
      </c>
      <c r="BJ29" s="134" t="str">
        <f>IF($B29="","",IF(VLOOKUP($B29,Compétences!$A:$T,20,FALSE)="","",(VLOOKUP($B29,Compétences!$A:$T,20,FALSE))))</f>
        <v/>
      </c>
    </row>
    <row r="30" spans="1:62" ht="16.2" customHeight="1" x14ac:dyDescent="0.25">
      <c r="B30" s="635"/>
      <c r="C30" s="636"/>
      <c r="D30" s="636"/>
      <c r="E30" s="637"/>
      <c r="F30" s="41"/>
      <c r="G30" s="71"/>
      <c r="H30" s="49"/>
      <c r="I30" s="660"/>
      <c r="J30" s="661"/>
      <c r="K30" s="662"/>
      <c r="L30" s="343">
        <f t="shared" si="0"/>
        <v>0</v>
      </c>
      <c r="M30" s="682" t="str">
        <f>IF(B30="","",IF(OR(B30="Artisanat Dégradant",B30="Artisanat Marchand",B30="Artisanat Noble",B30="Navigation",B30="Jeu",B30="Spectacle"),VLOOKUP(I30,Tableaux!N:O,2,0),(VLOOKUP(B30,Compétences!A:U,21,0))))</f>
        <v/>
      </c>
      <c r="N30" s="683"/>
      <c r="O30" s="683"/>
      <c r="P30" s="683"/>
      <c r="Q30" s="683"/>
      <c r="R30" s="684"/>
      <c r="S30" s="78"/>
      <c r="T30" s="317" t="str">
        <f>IF(B30="","",VLOOKUP(M30,Calculs!$A$6:$E$14,5,FALSE)+G30)</f>
        <v/>
      </c>
      <c r="U30" s="309" t="str">
        <f t="shared" si="1"/>
        <v/>
      </c>
      <c r="V30" s="83" t="str">
        <f t="shared" si="2"/>
        <v/>
      </c>
      <c r="W30" s="311" t="str">
        <f t="shared" si="3"/>
        <v/>
      </c>
      <c r="X30" s="312" t="str">
        <f t="shared" si="4"/>
        <v/>
      </c>
      <c r="Y30" s="624" t="str">
        <f>IF(B30="","",IF(OR(G30=3,G30=4),VLOOKUP(B30,Compétences!A$2:Y$61,23,FALSE),IF(OR(G30=5,G30=6),VLOOKUP(B30,Compétences!A$2:Y$61,24,FALSE),IF(G30&gt;6,VLOOKUP(B30,Compétences!A$2:Y$61,25,FALSE),""))))</f>
        <v/>
      </c>
      <c r="Z30" s="625"/>
      <c r="AA30" s="625"/>
      <c r="AB30" s="625"/>
      <c r="AC30" s="625"/>
      <c r="AD30" s="625"/>
      <c r="AE30" s="625"/>
      <c r="AF30" s="627"/>
      <c r="AG30" s="49"/>
      <c r="AH30" s="624" t="str">
        <f>IF(B30="","",IF(OR(I30="Piratage",I30="Autopsie"),"Dégrad.",(VLOOKUP(B30,Compétences!$A$2:$U$61,3,FALSE))))</f>
        <v/>
      </c>
      <c r="AI30" s="625"/>
      <c r="AJ30" s="478"/>
      <c r="AK30" s="85"/>
      <c r="AL30" s="134" t="str">
        <f t="shared" si="5"/>
        <v/>
      </c>
      <c r="AM30" s="313" t="str">
        <f t="shared" si="6"/>
        <v/>
      </c>
      <c r="AN30" s="313" t="str">
        <f>IF(B30="","",(VLOOKUP(M30,Calculs!$A$6:$E$14,5,FALSE)))</f>
        <v/>
      </c>
      <c r="AO30" s="314" t="str">
        <f t="shared" si="7"/>
        <v/>
      </c>
      <c r="AP30" s="313" t="str">
        <f t="shared" si="8"/>
        <v/>
      </c>
      <c r="AQ30" s="313">
        <f t="shared" si="9"/>
        <v>0</v>
      </c>
      <c r="AR30" s="134"/>
      <c r="AS30" s="134" t="str">
        <f>IF($B30="","",IF(VLOOKUP($B30,Compétences!$A:$T,4,FALSE)="","",(VLOOKUP($B30,Compétences!$A:$T,4,FALSE))))</f>
        <v/>
      </c>
      <c r="AT30" s="134" t="str">
        <f>IF($B30="","",IF(VLOOKUP($B30,Compétences!$A:$T,5,FALSE)="","",(VLOOKUP($B30,Compétences!$A:$T,5,FALSE))))</f>
        <v/>
      </c>
      <c r="AU30" s="134"/>
      <c r="AV30" s="134" t="str">
        <f>IF($B30="","",IF(VLOOKUP($B30,Compétences!$A:$T,6,FALSE)="","",(VLOOKUP($B30,Compétences!$A:$T,6,FALSE))))</f>
        <v/>
      </c>
      <c r="AW30" s="134" t="str">
        <f>IF($B30="","",IF(VLOOKUP($B30,Compétences!$A:$T,7,FALSE)="","",(VLOOKUP($B30,Compétences!$A:$T,7,FALSE))))</f>
        <v/>
      </c>
      <c r="AX30" s="134" t="str">
        <f>IF($B30="","",IF(VLOOKUP($B30,Compétences!$A:$T,8,FALSE)="","",(VLOOKUP($B30,Compétences!$A:$T,8,FALSE))))</f>
        <v/>
      </c>
      <c r="AY30" s="134" t="str">
        <f>IF($B30="","",IF(VLOOKUP($B30,Compétences!$A:$T,9,FALSE)="","",(VLOOKUP($B30,Compétences!$A:$T,9,FALSE))))</f>
        <v/>
      </c>
      <c r="AZ30" s="134" t="str">
        <f>IF($B30="","",IF(VLOOKUP($B30,Compétences!$A:$T,10,FALSE)="","",(VLOOKUP($B30,Compétences!$A:$T,10,FALSE))))</f>
        <v/>
      </c>
      <c r="BA30" s="134" t="str">
        <f>IF($B30="","",IF(VLOOKUP($B30,Compétences!$A:$T,11,FALSE)="","",(VLOOKUP($B30,Compétences!$A:$T,11,FALSE))))</f>
        <v/>
      </c>
      <c r="BB30" s="134" t="str">
        <f>IF($B30="","",IF(VLOOKUP($B30,Compétences!$A:$T,12,FALSE)="","",(VLOOKUP($B30,Compétences!$A:$T,12,FALSE))))</f>
        <v/>
      </c>
      <c r="BC30" s="134" t="str">
        <f>IF($B30="","",IF(VLOOKUP($B30,Compétences!$A:$T,13,FALSE)="","",(VLOOKUP($B30,Compétences!$A:$T,13,FALSE))))</f>
        <v/>
      </c>
      <c r="BD30" s="134" t="str">
        <f>IF($B30="","",IF(VLOOKUP($B30,Compétences!$A:$T,14,FALSE)="","",(VLOOKUP($B30,Compétences!$A:$T,14,FALSE))))</f>
        <v/>
      </c>
      <c r="BE30" s="134" t="str">
        <f>IF($B30="","",IF(VLOOKUP($B30,Compétences!$A:$T,15,FALSE)="","",(VLOOKUP($B30,Compétences!$A:$T,15,FALSE))))</f>
        <v/>
      </c>
      <c r="BF30" s="134" t="str">
        <f>IF($B30="","",IF(VLOOKUP($B30,Compétences!$A:$T,16,FALSE)="","",(VLOOKUP($B30,Compétences!$A:$T,16,FALSE))))</f>
        <v/>
      </c>
      <c r="BG30" s="134" t="str">
        <f>IF($B30="","",IF(VLOOKUP($B30,Compétences!$A:$T,17,FALSE)="","",(VLOOKUP($B30,Compétences!$A:$T,17,FALSE))))</f>
        <v/>
      </c>
      <c r="BH30" s="134" t="str">
        <f>IF($B30="","",IF(VLOOKUP($B30,Compétences!$A:$T,18,FALSE)="","",(VLOOKUP($B30,Compétences!$A:$T,18,FALSE))))</f>
        <v/>
      </c>
      <c r="BI30" s="134" t="str">
        <f>IF($B30="","",IF(VLOOKUP($B30,Compétences!$A:$T,19,FALSE)="","",(VLOOKUP($B30,Compétences!$A:$T,19,FALSE))))</f>
        <v/>
      </c>
      <c r="BJ30" s="134" t="str">
        <f>IF($B30="","",IF(VLOOKUP($B30,Compétences!$A:$T,20,FALSE)="","",(VLOOKUP($B30,Compétences!$A:$T,20,FALSE))))</f>
        <v/>
      </c>
    </row>
    <row r="31" spans="1:62" ht="16.2" customHeight="1" x14ac:dyDescent="0.25">
      <c r="B31" s="635"/>
      <c r="C31" s="636"/>
      <c r="D31" s="636"/>
      <c r="E31" s="637"/>
      <c r="F31" s="41"/>
      <c r="G31" s="71"/>
      <c r="H31" s="49"/>
      <c r="I31" s="660"/>
      <c r="J31" s="661"/>
      <c r="K31" s="662"/>
      <c r="L31" s="343">
        <f t="shared" si="0"/>
        <v>0</v>
      </c>
      <c r="M31" s="682" t="str">
        <f>IF(B31="","",IF(OR(B31="Artisanat Dégradant",B31="Artisanat Marchand",B31="Artisanat Noble",B31="Navigation",B31="Jeu",B31="Spectacle"),VLOOKUP(I31,Tableaux!N:O,2,0),(VLOOKUP(B31,Compétences!A:U,21,0))))</f>
        <v/>
      </c>
      <c r="N31" s="683"/>
      <c r="O31" s="683"/>
      <c r="P31" s="683"/>
      <c r="Q31" s="683"/>
      <c r="R31" s="684"/>
      <c r="S31" s="78"/>
      <c r="T31" s="317" t="str">
        <f>IF(B31="","",VLOOKUP(M31,Calculs!$A$6:$E$14,5,FALSE)+G31)</f>
        <v/>
      </c>
      <c r="U31" s="309" t="str">
        <f t="shared" si="1"/>
        <v/>
      </c>
      <c r="V31" s="83" t="str">
        <f t="shared" si="2"/>
        <v/>
      </c>
      <c r="W31" s="311" t="str">
        <f t="shared" si="3"/>
        <v/>
      </c>
      <c r="X31" s="312" t="str">
        <f t="shared" si="4"/>
        <v/>
      </c>
      <c r="Y31" s="624" t="str">
        <f>IF(B31="","",IF(OR(G31=3,G31=4),VLOOKUP(B31,Compétences!A$2:Y$61,23,FALSE),IF(OR(G31=5,G31=6),VLOOKUP(B31,Compétences!A$2:Y$61,24,FALSE),IF(G31&gt;6,VLOOKUP(B31,Compétences!A$2:Y$61,25,FALSE),""))))</f>
        <v/>
      </c>
      <c r="Z31" s="625"/>
      <c r="AA31" s="625"/>
      <c r="AB31" s="625"/>
      <c r="AC31" s="625"/>
      <c r="AD31" s="625"/>
      <c r="AE31" s="625"/>
      <c r="AF31" s="627"/>
      <c r="AG31" s="49"/>
      <c r="AH31" s="624" t="str">
        <f>IF(B31="","",IF(OR(I31="Piratage",I31="Autopsie"),"Dégrad.",(VLOOKUP(B31,Compétences!$A$2:$U$61,3,FALSE))))</f>
        <v/>
      </c>
      <c r="AI31" s="625"/>
      <c r="AJ31" s="478"/>
      <c r="AK31" s="85"/>
      <c r="AL31" s="134" t="str">
        <f t="shared" si="5"/>
        <v/>
      </c>
      <c r="AM31" s="313" t="str">
        <f t="shared" si="6"/>
        <v/>
      </c>
      <c r="AN31" s="313" t="str">
        <f>IF(B31="","",(VLOOKUP(M31,Calculs!$A$6:$E$14,5,FALSE)))</f>
        <v/>
      </c>
      <c r="AO31" s="314" t="str">
        <f t="shared" si="7"/>
        <v/>
      </c>
      <c r="AP31" s="313" t="str">
        <f t="shared" si="8"/>
        <v/>
      </c>
      <c r="AQ31" s="313">
        <f t="shared" si="9"/>
        <v>0</v>
      </c>
      <c r="AR31" s="134"/>
      <c r="AS31" s="134" t="str">
        <f>IF($B31="","",IF(VLOOKUP($B31,Compétences!$A:$T,4,FALSE)="","",(VLOOKUP($B31,Compétences!$A:$T,4,FALSE))))</f>
        <v/>
      </c>
      <c r="AT31" s="134" t="str">
        <f>IF($B31="","",IF(VLOOKUP($B31,Compétences!$A:$T,5,FALSE)="","",(VLOOKUP($B31,Compétences!$A:$T,5,FALSE))))</f>
        <v/>
      </c>
      <c r="AU31" s="134"/>
      <c r="AV31" s="134" t="str">
        <f>IF($B31="","",IF(VLOOKUP($B31,Compétences!$A:$T,6,FALSE)="","",(VLOOKUP($B31,Compétences!$A:$T,6,FALSE))))</f>
        <v/>
      </c>
      <c r="AW31" s="134" t="str">
        <f>IF($B31="","",IF(VLOOKUP($B31,Compétences!$A:$T,7,FALSE)="","",(VLOOKUP($B31,Compétences!$A:$T,7,FALSE))))</f>
        <v/>
      </c>
      <c r="AX31" s="134" t="str">
        <f>IF($B31="","",IF(VLOOKUP($B31,Compétences!$A:$T,8,FALSE)="","",(VLOOKUP($B31,Compétences!$A:$T,8,FALSE))))</f>
        <v/>
      </c>
      <c r="AY31" s="134" t="str">
        <f>IF($B31="","",IF(VLOOKUP($B31,Compétences!$A:$T,9,FALSE)="","",(VLOOKUP($B31,Compétences!$A:$T,9,FALSE))))</f>
        <v/>
      </c>
      <c r="AZ31" s="134" t="str">
        <f>IF($B31="","",IF(VLOOKUP($B31,Compétences!$A:$T,10,FALSE)="","",(VLOOKUP($B31,Compétences!$A:$T,10,FALSE))))</f>
        <v/>
      </c>
      <c r="BA31" s="134" t="str">
        <f>IF($B31="","",IF(VLOOKUP($B31,Compétences!$A:$T,11,FALSE)="","",(VLOOKUP($B31,Compétences!$A:$T,11,FALSE))))</f>
        <v/>
      </c>
      <c r="BB31" s="134" t="str">
        <f>IF($B31="","",IF(VLOOKUP($B31,Compétences!$A:$T,12,FALSE)="","",(VLOOKUP($B31,Compétences!$A:$T,12,FALSE))))</f>
        <v/>
      </c>
      <c r="BC31" s="134" t="str">
        <f>IF($B31="","",IF(VLOOKUP($B31,Compétences!$A:$T,13,FALSE)="","",(VLOOKUP($B31,Compétences!$A:$T,13,FALSE))))</f>
        <v/>
      </c>
      <c r="BD31" s="134" t="str">
        <f>IF($B31="","",IF(VLOOKUP($B31,Compétences!$A:$T,14,FALSE)="","",(VLOOKUP($B31,Compétences!$A:$T,14,FALSE))))</f>
        <v/>
      </c>
      <c r="BE31" s="134" t="str">
        <f>IF($B31="","",IF(VLOOKUP($B31,Compétences!$A:$T,15,FALSE)="","",(VLOOKUP($B31,Compétences!$A:$T,15,FALSE))))</f>
        <v/>
      </c>
      <c r="BF31" s="134" t="str">
        <f>IF($B31="","",IF(VLOOKUP($B31,Compétences!$A:$T,16,FALSE)="","",(VLOOKUP($B31,Compétences!$A:$T,16,FALSE))))</f>
        <v/>
      </c>
      <c r="BG31" s="134" t="str">
        <f>IF($B31="","",IF(VLOOKUP($B31,Compétences!$A:$T,17,FALSE)="","",(VLOOKUP($B31,Compétences!$A:$T,17,FALSE))))</f>
        <v/>
      </c>
      <c r="BH31" s="134" t="str">
        <f>IF($B31="","",IF(VLOOKUP($B31,Compétences!$A:$T,18,FALSE)="","",(VLOOKUP($B31,Compétences!$A:$T,18,FALSE))))</f>
        <v/>
      </c>
      <c r="BI31" s="134" t="str">
        <f>IF($B31="","",IF(VLOOKUP($B31,Compétences!$A:$T,19,FALSE)="","",(VLOOKUP($B31,Compétences!$A:$T,19,FALSE))))</f>
        <v/>
      </c>
      <c r="BJ31" s="134" t="str">
        <f>IF($B31="","",IF(VLOOKUP($B31,Compétences!$A:$T,20,FALSE)="","",(VLOOKUP($B31,Compétences!$A:$T,20,FALSE))))</f>
        <v/>
      </c>
    </row>
    <row r="32" spans="1:62" ht="16.2" customHeight="1" x14ac:dyDescent="0.25">
      <c r="B32" s="635"/>
      <c r="C32" s="636"/>
      <c r="D32" s="636"/>
      <c r="E32" s="637"/>
      <c r="F32" s="41"/>
      <c r="G32" s="71"/>
      <c r="H32" s="49"/>
      <c r="I32" s="660"/>
      <c r="J32" s="661"/>
      <c r="K32" s="662"/>
      <c r="L32" s="343">
        <f t="shared" si="0"/>
        <v>0</v>
      </c>
      <c r="M32" s="682" t="str">
        <f>IF(B32="","",IF(OR(B32="Artisanat Dégradant",B32="Artisanat Marchand",B32="Artisanat Noble",B32="Navigation",B32="Jeu",B32="Spectacle"),VLOOKUP(I32,Tableaux!N:O,2,0),(VLOOKUP(B32,Compétences!A:U,21,0))))</f>
        <v/>
      </c>
      <c r="N32" s="683"/>
      <c r="O32" s="683"/>
      <c r="P32" s="683"/>
      <c r="Q32" s="683"/>
      <c r="R32" s="684"/>
      <c r="S32" s="78"/>
      <c r="T32" s="317" t="str">
        <f>IF(B32="","",VLOOKUP(M32,Calculs!$A$6:$E$14,5,FALSE)+G32)</f>
        <v/>
      </c>
      <c r="U32" s="309" t="str">
        <f t="shared" si="1"/>
        <v/>
      </c>
      <c r="V32" s="83" t="str">
        <f t="shared" si="2"/>
        <v/>
      </c>
      <c r="W32" s="311" t="str">
        <f t="shared" si="3"/>
        <v/>
      </c>
      <c r="X32" s="312" t="str">
        <f t="shared" si="4"/>
        <v/>
      </c>
      <c r="Y32" s="624" t="str">
        <f>IF(B32="","",IF(OR(G32=3,G32=4),VLOOKUP(B32,Compétences!A$2:Y$61,23,FALSE),IF(OR(G32=5,G32=6),VLOOKUP(B32,Compétences!A$2:Y$61,24,FALSE),IF(G32&gt;6,VLOOKUP(B32,Compétences!A$2:Y$61,25,FALSE),""))))</f>
        <v/>
      </c>
      <c r="Z32" s="625"/>
      <c r="AA32" s="625"/>
      <c r="AB32" s="625"/>
      <c r="AC32" s="625"/>
      <c r="AD32" s="625"/>
      <c r="AE32" s="625"/>
      <c r="AF32" s="627"/>
      <c r="AG32" s="49"/>
      <c r="AH32" s="624" t="str">
        <f>IF(B32="","",IF(OR(I32="Piratage",I32="Autopsie"),"Dégrad.",(VLOOKUP(B32,Compétences!$A$2:$U$61,3,FALSE))))</f>
        <v/>
      </c>
      <c r="AI32" s="625"/>
      <c r="AJ32" s="478"/>
      <c r="AK32" s="85"/>
      <c r="AL32" s="134" t="str">
        <f t="shared" si="5"/>
        <v/>
      </c>
      <c r="AM32" s="313" t="str">
        <f t="shared" si="6"/>
        <v/>
      </c>
      <c r="AN32" s="313" t="str">
        <f>IF(B32="","",(VLOOKUP(M32,Calculs!$A$6:$E$14,5,FALSE)))</f>
        <v/>
      </c>
      <c r="AO32" s="314" t="str">
        <f t="shared" si="7"/>
        <v/>
      </c>
      <c r="AP32" s="313" t="str">
        <f t="shared" si="8"/>
        <v/>
      </c>
      <c r="AQ32" s="313">
        <f t="shared" si="9"/>
        <v>0</v>
      </c>
      <c r="AR32" s="134"/>
      <c r="AS32" s="134" t="str">
        <f>IF($B32="","",IF(VLOOKUP($B32,Compétences!$A:$T,4,FALSE)="","",(VLOOKUP($B32,Compétences!$A:$T,4,FALSE))))</f>
        <v/>
      </c>
      <c r="AT32" s="134" t="str">
        <f>IF($B32="","",IF(VLOOKUP($B32,Compétences!$A:$T,5,FALSE)="","",(VLOOKUP($B32,Compétences!$A:$T,5,FALSE))))</f>
        <v/>
      </c>
      <c r="AU32" s="134"/>
      <c r="AV32" s="134" t="str">
        <f>IF($B32="","",IF(VLOOKUP($B32,Compétences!$A:$T,6,FALSE)="","",(VLOOKUP($B32,Compétences!$A:$T,6,FALSE))))</f>
        <v/>
      </c>
      <c r="AW32" s="134" t="str">
        <f>IF($B32="","",IF(VLOOKUP($B32,Compétences!$A:$T,7,FALSE)="","",(VLOOKUP($B32,Compétences!$A:$T,7,FALSE))))</f>
        <v/>
      </c>
      <c r="AX32" s="134" t="str">
        <f>IF($B32="","",IF(VLOOKUP($B32,Compétences!$A:$T,8,FALSE)="","",(VLOOKUP($B32,Compétences!$A:$T,8,FALSE))))</f>
        <v/>
      </c>
      <c r="AY32" s="134" t="str">
        <f>IF($B32="","",IF(VLOOKUP($B32,Compétences!$A:$T,9,FALSE)="","",(VLOOKUP($B32,Compétences!$A:$T,9,FALSE))))</f>
        <v/>
      </c>
      <c r="AZ32" s="134" t="str">
        <f>IF($B32="","",IF(VLOOKUP($B32,Compétences!$A:$T,10,FALSE)="","",(VLOOKUP($B32,Compétences!$A:$T,10,FALSE))))</f>
        <v/>
      </c>
      <c r="BA32" s="134" t="str">
        <f>IF($B32="","",IF(VLOOKUP($B32,Compétences!$A:$T,11,FALSE)="","",(VLOOKUP($B32,Compétences!$A:$T,11,FALSE))))</f>
        <v/>
      </c>
      <c r="BB32" s="134" t="str">
        <f>IF($B32="","",IF(VLOOKUP($B32,Compétences!$A:$T,12,FALSE)="","",(VLOOKUP($B32,Compétences!$A:$T,12,FALSE))))</f>
        <v/>
      </c>
      <c r="BC32" s="134" t="str">
        <f>IF($B32="","",IF(VLOOKUP($B32,Compétences!$A:$T,13,FALSE)="","",(VLOOKUP($B32,Compétences!$A:$T,13,FALSE))))</f>
        <v/>
      </c>
      <c r="BD32" s="134" t="str">
        <f>IF($B32="","",IF(VLOOKUP($B32,Compétences!$A:$T,14,FALSE)="","",(VLOOKUP($B32,Compétences!$A:$T,14,FALSE))))</f>
        <v/>
      </c>
      <c r="BE32" s="134" t="str">
        <f>IF($B32="","",IF(VLOOKUP($B32,Compétences!$A:$T,15,FALSE)="","",(VLOOKUP($B32,Compétences!$A:$T,15,FALSE))))</f>
        <v/>
      </c>
      <c r="BF32" s="134" t="str">
        <f>IF($B32="","",IF(VLOOKUP($B32,Compétences!$A:$T,16,FALSE)="","",(VLOOKUP($B32,Compétences!$A:$T,16,FALSE))))</f>
        <v/>
      </c>
      <c r="BG32" s="134" t="str">
        <f>IF($B32="","",IF(VLOOKUP($B32,Compétences!$A:$T,17,FALSE)="","",(VLOOKUP($B32,Compétences!$A:$T,17,FALSE))))</f>
        <v/>
      </c>
      <c r="BH32" s="134" t="str">
        <f>IF($B32="","",IF(VLOOKUP($B32,Compétences!$A:$T,18,FALSE)="","",(VLOOKUP($B32,Compétences!$A:$T,18,FALSE))))</f>
        <v/>
      </c>
      <c r="BI32" s="134" t="str">
        <f>IF($B32="","",IF(VLOOKUP($B32,Compétences!$A:$T,19,FALSE)="","",(VLOOKUP($B32,Compétences!$A:$T,19,FALSE))))</f>
        <v/>
      </c>
      <c r="BJ32" s="134" t="str">
        <f>IF($B32="","",IF(VLOOKUP($B32,Compétences!$A:$T,20,FALSE)="","",(VLOOKUP($B32,Compétences!$A:$T,20,FALSE))))</f>
        <v/>
      </c>
    </row>
    <row r="33" spans="2:66" ht="16.2" customHeight="1" x14ac:dyDescent="0.25">
      <c r="B33" s="635"/>
      <c r="C33" s="636"/>
      <c r="D33" s="636"/>
      <c r="E33" s="637"/>
      <c r="F33" s="41"/>
      <c r="G33" s="71"/>
      <c r="H33" s="49"/>
      <c r="I33" s="660"/>
      <c r="J33" s="661"/>
      <c r="K33" s="662"/>
      <c r="L33" s="343">
        <f t="shared" si="0"/>
        <v>0</v>
      </c>
      <c r="M33" s="682" t="str">
        <f>IF(B33="","",IF(OR(B33="Artisanat Dégradant",B33="Artisanat Marchand",B33="Artisanat Noble",B33="Navigation",B33="Jeu",B33="Spectacle"),VLOOKUP(I33,Tableaux!N:O,2,0),(VLOOKUP(B33,Compétences!A:U,21,0))))</f>
        <v/>
      </c>
      <c r="N33" s="683"/>
      <c r="O33" s="683"/>
      <c r="P33" s="683"/>
      <c r="Q33" s="683"/>
      <c r="R33" s="684"/>
      <c r="S33" s="78"/>
      <c r="T33" s="317" t="str">
        <f>IF(B33="","",VLOOKUP(M33,Calculs!$A$6:$E$14,5,FALSE)+G33)</f>
        <v/>
      </c>
      <c r="U33" s="309" t="str">
        <f t="shared" si="1"/>
        <v/>
      </c>
      <c r="V33" s="83" t="str">
        <f t="shared" si="2"/>
        <v/>
      </c>
      <c r="W33" s="311" t="str">
        <f t="shared" si="3"/>
        <v/>
      </c>
      <c r="X33" s="312" t="str">
        <f t="shared" si="4"/>
        <v/>
      </c>
      <c r="Y33" s="624" t="str">
        <f>IF(B33="","",IF(OR(G33=3,G33=4),VLOOKUP(B33,Compétences!A$2:Y$61,23,FALSE),IF(OR(G33=5,G33=6),VLOOKUP(B33,Compétences!A$2:Y$61,24,FALSE),IF(G33&gt;6,VLOOKUP(B33,Compétences!A$2:Y$61,25,FALSE),""))))</f>
        <v/>
      </c>
      <c r="Z33" s="625"/>
      <c r="AA33" s="625"/>
      <c r="AB33" s="625"/>
      <c r="AC33" s="625"/>
      <c r="AD33" s="625"/>
      <c r="AE33" s="625"/>
      <c r="AF33" s="627"/>
      <c r="AG33" s="49"/>
      <c r="AH33" s="624" t="str">
        <f>IF(B33="","",IF(OR(I33="Piratage",I33="Autopsie"),"Dégrad.",(VLOOKUP(B33,Compétences!$A$2:$U$61,3,FALSE))))</f>
        <v/>
      </c>
      <c r="AI33" s="625"/>
      <c r="AJ33" s="478"/>
      <c r="AK33" s="85"/>
      <c r="AL33" s="134" t="str">
        <f t="shared" si="5"/>
        <v/>
      </c>
      <c r="AM33" s="313" t="str">
        <f t="shared" si="6"/>
        <v/>
      </c>
      <c r="AN33" s="313" t="str">
        <f>IF(B33="","",(VLOOKUP(M33,Calculs!$A$6:$E$14,5,FALSE)))</f>
        <v/>
      </c>
      <c r="AO33" s="314" t="str">
        <f t="shared" si="7"/>
        <v/>
      </c>
      <c r="AP33" s="313" t="str">
        <f t="shared" si="8"/>
        <v/>
      </c>
      <c r="AQ33" s="313">
        <f t="shared" si="9"/>
        <v>0</v>
      </c>
      <c r="AR33" s="134"/>
      <c r="AS33" s="134" t="str">
        <f>IF($B33="","",IF(VLOOKUP($B33,Compétences!$A:$T,4,FALSE)="","",(VLOOKUP($B33,Compétences!$A:$T,4,FALSE))))</f>
        <v/>
      </c>
      <c r="AT33" s="134" t="str">
        <f>IF($B33="","",IF(VLOOKUP($B33,Compétences!$A:$T,5,FALSE)="","",(VLOOKUP($B33,Compétences!$A:$T,5,FALSE))))</f>
        <v/>
      </c>
      <c r="AU33" s="134"/>
      <c r="AV33" s="134" t="str">
        <f>IF($B33="","",IF(VLOOKUP($B33,Compétences!$A:$T,6,FALSE)="","",(VLOOKUP($B33,Compétences!$A:$T,6,FALSE))))</f>
        <v/>
      </c>
      <c r="AW33" s="134" t="str">
        <f>IF($B33="","",IF(VLOOKUP($B33,Compétences!$A:$T,7,FALSE)="","",(VLOOKUP($B33,Compétences!$A:$T,7,FALSE))))</f>
        <v/>
      </c>
      <c r="AX33" s="134" t="str">
        <f>IF($B33="","",IF(VLOOKUP($B33,Compétences!$A:$T,8,FALSE)="","",(VLOOKUP($B33,Compétences!$A:$T,8,FALSE))))</f>
        <v/>
      </c>
      <c r="AY33" s="134" t="str">
        <f>IF($B33="","",IF(VLOOKUP($B33,Compétences!$A:$T,9,FALSE)="","",(VLOOKUP($B33,Compétences!$A:$T,9,FALSE))))</f>
        <v/>
      </c>
      <c r="AZ33" s="134" t="str">
        <f>IF($B33="","",IF(VLOOKUP($B33,Compétences!$A:$T,10,FALSE)="","",(VLOOKUP($B33,Compétences!$A:$T,10,FALSE))))</f>
        <v/>
      </c>
      <c r="BA33" s="134" t="str">
        <f>IF($B33="","",IF(VLOOKUP($B33,Compétences!$A:$T,11,FALSE)="","",(VLOOKUP($B33,Compétences!$A:$T,11,FALSE))))</f>
        <v/>
      </c>
      <c r="BB33" s="134" t="str">
        <f>IF($B33="","",IF(VLOOKUP($B33,Compétences!$A:$T,12,FALSE)="","",(VLOOKUP($B33,Compétences!$A:$T,12,FALSE))))</f>
        <v/>
      </c>
      <c r="BC33" s="134" t="str">
        <f>IF($B33="","",IF(VLOOKUP($B33,Compétences!$A:$T,13,FALSE)="","",(VLOOKUP($B33,Compétences!$A:$T,13,FALSE))))</f>
        <v/>
      </c>
      <c r="BD33" s="134" t="str">
        <f>IF($B33="","",IF(VLOOKUP($B33,Compétences!$A:$T,14,FALSE)="","",(VLOOKUP($B33,Compétences!$A:$T,14,FALSE))))</f>
        <v/>
      </c>
      <c r="BE33" s="134" t="str">
        <f>IF($B33="","",IF(VLOOKUP($B33,Compétences!$A:$T,15,FALSE)="","",(VLOOKUP($B33,Compétences!$A:$T,15,FALSE))))</f>
        <v/>
      </c>
      <c r="BF33" s="134" t="str">
        <f>IF($B33="","",IF(VLOOKUP($B33,Compétences!$A:$T,16,FALSE)="","",(VLOOKUP($B33,Compétences!$A:$T,16,FALSE))))</f>
        <v/>
      </c>
      <c r="BG33" s="134" t="str">
        <f>IF($B33="","",IF(VLOOKUP($B33,Compétences!$A:$T,17,FALSE)="","",(VLOOKUP($B33,Compétences!$A:$T,17,FALSE))))</f>
        <v/>
      </c>
      <c r="BH33" s="134" t="str">
        <f>IF($B33="","",IF(VLOOKUP($B33,Compétences!$A:$T,18,FALSE)="","",(VLOOKUP($B33,Compétences!$A:$T,18,FALSE))))</f>
        <v/>
      </c>
      <c r="BI33" s="134" t="str">
        <f>IF($B33="","",IF(VLOOKUP($B33,Compétences!$A:$T,19,FALSE)="","",(VLOOKUP($B33,Compétences!$A:$T,19,FALSE))))</f>
        <v/>
      </c>
      <c r="BJ33" s="134" t="str">
        <f>IF($B33="","",IF(VLOOKUP($B33,Compétences!$A:$T,20,FALSE)="","",(VLOOKUP($B33,Compétences!$A:$T,20,FALSE))))</f>
        <v/>
      </c>
    </row>
    <row r="34" spans="2:66" ht="16.2" customHeight="1" x14ac:dyDescent="0.25">
      <c r="B34" s="635"/>
      <c r="C34" s="636"/>
      <c r="D34" s="636"/>
      <c r="E34" s="637"/>
      <c r="F34" s="41"/>
      <c r="G34" s="71"/>
      <c r="H34" s="49"/>
      <c r="I34" s="660"/>
      <c r="J34" s="661"/>
      <c r="K34" s="662"/>
      <c r="L34" s="343">
        <f t="shared" si="0"/>
        <v>0</v>
      </c>
      <c r="M34" s="682" t="str">
        <f>IF(B34="","",IF(OR(B34="Artisanat Dégradant",B34="Artisanat Marchand",B34="Artisanat Noble",B34="Navigation",B34="Jeu",B34="Spectacle"),VLOOKUP(I34,Tableaux!N:O,2,0),(VLOOKUP(B34,Compétences!A:U,21,0))))</f>
        <v/>
      </c>
      <c r="N34" s="683"/>
      <c r="O34" s="683"/>
      <c r="P34" s="683"/>
      <c r="Q34" s="683"/>
      <c r="R34" s="684"/>
      <c r="S34" s="78"/>
      <c r="T34" s="317" t="str">
        <f>IF(B34="","",VLOOKUP(M34,Calculs!$A$6:$E$14,5,FALSE)+G34)</f>
        <v/>
      </c>
      <c r="U34" s="309" t="str">
        <f t="shared" si="1"/>
        <v/>
      </c>
      <c r="V34" s="83" t="str">
        <f t="shared" si="2"/>
        <v/>
      </c>
      <c r="W34" s="311" t="str">
        <f t="shared" si="3"/>
        <v/>
      </c>
      <c r="X34" s="312" t="str">
        <f t="shared" si="4"/>
        <v/>
      </c>
      <c r="Y34" s="624" t="str">
        <f>IF(B34="","",IF(OR(G34=3,G34=4),VLOOKUP(B34,Compétences!A$2:Y$61,23,FALSE),IF(OR(G34=5,G34=6),VLOOKUP(B34,Compétences!A$2:Y$61,24,FALSE),IF(G34&gt;6,VLOOKUP(B34,Compétences!A$2:Y$61,25,FALSE),""))))</f>
        <v/>
      </c>
      <c r="Z34" s="625"/>
      <c r="AA34" s="625"/>
      <c r="AB34" s="625"/>
      <c r="AC34" s="625"/>
      <c r="AD34" s="625"/>
      <c r="AE34" s="625"/>
      <c r="AF34" s="627"/>
      <c r="AG34" s="49"/>
      <c r="AH34" s="624" t="str">
        <f>IF(B34="","",IF(OR(I34="Piratage",I34="Autopsie"),"Dégrad.",(VLOOKUP(B34,Compétences!$A$2:$U$61,3,FALSE))))</f>
        <v/>
      </c>
      <c r="AI34" s="625"/>
      <c r="AJ34" s="478"/>
      <c r="AK34" s="85"/>
      <c r="AL34" s="134" t="str">
        <f t="shared" si="5"/>
        <v/>
      </c>
      <c r="AM34" s="313" t="str">
        <f t="shared" si="6"/>
        <v/>
      </c>
      <c r="AN34" s="313" t="str">
        <f>IF(B34="","",(VLOOKUP(M34,Calculs!$A$6:$E$14,5,FALSE)))</f>
        <v/>
      </c>
      <c r="AO34" s="314" t="str">
        <f t="shared" si="7"/>
        <v/>
      </c>
      <c r="AP34" s="313" t="str">
        <f t="shared" si="8"/>
        <v/>
      </c>
      <c r="AQ34" s="313">
        <f t="shared" si="9"/>
        <v>0</v>
      </c>
      <c r="AR34" s="134"/>
      <c r="AS34" s="134" t="str">
        <f>IF($B34="","",IF(VLOOKUP($B34,Compétences!$A:$T,4,FALSE)="","",(VLOOKUP($B34,Compétences!$A:$T,4,FALSE))))</f>
        <v/>
      </c>
      <c r="AT34" s="134" t="str">
        <f>IF($B34="","",IF(VLOOKUP($B34,Compétences!$A:$T,5,FALSE)="","",(VLOOKUP($B34,Compétences!$A:$T,5,FALSE))))</f>
        <v/>
      </c>
      <c r="AU34" s="134"/>
      <c r="AV34" s="134" t="str">
        <f>IF($B34="","",IF(VLOOKUP($B34,Compétences!$A:$T,6,FALSE)="","",(VLOOKUP($B34,Compétences!$A:$T,6,FALSE))))</f>
        <v/>
      </c>
      <c r="AW34" s="134" t="str">
        <f>IF($B34="","",IF(VLOOKUP($B34,Compétences!$A:$T,7,FALSE)="","",(VLOOKUP($B34,Compétences!$A:$T,7,FALSE))))</f>
        <v/>
      </c>
      <c r="AX34" s="134" t="str">
        <f>IF($B34="","",IF(VLOOKUP($B34,Compétences!$A:$T,8,FALSE)="","",(VLOOKUP($B34,Compétences!$A:$T,8,FALSE))))</f>
        <v/>
      </c>
      <c r="AY34" s="134" t="str">
        <f>IF($B34="","",IF(VLOOKUP($B34,Compétences!$A:$T,9,FALSE)="","",(VLOOKUP($B34,Compétences!$A:$T,9,FALSE))))</f>
        <v/>
      </c>
      <c r="AZ34" s="134" t="str">
        <f>IF($B34="","",IF(VLOOKUP($B34,Compétences!$A:$T,10,FALSE)="","",(VLOOKUP($B34,Compétences!$A:$T,10,FALSE))))</f>
        <v/>
      </c>
      <c r="BA34" s="134" t="str">
        <f>IF($B34="","",IF(VLOOKUP($B34,Compétences!$A:$T,11,FALSE)="","",(VLOOKUP($B34,Compétences!$A:$T,11,FALSE))))</f>
        <v/>
      </c>
      <c r="BB34" s="134" t="str">
        <f>IF($B34="","",IF(VLOOKUP($B34,Compétences!$A:$T,12,FALSE)="","",(VLOOKUP($B34,Compétences!$A:$T,12,FALSE))))</f>
        <v/>
      </c>
      <c r="BC34" s="134" t="str">
        <f>IF($B34="","",IF(VLOOKUP($B34,Compétences!$A:$T,13,FALSE)="","",(VLOOKUP($B34,Compétences!$A:$T,13,FALSE))))</f>
        <v/>
      </c>
      <c r="BD34" s="134" t="str">
        <f>IF($B34="","",IF(VLOOKUP($B34,Compétences!$A:$T,14,FALSE)="","",(VLOOKUP($B34,Compétences!$A:$T,14,FALSE))))</f>
        <v/>
      </c>
      <c r="BE34" s="134" t="str">
        <f>IF($B34="","",IF(VLOOKUP($B34,Compétences!$A:$T,15,FALSE)="","",(VLOOKUP($B34,Compétences!$A:$T,15,FALSE))))</f>
        <v/>
      </c>
      <c r="BF34" s="134" t="str">
        <f>IF($B34="","",IF(VLOOKUP($B34,Compétences!$A:$T,16,FALSE)="","",(VLOOKUP($B34,Compétences!$A:$T,16,FALSE))))</f>
        <v/>
      </c>
      <c r="BG34" s="134" t="str">
        <f>IF($B34="","",IF(VLOOKUP($B34,Compétences!$A:$T,17,FALSE)="","",(VLOOKUP($B34,Compétences!$A:$T,17,FALSE))))</f>
        <v/>
      </c>
      <c r="BH34" s="134" t="str">
        <f>IF($B34="","",IF(VLOOKUP($B34,Compétences!$A:$T,18,FALSE)="","",(VLOOKUP($B34,Compétences!$A:$T,18,FALSE))))</f>
        <v/>
      </c>
      <c r="BI34" s="134" t="str">
        <f>IF($B34="","",IF(VLOOKUP($B34,Compétences!$A:$T,19,FALSE)="","",(VLOOKUP($B34,Compétences!$A:$T,19,FALSE))))</f>
        <v/>
      </c>
      <c r="BJ34" s="134" t="str">
        <f>IF($B34="","",IF(VLOOKUP($B34,Compétences!$A:$T,20,FALSE)="","",(VLOOKUP($B34,Compétences!$A:$T,20,FALSE))))</f>
        <v/>
      </c>
    </row>
    <row r="35" spans="2:66" ht="16.2" customHeight="1" x14ac:dyDescent="0.25">
      <c r="B35" s="635"/>
      <c r="C35" s="636"/>
      <c r="D35" s="636"/>
      <c r="E35" s="637"/>
      <c r="F35" s="41"/>
      <c r="G35" s="71"/>
      <c r="H35" s="49"/>
      <c r="I35" s="660"/>
      <c r="J35" s="661"/>
      <c r="K35" s="662"/>
      <c r="L35" s="343">
        <f t="shared" si="0"/>
        <v>0</v>
      </c>
      <c r="M35" s="682" t="str">
        <f>IF(B35="","",IF(OR(B35="Artisanat Dégradant",B35="Artisanat Marchand",B35="Artisanat Noble",B35="Navigation",B35="Jeu",B35="Spectacle"),VLOOKUP(I35,Tableaux!N:O,2,0),(VLOOKUP(B35,Compétences!A:U,21,0))))</f>
        <v/>
      </c>
      <c r="N35" s="683"/>
      <c r="O35" s="683"/>
      <c r="P35" s="683"/>
      <c r="Q35" s="683"/>
      <c r="R35" s="684"/>
      <c r="S35" s="78"/>
      <c r="T35" s="317" t="str">
        <f>IF(B35="","",VLOOKUP(M35,Calculs!$A$6:$E$14,5,FALSE)+G35)</f>
        <v/>
      </c>
      <c r="U35" s="309" t="str">
        <f t="shared" si="1"/>
        <v/>
      </c>
      <c r="V35" s="83" t="str">
        <f t="shared" si="2"/>
        <v/>
      </c>
      <c r="W35" s="311" t="str">
        <f t="shared" si="3"/>
        <v/>
      </c>
      <c r="X35" s="312" t="str">
        <f t="shared" si="4"/>
        <v/>
      </c>
      <c r="Y35" s="624" t="str">
        <f>IF(B35="","",IF(OR(G35=3,G35=4),VLOOKUP(B35,Compétences!A$2:Y$61,23,FALSE),IF(OR(G35=5,G35=6),VLOOKUP(B35,Compétences!A$2:Y$61,24,FALSE),IF(G35&gt;6,VLOOKUP(B35,Compétences!A$2:Y$61,25,FALSE),""))))</f>
        <v/>
      </c>
      <c r="Z35" s="625"/>
      <c r="AA35" s="625"/>
      <c r="AB35" s="625"/>
      <c r="AC35" s="625"/>
      <c r="AD35" s="625"/>
      <c r="AE35" s="625"/>
      <c r="AF35" s="627"/>
      <c r="AG35" s="49"/>
      <c r="AH35" s="624" t="str">
        <f>IF(B35="","",IF(OR(I35="Piratage",I35="Autopsie"),"Dégrad.",(VLOOKUP(B35,Compétences!$A$2:$U$61,3,FALSE))))</f>
        <v/>
      </c>
      <c r="AI35" s="625"/>
      <c r="AJ35" s="478"/>
      <c r="AK35" s="85"/>
      <c r="AL35" s="134" t="str">
        <f t="shared" si="5"/>
        <v/>
      </c>
      <c r="AM35" s="313" t="str">
        <f t="shared" si="6"/>
        <v/>
      </c>
      <c r="AN35" s="313" t="str">
        <f>IF(B35="","",(VLOOKUP(M35,Calculs!$A$6:$E$14,5,FALSE)))</f>
        <v/>
      </c>
      <c r="AO35" s="314" t="str">
        <f t="shared" si="7"/>
        <v/>
      </c>
      <c r="AP35" s="313" t="str">
        <f t="shared" si="8"/>
        <v/>
      </c>
      <c r="AQ35" s="313">
        <f t="shared" si="9"/>
        <v>0</v>
      </c>
      <c r="AR35" s="134"/>
      <c r="AS35" s="134" t="str">
        <f>IF($B35="","",IF(VLOOKUP($B35,Compétences!$A:$T,4,FALSE)="","",(VLOOKUP($B35,Compétences!$A:$T,4,FALSE))))</f>
        <v/>
      </c>
      <c r="AT35" s="134" t="str">
        <f>IF($B35="","",IF(VLOOKUP($B35,Compétences!$A:$T,5,FALSE)="","",(VLOOKUP($B35,Compétences!$A:$T,5,FALSE))))</f>
        <v/>
      </c>
      <c r="AU35" s="134"/>
      <c r="AV35" s="134" t="str">
        <f>IF($B35="","",IF(VLOOKUP($B35,Compétences!$A:$T,6,FALSE)="","",(VLOOKUP($B35,Compétences!$A:$T,6,FALSE))))</f>
        <v/>
      </c>
      <c r="AW35" s="134" t="str">
        <f>IF($B35="","",IF(VLOOKUP($B35,Compétences!$A:$T,7,FALSE)="","",(VLOOKUP($B35,Compétences!$A:$T,7,FALSE))))</f>
        <v/>
      </c>
      <c r="AX35" s="134" t="str">
        <f>IF($B35="","",IF(VLOOKUP($B35,Compétences!$A:$T,8,FALSE)="","",(VLOOKUP($B35,Compétences!$A:$T,8,FALSE))))</f>
        <v/>
      </c>
      <c r="AY35" s="134" t="str">
        <f>IF($B35="","",IF(VLOOKUP($B35,Compétences!$A:$T,9,FALSE)="","",(VLOOKUP($B35,Compétences!$A:$T,9,FALSE))))</f>
        <v/>
      </c>
      <c r="AZ35" s="134" t="str">
        <f>IF($B35="","",IF(VLOOKUP($B35,Compétences!$A:$T,10,FALSE)="","",(VLOOKUP($B35,Compétences!$A:$T,10,FALSE))))</f>
        <v/>
      </c>
      <c r="BA35" s="134" t="str">
        <f>IF($B35="","",IF(VLOOKUP($B35,Compétences!$A:$T,11,FALSE)="","",(VLOOKUP($B35,Compétences!$A:$T,11,FALSE))))</f>
        <v/>
      </c>
      <c r="BB35" s="134" t="str">
        <f>IF($B35="","",IF(VLOOKUP($B35,Compétences!$A:$T,12,FALSE)="","",(VLOOKUP($B35,Compétences!$A:$T,12,FALSE))))</f>
        <v/>
      </c>
      <c r="BC35" s="134" t="str">
        <f>IF($B35="","",IF(VLOOKUP($B35,Compétences!$A:$T,13,FALSE)="","",(VLOOKUP($B35,Compétences!$A:$T,13,FALSE))))</f>
        <v/>
      </c>
      <c r="BD35" s="134" t="str">
        <f>IF($B35="","",IF(VLOOKUP($B35,Compétences!$A:$T,14,FALSE)="","",(VLOOKUP($B35,Compétences!$A:$T,14,FALSE))))</f>
        <v/>
      </c>
      <c r="BE35" s="134" t="str">
        <f>IF($B35="","",IF(VLOOKUP($B35,Compétences!$A:$T,15,FALSE)="","",(VLOOKUP($B35,Compétences!$A:$T,15,FALSE))))</f>
        <v/>
      </c>
      <c r="BF35" s="134" t="str">
        <f>IF($B35="","",IF(VLOOKUP($B35,Compétences!$A:$T,16,FALSE)="","",(VLOOKUP($B35,Compétences!$A:$T,16,FALSE))))</f>
        <v/>
      </c>
      <c r="BG35" s="134" t="str">
        <f>IF($B35="","",IF(VLOOKUP($B35,Compétences!$A:$T,17,FALSE)="","",(VLOOKUP($B35,Compétences!$A:$T,17,FALSE))))</f>
        <v/>
      </c>
      <c r="BH35" s="134" t="str">
        <f>IF($B35="","",IF(VLOOKUP($B35,Compétences!$A:$T,18,FALSE)="","",(VLOOKUP($B35,Compétences!$A:$T,18,FALSE))))</f>
        <v/>
      </c>
      <c r="BI35" s="134" t="str">
        <f>IF($B35="","",IF(VLOOKUP($B35,Compétences!$A:$T,19,FALSE)="","",(VLOOKUP($B35,Compétences!$A:$T,19,FALSE))))</f>
        <v/>
      </c>
      <c r="BJ35" s="134" t="str">
        <f>IF($B35="","",IF(VLOOKUP($B35,Compétences!$A:$T,20,FALSE)="","",(VLOOKUP($B35,Compétences!$A:$T,20,FALSE))))</f>
        <v/>
      </c>
    </row>
    <row r="36" spans="2:66" ht="16.2" customHeight="1" x14ac:dyDescent="0.25">
      <c r="B36" s="635"/>
      <c r="C36" s="636"/>
      <c r="D36" s="636"/>
      <c r="E36" s="637"/>
      <c r="F36" s="41"/>
      <c r="G36" s="71"/>
      <c r="H36" s="49"/>
      <c r="I36" s="660"/>
      <c r="J36" s="661"/>
      <c r="K36" s="662"/>
      <c r="L36" s="343">
        <f t="shared" si="0"/>
        <v>0</v>
      </c>
      <c r="M36" s="682" t="str">
        <f>IF(B36="","",IF(OR(B36="Artisanat Dégradant",B36="Artisanat Marchand",B36="Artisanat Noble",B36="Navigation",B36="Jeu",B36="Spectacle"),VLOOKUP(I36,Tableaux!N:O,2,0),(VLOOKUP(B36,Compétences!A:U,21,0))))</f>
        <v/>
      </c>
      <c r="N36" s="683"/>
      <c r="O36" s="683"/>
      <c r="P36" s="683"/>
      <c r="Q36" s="683"/>
      <c r="R36" s="684"/>
      <c r="S36" s="78"/>
      <c r="T36" s="317" t="str">
        <f>IF(B36="","",VLOOKUP(M36,Calculs!$A$6:$E$14,5,FALSE)+G36)</f>
        <v/>
      </c>
      <c r="U36" s="309" t="str">
        <f t="shared" si="1"/>
        <v/>
      </c>
      <c r="V36" s="83" t="str">
        <f t="shared" si="2"/>
        <v/>
      </c>
      <c r="W36" s="311" t="str">
        <f t="shared" si="3"/>
        <v/>
      </c>
      <c r="X36" s="312" t="str">
        <f t="shared" si="4"/>
        <v/>
      </c>
      <c r="Y36" s="624" t="str">
        <f>IF(B36="","",IF(OR(G36=3,G36=4),VLOOKUP(B36,Compétences!A$2:Y$61,23,FALSE),IF(OR(G36=5,G36=6),VLOOKUP(B36,Compétences!A$2:Y$61,24,FALSE),IF(G36&gt;6,VLOOKUP(B36,Compétences!A$2:Y$61,25,FALSE),""))))</f>
        <v/>
      </c>
      <c r="Z36" s="625"/>
      <c r="AA36" s="625"/>
      <c r="AB36" s="625"/>
      <c r="AC36" s="625"/>
      <c r="AD36" s="625"/>
      <c r="AE36" s="625"/>
      <c r="AF36" s="627"/>
      <c r="AG36" s="49"/>
      <c r="AH36" s="624" t="str">
        <f>IF(B36="","",IF(OR(I36="Piratage",I36="Autopsie"),"Dégrad.",(VLOOKUP(B36,Compétences!$A$2:$U$61,3,FALSE))))</f>
        <v/>
      </c>
      <c r="AI36" s="625"/>
      <c r="AJ36" s="478"/>
      <c r="AK36" s="85"/>
      <c r="AL36" s="134" t="str">
        <f t="shared" si="5"/>
        <v/>
      </c>
      <c r="AM36" s="313" t="str">
        <f t="shared" si="6"/>
        <v/>
      </c>
      <c r="AN36" s="313" t="str">
        <f>IF(B36="","",(VLOOKUP(M36,Calculs!$A$6:$E$14,5,FALSE)))</f>
        <v/>
      </c>
      <c r="AO36" s="314" t="str">
        <f t="shared" si="7"/>
        <v/>
      </c>
      <c r="AP36" s="313" t="str">
        <f t="shared" si="8"/>
        <v/>
      </c>
      <c r="AQ36" s="313">
        <f t="shared" si="9"/>
        <v>0</v>
      </c>
      <c r="AR36" s="134"/>
      <c r="AS36" s="134" t="str">
        <f>IF($B36="","",IF(VLOOKUP($B36,Compétences!$A:$T,4,FALSE)="","",(VLOOKUP($B36,Compétences!$A:$T,4,FALSE))))</f>
        <v/>
      </c>
      <c r="AT36" s="134" t="str">
        <f>IF($B36="","",IF(VLOOKUP($B36,Compétences!$A:$T,5,FALSE)="","",(VLOOKUP($B36,Compétences!$A:$T,5,FALSE))))</f>
        <v/>
      </c>
      <c r="AU36" s="134"/>
      <c r="AV36" s="134" t="str">
        <f>IF($B36="","",IF(VLOOKUP($B36,Compétences!$A:$T,6,FALSE)="","",(VLOOKUP($B36,Compétences!$A:$T,6,FALSE))))</f>
        <v/>
      </c>
      <c r="AW36" s="134" t="str">
        <f>IF($B36="","",IF(VLOOKUP($B36,Compétences!$A:$T,7,FALSE)="","",(VLOOKUP($B36,Compétences!$A:$T,7,FALSE))))</f>
        <v/>
      </c>
      <c r="AX36" s="134" t="str">
        <f>IF($B36="","",IF(VLOOKUP($B36,Compétences!$A:$T,8,FALSE)="","",(VLOOKUP($B36,Compétences!$A:$T,8,FALSE))))</f>
        <v/>
      </c>
      <c r="AY36" s="134" t="str">
        <f>IF($B36="","",IF(VLOOKUP($B36,Compétences!$A:$T,9,FALSE)="","",(VLOOKUP($B36,Compétences!$A:$T,9,FALSE))))</f>
        <v/>
      </c>
      <c r="AZ36" s="134" t="str">
        <f>IF($B36="","",IF(VLOOKUP($B36,Compétences!$A:$T,10,FALSE)="","",(VLOOKUP($B36,Compétences!$A:$T,10,FALSE))))</f>
        <v/>
      </c>
      <c r="BA36" s="134" t="str">
        <f>IF($B36="","",IF(VLOOKUP($B36,Compétences!$A:$T,11,FALSE)="","",(VLOOKUP($B36,Compétences!$A:$T,11,FALSE))))</f>
        <v/>
      </c>
      <c r="BB36" s="134" t="str">
        <f>IF($B36="","",IF(VLOOKUP($B36,Compétences!$A:$T,12,FALSE)="","",(VLOOKUP($B36,Compétences!$A:$T,12,FALSE))))</f>
        <v/>
      </c>
      <c r="BC36" s="134" t="str">
        <f>IF($B36="","",IF(VLOOKUP($B36,Compétences!$A:$T,13,FALSE)="","",(VLOOKUP($B36,Compétences!$A:$T,13,FALSE))))</f>
        <v/>
      </c>
      <c r="BD36" s="134" t="str">
        <f>IF($B36="","",IF(VLOOKUP($B36,Compétences!$A:$T,14,FALSE)="","",(VLOOKUP($B36,Compétences!$A:$T,14,FALSE))))</f>
        <v/>
      </c>
      <c r="BE36" s="134" t="str">
        <f>IF($B36="","",IF(VLOOKUP($B36,Compétences!$A:$T,15,FALSE)="","",(VLOOKUP($B36,Compétences!$A:$T,15,FALSE))))</f>
        <v/>
      </c>
      <c r="BF36" s="134" t="str">
        <f>IF($B36="","",IF(VLOOKUP($B36,Compétences!$A:$T,16,FALSE)="","",(VLOOKUP($B36,Compétences!$A:$T,16,FALSE))))</f>
        <v/>
      </c>
      <c r="BG36" s="134" t="str">
        <f>IF($B36="","",IF(VLOOKUP($B36,Compétences!$A:$T,17,FALSE)="","",(VLOOKUP($B36,Compétences!$A:$T,17,FALSE))))</f>
        <v/>
      </c>
      <c r="BH36" s="134" t="str">
        <f>IF($B36="","",IF(VLOOKUP($B36,Compétences!$A:$T,18,FALSE)="","",(VLOOKUP($B36,Compétences!$A:$T,18,FALSE))))</f>
        <v/>
      </c>
      <c r="BI36" s="134" t="str">
        <f>IF($B36="","",IF(VLOOKUP($B36,Compétences!$A:$T,19,FALSE)="","",(VLOOKUP($B36,Compétences!$A:$T,19,FALSE))))</f>
        <v/>
      </c>
      <c r="BJ36" s="134" t="str">
        <f>IF($B36="","",IF(VLOOKUP($B36,Compétences!$A:$T,20,FALSE)="","",(VLOOKUP($B36,Compétences!$A:$T,20,FALSE))))</f>
        <v/>
      </c>
    </row>
    <row r="37" spans="2:66" ht="16.2" customHeight="1" x14ac:dyDescent="0.25">
      <c r="B37" s="635"/>
      <c r="C37" s="636"/>
      <c r="D37" s="636"/>
      <c r="E37" s="637"/>
      <c r="F37" s="41"/>
      <c r="G37" s="71"/>
      <c r="H37" s="49"/>
      <c r="I37" s="660"/>
      <c r="J37" s="661"/>
      <c r="K37" s="662"/>
      <c r="L37" s="343">
        <f t="shared" si="0"/>
        <v>0</v>
      </c>
      <c r="M37" s="682" t="str">
        <f>IF(B37="","",IF(OR(B37="Artisanat Dégradant",B37="Artisanat Marchand",B37="Artisanat Noble",B37="Navigation",B37="Jeu",B37="Spectacle"),VLOOKUP(I37,Tableaux!N:O,2,0),(VLOOKUP(B37,Compétences!A:U,21,0))))</f>
        <v/>
      </c>
      <c r="N37" s="683"/>
      <c r="O37" s="683"/>
      <c r="P37" s="683"/>
      <c r="Q37" s="683"/>
      <c r="R37" s="684"/>
      <c r="S37" s="78"/>
      <c r="T37" s="317" t="str">
        <f>IF(B37="","",VLOOKUP(M37,Calculs!$A$6:$E$14,5,FALSE)+G37)</f>
        <v/>
      </c>
      <c r="U37" s="309" t="str">
        <f t="shared" si="1"/>
        <v/>
      </c>
      <c r="V37" s="83" t="str">
        <f t="shared" si="2"/>
        <v/>
      </c>
      <c r="W37" s="311" t="str">
        <f t="shared" si="3"/>
        <v/>
      </c>
      <c r="X37" s="312" t="str">
        <f t="shared" si="4"/>
        <v/>
      </c>
      <c r="Y37" s="624" t="str">
        <f>IF(B37="","",IF(OR(G37=3,G37=4),VLOOKUP(B37,Compétences!A$2:Y$61,23,FALSE),IF(OR(G37=5,G37=6),VLOOKUP(B37,Compétences!A$2:Y$61,24,FALSE),IF(G37&gt;6,VLOOKUP(B37,Compétences!A$2:Y$61,25,FALSE),""))))</f>
        <v/>
      </c>
      <c r="Z37" s="625"/>
      <c r="AA37" s="625"/>
      <c r="AB37" s="625"/>
      <c r="AC37" s="625"/>
      <c r="AD37" s="625"/>
      <c r="AE37" s="625"/>
      <c r="AF37" s="627"/>
      <c r="AG37" s="49"/>
      <c r="AH37" s="624" t="str">
        <f>IF(B37="","",IF(OR(I37="Piratage",I37="Autopsie"),"Dégrad.",(VLOOKUP(B37,Compétences!$A$2:$U$61,3,FALSE))))</f>
        <v/>
      </c>
      <c r="AI37" s="625"/>
      <c r="AJ37" s="478"/>
      <c r="AK37" s="85"/>
      <c r="AL37" s="134" t="str">
        <f t="shared" si="5"/>
        <v/>
      </c>
      <c r="AM37" s="313" t="str">
        <f t="shared" si="6"/>
        <v/>
      </c>
      <c r="AN37" s="313" t="str">
        <f>IF(B37="","",(VLOOKUP(M37,Calculs!$A$6:$E$14,5,FALSE)))</f>
        <v/>
      </c>
      <c r="AO37" s="314" t="str">
        <f t="shared" si="7"/>
        <v/>
      </c>
      <c r="AP37" s="313" t="str">
        <f t="shared" si="8"/>
        <v/>
      </c>
      <c r="AQ37" s="313">
        <f t="shared" si="9"/>
        <v>0</v>
      </c>
      <c r="AR37" s="134"/>
      <c r="AS37" s="134" t="str">
        <f>IF($B37="","",IF(VLOOKUP($B37,Compétences!$A:$T,4,FALSE)="","",(VLOOKUP($B37,Compétences!$A:$T,4,FALSE))))</f>
        <v/>
      </c>
      <c r="AT37" s="134" t="str">
        <f>IF($B37="","",IF(VLOOKUP($B37,Compétences!$A:$T,5,FALSE)="","",(VLOOKUP($B37,Compétences!$A:$T,5,FALSE))))</f>
        <v/>
      </c>
      <c r="AU37" s="134"/>
      <c r="AV37" s="134" t="str">
        <f>IF($B37="","",IF(VLOOKUP($B37,Compétences!$A:$T,6,FALSE)="","",(VLOOKUP($B37,Compétences!$A:$T,6,FALSE))))</f>
        <v/>
      </c>
      <c r="AW37" s="134" t="str">
        <f>IF($B37="","",IF(VLOOKUP($B37,Compétences!$A:$T,7,FALSE)="","",(VLOOKUP($B37,Compétences!$A:$T,7,FALSE))))</f>
        <v/>
      </c>
      <c r="AX37" s="134" t="str">
        <f>IF($B37="","",IF(VLOOKUP($B37,Compétences!$A:$T,8,FALSE)="","",(VLOOKUP($B37,Compétences!$A:$T,8,FALSE))))</f>
        <v/>
      </c>
      <c r="AY37" s="134" t="str">
        <f>IF($B37="","",IF(VLOOKUP($B37,Compétences!$A:$T,9,FALSE)="","",(VLOOKUP($B37,Compétences!$A:$T,9,FALSE))))</f>
        <v/>
      </c>
      <c r="AZ37" s="134" t="str">
        <f>IF($B37="","",IF(VLOOKUP($B37,Compétences!$A:$T,10,FALSE)="","",(VLOOKUP($B37,Compétences!$A:$T,10,FALSE))))</f>
        <v/>
      </c>
      <c r="BA37" s="134" t="str">
        <f>IF($B37="","",IF(VLOOKUP($B37,Compétences!$A:$T,11,FALSE)="","",(VLOOKUP($B37,Compétences!$A:$T,11,FALSE))))</f>
        <v/>
      </c>
      <c r="BB37" s="134" t="str">
        <f>IF($B37="","",IF(VLOOKUP($B37,Compétences!$A:$T,12,FALSE)="","",(VLOOKUP($B37,Compétences!$A:$T,12,FALSE))))</f>
        <v/>
      </c>
      <c r="BC37" s="134" t="str">
        <f>IF($B37="","",IF(VLOOKUP($B37,Compétences!$A:$T,13,FALSE)="","",(VLOOKUP($B37,Compétences!$A:$T,13,FALSE))))</f>
        <v/>
      </c>
      <c r="BD37" s="134" t="str">
        <f>IF($B37="","",IF(VLOOKUP($B37,Compétences!$A:$T,14,FALSE)="","",(VLOOKUP($B37,Compétences!$A:$T,14,FALSE))))</f>
        <v/>
      </c>
      <c r="BE37" s="134" t="str">
        <f>IF($B37="","",IF(VLOOKUP($B37,Compétences!$A:$T,15,FALSE)="","",(VLOOKUP($B37,Compétences!$A:$T,15,FALSE))))</f>
        <v/>
      </c>
      <c r="BF37" s="134" t="str">
        <f>IF($B37="","",IF(VLOOKUP($B37,Compétences!$A:$T,16,FALSE)="","",(VLOOKUP($B37,Compétences!$A:$T,16,FALSE))))</f>
        <v/>
      </c>
      <c r="BG37" s="134" t="str">
        <f>IF($B37="","",IF(VLOOKUP($B37,Compétences!$A:$T,17,FALSE)="","",(VLOOKUP($B37,Compétences!$A:$T,17,FALSE))))</f>
        <v/>
      </c>
      <c r="BH37" s="134" t="str">
        <f>IF($B37="","",IF(VLOOKUP($B37,Compétences!$A:$T,18,FALSE)="","",(VLOOKUP($B37,Compétences!$A:$T,18,FALSE))))</f>
        <v/>
      </c>
      <c r="BI37" s="134" t="str">
        <f>IF($B37="","",IF(VLOOKUP($B37,Compétences!$A:$T,19,FALSE)="","",(VLOOKUP($B37,Compétences!$A:$T,19,FALSE))))</f>
        <v/>
      </c>
      <c r="BJ37" s="134" t="str">
        <f>IF($B37="","",IF(VLOOKUP($B37,Compétences!$A:$T,20,FALSE)="","",(VLOOKUP($B37,Compétences!$A:$T,20,FALSE))))</f>
        <v/>
      </c>
    </row>
    <row r="38" spans="2:66" ht="16.2" customHeight="1" x14ac:dyDescent="0.25">
      <c r="B38" s="635"/>
      <c r="C38" s="636"/>
      <c r="D38" s="636"/>
      <c r="E38" s="637"/>
      <c r="F38" s="41"/>
      <c r="G38" s="71"/>
      <c r="H38" s="49"/>
      <c r="I38" s="660"/>
      <c r="J38" s="661"/>
      <c r="K38" s="662"/>
      <c r="L38" s="343">
        <f t="shared" si="0"/>
        <v>0</v>
      </c>
      <c r="M38" s="682" t="str">
        <f>IF(B38="","",IF(OR(B38="Artisanat Dégradant",B38="Artisanat Marchand",B38="Artisanat Noble",B38="Navigation",B38="Jeu",B38="Spectacle"),VLOOKUP(I38,Tableaux!N:O,2,0),(VLOOKUP(B38,Compétences!A:U,21,0))))</f>
        <v/>
      </c>
      <c r="N38" s="683"/>
      <c r="O38" s="683"/>
      <c r="P38" s="683"/>
      <c r="Q38" s="683"/>
      <c r="R38" s="684"/>
      <c r="S38" s="78"/>
      <c r="T38" s="317" t="str">
        <f>IF(B38="","",VLOOKUP(M38,Calculs!$A$6:$E$14,5,FALSE)+G38)</f>
        <v/>
      </c>
      <c r="U38" s="309" t="str">
        <f t="shared" si="1"/>
        <v/>
      </c>
      <c r="V38" s="83" t="str">
        <f t="shared" si="2"/>
        <v/>
      </c>
      <c r="W38" s="311" t="str">
        <f t="shared" si="3"/>
        <v/>
      </c>
      <c r="X38" s="312" t="str">
        <f t="shared" si="4"/>
        <v/>
      </c>
      <c r="Y38" s="624" t="str">
        <f>IF(B38="","",IF(OR(G38=3,G38=4),VLOOKUP(B38,Compétences!A$2:Y$61,23,FALSE),IF(OR(G38=5,G38=6),VLOOKUP(B38,Compétences!A$2:Y$61,24,FALSE),IF(G38&gt;6,VLOOKUP(B38,Compétences!A$2:Y$61,25,FALSE),""))))</f>
        <v/>
      </c>
      <c r="Z38" s="625"/>
      <c r="AA38" s="625"/>
      <c r="AB38" s="625"/>
      <c r="AC38" s="625"/>
      <c r="AD38" s="625"/>
      <c r="AE38" s="625"/>
      <c r="AF38" s="627"/>
      <c r="AG38" s="49"/>
      <c r="AH38" s="624" t="str">
        <f>IF(B38="","",IF(OR(I38="Piratage",I38="Autopsie"),"Dégrad.",(VLOOKUP(B38,Compétences!$A$2:$U$61,3,FALSE))))</f>
        <v/>
      </c>
      <c r="AI38" s="625"/>
      <c r="AJ38" s="478"/>
      <c r="AK38" s="85"/>
      <c r="AL38" s="134" t="str">
        <f t="shared" si="5"/>
        <v/>
      </c>
      <c r="AM38" s="313" t="str">
        <f t="shared" si="6"/>
        <v/>
      </c>
      <c r="AN38" s="313" t="str">
        <f>IF(B38="","",(VLOOKUP(M38,Calculs!$A$6:$E$14,5,FALSE)))</f>
        <v/>
      </c>
      <c r="AO38" s="314" t="str">
        <f t="shared" si="7"/>
        <v/>
      </c>
      <c r="AP38" s="313" t="str">
        <f t="shared" si="8"/>
        <v/>
      </c>
      <c r="AQ38" s="313">
        <f t="shared" si="9"/>
        <v>0</v>
      </c>
      <c r="AR38" s="134"/>
      <c r="AS38" s="134" t="str">
        <f>IF($B38="","",IF(VLOOKUP($B38,Compétences!$A:$T,4,FALSE)="","",(VLOOKUP($B38,Compétences!$A:$T,4,FALSE))))</f>
        <v/>
      </c>
      <c r="AT38" s="134" t="str">
        <f>IF($B38="","",IF(VLOOKUP($B38,Compétences!$A:$T,5,FALSE)="","",(VLOOKUP($B38,Compétences!$A:$T,5,FALSE))))</f>
        <v/>
      </c>
      <c r="AU38" s="134"/>
      <c r="AV38" s="134" t="str">
        <f>IF($B38="","",IF(VLOOKUP($B38,Compétences!$A:$T,6,FALSE)="","",(VLOOKUP($B38,Compétences!$A:$T,6,FALSE))))</f>
        <v/>
      </c>
      <c r="AW38" s="134" t="str">
        <f>IF($B38="","",IF(VLOOKUP($B38,Compétences!$A:$T,7,FALSE)="","",(VLOOKUP($B38,Compétences!$A:$T,7,FALSE))))</f>
        <v/>
      </c>
      <c r="AX38" s="134" t="str">
        <f>IF($B38="","",IF(VLOOKUP($B38,Compétences!$A:$T,8,FALSE)="","",(VLOOKUP($B38,Compétences!$A:$T,8,FALSE))))</f>
        <v/>
      </c>
      <c r="AY38" s="134" t="str">
        <f>IF($B38="","",IF(VLOOKUP($B38,Compétences!$A:$T,9,FALSE)="","",(VLOOKUP($B38,Compétences!$A:$T,9,FALSE))))</f>
        <v/>
      </c>
      <c r="AZ38" s="134" t="str">
        <f>IF($B38="","",IF(VLOOKUP($B38,Compétences!$A:$T,10,FALSE)="","",(VLOOKUP($B38,Compétences!$A:$T,10,FALSE))))</f>
        <v/>
      </c>
      <c r="BA38" s="134" t="str">
        <f>IF($B38="","",IF(VLOOKUP($B38,Compétences!$A:$T,11,FALSE)="","",(VLOOKUP($B38,Compétences!$A:$T,11,FALSE))))</f>
        <v/>
      </c>
      <c r="BB38" s="134" t="str">
        <f>IF($B38="","",IF(VLOOKUP($B38,Compétences!$A:$T,12,FALSE)="","",(VLOOKUP($B38,Compétences!$A:$T,12,FALSE))))</f>
        <v/>
      </c>
      <c r="BC38" s="134" t="str">
        <f>IF($B38="","",IF(VLOOKUP($B38,Compétences!$A:$T,13,FALSE)="","",(VLOOKUP($B38,Compétences!$A:$T,13,FALSE))))</f>
        <v/>
      </c>
      <c r="BD38" s="134" t="str">
        <f>IF($B38="","",IF(VLOOKUP($B38,Compétences!$A:$T,14,FALSE)="","",(VLOOKUP($B38,Compétences!$A:$T,14,FALSE))))</f>
        <v/>
      </c>
      <c r="BE38" s="134" t="str">
        <f>IF($B38="","",IF(VLOOKUP($B38,Compétences!$A:$T,15,FALSE)="","",(VLOOKUP($B38,Compétences!$A:$T,15,FALSE))))</f>
        <v/>
      </c>
      <c r="BF38" s="134" t="str">
        <f>IF($B38="","",IF(VLOOKUP($B38,Compétences!$A:$T,16,FALSE)="","",(VLOOKUP($B38,Compétences!$A:$T,16,FALSE))))</f>
        <v/>
      </c>
      <c r="BG38" s="134" t="str">
        <f>IF($B38="","",IF(VLOOKUP($B38,Compétences!$A:$T,17,FALSE)="","",(VLOOKUP($B38,Compétences!$A:$T,17,FALSE))))</f>
        <v/>
      </c>
      <c r="BH38" s="134" t="str">
        <f>IF($B38="","",IF(VLOOKUP($B38,Compétences!$A:$T,18,FALSE)="","",(VLOOKUP($B38,Compétences!$A:$T,18,FALSE))))</f>
        <v/>
      </c>
      <c r="BI38" s="134" t="str">
        <f>IF($B38="","",IF(VLOOKUP($B38,Compétences!$A:$T,19,FALSE)="","",(VLOOKUP($B38,Compétences!$A:$T,19,FALSE))))</f>
        <v/>
      </c>
      <c r="BJ38" s="134" t="str">
        <f>IF($B38="","",IF(VLOOKUP($B38,Compétences!$A:$T,20,FALSE)="","",(VLOOKUP($B38,Compétences!$A:$T,20,FALSE))))</f>
        <v/>
      </c>
    </row>
    <row r="39" spans="2:66" ht="16.2" customHeight="1" x14ac:dyDescent="0.25">
      <c r="B39" s="635"/>
      <c r="C39" s="636"/>
      <c r="D39" s="636"/>
      <c r="E39" s="637"/>
      <c r="F39" s="41"/>
      <c r="G39" s="71"/>
      <c r="H39" s="49"/>
      <c r="I39" s="660"/>
      <c r="J39" s="661"/>
      <c r="K39" s="662"/>
      <c r="L39" s="343">
        <f t="shared" si="0"/>
        <v>0</v>
      </c>
      <c r="M39" s="682" t="str">
        <f>IF(B39="","",IF(OR(B39="Artisanat Dégradant",B39="Artisanat Marchand",B39="Artisanat Noble",B39="Navigation",B39="Jeu",B39="Spectacle"),VLOOKUP(I39,Tableaux!N:O,2,0),(VLOOKUP(B39,Compétences!A:U,21,0))))</f>
        <v/>
      </c>
      <c r="N39" s="683"/>
      <c r="O39" s="683"/>
      <c r="P39" s="683"/>
      <c r="Q39" s="683"/>
      <c r="R39" s="684"/>
      <c r="S39" s="78"/>
      <c r="T39" s="317" t="str">
        <f>IF(B39="","",VLOOKUP(M39,Calculs!$A$6:$E$14,5,FALSE)+G39)</f>
        <v/>
      </c>
      <c r="U39" s="309" t="str">
        <f t="shared" si="1"/>
        <v/>
      </c>
      <c r="V39" s="83" t="str">
        <f t="shared" si="2"/>
        <v/>
      </c>
      <c r="W39" s="311" t="str">
        <f t="shared" si="3"/>
        <v/>
      </c>
      <c r="X39" s="312" t="str">
        <f t="shared" si="4"/>
        <v/>
      </c>
      <c r="Y39" s="624" t="str">
        <f>IF(B39="","",IF(OR(G39=3,G39=4),VLOOKUP(B39,Compétences!A$2:Y$61,23,FALSE),IF(OR(G39=5,G39=6),VLOOKUP(B39,Compétences!A$2:Y$61,24,FALSE),IF(G39&gt;6,VLOOKUP(B39,Compétences!A$2:Y$61,25,FALSE),""))))</f>
        <v/>
      </c>
      <c r="Z39" s="625"/>
      <c r="AA39" s="625"/>
      <c r="AB39" s="625"/>
      <c r="AC39" s="625"/>
      <c r="AD39" s="625"/>
      <c r="AE39" s="625"/>
      <c r="AF39" s="627"/>
      <c r="AG39" s="49"/>
      <c r="AH39" s="624" t="str">
        <f>IF(B39="","",IF(OR(I39="Piratage",I39="Autopsie"),"Dégrad.",(VLOOKUP(B39,Compétences!$A$2:$U$61,3,FALSE))))</f>
        <v/>
      </c>
      <c r="AI39" s="625"/>
      <c r="AJ39" s="478"/>
      <c r="AK39" s="85"/>
      <c r="AL39" s="134" t="str">
        <f t="shared" si="5"/>
        <v/>
      </c>
      <c r="AM39" s="313" t="str">
        <f t="shared" si="6"/>
        <v/>
      </c>
      <c r="AN39" s="313" t="str">
        <f>IF(B39="","",(VLOOKUP(M39,Calculs!$A$6:$E$14,5,FALSE)))</f>
        <v/>
      </c>
      <c r="AO39" s="314" t="str">
        <f t="shared" si="7"/>
        <v/>
      </c>
      <c r="AP39" s="313" t="str">
        <f t="shared" si="8"/>
        <v/>
      </c>
      <c r="AQ39" s="313">
        <f t="shared" si="9"/>
        <v>0</v>
      </c>
      <c r="AR39" s="134"/>
      <c r="AS39" s="134" t="str">
        <f>IF($B39="","",IF(VLOOKUP($B39,Compétences!$A:$T,4,FALSE)="","",(VLOOKUP($B39,Compétences!$A:$T,4,FALSE))))</f>
        <v/>
      </c>
      <c r="AT39" s="134" t="str">
        <f>IF($B39="","",IF(VLOOKUP($B39,Compétences!$A:$T,5,FALSE)="","",(VLOOKUP($B39,Compétences!$A:$T,5,FALSE))))</f>
        <v/>
      </c>
      <c r="AU39" s="134"/>
      <c r="AV39" s="134" t="str">
        <f>IF($B39="","",IF(VLOOKUP($B39,Compétences!$A:$T,6,FALSE)="","",(VLOOKUP($B39,Compétences!$A:$T,6,FALSE))))</f>
        <v/>
      </c>
      <c r="AW39" s="134" t="str">
        <f>IF($B39="","",IF(VLOOKUP($B39,Compétences!$A:$T,7,FALSE)="","",(VLOOKUP($B39,Compétences!$A:$T,7,FALSE))))</f>
        <v/>
      </c>
      <c r="AX39" s="134" t="str">
        <f>IF($B39="","",IF(VLOOKUP($B39,Compétences!$A:$T,8,FALSE)="","",(VLOOKUP($B39,Compétences!$A:$T,8,FALSE))))</f>
        <v/>
      </c>
      <c r="AY39" s="134" t="str">
        <f>IF($B39="","",IF(VLOOKUP($B39,Compétences!$A:$T,9,FALSE)="","",(VLOOKUP($B39,Compétences!$A:$T,9,FALSE))))</f>
        <v/>
      </c>
      <c r="AZ39" s="134" t="str">
        <f>IF($B39="","",IF(VLOOKUP($B39,Compétences!$A:$T,10,FALSE)="","",(VLOOKUP($B39,Compétences!$A:$T,10,FALSE))))</f>
        <v/>
      </c>
      <c r="BA39" s="134" t="str">
        <f>IF($B39="","",IF(VLOOKUP($B39,Compétences!$A:$T,11,FALSE)="","",(VLOOKUP($B39,Compétences!$A:$T,11,FALSE))))</f>
        <v/>
      </c>
      <c r="BB39" s="134" t="str">
        <f>IF($B39="","",IF(VLOOKUP($B39,Compétences!$A:$T,12,FALSE)="","",(VLOOKUP($B39,Compétences!$A:$T,12,FALSE))))</f>
        <v/>
      </c>
      <c r="BC39" s="134" t="str">
        <f>IF($B39="","",IF(VLOOKUP($B39,Compétences!$A:$T,13,FALSE)="","",(VLOOKUP($B39,Compétences!$A:$T,13,FALSE))))</f>
        <v/>
      </c>
      <c r="BD39" s="134" t="str">
        <f>IF($B39="","",IF(VLOOKUP($B39,Compétences!$A:$T,14,FALSE)="","",(VLOOKUP($B39,Compétences!$A:$T,14,FALSE))))</f>
        <v/>
      </c>
      <c r="BE39" s="134" t="str">
        <f>IF($B39="","",IF(VLOOKUP($B39,Compétences!$A:$T,15,FALSE)="","",(VLOOKUP($B39,Compétences!$A:$T,15,FALSE))))</f>
        <v/>
      </c>
      <c r="BF39" s="134" t="str">
        <f>IF($B39="","",IF(VLOOKUP($B39,Compétences!$A:$T,16,FALSE)="","",(VLOOKUP($B39,Compétences!$A:$T,16,FALSE))))</f>
        <v/>
      </c>
      <c r="BG39" s="134" t="str">
        <f>IF($B39="","",IF(VLOOKUP($B39,Compétences!$A:$T,17,FALSE)="","",(VLOOKUP($B39,Compétences!$A:$T,17,FALSE))))</f>
        <v/>
      </c>
      <c r="BH39" s="134" t="str">
        <f>IF($B39="","",IF(VLOOKUP($B39,Compétences!$A:$T,18,FALSE)="","",(VLOOKUP($B39,Compétences!$A:$T,18,FALSE))))</f>
        <v/>
      </c>
      <c r="BI39" s="134" t="str">
        <f>IF($B39="","",IF(VLOOKUP($B39,Compétences!$A:$T,19,FALSE)="","",(VLOOKUP($B39,Compétences!$A:$T,19,FALSE))))</f>
        <v/>
      </c>
      <c r="BJ39" s="134" t="str">
        <f>IF($B39="","",IF(VLOOKUP($B39,Compétences!$A:$T,20,FALSE)="","",(VLOOKUP($B39,Compétences!$A:$T,20,FALSE))))</f>
        <v/>
      </c>
    </row>
    <row r="40" spans="2:66" ht="16.2" customHeight="1" x14ac:dyDescent="0.25">
      <c r="B40" s="635"/>
      <c r="C40" s="636"/>
      <c r="D40" s="636"/>
      <c r="E40" s="637"/>
      <c r="F40" s="41"/>
      <c r="G40" s="71"/>
      <c r="H40" s="49"/>
      <c r="I40" s="660"/>
      <c r="J40" s="661"/>
      <c r="K40" s="662"/>
      <c r="L40" s="343">
        <f t="shared" si="0"/>
        <v>0</v>
      </c>
      <c r="M40" s="682" t="str">
        <f>IF(B40="","",IF(OR(B40="Artisanat Dégradant",B40="Artisanat Marchand",B40="Artisanat Noble",B40="Navigation",B40="Jeu",B40="Spectacle"),VLOOKUP(I40,Tableaux!N:O,2,0),(VLOOKUP(B40,Compétences!A:U,21,0))))</f>
        <v/>
      </c>
      <c r="N40" s="683"/>
      <c r="O40" s="683"/>
      <c r="P40" s="683"/>
      <c r="Q40" s="683"/>
      <c r="R40" s="684"/>
      <c r="S40" s="78"/>
      <c r="T40" s="317" t="str">
        <f>IF(B40="","",VLOOKUP(M40,Calculs!$A$6:$E$14,5,FALSE)+G40)</f>
        <v/>
      </c>
      <c r="U40" s="309" t="str">
        <f t="shared" si="1"/>
        <v/>
      </c>
      <c r="V40" s="83" t="str">
        <f t="shared" si="2"/>
        <v/>
      </c>
      <c r="W40" s="311" t="str">
        <f t="shared" si="3"/>
        <v/>
      </c>
      <c r="X40" s="312" t="str">
        <f t="shared" si="4"/>
        <v/>
      </c>
      <c r="Y40" s="624" t="str">
        <f>IF(B40="","",IF(OR(G40=3,G40=4),VLOOKUP(B40,Compétences!A$2:Y$61,23,FALSE),IF(OR(G40=5,G40=6),VLOOKUP(B40,Compétences!A$2:Y$61,24,FALSE),IF(G40&gt;6,VLOOKUP(B40,Compétences!A$2:Y$61,25,FALSE),""))))</f>
        <v/>
      </c>
      <c r="Z40" s="625"/>
      <c r="AA40" s="625"/>
      <c r="AB40" s="625"/>
      <c r="AC40" s="625"/>
      <c r="AD40" s="625"/>
      <c r="AE40" s="625"/>
      <c r="AF40" s="627"/>
      <c r="AG40" s="49"/>
      <c r="AH40" s="624" t="str">
        <f>IF(B40="","",IF(OR(I40="Piratage",I40="Autopsie"),"Dégrad.",(VLOOKUP(B40,Compétences!$A$2:$U$61,3,FALSE))))</f>
        <v/>
      </c>
      <c r="AI40" s="625"/>
      <c r="AJ40" s="478"/>
      <c r="AK40" s="85"/>
      <c r="AL40" s="134" t="str">
        <f t="shared" si="5"/>
        <v/>
      </c>
      <c r="AM40" s="313" t="str">
        <f t="shared" si="6"/>
        <v/>
      </c>
      <c r="AN40" s="313" t="str">
        <f>IF(B40="","",(VLOOKUP(M40,Calculs!$A$6:$E$14,5,FALSE)))</f>
        <v/>
      </c>
      <c r="AO40" s="314" t="str">
        <f t="shared" si="7"/>
        <v/>
      </c>
      <c r="AP40" s="313" t="str">
        <f t="shared" si="8"/>
        <v/>
      </c>
      <c r="AQ40" s="313">
        <f t="shared" si="9"/>
        <v>0</v>
      </c>
      <c r="AR40" s="134"/>
      <c r="AS40" s="134" t="str">
        <f>IF($B40="","",IF(VLOOKUP($B40,Compétences!$A:$T,4,FALSE)="","",(VLOOKUP($B40,Compétences!$A:$T,4,FALSE))))</f>
        <v/>
      </c>
      <c r="AT40" s="134" t="str">
        <f>IF($B40="","",IF(VLOOKUP($B40,Compétences!$A:$T,5,FALSE)="","",(VLOOKUP($B40,Compétences!$A:$T,5,FALSE))))</f>
        <v/>
      </c>
      <c r="AU40" s="134"/>
      <c r="AV40" s="134" t="str">
        <f>IF($B40="","",IF(VLOOKUP($B40,Compétences!$A:$T,6,FALSE)="","",(VLOOKUP($B40,Compétences!$A:$T,6,FALSE))))</f>
        <v/>
      </c>
      <c r="AW40" s="134" t="str">
        <f>IF($B40="","",IF(VLOOKUP($B40,Compétences!$A:$T,7,FALSE)="","",(VLOOKUP($B40,Compétences!$A:$T,7,FALSE))))</f>
        <v/>
      </c>
      <c r="AX40" s="134" t="str">
        <f>IF($B40="","",IF(VLOOKUP($B40,Compétences!$A:$T,8,FALSE)="","",(VLOOKUP($B40,Compétences!$A:$T,8,FALSE))))</f>
        <v/>
      </c>
      <c r="AY40" s="134" t="str">
        <f>IF($B40="","",IF(VLOOKUP($B40,Compétences!$A:$T,9,FALSE)="","",(VLOOKUP($B40,Compétences!$A:$T,9,FALSE))))</f>
        <v/>
      </c>
      <c r="AZ40" s="134" t="str">
        <f>IF($B40="","",IF(VLOOKUP($B40,Compétences!$A:$T,10,FALSE)="","",(VLOOKUP($B40,Compétences!$A:$T,10,FALSE))))</f>
        <v/>
      </c>
      <c r="BA40" s="134" t="str">
        <f>IF($B40="","",IF(VLOOKUP($B40,Compétences!$A:$T,11,FALSE)="","",(VLOOKUP($B40,Compétences!$A:$T,11,FALSE))))</f>
        <v/>
      </c>
      <c r="BB40" s="134" t="str">
        <f>IF($B40="","",IF(VLOOKUP($B40,Compétences!$A:$T,12,FALSE)="","",(VLOOKUP($B40,Compétences!$A:$T,12,FALSE))))</f>
        <v/>
      </c>
      <c r="BC40" s="134" t="str">
        <f>IF($B40="","",IF(VLOOKUP($B40,Compétences!$A:$T,13,FALSE)="","",(VLOOKUP($B40,Compétences!$A:$T,13,FALSE))))</f>
        <v/>
      </c>
      <c r="BD40" s="134" t="str">
        <f>IF($B40="","",IF(VLOOKUP($B40,Compétences!$A:$T,14,FALSE)="","",(VLOOKUP($B40,Compétences!$A:$T,14,FALSE))))</f>
        <v/>
      </c>
      <c r="BE40" s="134" t="str">
        <f>IF($B40="","",IF(VLOOKUP($B40,Compétences!$A:$T,15,FALSE)="","",(VLOOKUP($B40,Compétences!$A:$T,15,FALSE))))</f>
        <v/>
      </c>
      <c r="BF40" s="134" t="str">
        <f>IF($B40="","",IF(VLOOKUP($B40,Compétences!$A:$T,16,FALSE)="","",(VLOOKUP($B40,Compétences!$A:$T,16,FALSE))))</f>
        <v/>
      </c>
      <c r="BG40" s="134" t="str">
        <f>IF($B40="","",IF(VLOOKUP($B40,Compétences!$A:$T,17,FALSE)="","",(VLOOKUP($B40,Compétences!$A:$T,17,FALSE))))</f>
        <v/>
      </c>
      <c r="BH40" s="134" t="str">
        <f>IF($B40="","",IF(VLOOKUP($B40,Compétences!$A:$T,18,FALSE)="","",(VLOOKUP($B40,Compétences!$A:$T,18,FALSE))))</f>
        <v/>
      </c>
      <c r="BI40" s="134" t="str">
        <f>IF($B40="","",IF(VLOOKUP($B40,Compétences!$A:$T,19,FALSE)="","",(VLOOKUP($B40,Compétences!$A:$T,19,FALSE))))</f>
        <v/>
      </c>
      <c r="BJ40" s="134" t="str">
        <f>IF($B40="","",IF(VLOOKUP($B40,Compétences!$A:$T,20,FALSE)="","",(VLOOKUP($B40,Compétences!$A:$T,20,FALSE))))</f>
        <v/>
      </c>
    </row>
    <row r="41" spans="2:66" ht="16.2" customHeight="1" x14ac:dyDescent="0.25">
      <c r="B41" s="635"/>
      <c r="C41" s="636"/>
      <c r="D41" s="636"/>
      <c r="E41" s="637"/>
      <c r="F41" s="41"/>
      <c r="G41" s="71"/>
      <c r="H41" s="49"/>
      <c r="I41" s="660"/>
      <c r="J41" s="661"/>
      <c r="K41" s="662"/>
      <c r="L41" s="343">
        <f t="shared" si="0"/>
        <v>0</v>
      </c>
      <c r="M41" s="682" t="str">
        <f>IF(B41="","",IF(OR(B41="Artisanat Dégradant",B41="Artisanat Marchand",B41="Artisanat Noble",B41="Navigation",B41="Jeu",B41="Spectacle"),VLOOKUP(I41,Tableaux!N:O,2,0),(VLOOKUP(B41,Compétences!A:U,21,0))))</f>
        <v/>
      </c>
      <c r="N41" s="683"/>
      <c r="O41" s="683"/>
      <c r="P41" s="683"/>
      <c r="Q41" s="683"/>
      <c r="R41" s="684"/>
      <c r="S41" s="78"/>
      <c r="T41" s="317" t="str">
        <f>IF(B41="","",VLOOKUP(M41,Calculs!$A$6:$E$14,5,FALSE)+G41)</f>
        <v/>
      </c>
      <c r="U41" s="309" t="str">
        <f t="shared" si="1"/>
        <v/>
      </c>
      <c r="V41" s="83" t="str">
        <f t="shared" si="2"/>
        <v/>
      </c>
      <c r="W41" s="311" t="str">
        <f t="shared" si="3"/>
        <v/>
      </c>
      <c r="X41" s="312" t="str">
        <f t="shared" si="4"/>
        <v/>
      </c>
      <c r="Y41" s="624" t="str">
        <f>IF(B41="","",IF(OR(G41=3,G41=4),VLOOKUP(B41,Compétences!A$2:Y$61,23,FALSE),IF(OR(G41=5,G41=6),VLOOKUP(B41,Compétences!A$2:Y$61,24,FALSE),IF(G41&gt;6,VLOOKUP(B41,Compétences!A$2:Y$61,25,FALSE),""))))</f>
        <v/>
      </c>
      <c r="Z41" s="625"/>
      <c r="AA41" s="625"/>
      <c r="AB41" s="625"/>
      <c r="AC41" s="625"/>
      <c r="AD41" s="625"/>
      <c r="AE41" s="625"/>
      <c r="AF41" s="627"/>
      <c r="AG41" s="49"/>
      <c r="AH41" s="624" t="str">
        <f>IF(B41="","",IF(OR(I41="Piratage",I41="Autopsie"),"Dégrad.",(VLOOKUP(B41,Compétences!$A$2:$U$61,3,FALSE))))</f>
        <v/>
      </c>
      <c r="AI41" s="625"/>
      <c r="AJ41" s="478"/>
      <c r="AK41" s="85"/>
      <c r="AL41" s="134" t="str">
        <f t="shared" si="5"/>
        <v/>
      </c>
      <c r="AM41" s="313" t="str">
        <f t="shared" si="6"/>
        <v/>
      </c>
      <c r="AN41" s="313" t="str">
        <f>IF(B41="","",(VLOOKUP(M41,Calculs!$A$6:$E$14,5,FALSE)))</f>
        <v/>
      </c>
      <c r="AO41" s="314" t="str">
        <f t="shared" si="7"/>
        <v/>
      </c>
      <c r="AP41" s="313" t="str">
        <f t="shared" si="8"/>
        <v/>
      </c>
      <c r="AQ41" s="313">
        <f t="shared" si="9"/>
        <v>0</v>
      </c>
      <c r="AR41" s="134"/>
      <c r="AS41" s="134" t="str">
        <f>IF($B41="","",IF(VLOOKUP($B41,Compétences!$A:$T,4,FALSE)="","",(VLOOKUP($B41,Compétences!$A:$T,4,FALSE))))</f>
        <v/>
      </c>
      <c r="AT41" s="134" t="str">
        <f>IF($B41="","",IF(VLOOKUP($B41,Compétences!$A:$T,5,FALSE)="","",(VLOOKUP($B41,Compétences!$A:$T,5,FALSE))))</f>
        <v/>
      </c>
      <c r="AU41" s="134"/>
      <c r="AV41" s="134" t="str">
        <f>IF($B41="","",IF(VLOOKUP($B41,Compétences!$A:$T,6,FALSE)="","",(VLOOKUP($B41,Compétences!$A:$T,6,FALSE))))</f>
        <v/>
      </c>
      <c r="AW41" s="134" t="str">
        <f>IF($B41="","",IF(VLOOKUP($B41,Compétences!$A:$T,7,FALSE)="","",(VLOOKUP($B41,Compétences!$A:$T,7,FALSE))))</f>
        <v/>
      </c>
      <c r="AX41" s="134" t="str">
        <f>IF($B41="","",IF(VLOOKUP($B41,Compétences!$A:$T,8,FALSE)="","",(VLOOKUP($B41,Compétences!$A:$T,8,FALSE))))</f>
        <v/>
      </c>
      <c r="AY41" s="134" t="str">
        <f>IF($B41="","",IF(VLOOKUP($B41,Compétences!$A:$T,9,FALSE)="","",(VLOOKUP($B41,Compétences!$A:$T,9,FALSE))))</f>
        <v/>
      </c>
      <c r="AZ41" s="134" t="str">
        <f>IF($B41="","",IF(VLOOKUP($B41,Compétences!$A:$T,10,FALSE)="","",(VLOOKUP($B41,Compétences!$A:$T,10,FALSE))))</f>
        <v/>
      </c>
      <c r="BA41" s="134" t="str">
        <f>IF($B41="","",IF(VLOOKUP($B41,Compétences!$A:$T,11,FALSE)="","",(VLOOKUP($B41,Compétences!$A:$T,11,FALSE))))</f>
        <v/>
      </c>
      <c r="BB41" s="134" t="str">
        <f>IF($B41="","",IF(VLOOKUP($B41,Compétences!$A:$T,12,FALSE)="","",(VLOOKUP($B41,Compétences!$A:$T,12,FALSE))))</f>
        <v/>
      </c>
      <c r="BC41" s="134" t="str">
        <f>IF($B41="","",IF(VLOOKUP($B41,Compétences!$A:$T,13,FALSE)="","",(VLOOKUP($B41,Compétences!$A:$T,13,FALSE))))</f>
        <v/>
      </c>
      <c r="BD41" s="134" t="str">
        <f>IF($B41="","",IF(VLOOKUP($B41,Compétences!$A:$T,14,FALSE)="","",(VLOOKUP($B41,Compétences!$A:$T,14,FALSE))))</f>
        <v/>
      </c>
      <c r="BE41" s="134" t="str">
        <f>IF($B41="","",IF(VLOOKUP($B41,Compétences!$A:$T,15,FALSE)="","",(VLOOKUP($B41,Compétences!$A:$T,15,FALSE))))</f>
        <v/>
      </c>
      <c r="BF41" s="134" t="str">
        <f>IF($B41="","",IF(VLOOKUP($B41,Compétences!$A:$T,16,FALSE)="","",(VLOOKUP($B41,Compétences!$A:$T,16,FALSE))))</f>
        <v/>
      </c>
      <c r="BG41" s="134" t="str">
        <f>IF($B41="","",IF(VLOOKUP($B41,Compétences!$A:$T,17,FALSE)="","",(VLOOKUP($B41,Compétences!$A:$T,17,FALSE))))</f>
        <v/>
      </c>
      <c r="BH41" s="134" t="str">
        <f>IF($B41="","",IF(VLOOKUP($B41,Compétences!$A:$T,18,FALSE)="","",(VLOOKUP($B41,Compétences!$A:$T,18,FALSE))))</f>
        <v/>
      </c>
      <c r="BI41" s="134" t="str">
        <f>IF($B41="","",IF(VLOOKUP($B41,Compétences!$A:$T,19,FALSE)="","",(VLOOKUP($B41,Compétences!$A:$T,19,FALSE))))</f>
        <v/>
      </c>
      <c r="BJ41" s="134" t="str">
        <f>IF($B41="","",IF(VLOOKUP($B41,Compétences!$A:$T,20,FALSE)="","",(VLOOKUP($B41,Compétences!$A:$T,20,FALSE))))</f>
        <v/>
      </c>
    </row>
    <row r="42" spans="2:66" ht="16.2" customHeight="1" x14ac:dyDescent="0.25">
      <c r="B42" s="635"/>
      <c r="C42" s="636"/>
      <c r="D42" s="636"/>
      <c r="E42" s="637"/>
      <c r="F42" s="41"/>
      <c r="G42" s="71"/>
      <c r="H42" s="49"/>
      <c r="I42" s="660"/>
      <c r="J42" s="661"/>
      <c r="K42" s="662"/>
      <c r="L42" s="343">
        <f t="shared" si="0"/>
        <v>0</v>
      </c>
      <c r="M42" s="682" t="str">
        <f>IF(B42="","",IF(OR(B42="Artisanat Dégradant",B42="Artisanat Marchand",B42="Artisanat Noble",B42="Navigation",B42="Jeu",B42="Spectacle"),VLOOKUP(I42,Tableaux!N:O,2,0),(VLOOKUP(B42,Compétences!A:U,21,0))))</f>
        <v/>
      </c>
      <c r="N42" s="683"/>
      <c r="O42" s="683"/>
      <c r="P42" s="683"/>
      <c r="Q42" s="683"/>
      <c r="R42" s="684"/>
      <c r="S42" s="78"/>
      <c r="T42" s="317" t="str">
        <f>IF(B42="","",VLOOKUP(M42,Calculs!$A$6:$E$14,5,FALSE)+G42)</f>
        <v/>
      </c>
      <c r="U42" s="309" t="str">
        <f t="shared" si="1"/>
        <v/>
      </c>
      <c r="V42" s="83" t="str">
        <f t="shared" si="2"/>
        <v/>
      </c>
      <c r="W42" s="311" t="str">
        <f t="shared" si="3"/>
        <v/>
      </c>
      <c r="X42" s="312" t="str">
        <f t="shared" si="4"/>
        <v/>
      </c>
      <c r="Y42" s="624" t="str">
        <f>IF(B42="","",IF(OR(G42=3,G42=4),VLOOKUP(B42,Compétences!A$2:Y$61,23,FALSE),IF(OR(G42=5,G42=6),VLOOKUP(B42,Compétences!A$2:Y$61,24,FALSE),IF(G42&gt;6,VLOOKUP(B42,Compétences!A$2:Y$61,25,FALSE),""))))</f>
        <v/>
      </c>
      <c r="Z42" s="625"/>
      <c r="AA42" s="625"/>
      <c r="AB42" s="625"/>
      <c r="AC42" s="625"/>
      <c r="AD42" s="625"/>
      <c r="AE42" s="625"/>
      <c r="AF42" s="627"/>
      <c r="AG42" s="49"/>
      <c r="AH42" s="624" t="str">
        <f>IF(B42="","",IF(OR(I42="Piratage",I42="Autopsie"),"Dégrad.",(VLOOKUP(B42,Compétences!$A$2:$U$61,3,FALSE))))</f>
        <v/>
      </c>
      <c r="AI42" s="625"/>
      <c r="AJ42" s="478"/>
      <c r="AK42" s="85"/>
      <c r="AL42" s="134" t="str">
        <f t="shared" si="5"/>
        <v/>
      </c>
      <c r="AM42" s="313" t="str">
        <f t="shared" si="6"/>
        <v/>
      </c>
      <c r="AN42" s="313" t="str">
        <f>IF(B42="","",(VLOOKUP(M42,Calculs!$A$6:$E$14,5,FALSE)))</f>
        <v/>
      </c>
      <c r="AO42" s="314" t="str">
        <f t="shared" si="7"/>
        <v/>
      </c>
      <c r="AP42" s="313" t="str">
        <f t="shared" si="8"/>
        <v/>
      </c>
      <c r="AQ42" s="313">
        <f>IF(B42="",0,ROUNDDOWN(IF(AP42&gt;=10,(AP42-10)/2),0))</f>
        <v>0</v>
      </c>
      <c r="AR42" s="134"/>
      <c r="AS42" s="134" t="str">
        <f>IF($B42="","",IF(VLOOKUP($B42,Compétences!$A:$T,4,FALSE)="","",(VLOOKUP($B42,Compétences!$A:$T,4,FALSE))))</f>
        <v/>
      </c>
      <c r="AT42" s="134" t="str">
        <f>IF($B42="","",IF(VLOOKUP($B42,Compétences!$A:$T,5,FALSE)="","",(VLOOKUP($B42,Compétences!$A:$T,5,FALSE))))</f>
        <v/>
      </c>
      <c r="AU42" s="134"/>
      <c r="AV42" s="134" t="str">
        <f>IF($B42="","",IF(VLOOKUP($B42,Compétences!$A:$T,6,FALSE)="","",(VLOOKUP($B42,Compétences!$A:$T,6,FALSE))))</f>
        <v/>
      </c>
      <c r="AW42" s="134" t="str">
        <f>IF($B42="","",IF(VLOOKUP($B42,Compétences!$A:$T,7,FALSE)="","",(VLOOKUP($B42,Compétences!$A:$T,7,FALSE))))</f>
        <v/>
      </c>
      <c r="AX42" s="134" t="str">
        <f>IF($B42="","",IF(VLOOKUP($B42,Compétences!$A:$T,8,FALSE)="","",(VLOOKUP($B42,Compétences!$A:$T,8,FALSE))))</f>
        <v/>
      </c>
      <c r="AY42" s="134" t="str">
        <f>IF($B42="","",IF(VLOOKUP($B42,Compétences!$A:$T,9,FALSE)="","",(VLOOKUP($B42,Compétences!$A:$T,9,FALSE))))</f>
        <v/>
      </c>
      <c r="AZ42" s="134" t="str">
        <f>IF($B42="","",IF(VLOOKUP($B42,Compétences!$A:$T,10,FALSE)="","",(VLOOKUP($B42,Compétences!$A:$T,10,FALSE))))</f>
        <v/>
      </c>
      <c r="BA42" s="134" t="str">
        <f>IF($B42="","",IF(VLOOKUP($B42,Compétences!$A:$T,11,FALSE)="","",(VLOOKUP($B42,Compétences!$A:$T,11,FALSE))))</f>
        <v/>
      </c>
      <c r="BB42" s="134" t="str">
        <f>IF($B42="","",IF(VLOOKUP($B42,Compétences!$A:$T,12,FALSE)="","",(VLOOKUP($B42,Compétences!$A:$T,12,FALSE))))</f>
        <v/>
      </c>
      <c r="BC42" s="134" t="str">
        <f>IF($B42="","",IF(VLOOKUP($B42,Compétences!$A:$T,13,FALSE)="","",(VLOOKUP($B42,Compétences!$A:$T,13,FALSE))))</f>
        <v/>
      </c>
      <c r="BD42" s="134" t="str">
        <f>IF($B42="","",IF(VLOOKUP($B42,Compétences!$A:$T,14,FALSE)="","",(VLOOKUP($B42,Compétences!$A:$T,14,FALSE))))</f>
        <v/>
      </c>
      <c r="BE42" s="134" t="str">
        <f>IF($B42="","",IF(VLOOKUP($B42,Compétences!$A:$T,15,FALSE)="","",(VLOOKUP($B42,Compétences!$A:$T,15,FALSE))))</f>
        <v/>
      </c>
      <c r="BF42" s="134" t="str">
        <f>IF($B42="","",IF(VLOOKUP($B42,Compétences!$A:$T,16,FALSE)="","",(VLOOKUP($B42,Compétences!$A:$T,16,FALSE))))</f>
        <v/>
      </c>
      <c r="BG42" s="134" t="str">
        <f>IF($B42="","",IF(VLOOKUP($B42,Compétences!$A:$T,17,FALSE)="","",(VLOOKUP($B42,Compétences!$A:$T,17,FALSE))))</f>
        <v/>
      </c>
      <c r="BH42" s="134" t="str">
        <f>IF($B42="","",IF(VLOOKUP($B42,Compétences!$A:$T,18,FALSE)="","",(VLOOKUP($B42,Compétences!$A:$T,18,FALSE))))</f>
        <v/>
      </c>
      <c r="BI42" s="134" t="str">
        <f>IF($B42="","",IF(VLOOKUP($B42,Compétences!$A:$T,19,FALSE)="","",(VLOOKUP($B42,Compétences!$A:$T,19,FALSE))))</f>
        <v/>
      </c>
      <c r="BJ42" s="134" t="str">
        <f>IF($B42="","",IF(VLOOKUP($B42,Compétences!$A:$T,20,FALSE)="","",(VLOOKUP($B42,Compétences!$A:$T,20,FALSE))))</f>
        <v/>
      </c>
    </row>
    <row r="43" spans="2:66" ht="16.2" customHeight="1" x14ac:dyDescent="0.25">
      <c r="B43" s="635"/>
      <c r="C43" s="636"/>
      <c r="D43" s="636"/>
      <c r="E43" s="637"/>
      <c r="F43" s="41"/>
      <c r="G43" s="71"/>
      <c r="H43" s="49"/>
      <c r="I43" s="660"/>
      <c r="J43" s="661"/>
      <c r="K43" s="662"/>
      <c r="L43" s="343">
        <f t="shared" si="0"/>
        <v>0</v>
      </c>
      <c r="M43" s="682" t="str">
        <f>IF(B43="","",IF(OR(B43="Artisanat Dégradant",B43="Artisanat Marchand",B43="Artisanat Noble",B43="Navigation",B43="Jeu",B43="Spectacle"),VLOOKUP(I43,Tableaux!N:O,2,0),(VLOOKUP(B43,Compétences!A:U,21,0))))</f>
        <v/>
      </c>
      <c r="N43" s="683"/>
      <c r="O43" s="683"/>
      <c r="P43" s="683"/>
      <c r="Q43" s="683"/>
      <c r="R43" s="684"/>
      <c r="S43" s="78"/>
      <c r="T43" s="317" t="str">
        <f>IF(B43="","",VLOOKUP(M43,Calculs!$A$6:$E$14,5,FALSE)+G43)</f>
        <v/>
      </c>
      <c r="U43" s="309" t="str">
        <f t="shared" si="1"/>
        <v/>
      </c>
      <c r="V43" s="83" t="str">
        <f t="shared" si="2"/>
        <v/>
      </c>
      <c r="W43" s="311" t="str">
        <f t="shared" si="3"/>
        <v/>
      </c>
      <c r="X43" s="312" t="str">
        <f t="shared" si="4"/>
        <v/>
      </c>
      <c r="Y43" s="624" t="str">
        <f>IF(B43="","",IF(OR(G43=3,G43=4),VLOOKUP(B43,Compétences!A$2:Y$61,23,FALSE),IF(OR(G43=5,G43=6),VLOOKUP(B43,Compétences!A$2:Y$61,24,FALSE),IF(G43&gt;6,VLOOKUP(B43,Compétences!A$2:Y$61,25,FALSE),""))))</f>
        <v/>
      </c>
      <c r="Z43" s="625"/>
      <c r="AA43" s="625"/>
      <c r="AB43" s="625"/>
      <c r="AC43" s="625"/>
      <c r="AD43" s="625"/>
      <c r="AE43" s="625"/>
      <c r="AF43" s="627"/>
      <c r="AG43" s="49"/>
      <c r="AH43" s="624" t="str">
        <f>IF(B43="","",IF(OR(I43="Piratage",I43="Autopsie"),"Dégrad.",(VLOOKUP(B43,Compétences!$A$2:$U$61,3,FALSE))))</f>
        <v/>
      </c>
      <c r="AI43" s="625"/>
      <c r="AJ43" s="478"/>
      <c r="AK43" s="85"/>
      <c r="AL43" s="134" t="str">
        <f t="shared" si="5"/>
        <v/>
      </c>
      <c r="AM43" s="313" t="str">
        <f t="shared" si="6"/>
        <v/>
      </c>
      <c r="AN43" s="313" t="str">
        <f>IF(B43="","",(VLOOKUP(M43,Calculs!$A$6:$E$14,5,FALSE)))</f>
        <v/>
      </c>
      <c r="AO43" s="314" t="str">
        <f t="shared" si="7"/>
        <v/>
      </c>
      <c r="AP43" s="313" t="str">
        <f t="shared" si="8"/>
        <v/>
      </c>
      <c r="AQ43" s="313">
        <f t="shared" si="9"/>
        <v>0</v>
      </c>
      <c r="AR43" s="134"/>
      <c r="AS43" s="134" t="str">
        <f>IF($B43="","",IF(VLOOKUP($B43,Compétences!$A:$T,4,FALSE)="","",(VLOOKUP($B43,Compétences!$A:$T,4,FALSE))))</f>
        <v/>
      </c>
      <c r="AT43" s="134" t="str">
        <f>IF($B43="","",IF(VLOOKUP($B43,Compétences!$A:$T,5,FALSE)="","",(VLOOKUP($B43,Compétences!$A:$T,5,FALSE))))</f>
        <v/>
      </c>
      <c r="AU43" s="134"/>
      <c r="AV43" s="134" t="str">
        <f>IF($B43="","",IF(VLOOKUP($B43,Compétences!$A:$T,6,FALSE)="","",(VLOOKUP($B43,Compétences!$A:$T,6,FALSE))))</f>
        <v/>
      </c>
      <c r="AW43" s="134" t="str">
        <f>IF($B43="","",IF(VLOOKUP($B43,Compétences!$A:$T,7,FALSE)="","",(VLOOKUP($B43,Compétences!$A:$T,7,FALSE))))</f>
        <v/>
      </c>
      <c r="AX43" s="134" t="str">
        <f>IF($B43="","",IF(VLOOKUP($B43,Compétences!$A:$T,8,FALSE)="","",(VLOOKUP($B43,Compétences!$A:$T,8,FALSE))))</f>
        <v/>
      </c>
      <c r="AY43" s="134" t="str">
        <f>IF($B43="","",IF(VLOOKUP($B43,Compétences!$A:$T,9,FALSE)="","",(VLOOKUP($B43,Compétences!$A:$T,9,FALSE))))</f>
        <v/>
      </c>
      <c r="AZ43" s="134" t="str">
        <f>IF($B43="","",IF(VLOOKUP($B43,Compétences!$A:$T,10,FALSE)="","",(VLOOKUP($B43,Compétences!$A:$T,10,FALSE))))</f>
        <v/>
      </c>
      <c r="BA43" s="134" t="str">
        <f>IF($B43="","",IF(VLOOKUP($B43,Compétences!$A:$T,11,FALSE)="","",(VLOOKUP($B43,Compétences!$A:$T,11,FALSE))))</f>
        <v/>
      </c>
      <c r="BB43" s="134" t="str">
        <f>IF($B43="","",IF(VLOOKUP($B43,Compétences!$A:$T,12,FALSE)="","",(VLOOKUP($B43,Compétences!$A:$T,12,FALSE))))</f>
        <v/>
      </c>
      <c r="BC43" s="134" t="str">
        <f>IF($B43="","",IF(VLOOKUP($B43,Compétences!$A:$T,13,FALSE)="","",(VLOOKUP($B43,Compétences!$A:$T,13,FALSE))))</f>
        <v/>
      </c>
      <c r="BD43" s="134" t="str">
        <f>IF($B43="","",IF(VLOOKUP($B43,Compétences!$A:$T,14,FALSE)="","",(VLOOKUP($B43,Compétences!$A:$T,14,FALSE))))</f>
        <v/>
      </c>
      <c r="BE43" s="134" t="str">
        <f>IF($B43="","",IF(VLOOKUP($B43,Compétences!$A:$T,15,FALSE)="","",(VLOOKUP($B43,Compétences!$A:$T,15,FALSE))))</f>
        <v/>
      </c>
      <c r="BF43" s="134" t="str">
        <f>IF($B43="","",IF(VLOOKUP($B43,Compétences!$A:$T,16,FALSE)="","",(VLOOKUP($B43,Compétences!$A:$T,16,FALSE))))</f>
        <v/>
      </c>
      <c r="BG43" s="134" t="str">
        <f>IF($B43="","",IF(VLOOKUP($B43,Compétences!$A:$T,17,FALSE)="","",(VLOOKUP($B43,Compétences!$A:$T,17,FALSE))))</f>
        <v/>
      </c>
      <c r="BH43" s="134" t="str">
        <f>IF($B43="","",IF(VLOOKUP($B43,Compétences!$A:$T,18,FALSE)="","",(VLOOKUP($B43,Compétences!$A:$T,18,FALSE))))</f>
        <v/>
      </c>
      <c r="BI43" s="134" t="str">
        <f>IF($B43="","",IF(VLOOKUP($B43,Compétences!$A:$T,19,FALSE)="","",(VLOOKUP($B43,Compétences!$A:$T,19,FALSE))))</f>
        <v/>
      </c>
      <c r="BJ43" s="134" t="str">
        <f>IF($B43="","",IF(VLOOKUP($B43,Compétences!$A:$T,20,FALSE)="","",(VLOOKUP($B43,Compétences!$A:$T,20,FALSE))))</f>
        <v/>
      </c>
    </row>
    <row r="44" spans="2:66" ht="16.2" customHeight="1" x14ac:dyDescent="0.25">
      <c r="B44" s="635"/>
      <c r="C44" s="636"/>
      <c r="D44" s="636"/>
      <c r="E44" s="637"/>
      <c r="F44" s="41"/>
      <c r="G44" s="71"/>
      <c r="H44" s="49"/>
      <c r="I44" s="660"/>
      <c r="J44" s="661"/>
      <c r="K44" s="662"/>
      <c r="L44" s="343">
        <f t="shared" si="0"/>
        <v>0</v>
      </c>
      <c r="M44" s="682" t="str">
        <f>IF(B44="","",IF(OR(B44="Artisanat Dégradant",B44="Artisanat Marchand",B44="Artisanat Noble",B44="Navigation",B44="Jeu",B44="Spectacle"),VLOOKUP(I44,Tableaux!N:O,2,0),(VLOOKUP(B44,Compétences!A:U,21,0))))</f>
        <v/>
      </c>
      <c r="N44" s="683"/>
      <c r="O44" s="683"/>
      <c r="P44" s="683"/>
      <c r="Q44" s="683"/>
      <c r="R44" s="684"/>
      <c r="S44" s="78"/>
      <c r="T44" s="317" t="str">
        <f>IF(B44="","",VLOOKUP(M44,Calculs!$A$6:$E$14,5,FALSE)+G44)</f>
        <v/>
      </c>
      <c r="U44" s="309" t="str">
        <f t="shared" si="1"/>
        <v/>
      </c>
      <c r="V44" s="83" t="str">
        <f t="shared" si="2"/>
        <v/>
      </c>
      <c r="W44" s="311" t="str">
        <f t="shared" si="3"/>
        <v/>
      </c>
      <c r="X44" s="312" t="str">
        <f t="shared" si="4"/>
        <v/>
      </c>
      <c r="Y44" s="624" t="str">
        <f>IF(B44="","",IF(OR(G44=3,G44=4),VLOOKUP(B44,Compétences!A$2:Y$61,23,FALSE),IF(OR(G44=5,G44=6),VLOOKUP(B44,Compétences!A$2:Y$61,24,FALSE),IF(G44&gt;6,VLOOKUP(B44,Compétences!A$2:Y$61,25,FALSE),""))))</f>
        <v/>
      </c>
      <c r="Z44" s="625"/>
      <c r="AA44" s="625"/>
      <c r="AB44" s="625"/>
      <c r="AC44" s="625"/>
      <c r="AD44" s="625"/>
      <c r="AE44" s="625"/>
      <c r="AF44" s="627"/>
      <c r="AG44" s="49"/>
      <c r="AH44" s="624" t="str">
        <f>IF(B44="","",IF(OR(I44="Piratage",I44="Autopsie"),"Dégrad.",(VLOOKUP(B44,Compétences!$A$2:$U$61,3,FALSE))))</f>
        <v/>
      </c>
      <c r="AI44" s="625"/>
      <c r="AJ44" s="478"/>
      <c r="AK44" s="85"/>
      <c r="AL44" s="134" t="str">
        <f t="shared" si="5"/>
        <v/>
      </c>
      <c r="AM44" s="313" t="str">
        <f t="shared" si="6"/>
        <v/>
      </c>
      <c r="AN44" s="313" t="str">
        <f>IF(B44="","",(VLOOKUP(M44,Calculs!$A$6:$E$14,5,FALSE)))</f>
        <v/>
      </c>
      <c r="AO44" s="314" t="str">
        <f t="shared" si="7"/>
        <v/>
      </c>
      <c r="AP44" s="313" t="str">
        <f t="shared" si="8"/>
        <v/>
      </c>
      <c r="AQ44" s="313">
        <f t="shared" si="9"/>
        <v>0</v>
      </c>
      <c r="AR44" s="134"/>
      <c r="AS44" s="134" t="str">
        <f>IF($B44="","",IF(VLOOKUP($B44,Compétences!$A:$T,4,FALSE)="","",(VLOOKUP($B44,Compétences!$A:$T,4,FALSE))))</f>
        <v/>
      </c>
      <c r="AT44" s="134" t="str">
        <f>IF($B44="","",IF(VLOOKUP($B44,Compétences!$A:$T,5,FALSE)="","",(VLOOKUP($B44,Compétences!$A:$T,5,FALSE))))</f>
        <v/>
      </c>
      <c r="AU44" s="134"/>
      <c r="AV44" s="134" t="str">
        <f>IF($B44="","",IF(VLOOKUP($B44,Compétences!$A:$T,6,FALSE)="","",(VLOOKUP($B44,Compétences!$A:$T,6,FALSE))))</f>
        <v/>
      </c>
      <c r="AW44" s="134" t="str">
        <f>IF($B44="","",IF(VLOOKUP($B44,Compétences!$A:$T,7,FALSE)="","",(VLOOKUP($B44,Compétences!$A:$T,7,FALSE))))</f>
        <v/>
      </c>
      <c r="AX44" s="134" t="str">
        <f>IF($B44="","",IF(VLOOKUP($B44,Compétences!$A:$T,8,FALSE)="","",(VLOOKUP($B44,Compétences!$A:$T,8,FALSE))))</f>
        <v/>
      </c>
      <c r="AY44" s="29" t="str">
        <f>IF($B44="","",IF(VLOOKUP($B44,Compétences!$A:$T,9,FALSE)="","",(VLOOKUP($B44,Compétences!$A:$T,9,FALSE))))</f>
        <v/>
      </c>
      <c r="AZ44" s="134" t="str">
        <f>IF($B44="","",IF(VLOOKUP($B44,Compétences!$A:$T,10,FALSE)="","",(VLOOKUP($B44,Compétences!$A:$T,10,FALSE))))</f>
        <v/>
      </c>
      <c r="BA44" s="134" t="str">
        <f>IF($B44="","",IF(VLOOKUP($B44,Compétences!$A:$T,11,FALSE)="","",(VLOOKUP($B44,Compétences!$A:$T,11,FALSE))))</f>
        <v/>
      </c>
      <c r="BB44" s="134" t="str">
        <f>IF($B44="","",IF(VLOOKUP($B44,Compétences!$A:$T,12,FALSE)="","",(VLOOKUP($B44,Compétences!$A:$T,12,FALSE))))</f>
        <v/>
      </c>
      <c r="BC44" s="134" t="str">
        <f>IF($B44="","",IF(VLOOKUP($B44,Compétences!$A:$T,13,FALSE)="","",(VLOOKUP($B44,Compétences!$A:$T,13,FALSE))))</f>
        <v/>
      </c>
      <c r="BD44" s="134" t="str">
        <f>IF($B44="","",IF(VLOOKUP($B44,Compétences!$A:$T,14,FALSE)="","",(VLOOKUP($B44,Compétences!$A:$T,14,FALSE))))</f>
        <v/>
      </c>
      <c r="BE44" s="134" t="str">
        <f>IF($B44="","",IF(VLOOKUP($B44,Compétences!$A:$T,15,FALSE)="","",(VLOOKUP($B44,Compétences!$A:$T,15,FALSE))))</f>
        <v/>
      </c>
      <c r="BF44" s="134" t="str">
        <f>IF($B44="","",IF(VLOOKUP($B44,Compétences!$A:$T,16,FALSE)="","",(VLOOKUP($B44,Compétences!$A:$T,16,FALSE))))</f>
        <v/>
      </c>
      <c r="BG44" s="134" t="str">
        <f>IF($B44="","",IF(VLOOKUP($B44,Compétences!$A:$T,17,FALSE)="","",(VLOOKUP($B44,Compétences!$A:$T,17,FALSE))))</f>
        <v/>
      </c>
      <c r="BH44" s="134" t="str">
        <f>IF($B44="","",IF(VLOOKUP($B44,Compétences!$A:$T,18,FALSE)="","",(VLOOKUP($B44,Compétences!$A:$T,18,FALSE))))</f>
        <v/>
      </c>
      <c r="BI44" s="134" t="str">
        <f>IF($B44="","",IF(VLOOKUP($B44,Compétences!$A:$T,19,FALSE)="","",(VLOOKUP($B44,Compétences!$A:$T,19,FALSE))))</f>
        <v/>
      </c>
      <c r="BJ44" s="134" t="str">
        <f>IF($B44="","",IF(VLOOKUP($B44,Compétences!$A:$T,20,FALSE)="","",(VLOOKUP($B44,Compétences!$A:$T,20,FALSE))))</f>
        <v/>
      </c>
      <c r="BK44" s="134"/>
      <c r="BL44" s="134"/>
      <c r="BM44" s="134"/>
      <c r="BN44" s="134"/>
    </row>
    <row r="45" spans="2:66" ht="7.95" customHeight="1" x14ac:dyDescent="0.25">
      <c r="B45" s="290" t="s">
        <v>8098</v>
      </c>
      <c r="C45" s="72"/>
      <c r="D45" s="72"/>
      <c r="E45" s="72"/>
      <c r="F45" s="72"/>
      <c r="G45" s="72"/>
      <c r="H45" s="72"/>
      <c r="I45" s="72"/>
      <c r="J45" s="72"/>
      <c r="K45" s="72"/>
      <c r="L45" s="72"/>
      <c r="M45" s="72"/>
      <c r="N45" s="72"/>
      <c r="O45" s="72"/>
      <c r="P45" s="72"/>
      <c r="Q45" s="72"/>
      <c r="R45" s="72"/>
      <c r="S45" s="72"/>
      <c r="T45" s="77"/>
      <c r="U45" s="77"/>
      <c r="V45" s="77"/>
      <c r="W45" s="77"/>
      <c r="X45" s="77"/>
      <c r="Y45" s="66" t="s">
        <v>1973</v>
      </c>
      <c r="Z45" s="82"/>
      <c r="AA45" s="82"/>
      <c r="AB45" s="82"/>
      <c r="AC45" s="82"/>
      <c r="AD45" s="82"/>
      <c r="AE45" s="82"/>
      <c r="AF45" s="82"/>
      <c r="AG45" s="49"/>
      <c r="AH45" s="82"/>
      <c r="AI45" s="82"/>
      <c r="AJ45" s="82"/>
      <c r="AO45" s="314"/>
      <c r="AR45" s="134"/>
      <c r="AS45" s="134"/>
      <c r="AT45" s="134"/>
      <c r="AU45" s="134"/>
      <c r="AV45" s="134"/>
      <c r="AW45" s="134"/>
      <c r="AX45" s="134"/>
    </row>
    <row r="46" spans="2:66" ht="1.5" customHeight="1" x14ac:dyDescent="0.25">
      <c r="AR46" s="134"/>
      <c r="AS46" s="134"/>
      <c r="AT46" s="134"/>
      <c r="AU46" s="134"/>
      <c r="AV46" s="134"/>
      <c r="AW46" s="134"/>
      <c r="AX46" s="134"/>
    </row>
    <row r="47" spans="2:66" ht="15" customHeight="1" thickBot="1" x14ac:dyDescent="0.3">
      <c r="B47" s="766" t="s">
        <v>5965</v>
      </c>
      <c r="C47" s="766"/>
      <c r="D47" s="766"/>
      <c r="E47" s="766"/>
      <c r="F47" s="722"/>
      <c r="G47" s="723"/>
      <c r="H47" s="723"/>
      <c r="I47" s="724"/>
      <c r="J47" s="722"/>
      <c r="K47" s="723"/>
      <c r="L47" s="723"/>
      <c r="M47" s="723"/>
      <c r="N47" s="723"/>
      <c r="O47" s="750" t="s">
        <v>1949</v>
      </c>
      <c r="P47" s="751"/>
      <c r="Q47" s="751"/>
      <c r="R47" s="751"/>
      <c r="S47" s="751"/>
      <c r="T47" s="751"/>
      <c r="U47" s="752"/>
      <c r="W47" s="726" t="s">
        <v>8352</v>
      </c>
      <c r="X47" s="726"/>
      <c r="Y47" s="726"/>
      <c r="Z47" s="726"/>
      <c r="AA47" s="726"/>
      <c r="AB47" s="594"/>
      <c r="AC47" s="594"/>
      <c r="AD47" s="594"/>
      <c r="AE47" s="754" t="s">
        <v>6005</v>
      </c>
      <c r="AF47" s="755"/>
      <c r="AG47" s="756"/>
      <c r="AH47" s="626"/>
      <c r="AI47" s="626"/>
      <c r="AJ47" s="536"/>
      <c r="AK47" s="85"/>
      <c r="AL47" s="29"/>
      <c r="AR47" s="313" t="s">
        <v>8372</v>
      </c>
      <c r="AS47" s="134"/>
      <c r="AT47" s="134"/>
      <c r="AU47" s="134"/>
      <c r="AV47" s="134"/>
      <c r="AW47" s="134"/>
      <c r="AX47" s="134"/>
    </row>
    <row r="48" spans="2:66" ht="17.25" customHeight="1" thickBot="1" x14ac:dyDescent="0.3">
      <c r="B48" s="764" t="s">
        <v>5824</v>
      </c>
      <c r="C48" s="764"/>
      <c r="D48" s="764"/>
      <c r="E48" s="765"/>
      <c r="F48" s="264" t="str">
        <f>IF(F47="","",VLOOKUP(F47,Objets!$A:P,9,0))</f>
        <v/>
      </c>
      <c r="G48" s="266" t="s">
        <v>1880</v>
      </c>
      <c r="H48" s="283" t="str">
        <f>IF(F47="","",VLOOKUP(F47,Objets!A:P,11,0))</f>
        <v/>
      </c>
      <c r="I48" s="84" t="str">
        <f>IF(F47="","",VLOOKUP(F47,Objets!A:P,13,0))</f>
        <v/>
      </c>
      <c r="J48" s="284" t="str">
        <f>IF(J47="","",VLOOKUP(J47,Objets!A:P,9,0))</f>
        <v/>
      </c>
      <c r="K48" s="263" t="s">
        <v>1880</v>
      </c>
      <c r="L48" s="769" t="str">
        <f>IF(J47="","",VLOOKUP(J47,Objets!A:P,11,0))</f>
        <v/>
      </c>
      <c r="M48" s="770"/>
      <c r="N48" s="84" t="str">
        <f>IF(J47="","",VLOOKUP(J47,Objets!A:P,13,0))</f>
        <v/>
      </c>
      <c r="O48" s="739" t="s">
        <v>57</v>
      </c>
      <c r="P48" s="740"/>
      <c r="Q48" s="740"/>
      <c r="R48" s="740" t="s">
        <v>1950</v>
      </c>
      <c r="S48" s="740"/>
      <c r="T48" s="740"/>
      <c r="U48" s="260" t="s">
        <v>1951</v>
      </c>
      <c r="W48" s="736" t="s">
        <v>8353</v>
      </c>
      <c r="X48" s="737"/>
      <c r="Y48" s="737"/>
      <c r="Z48" s="737"/>
      <c r="AA48" s="738"/>
      <c r="AB48" s="581" t="s">
        <v>8373</v>
      </c>
      <c r="AC48" s="582"/>
      <c r="AD48" s="560" t="s">
        <v>8375</v>
      </c>
      <c r="AE48" s="620" t="s">
        <v>8351</v>
      </c>
      <c r="AF48" s="620"/>
      <c r="AG48" s="621"/>
      <c r="AH48" s="622" t="s">
        <v>8354</v>
      </c>
      <c r="AI48" s="623"/>
      <c r="AJ48" s="538"/>
      <c r="AK48" s="85"/>
      <c r="AL48" s="29"/>
      <c r="AM48" s="313"/>
      <c r="AN48" s="313"/>
      <c r="AO48" s="313"/>
      <c r="AP48" s="313"/>
      <c r="AQ48" s="313"/>
      <c r="AR48" s="561" t="s">
        <v>8371</v>
      </c>
      <c r="AS48" s="561" t="s">
        <v>664</v>
      </c>
      <c r="AT48" s="561" t="s">
        <v>7637</v>
      </c>
      <c r="AU48" s="561" t="s">
        <v>7635</v>
      </c>
      <c r="AV48" s="561" t="s">
        <v>874</v>
      </c>
      <c r="AW48" s="134" t="s">
        <v>8351</v>
      </c>
      <c r="AX48" s="134"/>
    </row>
    <row r="49" spans="2:50" ht="13.2" customHeight="1" x14ac:dyDescent="0.25">
      <c r="B49" s="771" t="s">
        <v>5823</v>
      </c>
      <c r="C49" s="772"/>
      <c r="D49" s="772"/>
      <c r="E49" s="773"/>
      <c r="F49" s="741" t="str">
        <f>IF(F47="","",VLOOKUP(F47,Objets!A:P,15,0))</f>
        <v/>
      </c>
      <c r="G49" s="742"/>
      <c r="H49" s="742"/>
      <c r="I49" s="745" t="str">
        <f>IF(F47="","",VLOOKUP(F47,Objets!A:P,14,0))</f>
        <v/>
      </c>
      <c r="J49" s="767" t="str">
        <f>IF(J47="","",VLOOKUP(J47,Objets!A:P,15,0))</f>
        <v/>
      </c>
      <c r="K49" s="767"/>
      <c r="L49" s="767"/>
      <c r="M49" s="767"/>
      <c r="N49" s="768" t="str">
        <f>IF(J47="","",VLOOKUP(J47,Objets!A:P,14,0))</f>
        <v/>
      </c>
      <c r="O49" s="657"/>
      <c r="P49" s="657"/>
      <c r="Q49" s="658"/>
      <c r="R49" s="80">
        <f>IF(O49="",0,VLOOKUP(O49,Tableaux!E:G,2,FALSE))+IF(AND($J$47&lt;&gt;"",O49&lt;&gt;""),IF(OR($J$47="Dai-Kyu",$J$47="Han-Kyu",$J$47="Yumi",$J$47="Arc de cavalerie antique",$J$47="Han-Kyu Chuda",$J$47="Lezam",$J$47="Shigeto-yumi",$J$47="Yumi de la Guêpe",$J$47="Oyumi"),$N$48,0))+IF(AND($F47&lt;&gt;"",O49&lt;&gt;""),IF(OR($F$47="Dai-Kyu",$F$47="Han-Kyu",$F$47="Yumi",$F$47="Arc de cavalerie antique",$F$47="Han-Kyu Chuda",$F$47="Lezam",$F$47="Shigeto-yumi",$F$47="Yumi de la Guêpe",$F$47="Oyumi"),$I$48,0))</f>
        <v>0</v>
      </c>
      <c r="S49" s="79" t="str">
        <f>IF(R49="","","g")</f>
        <v>g</v>
      </c>
      <c r="T49" s="81">
        <f>IF(O49="",0,VLOOKUP(O49,Tableaux!E:G,3,FALSE))</f>
        <v>0</v>
      </c>
      <c r="U49" s="282"/>
      <c r="W49" s="706" t="s">
        <v>1895</v>
      </c>
      <c r="X49" s="707"/>
      <c r="Y49" s="707"/>
      <c r="Z49" s="707"/>
      <c r="AA49" s="708"/>
      <c r="AB49" s="612"/>
      <c r="AC49" s="613"/>
      <c r="AD49" s="549"/>
      <c r="AE49" s="600">
        <f>IF(OR(AND(Désavantages!N17=TRUE,Avantages!N255=TRUE),AND(Désavantages!N17=TRUE,Avantages!N256=TRUE),Désavantages!N17=FALSE),Terre*5+AB49,0)</f>
        <v>10</v>
      </c>
      <c r="AF49" s="710"/>
      <c r="AG49" s="601"/>
      <c r="AH49" s="600"/>
      <c r="AI49" s="601"/>
      <c r="AJ49" s="537"/>
      <c r="AK49" s="37"/>
      <c r="AL49" s="29"/>
      <c r="AM49" s="554" t="str">
        <f>IF(AW49&lt;1,"Aucun malus",CONCATENATE("+",AW49," au ND de toute action"))</f>
        <v>Aucun malus</v>
      </c>
      <c r="AN49" s="313"/>
      <c r="AO49" s="313"/>
      <c r="AP49" s="313"/>
      <c r="AQ49" s="313"/>
      <c r="AR49" s="134">
        <v>0</v>
      </c>
      <c r="AS49" s="134">
        <f>IF(Avantages!$N$142=TRUE,-3,0)</f>
        <v>0</v>
      </c>
      <c r="AT49" s="134">
        <f>IF(AND(Désavantages!$N$43=TRUE,Avantages!$N$253=TRUE),-7,0)</f>
        <v>0</v>
      </c>
      <c r="AU49" s="134">
        <f>IF(AND(Désavantages!$N$43=TRUE,Avantages!$N$252=TRUE),-5,0)</f>
        <v>0</v>
      </c>
      <c r="AV49" s="134">
        <f>IF(Désavantages!$N$43=TRUE,5,0)</f>
        <v>0</v>
      </c>
      <c r="AW49" s="134">
        <f t="shared" ref="AW49:AW54" si="10">SUM(AR49:AV49)+AD49</f>
        <v>0</v>
      </c>
      <c r="AX49" s="134"/>
    </row>
    <row r="50" spans="2:50" ht="13.2" customHeight="1" x14ac:dyDescent="0.25">
      <c r="B50" s="774"/>
      <c r="C50" s="775"/>
      <c r="D50" s="775"/>
      <c r="E50" s="776"/>
      <c r="F50" s="743"/>
      <c r="G50" s="744"/>
      <c r="H50" s="744"/>
      <c r="I50" s="745"/>
      <c r="J50" s="744"/>
      <c r="K50" s="744"/>
      <c r="L50" s="744"/>
      <c r="M50" s="744"/>
      <c r="N50" s="768"/>
      <c r="O50" s="657"/>
      <c r="P50" s="657"/>
      <c r="Q50" s="658"/>
      <c r="R50" s="80">
        <f>IF(O50="",0,VLOOKUP(O50,Tableaux!E:G,2,FALSE))+IF(AND($J$47&lt;&gt;"",O50&lt;&gt;""),IF(OR($J$47="Dai-Kyu",$J$47="Han-Kyu",$J$47="Yumi",$J$47="Arc de cavalerie antique",$J$47="Han-Kyu Chuda",$J$47="Lezam",$J$47="Shigeto-yumi",$J$47="Yumi de la Guêpe",$J$47="Oyumi"),$N$48,0))+IF(AND($F48&lt;&gt;"",O50&lt;&gt;""),IF(OR($F$47="Dai-Kyu",$F$47="Han-Kyu",$F$47="Yumi",$F$47="Arc de cavalerie antique",$F$47="Han-Kyu Chuda",$F$47="Lezam",$F$47="Shigeto-yumi",$F$47="Yumi de la Guêpe",$F$47="Oyumi"),$I$48,0))</f>
        <v>0</v>
      </c>
      <c r="S50" s="79" t="str">
        <f t="shared" ref="S50:S56" si="11">IF(R50="","","g")</f>
        <v>g</v>
      </c>
      <c r="T50" s="81">
        <f>IF(O50="",0,VLOOKUP(O50,Tableaux!E:G,3,FALSE))</f>
        <v>0</v>
      </c>
      <c r="U50" s="282"/>
      <c r="W50" s="602" t="s">
        <v>1896</v>
      </c>
      <c r="X50" s="603"/>
      <c r="Y50" s="603"/>
      <c r="Z50" s="603"/>
      <c r="AA50" s="604"/>
      <c r="AB50" s="614"/>
      <c r="AC50" s="615"/>
      <c r="AD50" s="549"/>
      <c r="AE50" s="596">
        <f>(Terre*AH47)+AE49+AB50</f>
        <v>10</v>
      </c>
      <c r="AF50" s="711"/>
      <c r="AG50" s="597"/>
      <c r="AH50" s="596" t="str">
        <f>IF(AND((AB47&gt;AE49),(AB47&lt;=AE50)),"X","")</f>
        <v/>
      </c>
      <c r="AI50" s="597"/>
      <c r="AJ50" s="537"/>
      <c r="AK50" s="37"/>
      <c r="AL50" s="29"/>
      <c r="AM50" s="554" t="str">
        <f>IF(AW50&lt;1,"Aucun malus",CONCATENATE("+",AW50," au ND de toute action"))</f>
        <v>+3 au ND de toute action</v>
      </c>
      <c r="AN50" s="313"/>
      <c r="AO50" s="313"/>
      <c r="AP50" s="313"/>
      <c r="AQ50" s="313"/>
      <c r="AR50" s="134">
        <v>3</v>
      </c>
      <c r="AS50" s="134">
        <f>IF(Avantages!$N$142=TRUE,-3,0)</f>
        <v>0</v>
      </c>
      <c r="AT50" s="134">
        <f>IF(AND(Désavantages!$N$43=TRUE,Avantages!$N$253=TRUE),-7,0)</f>
        <v>0</v>
      </c>
      <c r="AU50" s="134">
        <f>IF(AND(Désavantages!$N$43=TRUE,Avantages!$N$252=TRUE),-5,0)</f>
        <v>0</v>
      </c>
      <c r="AV50" s="134">
        <f>IF(Désavantages!$N$43=TRUE,5,0)</f>
        <v>0</v>
      </c>
      <c r="AW50" s="134">
        <f t="shared" si="10"/>
        <v>3</v>
      </c>
      <c r="AX50" s="134"/>
    </row>
    <row r="51" spans="2:50" ht="13.2" customHeight="1" x14ac:dyDescent="0.25">
      <c r="B51" s="764" t="s">
        <v>1893</v>
      </c>
      <c r="C51" s="764"/>
      <c r="D51" s="764"/>
      <c r="E51" s="764"/>
      <c r="F51" s="720" t="str">
        <f>IF(F47="","",VLOOKUP(F47,Objets!A:Q,17,0))</f>
        <v/>
      </c>
      <c r="G51" s="720"/>
      <c r="H51" s="720"/>
      <c r="I51" s="721"/>
      <c r="J51" s="720" t="str">
        <f>IF(J47="","",VLOOKUP(J47,Objets!A:Q,17,0))</f>
        <v/>
      </c>
      <c r="K51" s="720"/>
      <c r="L51" s="720"/>
      <c r="M51" s="720"/>
      <c r="N51" s="725"/>
      <c r="O51" s="735"/>
      <c r="P51" s="657"/>
      <c r="Q51" s="658"/>
      <c r="R51" s="80">
        <f>IF(O51="",0,VLOOKUP(O51,Tableaux!E:G,2,FALSE))+IF(AND($J$47&lt;&gt;"",O51&lt;&gt;""),IF(OR($J$47="Dai-Kyu",$J$47="Han-Kyu",$J$47="Yumi",$J$47="Arc de cavalerie antique",$J$47="Han-Kyu Chuda",$J$47="Lezam",$J$47="Shigeto-yumi",$J$47="Yumi de la Guêpe",$J$47="Oyumi"),$N$48,0))+IF(AND($F49&lt;&gt;"",O51&lt;&gt;""),IF(OR($F$47="Dai-Kyu",$F$47="Han-Kyu",$F$47="Yumi",$F$47="Arc de cavalerie antique",$F$47="Han-Kyu Chuda",$F$47="Lezam",$F$47="Shigeto-yumi",$F$47="Yumi de la Guêpe",$F$47="Oyumi"),$I$48,0))</f>
        <v>0</v>
      </c>
      <c r="S51" s="79" t="str">
        <f t="shared" si="11"/>
        <v>g</v>
      </c>
      <c r="T51" s="81">
        <f>IF(O51="",0,VLOOKUP(O51,Tableaux!E:G,3,FALSE))</f>
        <v>0</v>
      </c>
      <c r="U51" s="282"/>
      <c r="W51" s="602" t="s">
        <v>1916</v>
      </c>
      <c r="X51" s="603"/>
      <c r="Y51" s="603"/>
      <c r="Z51" s="603"/>
      <c r="AA51" s="604"/>
      <c r="AB51" s="614"/>
      <c r="AC51" s="615"/>
      <c r="AD51" s="549"/>
      <c r="AE51" s="596">
        <f>(Terre*AH47)+AE50+AB51</f>
        <v>10</v>
      </c>
      <c r="AF51" s="711"/>
      <c r="AG51" s="597"/>
      <c r="AH51" s="596" t="str">
        <f>IF(AND((AB47&gt;AE50),(AB47&lt;=AE51)),"X","")</f>
        <v/>
      </c>
      <c r="AI51" s="597"/>
      <c r="AJ51" s="537"/>
      <c r="AK51" s="37"/>
      <c r="AL51" s="29"/>
      <c r="AM51" s="554" t="str">
        <f>IF(AW51&lt;1,"Aucun malus",CONCATENATE("+",AW51," au ND de toute action"))</f>
        <v>+5 au ND de toute action</v>
      </c>
      <c r="AN51" s="313"/>
      <c r="AO51" s="313"/>
      <c r="AP51" s="313"/>
      <c r="AQ51" s="313"/>
      <c r="AR51" s="134">
        <v>5</v>
      </c>
      <c r="AS51" s="134">
        <f>IF(Avantages!$N$142=TRUE,-3,0)</f>
        <v>0</v>
      </c>
      <c r="AT51" s="134">
        <f>IF(AND(Désavantages!$N$43=TRUE,Avantages!$N$253=TRUE),-7,0)</f>
        <v>0</v>
      </c>
      <c r="AU51" s="134">
        <f>IF(AND(Désavantages!$N$43=TRUE,Avantages!$N$252=TRUE),-5,0)</f>
        <v>0</v>
      </c>
      <c r="AV51" s="134">
        <f>IF(Désavantages!$N$43=TRUE,5,0)</f>
        <v>0</v>
      </c>
      <c r="AW51" s="134">
        <f t="shared" si="10"/>
        <v>5</v>
      </c>
      <c r="AX51" s="134"/>
    </row>
    <row r="52" spans="2:50" ht="13.2" customHeight="1" x14ac:dyDescent="0.25">
      <c r="B52" s="761" t="s">
        <v>1948</v>
      </c>
      <c r="C52" s="761"/>
      <c r="D52" s="761"/>
      <c r="E52" s="761"/>
      <c r="F52" s="727" t="str">
        <f>IF(F47="","",VLOOKUP(F47,Objets!A:P,16,0))</f>
        <v/>
      </c>
      <c r="G52" s="728"/>
      <c r="H52" s="728"/>
      <c r="I52" s="729"/>
      <c r="J52" s="727" t="str">
        <f>IF(J47="","",VLOOKUP(J47,Objets!A:P,16,0))</f>
        <v/>
      </c>
      <c r="K52" s="728"/>
      <c r="L52" s="728"/>
      <c r="M52" s="728"/>
      <c r="N52" s="758"/>
      <c r="O52" s="735"/>
      <c r="P52" s="657"/>
      <c r="Q52" s="658"/>
      <c r="R52" s="80">
        <f>IF(O52="",0,VLOOKUP(O52,Tableaux!E:G,2,FALSE))+IF(AND($J$47&lt;&gt;"",O52&lt;&gt;""),IF(OR($J$47="Dai-Kyu",$J$47="Han-Kyu",$J$47="Yumi",$J$47="Arc de cavalerie antique",$J$47="Han-Kyu Chuda",$J$47="Lezam",$J$47="Shigeto-yumi",$J$47="Yumi de la Guêpe",$J$47="Oyumi"),$N$48,0))+IF(AND($F50&lt;&gt;"",O52&lt;&gt;""),IF(OR($F$47="Dai-Kyu",$F$47="Han-Kyu",$F$47="Yumi",$F$47="Arc de cavalerie antique",$F$47="Han-Kyu Chuda",$F$47="Lezam",$F$47="Shigeto-yumi",$F$47="Yumi de la Guêpe",$F$47="Oyumi"),$I$48,0))</f>
        <v>0</v>
      </c>
      <c r="S52" s="79" t="str">
        <f t="shared" si="11"/>
        <v>g</v>
      </c>
      <c r="T52" s="81">
        <f>IF(O52="",0,VLOOKUP(O52,Tableaux!E:G,3,FALSE))</f>
        <v>0</v>
      </c>
      <c r="U52" s="282"/>
      <c r="W52" s="602" t="s">
        <v>1897</v>
      </c>
      <c r="X52" s="603"/>
      <c r="Y52" s="603"/>
      <c r="Z52" s="603"/>
      <c r="AA52" s="604"/>
      <c r="AB52" s="614"/>
      <c r="AC52" s="615"/>
      <c r="AD52" s="549"/>
      <c r="AE52" s="596">
        <f>(Terre*AH47)+AE51+AB52</f>
        <v>10</v>
      </c>
      <c r="AF52" s="711"/>
      <c r="AG52" s="597"/>
      <c r="AH52" s="596" t="str">
        <f>IF(AND((AB47&gt;AE51),(AB47&lt;=AE52)),"X","")</f>
        <v/>
      </c>
      <c r="AI52" s="597"/>
      <c r="AJ52" s="540"/>
      <c r="AK52" s="37"/>
      <c r="AL52" s="29"/>
      <c r="AM52" s="554" t="str">
        <f>IF(AW52&lt;1,"Aucun malus",CONCATENATE("+",AW52," au ND de toute action"))</f>
        <v>+10 au ND de toute action</v>
      </c>
      <c r="AN52" s="313"/>
      <c r="AO52" s="313"/>
      <c r="AP52" s="313"/>
      <c r="AQ52" s="313"/>
      <c r="AR52" s="134">
        <v>10</v>
      </c>
      <c r="AS52" s="134">
        <f>IF(Avantages!$N$142=TRUE,-3,0)</f>
        <v>0</v>
      </c>
      <c r="AT52" s="134">
        <f>IF(AND(Désavantages!$N$43=TRUE,Avantages!$N$253=TRUE),-7,0)</f>
        <v>0</v>
      </c>
      <c r="AU52" s="134">
        <f>IF(AND(Désavantages!$N$43=TRUE,Avantages!$N$252=TRUE),-5,0)</f>
        <v>0</v>
      </c>
      <c r="AV52" s="134">
        <f>IF(Désavantages!$N$43=TRUE,5,0)</f>
        <v>0</v>
      </c>
      <c r="AW52" s="134">
        <f t="shared" si="10"/>
        <v>10</v>
      </c>
      <c r="AX52" s="134"/>
    </row>
    <row r="53" spans="2:50" ht="13.2" customHeight="1" x14ac:dyDescent="0.25">
      <c r="B53" s="762"/>
      <c r="C53" s="762"/>
      <c r="D53" s="762"/>
      <c r="E53" s="762"/>
      <c r="F53" s="730"/>
      <c r="G53" s="677"/>
      <c r="H53" s="677"/>
      <c r="I53" s="731"/>
      <c r="J53" s="730"/>
      <c r="K53" s="677"/>
      <c r="L53" s="677"/>
      <c r="M53" s="677"/>
      <c r="N53" s="759"/>
      <c r="O53" s="735"/>
      <c r="P53" s="657"/>
      <c r="Q53" s="658"/>
      <c r="R53" s="80">
        <f>IF(O53="",0,VLOOKUP(O53,Tableaux!E:G,2,FALSE))+IF(AND($J$47&lt;&gt;"",O53&lt;&gt;""),IF(OR($J$47="Dai-Kyu",$J$47="Han-Kyu",$J$47="Yumi",$J$47="Arc de cavalerie antique",$J$47="Han-Kyu Chuda",$J$47="Lezam",$J$47="Shigeto-yumi",$J$47="Yumi de la Guêpe",$J$47="Oyumi"),$N$48,0))+IF(AND($F51&lt;&gt;"",O53&lt;&gt;""),IF(OR($F$47="Dai-Kyu",$F$47="Han-Kyu",$F$47="Yumi",$F$47="Arc de cavalerie antique",$F$47="Han-Kyu Chuda",$F$47="Lezam",$F$47="Shigeto-yumi",$F$47="Yumi de la Guêpe",$F$47="Oyumi"),$I$48,0))</f>
        <v>0</v>
      </c>
      <c r="S53" s="79" t="str">
        <f t="shared" si="11"/>
        <v>g</v>
      </c>
      <c r="T53" s="81">
        <f>IF(O53="",0,VLOOKUP(O53,Tableaux!E:G,3,FALSE))</f>
        <v>0</v>
      </c>
      <c r="U53" s="282"/>
      <c r="W53" s="602" t="s">
        <v>1917</v>
      </c>
      <c r="X53" s="603"/>
      <c r="Y53" s="603"/>
      <c r="Z53" s="603"/>
      <c r="AA53" s="604"/>
      <c r="AB53" s="614"/>
      <c r="AC53" s="615"/>
      <c r="AD53" s="549"/>
      <c r="AE53" s="596">
        <f>(Terre*AH47)+AE52+AB53</f>
        <v>10</v>
      </c>
      <c r="AF53" s="711"/>
      <c r="AG53" s="597"/>
      <c r="AH53" s="596" t="str">
        <f>IF(AND((AB47&gt;AE52),(AB47&lt;=AE53)),"X","")</f>
        <v/>
      </c>
      <c r="AI53" s="597"/>
      <c r="AJ53" s="540"/>
      <c r="AL53" s="29"/>
      <c r="AM53" s="554" t="str">
        <f>IF(AW53&lt;1,"Aucun malus",CONCATENATE("+",AW53," au ND de toute action"))</f>
        <v>+15 au ND de toute action</v>
      </c>
      <c r="AN53" s="313"/>
      <c r="AO53" s="313"/>
      <c r="AP53" s="313"/>
      <c r="AQ53" s="313"/>
      <c r="AR53" s="134">
        <v>15</v>
      </c>
      <c r="AS53" s="134">
        <f>IF(Avantages!$N$142=TRUE,-3,0)</f>
        <v>0</v>
      </c>
      <c r="AT53" s="134">
        <f>IF(AND(Désavantages!$N$43=TRUE,Avantages!$N$253=TRUE),-7,0)</f>
        <v>0</v>
      </c>
      <c r="AU53" s="134">
        <f>IF(AND(Désavantages!$N$43=TRUE,Avantages!$N$252=TRUE),-5,0)</f>
        <v>0</v>
      </c>
      <c r="AV53" s="134">
        <f>IF(Désavantages!$N$43=TRUE,5,0)</f>
        <v>0</v>
      </c>
      <c r="AW53" s="134">
        <f t="shared" si="10"/>
        <v>15</v>
      </c>
      <c r="AX53" s="134"/>
    </row>
    <row r="54" spans="2:50" ht="13.2" customHeight="1" x14ac:dyDescent="0.25">
      <c r="B54" s="762"/>
      <c r="C54" s="762"/>
      <c r="D54" s="762"/>
      <c r="E54" s="762"/>
      <c r="F54" s="730"/>
      <c r="G54" s="677"/>
      <c r="H54" s="677"/>
      <c r="I54" s="731"/>
      <c r="J54" s="730"/>
      <c r="K54" s="677"/>
      <c r="L54" s="677"/>
      <c r="M54" s="677"/>
      <c r="N54" s="759"/>
      <c r="O54" s="735"/>
      <c r="P54" s="657"/>
      <c r="Q54" s="658"/>
      <c r="R54" s="80">
        <f>IF(O54="",0,VLOOKUP(O54,Tableaux!E:G,2,FALSE))+IF(AND($J$47&lt;&gt;"",O54&lt;&gt;""),IF(OR($J$47="Dai-Kyu",$J$47="Han-Kyu",$J$47="Yumi",$J$47="Arc de cavalerie antique",$J$47="Han-Kyu Chuda",$J$47="Lezam",$J$47="Shigeto-yumi",$J$47="Yumi de la Guêpe",$J$47="Oyumi"),$N$48,0))+IF(AND($F52&lt;&gt;"",O54&lt;&gt;""),IF(OR($F$47="Dai-Kyu",$F$47="Han-Kyu",$F$47="Yumi",$F$47="Arc de cavalerie antique",$F$47="Han-Kyu Chuda",$F$47="Lezam",$F$47="Shigeto-yumi",$F$47="Yumi de la Guêpe",$F$47="Oyumi"),$I$48,0))</f>
        <v>0</v>
      </c>
      <c r="S54" s="79" t="str">
        <f t="shared" si="11"/>
        <v>g</v>
      </c>
      <c r="T54" s="81">
        <f>IF(O54="",0,VLOOKUP(O54,Tableaux!E:G,3,FALSE))</f>
        <v>0</v>
      </c>
      <c r="U54" s="282"/>
      <c r="W54" s="703" t="s">
        <v>1898</v>
      </c>
      <c r="X54" s="704"/>
      <c r="Y54" s="704"/>
      <c r="Z54" s="704"/>
      <c r="AA54" s="705"/>
      <c r="AB54" s="616"/>
      <c r="AC54" s="617"/>
      <c r="AD54" s="583"/>
      <c r="AE54" s="598">
        <f>(Terre*AH47)+AE53+AB54</f>
        <v>10</v>
      </c>
      <c r="AF54" s="709"/>
      <c r="AG54" s="599"/>
      <c r="AH54" s="598" t="str">
        <f>IF(AND((AB47&gt;AE53),(AB47&lt;=AE54)),"X","")</f>
        <v/>
      </c>
      <c r="AI54" s="599"/>
      <c r="AJ54" s="537"/>
      <c r="AL54" s="29"/>
      <c r="AM54" s="554" t="str">
        <f>IF(AW54&lt;1,"Aucun malus",CONCATENATE("+",AW54," aux ND; action de mvt 1cran + dur"))</f>
        <v>+20 aux ND; action de mvt 1cran + dur</v>
      </c>
      <c r="AN54" s="313"/>
      <c r="AO54" s="313"/>
      <c r="AP54" s="313"/>
      <c r="AQ54" s="313"/>
      <c r="AR54" s="134">
        <v>20</v>
      </c>
      <c r="AS54" s="134">
        <f>IF(Avantages!$N$142=TRUE,-3,0)</f>
        <v>0</v>
      </c>
      <c r="AT54" s="134">
        <f>IF(AND(Désavantages!$N$43=TRUE,Avantages!$N$253=TRUE),-7,0)</f>
        <v>0</v>
      </c>
      <c r="AU54" s="134">
        <f>IF(AND(Désavantages!$N$43=TRUE,Avantages!$N$252=TRUE),-5,0)</f>
        <v>0</v>
      </c>
      <c r="AV54" s="134">
        <f>IF(Désavantages!$N$43=TRUE,5,0)</f>
        <v>0</v>
      </c>
      <c r="AW54" s="134">
        <f t="shared" si="10"/>
        <v>20</v>
      </c>
      <c r="AX54" s="134"/>
    </row>
    <row r="55" spans="2:50" ht="13.2" customHeight="1" x14ac:dyDescent="0.25">
      <c r="B55" s="762"/>
      <c r="C55" s="762"/>
      <c r="D55" s="762"/>
      <c r="E55" s="762"/>
      <c r="F55" s="730"/>
      <c r="G55" s="677"/>
      <c r="H55" s="677"/>
      <c r="I55" s="731"/>
      <c r="J55" s="730"/>
      <c r="K55" s="677"/>
      <c r="L55" s="677"/>
      <c r="M55" s="677"/>
      <c r="N55" s="759"/>
      <c r="O55" s="735"/>
      <c r="P55" s="657"/>
      <c r="Q55" s="658"/>
      <c r="R55" s="80">
        <f>IF(O55="",0,VLOOKUP(O55,Tableaux!E:G,2,FALSE))+IF(AND($J$47&lt;&gt;"",O55&lt;&gt;""),IF(OR($J$47="Dai-Kyu",$J$47="Han-Kyu",$J$47="Yumi",$J$47="Arc de cavalerie antique",$J$47="Han-Kyu Chuda",$J$47="Lezam",$J$47="Shigeto-yumi",$J$47="Yumi de la Guêpe",$J$47="Oyumi"),$N$48,0))+IF(AND($F53&lt;&gt;"",O55&lt;&gt;""),IF(OR($F$47="Dai-Kyu",$F$47="Han-Kyu",$F$47="Yumi",$F$47="Arc de cavalerie antique",$F$47="Han-Kyu Chuda",$F$47="Lezam",$F$47="Shigeto-yumi",$F$47="Yumi de la Guêpe",$F$47="Oyumi"),$I$48,0))</f>
        <v>0</v>
      </c>
      <c r="S55" s="79" t="str">
        <f t="shared" si="11"/>
        <v>g</v>
      </c>
      <c r="T55" s="81">
        <f>IF(O55="",0,VLOOKUP(O55,Tableaux!E:G,3,FALSE))</f>
        <v>0</v>
      </c>
      <c r="U55" s="282"/>
      <c r="W55" s="700" t="s">
        <v>1923</v>
      </c>
      <c r="X55" s="701"/>
      <c r="Y55" s="701"/>
      <c r="Z55" s="701"/>
      <c r="AA55" s="702"/>
      <c r="AB55" s="618"/>
      <c r="AC55" s="619"/>
      <c r="AD55" s="584"/>
      <c r="AE55" s="600"/>
      <c r="AF55" s="710"/>
      <c r="AG55" s="601"/>
      <c r="AH55" s="600"/>
      <c r="AI55" s="601"/>
      <c r="AJ55" s="537"/>
      <c r="AK55" s="37"/>
      <c r="AL55" s="29"/>
      <c r="AM55" s="554"/>
      <c r="AN55" s="313"/>
      <c r="AO55" s="313"/>
      <c r="AP55" s="313"/>
      <c r="AQ55" s="313"/>
      <c r="AR55" s="134"/>
      <c r="AS55" s="134"/>
      <c r="AT55" s="134"/>
      <c r="AU55" s="134"/>
      <c r="AV55" s="134"/>
      <c r="AW55" s="134"/>
      <c r="AX55" s="134"/>
    </row>
    <row r="56" spans="2:50" ht="13.2" customHeight="1" x14ac:dyDescent="0.25">
      <c r="B56" s="763"/>
      <c r="C56" s="763"/>
      <c r="D56" s="763"/>
      <c r="E56" s="763"/>
      <c r="F56" s="732"/>
      <c r="G56" s="733"/>
      <c r="H56" s="733"/>
      <c r="I56" s="734"/>
      <c r="J56" s="732"/>
      <c r="K56" s="733"/>
      <c r="L56" s="733"/>
      <c r="M56" s="733"/>
      <c r="N56" s="760"/>
      <c r="O56" s="735"/>
      <c r="P56" s="657"/>
      <c r="Q56" s="658"/>
      <c r="R56" s="80">
        <f>IF(O56="",0,VLOOKUP(O56,Tableaux!E:G,2,FALSE))+IF(AND($J$47&lt;&gt;"",O56&lt;&gt;""),IF(OR($J$47="Dai-Kyu",$J$47="Han-Kyu",$J$47="Yumi",$J$47="Arc de cavalerie antique",$J$47="Han-Kyu Chuda",$J$47="Lezam",$J$47="Shigeto-yumi",$J$47="Yumi de la Guêpe",$J$47="Oyumi"),$N$48,0))+IF(AND($F54&lt;&gt;"",O56&lt;&gt;""),IF(OR($F$47="Dai-Kyu",$F$47="Han-Kyu",$F$47="Yumi",$F$47="Arc de cavalerie antique",$F$47="Han-Kyu Chuda",$F$47="Lezam",$F$47="Shigeto-yumi",$F$47="Yumi de la Guêpe",$F$47="Oyumi"),$I$48,0))</f>
        <v>0</v>
      </c>
      <c r="S56" s="79" t="str">
        <f t="shared" si="11"/>
        <v>g</v>
      </c>
      <c r="T56" s="81">
        <f>IF(O56="",0,VLOOKUP(O56,Tableaux!E:G,3,FALSE))</f>
        <v>0</v>
      </c>
      <c r="U56" s="282"/>
      <c r="W56" s="703" t="s">
        <v>1899</v>
      </c>
      <c r="X56" s="704"/>
      <c r="Y56" s="704"/>
      <c r="Z56" s="704"/>
      <c r="AA56" s="705"/>
      <c r="AB56" s="616"/>
      <c r="AC56" s="617"/>
      <c r="AD56" s="583"/>
      <c r="AE56" s="598">
        <f>(Terre*AH47)+AE54+AB56</f>
        <v>10</v>
      </c>
      <c r="AF56" s="709"/>
      <c r="AG56" s="599"/>
      <c r="AH56" s="598" t="str">
        <f>IF(AND((AB47&gt;AE54),(AB47&lt;=AE56)),"X","")</f>
        <v/>
      </c>
      <c r="AI56" s="599"/>
      <c r="AJ56" s="537"/>
      <c r="AK56" s="37"/>
      <c r="AL56" s="29"/>
      <c r="AM56" s="554" t="str">
        <f>IF(AW56&lt;1,"Aucun malus",CONCATENATE("+",AW56," aux ND;  dépenser 1 PVide pour agir"))</f>
        <v>+40 aux ND;  dépenser 1 PVide pour agir</v>
      </c>
      <c r="AN56" s="313"/>
      <c r="AO56" s="313"/>
      <c r="AP56" s="313"/>
      <c r="AQ56" s="313"/>
      <c r="AR56" s="134">
        <v>40</v>
      </c>
      <c r="AS56" s="134">
        <f>IF(Avantages!$N$262=TRUE,-3,0)</f>
        <v>0</v>
      </c>
      <c r="AT56" s="134">
        <f>IF(AND(Désavantages!$N$43=TRUE,Avantages!$N$253=TRUE),-7,0)</f>
        <v>0</v>
      </c>
      <c r="AU56" s="134">
        <f>IF(AND(Désavantages!$N$43=TRUE,Avantages!$N$252=TRUE),-5,0)</f>
        <v>0</v>
      </c>
      <c r="AV56" s="134">
        <f>IF(Désavantages!$N$43=TRUE,5,0)</f>
        <v>0</v>
      </c>
      <c r="AW56" s="134">
        <f>SUM(AR56:AV56)+AD56</f>
        <v>40</v>
      </c>
      <c r="AX56" s="134"/>
    </row>
    <row r="57" spans="2:50" ht="10.95" customHeight="1" x14ac:dyDescent="0.25">
      <c r="B57" s="291" t="s">
        <v>2165</v>
      </c>
      <c r="C57" s="291"/>
      <c r="D57" s="291"/>
      <c r="E57" s="291"/>
      <c r="F57" s="291"/>
      <c r="G57" s="291"/>
      <c r="H57" s="291"/>
      <c r="I57" s="291"/>
      <c r="J57" s="292">
        <f>R5*5</f>
        <v>5</v>
      </c>
      <c r="K57" s="291" t="s">
        <v>5966</v>
      </c>
      <c r="L57" s="45"/>
      <c r="M57" s="45"/>
      <c r="W57" s="700" t="s">
        <v>1919</v>
      </c>
      <c r="X57" s="701"/>
      <c r="Y57" s="701"/>
      <c r="Z57" s="701"/>
      <c r="AA57" s="702"/>
      <c r="AB57" s="618"/>
      <c r="AC57" s="619"/>
      <c r="AD57" s="584"/>
      <c r="AE57" s="600"/>
      <c r="AF57" s="710"/>
      <c r="AG57" s="601"/>
      <c r="AH57" s="600"/>
      <c r="AI57" s="601"/>
      <c r="AJ57" s="537"/>
      <c r="AK57" s="37"/>
      <c r="AL57" s="29"/>
      <c r="AM57" s="313"/>
      <c r="AN57" s="313"/>
      <c r="AO57" s="313"/>
      <c r="AP57" s="313"/>
      <c r="AQ57" s="313"/>
      <c r="AR57" s="313"/>
      <c r="AS57" s="134"/>
      <c r="AT57" s="134"/>
      <c r="AU57" s="134"/>
      <c r="AV57" s="134"/>
      <c r="AW57" s="134"/>
      <c r="AX57" s="134"/>
    </row>
    <row r="58" spans="2:50" ht="13.2" customHeight="1" x14ac:dyDescent="0.25">
      <c r="B58" s="717" t="s">
        <v>8358</v>
      </c>
      <c r="C58" s="718"/>
      <c r="D58" s="718"/>
      <c r="E58" s="718"/>
      <c r="F58" s="718"/>
      <c r="G58" s="718"/>
      <c r="H58" s="718"/>
      <c r="I58" s="718"/>
      <c r="J58" s="718"/>
      <c r="K58" s="718"/>
      <c r="L58" s="718"/>
      <c r="M58" s="718"/>
      <c r="N58" s="718"/>
      <c r="O58" s="718"/>
      <c r="P58" s="718"/>
      <c r="Q58" s="718"/>
      <c r="R58" s="718"/>
      <c r="S58" s="718"/>
      <c r="T58" s="718"/>
      <c r="U58" s="719"/>
      <c r="W58" s="602" t="s">
        <v>1900</v>
      </c>
      <c r="X58" s="603"/>
      <c r="Y58" s="603"/>
      <c r="Z58" s="603"/>
      <c r="AA58" s="604"/>
      <c r="AB58" s="614"/>
      <c r="AC58" s="615"/>
      <c r="AD58" s="549"/>
      <c r="AE58" s="598">
        <f>(Terre*AH47)+AE56+AB56</f>
        <v>10</v>
      </c>
      <c r="AF58" s="709"/>
      <c r="AG58" s="599"/>
      <c r="AH58" s="598" t="str">
        <f>IF(AND((AB47&gt;AE56),(AB47&lt;=AE58)),"X","")</f>
        <v/>
      </c>
      <c r="AI58" s="599"/>
      <c r="AJ58" s="540"/>
      <c r="AK58" s="37"/>
      <c r="AL58" s="29"/>
      <c r="AM58" s="313" t="s">
        <v>8356</v>
      </c>
      <c r="AN58" s="313"/>
      <c r="AO58" s="313"/>
      <c r="AP58" s="313"/>
      <c r="AQ58" s="313"/>
      <c r="AR58" s="313"/>
      <c r="AS58" s="134"/>
      <c r="AT58" s="134"/>
      <c r="AU58" s="134"/>
      <c r="AV58" s="134"/>
      <c r="AW58" s="134"/>
      <c r="AX58" s="134"/>
    </row>
    <row r="59" spans="2:50" ht="13.2" customHeight="1" x14ac:dyDescent="0.25">
      <c r="B59" s="36" t="s">
        <v>1901</v>
      </c>
      <c r="C59" s="37"/>
      <c r="D59" s="37"/>
      <c r="F59" s="786"/>
      <c r="G59" s="786"/>
      <c r="H59" s="786"/>
      <c r="I59" s="786"/>
      <c r="J59" s="37">
        <f>IF(OR(Calculs!S395&gt;2,Calculs!S403&gt;2),0,-5)</f>
        <v>-5</v>
      </c>
      <c r="K59" s="546" t="s">
        <v>8357</v>
      </c>
      <c r="L59" s="37"/>
      <c r="M59" s="520"/>
      <c r="N59" s="37"/>
      <c r="O59" s="37"/>
      <c r="P59" s="37"/>
      <c r="Q59" s="37"/>
      <c r="R59" s="37"/>
      <c r="S59" s="37"/>
      <c r="T59" s="37"/>
      <c r="U59" s="38"/>
      <c r="W59" s="605" t="s">
        <v>8374</v>
      </c>
      <c r="X59" s="606"/>
      <c r="Y59" s="606"/>
      <c r="Z59" s="606"/>
      <c r="AA59" s="607"/>
      <c r="AB59" s="611" t="str">
        <f>IF(AND(AH49="",AH50="",AH51="",AH52="",AH53="",AH54="",AH56="",AH58=""),"",IF(AH49="X",AM49,(IF(AH50="X",AM50,IF(AH51="X",AM51,(IF(AH52="X",AM52,(IF(AH53="X",AM53,(IF(AH54="X",AM54,(IF(AH56="X",AM56,(IF(AH58="X",AM58,(IF(AB47&gt;AE58,AM59,AM50)))))))))))))))))</f>
        <v/>
      </c>
      <c r="AC59" s="611"/>
      <c r="AD59" s="611"/>
      <c r="AE59" s="611"/>
      <c r="AF59" s="611"/>
      <c r="AG59" s="611"/>
      <c r="AH59" s="611"/>
      <c r="AI59" s="611"/>
      <c r="AJ59" s="542"/>
      <c r="AK59" s="37"/>
      <c r="AL59" s="29"/>
      <c r="AM59" s="313" t="s">
        <v>8355</v>
      </c>
      <c r="AN59" s="313"/>
      <c r="AO59" s="313"/>
      <c r="AP59" s="313"/>
      <c r="AQ59" s="313"/>
      <c r="AR59" s="313"/>
      <c r="AS59" s="562"/>
      <c r="AT59" s="562"/>
      <c r="AU59" s="562"/>
      <c r="AV59" s="134"/>
      <c r="AW59" s="134"/>
      <c r="AX59" s="134"/>
    </row>
    <row r="60" spans="2:50" ht="13.2" customHeight="1" x14ac:dyDescent="0.25">
      <c r="B60" s="778" t="s">
        <v>1902</v>
      </c>
      <c r="C60" s="779"/>
      <c r="D60" s="779"/>
      <c r="E60" s="779"/>
      <c r="F60" s="782" t="str">
        <f>IF(F59="","",IF(F59="Gauche","Droite",IF(F59="Droite","Gauche","")))</f>
        <v/>
      </c>
      <c r="G60" s="782"/>
      <c r="H60" s="782"/>
      <c r="I60" s="782"/>
      <c r="J60" s="704" t="s">
        <v>1905</v>
      </c>
      <c r="K60" s="704"/>
      <c r="L60" s="704"/>
      <c r="M60" s="704"/>
      <c r="N60" s="704"/>
      <c r="O60" s="704"/>
      <c r="P60" s="704"/>
      <c r="Q60" s="704"/>
      <c r="R60" s="704"/>
      <c r="S60" s="704"/>
      <c r="T60" s="704"/>
      <c r="U60" s="705"/>
      <c r="W60" s="608"/>
      <c r="X60" s="609"/>
      <c r="Y60" s="609"/>
      <c r="Z60" s="609"/>
      <c r="AA60" s="610"/>
      <c r="AB60" s="611"/>
      <c r="AC60" s="611"/>
      <c r="AD60" s="611"/>
      <c r="AE60" s="611"/>
      <c r="AF60" s="611"/>
      <c r="AG60" s="611"/>
      <c r="AH60" s="611"/>
      <c r="AI60" s="611"/>
      <c r="AJ60" s="539"/>
      <c r="AL60" s="29"/>
      <c r="AM60" s="313"/>
      <c r="AN60" s="313"/>
      <c r="AO60" s="313"/>
      <c r="AP60" s="313"/>
      <c r="AQ60" s="313"/>
      <c r="AR60" s="313"/>
      <c r="AS60" s="134"/>
      <c r="AT60" s="134"/>
      <c r="AU60" s="134"/>
      <c r="AV60" s="134"/>
      <c r="AW60" s="134"/>
      <c r="AX60" s="134"/>
    </row>
    <row r="61" spans="2:50" ht="4.5" customHeight="1" x14ac:dyDescent="0.25">
      <c r="B61" s="780"/>
      <c r="C61" s="781"/>
      <c r="D61" s="781"/>
      <c r="E61" s="781"/>
      <c r="F61" s="783"/>
      <c r="G61" s="783"/>
      <c r="H61" s="783"/>
      <c r="I61" s="783"/>
      <c r="J61" s="784"/>
      <c r="K61" s="784"/>
      <c r="L61" s="784"/>
      <c r="M61" s="784"/>
      <c r="N61" s="784"/>
      <c r="O61" s="784"/>
      <c r="P61" s="784"/>
      <c r="Q61" s="784"/>
      <c r="R61" s="784"/>
      <c r="S61" s="784"/>
      <c r="T61" s="784"/>
      <c r="U61" s="785"/>
      <c r="AJ61" s="553"/>
      <c r="AM61" s="313"/>
      <c r="AN61" s="313"/>
      <c r="AO61" s="313"/>
      <c r="AP61" s="313"/>
      <c r="AQ61" s="313"/>
      <c r="AR61" s="313"/>
      <c r="AS61" s="134"/>
      <c r="AT61" s="134"/>
      <c r="AU61" s="134"/>
      <c r="AV61" s="134"/>
      <c r="AW61" s="134"/>
      <c r="AX61" s="134"/>
    </row>
    <row r="62" spans="2:50" ht="13.2" customHeight="1" x14ac:dyDescent="0.25">
      <c r="B62" s="547" t="s">
        <v>1903</v>
      </c>
      <c r="C62" s="541"/>
      <c r="D62" s="541"/>
      <c r="E62" s="541"/>
      <c r="F62" s="541"/>
      <c r="G62" s="541"/>
      <c r="H62" s="541"/>
      <c r="I62" s="541"/>
      <c r="J62" s="541" t="s">
        <v>1904</v>
      </c>
      <c r="K62" s="541"/>
      <c r="L62" s="541"/>
      <c r="M62" s="541"/>
      <c r="N62" s="541"/>
      <c r="O62" s="541"/>
      <c r="P62" s="541"/>
      <c r="Q62" s="541"/>
      <c r="R62" s="541"/>
      <c r="S62" s="541"/>
      <c r="T62" s="541"/>
      <c r="U62" s="542"/>
      <c r="W62" s="543" t="s">
        <v>7612</v>
      </c>
      <c r="X62" s="544"/>
      <c r="Y62" s="544"/>
      <c r="Z62" s="544"/>
      <c r="AA62" s="545"/>
      <c r="AB62" s="588" t="str">
        <f>CONCATENATE("Récupération de blessures après ",IF(Avantages!N76=TRUE,4,8),"h de repos:")</f>
        <v>Récupération de blessures après 8h de repos:</v>
      </c>
      <c r="AC62" s="589"/>
      <c r="AD62" s="589"/>
      <c r="AE62" s="589"/>
      <c r="AF62" s="589"/>
      <c r="AG62" s="589"/>
      <c r="AH62" s="590"/>
      <c r="AI62" s="594">
        <f>AL62+AA63+IF(AND(Avantages!N256=TRUE,Avantages!N263=TRUE),2,0)+IF(Avantages!N263=TRUE,2,0)</f>
        <v>5</v>
      </c>
      <c r="AJ62" s="65"/>
      <c r="AL62" s="319">
        <f>(F13*2)+R5</f>
        <v>5</v>
      </c>
      <c r="AM62" s="313"/>
      <c r="AN62" s="313"/>
      <c r="AO62" s="313"/>
      <c r="AP62" s="313"/>
      <c r="AQ62" s="313"/>
      <c r="AR62" s="313"/>
      <c r="AS62" s="134"/>
      <c r="AT62" s="134"/>
      <c r="AU62" s="134"/>
      <c r="AV62" s="134"/>
      <c r="AW62" s="134"/>
      <c r="AX62" s="134"/>
    </row>
    <row r="63" spans="2:50" ht="13.2" customHeight="1" x14ac:dyDescent="0.25">
      <c r="B63" s="235" t="s">
        <v>1906</v>
      </c>
      <c r="C63" s="51"/>
      <c r="D63" s="51"/>
      <c r="E63" s="51"/>
      <c r="F63" s="51"/>
      <c r="G63" s="51"/>
      <c r="H63" s="51"/>
      <c r="I63" s="51"/>
      <c r="J63" s="513">
        <f>R5</f>
        <v>1</v>
      </c>
      <c r="K63" s="746" t="s">
        <v>8010</v>
      </c>
      <c r="L63" s="777"/>
      <c r="M63" s="777"/>
      <c r="N63" s="777"/>
      <c r="O63" s="777"/>
      <c r="P63" s="777"/>
      <c r="Q63" s="39">
        <f>IF(Calculs!S410&gt;2,Force+1,Force)</f>
        <v>2</v>
      </c>
      <c r="R63" s="39" t="s">
        <v>1880</v>
      </c>
      <c r="S63" s="757">
        <f>IF(Calculs!S410&gt;6,2,1)</f>
        <v>1</v>
      </c>
      <c r="T63" s="757"/>
      <c r="U63" s="40"/>
      <c r="W63" s="585" t="s">
        <v>1947</v>
      </c>
      <c r="X63" s="586"/>
      <c r="Y63" s="586"/>
      <c r="Z63" s="587"/>
      <c r="AA63" s="71"/>
      <c r="AB63" s="591"/>
      <c r="AC63" s="592"/>
      <c r="AD63" s="592"/>
      <c r="AE63" s="592"/>
      <c r="AF63" s="592"/>
      <c r="AG63" s="592"/>
      <c r="AH63" s="593"/>
      <c r="AI63" s="595"/>
      <c r="AL63" s="29"/>
      <c r="AM63" s="29"/>
      <c r="AN63" s="29"/>
      <c r="AO63" s="29"/>
      <c r="AP63" s="29"/>
      <c r="AQ63" s="29"/>
    </row>
    <row r="64" spans="2:50" ht="1.95" customHeight="1" x14ac:dyDescent="0.25">
      <c r="AL64" s="29"/>
      <c r="AM64" s="29"/>
      <c r="AN64" s="29"/>
      <c r="AO64" s="29"/>
      <c r="AP64" s="29"/>
      <c r="AQ64" s="29"/>
    </row>
    <row r="65" spans="2:43" ht="11.25" customHeight="1" x14ac:dyDescent="0.25">
      <c r="B65" s="46" t="s">
        <v>7489</v>
      </c>
      <c r="C65" s="46"/>
      <c r="D65" s="46"/>
      <c r="E65" s="46"/>
      <c r="F65" s="46"/>
      <c r="G65" s="46"/>
      <c r="H65" s="46" t="s">
        <v>7488</v>
      </c>
      <c r="I65" s="46"/>
      <c r="J65" s="46"/>
      <c r="K65" s="46"/>
      <c r="L65" s="46"/>
      <c r="M65" s="46"/>
      <c r="N65" s="46"/>
      <c r="O65" s="46"/>
      <c r="P65" s="46"/>
      <c r="Q65" s="46" t="s">
        <v>7490</v>
      </c>
      <c r="R65" s="46"/>
      <c r="S65" s="46"/>
      <c r="T65" s="46"/>
      <c r="U65" s="46"/>
      <c r="V65" s="46"/>
      <c r="AG65" s="45"/>
      <c r="AL65" s="29"/>
      <c r="AM65" s="29"/>
      <c r="AN65" s="29"/>
      <c r="AO65" s="29"/>
      <c r="AP65" s="29"/>
      <c r="AQ65" s="29"/>
    </row>
    <row r="66" spans="2:43" ht="2.25" customHeight="1" x14ac:dyDescent="0.25">
      <c r="W66" s="46"/>
      <c r="X66" s="46"/>
      <c r="Y66" s="46"/>
      <c r="Z66" s="46"/>
      <c r="AA66" s="46"/>
      <c r="AB66" s="46" t="s">
        <v>7491</v>
      </c>
      <c r="AC66" s="46"/>
      <c r="AD66" s="46"/>
      <c r="AE66" s="46"/>
      <c r="AF66" s="45"/>
      <c r="AM66" s="29"/>
      <c r="AN66" s="29"/>
      <c r="AO66" s="29"/>
      <c r="AP66" s="29"/>
      <c r="AQ66" s="29"/>
    </row>
    <row r="67" spans="2:43" x14ac:dyDescent="0.25">
      <c r="AM67" s="29"/>
      <c r="AN67" s="29"/>
      <c r="AO67" s="29"/>
      <c r="AP67" s="29"/>
      <c r="AQ67" s="29"/>
    </row>
    <row r="68" spans="2:43" x14ac:dyDescent="0.25">
      <c r="AM68" s="29"/>
      <c r="AN68" s="29"/>
      <c r="AO68" s="29"/>
      <c r="AP68" s="29"/>
      <c r="AQ68" s="29"/>
    </row>
    <row r="69" spans="2:43" x14ac:dyDescent="0.25">
      <c r="AM69" s="29"/>
      <c r="AN69" s="29"/>
      <c r="AO69" s="29"/>
      <c r="AP69" s="29"/>
      <c r="AQ69" s="29"/>
    </row>
  </sheetData>
  <mergeCells count="245">
    <mergeCell ref="S63:T63"/>
    <mergeCell ref="B43:E43"/>
    <mergeCell ref="J52:N56"/>
    <mergeCell ref="B52:E56"/>
    <mergeCell ref="B48:E48"/>
    <mergeCell ref="B47:E47"/>
    <mergeCell ref="B51:E51"/>
    <mergeCell ref="J49:M50"/>
    <mergeCell ref="N49:N50"/>
    <mergeCell ref="L48:M48"/>
    <mergeCell ref="B49:E50"/>
    <mergeCell ref="K63:P63"/>
    <mergeCell ref="O47:U47"/>
    <mergeCell ref="B60:E61"/>
    <mergeCell ref="F60:I61"/>
    <mergeCell ref="J60:U61"/>
    <mergeCell ref="F59:I59"/>
    <mergeCell ref="AO22:AO27"/>
    <mergeCell ref="AM19:AM27"/>
    <mergeCell ref="O52:Q52"/>
    <mergeCell ref="O53:Q53"/>
    <mergeCell ref="U27:W27"/>
    <mergeCell ref="M40:R40"/>
    <mergeCell ref="M41:R41"/>
    <mergeCell ref="AN19:AN27"/>
    <mergeCell ref="Z20:AA20"/>
    <mergeCell ref="W25:AC25"/>
    <mergeCell ref="Y27:AF27"/>
    <mergeCell ref="Y28:AF28"/>
    <mergeCell ref="AB20:AD20"/>
    <mergeCell ref="AE20:AI20"/>
    <mergeCell ref="AH27:AJ27"/>
    <mergeCell ref="Y30:AF30"/>
    <mergeCell ref="M29:R29"/>
    <mergeCell ref="M30:R30"/>
    <mergeCell ref="M34:R34"/>
    <mergeCell ref="M35:R35"/>
    <mergeCell ref="M42:R42"/>
    <mergeCell ref="AE47:AG47"/>
    <mergeCell ref="Y44:AF44"/>
    <mergeCell ref="AE49:AG49"/>
    <mergeCell ref="I42:K42"/>
    <mergeCell ref="F49:H50"/>
    <mergeCell ref="I49:I50"/>
    <mergeCell ref="O50:Q50"/>
    <mergeCell ref="S25:T25"/>
    <mergeCell ref="I25:R25"/>
    <mergeCell ref="B41:E41"/>
    <mergeCell ref="B42:E42"/>
    <mergeCell ref="B33:E33"/>
    <mergeCell ref="B30:E30"/>
    <mergeCell ref="B44:E44"/>
    <mergeCell ref="M44:R44"/>
    <mergeCell ref="B38:E38"/>
    <mergeCell ref="B34:E34"/>
    <mergeCell ref="M27:R27"/>
    <mergeCell ref="B28:E28"/>
    <mergeCell ref="B32:E32"/>
    <mergeCell ref="B27:E27"/>
    <mergeCell ref="B25:F25"/>
    <mergeCell ref="I27:K27"/>
    <mergeCell ref="B39:E39"/>
    <mergeCell ref="B40:E40"/>
    <mergeCell ref="B37:E37"/>
    <mergeCell ref="I37:K37"/>
    <mergeCell ref="W57:AA57"/>
    <mergeCell ref="B58:U58"/>
    <mergeCell ref="W56:AA56"/>
    <mergeCell ref="F51:I51"/>
    <mergeCell ref="F47:I47"/>
    <mergeCell ref="J51:N51"/>
    <mergeCell ref="W47:AA47"/>
    <mergeCell ref="W52:AA52"/>
    <mergeCell ref="F52:I56"/>
    <mergeCell ref="O51:Q51"/>
    <mergeCell ref="O54:Q54"/>
    <mergeCell ref="O55:Q55"/>
    <mergeCell ref="O56:Q56"/>
    <mergeCell ref="W48:AA48"/>
    <mergeCell ref="W58:AA58"/>
    <mergeCell ref="W53:AA53"/>
    <mergeCell ref="O48:Q48"/>
    <mergeCell ref="R48:T48"/>
    <mergeCell ref="O49:Q49"/>
    <mergeCell ref="J47:N47"/>
    <mergeCell ref="AP21:AP27"/>
    <mergeCell ref="M39:R39"/>
    <mergeCell ref="I44:K44"/>
    <mergeCell ref="I39:K39"/>
    <mergeCell ref="I40:K40"/>
    <mergeCell ref="I43:K43"/>
    <mergeCell ref="M43:R43"/>
    <mergeCell ref="Y40:AF40"/>
    <mergeCell ref="Y41:AF41"/>
    <mergeCell ref="AL22:AL27"/>
    <mergeCell ref="G23:J24"/>
    <mergeCell ref="I33:K33"/>
    <mergeCell ref="I41:K41"/>
    <mergeCell ref="Y42:AF42"/>
    <mergeCell ref="Y43:AF43"/>
    <mergeCell ref="M33:R33"/>
    <mergeCell ref="M32:R32"/>
    <mergeCell ref="I34:K34"/>
    <mergeCell ref="M31:R31"/>
    <mergeCell ref="AE22:AF22"/>
    <mergeCell ref="I30:K30"/>
    <mergeCell ref="I31:K31"/>
    <mergeCell ref="I32:K32"/>
    <mergeCell ref="M28:R28"/>
    <mergeCell ref="W12:Z12"/>
    <mergeCell ref="AF14:AH14"/>
    <mergeCell ref="W19:AI19"/>
    <mergeCell ref="W55:AA55"/>
    <mergeCell ref="W54:AA54"/>
    <mergeCell ref="W49:AA49"/>
    <mergeCell ref="W50:AA50"/>
    <mergeCell ref="AE56:AG57"/>
    <mergeCell ref="AH58:AI58"/>
    <mergeCell ref="AH52:AI52"/>
    <mergeCell ref="AH53:AI53"/>
    <mergeCell ref="AE58:AG58"/>
    <mergeCell ref="AE51:AG51"/>
    <mergeCell ref="AE52:AG52"/>
    <mergeCell ref="AE50:AG50"/>
    <mergeCell ref="AE53:AG53"/>
    <mergeCell ref="AE54:AG55"/>
    <mergeCell ref="Y31:AF31"/>
    <mergeCell ref="Y32:AF32"/>
    <mergeCell ref="AB22:AD22"/>
    <mergeCell ref="W20:Y20"/>
    <mergeCell ref="Z21:AA21"/>
    <mergeCell ref="W22:X22"/>
    <mergeCell ref="Y34:AF34"/>
    <mergeCell ref="M37:R37"/>
    <mergeCell ref="M38:R38"/>
    <mergeCell ref="I38:K38"/>
    <mergeCell ref="B36:E36"/>
    <mergeCell ref="J4:U4"/>
    <mergeCell ref="L3:U3"/>
    <mergeCell ref="E8:G8"/>
    <mergeCell ref="J8:K8"/>
    <mergeCell ref="O8:R8"/>
    <mergeCell ref="O7:R7"/>
    <mergeCell ref="H19:I19"/>
    <mergeCell ref="G11:H11"/>
    <mergeCell ref="J11:K11"/>
    <mergeCell ref="H8:I8"/>
    <mergeCell ref="M19:U19"/>
    <mergeCell ref="N5:Q5"/>
    <mergeCell ref="R5:T5"/>
    <mergeCell ref="L7:M7"/>
    <mergeCell ref="B9:L9"/>
    <mergeCell ref="L8:M8"/>
    <mergeCell ref="C3:I3"/>
    <mergeCell ref="D4:G4"/>
    <mergeCell ref="H4:I4"/>
    <mergeCell ref="S8:U8"/>
    <mergeCell ref="I36:K36"/>
    <mergeCell ref="Y29:AF29"/>
    <mergeCell ref="Y33:AF33"/>
    <mergeCell ref="W15:X17"/>
    <mergeCell ref="Y15:AI17"/>
    <mergeCell ref="AF13:AH13"/>
    <mergeCell ref="B31:E31"/>
    <mergeCell ref="W21:Y21"/>
    <mergeCell ref="I28:K28"/>
    <mergeCell ref="I29:K29"/>
    <mergeCell ref="AH31:AI31"/>
    <mergeCell ref="AG22:AH22"/>
    <mergeCell ref="AB21:AD21"/>
    <mergeCell ref="M20:U23"/>
    <mergeCell ref="B35:E35"/>
    <mergeCell ref="Y35:AF35"/>
    <mergeCell ref="Y36:AF36"/>
    <mergeCell ref="M36:R36"/>
    <mergeCell ref="I35:K35"/>
    <mergeCell ref="W2:Z2"/>
    <mergeCell ref="AA2:AI2"/>
    <mergeCell ref="D2:H2"/>
    <mergeCell ref="J7:K7"/>
    <mergeCell ref="F7:G7"/>
    <mergeCell ref="B5:E5"/>
    <mergeCell ref="M9:N9"/>
    <mergeCell ref="P9:R9"/>
    <mergeCell ref="B29:E29"/>
    <mergeCell ref="AF10:AG10"/>
    <mergeCell ref="AE21:AI21"/>
    <mergeCell ref="W10:AE10"/>
    <mergeCell ref="B7:C7"/>
    <mergeCell ref="I2:U2"/>
    <mergeCell ref="L5:M5"/>
    <mergeCell ref="H5:K5"/>
    <mergeCell ref="S7:T7"/>
    <mergeCell ref="W3:AI9"/>
    <mergeCell ref="AB12:AH12"/>
    <mergeCell ref="B22:D22"/>
    <mergeCell ref="W13:AA13"/>
    <mergeCell ref="W14:X14"/>
    <mergeCell ref="Y14:AE14"/>
    <mergeCell ref="AB13:AE13"/>
    <mergeCell ref="AH43:AI43"/>
    <mergeCell ref="AH44:AI44"/>
    <mergeCell ref="AB47:AD47"/>
    <mergeCell ref="AH28:AI28"/>
    <mergeCell ref="AH29:AI29"/>
    <mergeCell ref="AH41:AI41"/>
    <mergeCell ref="AH42:AI42"/>
    <mergeCell ref="AH30:AI30"/>
    <mergeCell ref="AH47:AI47"/>
    <mergeCell ref="AH32:AI32"/>
    <mergeCell ref="AH33:AI33"/>
    <mergeCell ref="AH34:AI34"/>
    <mergeCell ref="Y39:AF39"/>
    <mergeCell ref="AH40:AI40"/>
    <mergeCell ref="AH38:AI38"/>
    <mergeCell ref="AH39:AI39"/>
    <mergeCell ref="AH35:AI35"/>
    <mergeCell ref="AH36:AI36"/>
    <mergeCell ref="AH37:AI37"/>
    <mergeCell ref="Y38:AF38"/>
    <mergeCell ref="Y37:AF37"/>
    <mergeCell ref="AB48:AC48"/>
    <mergeCell ref="AD54:AD55"/>
    <mergeCell ref="AD56:AD57"/>
    <mergeCell ref="W63:Z63"/>
    <mergeCell ref="AB62:AH63"/>
    <mergeCell ref="AI62:AI63"/>
    <mergeCell ref="AH51:AI51"/>
    <mergeCell ref="AH54:AI55"/>
    <mergeCell ref="AH56:AI57"/>
    <mergeCell ref="W51:AA51"/>
    <mergeCell ref="AH49:AI49"/>
    <mergeCell ref="AH50:AI50"/>
    <mergeCell ref="W59:AA60"/>
    <mergeCell ref="AB59:AI60"/>
    <mergeCell ref="AB49:AC49"/>
    <mergeCell ref="AB50:AC50"/>
    <mergeCell ref="AB51:AC51"/>
    <mergeCell ref="AB52:AC52"/>
    <mergeCell ref="AB53:AC53"/>
    <mergeCell ref="AB54:AC55"/>
    <mergeCell ref="AB56:AC57"/>
    <mergeCell ref="AB58:AC58"/>
    <mergeCell ref="AE48:AG48"/>
    <mergeCell ref="AH48:AI48"/>
  </mergeCells>
  <conditionalFormatting sqref="D4 B28:C44 G28:G44 AB49:AB54 AB58">
    <cfRule type="cellIs" dxfId="125" priority="64" operator="equal">
      <formula>""</formula>
    </cfRule>
  </conditionalFormatting>
  <conditionalFormatting sqref="C3">
    <cfRule type="cellIs" dxfId="124" priority="63" operator="equal">
      <formula>""</formula>
    </cfRule>
  </conditionalFormatting>
  <conditionalFormatting sqref="J4">
    <cfRule type="cellIs" dxfId="123" priority="61" operator="equal">
      <formula>""</formula>
    </cfRule>
  </conditionalFormatting>
  <conditionalFormatting sqref="D14">
    <cfRule type="cellIs" dxfId="122" priority="54" operator="equal">
      <formula>""</formula>
    </cfRule>
  </conditionalFormatting>
  <conditionalFormatting sqref="N13">
    <cfRule type="cellIs" dxfId="121" priority="59" operator="equal">
      <formula>""</formula>
    </cfRule>
  </conditionalFormatting>
  <conditionalFormatting sqref="O14">
    <cfRule type="cellIs" dxfId="120" priority="58" operator="equal">
      <formula>""</formula>
    </cfRule>
  </conditionalFormatting>
  <conditionalFormatting sqref="O16">
    <cfRule type="cellIs" dxfId="119" priority="57" operator="equal">
      <formula>""</formula>
    </cfRule>
  </conditionalFormatting>
  <conditionalFormatting sqref="N17">
    <cfRule type="cellIs" dxfId="118" priority="56" operator="equal">
      <formula>""</formula>
    </cfRule>
  </conditionalFormatting>
  <conditionalFormatting sqref="E13">
    <cfRule type="cellIs" dxfId="117" priority="55" operator="equal">
      <formula>""</formula>
    </cfRule>
  </conditionalFormatting>
  <conditionalFormatting sqref="C16">
    <cfRule type="cellIs" dxfId="116" priority="53" operator="equal">
      <formula>""</formula>
    </cfRule>
  </conditionalFormatting>
  <conditionalFormatting sqref="D17">
    <cfRule type="cellIs" dxfId="115" priority="52" operator="equal">
      <formula>""</formula>
    </cfRule>
  </conditionalFormatting>
  <conditionalFormatting sqref="D7">
    <cfRule type="cellIs" dxfId="114" priority="51" operator="equal">
      <formula>""</formula>
    </cfRule>
  </conditionalFormatting>
  <conditionalFormatting sqref="H7">
    <cfRule type="cellIs" dxfId="113" priority="50" operator="equal">
      <formula>""</formula>
    </cfRule>
  </conditionalFormatting>
  <conditionalFormatting sqref="E22">
    <cfRule type="cellIs" dxfId="112" priority="49" operator="equal">
      <formula>""</formula>
    </cfRule>
  </conditionalFormatting>
  <conditionalFormatting sqref="L7">
    <cfRule type="cellIs" dxfId="111" priority="48" operator="equal">
      <formula>""</formula>
    </cfRule>
  </conditionalFormatting>
  <conditionalFormatting sqref="F5">
    <cfRule type="cellIs" dxfId="110" priority="47" operator="equal">
      <formula>""</formula>
    </cfRule>
  </conditionalFormatting>
  <conditionalFormatting sqref="D2">
    <cfRule type="cellIs" dxfId="109" priority="46" operator="equal">
      <formula>""</formula>
    </cfRule>
  </conditionalFormatting>
  <conditionalFormatting sqref="I28">
    <cfRule type="cellIs" dxfId="108" priority="44" operator="equal">
      <formula>""</formula>
    </cfRule>
  </conditionalFormatting>
  <conditionalFormatting sqref="L3">
    <cfRule type="cellIs" dxfId="107" priority="43" operator="equal">
      <formula>""</formula>
    </cfRule>
  </conditionalFormatting>
  <conditionalFormatting sqref="AH47 AB47">
    <cfRule type="cellIs" dxfId="106" priority="42" operator="equal">
      <formula>""</formula>
    </cfRule>
  </conditionalFormatting>
  <conditionalFormatting sqref="AA63">
    <cfRule type="cellIs" dxfId="105" priority="41" operator="equal">
      <formula>""</formula>
    </cfRule>
  </conditionalFormatting>
  <conditionalFormatting sqref="M9">
    <cfRule type="cellIs" dxfId="104" priority="40" operator="equal">
      <formula>""</formula>
    </cfRule>
  </conditionalFormatting>
  <conditionalFormatting sqref="P9">
    <cfRule type="cellIs" dxfId="103" priority="39" operator="equal">
      <formula>""</formula>
    </cfRule>
  </conditionalFormatting>
  <conditionalFormatting sqref="U49:U56">
    <cfRule type="cellIs" dxfId="102" priority="38" operator="equal">
      <formula>""</formula>
    </cfRule>
  </conditionalFormatting>
  <conditionalFormatting sqref="O49:O56">
    <cfRule type="cellIs" dxfId="101" priority="37" operator="equal">
      <formula>""</formula>
    </cfRule>
  </conditionalFormatting>
  <conditionalFormatting sqref="L8">
    <cfRule type="cellIs" dxfId="100" priority="36" operator="equal">
      <formula>""</formula>
    </cfRule>
  </conditionalFormatting>
  <conditionalFormatting sqref="G25">
    <cfRule type="cellIs" dxfId="99" priority="35" operator="equal">
      <formula>""</formula>
    </cfRule>
  </conditionalFormatting>
  <conditionalFormatting sqref="AB56">
    <cfRule type="cellIs" dxfId="98" priority="34" operator="equal">
      <formula>""</formula>
    </cfRule>
  </conditionalFormatting>
  <conditionalFormatting sqref="F59">
    <cfRule type="cellIs" dxfId="97" priority="32" operator="equal">
      <formula>""</formula>
    </cfRule>
  </conditionalFormatting>
  <conditionalFormatting sqref="D8">
    <cfRule type="cellIs" dxfId="96" priority="31" operator="equal">
      <formula>""</formula>
    </cfRule>
  </conditionalFormatting>
  <conditionalFormatting sqref="I2">
    <cfRule type="cellIs" dxfId="95" priority="30" operator="equal">
      <formula>""</formula>
    </cfRule>
  </conditionalFormatting>
  <conditionalFormatting sqref="I34">
    <cfRule type="cellIs" dxfId="94" priority="15" operator="equal">
      <formula>""</formula>
    </cfRule>
  </conditionalFormatting>
  <conditionalFormatting sqref="S7">
    <cfRule type="cellIs" dxfId="93" priority="25" operator="equal">
      <formula>""</formula>
    </cfRule>
  </conditionalFormatting>
  <conditionalFormatting sqref="Y14">
    <cfRule type="cellIs" dxfId="92" priority="24" operator="equal">
      <formula>""</formula>
    </cfRule>
  </conditionalFormatting>
  <conditionalFormatting sqref="AD25">
    <cfRule type="cellIs" dxfId="91" priority="23" operator="equal">
      <formula>""</formula>
    </cfRule>
  </conditionalFormatting>
  <conditionalFormatting sqref="AF25">
    <cfRule type="cellIs" dxfId="90" priority="22" operator="equal">
      <formula>""</formula>
    </cfRule>
  </conditionalFormatting>
  <conditionalFormatting sqref="F47:G47 J47">
    <cfRule type="cellIs" dxfId="89" priority="21" operator="equal">
      <formula>""</formula>
    </cfRule>
  </conditionalFormatting>
  <conditionalFormatting sqref="I29">
    <cfRule type="cellIs" dxfId="88" priority="20" operator="equal">
      <formula>""</formula>
    </cfRule>
  </conditionalFormatting>
  <conditionalFormatting sqref="I30">
    <cfRule type="cellIs" dxfId="87" priority="19" operator="equal">
      <formula>""</formula>
    </cfRule>
  </conditionalFormatting>
  <conditionalFormatting sqref="I31">
    <cfRule type="cellIs" dxfId="86" priority="18" operator="equal">
      <formula>""</formula>
    </cfRule>
  </conditionalFormatting>
  <conditionalFormatting sqref="I32">
    <cfRule type="cellIs" dxfId="85" priority="17" operator="equal">
      <formula>""</formula>
    </cfRule>
  </conditionalFormatting>
  <conditionalFormatting sqref="I33">
    <cfRule type="cellIs" dxfId="84" priority="16" operator="equal">
      <formula>""</formula>
    </cfRule>
  </conditionalFormatting>
  <conditionalFormatting sqref="I35">
    <cfRule type="cellIs" dxfId="83" priority="14" operator="equal">
      <formula>""</formula>
    </cfRule>
  </conditionalFormatting>
  <conditionalFormatting sqref="I36">
    <cfRule type="cellIs" dxfId="82" priority="13" operator="equal">
      <formula>""</formula>
    </cfRule>
  </conditionalFormatting>
  <conditionalFormatting sqref="I37">
    <cfRule type="cellIs" dxfId="81" priority="12" operator="equal">
      <formula>""</formula>
    </cfRule>
  </conditionalFormatting>
  <conditionalFormatting sqref="I38">
    <cfRule type="cellIs" dxfId="80" priority="11" operator="equal">
      <formula>""</formula>
    </cfRule>
  </conditionalFormatting>
  <conditionalFormatting sqref="I39">
    <cfRule type="cellIs" dxfId="79" priority="10" operator="equal">
      <formula>""</formula>
    </cfRule>
  </conditionalFormatting>
  <conditionalFormatting sqref="I40">
    <cfRule type="cellIs" dxfId="78" priority="9" operator="equal">
      <formula>""</formula>
    </cfRule>
  </conditionalFormatting>
  <conditionalFormatting sqref="I41">
    <cfRule type="cellIs" dxfId="77" priority="8" operator="equal">
      <formula>""</formula>
    </cfRule>
  </conditionalFormatting>
  <conditionalFormatting sqref="I42">
    <cfRule type="cellIs" dxfId="76" priority="7" operator="equal">
      <formula>""</formula>
    </cfRule>
  </conditionalFormatting>
  <conditionalFormatting sqref="I43">
    <cfRule type="cellIs" dxfId="75" priority="6" operator="equal">
      <formula>""</formula>
    </cfRule>
  </conditionalFormatting>
  <conditionalFormatting sqref="I44">
    <cfRule type="cellIs" dxfId="74" priority="5" operator="equal">
      <formula>""</formula>
    </cfRule>
  </conditionalFormatting>
  <conditionalFormatting sqref="AA2">
    <cfRule type="cellIs" dxfId="73" priority="4" operator="equal">
      <formula>""</formula>
    </cfRule>
  </conditionalFormatting>
  <conditionalFormatting sqref="AD50:AD54 AD56 AD58">
    <cfRule type="cellIs" dxfId="72" priority="3" operator="equal">
      <formula>""</formula>
    </cfRule>
  </conditionalFormatting>
  <conditionalFormatting sqref="AD49">
    <cfRule type="cellIs" dxfId="71" priority="2" operator="equal">
      <formula>""</formula>
    </cfRule>
  </conditionalFormatting>
  <conditionalFormatting sqref="S8">
    <cfRule type="cellIs" dxfId="70" priority="1" operator="equal">
      <formula>""</formula>
    </cfRule>
  </conditionalFormatting>
  <dataValidations count="15">
    <dataValidation type="list" allowBlank="1" showInputMessage="1" showErrorMessage="1" sqref="D2:H2" xr:uid="{00000000-0002-0000-0000-000000000000}">
      <formula1>Familles</formula1>
    </dataValidation>
    <dataValidation type="list" allowBlank="1" showInputMessage="1" showErrorMessage="1" sqref="C3" xr:uid="{00000000-0002-0000-0000-000001000000}">
      <formula1>Clans</formula1>
    </dataValidation>
    <dataValidation type="whole" allowBlank="1" showInputMessage="1" showErrorMessage="1" sqref="G5" xr:uid="{00000000-0002-0000-0000-000002000000}">
      <formula1>1</formula1>
      <formula2>10</formula2>
    </dataValidation>
    <dataValidation type="whole" operator="greaterThan" allowBlank="1" showInputMessage="1" showErrorMessage="1" sqref="D18 E23 N18 U49:U56 S9" xr:uid="{00000000-0002-0000-0000-000003000000}">
      <formula1>0</formula1>
    </dataValidation>
    <dataValidation type="list" allowBlank="1" showInputMessage="1" showErrorMessage="1" sqref="O49:Q56" xr:uid="{00000000-0002-0000-0000-000004000000}">
      <formula1>Types_de_flèches</formula1>
    </dataValidation>
    <dataValidation type="list" allowBlank="1" showInputMessage="1" showErrorMessage="1" sqref="I28:K44" xr:uid="{00000000-0002-0000-0000-000006000000}">
      <formula1>$AT28:$BJ28</formula1>
    </dataValidation>
    <dataValidation type="list" allowBlank="1" showInputMessage="1" showErrorMessage="1" sqref="Y14" xr:uid="{00000000-0002-0000-0000-000007000000}">
      <formula1>A</formula1>
    </dataValidation>
    <dataValidation type="list" allowBlank="1" showInputMessage="1" showErrorMessage="1" sqref="C28:E45 B28:B44" xr:uid="{00000000-0002-0000-0000-000008000000}">
      <formula1>Compétences</formula1>
    </dataValidation>
    <dataValidation type="list" allowBlank="1" showInputMessage="1" showErrorMessage="1" sqref="F59" xr:uid="{00000000-0002-0000-0000-000009000000}">
      <formula1>Gauche_Droite</formula1>
    </dataValidation>
    <dataValidation type="list" allowBlank="1" showInputMessage="1" showErrorMessage="1" sqref="F47:J47" xr:uid="{00000000-0002-0000-0000-00000A000000}">
      <formula1>Armes</formula1>
    </dataValidation>
    <dataValidation type="whole" operator="greaterThan" allowBlank="1" showInputMessage="1" showErrorMessage="1" sqref="AA63 AB58 AB56 AB49:AB54 AD49:AD54 AD56 AD58" xr:uid="{00000000-0002-0000-0000-00000B000000}">
      <formula1>-10</formula1>
    </dataValidation>
    <dataValidation type="list" allowBlank="1" showInputMessage="1" showErrorMessage="1" sqref="AA2" xr:uid="{00000000-0002-0000-0000-00000C000000}">
      <formula1>Contexte</formula1>
    </dataValidation>
    <dataValidation type="list" operator="greaterThan" allowBlank="1" showInputMessage="1" showErrorMessage="1" sqref="F5" xr:uid="{00000000-0002-0000-0000-00000D000000}">
      <formula1>Numéros</formula1>
    </dataValidation>
    <dataValidation type="whole" operator="greaterThan" allowBlank="1" showInputMessage="1" showErrorMessage="1" sqref="AB47:AD47 L7:M7 D7 H7 L7:M7 L8:M8 S8:U8 S7:T7 D8 M9:N9 P9:R9 E13 D14 C16 D17 E22 G25 N17 O16 O14 N13" xr:uid="{00000000-0002-0000-0000-00000E000000}">
      <formula1>-1</formula1>
    </dataValidation>
    <dataValidation type="list" allowBlank="1" showInputMessage="1" showErrorMessage="1" sqref="AH49:AI58" xr:uid="{86CC764B-7335-4A2D-891D-8A9BEA9EECE6}">
      <formula1>XO</formula1>
    </dataValidation>
  </dataValidations>
  <pageMargins left="0.11811023622047245" right="0.11811023622047245" top="0.15748031496062992" bottom="0.15748031496062992" header="0.31496062992125984" footer="0.31496062992125984"/>
  <pageSetup paperSize="9" orientation="portrait" r:id="rId1"/>
  <ignoredErrors>
    <ignoredError sqref="AD25 AF25" unlockedFormula="1"/>
  </ignoredErrors>
  <drawing r:id="rId2"/>
  <legacyDrawing r:id="rId3"/>
  <oleObjects>
    <mc:AlternateContent xmlns:mc="http://schemas.openxmlformats.org/markup-compatibility/2006">
      <mc:Choice Requires="x14">
        <oleObject progId="Photoshop.Image.7" shapeId="1030" r:id="rId4">
          <objectPr defaultSize="0" autoPict="0" r:id="rId5">
            <anchor moveWithCells="1">
              <from>
                <xdr:col>6</xdr:col>
                <xdr:colOff>7620</xdr:colOff>
                <xdr:row>11</xdr:row>
                <xdr:rowOff>30480</xdr:rowOff>
              </from>
              <to>
                <xdr:col>8</xdr:col>
                <xdr:colOff>99060</xdr:colOff>
                <xdr:row>14</xdr:row>
                <xdr:rowOff>144780</xdr:rowOff>
              </to>
            </anchor>
          </objectPr>
        </oleObject>
      </mc:Choice>
      <mc:Fallback>
        <oleObject progId="Photoshop.Image.7" shapeId="1030" r:id="rId4"/>
      </mc:Fallback>
    </mc:AlternateContent>
    <mc:AlternateContent xmlns:mc="http://schemas.openxmlformats.org/markup-compatibility/2006">
      <mc:Choice Requires="x14">
        <oleObject progId="Photoshop.Image.7" shapeId="1032" r:id="rId6">
          <objectPr defaultSize="0" autoPict="0" r:id="rId7">
            <anchor moveWithCells="1">
              <from>
                <xdr:col>8</xdr:col>
                <xdr:colOff>99060</xdr:colOff>
                <xdr:row>11</xdr:row>
                <xdr:rowOff>30480</xdr:rowOff>
              </from>
              <to>
                <xdr:col>10</xdr:col>
                <xdr:colOff>251460</xdr:colOff>
                <xdr:row>14</xdr:row>
                <xdr:rowOff>144780</xdr:rowOff>
              </to>
            </anchor>
          </objectPr>
        </oleObject>
      </mc:Choice>
      <mc:Fallback>
        <oleObject progId="Photoshop.Image.7" shapeId="1032" r:id="rId6"/>
      </mc:Fallback>
    </mc:AlternateContent>
    <mc:AlternateContent xmlns:mc="http://schemas.openxmlformats.org/markup-compatibility/2006">
      <mc:Choice Requires="x14">
        <oleObject progId="Photoshop.Image.7" shapeId="1034" r:id="rId8">
          <objectPr defaultSize="0" autoPict="0" r:id="rId9">
            <anchor moveWithCells="1">
              <from>
                <xdr:col>5</xdr:col>
                <xdr:colOff>7620</xdr:colOff>
                <xdr:row>14</xdr:row>
                <xdr:rowOff>144780</xdr:rowOff>
              </from>
              <to>
                <xdr:col>6</xdr:col>
                <xdr:colOff>297180</xdr:colOff>
                <xdr:row>19</xdr:row>
                <xdr:rowOff>7620</xdr:rowOff>
              </to>
            </anchor>
          </objectPr>
        </oleObject>
      </mc:Choice>
      <mc:Fallback>
        <oleObject progId="Photoshop.Image.7" shapeId="1034" r:id="rId8"/>
      </mc:Fallback>
    </mc:AlternateContent>
    <mc:AlternateContent xmlns:mc="http://schemas.openxmlformats.org/markup-compatibility/2006">
      <mc:Choice Requires="x14">
        <oleObject progId="Photoshop.Image.7" shapeId="1035" r:id="rId10">
          <objectPr defaultSize="0" autoPict="0" r:id="rId11">
            <anchor moveWithCells="1">
              <from>
                <xdr:col>9</xdr:col>
                <xdr:colOff>30480</xdr:colOff>
                <xdr:row>15</xdr:row>
                <xdr:rowOff>22860</xdr:rowOff>
              </from>
              <to>
                <xdr:col>11</xdr:col>
                <xdr:colOff>0</xdr:colOff>
                <xdr:row>19</xdr:row>
                <xdr:rowOff>22860</xdr:rowOff>
              </to>
            </anchor>
          </objectPr>
        </oleObject>
      </mc:Choice>
      <mc:Fallback>
        <oleObject progId="Photoshop.Image.7" shapeId="1035" r:id="rId10"/>
      </mc:Fallback>
    </mc:AlternateContent>
    <mc:AlternateContent xmlns:mc="http://schemas.openxmlformats.org/markup-compatibility/2006">
      <mc:Choice Requires="x14">
        <oleObject progId="Photoshop.Image.7" shapeId="1036" r:id="rId12">
          <objectPr defaultSize="0" autoPict="0" r:id="rId13">
            <anchor moveWithCells="1">
              <from>
                <xdr:col>6</xdr:col>
                <xdr:colOff>220980</xdr:colOff>
                <xdr:row>19</xdr:row>
                <xdr:rowOff>7620</xdr:rowOff>
              </from>
              <to>
                <xdr:col>9</xdr:col>
                <xdr:colOff>60960</xdr:colOff>
                <xdr:row>22</xdr:row>
                <xdr:rowOff>45720</xdr:rowOff>
              </to>
            </anchor>
          </objectPr>
        </oleObject>
      </mc:Choice>
      <mc:Fallback>
        <oleObject progId="Photoshop.Image.7" shapeId="1036" r:id="rId12"/>
      </mc:Fallback>
    </mc:AlternateContent>
    <mc:AlternateContent xmlns:mc="http://schemas.openxmlformats.org/markup-compatibility/2006">
      <mc:Choice Requires="x14">
        <oleObject progId="Photoshop.Image.7" shapeId="1048" r:id="rId14">
          <objectPr defaultSize="0" autoPict="0" r:id="rId15">
            <anchor moveWithCells="1">
              <from>
                <xdr:col>23</xdr:col>
                <xdr:colOff>0</xdr:colOff>
                <xdr:row>2</xdr:row>
                <xdr:rowOff>45720</xdr:rowOff>
              </from>
              <to>
                <xdr:col>34</xdr:col>
                <xdr:colOff>7620</xdr:colOff>
                <xdr:row>8</xdr:row>
                <xdr:rowOff>175260</xdr:rowOff>
              </to>
            </anchor>
          </objectPr>
        </oleObject>
      </mc:Choice>
      <mc:Fallback>
        <oleObject progId="Photoshop.Image.7" shapeId="1048" r:id="rId14"/>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F000000}">
          <x14:formula1>
            <xm:f>Tableaux!$A$4:$A$7</xm:f>
          </x14:formula1>
          <xm:sqref>AH47</xm:sqref>
        </x14:dataValidation>
        <x14:dataValidation type="list" allowBlank="1" showInputMessage="1" showErrorMessage="1" xr:uid="{00000000-0002-0000-0000-000010000000}">
          <x14:formula1>
            <xm:f>Tableaux!$A$3:$A$12</xm:f>
          </x14:formula1>
          <xm:sqref>G28:G45</xm:sqref>
        </x14:dataValidation>
        <x14:dataValidation type="list" allowBlank="1" showInputMessage="1" showErrorMessage="1" xr:uid="{00000000-0002-0000-0000-000005000000}">
          <x14:formula1>
            <xm:f>OFFSET(Ecoles!$V2:$V241,0,0,COUNT(Ecoles!$U:$U))</xm:f>
          </x14:formula1>
          <xm:sqref>J4:U4</xm:sqref>
        </x14:dataValidation>
        <x14:dataValidation type="list" allowBlank="1" showInputMessage="1" showErrorMessage="1" xr:uid="{E988F655-5090-40AE-8A84-A1E9AE20B289}">
          <x14:formula1>
            <xm:f>OFFSET(Familles!$K2:$K167,0,0,COUNT(Familles!$J:$J))</xm:f>
          </x14:formula1>
          <xm:sqref>D4:G4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13"/>
  <sheetViews>
    <sheetView workbookViewId="0">
      <pane xSplit="2" ySplit="1" topLeftCell="D2" activePane="bottomRight" state="frozen"/>
      <selection pane="topRight" activeCell="C1" sqref="C1"/>
      <selection pane="bottomLeft" activeCell="A2" sqref="A2"/>
      <selection pane="bottomRight"/>
    </sheetView>
  </sheetViews>
  <sheetFormatPr baseColWidth="10" defaultRowHeight="13.2" x14ac:dyDescent="0.25"/>
  <cols>
    <col min="1" max="1" width="31" style="196" customWidth="1"/>
    <col min="2" max="2" width="34.33203125" style="185" hidden="1" customWidth="1"/>
    <col min="3" max="3" width="12.109375" style="4" customWidth="1"/>
    <col min="4" max="4" width="5.33203125" style="183" customWidth="1"/>
    <col min="5" max="5" width="11.6640625" style="4" customWidth="1"/>
    <col min="6" max="6" width="4.109375" style="4" customWidth="1"/>
    <col min="7" max="7" width="65.5546875" style="163" customWidth="1"/>
    <col min="8" max="8" width="14.5546875" hidden="1" customWidth="1"/>
    <col min="9" max="14" width="8.33203125" hidden="1" customWidth="1"/>
    <col min="15" max="15" width="12.44140625" style="295" hidden="1" customWidth="1"/>
    <col min="16" max="17" width="12.44140625" hidden="1" customWidth="1"/>
    <col min="18" max="18" width="34.6640625" style="295" hidden="1" customWidth="1"/>
    <col min="19" max="257" width="12.44140625" customWidth="1"/>
  </cols>
  <sheetData>
    <row r="1" spans="1:19" s="274" customFormat="1" x14ac:dyDescent="0.25">
      <c r="A1" s="269" t="s">
        <v>344</v>
      </c>
      <c r="B1" s="269" t="s">
        <v>344</v>
      </c>
      <c r="C1" s="88" t="s">
        <v>343</v>
      </c>
      <c r="D1" s="271" t="s">
        <v>334</v>
      </c>
      <c r="E1" s="88" t="s">
        <v>0</v>
      </c>
      <c r="F1" s="272" t="s">
        <v>1</v>
      </c>
      <c r="G1" s="273"/>
      <c r="I1" s="274" t="s">
        <v>6467</v>
      </c>
      <c r="J1" s="274" t="s">
        <v>6468</v>
      </c>
      <c r="K1" s="274" t="s">
        <v>6469</v>
      </c>
      <c r="L1" s="274" t="s">
        <v>6470</v>
      </c>
      <c r="M1" s="274" t="s">
        <v>6471</v>
      </c>
      <c r="N1" s="274" t="s">
        <v>8369</v>
      </c>
      <c r="O1" s="580" t="s">
        <v>9130</v>
      </c>
      <c r="P1" s="962" t="s">
        <v>9129</v>
      </c>
      <c r="Q1" s="962"/>
      <c r="R1" s="962"/>
    </row>
    <row r="2" spans="1:19" x14ac:dyDescent="0.25">
      <c r="A2" s="186" t="s">
        <v>632</v>
      </c>
      <c r="B2" s="186" t="s">
        <v>632</v>
      </c>
      <c r="C2" s="4" t="s">
        <v>67</v>
      </c>
      <c r="D2" s="183">
        <v>5</v>
      </c>
      <c r="E2" s="4" t="s">
        <v>3</v>
      </c>
      <c r="F2" s="17">
        <v>146</v>
      </c>
      <c r="G2" s="163" t="s">
        <v>638</v>
      </c>
      <c r="I2" t="b">
        <f>IF(Verso!$B$22=Avantages!$A2,TRUE,FALSE)</f>
        <v>0</v>
      </c>
      <c r="J2" s="196" t="b">
        <f>IF(Verso!$B$23=Avantages!$A2,TRUE,FALSE)</f>
        <v>0</v>
      </c>
      <c r="K2" s="196" t="b">
        <f>IF(Verso!$B$24=Avantages!$A2,TRUE,FALSE)</f>
        <v>0</v>
      </c>
      <c r="L2" s="196" t="b">
        <f>IF(Verso!$B$25=Avantages!$A2,TRUE,FALSE)</f>
        <v>0</v>
      </c>
      <c r="M2" s="196" t="b">
        <f>IF(Verso!$B$26=Avantages!$A2,TRUE,FALSE)</f>
        <v>0</v>
      </c>
      <c r="N2" t="b">
        <f t="shared" ref="N2:N103" si="0">IF(OR(I2=TRUE,J2=TRUE,K2=TRUE,L2=TRUE,M2=TRUE),TRUE,FALSE)</f>
        <v>0</v>
      </c>
      <c r="P2" s="196">
        <f>IF(B2="","",ROW())</f>
        <v>2</v>
      </c>
      <c r="Q2" s="196">
        <f>IFERROR(SMALL(P:P,ROW()-1),"")</f>
        <v>2</v>
      </c>
      <c r="R2" s="578" t="str">
        <f>IFERROR(INDEX(B:B,Q2),"")</f>
        <v>Alliance Impériale</v>
      </c>
    </row>
    <row r="3" spans="1:19" x14ac:dyDescent="0.25">
      <c r="A3" s="186" t="s">
        <v>816</v>
      </c>
      <c r="B3" s="186" t="str">
        <f>IF(Recto!$C$3=H3,CONCATENATE(A3),"")</f>
        <v/>
      </c>
      <c r="C3" s="14" t="s">
        <v>67</v>
      </c>
      <c r="D3" s="183">
        <v>4</v>
      </c>
      <c r="E3" s="4" t="s">
        <v>2075</v>
      </c>
      <c r="F3" s="17">
        <v>110</v>
      </c>
      <c r="G3" s="163" t="s">
        <v>95</v>
      </c>
      <c r="H3" t="s">
        <v>56</v>
      </c>
      <c r="I3" s="196" t="b">
        <f>IF(Verso!$B$22=Avantages!$A3,TRUE,FALSE)</f>
        <v>0</v>
      </c>
      <c r="J3" s="196" t="b">
        <f>IF(Verso!$B$23=Avantages!$A3,TRUE,FALSE)</f>
        <v>0</v>
      </c>
      <c r="K3" s="196" t="b">
        <f>IF(Verso!$B$24=Avantages!$A3,TRUE,FALSE)</f>
        <v>0</v>
      </c>
      <c r="L3" s="196" t="b">
        <f>IF(Verso!$B$25=Avantages!$A3,TRUE,FALSE)</f>
        <v>0</v>
      </c>
      <c r="M3" s="196" t="b">
        <f>IF(Verso!$B$26=Avantages!$A3,TRUE,FALSE)</f>
        <v>0</v>
      </c>
      <c r="N3" s="196" t="b">
        <f t="shared" si="0"/>
        <v>0</v>
      </c>
      <c r="P3" s="196" t="str">
        <f t="shared" ref="P3:P66" si="1">IF(B3="","",ROW())</f>
        <v/>
      </c>
      <c r="Q3" s="196">
        <f t="shared" ref="Q3:Q66" si="2">IFERROR(SMALL(P:P,ROW()-1),"")</f>
        <v>4</v>
      </c>
      <c r="R3" s="578" t="str">
        <f t="shared" ref="R3:R66" si="3">IFERROR(INDEX(B:B,Q3),"")</f>
        <v>Ame d'Artiste</v>
      </c>
      <c r="S3" s="196"/>
    </row>
    <row r="4" spans="1:19" x14ac:dyDescent="0.25">
      <c r="A4" s="186" t="s">
        <v>666</v>
      </c>
      <c r="B4" s="186" t="s">
        <v>666</v>
      </c>
      <c r="C4" s="4" t="s">
        <v>65</v>
      </c>
      <c r="D4" s="184">
        <f>IF(Clan="Grue",3,4)</f>
        <v>4</v>
      </c>
      <c r="E4" s="4" t="s">
        <v>3</v>
      </c>
      <c r="F4" s="17">
        <v>146</v>
      </c>
      <c r="G4" s="163" t="s">
        <v>870</v>
      </c>
      <c r="I4" s="196" t="b">
        <f>IF(Verso!$B$22=Avantages!$A4,TRUE,FALSE)</f>
        <v>0</v>
      </c>
      <c r="J4" s="196" t="b">
        <f>IF(Verso!$B$23=Avantages!$A4,TRUE,FALSE)</f>
        <v>0</v>
      </c>
      <c r="K4" s="196" t="b">
        <f>IF(Verso!$B$24=Avantages!$A4,TRUE,FALSE)</f>
        <v>0</v>
      </c>
      <c r="L4" s="196" t="b">
        <f>IF(Verso!$B$25=Avantages!$A4,TRUE,FALSE)</f>
        <v>0</v>
      </c>
      <c r="M4" s="196" t="b">
        <f>IF(Verso!$B$26=Avantages!$A4,TRUE,FALSE)</f>
        <v>0</v>
      </c>
      <c r="N4" s="196" t="b">
        <f t="shared" si="0"/>
        <v>0</v>
      </c>
      <c r="P4" s="196">
        <f t="shared" si="1"/>
        <v>4</v>
      </c>
      <c r="Q4" s="196">
        <f t="shared" si="2"/>
        <v>5</v>
      </c>
      <c r="R4" s="578" t="str">
        <f t="shared" si="3"/>
        <v>Ami de la Confrérie</v>
      </c>
    </row>
    <row r="5" spans="1:19" x14ac:dyDescent="0.25">
      <c r="A5" s="186" t="s">
        <v>634</v>
      </c>
      <c r="B5" s="186" t="s">
        <v>634</v>
      </c>
      <c r="C5" s="4" t="s">
        <v>629</v>
      </c>
      <c r="D5" s="183">
        <f>IF(Clan="Dragon",4,5)</f>
        <v>5</v>
      </c>
      <c r="E5" s="4" t="s">
        <v>3</v>
      </c>
      <c r="F5" s="17">
        <v>146</v>
      </c>
      <c r="G5" s="163" t="s">
        <v>74</v>
      </c>
      <c r="I5" s="196" t="b">
        <f>IF(Verso!$B$22=Avantages!$A5,TRUE,FALSE)</f>
        <v>0</v>
      </c>
      <c r="J5" s="196" t="b">
        <f>IF(Verso!$B$23=Avantages!$A5,TRUE,FALSE)</f>
        <v>0</v>
      </c>
      <c r="K5" s="196" t="b">
        <f>IF(Verso!$B$24=Avantages!$A5,TRUE,FALSE)</f>
        <v>0</v>
      </c>
      <c r="L5" s="196" t="b">
        <f>IF(Verso!$B$25=Avantages!$A5,TRUE,FALSE)</f>
        <v>0</v>
      </c>
      <c r="M5" s="196" t="b">
        <f>IF(Verso!$B$26=Avantages!$A5,TRUE,FALSE)</f>
        <v>0</v>
      </c>
      <c r="N5" s="196" t="b">
        <f t="shared" si="0"/>
        <v>0</v>
      </c>
      <c r="P5" s="196">
        <f t="shared" si="1"/>
        <v>5</v>
      </c>
      <c r="Q5" s="196">
        <f t="shared" si="2"/>
        <v>6</v>
      </c>
      <c r="R5" s="578" t="str">
        <f t="shared" si="3"/>
        <v>Ami des Elements</v>
      </c>
    </row>
    <row r="6" spans="1:19" x14ac:dyDescent="0.25">
      <c r="A6" s="186" t="s">
        <v>652</v>
      </c>
      <c r="B6" s="186" t="s">
        <v>652</v>
      </c>
      <c r="C6" s="4" t="s">
        <v>629</v>
      </c>
      <c r="D6" s="183">
        <f>IF(Recto!W3="S",3,4)</f>
        <v>4</v>
      </c>
      <c r="E6" s="4" t="s">
        <v>3</v>
      </c>
      <c r="F6" s="17">
        <v>146</v>
      </c>
      <c r="G6" s="163" t="s">
        <v>871</v>
      </c>
      <c r="I6" s="196" t="b">
        <f>IF(Verso!$B$22=Avantages!$A6,TRUE,FALSE)</f>
        <v>0</v>
      </c>
      <c r="J6" s="196" t="b">
        <f>IF(Verso!$B$23=Avantages!$A6,TRUE,FALSE)</f>
        <v>0</v>
      </c>
      <c r="K6" s="196" t="b">
        <f>IF(Verso!$B$24=Avantages!$A6,TRUE,FALSE)</f>
        <v>0</v>
      </c>
      <c r="L6" s="196" t="b">
        <f>IF(Verso!$B$25=Avantages!$A6,TRUE,FALSE)</f>
        <v>0</v>
      </c>
      <c r="M6" s="196" t="b">
        <f>IF(Verso!$B$26=Avantages!$A6,TRUE,FALSE)</f>
        <v>0</v>
      </c>
      <c r="N6" s="196" t="b">
        <f t="shared" si="0"/>
        <v>0</v>
      </c>
      <c r="P6" s="196">
        <f t="shared" si="1"/>
        <v>6</v>
      </c>
      <c r="Q6" s="196">
        <f t="shared" si="2"/>
        <v>8</v>
      </c>
      <c r="R6" s="578" t="str">
        <f t="shared" si="3"/>
        <v>Ancêtre Naga</v>
      </c>
    </row>
    <row r="7" spans="1:19" x14ac:dyDescent="0.25">
      <c r="A7" s="186" t="s">
        <v>793</v>
      </c>
      <c r="B7" s="186" t="str">
        <f>IF(Recto!$C$3=H7,CONCATENATE(A7),"")</f>
        <v/>
      </c>
      <c r="C7" s="4" t="s">
        <v>628</v>
      </c>
      <c r="D7" s="183">
        <f>IF(Clan="Couleuvre",2,3)</f>
        <v>3</v>
      </c>
      <c r="E7" s="4" t="s">
        <v>2075</v>
      </c>
      <c r="F7" s="17">
        <v>81</v>
      </c>
      <c r="G7" s="163" t="s">
        <v>91</v>
      </c>
      <c r="H7" t="s">
        <v>53</v>
      </c>
      <c r="I7" s="196" t="b">
        <f>IF(Verso!$B$22=Avantages!$A7,TRUE,FALSE)</f>
        <v>0</v>
      </c>
      <c r="J7" s="196" t="b">
        <f>IF(Verso!$B$23=Avantages!$A7,TRUE,FALSE)</f>
        <v>0</v>
      </c>
      <c r="K7" s="196" t="b">
        <f>IF(Verso!$B$24=Avantages!$A7,TRUE,FALSE)</f>
        <v>0</v>
      </c>
      <c r="L7" s="196" t="b">
        <f>IF(Verso!$B$25=Avantages!$A7,TRUE,FALSE)</f>
        <v>0</v>
      </c>
      <c r="M7" s="196" t="b">
        <f>IF(Verso!$B$26=Avantages!$A7,TRUE,FALSE)</f>
        <v>0</v>
      </c>
      <c r="N7" s="196" t="b">
        <f t="shared" si="0"/>
        <v>0</v>
      </c>
      <c r="P7" s="196" t="str">
        <f t="shared" si="1"/>
        <v/>
      </c>
      <c r="Q7" s="196">
        <f t="shared" si="2"/>
        <v>25</v>
      </c>
      <c r="R7" s="578" t="str">
        <f t="shared" si="3"/>
        <v>Arme Sacrée: Katana Doré du Loriot</v>
      </c>
    </row>
    <row r="8" spans="1:19" x14ac:dyDescent="0.25">
      <c r="A8" s="186" t="s">
        <v>697</v>
      </c>
      <c r="B8" s="186" t="s">
        <v>697</v>
      </c>
      <c r="C8" s="4" t="s">
        <v>630</v>
      </c>
      <c r="D8" s="183">
        <v>7</v>
      </c>
      <c r="E8" s="4" t="s">
        <v>2076</v>
      </c>
      <c r="F8" s="17">
        <v>287</v>
      </c>
      <c r="G8" s="163" t="s">
        <v>165</v>
      </c>
      <c r="I8" s="196" t="b">
        <f>IF(Verso!$B$22=Avantages!$A8,TRUE,FALSE)</f>
        <v>0</v>
      </c>
      <c r="J8" s="196" t="b">
        <f>IF(Verso!$B$23=Avantages!$A8,TRUE,FALSE)</f>
        <v>0</v>
      </c>
      <c r="K8" s="196" t="b">
        <f>IF(Verso!$B$24=Avantages!$A8,TRUE,FALSE)</f>
        <v>0</v>
      </c>
      <c r="L8" s="196" t="b">
        <f>IF(Verso!$B$25=Avantages!$A8,TRUE,FALSE)</f>
        <v>0</v>
      </c>
      <c r="M8" s="196" t="b">
        <f>IF(Verso!$B$26=Avantages!$A8,TRUE,FALSE)</f>
        <v>0</v>
      </c>
      <c r="N8" s="196" t="b">
        <f t="shared" si="0"/>
        <v>0</v>
      </c>
      <c r="P8" s="196">
        <f t="shared" si="1"/>
        <v>8</v>
      </c>
      <c r="Q8" s="196">
        <f t="shared" si="2"/>
        <v>53</v>
      </c>
      <c r="R8" s="578" t="str">
        <f t="shared" si="3"/>
        <v>Beauté du Diable</v>
      </c>
    </row>
    <row r="9" spans="1:19" s="196" customFormat="1" x14ac:dyDescent="0.25">
      <c r="A9" s="186" t="s">
        <v>7555</v>
      </c>
      <c r="B9" s="186" t="str">
        <f>IF(Recto!$C$3=H9,CONCATENATE(A9),"")</f>
        <v/>
      </c>
      <c r="C9" s="4" t="s">
        <v>631</v>
      </c>
      <c r="D9" s="183">
        <v>6</v>
      </c>
      <c r="E9" s="4" t="s">
        <v>7453</v>
      </c>
      <c r="F9" s="17">
        <v>92</v>
      </c>
      <c r="G9" s="163" t="s">
        <v>8229</v>
      </c>
      <c r="H9" s="196" t="s">
        <v>179</v>
      </c>
      <c r="I9" s="196" t="b">
        <f>IF(Verso!$B$22=Avantages!$A9,TRUE,FALSE)</f>
        <v>0</v>
      </c>
      <c r="J9" s="196" t="b">
        <f>IF(Verso!$B$23=Avantages!$A9,TRUE,FALSE)</f>
        <v>0</v>
      </c>
      <c r="K9" s="196" t="b">
        <f>IF(Verso!$B$24=Avantages!$A9,TRUE,FALSE)</f>
        <v>0</v>
      </c>
      <c r="L9" s="196" t="b">
        <f>IF(Verso!$B$25=Avantages!$A9,TRUE,FALSE)</f>
        <v>0</v>
      </c>
      <c r="M9" s="196" t="b">
        <f>IF(Verso!$B$26=Avantages!$A9,TRUE,FALSE)</f>
        <v>0</v>
      </c>
      <c r="N9" s="196" t="b">
        <f>IF(OR(I9=TRUE,J9=TRUE,K9=TRUE,L9=TRUE,M9=TRUE),TRUE,FALSE)</f>
        <v>0</v>
      </c>
      <c r="O9" s="295"/>
      <c r="P9" s="196" t="str">
        <f t="shared" si="1"/>
        <v/>
      </c>
      <c r="Q9" s="196">
        <f t="shared" si="2"/>
        <v>56</v>
      </c>
      <c r="R9" s="578" t="str">
        <f t="shared" si="3"/>
        <v>Bénédiction des Sept Fortunes: Benten</v>
      </c>
    </row>
    <row r="10" spans="1:19" s="196" customFormat="1" x14ac:dyDescent="0.25">
      <c r="A10" s="186" t="s">
        <v>7504</v>
      </c>
      <c r="B10" s="186" t="str">
        <f>IF(Contexte_jeu&lt;&gt;"L'Empire Stellaire d'Emeraude","",IF(Recto!$C$3=H10,CONCATENATE(A10),""))</f>
        <v/>
      </c>
      <c r="C10" s="4" t="s">
        <v>631</v>
      </c>
      <c r="D10" s="183">
        <v>7</v>
      </c>
      <c r="E10" s="4" t="s">
        <v>7453</v>
      </c>
      <c r="F10" s="17">
        <v>92</v>
      </c>
      <c r="G10" s="163" t="s">
        <v>7505</v>
      </c>
      <c r="H10" s="196" t="s">
        <v>179</v>
      </c>
      <c r="I10" s="196" t="b">
        <f>IF(Verso!$B$22=Avantages!$A10,TRUE,FALSE)</f>
        <v>0</v>
      </c>
      <c r="J10" s="196" t="b">
        <f>IF(Verso!$B$23=Avantages!$A10,TRUE,FALSE)</f>
        <v>0</v>
      </c>
      <c r="K10" s="196" t="b">
        <f>IF(Verso!$B$24=Avantages!$A10,TRUE,FALSE)</f>
        <v>0</v>
      </c>
      <c r="L10" s="196" t="b">
        <f>IF(Verso!$B$25=Avantages!$A10,TRUE,FALSE)</f>
        <v>0</v>
      </c>
      <c r="M10" s="196" t="b">
        <f>IF(Verso!$B$26=Avantages!$A10,TRUE,FALSE)</f>
        <v>0</v>
      </c>
      <c r="N10" s="196" t="b">
        <f>IF(OR(I10=TRUE,J10=TRUE,K10=TRUE,L10=TRUE,M10=TRUE),TRUE,FALSE)</f>
        <v>0</v>
      </c>
      <c r="O10" s="295"/>
      <c r="P10" s="196" t="str">
        <f t="shared" si="1"/>
        <v/>
      </c>
      <c r="Q10" s="196">
        <f t="shared" si="2"/>
        <v>57</v>
      </c>
      <c r="R10" s="578" t="str">
        <f t="shared" si="3"/>
        <v>Bénédiction des Sept Fortunes: Bishamon</v>
      </c>
    </row>
    <row r="11" spans="1:19" s="196" customFormat="1" x14ac:dyDescent="0.25">
      <c r="A11" s="186" t="s">
        <v>7567</v>
      </c>
      <c r="B11" s="186" t="str">
        <f>IF(Contexte_jeu&lt;&gt;"L'Empire Stellaire d'Emeraude","",IF(Recto!$C$3=H11,CONCATENATE(A11),""))</f>
        <v/>
      </c>
      <c r="C11" s="4" t="s">
        <v>631</v>
      </c>
      <c r="D11" s="183">
        <v>7</v>
      </c>
      <c r="E11" s="4" t="s">
        <v>7453</v>
      </c>
      <c r="F11" s="17">
        <v>92</v>
      </c>
      <c r="G11" s="270" t="s">
        <v>7457</v>
      </c>
      <c r="H11" s="196" t="s">
        <v>175</v>
      </c>
      <c r="I11" s="196" t="b">
        <f>IF(Verso!$B$22=Avantages!$A11,TRUE,FALSE)</f>
        <v>0</v>
      </c>
      <c r="J11" s="196" t="b">
        <f>IF(Verso!$B$23=Avantages!$A11,TRUE,FALSE)</f>
        <v>0</v>
      </c>
      <c r="K11" s="196" t="b">
        <f>IF(Verso!$B$24=Avantages!$A11,TRUE,FALSE)</f>
        <v>0</v>
      </c>
      <c r="L11" s="196" t="b">
        <f>IF(Verso!$B$25=Avantages!$A11,TRUE,FALSE)</f>
        <v>0</v>
      </c>
      <c r="M11" s="196" t="b">
        <f>IF(Verso!$B$26=Avantages!$A11,TRUE,FALSE)</f>
        <v>0</v>
      </c>
      <c r="N11" s="196" t="b">
        <f>IF(OR(I11=TRUE,J11=TRUE,K11=TRUE,L11=TRUE,M11=TRUE),TRUE,FALSE)</f>
        <v>0</v>
      </c>
      <c r="O11" s="295"/>
      <c r="P11" s="196" t="str">
        <f t="shared" si="1"/>
        <v/>
      </c>
      <c r="Q11" s="196">
        <f t="shared" si="2"/>
        <v>58</v>
      </c>
      <c r="R11" s="578" t="str">
        <f t="shared" si="3"/>
        <v>Bénédiction des Sept Fortunes: Daikoku</v>
      </c>
    </row>
    <row r="12" spans="1:19" s="196" customFormat="1" x14ac:dyDescent="0.25">
      <c r="A12" s="186" t="s">
        <v>7524</v>
      </c>
      <c r="B12" s="186" t="str">
        <f>IF(Recto!$C$3=H12,CONCATENATE(A12),"")</f>
        <v/>
      </c>
      <c r="C12" s="4" t="s">
        <v>631</v>
      </c>
      <c r="D12" s="183">
        <v>6</v>
      </c>
      <c r="E12" s="4" t="s">
        <v>7453</v>
      </c>
      <c r="F12" s="17">
        <v>92</v>
      </c>
      <c r="G12" s="270" t="s">
        <v>7526</v>
      </c>
      <c r="H12" s="196" t="s">
        <v>175</v>
      </c>
      <c r="I12" s="196" t="b">
        <f>IF(Verso!$B$22=Avantages!$A12,TRUE,FALSE)</f>
        <v>0</v>
      </c>
      <c r="J12" s="196" t="b">
        <f>IF(Verso!$B$23=Avantages!$A12,TRUE,FALSE)</f>
        <v>0</v>
      </c>
      <c r="K12" s="196" t="b">
        <f>IF(Verso!$B$24=Avantages!$A12,TRUE,FALSE)</f>
        <v>0</v>
      </c>
      <c r="L12" s="196" t="b">
        <f>IF(Verso!$B$25=Avantages!$A12,TRUE,FALSE)</f>
        <v>0</v>
      </c>
      <c r="M12" s="196" t="b">
        <f>IF(Verso!$B$26=Avantages!$A12,TRUE,FALSE)</f>
        <v>0</v>
      </c>
      <c r="N12" s="196" t="b">
        <f>IF(OR(I12=TRUE,J12=TRUE,K12=TRUE,L12=TRUE,M12=TRUE),TRUE,FALSE)</f>
        <v>0</v>
      </c>
      <c r="O12" s="295"/>
      <c r="P12" s="196" t="str">
        <f t="shared" si="1"/>
        <v/>
      </c>
      <c r="Q12" s="196">
        <f t="shared" si="2"/>
        <v>59</v>
      </c>
      <c r="R12" s="578" t="str">
        <f t="shared" si="3"/>
        <v>Bénédiction des Sept Fortunes: Ebisu</v>
      </c>
    </row>
    <row r="13" spans="1:19" s="196" customFormat="1" x14ac:dyDescent="0.25">
      <c r="A13" s="186" t="s">
        <v>7562</v>
      </c>
      <c r="B13" s="186" t="str">
        <f>IF(Recto!$C$3=H13,CONCATENATE(A13),"")</f>
        <v/>
      </c>
      <c r="C13" s="4" t="s">
        <v>631</v>
      </c>
      <c r="D13" s="183">
        <v>6</v>
      </c>
      <c r="E13" s="4" t="s">
        <v>7453</v>
      </c>
      <c r="F13" s="17">
        <v>92</v>
      </c>
      <c r="G13" s="270" t="s">
        <v>7563</v>
      </c>
      <c r="H13" s="196" t="s">
        <v>181</v>
      </c>
      <c r="I13" s="196" t="b">
        <f>IF(Verso!$B$22=Avantages!$A13,TRUE,FALSE)</f>
        <v>0</v>
      </c>
      <c r="J13" s="196" t="b">
        <f>IF(Verso!$B$23=Avantages!$A13,TRUE,FALSE)</f>
        <v>0</v>
      </c>
      <c r="K13" s="196" t="b">
        <f>IF(Verso!$B$24=Avantages!$A13,TRUE,FALSE)</f>
        <v>0</v>
      </c>
      <c r="L13" s="196" t="b">
        <f>IF(Verso!$B$25=Avantages!$A13,TRUE,FALSE)</f>
        <v>0</v>
      </c>
      <c r="M13" s="196" t="b">
        <f>IF(Verso!$B$26=Avantages!$A13,TRUE,FALSE)</f>
        <v>0</v>
      </c>
      <c r="N13" s="196" t="b">
        <f>IF(OR(I13=TRUE,J13=TRUE,K13=TRUE,L13=TRUE,M13=TRUE),TRUE,FALSE)</f>
        <v>0</v>
      </c>
      <c r="O13" s="295"/>
      <c r="P13" s="196" t="str">
        <f t="shared" si="1"/>
        <v/>
      </c>
      <c r="Q13" s="196">
        <f t="shared" si="2"/>
        <v>60</v>
      </c>
      <c r="R13" s="578" t="str">
        <f t="shared" si="3"/>
        <v>Bénédiction des Sept Fortunes: Fukurokujin</v>
      </c>
    </row>
    <row r="14" spans="1:19" x14ac:dyDescent="0.25">
      <c r="A14" s="186" t="s">
        <v>5775</v>
      </c>
      <c r="B14" s="186" t="str">
        <f>IF(Recto!$C$3=H14,CONCATENATE(A14),"")</f>
        <v/>
      </c>
      <c r="C14" s="4" t="s">
        <v>631</v>
      </c>
      <c r="D14" s="183">
        <v>5</v>
      </c>
      <c r="E14" s="4" t="s">
        <v>3</v>
      </c>
      <c r="F14" s="17">
        <v>146</v>
      </c>
      <c r="G14" s="163" t="s">
        <v>7506</v>
      </c>
      <c r="H14" t="s">
        <v>179</v>
      </c>
      <c r="I14" s="196" t="b">
        <f>IF(Verso!$B$22=Avantages!$A14,TRUE,FALSE)</f>
        <v>0</v>
      </c>
      <c r="J14" s="196" t="b">
        <f>IF(Verso!$B$23=Avantages!$A14,TRUE,FALSE)</f>
        <v>0</v>
      </c>
      <c r="K14" s="196" t="b">
        <f>IF(Verso!$B$24=Avantages!$A14,TRUE,FALSE)</f>
        <v>0</v>
      </c>
      <c r="L14" s="196" t="b">
        <f>IF(Verso!$B$25=Avantages!$A14,TRUE,FALSE)</f>
        <v>0</v>
      </c>
      <c r="M14" s="196" t="b">
        <f>IF(Verso!$B$26=Avantages!$A14,TRUE,FALSE)</f>
        <v>0</v>
      </c>
      <c r="N14" s="196" t="b">
        <f t="shared" si="0"/>
        <v>0</v>
      </c>
      <c r="P14" s="196" t="str">
        <f t="shared" si="1"/>
        <v/>
      </c>
      <c r="Q14" s="196">
        <f t="shared" si="2"/>
        <v>61</v>
      </c>
      <c r="R14" s="578" t="str">
        <f t="shared" si="3"/>
        <v>Bénédiction des Sept Fortunes: Hotei</v>
      </c>
    </row>
    <row r="15" spans="1:19" s="196" customFormat="1" x14ac:dyDescent="0.25">
      <c r="A15" s="186" t="s">
        <v>7536</v>
      </c>
      <c r="B15" s="186" t="str">
        <f>IF(OR(Clan="Grue",Clan="Ibis"),CONCATENATE(A29),"")</f>
        <v/>
      </c>
      <c r="C15" s="4" t="s">
        <v>631</v>
      </c>
      <c r="D15" s="183">
        <v>5</v>
      </c>
      <c r="E15" s="4" t="s">
        <v>7453</v>
      </c>
      <c r="F15" s="17">
        <v>92</v>
      </c>
      <c r="G15" s="163" t="s">
        <v>7537</v>
      </c>
      <c r="H15" s="196" t="s">
        <v>176</v>
      </c>
      <c r="I15" s="196" t="b">
        <f>IF(Verso!$B$22=Avantages!$A15,TRUE,FALSE)</f>
        <v>0</v>
      </c>
      <c r="J15" s="196" t="b">
        <f>IF(Verso!$B$23=Avantages!$A15,TRUE,FALSE)</f>
        <v>0</v>
      </c>
      <c r="K15" s="196" t="b">
        <f>IF(Verso!$B$24=Avantages!$A15,TRUE,FALSE)</f>
        <v>0</v>
      </c>
      <c r="L15" s="196" t="b">
        <f>IF(Verso!$B$25=Avantages!$A15,TRUE,FALSE)</f>
        <v>0</v>
      </c>
      <c r="M15" s="196" t="b">
        <f>IF(Verso!$B$26=Avantages!$A15,TRUE,FALSE)</f>
        <v>0</v>
      </c>
      <c r="N15" s="196" t="b">
        <f>IF(OR(I15=TRUE,J15=TRUE,K15=TRUE,L15=TRUE,M15=TRUE),TRUE,FALSE)</f>
        <v>0</v>
      </c>
      <c r="O15" s="295"/>
      <c r="P15" s="196" t="str">
        <f t="shared" si="1"/>
        <v/>
      </c>
      <c r="Q15" s="196">
        <f t="shared" si="2"/>
        <v>62</v>
      </c>
      <c r="R15" s="578" t="str">
        <f t="shared" si="3"/>
        <v>Bénédiction des Sept Fortunes: Jurojin</v>
      </c>
    </row>
    <row r="16" spans="1:19" s="196" customFormat="1" x14ac:dyDescent="0.25">
      <c r="A16" s="186" t="s">
        <v>7553</v>
      </c>
      <c r="B16" s="186" t="str">
        <f>IF(Recto!$C$3=H16,CONCATENATE(A16),"")</f>
        <v/>
      </c>
      <c r="C16" s="4" t="s">
        <v>631</v>
      </c>
      <c r="D16" s="183">
        <v>4</v>
      </c>
      <c r="E16" s="4" t="s">
        <v>7453</v>
      </c>
      <c r="F16" s="17">
        <v>92</v>
      </c>
      <c r="G16" s="163" t="s">
        <v>7554</v>
      </c>
      <c r="H16" s="196" t="s">
        <v>179</v>
      </c>
      <c r="I16" s="196" t="b">
        <f>IF(Verso!$B$22=Avantages!$A16,TRUE,FALSE)</f>
        <v>0</v>
      </c>
      <c r="J16" s="196" t="b">
        <f>IF(Verso!$B$23=Avantages!$A16,TRUE,FALSE)</f>
        <v>0</v>
      </c>
      <c r="K16" s="196" t="b">
        <f>IF(Verso!$B$24=Avantages!$A16,TRUE,FALSE)</f>
        <v>0</v>
      </c>
      <c r="L16" s="196" t="b">
        <f>IF(Verso!$B$25=Avantages!$A16,TRUE,FALSE)</f>
        <v>0</v>
      </c>
      <c r="M16" s="196" t="b">
        <f>IF(Verso!$B$26=Avantages!$A16,TRUE,FALSE)</f>
        <v>0</v>
      </c>
      <c r="N16" s="196" t="b">
        <f>IF(OR(I16=TRUE,J16=TRUE,K16=TRUE,L16=TRUE,M16=TRUE),TRUE,FALSE)</f>
        <v>0</v>
      </c>
      <c r="O16" s="295"/>
      <c r="P16" s="196" t="str">
        <f t="shared" si="1"/>
        <v/>
      </c>
      <c r="Q16" s="196">
        <f t="shared" si="2"/>
        <v>63</v>
      </c>
      <c r="R16" s="578" t="str">
        <f t="shared" si="3"/>
        <v>Bénédiction d'Inari</v>
      </c>
    </row>
    <row r="17" spans="1:18" s="196" customFormat="1" x14ac:dyDescent="0.25">
      <c r="A17" s="186" t="s">
        <v>7556</v>
      </c>
      <c r="B17" s="186" t="str">
        <f>IF(Recto!$C$3=H17,CONCATENATE(A17),"")</f>
        <v/>
      </c>
      <c r="C17" s="4" t="s">
        <v>631</v>
      </c>
      <c r="D17" s="183">
        <v>6</v>
      </c>
      <c r="E17" s="4" t="s">
        <v>7453</v>
      </c>
      <c r="F17" s="17">
        <v>92</v>
      </c>
      <c r="G17" s="163" t="s">
        <v>7557</v>
      </c>
      <c r="H17" s="196" t="s">
        <v>179</v>
      </c>
      <c r="I17" s="196" t="b">
        <f>IF(Verso!$B$22=Avantages!$A17,TRUE,FALSE)</f>
        <v>0</v>
      </c>
      <c r="J17" s="196" t="b">
        <f>IF(Verso!$B$23=Avantages!$A17,TRUE,FALSE)</f>
        <v>0</v>
      </c>
      <c r="K17" s="196" t="b">
        <f>IF(Verso!$B$24=Avantages!$A17,TRUE,FALSE)</f>
        <v>0</v>
      </c>
      <c r="L17" s="196" t="b">
        <f>IF(Verso!$B$25=Avantages!$A17,TRUE,FALSE)</f>
        <v>0</v>
      </c>
      <c r="M17" s="196" t="b">
        <f>IF(Verso!$B$26=Avantages!$A17,TRUE,FALSE)</f>
        <v>0</v>
      </c>
      <c r="N17" s="196" t="b">
        <f>IF(OR(I17=TRUE,J17=TRUE,K17=TRUE,L17=TRUE,M17=TRUE),TRUE,FALSE)</f>
        <v>0</v>
      </c>
      <c r="O17" s="295"/>
      <c r="P17" s="196" t="str">
        <f t="shared" si="1"/>
        <v/>
      </c>
      <c r="Q17" s="196">
        <f t="shared" si="2"/>
        <v>64</v>
      </c>
      <c r="R17" s="578" t="str">
        <f t="shared" si="3"/>
        <v>Buveur ayant de la Bouteille</v>
      </c>
    </row>
    <row r="18" spans="1:18" x14ac:dyDescent="0.25">
      <c r="A18" s="186" t="s">
        <v>5776</v>
      </c>
      <c r="B18" s="186" t="str">
        <f>IF(Recto!$C$3=H18,CONCATENATE(A18),"")</f>
        <v/>
      </c>
      <c r="C18" s="4" t="s">
        <v>631</v>
      </c>
      <c r="D18" s="183">
        <v>6</v>
      </c>
      <c r="E18" s="4" t="s">
        <v>3</v>
      </c>
      <c r="F18" s="17">
        <v>146</v>
      </c>
      <c r="G18" s="163" t="s">
        <v>704</v>
      </c>
      <c r="H18" t="s">
        <v>177</v>
      </c>
      <c r="I18" s="196" t="b">
        <f>IF(Verso!$B$22=Avantages!$A18,TRUE,FALSE)</f>
        <v>0</v>
      </c>
      <c r="J18" s="196" t="b">
        <f>IF(Verso!$B$23=Avantages!$A18,TRUE,FALSE)</f>
        <v>0</v>
      </c>
      <c r="K18" s="196" t="b">
        <f>IF(Verso!$B$24=Avantages!$A18,TRUE,FALSE)</f>
        <v>0</v>
      </c>
      <c r="L18" s="196" t="b">
        <f>IF(Verso!$B$25=Avantages!$A18,TRUE,FALSE)</f>
        <v>0</v>
      </c>
      <c r="M18" s="196" t="b">
        <f>IF(Verso!$B$26=Avantages!$A18,TRUE,FALSE)</f>
        <v>0</v>
      </c>
      <c r="N18" s="196" t="b">
        <f t="shared" si="0"/>
        <v>0</v>
      </c>
      <c r="P18" s="196" t="str">
        <f t="shared" si="1"/>
        <v/>
      </c>
      <c r="Q18" s="196">
        <f t="shared" si="2"/>
        <v>65</v>
      </c>
      <c r="R18" s="578" t="str">
        <f t="shared" si="3"/>
        <v>Calme</v>
      </c>
    </row>
    <row r="19" spans="1:18" s="196" customFormat="1" x14ac:dyDescent="0.25">
      <c r="A19" s="186" t="s">
        <v>8147</v>
      </c>
      <c r="B19" s="186" t="str">
        <f>IF(Contexte_jeu&lt;&gt;"L'Empire Stellaire d'Emeraude","",IF(Recto!$C$3=H19,CONCATENATE(A19),""))</f>
        <v/>
      </c>
      <c r="C19" s="4" t="s">
        <v>631</v>
      </c>
      <c r="D19" s="183">
        <v>7</v>
      </c>
      <c r="E19" s="4" t="s">
        <v>7453</v>
      </c>
      <c r="F19" s="17">
        <v>97</v>
      </c>
      <c r="G19" s="163" t="s">
        <v>7498</v>
      </c>
      <c r="H19" s="196" t="s">
        <v>177</v>
      </c>
      <c r="I19" s="196" t="b">
        <f>IF(Verso!$B$22=Avantages!$A19,TRUE,FALSE)</f>
        <v>0</v>
      </c>
      <c r="J19" s="196" t="b">
        <f>IF(Verso!$B$23=Avantages!$A19,TRUE,FALSE)</f>
        <v>0</v>
      </c>
      <c r="K19" s="196" t="b">
        <f>IF(Verso!$B$24=Avantages!$A19,TRUE,FALSE)</f>
        <v>0</v>
      </c>
      <c r="L19" s="196" t="b">
        <f>IF(Verso!$B$25=Avantages!$A19,TRUE,FALSE)</f>
        <v>0</v>
      </c>
      <c r="M19" s="196" t="b">
        <f>IF(Verso!$B$26=Avantages!$A19,TRUE,FALSE)</f>
        <v>0</v>
      </c>
      <c r="N19" s="196" t="b">
        <f>IF(OR(I19=TRUE,J19=TRUE,K19=TRUE,L19=TRUE,M19=TRUE),TRUE,FALSE)</f>
        <v>0</v>
      </c>
      <c r="O19" s="295"/>
      <c r="P19" s="196" t="str">
        <f t="shared" si="1"/>
        <v/>
      </c>
      <c r="Q19" s="196">
        <f t="shared" si="2"/>
        <v>66</v>
      </c>
      <c r="R19" s="578" t="str">
        <f t="shared" si="3"/>
        <v>Caresse des Royaumes Spirituels: Chikushudo</v>
      </c>
    </row>
    <row r="20" spans="1:18" s="196" customFormat="1" x14ac:dyDescent="0.25">
      <c r="A20" s="186" t="s">
        <v>7558</v>
      </c>
      <c r="B20" s="186" t="str">
        <f>IF(Recto!$C$3=H20,CONCATENATE(A20),"")</f>
        <v/>
      </c>
      <c r="C20" s="4" t="s">
        <v>631</v>
      </c>
      <c r="D20" s="183">
        <v>6</v>
      </c>
      <c r="E20" s="4" t="s">
        <v>7453</v>
      </c>
      <c r="F20" s="17">
        <v>97</v>
      </c>
      <c r="G20" s="163" t="s">
        <v>7559</v>
      </c>
      <c r="H20" s="196" t="s">
        <v>181</v>
      </c>
      <c r="I20" s="196" t="b">
        <f>IF(Verso!$B$22=Avantages!$A20,TRUE,FALSE)</f>
        <v>0</v>
      </c>
      <c r="J20" s="196" t="b">
        <f>IF(Verso!$B$23=Avantages!$A20,TRUE,FALSE)</f>
        <v>0</v>
      </c>
      <c r="K20" s="196" t="b">
        <f>IF(Verso!$B$24=Avantages!$A20,TRUE,FALSE)</f>
        <v>0</v>
      </c>
      <c r="L20" s="196" t="b">
        <f>IF(Verso!$B$25=Avantages!$A20,TRUE,FALSE)</f>
        <v>0</v>
      </c>
      <c r="M20" s="196" t="b">
        <f>IF(Verso!$B$26=Avantages!$A20,TRUE,FALSE)</f>
        <v>0</v>
      </c>
      <c r="N20" s="196" t="b">
        <f>IF(OR(I20=TRUE,J20=TRUE,K20=TRUE,L20=TRUE,M20=TRUE),TRUE,FALSE)</f>
        <v>0</v>
      </c>
      <c r="O20" s="295"/>
      <c r="P20" s="196" t="str">
        <f t="shared" si="1"/>
        <v/>
      </c>
      <c r="Q20" s="196">
        <f t="shared" si="2"/>
        <v>67</v>
      </c>
      <c r="R20" s="578" t="str">
        <f t="shared" si="3"/>
        <v>Caresse des Royaumes Spirituels: Gaki-do</v>
      </c>
    </row>
    <row r="21" spans="1:18" s="196" customFormat="1" x14ac:dyDescent="0.25">
      <c r="A21" s="186" t="s">
        <v>7494</v>
      </c>
      <c r="B21" s="186" t="str">
        <f>IF(Contexte_jeu&lt;&gt;"L'Empire Stellaire d'Emeraude","",IF(Recto!$C$3=H21,CONCATENATE(A21),""))</f>
        <v/>
      </c>
      <c r="C21" s="4" t="s">
        <v>631</v>
      </c>
      <c r="D21" s="183">
        <v>7</v>
      </c>
      <c r="E21" s="4" t="s">
        <v>7453</v>
      </c>
      <c r="F21" s="17">
        <v>97</v>
      </c>
      <c r="G21" s="163" t="s">
        <v>7496</v>
      </c>
      <c r="H21" s="196" t="s">
        <v>20</v>
      </c>
      <c r="I21" s="196" t="b">
        <f>IF(Verso!$B$22=Avantages!$A21,TRUE,FALSE)</f>
        <v>0</v>
      </c>
      <c r="J21" s="196" t="b">
        <f>IF(Verso!$B$23=Avantages!$A21,TRUE,FALSE)</f>
        <v>0</v>
      </c>
      <c r="K21" s="196" t="b">
        <f>IF(Verso!$B$24=Avantages!$A21,TRUE,FALSE)</f>
        <v>0</v>
      </c>
      <c r="L21" s="196" t="b">
        <f>IF(Verso!$B$25=Avantages!$A21,TRUE,FALSE)</f>
        <v>0</v>
      </c>
      <c r="M21" s="196" t="b">
        <f>IF(Verso!$B$26=Avantages!$A21,TRUE,FALSE)</f>
        <v>0</v>
      </c>
      <c r="N21" s="196" t="b">
        <f>IF(OR(I21=TRUE,J21=TRUE,K21=TRUE,L21=TRUE,M21=TRUE),TRUE,FALSE)</f>
        <v>0</v>
      </c>
      <c r="O21" s="295"/>
      <c r="P21" s="196" t="str">
        <f t="shared" si="1"/>
        <v/>
      </c>
      <c r="Q21" s="196">
        <f t="shared" si="2"/>
        <v>68</v>
      </c>
      <c r="R21" s="578" t="str">
        <f t="shared" si="3"/>
        <v>Caresse des Royaumes Spirituels: Jigoku</v>
      </c>
    </row>
    <row r="22" spans="1:18" s="196" customFormat="1" x14ac:dyDescent="0.25">
      <c r="A22" s="186" t="s">
        <v>7531</v>
      </c>
      <c r="B22" s="186" t="str">
        <f>IF(Recto!$C$3=H22,CONCATENATE(A22),"")</f>
        <v/>
      </c>
      <c r="C22" s="4" t="s">
        <v>631</v>
      </c>
      <c r="D22" s="183">
        <v>3</v>
      </c>
      <c r="E22" s="4" t="s">
        <v>7453</v>
      </c>
      <c r="F22" s="17">
        <v>97</v>
      </c>
      <c r="G22" s="163" t="s">
        <v>7532</v>
      </c>
      <c r="H22" s="196" t="s">
        <v>175</v>
      </c>
      <c r="I22" s="196" t="b">
        <f>IF(Verso!$B$22=Avantages!$A22,TRUE,FALSE)</f>
        <v>0</v>
      </c>
      <c r="J22" s="196" t="b">
        <f>IF(Verso!$B$23=Avantages!$A22,TRUE,FALSE)</f>
        <v>0</v>
      </c>
      <c r="K22" s="196" t="b">
        <f>IF(Verso!$B$24=Avantages!$A22,TRUE,FALSE)</f>
        <v>0</v>
      </c>
      <c r="L22" s="196" t="b">
        <f>IF(Verso!$B$25=Avantages!$A22,TRUE,FALSE)</f>
        <v>0</v>
      </c>
      <c r="M22" s="196" t="b">
        <f>IF(Verso!$B$26=Avantages!$A22,TRUE,FALSE)</f>
        <v>0</v>
      </c>
      <c r="N22" s="196" t="b">
        <f>IF(OR(I22=TRUE,J22=TRUE,K22=TRUE,L22=TRUE,M22=TRUE),TRUE,FALSE)</f>
        <v>0</v>
      </c>
      <c r="O22" s="295"/>
      <c r="P22" s="196" t="str">
        <f t="shared" si="1"/>
        <v/>
      </c>
      <c r="Q22" s="196">
        <f t="shared" si="2"/>
        <v>69</v>
      </c>
      <c r="R22" s="578" t="str">
        <f t="shared" si="3"/>
        <v>Caresse des Royaumes Spirituels: Maigo no Musha</v>
      </c>
    </row>
    <row r="23" spans="1:18" s="196" customFormat="1" x14ac:dyDescent="0.25">
      <c r="A23" s="186" t="s">
        <v>7551</v>
      </c>
      <c r="B23" s="186" t="str">
        <f>IF(Recto!$C$3=H23,CONCATENATE(A23),"")</f>
        <v/>
      </c>
      <c r="C23" s="4" t="s">
        <v>631</v>
      </c>
      <c r="D23" s="183">
        <v>4</v>
      </c>
      <c r="E23" s="4" t="s">
        <v>7453</v>
      </c>
      <c r="F23" s="17">
        <v>97</v>
      </c>
      <c r="G23" s="163" t="s">
        <v>7552</v>
      </c>
      <c r="H23" s="196" t="s">
        <v>33</v>
      </c>
      <c r="I23" s="196" t="b">
        <f>IF(Verso!$B$22=Avantages!$A23,TRUE,FALSE)</f>
        <v>0</v>
      </c>
      <c r="J23" s="196" t="b">
        <f>IF(Verso!$B$23=Avantages!$A23,TRUE,FALSE)</f>
        <v>0</v>
      </c>
      <c r="K23" s="196" t="b">
        <f>IF(Verso!$B$24=Avantages!$A23,TRUE,FALSE)</f>
        <v>0</v>
      </c>
      <c r="L23" s="196" t="b">
        <f>IF(Verso!$B$25=Avantages!$A23,TRUE,FALSE)</f>
        <v>0</v>
      </c>
      <c r="M23" s="196" t="b">
        <f>IF(Verso!$B$26=Avantages!$A23,TRUE,FALSE)</f>
        <v>0</v>
      </c>
      <c r="N23" s="196" t="b">
        <f>IF(OR(I23=TRUE,J23=TRUE,K23=TRUE,L23=TRUE,M23=TRUE),TRUE,FALSE)</f>
        <v>0</v>
      </c>
      <c r="O23" s="295"/>
      <c r="P23" s="196" t="str">
        <f t="shared" si="1"/>
        <v/>
      </c>
      <c r="Q23" s="196">
        <f t="shared" si="2"/>
        <v>70</v>
      </c>
      <c r="R23" s="578" t="str">
        <f t="shared" si="3"/>
        <v>Caresse des Royaumes Spirituels: Meido</v>
      </c>
    </row>
    <row r="24" spans="1:18" x14ac:dyDescent="0.25">
      <c r="A24" s="186" t="s">
        <v>5777</v>
      </c>
      <c r="B24" s="186" t="str">
        <f>IF(Recto!$C$3=H24,CONCATENATE(A24),"")</f>
        <v/>
      </c>
      <c r="C24" s="4" t="s">
        <v>631</v>
      </c>
      <c r="D24" s="183">
        <v>5</v>
      </c>
      <c r="E24" s="4" t="s">
        <v>3</v>
      </c>
      <c r="F24" s="17">
        <v>146</v>
      </c>
      <c r="G24" s="163" t="s">
        <v>703</v>
      </c>
      <c r="H24" t="s">
        <v>178</v>
      </c>
      <c r="I24" s="196" t="b">
        <f>IF(Verso!$B$22=Avantages!$A24,TRUE,FALSE)</f>
        <v>0</v>
      </c>
      <c r="J24" s="196" t="b">
        <f>IF(Verso!$B$23=Avantages!$A24,TRUE,FALSE)</f>
        <v>0</v>
      </c>
      <c r="K24" s="196" t="b">
        <f>IF(Verso!$B$24=Avantages!$A24,TRUE,FALSE)</f>
        <v>0</v>
      </c>
      <c r="L24" s="196" t="b">
        <f>IF(Verso!$B$25=Avantages!$A24,TRUE,FALSE)</f>
        <v>0</v>
      </c>
      <c r="M24" s="196" t="b">
        <f>IF(Verso!$B$26=Avantages!$A24,TRUE,FALSE)</f>
        <v>0</v>
      </c>
      <c r="N24" s="196" t="b">
        <f t="shared" si="0"/>
        <v>0</v>
      </c>
      <c r="P24" s="196" t="str">
        <f t="shared" si="1"/>
        <v/>
      </c>
      <c r="Q24" s="196">
        <f t="shared" si="2"/>
        <v>71</v>
      </c>
      <c r="R24" s="578" t="str">
        <f t="shared" si="3"/>
        <v>Caresse des Royaumes Spirituels: Sakkaku</v>
      </c>
    </row>
    <row r="25" spans="1:18" s="196" customFormat="1" x14ac:dyDescent="0.25">
      <c r="A25" s="186" t="s">
        <v>9089</v>
      </c>
      <c r="B25" s="186" t="s">
        <v>9089</v>
      </c>
      <c r="C25" s="4" t="s">
        <v>631</v>
      </c>
      <c r="D25" s="183">
        <v>5</v>
      </c>
      <c r="E25" s="4" t="s">
        <v>9070</v>
      </c>
      <c r="F25" s="17">
        <v>180</v>
      </c>
      <c r="G25" s="163" t="s">
        <v>9090</v>
      </c>
      <c r="H25" s="196" t="s">
        <v>337</v>
      </c>
      <c r="I25" s="196" t="b">
        <f>IF(Verso!$B$22=Avantages!$A25,TRUE,FALSE)</f>
        <v>0</v>
      </c>
      <c r="J25" s="196" t="b">
        <f>IF(Verso!$B$23=Avantages!$A25,TRUE,FALSE)</f>
        <v>0</v>
      </c>
      <c r="K25" s="196" t="b">
        <f>IF(Verso!$B$24=Avantages!$A25,TRUE,FALSE)</f>
        <v>0</v>
      </c>
      <c r="L25" s="196" t="b">
        <f>IF(Verso!$B$25=Avantages!$A25,TRUE,FALSE)</f>
        <v>0</v>
      </c>
      <c r="M25" s="196" t="b">
        <f>IF(Verso!$B$26=Avantages!$A25,TRUE,FALSE)</f>
        <v>0</v>
      </c>
      <c r="N25" s="196" t="b">
        <f t="shared" ref="N25" si="4">IF(OR(I25=TRUE,J25=TRUE,K25=TRUE,L25=TRUE,M25=TRUE),TRUE,FALSE)</f>
        <v>0</v>
      </c>
      <c r="O25" s="295"/>
      <c r="P25" s="196">
        <f t="shared" si="1"/>
        <v>25</v>
      </c>
      <c r="Q25" s="196">
        <f t="shared" si="2"/>
        <v>72</v>
      </c>
      <c r="R25" s="578" t="str">
        <f t="shared" si="3"/>
        <v>Caresse des Royaumes Spirituels: Tengoku</v>
      </c>
    </row>
    <row r="26" spans="1:18" x14ac:dyDescent="0.25">
      <c r="A26" s="186" t="s">
        <v>5778</v>
      </c>
      <c r="B26" s="186" t="str">
        <f>IF(Recto!$C$3=H26,CONCATENATE(A26),"")</f>
        <v/>
      </c>
      <c r="C26" s="4" t="s">
        <v>631</v>
      </c>
      <c r="D26" s="183">
        <v>6</v>
      </c>
      <c r="E26" s="4" t="s">
        <v>3</v>
      </c>
      <c r="F26" s="17">
        <v>146</v>
      </c>
      <c r="G26" s="163" t="s">
        <v>702</v>
      </c>
      <c r="H26" t="s">
        <v>20</v>
      </c>
      <c r="I26" s="196" t="b">
        <f>IF(Verso!$B$22=Avantages!$A26,TRUE,FALSE)</f>
        <v>0</v>
      </c>
      <c r="J26" s="196" t="b">
        <f>IF(Verso!$B$23=Avantages!$A26,TRUE,FALSE)</f>
        <v>0</v>
      </c>
      <c r="K26" s="196" t="b">
        <f>IF(Verso!$B$24=Avantages!$A26,TRUE,FALSE)</f>
        <v>0</v>
      </c>
      <c r="L26" s="196" t="b">
        <f>IF(Verso!$B$25=Avantages!$A26,TRUE,FALSE)</f>
        <v>0</v>
      </c>
      <c r="M26" s="196" t="b">
        <f>IF(Verso!$B$26=Avantages!$A26,TRUE,FALSE)</f>
        <v>0</v>
      </c>
      <c r="N26" s="196" t="b">
        <f t="shared" si="0"/>
        <v>0</v>
      </c>
      <c r="P26" s="196" t="str">
        <f t="shared" si="1"/>
        <v/>
      </c>
      <c r="Q26" s="196">
        <f t="shared" si="2"/>
        <v>73</v>
      </c>
      <c r="R26" s="578" t="str">
        <f t="shared" si="3"/>
        <v>Caresse des Royaumes Spirituels: Toshigoku</v>
      </c>
    </row>
    <row r="27" spans="1:18" x14ac:dyDescent="0.25">
      <c r="A27" s="186" t="s">
        <v>8114</v>
      </c>
      <c r="B27" s="186" t="str">
        <f>IF(Recto!$C$3=H27,CONCATENATE(A27),"")</f>
        <v/>
      </c>
      <c r="C27" s="4" t="s">
        <v>631</v>
      </c>
      <c r="D27" s="183">
        <v>9</v>
      </c>
      <c r="E27" s="4" t="s">
        <v>2074</v>
      </c>
      <c r="F27" s="17">
        <v>75</v>
      </c>
      <c r="G27" s="163" t="s">
        <v>8115</v>
      </c>
      <c r="H27" t="s">
        <v>176</v>
      </c>
      <c r="I27" s="196" t="b">
        <f>IF(Verso!$B$22=Avantages!$A27,TRUE,FALSE)</f>
        <v>0</v>
      </c>
      <c r="J27" s="196" t="b">
        <f>IF(Verso!$B$23=Avantages!$A27,TRUE,FALSE)</f>
        <v>0</v>
      </c>
      <c r="K27" s="196" t="b">
        <f>IF(Verso!$B$24=Avantages!$A27,TRUE,FALSE)</f>
        <v>0</v>
      </c>
      <c r="L27" s="196" t="b">
        <f>IF(Verso!$B$25=Avantages!$A27,TRUE,FALSE)</f>
        <v>0</v>
      </c>
      <c r="M27" s="196" t="b">
        <f>IF(Verso!$B$26=Avantages!$A27,TRUE,FALSE)</f>
        <v>0</v>
      </c>
      <c r="N27" s="196" t="b">
        <f>IF(OR(I27=TRUE,J27=TRUE,K27=TRUE,L27=TRUE,M27=TRUE),TRUE,FALSE)</f>
        <v>0</v>
      </c>
      <c r="P27" s="196" t="str">
        <f t="shared" si="1"/>
        <v/>
      </c>
      <c r="Q27" s="196">
        <f t="shared" si="2"/>
        <v>75</v>
      </c>
      <c r="R27" s="578" t="str">
        <f t="shared" si="3"/>
        <v>Caresse des Royaumes Spirituels: Yomi</v>
      </c>
    </row>
    <row r="28" spans="1:18" x14ac:dyDescent="0.25">
      <c r="A28" s="186" t="s">
        <v>5779</v>
      </c>
      <c r="B28" s="186" t="str">
        <f>IF(Recto!$C$3=H28,CONCATENATE(A28),"")</f>
        <v/>
      </c>
      <c r="C28" s="4" t="s">
        <v>631</v>
      </c>
      <c r="D28" s="183">
        <v>5</v>
      </c>
      <c r="E28" s="4" t="s">
        <v>3</v>
      </c>
      <c r="F28" s="17">
        <v>146</v>
      </c>
      <c r="G28" s="163" t="s">
        <v>7502</v>
      </c>
      <c r="H28" s="196" t="s">
        <v>181</v>
      </c>
      <c r="I28" s="196" t="b">
        <f>IF(Verso!$B$22=Avantages!$A28,TRUE,FALSE)</f>
        <v>0</v>
      </c>
      <c r="J28" s="196" t="b">
        <f>IF(Verso!$B$23=Avantages!$A28,TRUE,FALSE)</f>
        <v>0</v>
      </c>
      <c r="K28" s="196" t="b">
        <f>IF(Verso!$B$24=Avantages!$A28,TRUE,FALSE)</f>
        <v>0</v>
      </c>
      <c r="L28" s="196" t="b">
        <f>IF(Verso!$B$25=Avantages!$A28,TRUE,FALSE)</f>
        <v>0</v>
      </c>
      <c r="M28" s="196" t="b">
        <f>IF(Verso!$B$26=Avantages!$A28,TRUE,FALSE)</f>
        <v>0</v>
      </c>
      <c r="N28" s="196" t="b">
        <f t="shared" si="0"/>
        <v>0</v>
      </c>
      <c r="P28" s="196" t="str">
        <f t="shared" si="1"/>
        <v/>
      </c>
      <c r="Q28" s="196">
        <f t="shared" si="2"/>
        <v>76</v>
      </c>
      <c r="R28" s="578" t="str">
        <f t="shared" si="3"/>
        <v>Caresse des Royaumes Spirituels: Yume-do</v>
      </c>
    </row>
    <row r="29" spans="1:18" s="196" customFormat="1" x14ac:dyDescent="0.25">
      <c r="A29" s="186" t="s">
        <v>7529</v>
      </c>
      <c r="B29" s="186" t="str">
        <f>IF(OR(Clan="Crabe",Clan="Obake",Clan="Sauterelle"),CONCATENATE(A29),"")</f>
        <v/>
      </c>
      <c r="C29" s="4" t="s">
        <v>631</v>
      </c>
      <c r="D29" s="183">
        <v>6</v>
      </c>
      <c r="E29" s="4" t="s">
        <v>7453</v>
      </c>
      <c r="F29" s="17">
        <v>97</v>
      </c>
      <c r="G29" s="163" t="s">
        <v>7530</v>
      </c>
      <c r="H29" s="196" t="s">
        <v>175</v>
      </c>
      <c r="I29" s="196" t="b">
        <f>IF(Verso!$B$22=Avantages!$A29,TRUE,FALSE)</f>
        <v>0</v>
      </c>
      <c r="J29" s="196" t="b">
        <f>IF(Verso!$B$23=Avantages!$A29,TRUE,FALSE)</f>
        <v>0</v>
      </c>
      <c r="K29" s="196" t="b">
        <f>IF(Verso!$B$24=Avantages!$A29,TRUE,FALSE)</f>
        <v>0</v>
      </c>
      <c r="L29" s="196" t="b">
        <f>IF(Verso!$B$25=Avantages!$A29,TRUE,FALSE)</f>
        <v>0</v>
      </c>
      <c r="M29" s="196" t="b">
        <f>IF(Verso!$B$26=Avantages!$A29,TRUE,FALSE)</f>
        <v>0</v>
      </c>
      <c r="N29" s="196" t="b">
        <f>IF(OR(I29=TRUE,J29=TRUE,K29=TRUE,L29=TRUE,M29=TRUE),TRUE,FALSE)</f>
        <v>0</v>
      </c>
      <c r="O29" s="295"/>
      <c r="P29" s="196" t="str">
        <f t="shared" si="1"/>
        <v/>
      </c>
      <c r="Q29" s="196">
        <f t="shared" si="2"/>
        <v>77</v>
      </c>
      <c r="R29" s="578" t="str">
        <f t="shared" si="3"/>
        <v>Chanceux Exeptionnel</v>
      </c>
    </row>
    <row r="30" spans="1:18" x14ac:dyDescent="0.25">
      <c r="A30" s="186" t="s">
        <v>5780</v>
      </c>
      <c r="B30" s="186" t="str">
        <f>IF(Recto!$C$3=H30,CONCATENATE(A30),"")</f>
        <v/>
      </c>
      <c r="C30" s="4" t="s">
        <v>631</v>
      </c>
      <c r="D30" s="183">
        <v>6</v>
      </c>
      <c r="E30" s="4" t="s">
        <v>2076</v>
      </c>
      <c r="F30" s="17">
        <v>29</v>
      </c>
      <c r="G30" s="163" t="s">
        <v>872</v>
      </c>
      <c r="H30" s="196" t="s">
        <v>388</v>
      </c>
      <c r="I30" s="196" t="b">
        <f>IF(Verso!$B$22=Avantages!$A30,TRUE,FALSE)</f>
        <v>0</v>
      </c>
      <c r="J30" s="196" t="b">
        <f>IF(Verso!$B$23=Avantages!$A30,TRUE,FALSE)</f>
        <v>0</v>
      </c>
      <c r="K30" s="196" t="b">
        <f>IF(Verso!$B$24=Avantages!$A30,TRUE,FALSE)</f>
        <v>0</v>
      </c>
      <c r="L30" s="196" t="b">
        <f>IF(Verso!$B$25=Avantages!$A30,TRUE,FALSE)</f>
        <v>0</v>
      </c>
      <c r="M30" s="196" t="b">
        <f>IF(Verso!$B$26=Avantages!$A30,TRUE,FALSE)</f>
        <v>0</v>
      </c>
      <c r="N30" s="196" t="b">
        <f t="shared" si="0"/>
        <v>0</v>
      </c>
      <c r="P30" s="196" t="str">
        <f t="shared" si="1"/>
        <v/>
      </c>
      <c r="Q30" s="196">
        <f t="shared" si="2"/>
        <v>78</v>
      </c>
      <c r="R30" s="578" t="str">
        <f t="shared" si="3"/>
        <v>Chanceux Majeur</v>
      </c>
    </row>
    <row r="31" spans="1:18" s="196" customFormat="1" x14ac:dyDescent="0.25">
      <c r="A31" s="186" t="s">
        <v>7541</v>
      </c>
      <c r="B31" s="186" t="str">
        <f>IF(Recto!$C$3=H31,CONCATENATE(A31),"")</f>
        <v/>
      </c>
      <c r="C31" s="4" t="s">
        <v>631</v>
      </c>
      <c r="D31" s="183">
        <v>5</v>
      </c>
      <c r="E31" s="4" t="s">
        <v>7453</v>
      </c>
      <c r="F31" s="17">
        <v>97</v>
      </c>
      <c r="G31" s="163" t="s">
        <v>7542</v>
      </c>
      <c r="H31" s="196" t="s">
        <v>178</v>
      </c>
      <c r="I31" s="196" t="b">
        <f>IF(Verso!$B$22=Avantages!$A31,TRUE,FALSE)</f>
        <v>0</v>
      </c>
      <c r="J31" s="196" t="b">
        <f>IF(Verso!$B$23=Avantages!$A31,TRUE,FALSE)</f>
        <v>0</v>
      </c>
      <c r="K31" s="196" t="b">
        <f>IF(Verso!$B$24=Avantages!$A31,TRUE,FALSE)</f>
        <v>0</v>
      </c>
      <c r="L31" s="196" t="b">
        <f>IF(Verso!$B$25=Avantages!$A31,TRUE,FALSE)</f>
        <v>0</v>
      </c>
      <c r="M31" s="196" t="b">
        <f>IF(Verso!$B$26=Avantages!$A31,TRUE,FALSE)</f>
        <v>0</v>
      </c>
      <c r="N31" s="196" t="b">
        <f>IF(OR(I31=TRUE,J31=TRUE,K31=TRUE,L31=TRUE,M31=TRUE),TRUE,FALSE)</f>
        <v>0</v>
      </c>
      <c r="O31" s="295"/>
      <c r="P31" s="196" t="str">
        <f t="shared" si="1"/>
        <v/>
      </c>
      <c r="Q31" s="196">
        <f t="shared" si="2"/>
        <v>79</v>
      </c>
      <c r="R31" s="578" t="str">
        <f t="shared" si="3"/>
        <v>Chanceux Mineur</v>
      </c>
    </row>
    <row r="32" spans="1:18" s="196" customFormat="1" x14ac:dyDescent="0.25">
      <c r="A32" s="186" t="s">
        <v>7560</v>
      </c>
      <c r="B32" s="186" t="str">
        <f>IF(Recto!$C$3=H32,CONCATENATE(A32),"")</f>
        <v/>
      </c>
      <c r="C32" s="4" t="s">
        <v>631</v>
      </c>
      <c r="D32" s="183">
        <v>6</v>
      </c>
      <c r="E32" s="4" t="s">
        <v>7453</v>
      </c>
      <c r="F32" s="17">
        <v>97</v>
      </c>
      <c r="G32" s="163" t="s">
        <v>7561</v>
      </c>
      <c r="H32" s="196" t="s">
        <v>181</v>
      </c>
      <c r="I32" s="196" t="b">
        <f>IF(Verso!$B$22=Avantages!$A32,TRUE,FALSE)</f>
        <v>0</v>
      </c>
      <c r="J32" s="196" t="b">
        <f>IF(Verso!$B$23=Avantages!$A32,TRUE,FALSE)</f>
        <v>0</v>
      </c>
      <c r="K32" s="196" t="b">
        <f>IF(Verso!$B$24=Avantages!$A32,TRUE,FALSE)</f>
        <v>0</v>
      </c>
      <c r="L32" s="196" t="b">
        <f>IF(Verso!$B$25=Avantages!$A32,TRUE,FALSE)</f>
        <v>0</v>
      </c>
      <c r="M32" s="196" t="b">
        <f>IF(Verso!$B$26=Avantages!$A32,TRUE,FALSE)</f>
        <v>0</v>
      </c>
      <c r="N32" s="196" t="b">
        <f>IF(OR(I32=TRUE,J32=TRUE,K32=TRUE,L32=TRUE,M32=TRUE),TRUE,FALSE)</f>
        <v>0</v>
      </c>
      <c r="O32" s="295"/>
      <c r="P32" s="196" t="str">
        <f t="shared" si="1"/>
        <v/>
      </c>
      <c r="Q32" s="196">
        <f t="shared" si="2"/>
        <v>80</v>
      </c>
      <c r="R32" s="578" t="str">
        <f t="shared" si="3"/>
        <v>Chanceux Moyen</v>
      </c>
    </row>
    <row r="33" spans="1:18" s="196" customFormat="1" x14ac:dyDescent="0.25">
      <c r="A33" s="186" t="s">
        <v>9091</v>
      </c>
      <c r="B33" s="186" t="str">
        <f>IF(Recto!$C$3=H33,CONCATENATE(A33),"")</f>
        <v/>
      </c>
      <c r="C33" s="4" t="s">
        <v>631</v>
      </c>
      <c r="D33" s="183">
        <v>4</v>
      </c>
      <c r="E33" s="4" t="s">
        <v>9070</v>
      </c>
      <c r="F33" s="17">
        <v>180</v>
      </c>
      <c r="G33" s="163" t="s">
        <v>9092</v>
      </c>
      <c r="H33" s="196" t="s">
        <v>53</v>
      </c>
      <c r="I33" s="196" t="b">
        <f>IF(Verso!$B$22=Avantages!$A33,TRUE,FALSE)</f>
        <v>0</v>
      </c>
      <c r="J33" s="196" t="b">
        <f>IF(Verso!$B$23=Avantages!$A33,TRUE,FALSE)</f>
        <v>0</v>
      </c>
      <c r="K33" s="196" t="b">
        <f>IF(Verso!$B$24=Avantages!$A33,TRUE,FALSE)</f>
        <v>0</v>
      </c>
      <c r="L33" s="196" t="b">
        <f>IF(Verso!$B$25=Avantages!$A33,TRUE,FALSE)</f>
        <v>0</v>
      </c>
      <c r="M33" s="196" t="b">
        <f>IF(Verso!$B$26=Avantages!$A33,TRUE,FALSE)</f>
        <v>0</v>
      </c>
      <c r="N33" s="196" t="b">
        <f>IF(OR(I33=TRUE,J33=TRUE,K33=TRUE,L33=TRUE,M33=TRUE),TRUE,FALSE)</f>
        <v>0</v>
      </c>
      <c r="O33" s="295"/>
      <c r="P33" s="196" t="str">
        <f t="shared" si="1"/>
        <v/>
      </c>
      <c r="Q33" s="196">
        <f t="shared" si="2"/>
        <v>81</v>
      </c>
      <c r="R33" s="578" t="str">
        <f t="shared" si="3"/>
        <v>Chantage (Statut de Rang 1)</v>
      </c>
    </row>
    <row r="34" spans="1:18" s="196" customFormat="1" x14ac:dyDescent="0.25">
      <c r="A34" s="186" t="s">
        <v>7549</v>
      </c>
      <c r="B34" s="186" t="str">
        <f>IF(OR(Clan="Chat",Clan="Scorpion"),CONCATENATE(A34),"")</f>
        <v/>
      </c>
      <c r="C34" s="4" t="s">
        <v>631</v>
      </c>
      <c r="D34" s="183">
        <v>5</v>
      </c>
      <c r="E34" s="4" t="s">
        <v>7453</v>
      </c>
      <c r="F34" s="17">
        <v>97</v>
      </c>
      <c r="G34" s="163" t="s">
        <v>7550</v>
      </c>
      <c r="H34" s="196" t="s">
        <v>175</v>
      </c>
      <c r="I34" s="196" t="b">
        <f>IF(Verso!$B$22=Avantages!$A34,TRUE,FALSE)</f>
        <v>0</v>
      </c>
      <c r="J34" s="196" t="b">
        <f>IF(Verso!$B$23=Avantages!$A34,TRUE,FALSE)</f>
        <v>0</v>
      </c>
      <c r="K34" s="196" t="b">
        <f>IF(Verso!$B$24=Avantages!$A34,TRUE,FALSE)</f>
        <v>0</v>
      </c>
      <c r="L34" s="196" t="b">
        <f>IF(Verso!$B$25=Avantages!$A34,TRUE,FALSE)</f>
        <v>0</v>
      </c>
      <c r="M34" s="196" t="b">
        <f>IF(Verso!$B$26=Avantages!$A34,TRUE,FALSE)</f>
        <v>0</v>
      </c>
      <c r="N34" s="196" t="b">
        <f>IF(OR(I34=TRUE,J34=TRUE,K34=TRUE,L34=TRUE,M34=TRUE),TRUE,FALSE)</f>
        <v>0</v>
      </c>
      <c r="O34" s="295"/>
      <c r="P34" s="196" t="str">
        <f t="shared" si="1"/>
        <v/>
      </c>
      <c r="Q34" s="196">
        <f t="shared" si="2"/>
        <v>82</v>
      </c>
      <c r="R34" s="578" t="str">
        <f t="shared" si="3"/>
        <v>Chantage (Statut de Rang 10)</v>
      </c>
    </row>
    <row r="35" spans="1:18" x14ac:dyDescent="0.25">
      <c r="A35" s="186" t="s">
        <v>5781</v>
      </c>
      <c r="B35" s="186" t="str">
        <f>IF(Recto!$C$3=H35,CONCATENATE(A35),"")</f>
        <v/>
      </c>
      <c r="C35" s="4" t="s">
        <v>631</v>
      </c>
      <c r="D35" s="183">
        <v>5</v>
      </c>
      <c r="E35" s="4" t="s">
        <v>3</v>
      </c>
      <c r="F35" s="17">
        <v>146</v>
      </c>
      <c r="G35" s="163" t="s">
        <v>8169</v>
      </c>
      <c r="H35" s="196" t="s">
        <v>175</v>
      </c>
      <c r="I35" s="196" t="b">
        <f>IF(Verso!$B$22=Avantages!$A35,TRUE,FALSE)</f>
        <v>0</v>
      </c>
      <c r="J35" s="196" t="b">
        <f>IF(Verso!$B$23=Avantages!$A35,TRUE,FALSE)</f>
        <v>0</v>
      </c>
      <c r="K35" s="196" t="b">
        <f>IF(Verso!$B$24=Avantages!$A35,TRUE,FALSE)</f>
        <v>0</v>
      </c>
      <c r="L35" s="196" t="b">
        <f>IF(Verso!$B$25=Avantages!$A35,TRUE,FALSE)</f>
        <v>0</v>
      </c>
      <c r="M35" s="196" t="b">
        <f>IF(Verso!$B$26=Avantages!$A35,TRUE,FALSE)</f>
        <v>0</v>
      </c>
      <c r="N35" s="196" t="b">
        <f t="shared" si="0"/>
        <v>0</v>
      </c>
      <c r="P35" s="196" t="str">
        <f t="shared" si="1"/>
        <v/>
      </c>
      <c r="Q35" s="196">
        <f t="shared" si="2"/>
        <v>83</v>
      </c>
      <c r="R35" s="578" t="str">
        <f t="shared" si="3"/>
        <v>Chantage (Statut de Rang 2)</v>
      </c>
    </row>
    <row r="36" spans="1:18" x14ac:dyDescent="0.25">
      <c r="A36" s="186" t="s">
        <v>5782</v>
      </c>
      <c r="B36" s="186" t="str">
        <f>IF(Recto!$C$3=H36,CONCATENATE(A36),"")</f>
        <v/>
      </c>
      <c r="C36" s="4" t="s">
        <v>631</v>
      </c>
      <c r="D36" s="183">
        <v>5</v>
      </c>
      <c r="E36" s="4" t="s">
        <v>3</v>
      </c>
      <c r="F36" s="17">
        <v>146</v>
      </c>
      <c r="G36" s="163" t="s">
        <v>701</v>
      </c>
      <c r="H36" s="196" t="s">
        <v>176</v>
      </c>
      <c r="I36" s="196" t="b">
        <f>IF(Verso!$B$22=Avantages!$A36,TRUE,FALSE)</f>
        <v>0</v>
      </c>
      <c r="J36" s="196" t="b">
        <f>IF(Verso!$B$23=Avantages!$A36,TRUE,FALSE)</f>
        <v>0</v>
      </c>
      <c r="K36" s="196" t="b">
        <f>IF(Verso!$B$24=Avantages!$A36,TRUE,FALSE)</f>
        <v>0</v>
      </c>
      <c r="L36" s="196" t="b">
        <f>IF(Verso!$B$25=Avantages!$A36,TRUE,FALSE)</f>
        <v>0</v>
      </c>
      <c r="M36" s="196" t="b">
        <f>IF(Verso!$B$26=Avantages!$A36,TRUE,FALSE)</f>
        <v>0</v>
      </c>
      <c r="N36" s="196" t="b">
        <f t="shared" si="0"/>
        <v>0</v>
      </c>
      <c r="P36" s="196" t="str">
        <f t="shared" si="1"/>
        <v/>
      </c>
      <c r="Q36" s="196">
        <f t="shared" si="2"/>
        <v>84</v>
      </c>
      <c r="R36" s="578" t="str">
        <f t="shared" si="3"/>
        <v>Chantage (Statut de Rang 3)</v>
      </c>
    </row>
    <row r="37" spans="1:18" x14ac:dyDescent="0.25">
      <c r="A37" s="186" t="s">
        <v>5783</v>
      </c>
      <c r="B37" s="186" t="str">
        <f>IF(Recto!$C$3=H37,CONCATENATE(A37),"")</f>
        <v/>
      </c>
      <c r="C37" s="4" t="s">
        <v>631</v>
      </c>
      <c r="D37" s="183">
        <v>4</v>
      </c>
      <c r="E37" s="4" t="s">
        <v>3</v>
      </c>
      <c r="F37" s="17">
        <v>146</v>
      </c>
      <c r="G37" s="163" t="s">
        <v>7534</v>
      </c>
      <c r="H37" t="s">
        <v>33</v>
      </c>
      <c r="I37" s="196" t="b">
        <f>IF(Verso!$B$22=Avantages!$A37,TRUE,FALSE)</f>
        <v>0</v>
      </c>
      <c r="J37" s="196" t="b">
        <f>IF(Verso!$B$23=Avantages!$A37,TRUE,FALSE)</f>
        <v>0</v>
      </c>
      <c r="K37" s="196" t="b">
        <f>IF(Verso!$B$24=Avantages!$A37,TRUE,FALSE)</f>
        <v>0</v>
      </c>
      <c r="L37" s="196" t="b">
        <f>IF(Verso!$B$25=Avantages!$A37,TRUE,FALSE)</f>
        <v>0</v>
      </c>
      <c r="M37" s="196" t="b">
        <f>IF(Verso!$B$26=Avantages!$A37,TRUE,FALSE)</f>
        <v>0</v>
      </c>
      <c r="N37" s="196" t="b">
        <f t="shared" si="0"/>
        <v>0</v>
      </c>
      <c r="P37" s="196" t="str">
        <f t="shared" si="1"/>
        <v/>
      </c>
      <c r="Q37" s="196">
        <f t="shared" si="2"/>
        <v>85</v>
      </c>
      <c r="R37" s="578" t="str">
        <f t="shared" si="3"/>
        <v>Chantage (Statut de Rang 4)</v>
      </c>
    </row>
    <row r="38" spans="1:18" x14ac:dyDescent="0.25">
      <c r="A38" s="186" t="s">
        <v>5784</v>
      </c>
      <c r="B38" s="186" t="str">
        <f>IF(Recto!$C$3=H38,CONCATENATE(A38),"")</f>
        <v/>
      </c>
      <c r="C38" s="4" t="s">
        <v>631</v>
      </c>
      <c r="D38" s="183">
        <v>3</v>
      </c>
      <c r="E38" s="4" t="s">
        <v>3</v>
      </c>
      <c r="F38" s="17">
        <v>146</v>
      </c>
      <c r="G38" s="163" t="s">
        <v>700</v>
      </c>
      <c r="H38" t="s">
        <v>15</v>
      </c>
      <c r="I38" s="196" t="b">
        <f>IF(Verso!$B$22=Avantages!$A38,TRUE,FALSE)</f>
        <v>0</v>
      </c>
      <c r="J38" s="196" t="b">
        <f>IF(Verso!$B$23=Avantages!$A38,TRUE,FALSE)</f>
        <v>0</v>
      </c>
      <c r="K38" s="196" t="b">
        <f>IF(Verso!$B$24=Avantages!$A38,TRUE,FALSE)</f>
        <v>0</v>
      </c>
      <c r="L38" s="196" t="b">
        <f>IF(Verso!$B$25=Avantages!$A38,TRUE,FALSE)</f>
        <v>0</v>
      </c>
      <c r="M38" s="196" t="b">
        <f>IF(Verso!$B$26=Avantages!$A38,TRUE,FALSE)</f>
        <v>0</v>
      </c>
      <c r="N38" s="196" t="b">
        <f t="shared" si="0"/>
        <v>0</v>
      </c>
      <c r="P38" s="196" t="str">
        <f t="shared" si="1"/>
        <v/>
      </c>
      <c r="Q38" s="196">
        <f t="shared" si="2"/>
        <v>86</v>
      </c>
      <c r="R38" s="578" t="str">
        <f t="shared" si="3"/>
        <v>Chantage (Statut de Rang 5)</v>
      </c>
    </row>
    <row r="39" spans="1:18" s="196" customFormat="1" x14ac:dyDescent="0.25">
      <c r="A39" s="186" t="s">
        <v>7533</v>
      </c>
      <c r="B39" s="186" t="str">
        <f>IF(Recto!$C$3=H38,CONCATENATE(A38),"")</f>
        <v/>
      </c>
      <c r="C39" s="4" t="s">
        <v>631</v>
      </c>
      <c r="D39" s="183">
        <v>4</v>
      </c>
      <c r="E39" s="4" t="s">
        <v>7453</v>
      </c>
      <c r="F39" s="17">
        <v>97</v>
      </c>
      <c r="G39" s="163" t="s">
        <v>7535</v>
      </c>
      <c r="H39" s="196" t="s">
        <v>176</v>
      </c>
      <c r="I39" s="196" t="b">
        <f>IF(Verso!$B$22=Avantages!$A39,TRUE,FALSE)</f>
        <v>0</v>
      </c>
      <c r="J39" s="196" t="b">
        <f>IF(Verso!$B$23=Avantages!$A39,TRUE,FALSE)</f>
        <v>0</v>
      </c>
      <c r="K39" s="196" t="b">
        <f>IF(Verso!$B$24=Avantages!$A39,TRUE,FALSE)</f>
        <v>0</v>
      </c>
      <c r="L39" s="196" t="b">
        <f>IF(Verso!$B$25=Avantages!$A39,TRUE,FALSE)</f>
        <v>0</v>
      </c>
      <c r="M39" s="196" t="b">
        <f>IF(Verso!$B$26=Avantages!$A39,TRUE,FALSE)</f>
        <v>0</v>
      </c>
      <c r="N39" s="196" t="b">
        <f t="shared" ref="N39:N52" si="5">IF(OR(I39=TRUE,J39=TRUE,K39=TRUE,L39=TRUE,M39=TRUE),TRUE,FALSE)</f>
        <v>0</v>
      </c>
      <c r="O39" s="295"/>
      <c r="P39" s="196" t="str">
        <f t="shared" si="1"/>
        <v/>
      </c>
      <c r="Q39" s="196">
        <f t="shared" si="2"/>
        <v>87</v>
      </c>
      <c r="R39" s="578" t="str">
        <f t="shared" si="3"/>
        <v>Chantage (Statut de Rang 6)</v>
      </c>
    </row>
    <row r="40" spans="1:18" s="196" customFormat="1" x14ac:dyDescent="0.25">
      <c r="A40" s="186" t="s">
        <v>7523</v>
      </c>
      <c r="B40" s="186" t="str">
        <f>IF(Recto!$C$3=H40,CONCATENATE(A40),"")</f>
        <v/>
      </c>
      <c r="C40" s="4" t="s">
        <v>631</v>
      </c>
      <c r="D40" s="183">
        <v>6</v>
      </c>
      <c r="E40" s="4" t="s">
        <v>7453</v>
      </c>
      <c r="F40" s="17">
        <v>97</v>
      </c>
      <c r="G40" s="163" t="s">
        <v>7525</v>
      </c>
      <c r="H40" s="196" t="s">
        <v>175</v>
      </c>
      <c r="I40" s="196" t="b">
        <f>IF(Verso!$B$22=Avantages!$A40,TRUE,FALSE)</f>
        <v>0</v>
      </c>
      <c r="J40" s="196" t="b">
        <f>IF(Verso!$B$23=Avantages!$A40,TRUE,FALSE)</f>
        <v>0</v>
      </c>
      <c r="K40" s="196" t="b">
        <f>IF(Verso!$B$24=Avantages!$A40,TRUE,FALSE)</f>
        <v>0</v>
      </c>
      <c r="L40" s="196" t="b">
        <f>IF(Verso!$B$25=Avantages!$A40,TRUE,FALSE)</f>
        <v>0</v>
      </c>
      <c r="M40" s="196" t="b">
        <f>IF(Verso!$B$26=Avantages!$A40,TRUE,FALSE)</f>
        <v>0</v>
      </c>
      <c r="N40" s="196" t="b">
        <f t="shared" si="5"/>
        <v>0</v>
      </c>
      <c r="O40" s="295"/>
      <c r="P40" s="196" t="str">
        <f t="shared" si="1"/>
        <v/>
      </c>
      <c r="Q40" s="196">
        <f t="shared" si="2"/>
        <v>88</v>
      </c>
      <c r="R40" s="578" t="str">
        <f t="shared" si="3"/>
        <v>Chantage (Statut de Rang 7)</v>
      </c>
    </row>
    <row r="41" spans="1:18" s="196" customFormat="1" x14ac:dyDescent="0.25">
      <c r="A41" s="186" t="s">
        <v>7527</v>
      </c>
      <c r="B41" s="186" t="str">
        <f>IF(Recto!$C$3=H41,CONCATENATE(A41),"")</f>
        <v/>
      </c>
      <c r="C41" s="4" t="s">
        <v>631</v>
      </c>
      <c r="D41" s="183">
        <v>5</v>
      </c>
      <c r="E41" s="4" t="s">
        <v>7453</v>
      </c>
      <c r="F41" s="17">
        <v>97</v>
      </c>
      <c r="G41" s="163" t="s">
        <v>7528</v>
      </c>
      <c r="H41" s="196" t="s">
        <v>175</v>
      </c>
      <c r="I41" s="196" t="b">
        <f>IF(Verso!$B$22=Avantages!$A41,TRUE,FALSE)</f>
        <v>0</v>
      </c>
      <c r="J41" s="196" t="b">
        <f>IF(Verso!$B$23=Avantages!$A41,TRUE,FALSE)</f>
        <v>0</v>
      </c>
      <c r="K41" s="196" t="b">
        <f>IF(Verso!$B$24=Avantages!$A41,TRUE,FALSE)</f>
        <v>0</v>
      </c>
      <c r="L41" s="196" t="b">
        <f>IF(Verso!$B$25=Avantages!$A41,TRUE,FALSE)</f>
        <v>0</v>
      </c>
      <c r="M41" s="196" t="b">
        <f>IF(Verso!$B$26=Avantages!$A41,TRUE,FALSE)</f>
        <v>0</v>
      </c>
      <c r="N41" s="196" t="b">
        <f t="shared" si="5"/>
        <v>0</v>
      </c>
      <c r="O41" s="295"/>
      <c r="P41" s="196" t="str">
        <f t="shared" si="1"/>
        <v/>
      </c>
      <c r="Q41" s="196">
        <f t="shared" si="2"/>
        <v>89</v>
      </c>
      <c r="R41" s="578" t="str">
        <f t="shared" si="3"/>
        <v>Chantage (Statut de Rang 8)</v>
      </c>
    </row>
    <row r="42" spans="1:18" s="196" customFormat="1" x14ac:dyDescent="0.25">
      <c r="A42" s="186" t="s">
        <v>7456</v>
      </c>
      <c r="B42" s="186" t="str">
        <f>IF(Contexte_jeu&lt;&gt;"L'Empire Stellaire d'Emeraude","",IF(Recto!$C$3=H42,CONCATENATE(A42),""))</f>
        <v/>
      </c>
      <c r="C42" s="4" t="s">
        <v>631</v>
      </c>
      <c r="D42" s="183">
        <v>6</v>
      </c>
      <c r="E42" s="4" t="s">
        <v>7453</v>
      </c>
      <c r="F42" s="17">
        <v>97</v>
      </c>
      <c r="G42" s="163" t="s">
        <v>7458</v>
      </c>
      <c r="H42" s="196" t="s">
        <v>175</v>
      </c>
      <c r="I42" s="196" t="b">
        <f>IF(Verso!$B$22=Avantages!$A42,TRUE,FALSE)</f>
        <v>0</v>
      </c>
      <c r="J42" s="196" t="b">
        <f>IF(Verso!$B$23=Avantages!$A42,TRUE,FALSE)</f>
        <v>0</v>
      </c>
      <c r="K42" s="196" t="b">
        <f>IF(Verso!$B$24=Avantages!$A42,TRUE,FALSE)</f>
        <v>0</v>
      </c>
      <c r="L42" s="196" t="b">
        <f>IF(Verso!$B$25=Avantages!$A42,TRUE,FALSE)</f>
        <v>0</v>
      </c>
      <c r="M42" s="196" t="b">
        <f>IF(Verso!$B$26=Avantages!$A42,TRUE,FALSE)</f>
        <v>0</v>
      </c>
      <c r="N42" s="196" t="b">
        <f t="shared" si="5"/>
        <v>0</v>
      </c>
      <c r="O42" s="295"/>
      <c r="P42" s="196" t="str">
        <f t="shared" si="1"/>
        <v/>
      </c>
      <c r="Q42" s="196">
        <f t="shared" si="2"/>
        <v>90</v>
      </c>
      <c r="R42" s="578" t="str">
        <f t="shared" si="3"/>
        <v>Chantage (Statut de Rang 9)</v>
      </c>
    </row>
    <row r="43" spans="1:18" s="196" customFormat="1" x14ac:dyDescent="0.25">
      <c r="A43" s="186" t="s">
        <v>7545</v>
      </c>
      <c r="B43" s="186" t="str">
        <f>IF(Recto!$C$3=H43,CONCATENATE(A43),"")</f>
        <v/>
      </c>
      <c r="C43" s="4" t="s">
        <v>631</v>
      </c>
      <c r="D43" s="183">
        <v>6</v>
      </c>
      <c r="E43" s="4" t="s">
        <v>7453</v>
      </c>
      <c r="F43" s="17">
        <v>97</v>
      </c>
      <c r="G43" s="163" t="s">
        <v>7546</v>
      </c>
      <c r="H43" s="196" t="s">
        <v>177</v>
      </c>
      <c r="I43" s="196" t="b">
        <f>IF(Verso!$B$22=Avantages!$A43,TRUE,FALSE)</f>
        <v>0</v>
      </c>
      <c r="J43" s="196" t="b">
        <f>IF(Verso!$B$23=Avantages!$A43,TRUE,FALSE)</f>
        <v>0</v>
      </c>
      <c r="K43" s="196" t="b">
        <f>IF(Verso!$B$24=Avantages!$A43,TRUE,FALSE)</f>
        <v>0</v>
      </c>
      <c r="L43" s="196" t="b">
        <f>IF(Verso!$B$25=Avantages!$A43,TRUE,FALSE)</f>
        <v>0</v>
      </c>
      <c r="M43" s="196" t="b">
        <f>IF(Verso!$B$26=Avantages!$A43,TRUE,FALSE)</f>
        <v>0</v>
      </c>
      <c r="N43" s="196" t="b">
        <f t="shared" si="5"/>
        <v>0</v>
      </c>
      <c r="O43" s="295"/>
      <c r="P43" s="196" t="str">
        <f t="shared" si="1"/>
        <v/>
      </c>
      <c r="Q43" s="196">
        <f t="shared" si="2"/>
        <v>91</v>
      </c>
      <c r="R43" s="578" t="str">
        <f t="shared" si="3"/>
        <v>Choisi par les Oracles</v>
      </c>
    </row>
    <row r="44" spans="1:18" s="196" customFormat="1" x14ac:dyDescent="0.25">
      <c r="A44" s="186" t="s">
        <v>7499</v>
      </c>
      <c r="B44" s="186" t="str">
        <f>IF(Contexte_jeu&lt;&gt;"L'Empire Stellaire d'Emeraude","",IF(Recto!$C$3=H44,CONCATENATE(A44),""))</f>
        <v/>
      </c>
      <c r="C44" s="4" t="s">
        <v>631</v>
      </c>
      <c r="D44" s="183">
        <v>6</v>
      </c>
      <c r="E44" s="4" t="s">
        <v>7453</v>
      </c>
      <c r="F44" s="17">
        <v>97</v>
      </c>
      <c r="G44" s="163" t="s">
        <v>7500</v>
      </c>
      <c r="H44" s="196" t="s">
        <v>33</v>
      </c>
      <c r="I44" s="196" t="b">
        <f>IF(Verso!$B$22=Avantages!$A44,TRUE,FALSE)</f>
        <v>0</v>
      </c>
      <c r="J44" s="196" t="b">
        <f>IF(Verso!$B$23=Avantages!$A44,TRUE,FALSE)</f>
        <v>0</v>
      </c>
      <c r="K44" s="196" t="b">
        <f>IF(Verso!$B$24=Avantages!$A44,TRUE,FALSE)</f>
        <v>0</v>
      </c>
      <c r="L44" s="196" t="b">
        <f>IF(Verso!$B$25=Avantages!$A44,TRUE,FALSE)</f>
        <v>0</v>
      </c>
      <c r="M44" s="196" t="b">
        <f>IF(Verso!$B$26=Avantages!$A44,TRUE,FALSE)</f>
        <v>0</v>
      </c>
      <c r="N44" s="196" t="b">
        <f t="shared" si="5"/>
        <v>0</v>
      </c>
      <c r="O44" s="295"/>
      <c r="P44" s="196" t="str">
        <f t="shared" si="1"/>
        <v/>
      </c>
      <c r="Q44" s="196">
        <f t="shared" si="2"/>
        <v>92</v>
      </c>
      <c r="R44" s="578" t="str">
        <f t="shared" si="3"/>
        <v>Citoyen: Broken Wave</v>
      </c>
    </row>
    <row r="45" spans="1:18" s="196" customFormat="1" x14ac:dyDescent="0.25">
      <c r="A45" s="186" t="s">
        <v>7492</v>
      </c>
      <c r="B45" s="186" t="str">
        <f>IF(Contexte_jeu&lt;&gt;"L'Empire Stellaire d'Emeraude","",IF(Recto!$C$3=H45,CONCATENATE(A45),""))</f>
        <v/>
      </c>
      <c r="C45" s="4" t="s">
        <v>631</v>
      </c>
      <c r="D45" s="183">
        <v>8</v>
      </c>
      <c r="E45" s="4" t="s">
        <v>7453</v>
      </c>
      <c r="F45" s="17">
        <v>97</v>
      </c>
      <c r="G45" s="163" t="s">
        <v>7493</v>
      </c>
      <c r="H45" s="196" t="s">
        <v>15</v>
      </c>
      <c r="I45" s="196" t="b">
        <f>IF(Verso!$B$22=Avantages!$A45,TRUE,FALSE)</f>
        <v>0</v>
      </c>
      <c r="J45" s="196" t="b">
        <f>IF(Verso!$B$23=Avantages!$A45,TRUE,FALSE)</f>
        <v>0</v>
      </c>
      <c r="K45" s="196" t="b">
        <f>IF(Verso!$B$24=Avantages!$A45,TRUE,FALSE)</f>
        <v>0</v>
      </c>
      <c r="L45" s="196" t="b">
        <f>IF(Verso!$B$25=Avantages!$A45,TRUE,FALSE)</f>
        <v>0</v>
      </c>
      <c r="M45" s="196" t="b">
        <f>IF(Verso!$B$26=Avantages!$A45,TRUE,FALSE)</f>
        <v>0</v>
      </c>
      <c r="N45" s="196" t="b">
        <f t="shared" si="5"/>
        <v>0</v>
      </c>
      <c r="O45" s="295"/>
      <c r="P45" s="196" t="str">
        <f t="shared" si="1"/>
        <v/>
      </c>
      <c r="Q45" s="196">
        <f t="shared" si="2"/>
        <v>93</v>
      </c>
      <c r="R45" s="578" t="str">
        <f t="shared" si="3"/>
        <v>Citoyen: Clear Water</v>
      </c>
    </row>
    <row r="46" spans="1:18" s="196" customFormat="1" x14ac:dyDescent="0.25">
      <c r="A46" s="186" t="s">
        <v>7501</v>
      </c>
      <c r="B46" s="186" t="str">
        <f>IF(Contexte_jeu&lt;&gt;"L'Empire Stellaire d'Emeraude","",IF(Recto!$C$3=H46,CONCATENATE(A46),""))</f>
        <v/>
      </c>
      <c r="C46" s="4" t="s">
        <v>631</v>
      </c>
      <c r="D46" s="183">
        <v>7</v>
      </c>
      <c r="E46" s="4" t="s">
        <v>7453</v>
      </c>
      <c r="F46" s="17">
        <v>97</v>
      </c>
      <c r="G46" s="163" t="s">
        <v>7503</v>
      </c>
      <c r="H46" s="196" t="s">
        <v>181</v>
      </c>
      <c r="I46" s="196" t="b">
        <f>IF(Verso!$B$22=Avantages!$A46,TRUE,FALSE)</f>
        <v>0</v>
      </c>
      <c r="J46" s="196" t="b">
        <f>IF(Verso!$B$23=Avantages!$A46,TRUE,FALSE)</f>
        <v>0</v>
      </c>
      <c r="K46" s="196" t="b">
        <f>IF(Verso!$B$24=Avantages!$A46,TRUE,FALSE)</f>
        <v>0</v>
      </c>
      <c r="L46" s="196" t="b">
        <f>IF(Verso!$B$25=Avantages!$A46,TRUE,FALSE)</f>
        <v>0</v>
      </c>
      <c r="M46" s="196" t="b">
        <f>IF(Verso!$B$26=Avantages!$A46,TRUE,FALSE)</f>
        <v>0</v>
      </c>
      <c r="N46" s="196" t="b">
        <f t="shared" si="5"/>
        <v>0</v>
      </c>
      <c r="O46" s="295"/>
      <c r="P46" s="196" t="str">
        <f t="shared" si="1"/>
        <v/>
      </c>
      <c r="Q46" s="196">
        <f t="shared" si="2"/>
        <v>94</v>
      </c>
      <c r="R46" s="578" t="str">
        <f t="shared" si="3"/>
        <v>Citoyen: Dark Edge</v>
      </c>
    </row>
    <row r="47" spans="1:18" s="196" customFormat="1" x14ac:dyDescent="0.25">
      <c r="A47" s="186" t="s">
        <v>8201</v>
      </c>
      <c r="B47" s="186" t="str">
        <f>IF(Recto!$C$3=H47,CONCATENATE(A47),"")</f>
        <v/>
      </c>
      <c r="C47" s="4" t="s">
        <v>631</v>
      </c>
      <c r="D47" s="183">
        <v>6</v>
      </c>
      <c r="E47" s="4" t="s">
        <v>7453</v>
      </c>
      <c r="F47" s="17">
        <v>97</v>
      </c>
      <c r="G47" s="163" t="s">
        <v>7540</v>
      </c>
      <c r="H47" s="196" t="s">
        <v>20</v>
      </c>
      <c r="I47" s="196" t="b">
        <f>IF(Verso!$B$22=Avantages!$A47,TRUE,FALSE)</f>
        <v>0</v>
      </c>
      <c r="J47" s="196" t="b">
        <f>IF(Verso!$B$23=Avantages!$A47,TRUE,FALSE)</f>
        <v>0</v>
      </c>
      <c r="K47" s="196" t="b">
        <f>IF(Verso!$B$24=Avantages!$A47,TRUE,FALSE)</f>
        <v>0</v>
      </c>
      <c r="L47" s="196" t="b">
        <f>IF(Verso!$B$25=Avantages!$A47,TRUE,FALSE)</f>
        <v>0</v>
      </c>
      <c r="M47" s="196" t="b">
        <f>IF(Verso!$B$26=Avantages!$A47,TRUE,FALSE)</f>
        <v>0</v>
      </c>
      <c r="N47" s="196" t="b">
        <f t="shared" si="5"/>
        <v>0</v>
      </c>
      <c r="O47" s="295"/>
      <c r="P47" s="196" t="str">
        <f t="shared" si="1"/>
        <v/>
      </c>
      <c r="Q47" s="196">
        <f t="shared" si="2"/>
        <v>95</v>
      </c>
      <c r="R47" s="578" t="str">
        <f t="shared" si="3"/>
        <v>Citoyen: Cité Impériale</v>
      </c>
    </row>
    <row r="48" spans="1:18" s="196" customFormat="1" x14ac:dyDescent="0.25">
      <c r="A48" s="186" t="s">
        <v>7538</v>
      </c>
      <c r="B48" s="186" t="str">
        <f>IF(Recto!$C$3=H48,CONCATENATE(A48),"")</f>
        <v/>
      </c>
      <c r="C48" s="4" t="s">
        <v>631</v>
      </c>
      <c r="D48" s="183">
        <v>5</v>
      </c>
      <c r="E48" s="4" t="s">
        <v>7453</v>
      </c>
      <c r="F48" s="17">
        <v>97</v>
      </c>
      <c r="G48" s="163" t="s">
        <v>7539</v>
      </c>
      <c r="H48" s="196" t="s">
        <v>20</v>
      </c>
      <c r="I48" s="196" t="b">
        <f>IF(Verso!$B$22=Avantages!$A48,TRUE,FALSE)</f>
        <v>0</v>
      </c>
      <c r="J48" s="196" t="b">
        <f>IF(Verso!$B$23=Avantages!$A48,TRUE,FALSE)</f>
        <v>0</v>
      </c>
      <c r="K48" s="196" t="b">
        <f>IF(Verso!$B$24=Avantages!$A48,TRUE,FALSE)</f>
        <v>0</v>
      </c>
      <c r="L48" s="196" t="b">
        <f>IF(Verso!$B$25=Avantages!$A48,TRUE,FALSE)</f>
        <v>0</v>
      </c>
      <c r="M48" s="196" t="b">
        <f>IF(Verso!$B$26=Avantages!$A48,TRUE,FALSE)</f>
        <v>0</v>
      </c>
      <c r="N48" s="196" t="b">
        <f t="shared" si="5"/>
        <v>0</v>
      </c>
      <c r="O48" s="295"/>
      <c r="P48" s="196" t="str">
        <f t="shared" si="1"/>
        <v/>
      </c>
      <c r="Q48" s="196">
        <f t="shared" si="2"/>
        <v>96</v>
      </c>
      <c r="R48" s="578" t="str">
        <f t="shared" si="3"/>
        <v>Citoyen: Citoyen: Iron Heart</v>
      </c>
    </row>
    <row r="49" spans="1:18" s="196" customFormat="1" ht="13.95" customHeight="1" x14ac:dyDescent="0.25">
      <c r="A49" s="186" t="s">
        <v>7495</v>
      </c>
      <c r="B49" s="186" t="str">
        <f>IF(Contexte_jeu&lt;&gt;"L'Empire Stellaire d'Emeraude","",IF(Recto!$C$3=H49,CONCATENATE(A49),""))</f>
        <v/>
      </c>
      <c r="C49" s="4" t="s">
        <v>631</v>
      </c>
      <c r="D49" s="183">
        <v>7</v>
      </c>
      <c r="E49" s="4" t="s">
        <v>7453</v>
      </c>
      <c r="F49" s="17">
        <v>97</v>
      </c>
      <c r="G49" s="163" t="s">
        <v>7497</v>
      </c>
      <c r="H49" s="196" t="s">
        <v>178</v>
      </c>
      <c r="I49" s="196" t="b">
        <f>IF(Verso!$B$22=Avantages!$A49,TRUE,FALSE)</f>
        <v>0</v>
      </c>
      <c r="J49" s="196" t="b">
        <f>IF(Verso!$B$23=Avantages!$A49,TRUE,FALSE)</f>
        <v>0</v>
      </c>
      <c r="K49" s="196" t="b">
        <f>IF(Verso!$B$24=Avantages!$A49,TRUE,FALSE)</f>
        <v>0</v>
      </c>
      <c r="L49" s="196" t="b">
        <f>IF(Verso!$B$25=Avantages!$A49,TRUE,FALSE)</f>
        <v>0</v>
      </c>
      <c r="M49" s="196" t="b">
        <f>IF(Verso!$B$26=Avantages!$A49,TRUE,FALSE)</f>
        <v>0</v>
      </c>
      <c r="N49" s="196" t="b">
        <f t="shared" si="5"/>
        <v>0</v>
      </c>
      <c r="O49" s="295"/>
      <c r="P49" s="196" t="str">
        <f t="shared" si="1"/>
        <v/>
      </c>
      <c r="Q49" s="196">
        <f t="shared" si="2"/>
        <v>97</v>
      </c>
      <c r="R49" s="578" t="str">
        <f t="shared" si="3"/>
        <v>Citoyen: Laughing Plains</v>
      </c>
    </row>
    <row r="50" spans="1:18" s="196" customFormat="1" ht="13.95" customHeight="1" x14ac:dyDescent="0.25">
      <c r="A50" s="186" t="s">
        <v>7547</v>
      </c>
      <c r="B50" s="186" t="str">
        <f>IF(OR(Clan="Mante",Clan="Guêpe"),CONCATENATE(A50),"")</f>
        <v/>
      </c>
      <c r="C50" s="4" t="s">
        <v>631</v>
      </c>
      <c r="D50" s="183">
        <v>6</v>
      </c>
      <c r="E50" s="4" t="s">
        <v>7453</v>
      </c>
      <c r="F50" s="17">
        <v>97</v>
      </c>
      <c r="G50" s="163" t="s">
        <v>7548</v>
      </c>
      <c r="H50" s="196" t="s">
        <v>33</v>
      </c>
      <c r="I50" s="196" t="b">
        <f>IF(Verso!$B$22=Avantages!$A50,TRUE,FALSE)</f>
        <v>0</v>
      </c>
      <c r="J50" s="196" t="b">
        <f>IF(Verso!$B$23=Avantages!$A50,TRUE,FALSE)</f>
        <v>0</v>
      </c>
      <c r="K50" s="196" t="b">
        <f>IF(Verso!$B$24=Avantages!$A50,TRUE,FALSE)</f>
        <v>0</v>
      </c>
      <c r="L50" s="196" t="b">
        <f>IF(Verso!$B$25=Avantages!$A50,TRUE,FALSE)</f>
        <v>0</v>
      </c>
      <c r="M50" s="196" t="b">
        <f>IF(Verso!$B$26=Avantages!$A50,TRUE,FALSE)</f>
        <v>0</v>
      </c>
      <c r="N50" s="196" t="b">
        <f t="shared" si="5"/>
        <v>0</v>
      </c>
      <c r="O50" s="295"/>
      <c r="P50" s="196" t="str">
        <f t="shared" si="1"/>
        <v/>
      </c>
      <c r="Q50" s="196">
        <f t="shared" si="2"/>
        <v>99</v>
      </c>
      <c r="R50" s="578" t="str">
        <f t="shared" si="3"/>
        <v>Citoyen: Naishou</v>
      </c>
    </row>
    <row r="51" spans="1:18" s="196" customFormat="1" ht="13.95" customHeight="1" x14ac:dyDescent="0.25">
      <c r="A51" s="186" t="s">
        <v>9087</v>
      </c>
      <c r="B51" s="186" t="str">
        <f>IF(Clan="Imperial",CONCATENATE(A51),"")</f>
        <v/>
      </c>
      <c r="C51" s="4" t="s">
        <v>631</v>
      </c>
      <c r="D51" s="183">
        <v>2</v>
      </c>
      <c r="E51" s="4" t="s">
        <v>9070</v>
      </c>
      <c r="F51" s="17">
        <v>179</v>
      </c>
      <c r="G51" s="163" t="s">
        <v>9088</v>
      </c>
      <c r="H51" s="196" t="s">
        <v>47</v>
      </c>
      <c r="I51" s="196" t="b">
        <f>IF(Verso!$B$22=Avantages!$A51,TRUE,FALSE)</f>
        <v>0</v>
      </c>
      <c r="J51" s="196" t="b">
        <f>IF(Verso!$B$23=Avantages!$A51,TRUE,FALSE)</f>
        <v>0</v>
      </c>
      <c r="K51" s="196" t="b">
        <f>IF(Verso!$B$24=Avantages!$A51,TRUE,FALSE)</f>
        <v>0</v>
      </c>
      <c r="L51" s="196" t="b">
        <f>IF(Verso!$B$25=Avantages!$A51,TRUE,FALSE)</f>
        <v>0</v>
      </c>
      <c r="M51" s="196" t="b">
        <f>IF(Verso!$B$26=Avantages!$A51,TRUE,FALSE)</f>
        <v>0</v>
      </c>
      <c r="N51" s="196" t="b">
        <f t="shared" ref="N51" si="6">IF(OR(I51=TRUE,J51=TRUE,K51=TRUE,L51=TRUE,M51=TRUE),TRUE,FALSE)</f>
        <v>0</v>
      </c>
      <c r="O51" s="295"/>
      <c r="P51" s="196" t="str">
        <f t="shared" si="1"/>
        <v/>
      </c>
      <c r="Q51" s="196">
        <f t="shared" si="2"/>
        <v>100</v>
      </c>
      <c r="R51" s="578" t="str">
        <f t="shared" si="3"/>
        <v>Citoyen: Nikesake</v>
      </c>
    </row>
    <row r="52" spans="1:18" s="196" customFormat="1" x14ac:dyDescent="0.25">
      <c r="A52" s="186" t="s">
        <v>7543</v>
      </c>
      <c r="B52" s="186" t="str">
        <f>IF(OR(Clan="Mante",Clan="Guêpe"),CONCATENATE(A52),"")</f>
        <v/>
      </c>
      <c r="C52" s="4" t="s">
        <v>631</v>
      </c>
      <c r="D52" s="183">
        <v>6</v>
      </c>
      <c r="E52" s="4" t="s">
        <v>7453</v>
      </c>
      <c r="F52" s="17">
        <v>97</v>
      </c>
      <c r="G52" s="163" t="s">
        <v>7544</v>
      </c>
      <c r="H52" s="196" t="s">
        <v>178</v>
      </c>
      <c r="I52" s="196" t="b">
        <f>IF(Verso!$B$22=Avantages!$A52,TRUE,FALSE)</f>
        <v>0</v>
      </c>
      <c r="J52" s="196" t="b">
        <f>IF(Verso!$B$23=Avantages!$A52,TRUE,FALSE)</f>
        <v>0</v>
      </c>
      <c r="K52" s="196" t="b">
        <f>IF(Verso!$B$24=Avantages!$A52,TRUE,FALSE)</f>
        <v>0</v>
      </c>
      <c r="L52" s="196" t="b">
        <f>IF(Verso!$B$25=Avantages!$A52,TRUE,FALSE)</f>
        <v>0</v>
      </c>
      <c r="M52" s="196" t="b">
        <f>IF(Verso!$B$26=Avantages!$A52,TRUE,FALSE)</f>
        <v>0</v>
      </c>
      <c r="N52" s="196" t="b">
        <f t="shared" si="5"/>
        <v>0</v>
      </c>
      <c r="O52" s="295"/>
      <c r="P52" s="196" t="str">
        <f t="shared" si="1"/>
        <v/>
      </c>
      <c r="Q52" s="196">
        <f t="shared" si="2"/>
        <v>101</v>
      </c>
      <c r="R52" s="578" t="str">
        <f t="shared" si="3"/>
        <v>Citoyen: Sacred Forest</v>
      </c>
    </row>
    <row r="53" spans="1:18" x14ac:dyDescent="0.25">
      <c r="A53" s="186" t="s">
        <v>653</v>
      </c>
      <c r="B53" s="186" t="s">
        <v>653</v>
      </c>
      <c r="C53" s="4" t="s">
        <v>628</v>
      </c>
      <c r="D53" s="183">
        <f>IF(Clan="Scorpion",2,3)</f>
        <v>3</v>
      </c>
      <c r="E53" s="4" t="s">
        <v>3</v>
      </c>
      <c r="F53" s="17">
        <v>147</v>
      </c>
      <c r="G53" s="163" t="s">
        <v>636</v>
      </c>
      <c r="I53" s="196" t="b">
        <f>IF(Verso!$B$22=Avantages!$A53,TRUE,FALSE)</f>
        <v>0</v>
      </c>
      <c r="J53" s="196" t="b">
        <f>IF(Verso!$B$23=Avantages!$A53,TRUE,FALSE)</f>
        <v>0</v>
      </c>
      <c r="K53" s="196" t="b">
        <f>IF(Verso!$B$24=Avantages!$A53,TRUE,FALSE)</f>
        <v>0</v>
      </c>
      <c r="L53" s="196" t="b">
        <f>IF(Verso!$B$25=Avantages!$A53,TRUE,FALSE)</f>
        <v>0</v>
      </c>
      <c r="M53" s="196" t="b">
        <f>IF(Verso!$B$26=Avantages!$A53,TRUE,FALSE)</f>
        <v>0</v>
      </c>
      <c r="N53" s="196" t="b">
        <f>IF(OR(I53=TRUE,J53=TRUE,K53=TRUE,L53=TRUE,M53=TRUE),TRUE,FALSE)</f>
        <v>0</v>
      </c>
      <c r="P53" s="196">
        <f t="shared" si="1"/>
        <v>53</v>
      </c>
      <c r="Q53" s="196">
        <f t="shared" si="2"/>
        <v>102</v>
      </c>
      <c r="R53" s="578" t="str">
        <f t="shared" si="3"/>
        <v>Citoyen: Water Hammer City</v>
      </c>
    </row>
    <row r="54" spans="1:18" s="196" customFormat="1" x14ac:dyDescent="0.25">
      <c r="A54" s="186" t="s">
        <v>7451</v>
      </c>
      <c r="B54" s="186" t="str">
        <f>IF(Recto!$C$3=H54,CONCATENATE(A54),"")</f>
        <v/>
      </c>
      <c r="C54" s="4" t="s">
        <v>629</v>
      </c>
      <c r="D54" s="183">
        <f>IF(Clan="Grue",3,4)</f>
        <v>4</v>
      </c>
      <c r="E54" s="4" t="s">
        <v>7453</v>
      </c>
      <c r="F54" s="17">
        <v>91</v>
      </c>
      <c r="G54" s="163" t="s">
        <v>7454</v>
      </c>
      <c r="H54" s="196" t="s">
        <v>7231</v>
      </c>
      <c r="I54" s="196" t="b">
        <f>IF(Verso!$B$22=Avantages!$A54,TRUE,FALSE)</f>
        <v>0</v>
      </c>
      <c r="J54" s="196" t="b">
        <f>IF(Verso!$B$23=Avantages!$A54,TRUE,FALSE)</f>
        <v>0</v>
      </c>
      <c r="K54" s="196" t="b">
        <f>IF(Verso!$B$24=Avantages!$A54,TRUE,FALSE)</f>
        <v>0</v>
      </c>
      <c r="L54" s="196" t="b">
        <f>IF(Verso!$B$25=Avantages!$A54,TRUE,FALSE)</f>
        <v>0</v>
      </c>
      <c r="M54" s="196" t="b">
        <f>IF(Verso!$B$26=Avantages!$A54,TRUE,FALSE)</f>
        <v>0</v>
      </c>
      <c r="N54" s="196" t="b">
        <f>IF(OR(I54=TRUE,J54=TRUE,K54=TRUE,L54=TRUE,M54=TRUE),TRUE,FALSE)</f>
        <v>0</v>
      </c>
      <c r="O54" s="295"/>
      <c r="P54" s="196" t="str">
        <f t="shared" si="1"/>
        <v/>
      </c>
      <c r="Q54" s="196">
        <f t="shared" si="2"/>
        <v>103</v>
      </c>
      <c r="R54" s="578" t="str">
        <f t="shared" si="3"/>
        <v>Citoyen: Zakyo Toshi</v>
      </c>
    </row>
    <row r="55" spans="1:18" s="196" customFormat="1" x14ac:dyDescent="0.25">
      <c r="A55" s="186" t="s">
        <v>7452</v>
      </c>
      <c r="B55" s="186" t="str">
        <f>IF(Recto!$C$3=H55,CONCATENATE(A55),"")</f>
        <v/>
      </c>
      <c r="C55" s="4" t="s">
        <v>629</v>
      </c>
      <c r="D55" s="183">
        <f>IF(Clan="Grue",3,4)</f>
        <v>4</v>
      </c>
      <c r="E55" s="4" t="s">
        <v>7453</v>
      </c>
      <c r="F55" s="17">
        <v>91</v>
      </c>
      <c r="G55" s="270" t="s">
        <v>7455</v>
      </c>
      <c r="H55" s="196" t="s">
        <v>7231</v>
      </c>
      <c r="I55" s="196" t="b">
        <f>IF(Verso!$B$22=Avantages!$A55,TRUE,FALSE)</f>
        <v>0</v>
      </c>
      <c r="J55" s="196" t="b">
        <f>IF(Verso!$B$23=Avantages!$A55,TRUE,FALSE)</f>
        <v>0</v>
      </c>
      <c r="K55" s="196" t="b">
        <f>IF(Verso!$B$24=Avantages!$A55,TRUE,FALSE)</f>
        <v>0</v>
      </c>
      <c r="L55" s="196" t="b">
        <f>IF(Verso!$B$25=Avantages!$A55,TRUE,FALSE)</f>
        <v>0</v>
      </c>
      <c r="M55" s="196" t="b">
        <f>IF(Verso!$B$26=Avantages!$A55,TRUE,FALSE)</f>
        <v>0</v>
      </c>
      <c r="N55" s="196" t="b">
        <f>IF(OR(I55=TRUE,J55=TRUE,K55=TRUE,L55=TRUE,M55=TRUE),TRUE,FALSE)</f>
        <v>0</v>
      </c>
      <c r="O55" s="295"/>
      <c r="P55" s="196" t="str">
        <f t="shared" si="1"/>
        <v/>
      </c>
      <c r="Q55" s="196">
        <f t="shared" si="2"/>
        <v>104</v>
      </c>
      <c r="R55" s="578" t="str">
        <f t="shared" si="3"/>
        <v>Clairvoyant</v>
      </c>
    </row>
    <row r="56" spans="1:18" x14ac:dyDescent="0.25">
      <c r="A56" s="186" t="s">
        <v>705</v>
      </c>
      <c r="B56" s="186" t="s">
        <v>705</v>
      </c>
      <c r="C56" s="4" t="s">
        <v>629</v>
      </c>
      <c r="D56" s="183">
        <f>IF(Clan="Grue",3,4)-IF(N99=TRUE,1,0)</f>
        <v>4</v>
      </c>
      <c r="E56" s="4" t="s">
        <v>3</v>
      </c>
      <c r="F56" s="17">
        <v>147</v>
      </c>
      <c r="G56" s="270" t="s">
        <v>712</v>
      </c>
      <c r="I56" s="196" t="b">
        <f>IF(Verso!$B$22=Avantages!$A56,TRUE,FALSE)</f>
        <v>0</v>
      </c>
      <c r="J56" s="196" t="b">
        <f>IF(Verso!$B$23=Avantages!$A56,TRUE,FALSE)</f>
        <v>0</v>
      </c>
      <c r="K56" s="196" t="b">
        <f>IF(Verso!$B$24=Avantages!$A56,TRUE,FALSE)</f>
        <v>0</v>
      </c>
      <c r="L56" s="196" t="b">
        <f>IF(Verso!$B$25=Avantages!$A56,TRUE,FALSE)</f>
        <v>0</v>
      </c>
      <c r="M56" s="196" t="b">
        <f>IF(Verso!$B$26=Avantages!$A56,TRUE,FALSE)</f>
        <v>0</v>
      </c>
      <c r="N56" s="196" t="b">
        <f t="shared" si="0"/>
        <v>0</v>
      </c>
      <c r="P56" s="196">
        <f t="shared" si="1"/>
        <v>56</v>
      </c>
      <c r="Q56" s="196">
        <f t="shared" si="2"/>
        <v>105</v>
      </c>
      <c r="R56" s="578" t="str">
        <f t="shared" si="3"/>
        <v>Cœur Assombri</v>
      </c>
    </row>
    <row r="57" spans="1:18" x14ac:dyDescent="0.25">
      <c r="A57" s="186" t="s">
        <v>706</v>
      </c>
      <c r="B57" s="186" t="s">
        <v>706</v>
      </c>
      <c r="C57" s="4" t="s">
        <v>629</v>
      </c>
      <c r="D57" s="183">
        <f>IF(OR(Clan="Grue",Clan="Lion"),3,4)-IF(N99=TRUE,1,0)</f>
        <v>4</v>
      </c>
      <c r="E57" s="4" t="s">
        <v>3</v>
      </c>
      <c r="F57" s="17">
        <v>147</v>
      </c>
      <c r="G57" s="270" t="s">
        <v>713</v>
      </c>
      <c r="I57" s="196" t="b">
        <f>IF(Verso!$B$22=Avantages!$A57,TRUE,FALSE)</f>
        <v>0</v>
      </c>
      <c r="J57" s="196" t="b">
        <f>IF(Verso!$B$23=Avantages!$A57,TRUE,FALSE)</f>
        <v>0</v>
      </c>
      <c r="K57" s="196" t="b">
        <f>IF(Verso!$B$24=Avantages!$A57,TRUE,FALSE)</f>
        <v>0</v>
      </c>
      <c r="L57" s="196" t="b">
        <f>IF(Verso!$B$25=Avantages!$A57,TRUE,FALSE)</f>
        <v>0</v>
      </c>
      <c r="M57" s="196" t="b">
        <f>IF(Verso!$B$26=Avantages!$A57,TRUE,FALSE)</f>
        <v>0</v>
      </c>
      <c r="N57" s="196" t="b">
        <f t="shared" si="0"/>
        <v>0</v>
      </c>
      <c r="P57" s="196">
        <f t="shared" si="1"/>
        <v>57</v>
      </c>
      <c r="Q57" s="196">
        <f t="shared" si="2"/>
        <v>111</v>
      </c>
      <c r="R57" s="578" t="str">
        <f t="shared" si="3"/>
        <v>Contemplation de la Cocotte</v>
      </c>
    </row>
    <row r="58" spans="1:18" x14ac:dyDescent="0.25">
      <c r="A58" s="186" t="s">
        <v>707</v>
      </c>
      <c r="B58" s="186" t="s">
        <v>707</v>
      </c>
      <c r="C58" s="4" t="s">
        <v>629</v>
      </c>
      <c r="D58" s="183">
        <f>IF(Clan="Mante",3,4)-IF(N99=TRUE,1,0)</f>
        <v>4</v>
      </c>
      <c r="E58" s="4" t="s">
        <v>3</v>
      </c>
      <c r="F58" s="17">
        <v>147</v>
      </c>
      <c r="G58" s="270" t="s">
        <v>714</v>
      </c>
      <c r="I58" s="196" t="b">
        <f>IF(Verso!$B$22=Avantages!$A58,TRUE,FALSE)</f>
        <v>0</v>
      </c>
      <c r="J58" s="196" t="b">
        <f>IF(Verso!$B$23=Avantages!$A58,TRUE,FALSE)</f>
        <v>0</v>
      </c>
      <c r="K58" s="196" t="b">
        <f>IF(Verso!$B$24=Avantages!$A58,TRUE,FALSE)</f>
        <v>0</v>
      </c>
      <c r="L58" s="196" t="b">
        <f>IF(Verso!$B$25=Avantages!$A58,TRUE,FALSE)</f>
        <v>0</v>
      </c>
      <c r="M58" s="196" t="b">
        <f>IF(Verso!$B$26=Avantages!$A58,TRUE,FALSE)</f>
        <v>0</v>
      </c>
      <c r="N58" s="196" t="b">
        <f t="shared" si="0"/>
        <v>0</v>
      </c>
      <c r="P58" s="196">
        <f t="shared" si="1"/>
        <v>58</v>
      </c>
      <c r="Q58" s="196">
        <f t="shared" si="2"/>
        <v>112</v>
      </c>
      <c r="R58" s="578" t="str">
        <f t="shared" si="3"/>
        <v>Dents de Pierre</v>
      </c>
    </row>
    <row r="59" spans="1:18" x14ac:dyDescent="0.25">
      <c r="A59" s="186" t="s">
        <v>708</v>
      </c>
      <c r="B59" s="186" t="s">
        <v>708</v>
      </c>
      <c r="C59" s="4" t="s">
        <v>629</v>
      </c>
      <c r="D59" s="183">
        <f>IF(Clan="Licorne",3,4)-IF(N99=TRUE,1,0)</f>
        <v>4</v>
      </c>
      <c r="E59" s="4" t="s">
        <v>3</v>
      </c>
      <c r="F59" s="17">
        <v>147</v>
      </c>
      <c r="G59" s="270" t="s">
        <v>715</v>
      </c>
      <c r="I59" s="196" t="b">
        <f>IF(Verso!$B$22=Avantages!$A59,TRUE,FALSE)</f>
        <v>0</v>
      </c>
      <c r="J59" s="196" t="b">
        <f>IF(Verso!$B$23=Avantages!$A59,TRUE,FALSE)</f>
        <v>0</v>
      </c>
      <c r="K59" s="196" t="b">
        <f>IF(Verso!$B$24=Avantages!$A59,TRUE,FALSE)</f>
        <v>0</v>
      </c>
      <c r="L59" s="196" t="b">
        <f>IF(Verso!$B$25=Avantages!$A59,TRUE,FALSE)</f>
        <v>0</v>
      </c>
      <c r="M59" s="196" t="b">
        <f>IF(Verso!$B$26=Avantages!$A59,TRUE,FALSE)</f>
        <v>0</v>
      </c>
      <c r="N59" s="196" t="b">
        <f t="shared" si="0"/>
        <v>0</v>
      </c>
      <c r="P59" s="196">
        <f t="shared" si="1"/>
        <v>59</v>
      </c>
      <c r="Q59" s="196">
        <f t="shared" si="2"/>
        <v>113</v>
      </c>
      <c r="R59" s="578" t="str">
        <f t="shared" si="3"/>
        <v>Dessein Supérieur</v>
      </c>
    </row>
    <row r="60" spans="1:18" x14ac:dyDescent="0.25">
      <c r="A60" s="186" t="s">
        <v>709</v>
      </c>
      <c r="B60" s="186" t="s">
        <v>709</v>
      </c>
      <c r="C60" s="4" t="s">
        <v>629</v>
      </c>
      <c r="D60" s="183">
        <f>IF(OR(Clan="Dragon",Clan="Phénix"),3,4)-IF(N99=TRUE,1,0)</f>
        <v>4</v>
      </c>
      <c r="E60" s="4" t="s">
        <v>3</v>
      </c>
      <c r="F60" s="17">
        <v>147</v>
      </c>
      <c r="G60" s="270" t="s">
        <v>716</v>
      </c>
      <c r="I60" s="196" t="b">
        <f>IF(Verso!$B$22=Avantages!$A60,TRUE,FALSE)</f>
        <v>0</v>
      </c>
      <c r="J60" s="196" t="b">
        <f>IF(Verso!$B$23=Avantages!$A60,TRUE,FALSE)</f>
        <v>0</v>
      </c>
      <c r="K60" s="196" t="b">
        <f>IF(Verso!$B$24=Avantages!$A60,TRUE,FALSE)</f>
        <v>0</v>
      </c>
      <c r="L60" s="196" t="b">
        <f>IF(Verso!$B$25=Avantages!$A60,TRUE,FALSE)</f>
        <v>0</v>
      </c>
      <c r="M60" s="196" t="b">
        <f>IF(Verso!$B$26=Avantages!$A60,TRUE,FALSE)</f>
        <v>0</v>
      </c>
      <c r="N60" s="196" t="b">
        <f t="shared" si="0"/>
        <v>0</v>
      </c>
      <c r="P60" s="196">
        <f t="shared" si="1"/>
        <v>60</v>
      </c>
      <c r="Q60" s="196">
        <f t="shared" si="2"/>
        <v>114</v>
      </c>
      <c r="R60" s="578" t="str">
        <f t="shared" si="3"/>
        <v>Dextérité du Crabe</v>
      </c>
    </row>
    <row r="61" spans="1:18" x14ac:dyDescent="0.25">
      <c r="A61" s="186" t="s">
        <v>710</v>
      </c>
      <c r="B61" s="186" t="s">
        <v>710</v>
      </c>
      <c r="C61" s="4" t="s">
        <v>629</v>
      </c>
      <c r="D61" s="183">
        <f>4-IF(N99=TRUE,1,0)</f>
        <v>4</v>
      </c>
      <c r="E61" s="4" t="s">
        <v>3</v>
      </c>
      <c r="F61" s="17">
        <v>147</v>
      </c>
      <c r="G61" s="163" t="s">
        <v>717</v>
      </c>
      <c r="I61" s="196" t="b">
        <f>IF(Verso!$B$22=Avantages!$A61,TRUE,FALSE)</f>
        <v>0</v>
      </c>
      <c r="J61" s="196" t="b">
        <f>IF(Verso!$B$23=Avantages!$A61,TRUE,FALSE)</f>
        <v>0</v>
      </c>
      <c r="K61" s="196" t="b">
        <f>IF(Verso!$B$24=Avantages!$A61,TRUE,FALSE)</f>
        <v>0</v>
      </c>
      <c r="L61" s="196" t="b">
        <f>IF(Verso!$B$25=Avantages!$A61,TRUE,FALSE)</f>
        <v>0</v>
      </c>
      <c r="M61" s="196" t="b">
        <f>IF(Verso!$B$26=Avantages!$A61,TRUE,FALSE)</f>
        <v>0</v>
      </c>
      <c r="N61" s="196" t="b">
        <f t="shared" si="0"/>
        <v>0</v>
      </c>
      <c r="P61" s="196">
        <f t="shared" si="1"/>
        <v>61</v>
      </c>
      <c r="Q61" s="196">
        <f t="shared" si="2"/>
        <v>115</v>
      </c>
      <c r="R61" s="578" t="str">
        <f t="shared" si="3"/>
        <v>Don Inné: Contact Spirituel</v>
      </c>
    </row>
    <row r="62" spans="1:18" x14ac:dyDescent="0.25">
      <c r="A62" s="186" t="s">
        <v>711</v>
      </c>
      <c r="B62" s="186" t="s">
        <v>711</v>
      </c>
      <c r="C62" s="4" t="s">
        <v>629</v>
      </c>
      <c r="D62" s="183">
        <f>IF(Clan="Scorpion",3,4)-IF(N99=TRUE,1,0)</f>
        <v>4</v>
      </c>
      <c r="E62" s="4" t="s">
        <v>3</v>
      </c>
      <c r="F62" s="17">
        <v>147</v>
      </c>
      <c r="G62" s="270" t="s">
        <v>718</v>
      </c>
      <c r="I62" s="196" t="b">
        <f>IF(Verso!$B$22=Avantages!$A62,TRUE,FALSE)</f>
        <v>0</v>
      </c>
      <c r="J62" s="196" t="b">
        <f>IF(Verso!$B$23=Avantages!$A62,TRUE,FALSE)</f>
        <v>0</v>
      </c>
      <c r="K62" s="196" t="b">
        <f>IF(Verso!$B$24=Avantages!$A62,TRUE,FALSE)</f>
        <v>0</v>
      </c>
      <c r="L62" s="196" t="b">
        <f>IF(Verso!$B$25=Avantages!$A62,TRUE,FALSE)</f>
        <v>0</v>
      </c>
      <c r="M62" s="196" t="b">
        <f>IF(Verso!$B$26=Avantages!$A62,TRUE,FALSE)</f>
        <v>0</v>
      </c>
      <c r="N62" s="196" t="b">
        <f t="shared" si="0"/>
        <v>0</v>
      </c>
      <c r="P62" s="196">
        <f t="shared" si="1"/>
        <v>62</v>
      </c>
      <c r="Q62" s="196">
        <f t="shared" si="2"/>
        <v>116</v>
      </c>
      <c r="R62" s="578" t="str">
        <f t="shared" si="3"/>
        <v>Don Inné: Empathie</v>
      </c>
    </row>
    <row r="63" spans="1:18" x14ac:dyDescent="0.25">
      <c r="A63" s="186" t="s">
        <v>654</v>
      </c>
      <c r="B63" s="186" t="s">
        <v>654</v>
      </c>
      <c r="C63" s="4" t="s">
        <v>629</v>
      </c>
      <c r="D63" s="183">
        <v>3</v>
      </c>
      <c r="E63" s="4" t="s">
        <v>3</v>
      </c>
      <c r="F63" s="17">
        <v>147</v>
      </c>
      <c r="G63" s="163" t="s">
        <v>77</v>
      </c>
      <c r="I63" s="196" t="b">
        <f>IF(Verso!$B$22=Avantages!$A63,TRUE,FALSE)</f>
        <v>0</v>
      </c>
      <c r="J63" s="196" t="b">
        <f>IF(Verso!$B$23=Avantages!$A63,TRUE,FALSE)</f>
        <v>0</v>
      </c>
      <c r="K63" s="196" t="b">
        <f>IF(Verso!$B$24=Avantages!$A63,TRUE,FALSE)</f>
        <v>0</v>
      </c>
      <c r="L63" s="196" t="b">
        <f>IF(Verso!$B$25=Avantages!$A63,TRUE,FALSE)</f>
        <v>0</v>
      </c>
      <c r="M63" s="196" t="b">
        <f>IF(Verso!$B$26=Avantages!$A63,TRUE,FALSE)</f>
        <v>0</v>
      </c>
      <c r="N63" s="196" t="b">
        <f t="shared" si="0"/>
        <v>0</v>
      </c>
      <c r="P63" s="196">
        <f t="shared" si="1"/>
        <v>63</v>
      </c>
      <c r="Q63" s="196">
        <f t="shared" si="2"/>
        <v>117</v>
      </c>
      <c r="R63" s="578" t="str">
        <f t="shared" si="3"/>
        <v>Don Inné: Lucidité</v>
      </c>
    </row>
    <row r="64" spans="1:18" s="196" customFormat="1" x14ac:dyDescent="0.25">
      <c r="A64" s="186" t="s">
        <v>7205</v>
      </c>
      <c r="B64" s="186" t="s">
        <v>7205</v>
      </c>
      <c r="C64" s="4" t="s">
        <v>628</v>
      </c>
      <c r="D64" s="183">
        <v>1</v>
      </c>
      <c r="E64" s="4" t="s">
        <v>6831</v>
      </c>
      <c r="F64" s="17">
        <v>133</v>
      </c>
      <c r="G64" s="270" t="str">
        <f>CONCATENATE(IF(OR(Clan="Crabe",Clan="Mante",Clan="Tanuki"),"+ 3g1","+ 2g1")," à tout test de Terre pour résister à l'état d'ébriété")</f>
        <v>+ 2g1 à tout test de Terre pour résister à l'état d'ébriété</v>
      </c>
      <c r="I64" s="196" t="b">
        <f>IF(Verso!$B$22=Avantages!$A64,TRUE,FALSE)</f>
        <v>0</v>
      </c>
      <c r="J64" s="196" t="b">
        <f>IF(Verso!$B$23=Avantages!$A64,TRUE,FALSE)</f>
        <v>0</v>
      </c>
      <c r="K64" s="196" t="b">
        <f>IF(Verso!$B$24=Avantages!$A64,TRUE,FALSE)</f>
        <v>0</v>
      </c>
      <c r="L64" s="196" t="b">
        <f>IF(Verso!$B$25=Avantages!$A64,TRUE,FALSE)</f>
        <v>0</v>
      </c>
      <c r="M64" s="196" t="b">
        <f>IF(Verso!$B$26=Avantages!$A64,TRUE,FALSE)</f>
        <v>0</v>
      </c>
      <c r="N64" s="196" t="b">
        <f t="shared" si="0"/>
        <v>0</v>
      </c>
      <c r="O64" s="295"/>
      <c r="P64" s="196">
        <f t="shared" si="1"/>
        <v>64</v>
      </c>
      <c r="Q64" s="196">
        <f t="shared" si="2"/>
        <v>118</v>
      </c>
      <c r="R64" s="578" t="str">
        <f t="shared" si="3"/>
        <v>Don Inné: Prophécie Mineure</v>
      </c>
    </row>
    <row r="65" spans="1:18" x14ac:dyDescent="0.25">
      <c r="A65" s="186" t="s">
        <v>655</v>
      </c>
      <c r="B65" s="186" t="s">
        <v>655</v>
      </c>
      <c r="C65" s="4" t="s">
        <v>65</v>
      </c>
      <c r="D65" s="183">
        <v>2</v>
      </c>
      <c r="E65" s="4" t="s">
        <v>3</v>
      </c>
      <c r="F65" s="17">
        <v>147</v>
      </c>
      <c r="G65" s="163" t="s">
        <v>7257</v>
      </c>
      <c r="I65" s="196" t="b">
        <f>IF(Verso!$B$22=Avantages!$A65,TRUE,FALSE)</f>
        <v>0</v>
      </c>
      <c r="J65" s="196" t="b">
        <f>IF(Verso!$B$23=Avantages!$A65,TRUE,FALSE)</f>
        <v>0</v>
      </c>
      <c r="K65" s="196" t="b">
        <f>IF(Verso!$B$24=Avantages!$A65,TRUE,FALSE)</f>
        <v>0</v>
      </c>
      <c r="L65" s="196" t="b">
        <f>IF(Verso!$B$25=Avantages!$A65,TRUE,FALSE)</f>
        <v>0</v>
      </c>
      <c r="M65" s="196" t="b">
        <f>IF(Verso!$B$26=Avantages!$A65,TRUE,FALSE)</f>
        <v>0</v>
      </c>
      <c r="N65" s="196" t="b">
        <f t="shared" si="0"/>
        <v>0</v>
      </c>
      <c r="P65" s="196">
        <f t="shared" si="1"/>
        <v>65</v>
      </c>
      <c r="Q65" s="196">
        <f t="shared" si="2"/>
        <v>119</v>
      </c>
      <c r="R65" s="578" t="str">
        <f t="shared" si="3"/>
        <v>Don Inné: Sens animal</v>
      </c>
    </row>
    <row r="66" spans="1:18" x14ac:dyDescent="0.25">
      <c r="A66" s="186" t="s">
        <v>719</v>
      </c>
      <c r="B66" s="186" t="s">
        <v>719</v>
      </c>
      <c r="C66" s="4" t="s">
        <v>629</v>
      </c>
      <c r="D66" s="183">
        <f>IF(Recto!W3="S",4,5)</f>
        <v>5</v>
      </c>
      <c r="E66" s="4" t="s">
        <v>3</v>
      </c>
      <c r="F66" s="17">
        <v>148</v>
      </c>
      <c r="G66" s="270" t="s">
        <v>720</v>
      </c>
      <c r="I66" s="196" t="b">
        <f>IF(Verso!$B$22=Avantages!$A66,TRUE,FALSE)</f>
        <v>0</v>
      </c>
      <c r="J66" s="196" t="b">
        <f>IF(Verso!$B$23=Avantages!$A66,TRUE,FALSE)</f>
        <v>0</v>
      </c>
      <c r="K66" s="196" t="b">
        <f>IF(Verso!$B$24=Avantages!$A66,TRUE,FALSE)</f>
        <v>0</v>
      </c>
      <c r="L66" s="196" t="b">
        <f>IF(Verso!$B$25=Avantages!$A66,TRUE,FALSE)</f>
        <v>0</v>
      </c>
      <c r="M66" s="196" t="b">
        <f>IF(Verso!$B$26=Avantages!$A66,TRUE,FALSE)</f>
        <v>0</v>
      </c>
      <c r="N66" s="196" t="b">
        <f t="shared" si="0"/>
        <v>0</v>
      </c>
      <c r="P66" s="196">
        <f t="shared" si="1"/>
        <v>66</v>
      </c>
      <c r="Q66" s="196">
        <f t="shared" si="2"/>
        <v>120</v>
      </c>
      <c r="R66" s="578" t="str">
        <f t="shared" si="3"/>
        <v>Ecole Differente</v>
      </c>
    </row>
    <row r="67" spans="1:18" x14ac:dyDescent="0.25">
      <c r="A67" s="186" t="s">
        <v>721</v>
      </c>
      <c r="B67" s="186" t="s">
        <v>721</v>
      </c>
      <c r="C67" s="4" t="s">
        <v>629</v>
      </c>
      <c r="D67" s="183">
        <f>IF(Recto!W3="S",4,5)</f>
        <v>5</v>
      </c>
      <c r="E67" s="4" t="s">
        <v>3</v>
      </c>
      <c r="F67" s="17">
        <v>148</v>
      </c>
      <c r="G67" s="163" t="s">
        <v>722</v>
      </c>
      <c r="I67" s="196" t="b">
        <f>IF(Verso!$B$22=Avantages!$A67,TRUE,FALSE)</f>
        <v>0</v>
      </c>
      <c r="J67" s="196" t="b">
        <f>IF(Verso!$B$23=Avantages!$A67,TRUE,FALSE)</f>
        <v>0</v>
      </c>
      <c r="K67" s="196" t="b">
        <f>IF(Verso!$B$24=Avantages!$A67,TRUE,FALSE)</f>
        <v>0</v>
      </c>
      <c r="L67" s="196" t="b">
        <f>IF(Verso!$B$25=Avantages!$A67,TRUE,FALSE)</f>
        <v>0</v>
      </c>
      <c r="M67" s="196" t="b">
        <f>IF(Verso!$B$26=Avantages!$A67,TRUE,FALSE)</f>
        <v>0</v>
      </c>
      <c r="N67" s="196" t="b">
        <f t="shared" si="0"/>
        <v>0</v>
      </c>
      <c r="P67" s="196">
        <f t="shared" ref="P67:P130" si="7">IF(B67="","",ROW())</f>
        <v>67</v>
      </c>
      <c r="Q67" s="196">
        <f t="shared" ref="Q67:Q130" si="8">IFERROR(SMALL(P:P,ROW()-1),"")</f>
        <v>121</v>
      </c>
      <c r="R67" s="578" t="str">
        <f t="shared" ref="R67:R130" si="9">IFERROR(INDEX(B:B,Q67),"")</f>
        <v>Ecoles Multiples</v>
      </c>
    </row>
    <row r="68" spans="1:18" x14ac:dyDescent="0.25">
      <c r="A68" s="186" t="s">
        <v>723</v>
      </c>
      <c r="B68" s="186" t="s">
        <v>723</v>
      </c>
      <c r="C68" s="4" t="s">
        <v>629</v>
      </c>
      <c r="D68" s="183">
        <f>IF(AND(Recto!W3="S",Recto!L8&gt;1),4,5)</f>
        <v>5</v>
      </c>
      <c r="E68" s="4" t="s">
        <v>3</v>
      </c>
      <c r="F68" s="17">
        <v>148</v>
      </c>
      <c r="G68" s="163" t="s">
        <v>724</v>
      </c>
      <c r="I68" s="196" t="b">
        <f>IF(Verso!$B$22=Avantages!$A68,TRUE,FALSE)</f>
        <v>0</v>
      </c>
      <c r="J68" s="196" t="b">
        <f>IF(Verso!$B$23=Avantages!$A68,TRUE,FALSE)</f>
        <v>0</v>
      </c>
      <c r="K68" s="196" t="b">
        <f>IF(Verso!$B$24=Avantages!$A68,TRUE,FALSE)</f>
        <v>0</v>
      </c>
      <c r="L68" s="196" t="b">
        <f>IF(Verso!$B$25=Avantages!$A68,TRUE,FALSE)</f>
        <v>0</v>
      </c>
      <c r="M68" s="196" t="b">
        <f>IF(Verso!$B$26=Avantages!$A68,TRUE,FALSE)</f>
        <v>0</v>
      </c>
      <c r="N68" s="196" t="b">
        <f t="shared" si="0"/>
        <v>0</v>
      </c>
      <c r="P68" s="196">
        <f t="shared" si="7"/>
        <v>68</v>
      </c>
      <c r="Q68" s="196">
        <f t="shared" si="8"/>
        <v>126</v>
      </c>
      <c r="R68" s="578" t="str">
        <f t="shared" si="9"/>
        <v>Entrainé par les Watanu</v>
      </c>
    </row>
    <row r="69" spans="1:18" x14ac:dyDescent="0.25">
      <c r="A69" s="186" t="s">
        <v>725</v>
      </c>
      <c r="B69" s="186" t="str">
        <f>IF(Contexte_jeu="La Dynastie Togashi","","Caresse des Royaumes Spirituels: Maigo no Musha")</f>
        <v>Caresse des Royaumes Spirituels: Maigo no Musha</v>
      </c>
      <c r="C69" s="4" t="s">
        <v>629</v>
      </c>
      <c r="D69" s="183">
        <f>IF(Recto!W3="S",4,5)</f>
        <v>5</v>
      </c>
      <c r="E69" s="4" t="s">
        <v>3</v>
      </c>
      <c r="F69" s="17">
        <v>148</v>
      </c>
      <c r="G69" s="163" t="s">
        <v>726</v>
      </c>
      <c r="I69" s="196" t="b">
        <f>IF(Verso!$B$22=Avantages!$A69,TRUE,FALSE)</f>
        <v>0</v>
      </c>
      <c r="J69" s="196" t="b">
        <f>IF(Verso!$B$23=Avantages!$A69,TRUE,FALSE)</f>
        <v>0</v>
      </c>
      <c r="K69" s="196" t="b">
        <f>IF(Verso!$B$24=Avantages!$A69,TRUE,FALSE)</f>
        <v>0</v>
      </c>
      <c r="L69" s="196" t="b">
        <f>IF(Verso!$B$25=Avantages!$A69,TRUE,FALSE)</f>
        <v>0</v>
      </c>
      <c r="M69" s="196" t="b">
        <f>IF(Verso!$B$26=Avantages!$A69,TRUE,FALSE)</f>
        <v>0</v>
      </c>
      <c r="N69" s="196" t="b">
        <f t="shared" si="0"/>
        <v>0</v>
      </c>
      <c r="P69" s="196">
        <f t="shared" si="7"/>
        <v>69</v>
      </c>
      <c r="Q69" s="196">
        <f t="shared" si="8"/>
        <v>130</v>
      </c>
      <c r="R69" s="578" t="str">
        <f t="shared" si="9"/>
        <v>Excellente Mémoire</v>
      </c>
    </row>
    <row r="70" spans="1:18" x14ac:dyDescent="0.25">
      <c r="A70" s="186" t="s">
        <v>727</v>
      </c>
      <c r="B70" s="186" t="s">
        <v>727</v>
      </c>
      <c r="C70" s="4" t="s">
        <v>629</v>
      </c>
      <c r="D70" s="183">
        <f>IF(Recto!W3="S",4,5)</f>
        <v>5</v>
      </c>
      <c r="E70" s="4" t="s">
        <v>3</v>
      </c>
      <c r="F70" s="17">
        <v>148</v>
      </c>
      <c r="G70" s="270" t="s">
        <v>728</v>
      </c>
      <c r="I70" s="196" t="b">
        <f>IF(Verso!$B$22=Avantages!$A70,TRUE,FALSE)</f>
        <v>0</v>
      </c>
      <c r="J70" s="196" t="b">
        <f>IF(Verso!$B$23=Avantages!$A70,TRUE,FALSE)</f>
        <v>0</v>
      </c>
      <c r="K70" s="196" t="b">
        <f>IF(Verso!$B$24=Avantages!$A70,TRUE,FALSE)</f>
        <v>0</v>
      </c>
      <c r="L70" s="196" t="b">
        <f>IF(Verso!$B$25=Avantages!$A70,TRUE,FALSE)</f>
        <v>0</v>
      </c>
      <c r="M70" s="196" t="b">
        <f>IF(Verso!$B$26=Avantages!$A70,TRUE,FALSE)</f>
        <v>0</v>
      </c>
      <c r="N70" s="196" t="b">
        <f t="shared" si="0"/>
        <v>0</v>
      </c>
      <c r="P70" s="196">
        <f t="shared" si="7"/>
        <v>70</v>
      </c>
      <c r="Q70" s="196">
        <f t="shared" si="8"/>
        <v>131</v>
      </c>
      <c r="R70" s="578" t="str">
        <f t="shared" si="9"/>
        <v>Fausse Identité</v>
      </c>
    </row>
    <row r="71" spans="1:18" x14ac:dyDescent="0.25">
      <c r="A71" s="186" t="s">
        <v>729</v>
      </c>
      <c r="B71" s="186" t="s">
        <v>729</v>
      </c>
      <c r="C71" s="4" t="s">
        <v>629</v>
      </c>
      <c r="D71" s="183">
        <f>IF(Recto!W3="S",4,5)</f>
        <v>5</v>
      </c>
      <c r="E71" s="4" t="s">
        <v>3</v>
      </c>
      <c r="F71" s="17">
        <v>148</v>
      </c>
      <c r="G71" s="270" t="s">
        <v>730</v>
      </c>
      <c r="I71" s="196" t="b">
        <f>IF(Verso!$B$22=Avantages!$A71,TRUE,FALSE)</f>
        <v>0</v>
      </c>
      <c r="J71" s="196" t="b">
        <f>IF(Verso!$B$23=Avantages!$A71,TRUE,FALSE)</f>
        <v>0</v>
      </c>
      <c r="K71" s="196" t="b">
        <f>IF(Verso!$B$24=Avantages!$A71,TRUE,FALSE)</f>
        <v>0</v>
      </c>
      <c r="L71" s="196" t="b">
        <f>IF(Verso!$B$25=Avantages!$A71,TRUE,FALSE)</f>
        <v>0</v>
      </c>
      <c r="M71" s="196" t="b">
        <f>IF(Verso!$B$26=Avantages!$A71,TRUE,FALSE)</f>
        <v>0</v>
      </c>
      <c r="N71" s="196" t="b">
        <f t="shared" si="0"/>
        <v>0</v>
      </c>
      <c r="P71" s="196">
        <f t="shared" si="7"/>
        <v>71</v>
      </c>
      <c r="Q71" s="196">
        <f t="shared" si="8"/>
        <v>132</v>
      </c>
      <c r="R71" s="578" t="str">
        <f t="shared" si="9"/>
        <v>Faveur Elémentaire</v>
      </c>
    </row>
    <row r="72" spans="1:18" x14ac:dyDescent="0.25">
      <c r="A72" s="186" t="s">
        <v>731</v>
      </c>
      <c r="B72" s="186" t="s">
        <v>731</v>
      </c>
      <c r="C72" s="4" t="s">
        <v>629</v>
      </c>
      <c r="D72" s="183">
        <f>IF(Recto!W3="S",4,5)</f>
        <v>5</v>
      </c>
      <c r="E72" s="4" t="s">
        <v>3</v>
      </c>
      <c r="F72" s="17">
        <v>148</v>
      </c>
      <c r="G72" s="270" t="s">
        <v>732</v>
      </c>
      <c r="I72" s="196" t="b">
        <f>IF(Verso!$B$22=Avantages!$A72,TRUE,FALSE)</f>
        <v>0</v>
      </c>
      <c r="J72" s="196" t="b">
        <f>IF(Verso!$B$23=Avantages!$A72,TRUE,FALSE)</f>
        <v>0</v>
      </c>
      <c r="K72" s="196" t="b">
        <f>IF(Verso!$B$24=Avantages!$A72,TRUE,FALSE)</f>
        <v>0</v>
      </c>
      <c r="L72" s="196" t="b">
        <f>IF(Verso!$B$25=Avantages!$A72,TRUE,FALSE)</f>
        <v>0</v>
      </c>
      <c r="M72" s="196" t="b">
        <f>IF(Verso!$B$26=Avantages!$A72,TRUE,FALSE)</f>
        <v>0</v>
      </c>
      <c r="N72" s="196" t="b">
        <f t="shared" si="0"/>
        <v>0</v>
      </c>
      <c r="P72" s="196">
        <f t="shared" si="7"/>
        <v>72</v>
      </c>
      <c r="Q72" s="196">
        <f t="shared" si="8"/>
        <v>133</v>
      </c>
      <c r="R72" s="578" t="str">
        <f t="shared" si="9"/>
        <v>Faveur Elémentaire</v>
      </c>
    </row>
    <row r="73" spans="1:18" x14ac:dyDescent="0.25">
      <c r="A73" s="186" t="s">
        <v>733</v>
      </c>
      <c r="B73" s="186" t="s">
        <v>733</v>
      </c>
      <c r="C73" s="4" t="s">
        <v>629</v>
      </c>
      <c r="D73" s="183">
        <f>IF(Recto!W3="S",6,7)</f>
        <v>7</v>
      </c>
      <c r="E73" s="4" t="s">
        <v>3</v>
      </c>
      <c r="F73" s="17">
        <v>148</v>
      </c>
      <c r="G73" s="163" t="s">
        <v>734</v>
      </c>
      <c r="I73" s="196" t="b">
        <f>IF(Verso!$B$22=Avantages!$A73,TRUE,FALSE)</f>
        <v>0</v>
      </c>
      <c r="J73" s="196" t="b">
        <f>IF(Verso!$B$23=Avantages!$A73,TRUE,FALSE)</f>
        <v>0</v>
      </c>
      <c r="K73" s="196" t="b">
        <f>IF(Verso!$B$24=Avantages!$A73,TRUE,FALSE)</f>
        <v>0</v>
      </c>
      <c r="L73" s="196" t="b">
        <f>IF(Verso!$B$25=Avantages!$A73,TRUE,FALSE)</f>
        <v>0</v>
      </c>
      <c r="M73" s="196" t="b">
        <f>IF(Verso!$B$26=Avantages!$A73,TRUE,FALSE)</f>
        <v>0</v>
      </c>
      <c r="N73" s="196" t="b">
        <f t="shared" si="0"/>
        <v>0</v>
      </c>
      <c r="P73" s="196">
        <f t="shared" si="7"/>
        <v>73</v>
      </c>
      <c r="Q73" s="196">
        <f t="shared" si="8"/>
        <v>134</v>
      </c>
      <c r="R73" s="578" t="str">
        <f t="shared" si="9"/>
        <v>Faveur Elémentaire</v>
      </c>
    </row>
    <row r="74" spans="1:18" s="196" customFormat="1" x14ac:dyDescent="0.25">
      <c r="A74" s="186" t="s">
        <v>7758</v>
      </c>
      <c r="B74" s="186" t="str">
        <f>IF(Contexte_jeu&lt;&gt;"La Dynastie Togashi","","Caresse des Royaumes Spirituels: Uragiri-Do")</f>
        <v/>
      </c>
      <c r="C74" s="4" t="s">
        <v>629</v>
      </c>
      <c r="D74" s="183">
        <v>5</v>
      </c>
      <c r="E74" s="4" t="s">
        <v>7759</v>
      </c>
      <c r="F74" s="17">
        <v>15</v>
      </c>
      <c r="G74" s="270" t="s">
        <v>7760</v>
      </c>
      <c r="I74" s="196" t="b">
        <f>IF(Verso!$B$22=Avantages!$A74,TRUE,FALSE)</f>
        <v>0</v>
      </c>
      <c r="J74" s="196" t="b">
        <f>IF(Verso!$B$23=Avantages!$A74,TRUE,FALSE)</f>
        <v>0</v>
      </c>
      <c r="K74" s="196" t="b">
        <f>IF(Verso!$B$24=Avantages!$A74,TRUE,FALSE)</f>
        <v>0</v>
      </c>
      <c r="L74" s="196" t="b">
        <f>IF(Verso!$B$25=Avantages!$A74,TRUE,FALSE)</f>
        <v>0</v>
      </c>
      <c r="M74" s="196" t="b">
        <f>IF(Verso!$B$26=Avantages!$A74,TRUE,FALSE)</f>
        <v>0</v>
      </c>
      <c r="N74" s="196" t="b">
        <f>IF(OR(I74=TRUE,J74=TRUE,K74=TRUE,L74=TRUE,M74=TRUE),TRUE,FALSE)</f>
        <v>0</v>
      </c>
      <c r="O74" s="295"/>
      <c r="P74" s="196" t="str">
        <f t="shared" si="7"/>
        <v/>
      </c>
      <c r="Q74" s="196">
        <f t="shared" si="8"/>
        <v>135</v>
      </c>
      <c r="R74" s="578" t="str">
        <f t="shared" si="9"/>
        <v>Faveur Elémentaire</v>
      </c>
    </row>
    <row r="75" spans="1:18" s="196" customFormat="1" x14ac:dyDescent="0.25">
      <c r="A75" s="186" t="s">
        <v>735</v>
      </c>
      <c r="B75" s="186" t="s">
        <v>735</v>
      </c>
      <c r="C75" s="4" t="s">
        <v>629</v>
      </c>
      <c r="D75" s="183">
        <f>IF(Recto!W3="S",6,7)</f>
        <v>7</v>
      </c>
      <c r="E75" s="4" t="s">
        <v>3</v>
      </c>
      <c r="F75" s="17">
        <v>148</v>
      </c>
      <c r="G75" s="270" t="s">
        <v>736</v>
      </c>
      <c r="I75" s="196" t="b">
        <f>IF(Verso!$B$22=Avantages!$A75,TRUE,FALSE)</f>
        <v>0</v>
      </c>
      <c r="J75" s="196" t="b">
        <f>IF(Verso!$B$23=Avantages!$A75,TRUE,FALSE)</f>
        <v>0</v>
      </c>
      <c r="K75" s="196" t="b">
        <f>IF(Verso!$B$24=Avantages!$A75,TRUE,FALSE)</f>
        <v>0</v>
      </c>
      <c r="L75" s="196" t="b">
        <f>IF(Verso!$B$25=Avantages!$A75,TRUE,FALSE)</f>
        <v>0</v>
      </c>
      <c r="M75" s="196" t="b">
        <f>IF(Verso!$B$26=Avantages!$A75,TRUE,FALSE)</f>
        <v>0</v>
      </c>
      <c r="N75" s="196" t="b">
        <f t="shared" si="0"/>
        <v>0</v>
      </c>
      <c r="O75" s="295"/>
      <c r="P75" s="196">
        <f t="shared" si="7"/>
        <v>75</v>
      </c>
      <c r="Q75" s="196">
        <f t="shared" si="8"/>
        <v>136</v>
      </c>
      <c r="R75" s="578" t="str">
        <f t="shared" si="9"/>
        <v>Favori de la Cour</v>
      </c>
    </row>
    <row r="76" spans="1:18" x14ac:dyDescent="0.25">
      <c r="A76" s="186" t="s">
        <v>737</v>
      </c>
      <c r="B76" s="186" t="s">
        <v>737</v>
      </c>
      <c r="C76" s="4" t="s">
        <v>629</v>
      </c>
      <c r="D76" s="183">
        <f>IF(Recto!W3="S",4,5)</f>
        <v>5</v>
      </c>
      <c r="E76" s="4" t="s">
        <v>3</v>
      </c>
      <c r="F76" s="17">
        <v>148</v>
      </c>
      <c r="G76" s="163" t="s">
        <v>7611</v>
      </c>
      <c r="I76" s="196" t="b">
        <f>IF(Verso!$B$22=Avantages!$A76,TRUE,FALSE)</f>
        <v>0</v>
      </c>
      <c r="J76" s="196" t="b">
        <f>IF(Verso!$B$23=Avantages!$A76,TRUE,FALSE)</f>
        <v>0</v>
      </c>
      <c r="K76" s="196" t="b">
        <f>IF(Verso!$B$24=Avantages!$A76,TRUE,FALSE)</f>
        <v>0</v>
      </c>
      <c r="L76" s="196" t="b">
        <f>IF(Verso!$B$25=Avantages!$A76,TRUE,FALSE)</f>
        <v>0</v>
      </c>
      <c r="M76" s="196" t="b">
        <f>IF(Verso!$B$26=Avantages!$A76,TRUE,FALSE)</f>
        <v>0</v>
      </c>
      <c r="N76" s="196" t="b">
        <f t="shared" si="0"/>
        <v>0</v>
      </c>
      <c r="P76" s="196">
        <f t="shared" si="7"/>
        <v>76</v>
      </c>
      <c r="Q76" s="196">
        <f t="shared" si="8"/>
        <v>137</v>
      </c>
      <c r="R76" s="578" t="str">
        <f t="shared" si="9"/>
        <v>Fils de Chikushudo: Bégaiement Handicapant</v>
      </c>
    </row>
    <row r="77" spans="1:18" x14ac:dyDescent="0.25">
      <c r="A77" s="186" t="s">
        <v>4962</v>
      </c>
      <c r="B77" s="186" t="s">
        <v>4962</v>
      </c>
      <c r="C77" s="4" t="s">
        <v>629</v>
      </c>
      <c r="D77" s="183">
        <v>12</v>
      </c>
      <c r="E77" s="4" t="s">
        <v>3</v>
      </c>
      <c r="F77" s="17">
        <v>148</v>
      </c>
      <c r="G77" s="163" t="s">
        <v>6487</v>
      </c>
      <c r="I77" s="196" t="b">
        <f>IF(Verso!$B$22=Avantages!$A77,TRUE,FALSE)</f>
        <v>0</v>
      </c>
      <c r="J77" s="196" t="b">
        <f>IF(Verso!$B$23=Avantages!$A77,TRUE,FALSE)</f>
        <v>0</v>
      </c>
      <c r="K77" s="196" t="b">
        <f>IF(Verso!$B$24=Avantages!$A77,TRUE,FALSE)</f>
        <v>0</v>
      </c>
      <c r="L77" s="196" t="b">
        <f>IF(Verso!$B$25=Avantages!$A77,TRUE,FALSE)</f>
        <v>0</v>
      </c>
      <c r="M77" s="196" t="b">
        <f>IF(Verso!$B$26=Avantages!$A77,TRUE,FALSE)</f>
        <v>0</v>
      </c>
      <c r="N77" s="196" t="b">
        <f t="shared" si="0"/>
        <v>0</v>
      </c>
      <c r="P77" s="196">
        <f t="shared" si="7"/>
        <v>77</v>
      </c>
      <c r="Q77" s="196">
        <f t="shared" si="8"/>
        <v>138</v>
      </c>
      <c r="R77" s="578" t="str">
        <f t="shared" si="9"/>
        <v>Fils de Chikushudo: Changement Douloureux</v>
      </c>
    </row>
    <row r="78" spans="1:18" x14ac:dyDescent="0.25">
      <c r="A78" s="186" t="s">
        <v>1079</v>
      </c>
      <c r="B78" s="186" t="s">
        <v>1079</v>
      </c>
      <c r="C78" s="4" t="s">
        <v>629</v>
      </c>
      <c r="D78" s="183">
        <v>9</v>
      </c>
      <c r="E78" s="4" t="s">
        <v>3</v>
      </c>
      <c r="F78" s="17">
        <v>148</v>
      </c>
      <c r="G78" s="163" t="s">
        <v>6488</v>
      </c>
      <c r="I78" s="196" t="b">
        <f>IF(Verso!$B$22=Avantages!$A78,TRUE,FALSE)</f>
        <v>0</v>
      </c>
      <c r="J78" s="196" t="b">
        <f>IF(Verso!$B$23=Avantages!$A78,TRUE,FALSE)</f>
        <v>0</v>
      </c>
      <c r="K78" s="196" t="b">
        <f>IF(Verso!$B$24=Avantages!$A78,TRUE,FALSE)</f>
        <v>0</v>
      </c>
      <c r="L78" s="196" t="b">
        <f>IF(Verso!$B$25=Avantages!$A78,TRUE,FALSE)</f>
        <v>0</v>
      </c>
      <c r="M78" s="196" t="b">
        <f>IF(Verso!$B$26=Avantages!$A78,TRUE,FALSE)</f>
        <v>0</v>
      </c>
      <c r="N78" s="196" t="b">
        <f t="shared" si="0"/>
        <v>0</v>
      </c>
      <c r="P78" s="196">
        <f t="shared" si="7"/>
        <v>78</v>
      </c>
      <c r="Q78" s="196">
        <f t="shared" si="8"/>
        <v>139</v>
      </c>
      <c r="R78" s="578" t="str">
        <f t="shared" si="9"/>
        <v>Fils de Chikushudo: Forme Instable</v>
      </c>
    </row>
    <row r="79" spans="1:18" x14ac:dyDescent="0.25">
      <c r="A79" s="186" t="s">
        <v>1077</v>
      </c>
      <c r="B79" s="186" t="s">
        <v>1077</v>
      </c>
      <c r="C79" s="4" t="s">
        <v>629</v>
      </c>
      <c r="D79" s="183">
        <v>3</v>
      </c>
      <c r="E79" s="4" t="s">
        <v>3</v>
      </c>
      <c r="F79" s="17">
        <v>148</v>
      </c>
      <c r="G79" s="163" t="s">
        <v>6489</v>
      </c>
      <c r="I79" s="196" t="b">
        <f>IF(Verso!$B$22=Avantages!$A79,TRUE,FALSE)</f>
        <v>0</v>
      </c>
      <c r="J79" s="196" t="b">
        <f>IF(Verso!$B$23=Avantages!$A79,TRUE,FALSE)</f>
        <v>0</v>
      </c>
      <c r="K79" s="196" t="b">
        <f>IF(Verso!$B$24=Avantages!$A79,TRUE,FALSE)</f>
        <v>0</v>
      </c>
      <c r="L79" s="196" t="b">
        <f>IF(Verso!$B$25=Avantages!$A79,TRUE,FALSE)</f>
        <v>0</v>
      </c>
      <c r="M79" s="196" t="b">
        <f>IF(Verso!$B$26=Avantages!$A79,TRUE,FALSE)</f>
        <v>0</v>
      </c>
      <c r="N79" s="196" t="b">
        <f t="shared" si="0"/>
        <v>0</v>
      </c>
      <c r="P79" s="196">
        <f t="shared" si="7"/>
        <v>79</v>
      </c>
      <c r="Q79" s="196">
        <f t="shared" si="8"/>
        <v>140</v>
      </c>
      <c r="R79" s="578" t="str">
        <f t="shared" si="9"/>
        <v>Fils de Chikushudo: Vils Instincts</v>
      </c>
    </row>
    <row r="80" spans="1:18" x14ac:dyDescent="0.25">
      <c r="A80" s="186" t="s">
        <v>1078</v>
      </c>
      <c r="B80" s="186" t="s">
        <v>1078</v>
      </c>
      <c r="C80" s="4" t="s">
        <v>629</v>
      </c>
      <c r="D80" s="183">
        <v>6</v>
      </c>
      <c r="E80" s="4" t="s">
        <v>3</v>
      </c>
      <c r="F80" s="17">
        <v>148</v>
      </c>
      <c r="G80" s="163" t="s">
        <v>6490</v>
      </c>
      <c r="I80" s="196" t="b">
        <f>IF(Verso!$B$22=Avantages!$A80,TRUE,FALSE)</f>
        <v>0</v>
      </c>
      <c r="J80" s="196" t="b">
        <f>IF(Verso!$B$23=Avantages!$A80,TRUE,FALSE)</f>
        <v>0</v>
      </c>
      <c r="K80" s="196" t="b">
        <f>IF(Verso!$B$24=Avantages!$A80,TRUE,FALSE)</f>
        <v>0</v>
      </c>
      <c r="L80" s="196" t="b">
        <f>IF(Verso!$B$25=Avantages!$A80,TRUE,FALSE)</f>
        <v>0</v>
      </c>
      <c r="M80" s="196" t="b">
        <f>IF(Verso!$B$26=Avantages!$A80,TRUE,FALSE)</f>
        <v>0</v>
      </c>
      <c r="N80" s="196" t="b">
        <f t="shared" si="0"/>
        <v>0</v>
      </c>
      <c r="O80" s="295" t="s">
        <v>6476</v>
      </c>
      <c r="P80" s="196">
        <f t="shared" si="7"/>
        <v>80</v>
      </c>
      <c r="Q80" s="196">
        <f t="shared" si="8"/>
        <v>141</v>
      </c>
      <c r="R80" s="578" t="str">
        <f t="shared" si="9"/>
        <v>Fils de Chikushudo: Visage Inquiétant</v>
      </c>
    </row>
    <row r="81" spans="1:19" x14ac:dyDescent="0.25">
      <c r="A81" s="186" t="s">
        <v>4030</v>
      </c>
      <c r="B81" s="186" t="s">
        <v>4030</v>
      </c>
      <c r="C81" s="4" t="s">
        <v>67</v>
      </c>
      <c r="D81" s="183">
        <f>IF(Clan="Scorpion",0,1)</f>
        <v>1</v>
      </c>
      <c r="E81" s="4" t="s">
        <v>3</v>
      </c>
      <c r="F81" s="17">
        <v>148</v>
      </c>
      <c r="G81" s="163" t="s">
        <v>4055</v>
      </c>
      <c r="I81" s="196" t="b">
        <f>IF(Verso!$B$22=Avantages!$A81,TRUE,FALSE)</f>
        <v>0</v>
      </c>
      <c r="J81" s="196" t="b">
        <f>IF(Verso!$B$23=Avantages!$A81,TRUE,FALSE)</f>
        <v>0</v>
      </c>
      <c r="K81" s="196" t="b">
        <f>IF(Verso!$B$24=Avantages!$A81,TRUE,FALSE)</f>
        <v>0</v>
      </c>
      <c r="L81" s="196" t="b">
        <f>IF(Verso!$B$25=Avantages!$A81,TRUE,FALSE)</f>
        <v>0</v>
      </c>
      <c r="M81" s="196" t="b">
        <f>IF(Verso!$B$26=Avantages!$A81,TRUE,FALSE)</f>
        <v>0</v>
      </c>
      <c r="N81" s="196" t="b">
        <f t="shared" si="0"/>
        <v>0</v>
      </c>
      <c r="O81" s="295" t="b">
        <f>IF(OR(N82=TRUE,N83=TRUE,N84=TRUE,N85=TRUE,N86=TRUE,N87=TRUE,N88=TRUE,N89=TRUE,N90=TRUE),TRUE,FALSE)</f>
        <v>0</v>
      </c>
      <c r="P81" s="196">
        <f t="shared" si="7"/>
        <v>81</v>
      </c>
      <c r="Q81" s="196">
        <f t="shared" si="8"/>
        <v>142</v>
      </c>
      <c r="R81" s="578" t="str">
        <f t="shared" si="9"/>
        <v>Force de la Terre</v>
      </c>
    </row>
    <row r="82" spans="1:19" x14ac:dyDescent="0.25">
      <c r="A82" s="186" t="s">
        <v>4039</v>
      </c>
      <c r="B82" s="186" t="s">
        <v>4039</v>
      </c>
      <c r="C82" s="4" t="s">
        <v>67</v>
      </c>
      <c r="D82" s="183">
        <f>IF(Clan="Scorpion",9,10)</f>
        <v>10</v>
      </c>
      <c r="E82" s="4" t="s">
        <v>3</v>
      </c>
      <c r="F82" s="17">
        <v>148</v>
      </c>
      <c r="G82" s="163" t="s">
        <v>4064</v>
      </c>
      <c r="I82" s="196" t="b">
        <f>IF(Verso!$B$22=Avantages!$A82,TRUE,FALSE)</f>
        <v>0</v>
      </c>
      <c r="J82" s="196" t="b">
        <f>IF(Verso!$B$23=Avantages!$A82,TRUE,FALSE)</f>
        <v>0</v>
      </c>
      <c r="K82" s="196" t="b">
        <f>IF(Verso!$B$24=Avantages!$A82,TRUE,FALSE)</f>
        <v>0</v>
      </c>
      <c r="L82" s="196" t="b">
        <f>IF(Verso!$B$25=Avantages!$A82,TRUE,FALSE)</f>
        <v>0</v>
      </c>
      <c r="M82" s="196" t="b">
        <f>IF(Verso!$B$26=Avantages!$A82,TRUE,FALSE)</f>
        <v>0</v>
      </c>
      <c r="N82" s="196" t="b">
        <f t="shared" si="0"/>
        <v>0</v>
      </c>
      <c r="P82" s="196">
        <f t="shared" si="7"/>
        <v>82</v>
      </c>
      <c r="Q82" s="196">
        <f t="shared" si="8"/>
        <v>143</v>
      </c>
      <c r="R82" s="578" t="str">
        <f t="shared" si="9"/>
        <v>Gouverneur: Bourg</v>
      </c>
    </row>
    <row r="83" spans="1:19" x14ac:dyDescent="0.25">
      <c r="A83" s="186" t="s">
        <v>4031</v>
      </c>
      <c r="B83" s="186" t="s">
        <v>4031</v>
      </c>
      <c r="C83" s="4" t="s">
        <v>67</v>
      </c>
      <c r="D83" s="183">
        <f>IF(Clan="Scorpion",1,2)</f>
        <v>2</v>
      </c>
      <c r="E83" s="4" t="s">
        <v>3</v>
      </c>
      <c r="F83" s="17">
        <v>148</v>
      </c>
      <c r="G83" s="163" t="s">
        <v>4056</v>
      </c>
      <c r="I83" s="196" t="b">
        <f>IF(Verso!$B$22=Avantages!$A83,TRUE,FALSE)</f>
        <v>0</v>
      </c>
      <c r="J83" s="196" t="b">
        <f>IF(Verso!$B$23=Avantages!$A83,TRUE,FALSE)</f>
        <v>0</v>
      </c>
      <c r="K83" s="196" t="b">
        <f>IF(Verso!$B$24=Avantages!$A83,TRUE,FALSE)</f>
        <v>0</v>
      </c>
      <c r="L83" s="196" t="b">
        <f>IF(Verso!$B$25=Avantages!$A83,TRUE,FALSE)</f>
        <v>0</v>
      </c>
      <c r="M83" s="196" t="b">
        <f>IF(Verso!$B$26=Avantages!$A83,TRUE,FALSE)</f>
        <v>0</v>
      </c>
      <c r="N83" s="196" t="b">
        <f t="shared" si="0"/>
        <v>0</v>
      </c>
      <c r="P83" s="196">
        <f t="shared" si="7"/>
        <v>83</v>
      </c>
      <c r="Q83" s="196">
        <f t="shared" si="8"/>
        <v>144</v>
      </c>
      <c r="R83" s="578" t="str">
        <f t="shared" si="9"/>
        <v>Gouverneur: Domaine (brasserie,…)</v>
      </c>
    </row>
    <row r="84" spans="1:19" x14ac:dyDescent="0.25">
      <c r="A84" s="186" t="s">
        <v>4032</v>
      </c>
      <c r="B84" s="186" t="s">
        <v>4032</v>
      </c>
      <c r="C84" s="4" t="s">
        <v>67</v>
      </c>
      <c r="D84" s="183">
        <f>IF(Clan="Scorpion",2,3)</f>
        <v>3</v>
      </c>
      <c r="E84" s="4" t="s">
        <v>3</v>
      </c>
      <c r="F84" s="17">
        <v>148</v>
      </c>
      <c r="G84" s="163" t="s">
        <v>4057</v>
      </c>
      <c r="I84" s="196" t="b">
        <f>IF(Verso!$B$22=Avantages!$A84,TRUE,FALSE)</f>
        <v>0</v>
      </c>
      <c r="J84" s="196" t="b">
        <f>IF(Verso!$B$23=Avantages!$A84,TRUE,FALSE)</f>
        <v>0</v>
      </c>
      <c r="K84" s="196" t="b">
        <f>IF(Verso!$B$24=Avantages!$A84,TRUE,FALSE)</f>
        <v>0</v>
      </c>
      <c r="L84" s="196" t="b">
        <f>IF(Verso!$B$25=Avantages!$A84,TRUE,FALSE)</f>
        <v>0</v>
      </c>
      <c r="M84" s="196" t="b">
        <f>IF(Verso!$B$26=Avantages!$A84,TRUE,FALSE)</f>
        <v>0</v>
      </c>
      <c r="N84" s="196" t="b">
        <f t="shared" si="0"/>
        <v>0</v>
      </c>
      <c r="P84" s="196">
        <f t="shared" si="7"/>
        <v>84</v>
      </c>
      <c r="Q84" s="196">
        <f t="shared" si="8"/>
        <v>145</v>
      </c>
      <c r="R84" s="578" t="str">
        <f t="shared" si="9"/>
        <v>Gouverneur: Grand Village</v>
      </c>
    </row>
    <row r="85" spans="1:19" x14ac:dyDescent="0.25">
      <c r="A85" s="186" t="s">
        <v>4033</v>
      </c>
      <c r="B85" s="186" t="s">
        <v>4033</v>
      </c>
      <c r="C85" s="4" t="s">
        <v>67</v>
      </c>
      <c r="D85" s="183">
        <f>IF(Clan="Scorpion",3,4)</f>
        <v>4</v>
      </c>
      <c r="E85" s="4" t="s">
        <v>3</v>
      </c>
      <c r="F85" s="17">
        <v>148</v>
      </c>
      <c r="G85" s="163" t="s">
        <v>4058</v>
      </c>
      <c r="I85" s="196" t="b">
        <f>IF(Verso!$B$22=Avantages!$A85,TRUE,FALSE)</f>
        <v>0</v>
      </c>
      <c r="J85" s="196" t="b">
        <f>IF(Verso!$B$23=Avantages!$A85,TRUE,FALSE)</f>
        <v>0</v>
      </c>
      <c r="K85" s="196" t="b">
        <f>IF(Verso!$B$24=Avantages!$A85,TRUE,FALSE)</f>
        <v>0</v>
      </c>
      <c r="L85" s="196" t="b">
        <f>IF(Verso!$B$25=Avantages!$A85,TRUE,FALSE)</f>
        <v>0</v>
      </c>
      <c r="M85" s="196" t="b">
        <f>IF(Verso!$B$26=Avantages!$A85,TRUE,FALSE)</f>
        <v>0</v>
      </c>
      <c r="N85" s="196" t="b">
        <f t="shared" si="0"/>
        <v>0</v>
      </c>
      <c r="P85" s="196">
        <f t="shared" si="7"/>
        <v>85</v>
      </c>
      <c r="Q85" s="196">
        <f t="shared" si="8"/>
        <v>146</v>
      </c>
      <c r="R85" s="578" t="str">
        <f t="shared" si="9"/>
        <v>Gouverneur: Province</v>
      </c>
    </row>
    <row r="86" spans="1:19" x14ac:dyDescent="0.25">
      <c r="A86" s="186" t="s">
        <v>4034</v>
      </c>
      <c r="B86" s="186" t="s">
        <v>4034</v>
      </c>
      <c r="C86" s="4" t="s">
        <v>67</v>
      </c>
      <c r="D86" s="183">
        <f>IF(Clan="Scorpion",4,5)</f>
        <v>5</v>
      </c>
      <c r="E86" s="4" t="s">
        <v>3</v>
      </c>
      <c r="F86" s="17">
        <v>148</v>
      </c>
      <c r="G86" s="163" t="s">
        <v>4059</v>
      </c>
      <c r="I86" s="196" t="b">
        <f>IF(Verso!$B$22=Avantages!$A86,TRUE,FALSE)</f>
        <v>0</v>
      </c>
      <c r="J86" s="196" t="b">
        <f>IF(Verso!$B$23=Avantages!$A86,TRUE,FALSE)</f>
        <v>0</v>
      </c>
      <c r="K86" s="196" t="b">
        <f>IF(Verso!$B$24=Avantages!$A86,TRUE,FALSE)</f>
        <v>0</v>
      </c>
      <c r="L86" s="196" t="b">
        <f>IF(Verso!$B$25=Avantages!$A86,TRUE,FALSE)</f>
        <v>0</v>
      </c>
      <c r="M86" s="196" t="b">
        <f>IF(Verso!$B$26=Avantages!$A86,TRUE,FALSE)</f>
        <v>0</v>
      </c>
      <c r="N86" s="196" t="b">
        <f t="shared" si="0"/>
        <v>0</v>
      </c>
      <c r="P86" s="196">
        <f t="shared" si="7"/>
        <v>86</v>
      </c>
      <c r="Q86" s="196">
        <f t="shared" si="8"/>
        <v>147</v>
      </c>
      <c r="R86" s="578" t="str">
        <f t="shared" si="9"/>
        <v>Gouverneur: Village</v>
      </c>
    </row>
    <row r="87" spans="1:19" x14ac:dyDescent="0.25">
      <c r="A87" s="186" t="s">
        <v>4035</v>
      </c>
      <c r="B87" s="186" t="s">
        <v>4035</v>
      </c>
      <c r="C87" s="4" t="s">
        <v>67</v>
      </c>
      <c r="D87" s="183">
        <f>IF(Clan="Scorpion",5,6)</f>
        <v>6</v>
      </c>
      <c r="E87" s="4" t="s">
        <v>3</v>
      </c>
      <c r="F87" s="17">
        <v>148</v>
      </c>
      <c r="G87" s="163" t="s">
        <v>4060</v>
      </c>
      <c r="I87" s="196" t="b">
        <f>IF(Verso!$B$22=Avantages!$A87,TRUE,FALSE)</f>
        <v>0</v>
      </c>
      <c r="J87" s="196" t="b">
        <f>IF(Verso!$B$23=Avantages!$A87,TRUE,FALSE)</f>
        <v>0</v>
      </c>
      <c r="K87" s="196" t="b">
        <f>IF(Verso!$B$24=Avantages!$A87,TRUE,FALSE)</f>
        <v>0</v>
      </c>
      <c r="L87" s="196" t="b">
        <f>IF(Verso!$B$25=Avantages!$A87,TRUE,FALSE)</f>
        <v>0</v>
      </c>
      <c r="M87" s="196" t="b">
        <f>IF(Verso!$B$26=Avantages!$A87,TRUE,FALSE)</f>
        <v>0</v>
      </c>
      <c r="N87" s="196" t="b">
        <f t="shared" si="0"/>
        <v>0</v>
      </c>
      <c r="P87" s="196">
        <f t="shared" si="7"/>
        <v>87</v>
      </c>
      <c r="Q87" s="196">
        <f t="shared" si="8"/>
        <v>148</v>
      </c>
      <c r="R87" s="578" t="str">
        <f t="shared" si="9"/>
        <v>Gouverneur: Ville</v>
      </c>
    </row>
    <row r="88" spans="1:19" x14ac:dyDescent="0.25">
      <c r="A88" s="186" t="s">
        <v>4036</v>
      </c>
      <c r="B88" s="186" t="s">
        <v>4036</v>
      </c>
      <c r="C88" s="4" t="s">
        <v>67</v>
      </c>
      <c r="D88" s="183">
        <f>IF(Clan="Scorpion",6,7)</f>
        <v>7</v>
      </c>
      <c r="E88" s="4" t="s">
        <v>3</v>
      </c>
      <c r="F88" s="17">
        <v>148</v>
      </c>
      <c r="G88" s="163" t="s">
        <v>4061</v>
      </c>
      <c r="I88" s="196" t="b">
        <f>IF(Verso!$B$22=Avantages!$A88,TRUE,FALSE)</f>
        <v>0</v>
      </c>
      <c r="J88" s="196" t="b">
        <f>IF(Verso!$B$23=Avantages!$A88,TRUE,FALSE)</f>
        <v>0</v>
      </c>
      <c r="K88" s="196" t="b">
        <f>IF(Verso!$B$24=Avantages!$A88,TRUE,FALSE)</f>
        <v>0</v>
      </c>
      <c r="L88" s="196" t="b">
        <f>IF(Verso!$B$25=Avantages!$A88,TRUE,FALSE)</f>
        <v>0</v>
      </c>
      <c r="M88" s="196" t="b">
        <f>IF(Verso!$B$26=Avantages!$A88,TRUE,FALSE)</f>
        <v>0</v>
      </c>
      <c r="N88" s="196" t="b">
        <f t="shared" si="0"/>
        <v>0</v>
      </c>
      <c r="P88" s="196">
        <f t="shared" si="7"/>
        <v>88</v>
      </c>
      <c r="Q88" s="196">
        <f t="shared" si="8"/>
        <v>149</v>
      </c>
      <c r="R88" s="578" t="str">
        <f t="shared" si="9"/>
        <v>Grand</v>
      </c>
    </row>
    <row r="89" spans="1:19" x14ac:dyDescent="0.25">
      <c r="A89" s="186" t="s">
        <v>4037</v>
      </c>
      <c r="B89" s="186" t="s">
        <v>4037</v>
      </c>
      <c r="C89" s="4" t="s">
        <v>67</v>
      </c>
      <c r="D89" s="183">
        <f>IF(Clan="Scorpion",7,8)</f>
        <v>8</v>
      </c>
      <c r="E89" s="4" t="s">
        <v>3</v>
      </c>
      <c r="F89" s="17">
        <v>148</v>
      </c>
      <c r="G89" s="163" t="s">
        <v>4062</v>
      </c>
      <c r="I89" s="196" t="b">
        <f>IF(Verso!$B$22=Avantages!$A89,TRUE,FALSE)</f>
        <v>0</v>
      </c>
      <c r="J89" s="196" t="b">
        <f>IF(Verso!$B$23=Avantages!$A89,TRUE,FALSE)</f>
        <v>0</v>
      </c>
      <c r="K89" s="196" t="b">
        <f>IF(Verso!$B$24=Avantages!$A89,TRUE,FALSE)</f>
        <v>0</v>
      </c>
      <c r="L89" s="196" t="b">
        <f>IF(Verso!$B$25=Avantages!$A89,TRUE,FALSE)</f>
        <v>0</v>
      </c>
      <c r="M89" s="196" t="b">
        <f>IF(Verso!$B$26=Avantages!$A89,TRUE,FALSE)</f>
        <v>0</v>
      </c>
      <c r="N89" s="196" t="b">
        <f t="shared" si="0"/>
        <v>0</v>
      </c>
      <c r="P89" s="196">
        <f t="shared" si="7"/>
        <v>89</v>
      </c>
      <c r="Q89" s="196">
        <f t="shared" si="8"/>
        <v>150</v>
      </c>
      <c r="R89" s="578" t="str">
        <f t="shared" si="9"/>
        <v>Grand Voyageur</v>
      </c>
    </row>
    <row r="90" spans="1:19" x14ac:dyDescent="0.25">
      <c r="A90" s="186" t="s">
        <v>4038</v>
      </c>
      <c r="B90" s="186" t="s">
        <v>4038</v>
      </c>
      <c r="C90" s="4" t="s">
        <v>67</v>
      </c>
      <c r="D90" s="183">
        <f>IF(Clan="Scorpion",8,9)</f>
        <v>9</v>
      </c>
      <c r="E90" s="4" t="s">
        <v>3</v>
      </c>
      <c r="F90" s="17">
        <v>148</v>
      </c>
      <c r="G90" s="163" t="s">
        <v>4063</v>
      </c>
      <c r="I90" s="196" t="b">
        <f>IF(Verso!$B$22=Avantages!$A90,TRUE,FALSE)</f>
        <v>0</v>
      </c>
      <c r="J90" s="196" t="b">
        <f>IF(Verso!$B$23=Avantages!$A90,TRUE,FALSE)</f>
        <v>0</v>
      </c>
      <c r="K90" s="196" t="b">
        <f>IF(Verso!$B$24=Avantages!$A90,TRUE,FALSE)</f>
        <v>0</v>
      </c>
      <c r="L90" s="196" t="b">
        <f>IF(Verso!$B$25=Avantages!$A90,TRUE,FALSE)</f>
        <v>0</v>
      </c>
      <c r="M90" s="196" t="b">
        <f>IF(Verso!$B$26=Avantages!$A90,TRUE,FALSE)</f>
        <v>0</v>
      </c>
      <c r="N90" s="196" t="b">
        <f t="shared" si="0"/>
        <v>0</v>
      </c>
      <c r="P90" s="196">
        <f t="shared" si="7"/>
        <v>90</v>
      </c>
      <c r="Q90" s="196">
        <f t="shared" si="8"/>
        <v>151</v>
      </c>
      <c r="R90" s="578" t="str">
        <f t="shared" si="9"/>
        <v>Grande Destinée</v>
      </c>
    </row>
    <row r="91" spans="1:19" x14ac:dyDescent="0.25">
      <c r="A91" s="186" t="s">
        <v>656</v>
      </c>
      <c r="B91" s="186" t="s">
        <v>656</v>
      </c>
      <c r="C91" s="4" t="s">
        <v>629</v>
      </c>
      <c r="D91" s="183">
        <v>6</v>
      </c>
      <c r="E91" s="4" t="s">
        <v>3</v>
      </c>
      <c r="F91" s="17">
        <v>148</v>
      </c>
      <c r="G91" s="163" t="s">
        <v>635</v>
      </c>
      <c r="I91" s="196" t="b">
        <f>IF(Verso!$B$22=Avantages!$A91,TRUE,FALSE)</f>
        <v>0</v>
      </c>
      <c r="J91" s="196" t="b">
        <f>IF(Verso!$B$23=Avantages!$A91,TRUE,FALSE)</f>
        <v>0</v>
      </c>
      <c r="K91" s="196" t="b">
        <f>IF(Verso!$B$24=Avantages!$A91,TRUE,FALSE)</f>
        <v>0</v>
      </c>
      <c r="L91" s="196" t="b">
        <f>IF(Verso!$B$25=Avantages!$A91,TRUE,FALSE)</f>
        <v>0</v>
      </c>
      <c r="M91" s="196" t="b">
        <f>IF(Verso!$B$26=Avantages!$A91,TRUE,FALSE)</f>
        <v>0</v>
      </c>
      <c r="N91" s="196" t="b">
        <f t="shared" si="0"/>
        <v>0</v>
      </c>
      <c r="P91" s="196">
        <f t="shared" si="7"/>
        <v>91</v>
      </c>
      <c r="Q91" s="196">
        <f t="shared" si="8"/>
        <v>152</v>
      </c>
      <c r="R91" s="578" t="str">
        <f t="shared" si="9"/>
        <v>Haine au cœur</v>
      </c>
    </row>
    <row r="92" spans="1:19" x14ac:dyDescent="0.25">
      <c r="A92" s="186" t="str">
        <f>IF(Contexte_jeu="L'Empire Stellaire d'Emeraude","Citoyen: Osano-wo Reach","Citoyen: Broken Wave")</f>
        <v>Citoyen: Broken Wave</v>
      </c>
      <c r="B92" s="186" t="str">
        <f>IF(Contexte_jeu="L'Empire Stellaire d'Emeraude","Citoyen: Osano-wo Reach","Citoyen: Broken Wave")</f>
        <v>Citoyen: Broken Wave</v>
      </c>
      <c r="C92" s="4" t="s">
        <v>67</v>
      </c>
      <c r="D92" s="183">
        <v>3</v>
      </c>
      <c r="E92" s="4" t="s">
        <v>2074</v>
      </c>
      <c r="F92" s="17">
        <v>24</v>
      </c>
      <c r="G92" s="270" t="s">
        <v>642</v>
      </c>
      <c r="I92" s="196" t="b">
        <f>IF(Verso!$B$22=Avantages!$A92,TRUE,FALSE)</f>
        <v>0</v>
      </c>
      <c r="J92" s="196" t="b">
        <f>IF(Verso!$B$23=Avantages!$A92,TRUE,FALSE)</f>
        <v>0</v>
      </c>
      <c r="K92" s="196" t="b">
        <f>IF(Verso!$B$24=Avantages!$A92,TRUE,FALSE)</f>
        <v>0</v>
      </c>
      <c r="L92" s="196" t="b">
        <f>IF(Verso!$B$25=Avantages!$A92,TRUE,FALSE)</f>
        <v>0</v>
      </c>
      <c r="M92" s="196" t="b">
        <f>IF(Verso!$B$26=Avantages!$A92,TRUE,FALSE)</f>
        <v>0</v>
      </c>
      <c r="N92" s="196" t="b">
        <f t="shared" si="0"/>
        <v>0</v>
      </c>
      <c r="P92" s="196">
        <f t="shared" si="7"/>
        <v>92</v>
      </c>
      <c r="Q92" s="196">
        <f t="shared" si="8"/>
        <v>153</v>
      </c>
      <c r="R92" s="578" t="str">
        <f t="shared" si="9"/>
        <v>Héritage</v>
      </c>
      <c r="S92" s="196" t="str">
        <f ca="1">OFFSET(Avantages!$R$2:$R$323,0,0,COUNT(Q2:Q323))</f>
        <v>Héritage</v>
      </c>
    </row>
    <row r="93" spans="1:19" x14ac:dyDescent="0.25">
      <c r="A93" s="186" t="str">
        <f>IF(Contexte_jeu="L'Empire Stellaire d'Emeraude","Citoyen: Hida Prime","Citoyen: Clear Water")</f>
        <v>Citoyen: Clear Water</v>
      </c>
      <c r="B93" s="186" t="str">
        <f>IF(Contexte_jeu="L'Empire Stellaire d'Emeraude","Citoyen: Hida Secundus","Citoyen: Clear Water")</f>
        <v>Citoyen: Clear Water</v>
      </c>
      <c r="C93" s="4" t="s">
        <v>67</v>
      </c>
      <c r="D93" s="183">
        <v>3</v>
      </c>
      <c r="E93" s="4" t="s">
        <v>2074</v>
      </c>
      <c r="F93" s="17">
        <v>44</v>
      </c>
      <c r="G93" s="270" t="s">
        <v>645</v>
      </c>
      <c r="I93" s="196" t="b">
        <f>IF(Verso!$B$22=Avantages!$A93,TRUE,FALSE)</f>
        <v>0</v>
      </c>
      <c r="J93" s="196" t="b">
        <f>IF(Verso!$B$23=Avantages!$A93,TRUE,FALSE)</f>
        <v>0</v>
      </c>
      <c r="K93" s="196" t="b">
        <f>IF(Verso!$B$24=Avantages!$A93,TRUE,FALSE)</f>
        <v>0</v>
      </c>
      <c r="L93" s="196" t="b">
        <f>IF(Verso!$B$25=Avantages!$A93,TRUE,FALSE)</f>
        <v>0</v>
      </c>
      <c r="M93" s="196" t="b">
        <f>IF(Verso!$B$26=Avantages!$A93,TRUE,FALSE)</f>
        <v>0</v>
      </c>
      <c r="N93" s="196" t="b">
        <f t="shared" si="0"/>
        <v>0</v>
      </c>
      <c r="P93" s="196">
        <f t="shared" si="7"/>
        <v>93</v>
      </c>
      <c r="Q93" s="196">
        <f t="shared" si="8"/>
        <v>159</v>
      </c>
      <c r="R93" s="578" t="str">
        <f t="shared" si="9"/>
        <v>Héritage: Faucon Dréssé</v>
      </c>
    </row>
    <row r="94" spans="1:19" x14ac:dyDescent="0.25">
      <c r="A94" s="186" t="str">
        <f>IF(Contexte_jeu="L'Empire Stellaire d'Emeraude","Citoyen: Burning Star","Citoyen: Dark Edge")</f>
        <v>Citoyen: Dark Edge</v>
      </c>
      <c r="B94" s="186" t="str">
        <f>IF(Contexte_jeu="L'Empire Stellaire d'Emeraude","Citoyen: Burning Star","Citoyen: Dark Edge")</f>
        <v>Citoyen: Dark Edge</v>
      </c>
      <c r="C94" s="4" t="s">
        <v>67</v>
      </c>
      <c r="D94" s="183">
        <v>2</v>
      </c>
      <c r="E94" s="4" t="s">
        <v>2074</v>
      </c>
      <c r="F94" s="17">
        <v>60</v>
      </c>
      <c r="G94" s="270" t="s">
        <v>1097</v>
      </c>
      <c r="I94" s="196" t="b">
        <f>IF(Verso!$B$22=Avantages!$A94,TRUE,FALSE)</f>
        <v>0</v>
      </c>
      <c r="J94" s="196" t="b">
        <f>IF(Verso!$B$23=Avantages!$A94,TRUE,FALSE)</f>
        <v>0</v>
      </c>
      <c r="K94" s="196" t="b">
        <f>IF(Verso!$B$24=Avantages!$A94,TRUE,FALSE)</f>
        <v>0</v>
      </c>
      <c r="L94" s="196" t="b">
        <f>IF(Verso!$B$25=Avantages!$A94,TRUE,FALSE)</f>
        <v>0</v>
      </c>
      <c r="M94" s="196" t="b">
        <f>IF(Verso!$B$26=Avantages!$A94,TRUE,FALSE)</f>
        <v>0</v>
      </c>
      <c r="N94" s="196" t="b">
        <f t="shared" si="0"/>
        <v>0</v>
      </c>
      <c r="P94" s="196">
        <f t="shared" si="7"/>
        <v>94</v>
      </c>
      <c r="Q94" s="196">
        <f t="shared" si="8"/>
        <v>160</v>
      </c>
      <c r="R94" s="578" t="str">
        <f t="shared" si="9"/>
        <v>Héros Populaire</v>
      </c>
    </row>
    <row r="95" spans="1:19" x14ac:dyDescent="0.25">
      <c r="A95" s="186" t="str">
        <f>IF(Contexte_jeu="L'Empire Stellaire d'Emeraude","Citoyen: Rokugan Prime","Citoyen: Cité Impériale")</f>
        <v>Citoyen: Cité Impériale</v>
      </c>
      <c r="B95" s="186" t="str">
        <f>IF(Contexte_jeu="L'Empire Stellaire d'Emeraude","Citoyen: Rokugan Prime","Citoyen: Cité Impériale")</f>
        <v>Citoyen: Cité Impériale</v>
      </c>
      <c r="C95" s="4" t="s">
        <v>67</v>
      </c>
      <c r="D95" s="183">
        <v>2</v>
      </c>
      <c r="E95" s="4" t="s">
        <v>2074</v>
      </c>
      <c r="F95" s="17">
        <v>134</v>
      </c>
      <c r="G95" s="270" t="s">
        <v>190</v>
      </c>
      <c r="I95" s="196" t="b">
        <f>IF(Verso!$B$22=Avantages!$A95,TRUE,FALSE)</f>
        <v>0</v>
      </c>
      <c r="J95" s="196" t="b">
        <f>IF(Verso!$B$23=Avantages!$A95,TRUE,FALSE)</f>
        <v>0</v>
      </c>
      <c r="K95" s="196" t="b">
        <f>IF(Verso!$B$24=Avantages!$A95,TRUE,FALSE)</f>
        <v>0</v>
      </c>
      <c r="L95" s="196" t="b">
        <f>IF(Verso!$B$25=Avantages!$A95,TRUE,FALSE)</f>
        <v>0</v>
      </c>
      <c r="M95" s="196" t="b">
        <f>IF(Verso!$B$26=Avantages!$A95,TRUE,FALSE)</f>
        <v>0</v>
      </c>
      <c r="N95" s="196" t="b">
        <f t="shared" si="0"/>
        <v>0</v>
      </c>
      <c r="P95" s="196">
        <f t="shared" si="7"/>
        <v>95</v>
      </c>
      <c r="Q95" s="196">
        <f t="shared" si="8"/>
        <v>161</v>
      </c>
      <c r="R95" s="578" t="str">
        <f t="shared" si="9"/>
        <v>Heureuses Fiançailles</v>
      </c>
    </row>
    <row r="96" spans="1:19" x14ac:dyDescent="0.25">
      <c r="A96" s="186" t="str">
        <f>IF(Contexte_jeu="L'Empire Stellaire d'Emeraude","Citoyen: Gale","Citoyen: Citoyen: Iron Heart")</f>
        <v>Citoyen: Citoyen: Iron Heart</v>
      </c>
      <c r="B96" s="186" t="str">
        <f>IF(Contexte_jeu="L'Empire Stellaire d'Emeraude","Citoyen: Gale","Citoyen: Citoyen: Iron Heart")</f>
        <v>Citoyen: Citoyen: Iron Heart</v>
      </c>
      <c r="C96" s="4" t="s">
        <v>628</v>
      </c>
      <c r="D96" s="183">
        <v>2</v>
      </c>
      <c r="E96" s="4" t="s">
        <v>6192</v>
      </c>
      <c r="F96" s="17">
        <v>195</v>
      </c>
      <c r="G96" s="270" t="s">
        <v>6308</v>
      </c>
      <c r="I96" s="196" t="b">
        <f>IF(Verso!$B$22=Avantages!$A96,TRUE,FALSE)</f>
        <v>0</v>
      </c>
      <c r="J96" s="196" t="b">
        <f>IF(Verso!$B$23=Avantages!$A96,TRUE,FALSE)</f>
        <v>0</v>
      </c>
      <c r="K96" s="196" t="b">
        <f>IF(Verso!$B$24=Avantages!$A96,TRUE,FALSE)</f>
        <v>0</v>
      </c>
      <c r="L96" s="196" t="b">
        <f>IF(Verso!$B$25=Avantages!$A96,TRUE,FALSE)</f>
        <v>0</v>
      </c>
      <c r="M96" s="196" t="b">
        <f>IF(Verso!$B$26=Avantages!$A96,TRUE,FALSE)</f>
        <v>0</v>
      </c>
      <c r="N96" s="196" t="b">
        <f t="shared" si="0"/>
        <v>0</v>
      </c>
      <c r="P96" s="196">
        <f t="shared" si="7"/>
        <v>96</v>
      </c>
      <c r="Q96" s="196">
        <f t="shared" si="8"/>
        <v>163</v>
      </c>
      <c r="R96" s="578" t="str">
        <f t="shared" si="9"/>
        <v>Honneur Apparent Exeptionnel</v>
      </c>
    </row>
    <row r="97" spans="1:18" s="196" customFormat="1" x14ac:dyDescent="0.25">
      <c r="A97" s="186" t="str">
        <f>IF(Contexte_jeu="L'Empire Stellaire d'Emeraude","Citoyen: Golden Mirror","Citoyen: Laughing Plains")</f>
        <v>Citoyen: Laughing Plains</v>
      </c>
      <c r="B97" s="186" t="str">
        <f>IF(Contexte_jeu="L'Empire Stellaire d'Emeraude","Citoyen: Golden Mirror","Citoyen: Laughing Plains")</f>
        <v>Citoyen: Laughing Plains</v>
      </c>
      <c r="C97" s="4" t="s">
        <v>65</v>
      </c>
      <c r="D97" s="183">
        <v>2</v>
      </c>
      <c r="E97" s="4" t="s">
        <v>6192</v>
      </c>
      <c r="F97" s="17">
        <v>195</v>
      </c>
      <c r="G97" s="270" t="s">
        <v>6309</v>
      </c>
      <c r="I97" s="196" t="b">
        <f>IF(Verso!$B$22=Avantages!$A97,TRUE,FALSE)</f>
        <v>0</v>
      </c>
      <c r="J97" s="196" t="b">
        <f>IF(Verso!$B$23=Avantages!$A97,TRUE,FALSE)</f>
        <v>0</v>
      </c>
      <c r="K97" s="196" t="b">
        <f>IF(Verso!$B$24=Avantages!$A97,TRUE,FALSE)</f>
        <v>0</v>
      </c>
      <c r="L97" s="196" t="b">
        <f>IF(Verso!$B$25=Avantages!$A97,TRUE,FALSE)</f>
        <v>0</v>
      </c>
      <c r="M97" s="196" t="b">
        <f>IF(Verso!$B$26=Avantages!$A97,TRUE,FALSE)</f>
        <v>0</v>
      </c>
      <c r="N97" s="196" t="b">
        <f t="shared" si="0"/>
        <v>0</v>
      </c>
      <c r="O97" s="295"/>
      <c r="P97" s="196">
        <f t="shared" si="7"/>
        <v>97</v>
      </c>
      <c r="Q97" s="196">
        <f t="shared" si="8"/>
        <v>164</v>
      </c>
      <c r="R97" s="578" t="str">
        <f t="shared" si="9"/>
        <v>Honneur Apparent Extraordinaire</v>
      </c>
    </row>
    <row r="98" spans="1:18" s="196" customFormat="1" x14ac:dyDescent="0.25">
      <c r="A98" s="186" t="s">
        <v>9079</v>
      </c>
      <c r="B98" s="186" t="str">
        <f>IF(Contexte_jeu="L'Empire Stellaire d'Emeraude","Citoyen: World of Dreams","")</f>
        <v/>
      </c>
      <c r="C98" s="4" t="s">
        <v>67</v>
      </c>
      <c r="D98" s="183">
        <v>3</v>
      </c>
      <c r="E98" s="4" t="s">
        <v>7453</v>
      </c>
      <c r="F98" s="17">
        <v>78</v>
      </c>
      <c r="G98" s="270" t="s">
        <v>7569</v>
      </c>
      <c r="I98" s="196" t="b">
        <f>IF(Verso!$B$22=Avantages!$A98,TRUE,FALSE)</f>
        <v>0</v>
      </c>
      <c r="J98" s="196" t="b">
        <f>IF(Verso!$B$23=Avantages!$A98,TRUE,FALSE)</f>
        <v>0</v>
      </c>
      <c r="K98" s="196" t="b">
        <f>IF(Verso!$B$24=Avantages!$A98,TRUE,FALSE)</f>
        <v>0</v>
      </c>
      <c r="L98" s="196" t="b">
        <f>IF(Verso!$B$25=Avantages!$A98,TRUE,FALSE)</f>
        <v>0</v>
      </c>
      <c r="M98" s="196" t="b">
        <f>IF(Verso!$B$26=Avantages!$A98,TRUE,FALSE)</f>
        <v>0</v>
      </c>
      <c r="N98" s="196" t="b">
        <f>IF(OR(I98=TRUE,J98=TRUE,K98=TRUE,L98=TRUE,M98=TRUE),TRUE,FALSE)</f>
        <v>0</v>
      </c>
      <c r="O98" s="295"/>
      <c r="P98" s="196" t="str">
        <f t="shared" si="7"/>
        <v/>
      </c>
      <c r="Q98" s="196">
        <f t="shared" si="8"/>
        <v>165</v>
      </c>
      <c r="R98" s="578" t="str">
        <f t="shared" si="9"/>
        <v>Honneur Apparent Majeur</v>
      </c>
    </row>
    <row r="99" spans="1:18" x14ac:dyDescent="0.25">
      <c r="A99" s="186" t="str">
        <f>IF(Contexte_jeu="L'Empire Stellaire d'Emeraude","Citoyen: New Rokugan","Citoyen: Naishou")</f>
        <v>Citoyen: Naishou</v>
      </c>
      <c r="B99" s="186" t="str">
        <f>IF(Contexte_jeu="L'Empire Stellaire d'Emeraude","Citoyen: New Rokugan","Citoyen: Naishou")</f>
        <v>Citoyen: Naishou</v>
      </c>
      <c r="C99" s="4" t="s">
        <v>67</v>
      </c>
      <c r="D99" s="183">
        <v>3</v>
      </c>
      <c r="E99" s="4" t="s">
        <v>161</v>
      </c>
      <c r="F99" s="17">
        <v>8</v>
      </c>
      <c r="G99" s="270" t="s">
        <v>7610</v>
      </c>
      <c r="I99" s="196" t="b">
        <f>IF(Verso!$B$22=Avantages!$A99,TRUE,FALSE)</f>
        <v>0</v>
      </c>
      <c r="J99" s="196" t="b">
        <f>IF(Verso!$B$23=Avantages!$A99,TRUE,FALSE)</f>
        <v>0</v>
      </c>
      <c r="K99" s="196" t="b">
        <f>IF(Verso!$B$24=Avantages!$A99,TRUE,FALSE)</f>
        <v>0</v>
      </c>
      <c r="L99" s="196" t="b">
        <f>IF(Verso!$B$25=Avantages!$A99,TRUE,FALSE)</f>
        <v>0</v>
      </c>
      <c r="M99" s="196" t="b">
        <f>IF(Verso!$B$26=Avantages!$A99,TRUE,FALSE)</f>
        <v>0</v>
      </c>
      <c r="N99" s="196" t="b">
        <f t="shared" si="0"/>
        <v>0</v>
      </c>
      <c r="P99" s="196">
        <f t="shared" si="7"/>
        <v>99</v>
      </c>
      <c r="Q99" s="196">
        <f t="shared" si="8"/>
        <v>166</v>
      </c>
      <c r="R99" s="578" t="str">
        <f t="shared" si="9"/>
        <v>Honneur Apparent Mineur</v>
      </c>
    </row>
    <row r="100" spans="1:18" x14ac:dyDescent="0.25">
      <c r="A100" s="186" t="str">
        <f>IF(Contexte_jeu="L'Empire Stellaire d'Emeraude","Citoyen: Ujimitsu","Citoyen: Nikesake")</f>
        <v>Citoyen: Nikesake</v>
      </c>
      <c r="B100" s="186" t="str">
        <f>IF(Contexte_jeu="L'Empire Stellaire d'Emeraude","Citoyen: Ujimitsu","Citoyen: Nikesake")</f>
        <v>Citoyen: Nikesake</v>
      </c>
      <c r="C100" s="4" t="s">
        <v>67</v>
      </c>
      <c r="D100" s="183">
        <v>3</v>
      </c>
      <c r="E100" s="4" t="s">
        <v>2074</v>
      </c>
      <c r="F100" s="17">
        <v>75</v>
      </c>
      <c r="G100" s="270" t="s">
        <v>643</v>
      </c>
      <c r="I100" s="196" t="b">
        <f>IF(Verso!$B$22=Avantages!$A100,TRUE,FALSE)</f>
        <v>0</v>
      </c>
      <c r="J100" s="196" t="b">
        <f>IF(Verso!$B$23=Avantages!$A100,TRUE,FALSE)</f>
        <v>0</v>
      </c>
      <c r="K100" s="196" t="b">
        <f>IF(Verso!$B$24=Avantages!$A100,TRUE,FALSE)</f>
        <v>0</v>
      </c>
      <c r="L100" s="196" t="b">
        <f>IF(Verso!$B$25=Avantages!$A100,TRUE,FALSE)</f>
        <v>0</v>
      </c>
      <c r="M100" s="196" t="b">
        <f>IF(Verso!$B$26=Avantages!$A100,TRUE,FALSE)</f>
        <v>0</v>
      </c>
      <c r="N100" s="196" t="b">
        <f t="shared" si="0"/>
        <v>0</v>
      </c>
      <c r="P100" s="196">
        <f t="shared" si="7"/>
        <v>100</v>
      </c>
      <c r="Q100" s="196">
        <f t="shared" si="8"/>
        <v>167</v>
      </c>
      <c r="R100" s="578" t="str">
        <f t="shared" si="9"/>
        <v>Honneur Apparent Moyen</v>
      </c>
    </row>
    <row r="101" spans="1:18" s="196" customFormat="1" x14ac:dyDescent="0.25">
      <c r="A101" s="186" t="str">
        <f>IF(Contexte_jeu="L'Empire Stellaire d'Emeraude","Citoyen: First Landing ","Citoyen: Sacred Forest")</f>
        <v>Citoyen: Sacred Forest</v>
      </c>
      <c r="B101" s="186" t="str">
        <f>IF(Contexte_jeu="L'Empire Stellaire d'Emeraude","Citoyen: First Landing ","Citoyen: Sacred Forest")</f>
        <v>Citoyen: Sacred Forest</v>
      </c>
      <c r="C101" s="4" t="s">
        <v>65</v>
      </c>
      <c r="D101" s="183">
        <v>2</v>
      </c>
      <c r="E101" s="4" t="s">
        <v>6192</v>
      </c>
      <c r="F101" s="17">
        <v>195</v>
      </c>
      <c r="G101" s="270" t="s">
        <v>6310</v>
      </c>
      <c r="I101" s="196" t="b">
        <f>IF(Verso!$B$22=Avantages!$A101,TRUE,FALSE)</f>
        <v>0</v>
      </c>
      <c r="J101" s="196" t="b">
        <f>IF(Verso!$B$23=Avantages!$A101,TRUE,FALSE)</f>
        <v>0</v>
      </c>
      <c r="K101" s="196" t="b">
        <f>IF(Verso!$B$24=Avantages!$A101,TRUE,FALSE)</f>
        <v>0</v>
      </c>
      <c r="L101" s="196" t="b">
        <f>IF(Verso!$B$25=Avantages!$A101,TRUE,FALSE)</f>
        <v>0</v>
      </c>
      <c r="M101" s="196" t="b">
        <f>IF(Verso!$B$26=Avantages!$A101,TRUE,FALSE)</f>
        <v>0</v>
      </c>
      <c r="N101" s="196" t="b">
        <f t="shared" si="0"/>
        <v>0</v>
      </c>
      <c r="O101" s="295"/>
      <c r="P101" s="196">
        <f t="shared" si="7"/>
        <v>101</v>
      </c>
      <c r="Q101" s="196">
        <f t="shared" si="8"/>
        <v>168</v>
      </c>
      <c r="R101" s="578" t="str">
        <f t="shared" si="9"/>
        <v>Illumination</v>
      </c>
    </row>
    <row r="102" spans="1:18" s="196" customFormat="1" x14ac:dyDescent="0.25">
      <c r="A102" s="186" t="str">
        <f>IF(Contexte_jeu="L'Empire Stellaire d'Emeraude","Citoyen: Dragon's Eye","Citoyen: Water Hammer City")</f>
        <v>Citoyen: Water Hammer City</v>
      </c>
      <c r="B102" s="186" t="str">
        <f>IF(Contexte_jeu="L'Empire Stellaire d'Emeraude","Citoyen: Dragon's Eye","Citoyen: Water Hammer City")</f>
        <v>Citoyen: Water Hammer City</v>
      </c>
      <c r="C102" s="4" t="s">
        <v>67</v>
      </c>
      <c r="D102" s="183">
        <v>3</v>
      </c>
      <c r="E102" s="4" t="s">
        <v>2074</v>
      </c>
      <c r="F102" s="17">
        <v>107</v>
      </c>
      <c r="G102" s="270" t="s">
        <v>791</v>
      </c>
      <c r="I102" s="196" t="b">
        <f>IF(Verso!$B$22=Avantages!$A102,TRUE,FALSE)</f>
        <v>0</v>
      </c>
      <c r="J102" s="196" t="b">
        <f>IF(Verso!$B$23=Avantages!$A102,TRUE,FALSE)</f>
        <v>0</v>
      </c>
      <c r="K102" s="196" t="b">
        <f>IF(Verso!$B$24=Avantages!$A102,TRUE,FALSE)</f>
        <v>0</v>
      </c>
      <c r="L102" s="196" t="b">
        <f>IF(Verso!$B$25=Avantages!$A102,TRUE,FALSE)</f>
        <v>0</v>
      </c>
      <c r="M102" s="196" t="b">
        <f>IF(Verso!$B$26=Avantages!$A102,TRUE,FALSE)</f>
        <v>0</v>
      </c>
      <c r="N102" s="196" t="b">
        <f t="shared" si="0"/>
        <v>0</v>
      </c>
      <c r="O102" s="295"/>
      <c r="P102" s="196">
        <f t="shared" si="7"/>
        <v>102</v>
      </c>
      <c r="Q102" s="196">
        <f t="shared" si="8"/>
        <v>169</v>
      </c>
      <c r="R102" s="578" t="str">
        <f t="shared" si="9"/>
        <v>Ingénieux</v>
      </c>
    </row>
    <row r="103" spans="1:18" x14ac:dyDescent="0.25">
      <c r="A103" s="186" t="str">
        <f>IF(Contexte_jeu="L'Empire Stellaire d'Emeraude","Citoyen: World of Dreams","Citoyen: Zakyo Toshi")</f>
        <v>Citoyen: Zakyo Toshi</v>
      </c>
      <c r="B103" s="186" t="str">
        <f>IF(Contexte_jeu="L'Empire Stellaire d'Emeraude","Citoyen: World of Dreams","Citoyen: Zakyo Toshi")</f>
        <v>Citoyen: Zakyo Toshi</v>
      </c>
      <c r="C103" s="4" t="s">
        <v>67</v>
      </c>
      <c r="D103" s="183">
        <v>3</v>
      </c>
      <c r="E103" s="4" t="s">
        <v>2074</v>
      </c>
      <c r="F103" s="17">
        <v>152</v>
      </c>
      <c r="G103" s="270" t="s">
        <v>1098</v>
      </c>
      <c r="I103" s="196" t="b">
        <f>IF(Verso!$B$22=Avantages!$A103,TRUE,FALSE)</f>
        <v>0</v>
      </c>
      <c r="J103" s="196" t="b">
        <f>IF(Verso!$B$23=Avantages!$A103,TRUE,FALSE)</f>
        <v>0</v>
      </c>
      <c r="K103" s="196" t="b">
        <f>IF(Verso!$B$24=Avantages!$A103,TRUE,FALSE)</f>
        <v>0</v>
      </c>
      <c r="L103" s="196" t="b">
        <f>IF(Verso!$B$25=Avantages!$A103,TRUE,FALSE)</f>
        <v>0</v>
      </c>
      <c r="M103" s="196" t="b">
        <f>IF(Verso!$B$26=Avantages!$A103,TRUE,FALSE)</f>
        <v>0</v>
      </c>
      <c r="N103" s="196" t="b">
        <f t="shared" si="0"/>
        <v>0</v>
      </c>
      <c r="P103" s="196">
        <f t="shared" si="7"/>
        <v>103</v>
      </c>
      <c r="Q103" s="196">
        <f t="shared" si="8"/>
        <v>170</v>
      </c>
      <c r="R103" s="578" t="str">
        <f t="shared" si="9"/>
        <v>Intègre</v>
      </c>
    </row>
    <row r="104" spans="1:18" x14ac:dyDescent="0.25">
      <c r="A104" s="186" t="s">
        <v>657</v>
      </c>
      <c r="B104" s="186" t="s">
        <v>657</v>
      </c>
      <c r="C104" s="4" t="s">
        <v>65</v>
      </c>
      <c r="D104" s="183">
        <f>IF(Clan="Dragon",2,3)</f>
        <v>3</v>
      </c>
      <c r="E104" s="4" t="s">
        <v>3</v>
      </c>
      <c r="F104" s="17">
        <v>148</v>
      </c>
      <c r="G104" s="163" t="s">
        <v>1099</v>
      </c>
      <c r="I104" s="196" t="b">
        <f>IF(Verso!$B$22=Avantages!$A104,TRUE,FALSE)</f>
        <v>0</v>
      </c>
      <c r="J104" s="196" t="b">
        <f>IF(Verso!$B$23=Avantages!$A104,TRUE,FALSE)</f>
        <v>0</v>
      </c>
      <c r="K104" s="196" t="b">
        <f>IF(Verso!$B$24=Avantages!$A104,TRUE,FALSE)</f>
        <v>0</v>
      </c>
      <c r="L104" s="196" t="b">
        <f>IF(Verso!$B$25=Avantages!$A104,TRUE,FALSE)</f>
        <v>0</v>
      </c>
      <c r="M104" s="196" t="b">
        <f>IF(Verso!$B$26=Avantages!$A104,TRUE,FALSE)</f>
        <v>0</v>
      </c>
      <c r="N104" s="196" t="b">
        <f t="shared" ref="N104:N170" si="10">IF(OR(I104=TRUE,J104=TRUE,K104=TRUE,L104=TRUE,M104=TRUE),TRUE,FALSE)</f>
        <v>0</v>
      </c>
      <c r="P104" s="196">
        <f t="shared" si="7"/>
        <v>104</v>
      </c>
      <c r="Q104" s="196">
        <f t="shared" si="8"/>
        <v>171</v>
      </c>
      <c r="R104" s="578" t="str">
        <f t="shared" si="9"/>
        <v>Ishiken-do</v>
      </c>
    </row>
    <row r="105" spans="1:18" x14ac:dyDescent="0.25">
      <c r="A105" s="186" t="s">
        <v>694</v>
      </c>
      <c r="B105" s="186" t="s">
        <v>694</v>
      </c>
      <c r="C105" s="4" t="s">
        <v>65</v>
      </c>
      <c r="D105" s="183">
        <v>5</v>
      </c>
      <c r="E105" s="4" t="s">
        <v>2075</v>
      </c>
      <c r="F105" s="17">
        <v>48</v>
      </c>
      <c r="G105" s="163" t="s">
        <v>1100</v>
      </c>
      <c r="I105" s="196" t="b">
        <f>IF(Verso!$B$22=Avantages!$A105,TRUE,FALSE)</f>
        <v>0</v>
      </c>
      <c r="J105" s="196" t="b">
        <f>IF(Verso!$B$23=Avantages!$A105,TRUE,FALSE)</f>
        <v>0</v>
      </c>
      <c r="K105" s="196" t="b">
        <f>IF(Verso!$B$24=Avantages!$A105,TRUE,FALSE)</f>
        <v>0</v>
      </c>
      <c r="L105" s="196" t="b">
        <f>IF(Verso!$B$25=Avantages!$A105,TRUE,FALSE)</f>
        <v>0</v>
      </c>
      <c r="M105" s="196" t="b">
        <f>IF(Verso!$B$26=Avantages!$A105,TRUE,FALSE)</f>
        <v>0</v>
      </c>
      <c r="N105" s="196" t="b">
        <f t="shared" si="10"/>
        <v>0</v>
      </c>
      <c r="P105" s="196">
        <f t="shared" si="7"/>
        <v>105</v>
      </c>
      <c r="Q105" s="196">
        <f t="shared" si="8"/>
        <v>172</v>
      </c>
      <c r="R105" s="578" t="str">
        <f t="shared" si="9"/>
        <v>Jeune Prodige</v>
      </c>
    </row>
    <row r="106" spans="1:18" x14ac:dyDescent="0.25">
      <c r="A106" s="186" t="s">
        <v>797</v>
      </c>
      <c r="B106" s="186" t="str">
        <f>IF(OR(Recto!$C$3=H106,Calculs!$J$8&gt;0),CONCATENATE(A106),"")</f>
        <v/>
      </c>
      <c r="C106" s="4" t="s">
        <v>629</v>
      </c>
      <c r="D106" s="183" t="s">
        <v>802</v>
      </c>
      <c r="E106" s="4" t="s">
        <v>2075</v>
      </c>
      <c r="F106" s="17">
        <v>82</v>
      </c>
      <c r="G106" s="270" t="s">
        <v>810</v>
      </c>
      <c r="H106" s="196" t="s">
        <v>53</v>
      </c>
      <c r="I106" s="196" t="b">
        <f>IF(Verso!$B$22=Avantages!$A106,TRUE,FALSE)</f>
        <v>0</v>
      </c>
      <c r="J106" s="196" t="b">
        <f>IF(Verso!$B$23=Avantages!$A106,TRUE,FALSE)</f>
        <v>0</v>
      </c>
      <c r="K106" s="196" t="b">
        <f>IF(Verso!$B$24=Avantages!$A106,TRUE,FALSE)</f>
        <v>0</v>
      </c>
      <c r="L106" s="196" t="b">
        <f>IF(Verso!$B$25=Avantages!$A106,TRUE,FALSE)</f>
        <v>0</v>
      </c>
      <c r="M106" s="196" t="b">
        <f>IF(Verso!$B$26=Avantages!$A106,TRUE,FALSE)</f>
        <v>0</v>
      </c>
      <c r="N106" s="196" t="b">
        <f t="shared" si="10"/>
        <v>0</v>
      </c>
      <c r="P106" s="196" t="str">
        <f t="shared" si="7"/>
        <v/>
      </c>
      <c r="Q106" s="196">
        <f t="shared" si="8"/>
        <v>173</v>
      </c>
      <c r="R106" s="578" t="str">
        <f t="shared" si="9"/>
        <v>Kami Amical</v>
      </c>
    </row>
    <row r="107" spans="1:18" x14ac:dyDescent="0.25">
      <c r="A107" s="186" t="s">
        <v>798</v>
      </c>
      <c r="B107" s="186" t="str">
        <f>IF(OR(Recto!$C$3=H107,Calculs!$J$8&gt;0),CONCATENATE(A107),"")</f>
        <v/>
      </c>
      <c r="C107" s="4" t="s">
        <v>629</v>
      </c>
      <c r="D107" s="183" t="s">
        <v>803</v>
      </c>
      <c r="E107" s="4" t="s">
        <v>2075</v>
      </c>
      <c r="F107" s="17">
        <v>82</v>
      </c>
      <c r="G107" s="270" t="s">
        <v>807</v>
      </c>
      <c r="H107" s="196" t="s">
        <v>53</v>
      </c>
      <c r="I107" s="196" t="b">
        <f>IF(Verso!$B$22=Avantages!$A107,TRUE,FALSE)</f>
        <v>0</v>
      </c>
      <c r="J107" s="196" t="b">
        <f>IF(Verso!$B$23=Avantages!$A107,TRUE,FALSE)</f>
        <v>0</v>
      </c>
      <c r="K107" s="196" t="b">
        <f>IF(Verso!$B$24=Avantages!$A107,TRUE,FALSE)</f>
        <v>0</v>
      </c>
      <c r="L107" s="196" t="b">
        <f>IF(Verso!$B$25=Avantages!$A107,TRUE,FALSE)</f>
        <v>0</v>
      </c>
      <c r="M107" s="196" t="b">
        <f>IF(Verso!$B$26=Avantages!$A107,TRUE,FALSE)</f>
        <v>0</v>
      </c>
      <c r="N107" s="196" t="b">
        <f t="shared" si="10"/>
        <v>0</v>
      </c>
      <c r="P107" s="196" t="str">
        <f t="shared" si="7"/>
        <v/>
      </c>
      <c r="Q107" s="196">
        <f t="shared" si="8"/>
        <v>175</v>
      </c>
      <c r="R107" s="578" t="str">
        <f t="shared" si="9"/>
        <v>La Voie du Daimyo</v>
      </c>
    </row>
    <row r="108" spans="1:18" x14ac:dyDescent="0.25">
      <c r="A108" s="186" t="s">
        <v>799</v>
      </c>
      <c r="B108" s="186" t="str">
        <f>IF(OR(Recto!$C$3=H108,Calculs!$J$8&gt;0),CONCATENATE(A108),"")</f>
        <v/>
      </c>
      <c r="C108" s="4" t="s">
        <v>629</v>
      </c>
      <c r="D108" s="183" t="s">
        <v>804</v>
      </c>
      <c r="E108" s="4" t="s">
        <v>2075</v>
      </c>
      <c r="F108" s="17">
        <v>82</v>
      </c>
      <c r="G108" s="270" t="s">
        <v>808</v>
      </c>
      <c r="H108" s="196" t="s">
        <v>53</v>
      </c>
      <c r="I108" s="196" t="b">
        <f>IF(Verso!$B$22=Avantages!$A108,TRUE,FALSE)</f>
        <v>0</v>
      </c>
      <c r="J108" s="196" t="b">
        <f>IF(Verso!$B$23=Avantages!$A108,TRUE,FALSE)</f>
        <v>0</v>
      </c>
      <c r="K108" s="196" t="b">
        <f>IF(Verso!$B$24=Avantages!$A108,TRUE,FALSE)</f>
        <v>0</v>
      </c>
      <c r="L108" s="196" t="b">
        <f>IF(Verso!$B$25=Avantages!$A108,TRUE,FALSE)</f>
        <v>0</v>
      </c>
      <c r="M108" s="196" t="b">
        <f>IF(Verso!$B$26=Avantages!$A108,TRUE,FALSE)</f>
        <v>0</v>
      </c>
      <c r="N108" s="196" t="b">
        <f t="shared" si="10"/>
        <v>0</v>
      </c>
      <c r="P108" s="196" t="str">
        <f t="shared" si="7"/>
        <v/>
      </c>
      <c r="Q108" s="196">
        <f t="shared" si="8"/>
        <v>178</v>
      </c>
      <c r="R108" s="578" t="str">
        <f t="shared" si="9"/>
        <v>Langue non humaine: Naga</v>
      </c>
    </row>
    <row r="109" spans="1:18" x14ac:dyDescent="0.25">
      <c r="A109" s="186" t="s">
        <v>800</v>
      </c>
      <c r="B109" s="186" t="str">
        <f>IF(OR(Recto!$C$3=H109,Calculs!$J$8&gt;0),CONCATENATE(A109),"")</f>
        <v/>
      </c>
      <c r="C109" s="4" t="s">
        <v>629</v>
      </c>
      <c r="D109" s="183" t="s">
        <v>805</v>
      </c>
      <c r="E109" s="4" t="s">
        <v>2075</v>
      </c>
      <c r="F109" s="17">
        <v>82</v>
      </c>
      <c r="G109" s="270" t="s">
        <v>809</v>
      </c>
      <c r="H109" s="196" t="s">
        <v>53</v>
      </c>
      <c r="I109" s="196" t="b">
        <f>IF(Verso!$B$22=Avantages!$A109,TRUE,FALSE)</f>
        <v>0</v>
      </c>
      <c r="J109" s="196" t="b">
        <f>IF(Verso!$B$23=Avantages!$A109,TRUE,FALSE)</f>
        <v>0</v>
      </c>
      <c r="K109" s="196" t="b">
        <f>IF(Verso!$B$24=Avantages!$A109,TRUE,FALSE)</f>
        <v>0</v>
      </c>
      <c r="L109" s="196" t="b">
        <f>IF(Verso!$B$25=Avantages!$A109,TRUE,FALSE)</f>
        <v>0</v>
      </c>
      <c r="M109" s="196" t="b">
        <f>IF(Verso!$B$26=Avantages!$A109,TRUE,FALSE)</f>
        <v>0</v>
      </c>
      <c r="N109" s="196" t="b">
        <f t="shared" si="10"/>
        <v>0</v>
      </c>
      <c r="P109" s="196" t="str">
        <f t="shared" si="7"/>
        <v/>
      </c>
      <c r="Q109" s="196">
        <f t="shared" si="8"/>
        <v>179</v>
      </c>
      <c r="R109" s="578" t="str">
        <f t="shared" si="9"/>
        <v>Langue non humaine: Nezumi</v>
      </c>
    </row>
    <row r="110" spans="1:18" x14ac:dyDescent="0.25">
      <c r="A110" s="186" t="s">
        <v>801</v>
      </c>
      <c r="B110" s="186" t="str">
        <f>IF(OR(Recto!$C$3=H110,Calculs!$J$8&gt;0),CONCATENATE(A110),"")</f>
        <v/>
      </c>
      <c r="C110" s="4" t="s">
        <v>629</v>
      </c>
      <c r="D110" s="183" t="s">
        <v>806</v>
      </c>
      <c r="E110" s="4" t="s">
        <v>2075</v>
      </c>
      <c r="F110" s="17">
        <v>82</v>
      </c>
      <c r="G110" s="270" t="s">
        <v>811</v>
      </c>
      <c r="H110" t="s">
        <v>53</v>
      </c>
      <c r="I110" s="196" t="b">
        <f>IF(Verso!$B$22=Avantages!$A110,TRUE,FALSE)</f>
        <v>0</v>
      </c>
      <c r="J110" s="196" t="b">
        <f>IF(Verso!$B$23=Avantages!$A110,TRUE,FALSE)</f>
        <v>0</v>
      </c>
      <c r="K110" s="196" t="b">
        <f>IF(Verso!$B$24=Avantages!$A110,TRUE,FALSE)</f>
        <v>0</v>
      </c>
      <c r="L110" s="196" t="b">
        <f>IF(Verso!$B$25=Avantages!$A110,TRUE,FALSE)</f>
        <v>0</v>
      </c>
      <c r="M110" s="196" t="b">
        <f>IF(Verso!$B$26=Avantages!$A110,TRUE,FALSE)</f>
        <v>0</v>
      </c>
      <c r="N110" s="196" t="b">
        <f t="shared" si="10"/>
        <v>0</v>
      </c>
      <c r="P110" s="196" t="str">
        <f t="shared" si="7"/>
        <v/>
      </c>
      <c r="Q110" s="196">
        <f t="shared" si="8"/>
        <v>182</v>
      </c>
      <c r="R110" s="578" t="str">
        <f t="shared" si="9"/>
        <v>Langue: Mekham</v>
      </c>
    </row>
    <row r="111" spans="1:18" s="196" customFormat="1" x14ac:dyDescent="0.25">
      <c r="A111" s="186" t="s">
        <v>7222</v>
      </c>
      <c r="B111" s="186" t="s">
        <v>7222</v>
      </c>
      <c r="C111" s="4" t="s">
        <v>67</v>
      </c>
      <c r="D111" s="183">
        <f>IF(OR(Clan="Scorpion",Clan="Paon",Clan="Chat",Clan="Rat"),1,2)</f>
        <v>2</v>
      </c>
      <c r="E111" s="4" t="s">
        <v>6831</v>
      </c>
      <c r="F111" s="17">
        <v>136</v>
      </c>
      <c r="G111" s="270" t="s">
        <v>7223</v>
      </c>
      <c r="I111" s="196" t="b">
        <f>IF(Verso!$B$22=Avantages!$A111,TRUE,FALSE)</f>
        <v>0</v>
      </c>
      <c r="J111" s="196" t="b">
        <f>IF(Verso!$B$23=Avantages!$A111,TRUE,FALSE)</f>
        <v>0</v>
      </c>
      <c r="K111" s="196" t="b">
        <f>IF(Verso!$B$24=Avantages!$A111,TRUE,FALSE)</f>
        <v>0</v>
      </c>
      <c r="L111" s="196" t="b">
        <f>IF(Verso!$B$25=Avantages!$A111,TRUE,FALSE)</f>
        <v>0</v>
      </c>
      <c r="M111" s="196" t="b">
        <f>IF(Verso!$B$26=Avantages!$A111,TRUE,FALSE)</f>
        <v>0</v>
      </c>
      <c r="N111" s="196" t="b">
        <f t="shared" si="10"/>
        <v>0</v>
      </c>
      <c r="O111" s="295"/>
      <c r="P111" s="196">
        <f t="shared" si="7"/>
        <v>111</v>
      </c>
      <c r="Q111" s="196">
        <f t="shared" si="8"/>
        <v>183</v>
      </c>
      <c r="R111" s="578" t="str">
        <f t="shared" si="9"/>
        <v>Langue: Rhuumal et Thrane</v>
      </c>
    </row>
    <row r="112" spans="1:18" x14ac:dyDescent="0.25">
      <c r="A112" s="186" t="s">
        <v>819</v>
      </c>
      <c r="B112" s="186" t="str">
        <f>IF(Recto!$C$3=H112,CONCATENATE(A112),"")</f>
        <v>Dents de Pierre</v>
      </c>
      <c r="C112" s="4" t="s">
        <v>628</v>
      </c>
      <c r="D112" s="183">
        <v>4</v>
      </c>
      <c r="E112" s="4" t="s">
        <v>2075</v>
      </c>
      <c r="F112" s="17">
        <v>110</v>
      </c>
      <c r="G112" s="163" t="s">
        <v>650</v>
      </c>
      <c r="I112" s="196" t="b">
        <f>IF(Verso!$B$22=Avantages!$A112,TRUE,FALSE)</f>
        <v>0</v>
      </c>
      <c r="J112" s="196" t="b">
        <f>IF(Verso!$B$23=Avantages!$A112,TRUE,FALSE)</f>
        <v>0</v>
      </c>
      <c r="K112" s="196" t="b">
        <f>IF(Verso!$B$24=Avantages!$A112,TRUE,FALSE)</f>
        <v>0</v>
      </c>
      <c r="L112" s="196" t="b">
        <f>IF(Verso!$B$25=Avantages!$A112,TRUE,FALSE)</f>
        <v>0</v>
      </c>
      <c r="M112" s="196" t="b">
        <f>IF(Verso!$B$26=Avantages!$A112,TRUE,FALSE)</f>
        <v>0</v>
      </c>
      <c r="N112" s="196" t="b">
        <f t="shared" si="10"/>
        <v>0</v>
      </c>
      <c r="P112" s="196">
        <f t="shared" si="7"/>
        <v>112</v>
      </c>
      <c r="Q112" s="196">
        <f t="shared" si="8"/>
        <v>184</v>
      </c>
      <c r="R112" s="578" t="str">
        <f t="shared" si="9"/>
        <v>Langue: Senpet</v>
      </c>
    </row>
    <row r="113" spans="1:18" x14ac:dyDescent="0.25">
      <c r="A113" s="186" t="s">
        <v>658</v>
      </c>
      <c r="B113" s="186" t="s">
        <v>658</v>
      </c>
      <c r="C113" s="4" t="s">
        <v>65</v>
      </c>
      <c r="D113" s="183">
        <v>3</v>
      </c>
      <c r="E113" s="4" t="s">
        <v>3</v>
      </c>
      <c r="F113" s="17">
        <v>148</v>
      </c>
      <c r="G113" s="163" t="s">
        <v>76</v>
      </c>
      <c r="I113" s="196" t="b">
        <f>IF(Verso!$B$22=Avantages!$A113,TRUE,FALSE)</f>
        <v>0</v>
      </c>
      <c r="J113" s="196" t="b">
        <f>IF(Verso!$B$23=Avantages!$A113,TRUE,FALSE)</f>
        <v>0</v>
      </c>
      <c r="K113" s="196" t="b">
        <f>IF(Verso!$B$24=Avantages!$A113,TRUE,FALSE)</f>
        <v>0</v>
      </c>
      <c r="L113" s="196" t="b">
        <f>IF(Verso!$B$25=Avantages!$A113,TRUE,FALSE)</f>
        <v>0</v>
      </c>
      <c r="M113" s="196" t="b">
        <f>IF(Verso!$B$26=Avantages!$A113,TRUE,FALSE)</f>
        <v>0</v>
      </c>
      <c r="N113" s="196" t="b">
        <f t="shared" si="10"/>
        <v>0</v>
      </c>
      <c r="P113" s="196">
        <f t="shared" si="7"/>
        <v>113</v>
      </c>
      <c r="Q113" s="196">
        <f t="shared" si="8"/>
        <v>185</v>
      </c>
      <c r="R113" s="578" t="str">
        <f t="shared" si="9"/>
        <v>Langue: Yobanjin</v>
      </c>
    </row>
    <row r="114" spans="1:18" x14ac:dyDescent="0.25">
      <c r="A114" s="186" t="s">
        <v>659</v>
      </c>
      <c r="B114" s="186" t="s">
        <v>659</v>
      </c>
      <c r="C114" s="4" t="s">
        <v>628</v>
      </c>
      <c r="D114" s="183">
        <f>IF(OR(Recto!W3="B",Clan="Crabe"),2,3)</f>
        <v>3</v>
      </c>
      <c r="E114" s="4" t="s">
        <v>3</v>
      </c>
      <c r="F114" s="17">
        <v>149</v>
      </c>
      <c r="G114" s="163" t="s">
        <v>69</v>
      </c>
      <c r="I114" s="196" t="b">
        <f>IF(Verso!$B$22=Avantages!$A114,TRUE,FALSE)</f>
        <v>0</v>
      </c>
      <c r="J114" s="196" t="b">
        <f>IF(Verso!$B$23=Avantages!$A114,TRUE,FALSE)</f>
        <v>0</v>
      </c>
      <c r="K114" s="196" t="b">
        <f>IF(Verso!$B$24=Avantages!$A114,TRUE,FALSE)</f>
        <v>0</v>
      </c>
      <c r="L114" s="196" t="b">
        <f>IF(Verso!$B$25=Avantages!$A114,TRUE,FALSE)</f>
        <v>0</v>
      </c>
      <c r="M114" s="196" t="b">
        <f>IF(Verso!$B$26=Avantages!$A114,TRUE,FALSE)</f>
        <v>0</v>
      </c>
      <c r="N114" s="196" t="b">
        <f t="shared" si="10"/>
        <v>0</v>
      </c>
      <c r="P114" s="196">
        <f t="shared" si="7"/>
        <v>114</v>
      </c>
      <c r="Q114" s="196">
        <f t="shared" si="8"/>
        <v>186</v>
      </c>
      <c r="R114" s="578" t="str">
        <f t="shared" si="9"/>
        <v>Langue: Yodotai</v>
      </c>
    </row>
    <row r="115" spans="1:18" x14ac:dyDescent="0.25">
      <c r="A115" s="186" t="s">
        <v>738</v>
      </c>
      <c r="B115" s="186" t="s">
        <v>738</v>
      </c>
      <c r="C115" s="4" t="s">
        <v>629</v>
      </c>
      <c r="D115" s="183">
        <v>7</v>
      </c>
      <c r="E115" s="4" t="s">
        <v>3</v>
      </c>
      <c r="F115" s="17">
        <v>149</v>
      </c>
      <c r="G115" s="163" t="s">
        <v>743</v>
      </c>
      <c r="I115" s="196" t="b">
        <f>IF(Verso!$B$22=Avantages!$A115,TRUE,FALSE)</f>
        <v>0</v>
      </c>
      <c r="J115" s="196" t="b">
        <f>IF(Verso!$B$23=Avantages!$A115,TRUE,FALSE)</f>
        <v>0</v>
      </c>
      <c r="K115" s="196" t="b">
        <f>IF(Verso!$B$24=Avantages!$A115,TRUE,FALSE)</f>
        <v>0</v>
      </c>
      <c r="L115" s="196" t="b">
        <f>IF(Verso!$B$25=Avantages!$A115,TRUE,FALSE)</f>
        <v>0</v>
      </c>
      <c r="M115" s="196" t="b">
        <f>IF(Verso!$B$26=Avantages!$A115,TRUE,FALSE)</f>
        <v>0</v>
      </c>
      <c r="N115" s="196" t="b">
        <f t="shared" si="10"/>
        <v>0</v>
      </c>
      <c r="P115" s="196">
        <f t="shared" si="7"/>
        <v>115</v>
      </c>
      <c r="Q115" s="196">
        <f t="shared" si="8"/>
        <v>187</v>
      </c>
      <c r="R115" s="578" t="str">
        <f t="shared" si="9"/>
        <v>Leçons du Passé</v>
      </c>
    </row>
    <row r="116" spans="1:18" x14ac:dyDescent="0.25">
      <c r="A116" s="186" t="s">
        <v>739</v>
      </c>
      <c r="B116" s="186" t="s">
        <v>739</v>
      </c>
      <c r="C116" s="4" t="s">
        <v>629</v>
      </c>
      <c r="D116" s="183">
        <v>7</v>
      </c>
      <c r="E116" s="4" t="s">
        <v>3</v>
      </c>
      <c r="F116" s="17">
        <v>149</v>
      </c>
      <c r="G116" s="270" t="s">
        <v>744</v>
      </c>
      <c r="I116" s="196" t="b">
        <f>IF(Verso!$B$22=Avantages!$A116,TRUE,FALSE)</f>
        <v>0</v>
      </c>
      <c r="J116" s="196" t="b">
        <f>IF(Verso!$B$23=Avantages!$A116,TRUE,FALSE)</f>
        <v>0</v>
      </c>
      <c r="K116" s="196" t="b">
        <f>IF(Verso!$B$24=Avantages!$A116,TRUE,FALSE)</f>
        <v>0</v>
      </c>
      <c r="L116" s="196" t="b">
        <f>IF(Verso!$B$25=Avantages!$A116,TRUE,FALSE)</f>
        <v>0</v>
      </c>
      <c r="M116" s="196" t="b">
        <f>IF(Verso!$B$26=Avantages!$A116,TRUE,FALSE)</f>
        <v>0</v>
      </c>
      <c r="N116" s="196" t="b">
        <f t="shared" si="10"/>
        <v>0</v>
      </c>
      <c r="P116" s="196">
        <f t="shared" si="7"/>
        <v>116</v>
      </c>
      <c r="Q116" s="196">
        <f t="shared" si="8"/>
        <v>188</v>
      </c>
      <c r="R116" s="578" t="str">
        <f t="shared" si="9"/>
        <v>Le Monde des Daimyo</v>
      </c>
    </row>
    <row r="117" spans="1:18" x14ac:dyDescent="0.25">
      <c r="A117" s="186" t="s">
        <v>740</v>
      </c>
      <c r="B117" s="186" t="s">
        <v>740</v>
      </c>
      <c r="C117" s="4" t="s">
        <v>629</v>
      </c>
      <c r="D117" s="183">
        <v>7</v>
      </c>
      <c r="E117" s="4" t="s">
        <v>3</v>
      </c>
      <c r="F117" s="17">
        <v>149</v>
      </c>
      <c r="G117" s="270" t="s">
        <v>745</v>
      </c>
      <c r="I117" s="196" t="b">
        <f>IF(Verso!$B$22=Avantages!$A117,TRUE,FALSE)</f>
        <v>0</v>
      </c>
      <c r="J117" s="196" t="b">
        <f>IF(Verso!$B$23=Avantages!$A117,TRUE,FALSE)</f>
        <v>0</v>
      </c>
      <c r="K117" s="196" t="b">
        <f>IF(Verso!$B$24=Avantages!$A117,TRUE,FALSE)</f>
        <v>0</v>
      </c>
      <c r="L117" s="196" t="b">
        <f>IF(Verso!$B$25=Avantages!$A117,TRUE,FALSE)</f>
        <v>0</v>
      </c>
      <c r="M117" s="196" t="b">
        <f>IF(Verso!$B$26=Avantages!$A117,TRUE,FALSE)</f>
        <v>0</v>
      </c>
      <c r="N117" s="196" t="b">
        <f t="shared" si="10"/>
        <v>0</v>
      </c>
      <c r="P117" s="196">
        <f t="shared" si="7"/>
        <v>117</v>
      </c>
      <c r="Q117" s="196">
        <f t="shared" si="8"/>
        <v>189</v>
      </c>
      <c r="R117" s="578" t="str">
        <f t="shared" si="9"/>
        <v>Le Monde des Daimyo (2)</v>
      </c>
    </row>
    <row r="118" spans="1:18" x14ac:dyDescent="0.25">
      <c r="A118" s="186" t="s">
        <v>741</v>
      </c>
      <c r="B118" s="186" t="s">
        <v>741</v>
      </c>
      <c r="C118" s="4" t="s">
        <v>629</v>
      </c>
      <c r="D118" s="183">
        <v>7</v>
      </c>
      <c r="E118" s="4" t="s">
        <v>3</v>
      </c>
      <c r="F118" s="17">
        <v>149</v>
      </c>
      <c r="G118" s="163" t="s">
        <v>746</v>
      </c>
      <c r="I118" s="196" t="b">
        <f>IF(Verso!$B$22=Avantages!$A118,TRUE,FALSE)</f>
        <v>0</v>
      </c>
      <c r="J118" s="196" t="b">
        <f>IF(Verso!$B$23=Avantages!$A118,TRUE,FALSE)</f>
        <v>0</v>
      </c>
      <c r="K118" s="196" t="b">
        <f>IF(Verso!$B$24=Avantages!$A118,TRUE,FALSE)</f>
        <v>0</v>
      </c>
      <c r="L118" s="196" t="b">
        <f>IF(Verso!$B$25=Avantages!$A118,TRUE,FALSE)</f>
        <v>0</v>
      </c>
      <c r="M118" s="196" t="b">
        <f>IF(Verso!$B$26=Avantages!$A118,TRUE,FALSE)</f>
        <v>0</v>
      </c>
      <c r="N118" s="196" t="b">
        <f t="shared" si="10"/>
        <v>0</v>
      </c>
      <c r="P118" s="196">
        <f t="shared" si="7"/>
        <v>118</v>
      </c>
      <c r="Q118" s="196">
        <f t="shared" si="8"/>
        <v>190</v>
      </c>
      <c r="R118" s="578" t="str">
        <f t="shared" si="9"/>
        <v>Le Monde des Daimyo (3)</v>
      </c>
    </row>
    <row r="119" spans="1:18" x14ac:dyDescent="0.25">
      <c r="A119" s="186" t="s">
        <v>742</v>
      </c>
      <c r="B119" s="186" t="s">
        <v>742</v>
      </c>
      <c r="C119" s="4" t="s">
        <v>629</v>
      </c>
      <c r="D119" s="183">
        <v>7</v>
      </c>
      <c r="E119" s="4" t="s">
        <v>3</v>
      </c>
      <c r="F119" s="17">
        <v>149</v>
      </c>
      <c r="G119" s="163" t="s">
        <v>8405</v>
      </c>
      <c r="I119" s="196" t="b">
        <f>IF(Verso!$B$22=Avantages!$A119,TRUE,FALSE)</f>
        <v>0</v>
      </c>
      <c r="J119" s="196" t="b">
        <f>IF(Verso!$B$23=Avantages!$A119,TRUE,FALSE)</f>
        <v>0</v>
      </c>
      <c r="K119" s="196" t="b">
        <f>IF(Verso!$B$24=Avantages!$A119,TRUE,FALSE)</f>
        <v>0</v>
      </c>
      <c r="L119" s="196" t="b">
        <f>IF(Verso!$B$25=Avantages!$A119,TRUE,FALSE)</f>
        <v>0</v>
      </c>
      <c r="M119" s="196" t="b">
        <f>IF(Verso!$B$26=Avantages!$A119,TRUE,FALSE)</f>
        <v>0</v>
      </c>
      <c r="N119" s="196" t="b">
        <f t="shared" si="10"/>
        <v>0</v>
      </c>
      <c r="P119" s="196">
        <f t="shared" si="7"/>
        <v>119</v>
      </c>
      <c r="Q119" s="196">
        <f t="shared" si="8"/>
        <v>191</v>
      </c>
      <c r="R119" s="578" t="str">
        <f t="shared" si="9"/>
        <v>Leader né</v>
      </c>
    </row>
    <row r="120" spans="1:18" x14ac:dyDescent="0.25">
      <c r="A120" s="186" t="s">
        <v>660</v>
      </c>
      <c r="B120" s="186" t="s">
        <v>660</v>
      </c>
      <c r="C120" s="4" t="s">
        <v>67</v>
      </c>
      <c r="D120" s="183">
        <v>5</v>
      </c>
      <c r="E120" s="4" t="s">
        <v>3</v>
      </c>
      <c r="F120" s="17">
        <v>149</v>
      </c>
      <c r="G120" s="163" t="s">
        <v>71</v>
      </c>
      <c r="I120" s="196" t="b">
        <f>IF(Verso!$B$22=Avantages!$A120,TRUE,FALSE)</f>
        <v>0</v>
      </c>
      <c r="J120" s="196" t="b">
        <f>IF(Verso!$B$23=Avantages!$A120,TRUE,FALSE)</f>
        <v>0</v>
      </c>
      <c r="K120" s="196" t="b">
        <f>IF(Verso!$B$24=Avantages!$A120,TRUE,FALSE)</f>
        <v>0</v>
      </c>
      <c r="L120" s="196" t="b">
        <f>IF(Verso!$B$25=Avantages!$A120,TRUE,FALSE)</f>
        <v>0</v>
      </c>
      <c r="M120" s="196" t="b">
        <f>IF(Verso!$B$26=Avantages!$A120,TRUE,FALSE)</f>
        <v>0</v>
      </c>
      <c r="N120" s="196" t="b">
        <f t="shared" si="10"/>
        <v>0</v>
      </c>
      <c r="P120" s="196">
        <f t="shared" si="7"/>
        <v>120</v>
      </c>
      <c r="Q120" s="196">
        <f t="shared" si="8"/>
        <v>192</v>
      </c>
      <c r="R120" s="578" t="str">
        <f t="shared" si="9"/>
        <v>Lien Karmique Extraordinaire</v>
      </c>
    </row>
    <row r="121" spans="1:18" x14ac:dyDescent="0.25">
      <c r="A121" s="186" t="s">
        <v>651</v>
      </c>
      <c r="B121" s="186" t="s">
        <v>651</v>
      </c>
      <c r="C121" s="4" t="s">
        <v>67</v>
      </c>
      <c r="D121" s="183">
        <v>10</v>
      </c>
      <c r="E121" s="4" t="s">
        <v>3</v>
      </c>
      <c r="F121" s="17">
        <v>149</v>
      </c>
      <c r="G121" s="163" t="s">
        <v>83</v>
      </c>
      <c r="I121" s="196" t="b">
        <f>IF(Verso!$B$22=Avantages!$A121,TRUE,FALSE)</f>
        <v>0</v>
      </c>
      <c r="J121" s="196" t="b">
        <f>IF(Verso!$B$23=Avantages!$A121,TRUE,FALSE)</f>
        <v>0</v>
      </c>
      <c r="K121" s="196" t="b">
        <f>IF(Verso!$B$24=Avantages!$A121,TRUE,FALSE)</f>
        <v>0</v>
      </c>
      <c r="L121" s="196" t="b">
        <f>IF(Verso!$B$25=Avantages!$A121,TRUE,FALSE)</f>
        <v>0</v>
      </c>
      <c r="M121" s="196" t="b">
        <f>IF(Verso!$B$26=Avantages!$A121,TRUE,FALSE)</f>
        <v>0</v>
      </c>
      <c r="N121" s="196" t="b">
        <f t="shared" si="10"/>
        <v>0</v>
      </c>
      <c r="P121" s="196">
        <f t="shared" si="7"/>
        <v>121</v>
      </c>
      <c r="Q121" s="196">
        <f t="shared" si="8"/>
        <v>193</v>
      </c>
      <c r="R121" s="578" t="str">
        <f t="shared" si="9"/>
        <v>Lien Karmique Extrême</v>
      </c>
    </row>
    <row r="122" spans="1:18" x14ac:dyDescent="0.25">
      <c r="A122" s="186" t="s">
        <v>813</v>
      </c>
      <c r="B122" s="186" t="str">
        <f>IF(Recto!$C$3=H122,CONCATENATE(A122),"")</f>
        <v/>
      </c>
      <c r="C122" s="4" t="s">
        <v>67</v>
      </c>
      <c r="D122" s="183">
        <v>5</v>
      </c>
      <c r="E122" s="4" t="s">
        <v>2075</v>
      </c>
      <c r="F122" s="17">
        <v>110</v>
      </c>
      <c r="G122" s="163" t="s">
        <v>93</v>
      </c>
      <c r="H122" t="s">
        <v>56</v>
      </c>
      <c r="I122" s="196" t="b">
        <f>IF(Verso!$B$22=Avantages!$A122,TRUE,FALSE)</f>
        <v>0</v>
      </c>
      <c r="J122" s="196" t="b">
        <f>IF(Verso!$B$23=Avantages!$A122,TRUE,FALSE)</f>
        <v>0</v>
      </c>
      <c r="K122" s="196" t="b">
        <f>IF(Verso!$B$24=Avantages!$A122,TRUE,FALSE)</f>
        <v>0</v>
      </c>
      <c r="L122" s="196" t="b">
        <f>IF(Verso!$B$25=Avantages!$A122,TRUE,FALSE)</f>
        <v>0</v>
      </c>
      <c r="M122" s="196" t="b">
        <f>IF(Verso!$B$26=Avantages!$A122,TRUE,FALSE)</f>
        <v>0</v>
      </c>
      <c r="N122" s="196" t="b">
        <f t="shared" si="10"/>
        <v>0</v>
      </c>
      <c r="P122" s="196" t="str">
        <f t="shared" si="7"/>
        <v/>
      </c>
      <c r="Q122" s="196">
        <f t="shared" si="8"/>
        <v>194</v>
      </c>
      <c r="R122" s="578" t="str">
        <f t="shared" si="9"/>
        <v>Lien Karmique Majeur</v>
      </c>
    </row>
    <row r="123" spans="1:18" s="196" customFormat="1" x14ac:dyDescent="0.25">
      <c r="A123" s="186" t="s">
        <v>6507</v>
      </c>
      <c r="B123" s="186"/>
      <c r="C123" s="4" t="s">
        <v>67</v>
      </c>
      <c r="D123" s="183">
        <f>IF(Recto!W3="C",8,9)</f>
        <v>9</v>
      </c>
      <c r="E123" s="4" t="s">
        <v>6494</v>
      </c>
      <c r="F123" s="17">
        <v>97</v>
      </c>
      <c r="G123" s="270" t="s">
        <v>6510</v>
      </c>
      <c r="I123" s="196" t="b">
        <f>IF(Verso!$B$22=Avantages!$A124,TRUE,FALSE)</f>
        <v>0</v>
      </c>
      <c r="J123" s="196" t="b">
        <f>IF(Verso!$B$23=Avantages!$A124,TRUE,FALSE)</f>
        <v>0</v>
      </c>
      <c r="K123" s="196" t="b">
        <f>IF(Verso!$B$24=Avantages!$A124,TRUE,FALSE)</f>
        <v>0</v>
      </c>
      <c r="L123" s="196" t="b">
        <f>IF(Verso!$B$25=Avantages!$A124,TRUE,FALSE)</f>
        <v>0</v>
      </c>
      <c r="M123" s="196" t="b">
        <f>IF(Verso!$B$26=Avantages!$A124,TRUE,FALSE)</f>
        <v>0</v>
      </c>
      <c r="N123" s="196" t="b">
        <f t="shared" si="10"/>
        <v>0</v>
      </c>
      <c r="O123" s="295"/>
      <c r="P123" s="196" t="str">
        <f t="shared" si="7"/>
        <v/>
      </c>
      <c r="Q123" s="196">
        <f t="shared" si="8"/>
        <v>195</v>
      </c>
      <c r="R123" s="578" t="str">
        <f t="shared" si="9"/>
        <v>Lien Karmique Mineur</v>
      </c>
    </row>
    <row r="124" spans="1:18" s="196" customFormat="1" x14ac:dyDescent="0.25">
      <c r="A124" s="186" t="s">
        <v>6505</v>
      </c>
      <c r="B124" s="186"/>
      <c r="C124" s="4" t="s">
        <v>67</v>
      </c>
      <c r="D124" s="183">
        <f>IF(Recto!W3="C",2,3)</f>
        <v>3</v>
      </c>
      <c r="E124" s="4" t="s">
        <v>6494</v>
      </c>
      <c r="F124" s="17">
        <v>97</v>
      </c>
      <c r="G124" s="270" t="s">
        <v>6508</v>
      </c>
      <c r="I124" s="196" t="b">
        <f>IF(Verso!$B$22=Avantages!$A126,TRUE,FALSE)</f>
        <v>0</v>
      </c>
      <c r="J124" s="196" t="b">
        <f>IF(Verso!$B$23=Avantages!$A126,TRUE,FALSE)</f>
        <v>0</v>
      </c>
      <c r="K124" s="196" t="b">
        <f>IF(Verso!$B$24=Avantages!$A126,TRUE,FALSE)</f>
        <v>0</v>
      </c>
      <c r="L124" s="196" t="b">
        <f>IF(Verso!$B$25=Avantages!$A126,TRUE,FALSE)</f>
        <v>0</v>
      </c>
      <c r="M124" s="196" t="b">
        <f>IF(Verso!$B$26=Avantages!$A126,TRUE,FALSE)</f>
        <v>0</v>
      </c>
      <c r="N124" s="196" t="b">
        <f t="shared" si="10"/>
        <v>0</v>
      </c>
      <c r="O124" s="295"/>
      <c r="P124" s="196" t="str">
        <f t="shared" si="7"/>
        <v/>
      </c>
      <c r="Q124" s="196">
        <f t="shared" si="8"/>
        <v>196</v>
      </c>
      <c r="R124" s="578" t="str">
        <f t="shared" si="9"/>
        <v>Lien Karmique Moyen</v>
      </c>
    </row>
    <row r="125" spans="1:18" s="196" customFormat="1" x14ac:dyDescent="0.25">
      <c r="A125" s="186" t="s">
        <v>6506</v>
      </c>
      <c r="B125" s="186"/>
      <c r="C125" s="4" t="s">
        <v>67</v>
      </c>
      <c r="D125" s="183">
        <f>IF(Recto!W3="C",5,6)</f>
        <v>6</v>
      </c>
      <c r="E125" s="4" t="s">
        <v>6494</v>
      </c>
      <c r="F125" s="17">
        <v>97</v>
      </c>
      <c r="G125" s="270" t="s">
        <v>6509</v>
      </c>
      <c r="I125" s="196" t="b">
        <f>IF(Verso!$B$22=Avantages!$A125,TRUE,FALSE)</f>
        <v>0</v>
      </c>
      <c r="J125" s="196" t="b">
        <f>IF(Verso!$B$23=Avantages!$A125,TRUE,FALSE)</f>
        <v>0</v>
      </c>
      <c r="K125" s="196" t="b">
        <f>IF(Verso!$B$24=Avantages!$A125,TRUE,FALSE)</f>
        <v>0</v>
      </c>
      <c r="L125" s="196" t="b">
        <f>IF(Verso!$B$25=Avantages!$A125,TRUE,FALSE)</f>
        <v>0</v>
      </c>
      <c r="M125" s="196" t="b">
        <f>IF(Verso!$B$26=Avantages!$A125,TRUE,FALSE)</f>
        <v>0</v>
      </c>
      <c r="N125" s="196" t="b">
        <f t="shared" si="10"/>
        <v>0</v>
      </c>
      <c r="O125" s="295"/>
      <c r="P125" s="196" t="str">
        <f t="shared" si="7"/>
        <v/>
      </c>
      <c r="Q125" s="196">
        <f t="shared" si="8"/>
        <v>197</v>
      </c>
      <c r="R125" s="578" t="str">
        <f t="shared" si="9"/>
        <v>Lire sur les lèvres</v>
      </c>
    </row>
    <row r="126" spans="1:18" s="196" customFormat="1" x14ac:dyDescent="0.25">
      <c r="A126" s="186" t="s">
        <v>7609</v>
      </c>
      <c r="B126" s="186" t="s">
        <v>7609</v>
      </c>
      <c r="C126" s="4" t="s">
        <v>65</v>
      </c>
      <c r="D126" s="183">
        <v>1</v>
      </c>
      <c r="E126" s="4" t="s">
        <v>6192</v>
      </c>
      <c r="F126" s="17">
        <v>195</v>
      </c>
      <c r="G126" s="270" t="s">
        <v>6306</v>
      </c>
      <c r="I126" s="196" t="b">
        <f>IF(Verso!$B$22=Avantages!$A123,TRUE,FALSE)</f>
        <v>0</v>
      </c>
      <c r="J126" s="196" t="b">
        <f>IF(Verso!$B$23=Avantages!$A123,TRUE,FALSE)</f>
        <v>0</v>
      </c>
      <c r="K126" s="196" t="b">
        <f>IF(Verso!$B$24=Avantages!$A123,TRUE,FALSE)</f>
        <v>0</v>
      </c>
      <c r="L126" s="196" t="b">
        <f>IF(Verso!$B$25=Avantages!$A123,TRUE,FALSE)</f>
        <v>0</v>
      </c>
      <c r="M126" s="196" t="b">
        <f>IF(Verso!$B$26=Avantages!$A123,TRUE,FALSE)</f>
        <v>0</v>
      </c>
      <c r="N126" s="196" t="b">
        <f t="shared" si="10"/>
        <v>0</v>
      </c>
      <c r="O126" s="295"/>
      <c r="P126" s="196">
        <f t="shared" si="7"/>
        <v>126</v>
      </c>
      <c r="Q126" s="196">
        <f t="shared" si="8"/>
        <v>198</v>
      </c>
      <c r="R126" s="578" t="str">
        <f t="shared" si="9"/>
        <v>Maître des Noms</v>
      </c>
    </row>
    <row r="127" spans="1:18" s="196" customFormat="1" x14ac:dyDescent="0.25">
      <c r="A127" s="186" t="s">
        <v>7570</v>
      </c>
      <c r="B127" s="186" t="str">
        <f>IF(Contexte_jeu&lt;&gt;"L'Empire Stellaire d'Emeraude","",IF(Recto!$C$3=H127,CONCATENATE(A127),""))</f>
        <v/>
      </c>
      <c r="C127" s="4" t="s">
        <v>628</v>
      </c>
      <c r="D127" s="183">
        <v>2</v>
      </c>
      <c r="E127" s="4" t="s">
        <v>7453</v>
      </c>
      <c r="F127" s="17">
        <v>93</v>
      </c>
      <c r="G127" s="270" t="s">
        <v>7571</v>
      </c>
      <c r="I127" s="196" t="b">
        <f>IF(Verso!$B$22=Avantages!$A124,TRUE,FALSE)</f>
        <v>0</v>
      </c>
      <c r="J127" s="196" t="b">
        <f>IF(Verso!$B$23=Avantages!$A124,TRUE,FALSE)</f>
        <v>0</v>
      </c>
      <c r="K127" s="196" t="b">
        <f>IF(Verso!$B$24=Avantages!$A124,TRUE,FALSE)</f>
        <v>0</v>
      </c>
      <c r="L127" s="196" t="b">
        <f>IF(Verso!$B$25=Avantages!$A124,TRUE,FALSE)</f>
        <v>0</v>
      </c>
      <c r="M127" s="196" t="b">
        <f>IF(Verso!$B$26=Avantages!$A124,TRUE,FALSE)</f>
        <v>0</v>
      </c>
      <c r="N127" s="196" t="b">
        <f>IF(OR(I127=TRUE,J127=TRUE,K127=TRUE,L127=TRUE,M127=TRUE),TRUE,FALSE)</f>
        <v>0</v>
      </c>
      <c r="O127" s="295"/>
      <c r="P127" s="196" t="str">
        <f t="shared" si="7"/>
        <v/>
      </c>
      <c r="Q127" s="196">
        <f t="shared" si="8"/>
        <v>199</v>
      </c>
      <c r="R127" s="578" t="str">
        <f t="shared" si="9"/>
        <v>Medium</v>
      </c>
    </row>
    <row r="128" spans="1:18" x14ac:dyDescent="0.25">
      <c r="A128" s="186" t="s">
        <v>820</v>
      </c>
      <c r="B128" s="186" t="str">
        <f>IF(Recto!$C$3=H128,CONCATENATE(A128),"")</f>
        <v/>
      </c>
      <c r="C128" s="4" t="s">
        <v>67</v>
      </c>
      <c r="D128" s="183">
        <v>3</v>
      </c>
      <c r="E128" s="4" t="s">
        <v>2075</v>
      </c>
      <c r="F128" s="17">
        <v>110</v>
      </c>
      <c r="G128" s="163" t="s">
        <v>96</v>
      </c>
      <c r="H128" s="196" t="s">
        <v>56</v>
      </c>
      <c r="I128" s="196" t="b">
        <f>IF(Verso!$B$22=Avantages!$A128,TRUE,FALSE)</f>
        <v>0</v>
      </c>
      <c r="J128" s="196" t="b">
        <f>IF(Verso!$B$23=Avantages!$A128,TRUE,FALSE)</f>
        <v>0</v>
      </c>
      <c r="K128" s="196" t="b">
        <f>IF(Verso!$B$24=Avantages!$A128,TRUE,FALSE)</f>
        <v>0</v>
      </c>
      <c r="L128" s="196" t="b">
        <f>IF(Verso!$B$25=Avantages!$A128,TRUE,FALSE)</f>
        <v>0</v>
      </c>
      <c r="M128" s="196" t="b">
        <f>IF(Verso!$B$26=Avantages!$A128,TRUE,FALSE)</f>
        <v>0</v>
      </c>
      <c r="N128" s="196" t="b">
        <f t="shared" si="10"/>
        <v>0</v>
      </c>
      <c r="P128" s="196" t="str">
        <f t="shared" si="7"/>
        <v/>
      </c>
      <c r="Q128" s="196">
        <f t="shared" si="8"/>
        <v>200</v>
      </c>
      <c r="R128" s="578" t="str">
        <f t="shared" si="9"/>
        <v>Mémoire Infallible</v>
      </c>
    </row>
    <row r="129" spans="1:18" s="196" customFormat="1" x14ac:dyDescent="0.25">
      <c r="A129" s="186" t="s">
        <v>6496</v>
      </c>
      <c r="B129" s="186"/>
      <c r="C129" s="4" t="s">
        <v>65</v>
      </c>
      <c r="D129" s="183">
        <f>IF(Clan="Araignée",6,9)</f>
        <v>9</v>
      </c>
      <c r="E129" s="4" t="s">
        <v>6494</v>
      </c>
      <c r="F129" s="17">
        <v>96</v>
      </c>
      <c r="G129" s="163" t="s">
        <v>6497</v>
      </c>
      <c r="I129" s="196" t="b">
        <f>IF(Verso!$B$22=Avantages!$A129,TRUE,FALSE)</f>
        <v>0</v>
      </c>
      <c r="J129" s="196" t="b">
        <f>IF(Verso!$B$23=Avantages!$A129,TRUE,FALSE)</f>
        <v>0</v>
      </c>
      <c r="K129" s="196" t="b">
        <f>IF(Verso!$B$24=Avantages!$A129,TRUE,FALSE)</f>
        <v>0</v>
      </c>
      <c r="L129" s="196" t="b">
        <f>IF(Verso!$B$25=Avantages!$A129,TRUE,FALSE)</f>
        <v>0</v>
      </c>
      <c r="M129" s="196" t="b">
        <f>IF(Verso!$B$26=Avantages!$A129,TRUE,FALSE)</f>
        <v>0</v>
      </c>
      <c r="N129" s="196" t="b">
        <f t="shared" si="10"/>
        <v>0</v>
      </c>
      <c r="O129" s="295"/>
      <c r="P129" s="196" t="str">
        <f t="shared" si="7"/>
        <v/>
      </c>
      <c r="Q129" s="196">
        <f t="shared" si="8"/>
        <v>211</v>
      </c>
      <c r="R129" s="578" t="str">
        <f t="shared" si="9"/>
        <v>Ombre de la Cité Ruinée</v>
      </c>
    </row>
    <row r="130" spans="1:18" x14ac:dyDescent="0.25">
      <c r="A130" s="186" t="s">
        <v>661</v>
      </c>
      <c r="B130" s="186" t="s">
        <v>661</v>
      </c>
      <c r="C130" s="4" t="s">
        <v>65</v>
      </c>
      <c r="D130" s="183">
        <v>3</v>
      </c>
      <c r="E130" s="4" t="s">
        <v>3</v>
      </c>
      <c r="F130" s="17">
        <v>149</v>
      </c>
      <c r="G130" s="163" t="s">
        <v>640</v>
      </c>
      <c r="I130" s="196" t="b">
        <f>IF(Verso!$B$22=Avantages!$A130,TRUE,FALSE)</f>
        <v>0</v>
      </c>
      <c r="J130" s="196" t="b">
        <f>IF(Verso!$B$23=Avantages!$A130,TRUE,FALSE)</f>
        <v>0</v>
      </c>
      <c r="K130" s="196" t="b">
        <f>IF(Verso!$B$24=Avantages!$A130,TRUE,FALSE)</f>
        <v>0</v>
      </c>
      <c r="L130" s="196" t="b">
        <f>IF(Verso!$B$25=Avantages!$A130,TRUE,FALSE)</f>
        <v>0</v>
      </c>
      <c r="M130" s="196" t="b">
        <f>IF(Verso!$B$26=Avantages!$A130,TRUE,FALSE)</f>
        <v>0</v>
      </c>
      <c r="N130" s="196" t="b">
        <f t="shared" si="10"/>
        <v>0</v>
      </c>
      <c r="P130" s="196">
        <f t="shared" si="7"/>
        <v>130</v>
      </c>
      <c r="Q130" s="196">
        <f t="shared" si="8"/>
        <v>212</v>
      </c>
      <c r="R130" s="578" t="str">
        <f t="shared" si="9"/>
        <v>Opportuniste</v>
      </c>
    </row>
    <row r="131" spans="1:18" x14ac:dyDescent="0.25">
      <c r="A131" s="186" t="s">
        <v>698</v>
      </c>
      <c r="B131" s="186" t="s">
        <v>698</v>
      </c>
      <c r="C131" s="4" t="s">
        <v>67</v>
      </c>
      <c r="D131" s="183">
        <f>IF(Clan="Araignée",5,6)</f>
        <v>6</v>
      </c>
      <c r="E131" s="4" t="s">
        <v>2074</v>
      </c>
      <c r="F131" s="17">
        <v>92</v>
      </c>
      <c r="G131" s="163" t="s">
        <v>8249</v>
      </c>
      <c r="I131" s="196" t="b">
        <f>IF(Verso!$B$22=Avantages!$A131,TRUE,FALSE)</f>
        <v>0</v>
      </c>
      <c r="J131" s="196" t="b">
        <f>IF(Verso!$B$23=Avantages!$A131,TRUE,FALSE)</f>
        <v>0</v>
      </c>
      <c r="K131" s="196" t="b">
        <f>IF(Verso!$B$24=Avantages!$A131,TRUE,FALSE)</f>
        <v>0</v>
      </c>
      <c r="L131" s="196" t="b">
        <f>IF(Verso!$B$25=Avantages!$A131,TRUE,FALSE)</f>
        <v>0</v>
      </c>
      <c r="M131" s="196" t="b">
        <f>IF(Verso!$B$26=Avantages!$A131,TRUE,FALSE)</f>
        <v>0</v>
      </c>
      <c r="N131" s="196" t="b">
        <f t="shared" si="10"/>
        <v>0</v>
      </c>
      <c r="P131" s="196">
        <f t="shared" ref="P131:P194" si="11">IF(B131="","",ROW())</f>
        <v>131</v>
      </c>
      <c r="Q131" s="196">
        <f t="shared" ref="Q131:Q194" si="12">IFERROR(SMALL(P:P,ROW()-1),"")</f>
        <v>213</v>
      </c>
      <c r="R131" s="578" t="str">
        <f t="shared" ref="R131:R194" si="13">IFERROR(INDEX(B:B,Q131),"")</f>
        <v>Parangon: Compassion</v>
      </c>
    </row>
    <row r="132" spans="1:18" s="196" customFormat="1" x14ac:dyDescent="0.25">
      <c r="A132" s="186" t="s">
        <v>8241</v>
      </c>
      <c r="B132" s="186" t="s">
        <v>662</v>
      </c>
      <c r="C132" s="4" t="s">
        <v>629</v>
      </c>
      <c r="D132" s="183">
        <f>IF(Clan="Phénix",3,4)</f>
        <v>4</v>
      </c>
      <c r="E132" s="4" t="s">
        <v>3</v>
      </c>
      <c r="F132" s="17">
        <v>149</v>
      </c>
      <c r="G132" s="270" t="s">
        <v>8245</v>
      </c>
      <c r="I132" s="196" t="b">
        <f>IF(Verso!$B$22=Avantages!$A132,TRUE,FALSE)</f>
        <v>0</v>
      </c>
      <c r="J132" s="196" t="b">
        <f>IF(Verso!$B$23=Avantages!$A132,TRUE,FALSE)</f>
        <v>0</v>
      </c>
      <c r="K132" s="196" t="b">
        <f>IF(Verso!$B$24=Avantages!$A132,TRUE,FALSE)</f>
        <v>0</v>
      </c>
      <c r="L132" s="196" t="b">
        <f>IF(Verso!$B$25=Avantages!$A132,TRUE,FALSE)</f>
        <v>0</v>
      </c>
      <c r="M132" s="196" t="b">
        <f>IF(Verso!$B$26=Avantages!$A132,TRUE,FALSE)</f>
        <v>0</v>
      </c>
      <c r="N132" s="196" t="b">
        <f t="shared" si="10"/>
        <v>0</v>
      </c>
      <c r="O132" s="295"/>
      <c r="P132" s="196">
        <f t="shared" si="11"/>
        <v>132</v>
      </c>
      <c r="Q132" s="196">
        <f t="shared" si="12"/>
        <v>214</v>
      </c>
      <c r="R132" s="578" t="str">
        <f t="shared" si="13"/>
        <v>Parangon: Courage</v>
      </c>
    </row>
    <row r="133" spans="1:18" s="196" customFormat="1" x14ac:dyDescent="0.25">
      <c r="A133" s="186" t="s">
        <v>8242</v>
      </c>
      <c r="B133" s="186" t="s">
        <v>662</v>
      </c>
      <c r="C133" s="4" t="s">
        <v>629</v>
      </c>
      <c r="D133" s="183">
        <f>IF(Clan="Phénix",3,4)</f>
        <v>4</v>
      </c>
      <c r="E133" s="4" t="s">
        <v>3</v>
      </c>
      <c r="F133" s="17">
        <v>149</v>
      </c>
      <c r="G133" s="270" t="s">
        <v>8246</v>
      </c>
      <c r="I133" s="196" t="b">
        <f>IF(Verso!$B$22=Avantages!$A133,TRUE,FALSE)</f>
        <v>0</v>
      </c>
      <c r="J133" s="196" t="b">
        <f>IF(Verso!$B$23=Avantages!$A133,TRUE,FALSE)</f>
        <v>0</v>
      </c>
      <c r="K133" s="196" t="b">
        <f>IF(Verso!$B$24=Avantages!$A133,TRUE,FALSE)</f>
        <v>0</v>
      </c>
      <c r="L133" s="196" t="b">
        <f>IF(Verso!$B$25=Avantages!$A133,TRUE,FALSE)</f>
        <v>0</v>
      </c>
      <c r="M133" s="196" t="b">
        <f>IF(Verso!$B$26=Avantages!$A133,TRUE,FALSE)</f>
        <v>0</v>
      </c>
      <c r="N133" s="196" t="b">
        <f>IF(OR(I133=TRUE,J133=TRUE,K133=TRUE,L133=TRUE,M133=TRUE),TRUE,FALSE)</f>
        <v>0</v>
      </c>
      <c r="O133" s="295"/>
      <c r="P133" s="196">
        <f t="shared" si="11"/>
        <v>133</v>
      </c>
      <c r="Q133" s="196">
        <f t="shared" si="12"/>
        <v>215</v>
      </c>
      <c r="R133" s="578" t="str">
        <f t="shared" si="13"/>
        <v>Parangon: Courtoisie</v>
      </c>
    </row>
    <row r="134" spans="1:18" s="196" customFormat="1" x14ac:dyDescent="0.25">
      <c r="A134" s="186" t="s">
        <v>8243</v>
      </c>
      <c r="B134" s="186" t="s">
        <v>662</v>
      </c>
      <c r="C134" s="4" t="s">
        <v>629</v>
      </c>
      <c r="D134" s="183">
        <f>IF(Clan="Phénix",3,4)</f>
        <v>4</v>
      </c>
      <c r="E134" s="4" t="s">
        <v>3</v>
      </c>
      <c r="F134" s="17">
        <v>149</v>
      </c>
      <c r="G134" s="270" t="s">
        <v>8247</v>
      </c>
      <c r="I134" s="196" t="b">
        <f>IF(Verso!$B$22=Avantages!$A134,TRUE,FALSE)</f>
        <v>0</v>
      </c>
      <c r="J134" s="196" t="b">
        <f>IF(Verso!$B$23=Avantages!$A134,TRUE,FALSE)</f>
        <v>0</v>
      </c>
      <c r="K134" s="196" t="b">
        <f>IF(Verso!$B$24=Avantages!$A134,TRUE,FALSE)</f>
        <v>0</v>
      </c>
      <c r="L134" s="196" t="b">
        <f>IF(Verso!$B$25=Avantages!$A134,TRUE,FALSE)</f>
        <v>0</v>
      </c>
      <c r="M134" s="196" t="b">
        <f>IF(Verso!$B$26=Avantages!$A134,TRUE,FALSE)</f>
        <v>0</v>
      </c>
      <c r="N134" s="196" t="b">
        <f>IF(OR(I134=TRUE,J134=TRUE,K134=TRUE,L134=TRUE,M134=TRUE),TRUE,FALSE)</f>
        <v>0</v>
      </c>
      <c r="O134" s="295"/>
      <c r="P134" s="196">
        <f t="shared" si="11"/>
        <v>134</v>
      </c>
      <c r="Q134" s="196">
        <f t="shared" si="12"/>
        <v>216</v>
      </c>
      <c r="R134" s="578" t="str">
        <f t="shared" si="13"/>
        <v>Parangon: Devoir</v>
      </c>
    </row>
    <row r="135" spans="1:18" x14ac:dyDescent="0.25">
      <c r="A135" s="186" t="s">
        <v>8244</v>
      </c>
      <c r="B135" s="186" t="s">
        <v>662</v>
      </c>
      <c r="C135" s="4" t="s">
        <v>629</v>
      </c>
      <c r="D135" s="183">
        <f>IF(Clan="Phénix",3,4)</f>
        <v>4</v>
      </c>
      <c r="E135" s="4" t="s">
        <v>3</v>
      </c>
      <c r="F135" s="17">
        <v>149</v>
      </c>
      <c r="G135" s="270" t="s">
        <v>8248</v>
      </c>
      <c r="I135" s="196" t="b">
        <f>IF(Verso!$B$22=Avantages!$A135,TRUE,FALSE)</f>
        <v>0</v>
      </c>
      <c r="J135" s="196" t="b">
        <f>IF(Verso!$B$23=Avantages!$A135,TRUE,FALSE)</f>
        <v>0</v>
      </c>
      <c r="K135" s="196" t="b">
        <f>IF(Verso!$B$24=Avantages!$A135,TRUE,FALSE)</f>
        <v>0</v>
      </c>
      <c r="L135" s="196" t="b">
        <f>IF(Verso!$B$25=Avantages!$A135,TRUE,FALSE)</f>
        <v>0</v>
      </c>
      <c r="M135" s="196" t="b">
        <f>IF(Verso!$B$26=Avantages!$A135,TRUE,FALSE)</f>
        <v>0</v>
      </c>
      <c r="N135" s="196" t="b">
        <f t="shared" si="10"/>
        <v>0</v>
      </c>
      <c r="P135" s="196">
        <f t="shared" si="11"/>
        <v>135</v>
      </c>
      <c r="Q135" s="196">
        <f t="shared" si="12"/>
        <v>217</v>
      </c>
      <c r="R135" s="578" t="str">
        <f t="shared" si="13"/>
        <v>Parangon: Honnêteté</v>
      </c>
    </row>
    <row r="136" spans="1:18" x14ac:dyDescent="0.25">
      <c r="A136" s="186" t="s">
        <v>663</v>
      </c>
      <c r="B136" s="186" t="s">
        <v>663</v>
      </c>
      <c r="C136" s="4" t="s">
        <v>67</v>
      </c>
      <c r="D136" s="183">
        <v>2</v>
      </c>
      <c r="E136" s="4" t="s">
        <v>3</v>
      </c>
      <c r="F136" s="17">
        <v>150</v>
      </c>
      <c r="G136" s="270" t="s">
        <v>1137</v>
      </c>
      <c r="I136" s="196" t="b">
        <f>IF(Verso!$B$22=Avantages!$A136,TRUE,FALSE)</f>
        <v>0</v>
      </c>
      <c r="J136" s="196" t="b">
        <f>IF(Verso!$B$23=Avantages!$A136,TRUE,FALSE)</f>
        <v>0</v>
      </c>
      <c r="K136" s="196" t="b">
        <f>IF(Verso!$B$24=Avantages!$A136,TRUE,FALSE)</f>
        <v>0</v>
      </c>
      <c r="L136" s="196" t="b">
        <f>IF(Verso!$B$25=Avantages!$A136,TRUE,FALSE)</f>
        <v>0</v>
      </c>
      <c r="M136" s="196" t="b">
        <f>IF(Verso!$B$26=Avantages!$A136,TRUE,FALSE)</f>
        <v>0</v>
      </c>
      <c r="N136" s="196" t="b">
        <f t="shared" si="10"/>
        <v>0</v>
      </c>
      <c r="P136" s="196">
        <f t="shared" si="11"/>
        <v>136</v>
      </c>
      <c r="Q136" s="196">
        <f t="shared" si="12"/>
        <v>218</v>
      </c>
      <c r="R136" s="578" t="str">
        <f t="shared" si="13"/>
        <v>Parangon: Honneur</v>
      </c>
    </row>
    <row r="137" spans="1:18" x14ac:dyDescent="0.25">
      <c r="A137" s="186" t="s">
        <v>1142</v>
      </c>
      <c r="B137" s="186" t="s">
        <v>1142</v>
      </c>
      <c r="C137" s="4" t="s">
        <v>629</v>
      </c>
      <c r="D137" s="183">
        <v>7</v>
      </c>
      <c r="E137" s="4" t="s">
        <v>2075</v>
      </c>
      <c r="F137" s="17">
        <v>246</v>
      </c>
      <c r="G137" s="163" t="s">
        <v>1143</v>
      </c>
      <c r="I137" s="196" t="b">
        <f>IF(Verso!$B$22=Avantages!$A137,TRUE,FALSE)</f>
        <v>0</v>
      </c>
      <c r="J137" s="196" t="b">
        <f>IF(Verso!$B$23=Avantages!$A137,TRUE,FALSE)</f>
        <v>0</v>
      </c>
      <c r="K137" s="196" t="b">
        <f>IF(Verso!$B$24=Avantages!$A137,TRUE,FALSE)</f>
        <v>0</v>
      </c>
      <c r="L137" s="196" t="b">
        <f>IF(Verso!$B$25=Avantages!$A137,TRUE,FALSE)</f>
        <v>0</v>
      </c>
      <c r="M137" s="196" t="b">
        <f>IF(Verso!$B$26=Avantages!$A137,TRUE,FALSE)</f>
        <v>0</v>
      </c>
      <c r="N137" s="196" t="b">
        <f t="shared" si="10"/>
        <v>0</v>
      </c>
      <c r="P137" s="196">
        <f t="shared" si="11"/>
        <v>137</v>
      </c>
      <c r="Q137" s="196">
        <f t="shared" si="12"/>
        <v>219</v>
      </c>
      <c r="R137" s="578" t="str">
        <f t="shared" si="13"/>
        <v>Parangon: Sincérité</v>
      </c>
    </row>
    <row r="138" spans="1:18" x14ac:dyDescent="0.25">
      <c r="A138" s="186" t="s">
        <v>1144</v>
      </c>
      <c r="B138" s="186" t="s">
        <v>1144</v>
      </c>
      <c r="C138" s="4" t="s">
        <v>629</v>
      </c>
      <c r="D138" s="183">
        <v>7</v>
      </c>
      <c r="E138" s="4" t="s">
        <v>2075</v>
      </c>
      <c r="F138" s="17">
        <v>246</v>
      </c>
      <c r="G138" s="163" t="s">
        <v>1145</v>
      </c>
      <c r="I138" s="196" t="b">
        <f>IF(Verso!$B$22=Avantages!$A138,TRUE,FALSE)</f>
        <v>0</v>
      </c>
      <c r="J138" s="196" t="b">
        <f>IF(Verso!$B$23=Avantages!$A138,TRUE,FALSE)</f>
        <v>0</v>
      </c>
      <c r="K138" s="196" t="b">
        <f>IF(Verso!$B$24=Avantages!$A138,TRUE,FALSE)</f>
        <v>0</v>
      </c>
      <c r="L138" s="196" t="b">
        <f>IF(Verso!$B$25=Avantages!$A138,TRUE,FALSE)</f>
        <v>0</v>
      </c>
      <c r="M138" s="196" t="b">
        <f>IF(Verso!$B$26=Avantages!$A138,TRUE,FALSE)</f>
        <v>0</v>
      </c>
      <c r="N138" s="196" t="b">
        <f t="shared" si="10"/>
        <v>0</v>
      </c>
      <c r="P138" s="196">
        <f t="shared" si="11"/>
        <v>138</v>
      </c>
      <c r="Q138" s="196">
        <f t="shared" si="12"/>
        <v>221</v>
      </c>
      <c r="R138" s="578" t="str">
        <f t="shared" si="13"/>
        <v>Poings de Pierre</v>
      </c>
    </row>
    <row r="139" spans="1:18" x14ac:dyDescent="0.25">
      <c r="A139" s="186" t="s">
        <v>1147</v>
      </c>
      <c r="B139" s="186" t="s">
        <v>1147</v>
      </c>
      <c r="C139" s="4" t="s">
        <v>629</v>
      </c>
      <c r="D139" s="183">
        <v>7</v>
      </c>
      <c r="E139" s="4" t="s">
        <v>2075</v>
      </c>
      <c r="F139" s="17">
        <v>246</v>
      </c>
      <c r="G139" s="163" t="s">
        <v>1148</v>
      </c>
      <c r="I139" s="196" t="b">
        <f>IF(Verso!$B$22=Avantages!$A139,TRUE,FALSE)</f>
        <v>0</v>
      </c>
      <c r="J139" s="196" t="b">
        <f>IF(Verso!$B$23=Avantages!$A139,TRUE,FALSE)</f>
        <v>0</v>
      </c>
      <c r="K139" s="196" t="b">
        <f>IF(Verso!$B$24=Avantages!$A139,TRUE,FALSE)</f>
        <v>0</v>
      </c>
      <c r="L139" s="196" t="b">
        <f>IF(Verso!$B$25=Avantages!$A139,TRUE,FALSE)</f>
        <v>0</v>
      </c>
      <c r="M139" s="196" t="b">
        <f>IF(Verso!$B$26=Avantages!$A139,TRUE,FALSE)</f>
        <v>0</v>
      </c>
      <c r="N139" s="196" t="b">
        <f t="shared" si="10"/>
        <v>0</v>
      </c>
      <c r="P139" s="196">
        <f t="shared" si="11"/>
        <v>139</v>
      </c>
      <c r="Q139" s="196">
        <f t="shared" si="12"/>
        <v>222</v>
      </c>
      <c r="R139" s="578" t="str">
        <f t="shared" si="13"/>
        <v>Position Sociale</v>
      </c>
    </row>
    <row r="140" spans="1:18" x14ac:dyDescent="0.25">
      <c r="A140" s="186" t="s">
        <v>1146</v>
      </c>
      <c r="B140" s="186" t="s">
        <v>1146</v>
      </c>
      <c r="C140" s="4" t="s">
        <v>629</v>
      </c>
      <c r="D140" s="183">
        <v>7</v>
      </c>
      <c r="E140" s="4" t="s">
        <v>2075</v>
      </c>
      <c r="F140" s="17">
        <v>246</v>
      </c>
      <c r="G140" s="163" t="s">
        <v>5803</v>
      </c>
      <c r="I140" s="196" t="b">
        <f>IF(Verso!$B$22=Avantages!$A140,TRUE,FALSE)</f>
        <v>0</v>
      </c>
      <c r="J140" s="196" t="b">
        <f>IF(Verso!$B$23=Avantages!$A140,TRUE,FALSE)</f>
        <v>0</v>
      </c>
      <c r="K140" s="196" t="b">
        <f>IF(Verso!$B$24=Avantages!$A140,TRUE,FALSE)</f>
        <v>0</v>
      </c>
      <c r="L140" s="196" t="b">
        <f>IF(Verso!$B$25=Avantages!$A140,TRUE,FALSE)</f>
        <v>0</v>
      </c>
      <c r="M140" s="196" t="b">
        <f>IF(Verso!$B$26=Avantages!$A140,TRUE,FALSE)</f>
        <v>0</v>
      </c>
      <c r="N140" s="196" t="b">
        <f t="shared" si="10"/>
        <v>0</v>
      </c>
      <c r="P140" s="196">
        <f t="shared" si="11"/>
        <v>140</v>
      </c>
      <c r="Q140" s="196">
        <f t="shared" si="12"/>
        <v>224</v>
      </c>
      <c r="R140" s="578" t="str">
        <f t="shared" si="13"/>
        <v>Pratique</v>
      </c>
    </row>
    <row r="141" spans="1:18" x14ac:dyDescent="0.25">
      <c r="A141" s="186" t="s">
        <v>1140</v>
      </c>
      <c r="B141" s="186" t="s">
        <v>1140</v>
      </c>
      <c r="C141" s="4" t="s">
        <v>629</v>
      </c>
      <c r="D141" s="183">
        <v>7</v>
      </c>
      <c r="E141" s="4" t="s">
        <v>2075</v>
      </c>
      <c r="F141" s="17">
        <v>246</v>
      </c>
      <c r="G141" s="163" t="s">
        <v>1141</v>
      </c>
      <c r="I141" s="196" t="b">
        <f>IF(Verso!$B$22=Avantages!$A141,TRUE,FALSE)</f>
        <v>0</v>
      </c>
      <c r="J141" s="196" t="b">
        <f>IF(Verso!$B$23=Avantages!$A141,TRUE,FALSE)</f>
        <v>0</v>
      </c>
      <c r="K141" s="196" t="b">
        <f>IF(Verso!$B$24=Avantages!$A141,TRUE,FALSE)</f>
        <v>0</v>
      </c>
      <c r="L141" s="196" t="b">
        <f>IF(Verso!$B$25=Avantages!$A141,TRUE,FALSE)</f>
        <v>0</v>
      </c>
      <c r="M141" s="196" t="b">
        <f>IF(Verso!$B$26=Avantages!$A141,TRUE,FALSE)</f>
        <v>0</v>
      </c>
      <c r="N141" s="196" t="b">
        <f t="shared" si="10"/>
        <v>0</v>
      </c>
      <c r="P141" s="196">
        <f t="shared" si="11"/>
        <v>141</v>
      </c>
      <c r="Q141" s="196">
        <f t="shared" si="12"/>
        <v>225</v>
      </c>
      <c r="R141" s="578" t="str">
        <f t="shared" si="13"/>
        <v>Quelconque</v>
      </c>
    </row>
    <row r="142" spans="1:18" x14ac:dyDescent="0.25">
      <c r="A142" s="186" t="s">
        <v>664</v>
      </c>
      <c r="B142" s="186" t="s">
        <v>664</v>
      </c>
      <c r="C142" s="4" t="s">
        <v>628</v>
      </c>
      <c r="D142" s="183">
        <f>IF(Recto!W3="B",2,3)</f>
        <v>3</v>
      </c>
      <c r="E142" s="4" t="s">
        <v>3</v>
      </c>
      <c r="F142" s="17">
        <v>150</v>
      </c>
      <c r="G142" s="163" t="s">
        <v>823</v>
      </c>
      <c r="I142" s="196" t="b">
        <f>IF(Verso!$B$22=Avantages!$A142,TRUE,FALSE)</f>
        <v>0</v>
      </c>
      <c r="J142" s="196" t="b">
        <f>IF(Verso!$B$23=Avantages!$A142,TRUE,FALSE)</f>
        <v>0</v>
      </c>
      <c r="K142" s="196" t="b">
        <f>IF(Verso!$B$24=Avantages!$A142,TRUE,FALSE)</f>
        <v>0</v>
      </c>
      <c r="L142" s="196" t="b">
        <f>IF(Verso!$B$25=Avantages!$A142,TRUE,FALSE)</f>
        <v>0</v>
      </c>
      <c r="M142" s="196" t="b">
        <f>IF(Verso!$B$26=Avantages!$A142,TRUE,FALSE)</f>
        <v>0</v>
      </c>
      <c r="N142" s="196" t="b">
        <f t="shared" si="10"/>
        <v>0</v>
      </c>
      <c r="O142" s="295" t="s">
        <v>6473</v>
      </c>
      <c r="P142" s="196">
        <f t="shared" si="11"/>
        <v>142</v>
      </c>
      <c r="Q142" s="196">
        <f t="shared" si="12"/>
        <v>228</v>
      </c>
      <c r="R142" s="578" t="str">
        <f t="shared" si="13"/>
        <v>Rapide</v>
      </c>
    </row>
    <row r="143" spans="1:18" x14ac:dyDescent="0.25">
      <c r="A143" s="186" t="s">
        <v>750</v>
      </c>
      <c r="B143" s="186" t="s">
        <v>750</v>
      </c>
      <c r="C143" s="4" t="s">
        <v>631</v>
      </c>
      <c r="D143" s="183">
        <f>IF(Calculs!G586&gt;0,19,20)</f>
        <v>20</v>
      </c>
      <c r="E143" s="4" t="s">
        <v>3</v>
      </c>
      <c r="F143" s="17">
        <v>150</v>
      </c>
      <c r="G143" s="163" t="s">
        <v>756</v>
      </c>
      <c r="I143" s="196" t="b">
        <f>IF(Verso!$B$22=Avantages!$A143,TRUE,FALSE)</f>
        <v>0</v>
      </c>
      <c r="J143" s="196" t="b">
        <f>IF(Verso!$B$23=Avantages!$A143,TRUE,FALSE)</f>
        <v>0</v>
      </c>
      <c r="K143" s="196" t="b">
        <f>IF(Verso!$B$24=Avantages!$A143,TRUE,FALSE)</f>
        <v>0</v>
      </c>
      <c r="L143" s="196" t="b">
        <f>IF(Verso!$B$25=Avantages!$A143,TRUE,FALSE)</f>
        <v>0</v>
      </c>
      <c r="M143" s="196" t="b">
        <f>IF(Verso!$B$26=Avantages!$A143,TRUE,FALSE)</f>
        <v>0</v>
      </c>
      <c r="N143" s="196" t="b">
        <f t="shared" si="10"/>
        <v>0</v>
      </c>
      <c r="O143" s="295" t="b">
        <f>IF(OR(N143=TRUE,N144=TRUE,N145=TRUE,N146=TRUE,N147=TRUE,N148=TRUE),TRUE,FALSE)</f>
        <v>0</v>
      </c>
      <c r="P143" s="196">
        <f t="shared" si="11"/>
        <v>143</v>
      </c>
      <c r="Q143" s="196">
        <f t="shared" si="12"/>
        <v>229</v>
      </c>
      <c r="R143" s="578" t="str">
        <f t="shared" si="13"/>
        <v>Réincarné</v>
      </c>
    </row>
    <row r="144" spans="1:18" x14ac:dyDescent="0.25">
      <c r="A144" s="186" t="s">
        <v>749</v>
      </c>
      <c r="B144" s="186" t="s">
        <v>749</v>
      </c>
      <c r="C144" s="4" t="s">
        <v>631</v>
      </c>
      <c r="D144" s="183">
        <f>IF(Calculs!G586&gt;0,17,28)</f>
        <v>28</v>
      </c>
      <c r="E144" s="4" t="s">
        <v>3</v>
      </c>
      <c r="F144" s="17">
        <v>150</v>
      </c>
      <c r="G144" s="163" t="s">
        <v>755</v>
      </c>
      <c r="I144" s="196" t="b">
        <f>IF(Verso!$B$22=Avantages!$A144,TRUE,FALSE)</f>
        <v>0</v>
      </c>
      <c r="J144" s="196" t="b">
        <f>IF(Verso!$B$23=Avantages!$A144,TRUE,FALSE)</f>
        <v>0</v>
      </c>
      <c r="K144" s="196" t="b">
        <f>IF(Verso!$B$24=Avantages!$A144,TRUE,FALSE)</f>
        <v>0</v>
      </c>
      <c r="L144" s="196" t="b">
        <f>IF(Verso!$B$25=Avantages!$A144,TRUE,FALSE)</f>
        <v>0</v>
      </c>
      <c r="M144" s="196" t="b">
        <f>IF(Verso!$B$26=Avantages!$A144,TRUE,FALSE)</f>
        <v>0</v>
      </c>
      <c r="N144" s="196" t="b">
        <f t="shared" si="10"/>
        <v>0</v>
      </c>
      <c r="P144" s="196">
        <f t="shared" si="11"/>
        <v>144</v>
      </c>
      <c r="Q144" s="196">
        <f t="shared" si="12"/>
        <v>230</v>
      </c>
      <c r="R144" s="578" t="str">
        <f t="shared" si="13"/>
        <v>Relations (Influence Majeure/Dévouement Majeur)</v>
      </c>
    </row>
    <row r="145" spans="1:18" x14ac:dyDescent="0.25">
      <c r="A145" s="186" t="s">
        <v>748</v>
      </c>
      <c r="B145" s="186" t="s">
        <v>748</v>
      </c>
      <c r="C145" s="4" t="s">
        <v>631</v>
      </c>
      <c r="D145" s="183">
        <f>IF(Calculs!G586&gt;0,14,15)</f>
        <v>15</v>
      </c>
      <c r="E145" s="4" t="s">
        <v>3</v>
      </c>
      <c r="F145" s="17">
        <v>150</v>
      </c>
      <c r="G145" s="163" t="s">
        <v>754</v>
      </c>
      <c r="I145" s="196" t="b">
        <f>IF(Verso!$B$22=Avantages!$A145,TRUE,FALSE)</f>
        <v>0</v>
      </c>
      <c r="J145" s="196" t="b">
        <f>IF(Verso!$B$23=Avantages!$A145,TRUE,FALSE)</f>
        <v>0</v>
      </c>
      <c r="K145" s="196" t="b">
        <f>IF(Verso!$B$24=Avantages!$A145,TRUE,FALSE)</f>
        <v>0</v>
      </c>
      <c r="L145" s="196" t="b">
        <f>IF(Verso!$B$25=Avantages!$A145,TRUE,FALSE)</f>
        <v>0</v>
      </c>
      <c r="M145" s="196" t="b">
        <f>IF(Verso!$B$26=Avantages!$A145,TRUE,FALSE)</f>
        <v>0</v>
      </c>
      <c r="N145" s="196" t="b">
        <f t="shared" si="10"/>
        <v>0</v>
      </c>
      <c r="P145" s="196">
        <f t="shared" si="11"/>
        <v>145</v>
      </c>
      <c r="Q145" s="196">
        <f t="shared" si="12"/>
        <v>231</v>
      </c>
      <c r="R145" s="578" t="str">
        <f t="shared" si="13"/>
        <v>Relations (Influence Majeure/Dévouement Mineur)</v>
      </c>
    </row>
    <row r="146" spans="1:18" x14ac:dyDescent="0.25">
      <c r="A146" s="186" t="s">
        <v>752</v>
      </c>
      <c r="B146" s="186" t="s">
        <v>752</v>
      </c>
      <c r="C146" s="4" t="s">
        <v>631</v>
      </c>
      <c r="D146" s="183">
        <f>IF(Calculs!G586&gt;0,29,30)</f>
        <v>30</v>
      </c>
      <c r="E146" s="4" t="s">
        <v>3</v>
      </c>
      <c r="F146" s="17">
        <v>150</v>
      </c>
      <c r="G146" s="163" t="s">
        <v>758</v>
      </c>
      <c r="I146" s="196" t="b">
        <f>IF(Verso!$B$22=Avantages!$A146,TRUE,FALSE)</f>
        <v>0</v>
      </c>
      <c r="J146" s="196" t="b">
        <f>IF(Verso!$B$23=Avantages!$A146,TRUE,FALSE)</f>
        <v>0</v>
      </c>
      <c r="K146" s="196" t="b">
        <f>IF(Verso!$B$24=Avantages!$A146,TRUE,FALSE)</f>
        <v>0</v>
      </c>
      <c r="L146" s="196" t="b">
        <f>IF(Verso!$B$25=Avantages!$A146,TRUE,FALSE)</f>
        <v>0</v>
      </c>
      <c r="M146" s="196" t="b">
        <f>IF(Verso!$B$26=Avantages!$A146,TRUE,FALSE)</f>
        <v>0</v>
      </c>
      <c r="N146" s="196" t="b">
        <f t="shared" si="10"/>
        <v>0</v>
      </c>
      <c r="P146" s="196">
        <f t="shared" si="11"/>
        <v>146</v>
      </c>
      <c r="Q146" s="196">
        <f t="shared" si="12"/>
        <v>232</v>
      </c>
      <c r="R146" s="578" t="str">
        <f t="shared" si="13"/>
        <v>Relations (Influence Majeure/Dévouement Modéré)</v>
      </c>
    </row>
    <row r="147" spans="1:18" x14ac:dyDescent="0.25">
      <c r="A147" s="186" t="s">
        <v>747</v>
      </c>
      <c r="B147" s="186" t="s">
        <v>747</v>
      </c>
      <c r="C147" s="4" t="s">
        <v>631</v>
      </c>
      <c r="D147" s="183">
        <f>IF(Calculs!G586&gt;0,7,8)</f>
        <v>8</v>
      </c>
      <c r="E147" s="4" t="s">
        <v>3</v>
      </c>
      <c r="F147" s="17">
        <v>150</v>
      </c>
      <c r="G147" s="163" t="s">
        <v>753</v>
      </c>
      <c r="I147" s="196" t="b">
        <f>IF(Verso!$B$22=Avantages!$A147,TRUE,FALSE)</f>
        <v>0</v>
      </c>
      <c r="J147" s="196" t="b">
        <f>IF(Verso!$B$23=Avantages!$A147,TRUE,FALSE)</f>
        <v>0</v>
      </c>
      <c r="K147" s="196" t="b">
        <f>IF(Verso!$B$24=Avantages!$A147,TRUE,FALSE)</f>
        <v>0</v>
      </c>
      <c r="L147" s="196" t="b">
        <f>IF(Verso!$B$25=Avantages!$A147,TRUE,FALSE)</f>
        <v>0</v>
      </c>
      <c r="M147" s="196" t="b">
        <f>IF(Verso!$B$26=Avantages!$A147,TRUE,FALSE)</f>
        <v>0</v>
      </c>
      <c r="N147" s="196" t="b">
        <f t="shared" si="10"/>
        <v>0</v>
      </c>
      <c r="P147" s="196">
        <f t="shared" si="11"/>
        <v>147</v>
      </c>
      <c r="Q147" s="196">
        <f t="shared" si="12"/>
        <v>233</v>
      </c>
      <c r="R147" s="578" t="str">
        <f t="shared" si="13"/>
        <v>Relations (Influence Mineure/Dévouement Majeur)</v>
      </c>
    </row>
    <row r="148" spans="1:18" x14ac:dyDescent="0.25">
      <c r="A148" s="186" t="s">
        <v>751</v>
      </c>
      <c r="B148" s="186" t="s">
        <v>751</v>
      </c>
      <c r="C148" s="4" t="s">
        <v>631</v>
      </c>
      <c r="D148" s="183">
        <f>IF(Calculs!G586&gt;0,24,25)</f>
        <v>25</v>
      </c>
      <c r="E148" s="4" t="s">
        <v>3</v>
      </c>
      <c r="F148" s="17">
        <v>150</v>
      </c>
      <c r="G148" s="163" t="s">
        <v>757</v>
      </c>
      <c r="I148" s="196" t="b">
        <f>IF(Verso!$B$22=Avantages!$A148,TRUE,FALSE)</f>
        <v>0</v>
      </c>
      <c r="J148" s="196" t="b">
        <f>IF(Verso!$B$23=Avantages!$A148,TRUE,FALSE)</f>
        <v>0</v>
      </c>
      <c r="K148" s="196" t="b">
        <f>IF(Verso!$B$24=Avantages!$A148,TRUE,FALSE)</f>
        <v>0</v>
      </c>
      <c r="L148" s="196" t="b">
        <f>IF(Verso!$B$25=Avantages!$A148,TRUE,FALSE)</f>
        <v>0</v>
      </c>
      <c r="M148" s="196" t="b">
        <f>IF(Verso!$B$26=Avantages!$A148,TRUE,FALSE)</f>
        <v>0</v>
      </c>
      <c r="N148" s="196" t="b">
        <f t="shared" si="10"/>
        <v>0</v>
      </c>
      <c r="P148" s="196">
        <f t="shared" si="11"/>
        <v>148</v>
      </c>
      <c r="Q148" s="196">
        <f t="shared" si="12"/>
        <v>234</v>
      </c>
      <c r="R148" s="578" t="str">
        <f t="shared" si="13"/>
        <v>Relations (Influence Mineure/Dévouement Mineur)</v>
      </c>
    </row>
    <row r="149" spans="1:18" x14ac:dyDescent="0.25">
      <c r="A149" s="186" t="s">
        <v>665</v>
      </c>
      <c r="B149" s="186" t="s">
        <v>665</v>
      </c>
      <c r="C149" s="4" t="s">
        <v>628</v>
      </c>
      <c r="D149" s="183">
        <f>IF(Clan="Crabe",3,4)</f>
        <v>4</v>
      </c>
      <c r="E149" s="4" t="s">
        <v>3</v>
      </c>
      <c r="F149" s="17">
        <v>150</v>
      </c>
      <c r="G149" s="163" t="s">
        <v>639</v>
      </c>
      <c r="I149" s="196" t="b">
        <f>IF(Verso!$B$22=Avantages!$A149,TRUE,FALSE)</f>
        <v>0</v>
      </c>
      <c r="J149" s="196" t="b">
        <f>IF(Verso!$B$23=Avantages!$A149,TRUE,FALSE)</f>
        <v>0</v>
      </c>
      <c r="K149" s="196" t="b">
        <f>IF(Verso!$B$24=Avantages!$A149,TRUE,FALSE)</f>
        <v>0</v>
      </c>
      <c r="L149" s="196" t="b">
        <f>IF(Verso!$B$25=Avantages!$A149,TRUE,FALSE)</f>
        <v>0</v>
      </c>
      <c r="M149" s="196" t="b">
        <f>IF(Verso!$B$26=Avantages!$A149,TRUE,FALSE)</f>
        <v>0</v>
      </c>
      <c r="N149" s="196" t="b">
        <f t="shared" si="10"/>
        <v>0</v>
      </c>
      <c r="P149" s="196">
        <f t="shared" si="11"/>
        <v>149</v>
      </c>
      <c r="Q149" s="196">
        <f t="shared" si="12"/>
        <v>235</v>
      </c>
      <c r="R149" s="578" t="str">
        <f t="shared" si="13"/>
        <v>Relations (Influence Mineure/Dévouement Modéré)</v>
      </c>
    </row>
    <row r="150" spans="1:18" x14ac:dyDescent="0.25">
      <c r="A150" s="186" t="s">
        <v>699</v>
      </c>
      <c r="B150" s="186" t="s">
        <v>699</v>
      </c>
      <c r="C150" s="4" t="s">
        <v>65</v>
      </c>
      <c r="D150" s="183">
        <f>IF(Clan="Licorne",1,2)</f>
        <v>2</v>
      </c>
      <c r="E150" s="4" t="s">
        <v>3</v>
      </c>
      <c r="F150" s="17">
        <v>150</v>
      </c>
      <c r="G150" s="163" t="s">
        <v>90</v>
      </c>
      <c r="I150" s="196" t="b">
        <f>IF(Verso!$B$22=Avantages!$A150,TRUE,FALSE)</f>
        <v>0</v>
      </c>
      <c r="J150" s="196" t="b">
        <f>IF(Verso!$B$23=Avantages!$A150,TRUE,FALSE)</f>
        <v>0</v>
      </c>
      <c r="K150" s="196" t="b">
        <f>IF(Verso!$B$24=Avantages!$A150,TRUE,FALSE)</f>
        <v>0</v>
      </c>
      <c r="L150" s="196" t="b">
        <f>IF(Verso!$B$25=Avantages!$A150,TRUE,FALSE)</f>
        <v>0</v>
      </c>
      <c r="M150" s="196" t="b">
        <f>IF(Verso!$B$26=Avantages!$A150,TRUE,FALSE)</f>
        <v>0</v>
      </c>
      <c r="N150" s="196" t="b">
        <f t="shared" si="10"/>
        <v>0</v>
      </c>
      <c r="P150" s="196">
        <f t="shared" si="11"/>
        <v>150</v>
      </c>
      <c r="Q150" s="196">
        <f t="shared" si="12"/>
        <v>236</v>
      </c>
      <c r="R150" s="578" t="str">
        <f t="shared" si="13"/>
        <v>Relations (Influence Modérée/Dévouement Majeur)</v>
      </c>
    </row>
    <row r="151" spans="1:18" x14ac:dyDescent="0.25">
      <c r="A151" s="186" t="s">
        <v>667</v>
      </c>
      <c r="B151" s="186" t="s">
        <v>667</v>
      </c>
      <c r="C151" s="4" t="s">
        <v>629</v>
      </c>
      <c r="D151" s="183">
        <v>5</v>
      </c>
      <c r="E151" s="4" t="s">
        <v>3</v>
      </c>
      <c r="F151" s="17">
        <v>150</v>
      </c>
      <c r="G151" s="163" t="s">
        <v>75</v>
      </c>
      <c r="I151" s="196" t="b">
        <f>IF(Verso!$B$22=Avantages!$A151,TRUE,FALSE)</f>
        <v>0</v>
      </c>
      <c r="J151" s="196" t="b">
        <f>IF(Verso!$B$23=Avantages!$A151,TRUE,FALSE)</f>
        <v>0</v>
      </c>
      <c r="K151" s="196" t="b">
        <f>IF(Verso!$B$24=Avantages!$A151,TRUE,FALSE)</f>
        <v>0</v>
      </c>
      <c r="L151" s="196" t="b">
        <f>IF(Verso!$B$25=Avantages!$A151,TRUE,FALSE)</f>
        <v>0</v>
      </c>
      <c r="M151" s="196" t="b">
        <f>IF(Verso!$B$26=Avantages!$A151,TRUE,FALSE)</f>
        <v>0</v>
      </c>
      <c r="N151" s="196" t="b">
        <f t="shared" si="10"/>
        <v>0</v>
      </c>
      <c r="P151" s="196">
        <f t="shared" si="11"/>
        <v>151</v>
      </c>
      <c r="Q151" s="196">
        <f t="shared" si="12"/>
        <v>237</v>
      </c>
      <c r="R151" s="578" t="str">
        <f t="shared" si="13"/>
        <v>Relations (Influence Modérée/Dévouement Mineur)</v>
      </c>
    </row>
    <row r="152" spans="1:18" x14ac:dyDescent="0.25">
      <c r="A152" s="186" t="s">
        <v>668</v>
      </c>
      <c r="B152" s="186" t="s">
        <v>668</v>
      </c>
      <c r="C152" s="4" t="s">
        <v>67</v>
      </c>
      <c r="D152" s="183">
        <f>IF(Clan="Araignée",4,5)</f>
        <v>5</v>
      </c>
      <c r="E152" s="4" t="s">
        <v>3</v>
      </c>
      <c r="F152" s="17">
        <v>150</v>
      </c>
      <c r="G152" s="163" t="s">
        <v>1101</v>
      </c>
      <c r="I152" s="196" t="b">
        <f>IF(Verso!$B$22=Avantages!$A152,TRUE,FALSE)</f>
        <v>0</v>
      </c>
      <c r="J152" s="196" t="b">
        <f>IF(Verso!$B$23=Avantages!$A152,TRUE,FALSE)</f>
        <v>0</v>
      </c>
      <c r="K152" s="196" t="b">
        <f>IF(Verso!$B$24=Avantages!$A152,TRUE,FALSE)</f>
        <v>0</v>
      </c>
      <c r="L152" s="196" t="b">
        <f>IF(Verso!$B$25=Avantages!$A152,TRUE,FALSE)</f>
        <v>0</v>
      </c>
      <c r="M152" s="196" t="b">
        <f>IF(Verso!$B$26=Avantages!$A152,TRUE,FALSE)</f>
        <v>0</v>
      </c>
      <c r="N152" s="196" t="b">
        <f t="shared" si="10"/>
        <v>0</v>
      </c>
      <c r="P152" s="196">
        <f t="shared" si="11"/>
        <v>152</v>
      </c>
      <c r="Q152" s="196">
        <f t="shared" si="12"/>
        <v>238</v>
      </c>
      <c r="R152" s="578" t="str">
        <f t="shared" si="13"/>
        <v>Relations (Influence Modérée/Dévouement Modéré)</v>
      </c>
    </row>
    <row r="153" spans="1:18" x14ac:dyDescent="0.25">
      <c r="A153" s="186" t="s">
        <v>669</v>
      </c>
      <c r="B153" s="186" t="str">
        <f>IF(MauditYomi&gt;0,"","Héritage")</f>
        <v>Héritage</v>
      </c>
      <c r="C153" s="4" t="s">
        <v>631</v>
      </c>
      <c r="D153" s="183">
        <v>5</v>
      </c>
      <c r="E153" s="4" t="s">
        <v>3</v>
      </c>
      <c r="F153" s="17">
        <v>150</v>
      </c>
      <c r="G153" s="163" t="s">
        <v>759</v>
      </c>
      <c r="I153" s="196" t="b">
        <f>IF(Verso!$B$22=Avantages!$A153,TRUE,FALSE)</f>
        <v>0</v>
      </c>
      <c r="J153" s="196" t="b">
        <f>IF(Verso!$B$23=Avantages!$A153,TRUE,FALSE)</f>
        <v>0</v>
      </c>
      <c r="K153" s="196" t="b">
        <f>IF(Verso!$B$24=Avantages!$A153,TRUE,FALSE)</f>
        <v>0</v>
      </c>
      <c r="L153" s="196" t="b">
        <f>IF(Verso!$B$25=Avantages!$A153,TRUE,FALSE)</f>
        <v>0</v>
      </c>
      <c r="M153" s="196" t="b">
        <f>IF(Verso!$B$26=Avantages!$A153,TRUE,FALSE)</f>
        <v>0</v>
      </c>
      <c r="N153" s="196" t="b">
        <f t="shared" si="10"/>
        <v>0</v>
      </c>
      <c r="P153" s="196">
        <f t="shared" si="11"/>
        <v>153</v>
      </c>
      <c r="Q153" s="196">
        <f t="shared" si="12"/>
        <v>259</v>
      </c>
      <c r="R153" s="578" t="str">
        <f t="shared" si="13"/>
        <v>Réseau d'espions</v>
      </c>
    </row>
    <row r="154" spans="1:18" x14ac:dyDescent="0.25">
      <c r="A154" s="186" t="s">
        <v>5785</v>
      </c>
      <c r="B154" s="186" t="str">
        <f>IF(MauditYomi&gt;0,"",IF(Recto!$C$3=H154,CONCATENATE(A154),""))</f>
        <v/>
      </c>
      <c r="C154" s="4" t="s">
        <v>631</v>
      </c>
      <c r="D154" s="183">
        <v>4</v>
      </c>
      <c r="E154" s="4" t="s">
        <v>2074</v>
      </c>
      <c r="F154" s="17">
        <v>107</v>
      </c>
      <c r="G154" s="163" t="s">
        <v>1014</v>
      </c>
      <c r="H154" s="196" t="s">
        <v>15</v>
      </c>
      <c r="I154" s="196" t="b">
        <f>IF(Verso!$B$22=Avantages!$A154,TRUE,FALSE)</f>
        <v>0</v>
      </c>
      <c r="J154" s="196" t="b">
        <f>IF(Verso!$B$23=Avantages!$A154,TRUE,FALSE)</f>
        <v>0</v>
      </c>
      <c r="K154" s="196" t="b">
        <f>IF(Verso!$B$24=Avantages!$A154,TRUE,FALSE)</f>
        <v>0</v>
      </c>
      <c r="L154" s="196" t="b">
        <f>IF(Verso!$B$25=Avantages!$A154,TRUE,FALSE)</f>
        <v>0</v>
      </c>
      <c r="M154" s="196" t="b">
        <f>IF(Verso!$B$26=Avantages!$A154,TRUE,FALSE)</f>
        <v>0</v>
      </c>
      <c r="N154" s="196" t="b">
        <f t="shared" si="10"/>
        <v>0</v>
      </c>
      <c r="P154" s="196" t="str">
        <f t="shared" si="11"/>
        <v/>
      </c>
      <c r="Q154" s="196">
        <f t="shared" si="12"/>
        <v>260</v>
      </c>
      <c r="R154" s="578" t="str">
        <f t="shared" si="13"/>
        <v>Résistance Magique Majeure</v>
      </c>
    </row>
    <row r="155" spans="1:18" x14ac:dyDescent="0.25">
      <c r="A155" s="186" t="s">
        <v>5786</v>
      </c>
      <c r="B155" s="186" t="str">
        <f>IF(MauditYomi&gt;0,"",IF(Recto!$C$3=H155,CONCATENATE(A155),""))</f>
        <v/>
      </c>
      <c r="C155" s="4" t="s">
        <v>631</v>
      </c>
      <c r="D155" s="183">
        <v>15</v>
      </c>
      <c r="E155" s="4" t="s">
        <v>2074</v>
      </c>
      <c r="F155" s="17">
        <v>107</v>
      </c>
      <c r="G155" s="163" t="s">
        <v>1017</v>
      </c>
      <c r="H155" s="196" t="s">
        <v>15</v>
      </c>
      <c r="I155" s="196" t="b">
        <f>IF(Verso!$B$22=Avantages!$A155,TRUE,FALSE)</f>
        <v>0</v>
      </c>
      <c r="J155" s="196" t="b">
        <f>IF(Verso!$B$23=Avantages!$A155,TRUE,FALSE)</f>
        <v>0</v>
      </c>
      <c r="K155" s="196" t="b">
        <f>IF(Verso!$B$24=Avantages!$A155,TRUE,FALSE)</f>
        <v>0</v>
      </c>
      <c r="L155" s="196" t="b">
        <f>IF(Verso!$B$25=Avantages!$A155,TRUE,FALSE)</f>
        <v>0</v>
      </c>
      <c r="M155" s="196" t="b">
        <f>IF(Verso!$B$26=Avantages!$A155,TRUE,FALSE)</f>
        <v>0</v>
      </c>
      <c r="N155" s="196" t="b">
        <f t="shared" si="10"/>
        <v>0</v>
      </c>
      <c r="P155" s="196" t="str">
        <f t="shared" si="11"/>
        <v/>
      </c>
      <c r="Q155" s="196">
        <f t="shared" si="12"/>
        <v>261</v>
      </c>
      <c r="R155" s="578" t="str">
        <f t="shared" si="13"/>
        <v>Résistance Magique Mineure</v>
      </c>
    </row>
    <row r="156" spans="1:18" x14ac:dyDescent="0.25">
      <c r="A156" s="186" t="s">
        <v>5787</v>
      </c>
      <c r="B156" s="186" t="str">
        <f>IF(MauditYomi&gt;0,"",IF(Recto!$C$3=H156,CONCATENATE(A156),""))</f>
        <v/>
      </c>
      <c r="C156" s="4" t="s">
        <v>631</v>
      </c>
      <c r="D156" s="183">
        <v>7</v>
      </c>
      <c r="E156" s="4" t="s">
        <v>2074</v>
      </c>
      <c r="F156" s="17">
        <v>107</v>
      </c>
      <c r="G156" s="163" t="s">
        <v>1015</v>
      </c>
      <c r="H156" s="196" t="s">
        <v>15</v>
      </c>
      <c r="I156" s="196" t="b">
        <f>IF(Verso!$B$22=Avantages!$A156,TRUE,FALSE)</f>
        <v>0</v>
      </c>
      <c r="J156" s="196" t="b">
        <f>IF(Verso!$B$23=Avantages!$A156,TRUE,FALSE)</f>
        <v>0</v>
      </c>
      <c r="K156" s="196" t="b">
        <f>IF(Verso!$B$24=Avantages!$A156,TRUE,FALSE)</f>
        <v>0</v>
      </c>
      <c r="L156" s="196" t="b">
        <f>IF(Verso!$B$25=Avantages!$A156,TRUE,FALSE)</f>
        <v>0</v>
      </c>
      <c r="M156" s="196" t="b">
        <f>IF(Verso!$B$26=Avantages!$A156,TRUE,FALSE)</f>
        <v>0</v>
      </c>
      <c r="N156" s="196" t="b">
        <f t="shared" si="10"/>
        <v>0</v>
      </c>
      <c r="P156" s="196" t="str">
        <f t="shared" si="11"/>
        <v/>
      </c>
      <c r="Q156" s="196">
        <f t="shared" si="12"/>
        <v>262</v>
      </c>
      <c r="R156" s="578" t="str">
        <f t="shared" si="13"/>
        <v>Résistance Magique Moyenne</v>
      </c>
    </row>
    <row r="157" spans="1:18" x14ac:dyDescent="0.25">
      <c r="A157" s="186" t="s">
        <v>5788</v>
      </c>
      <c r="B157" s="186" t="str">
        <f>IF(MauditYomi&gt;0,"",IF(Recto!$C$3=H157,CONCATENATE(A157),""))</f>
        <v/>
      </c>
      <c r="C157" s="4" t="s">
        <v>631</v>
      </c>
      <c r="D157" s="183">
        <v>12</v>
      </c>
      <c r="E157" s="4" t="s">
        <v>2074</v>
      </c>
      <c r="F157" s="17">
        <v>107</v>
      </c>
      <c r="G157" s="163" t="s">
        <v>1016</v>
      </c>
      <c r="H157" t="s">
        <v>15</v>
      </c>
      <c r="I157" s="196" t="b">
        <f>IF(Verso!$B$22=Avantages!$A157,TRUE,FALSE)</f>
        <v>0</v>
      </c>
      <c r="J157" s="196" t="b">
        <f>IF(Verso!$B$23=Avantages!$A157,TRUE,FALSE)</f>
        <v>0</v>
      </c>
      <c r="K157" s="196" t="b">
        <f>IF(Verso!$B$24=Avantages!$A157,TRUE,FALSE)</f>
        <v>0</v>
      </c>
      <c r="L157" s="196" t="b">
        <f>IF(Verso!$B$25=Avantages!$A157,TRUE,FALSE)</f>
        <v>0</v>
      </c>
      <c r="M157" s="196" t="b">
        <f>IF(Verso!$B$26=Avantages!$A157,TRUE,FALSE)</f>
        <v>0</v>
      </c>
      <c r="N157" s="196" t="b">
        <f t="shared" si="10"/>
        <v>0</v>
      </c>
      <c r="P157" s="196" t="str">
        <f t="shared" si="11"/>
        <v/>
      </c>
      <c r="Q157" s="196">
        <f t="shared" si="12"/>
        <v>263</v>
      </c>
      <c r="R157" s="578" t="str">
        <f t="shared" si="13"/>
        <v>Rétablissement Rapide</v>
      </c>
    </row>
    <row r="158" spans="1:18" x14ac:dyDescent="0.25">
      <c r="A158" s="186" t="s">
        <v>5789</v>
      </c>
      <c r="B158" s="186" t="str">
        <f>IF(MauditYomi&gt;0,"",IF(Recto!$C$3=H158,CONCATENATE(A158),""))</f>
        <v/>
      </c>
      <c r="C158" s="4" t="s">
        <v>631</v>
      </c>
      <c r="D158" s="183">
        <v>10</v>
      </c>
      <c r="E158" s="4" t="s">
        <v>2074</v>
      </c>
      <c r="F158" s="17">
        <v>24</v>
      </c>
      <c r="G158" s="163" t="s">
        <v>7508</v>
      </c>
      <c r="H158" t="s">
        <v>178</v>
      </c>
      <c r="I158" s="196" t="b">
        <f>IF(Verso!$B$22=Avantages!$A158,TRUE,FALSE)</f>
        <v>0</v>
      </c>
      <c r="J158" s="196" t="b">
        <f>IF(Verso!$B$23=Avantages!$A158,TRUE,FALSE)</f>
        <v>0</v>
      </c>
      <c r="K158" s="196" t="b">
        <f>IF(Verso!$B$24=Avantages!$A158,TRUE,FALSE)</f>
        <v>0</v>
      </c>
      <c r="L158" s="196" t="b">
        <f>IF(Verso!$B$25=Avantages!$A158,TRUE,FALSE)</f>
        <v>0</v>
      </c>
      <c r="M158" s="196" t="b">
        <f>IF(Verso!$B$26=Avantages!$A158,TRUE,FALSE)</f>
        <v>0</v>
      </c>
      <c r="N158" s="196" t="b">
        <f t="shared" si="10"/>
        <v>0</v>
      </c>
      <c r="P158" s="196" t="str">
        <f t="shared" si="11"/>
        <v/>
      </c>
      <c r="Q158" s="196">
        <f t="shared" si="12"/>
        <v>264</v>
      </c>
      <c r="R158" s="578" t="str">
        <f t="shared" si="13"/>
        <v>Riche Extraordinaire</v>
      </c>
    </row>
    <row r="159" spans="1:18" x14ac:dyDescent="0.25">
      <c r="A159" s="186" t="s">
        <v>693</v>
      </c>
      <c r="B159" s="186" t="str">
        <f>IF(MauditYomi&gt;0,"","Héritage: Faucon Dréssé")</f>
        <v>Héritage: Faucon Dréssé</v>
      </c>
      <c r="C159" s="4" t="s">
        <v>7651</v>
      </c>
      <c r="D159" s="183">
        <f>IF(Clan="Toritaka",1,2)</f>
        <v>2</v>
      </c>
      <c r="E159" s="4" t="s">
        <v>2075</v>
      </c>
      <c r="F159" s="17">
        <v>10</v>
      </c>
      <c r="G159" s="163" t="s">
        <v>78</v>
      </c>
      <c r="I159" s="196" t="b">
        <f>IF(Verso!$B$22=Avantages!$A159,TRUE,FALSE)</f>
        <v>0</v>
      </c>
      <c r="J159" s="196" t="b">
        <f>IF(Verso!$B$23=Avantages!$A159,TRUE,FALSE)</f>
        <v>0</v>
      </c>
      <c r="K159" s="196" t="b">
        <f>IF(Verso!$B$24=Avantages!$A159,TRUE,FALSE)</f>
        <v>0</v>
      </c>
      <c r="L159" s="196" t="b">
        <f>IF(Verso!$B$25=Avantages!$A159,TRUE,FALSE)</f>
        <v>0</v>
      </c>
      <c r="M159" s="196" t="b">
        <f>IF(Verso!$B$26=Avantages!$A159,TRUE,FALSE)</f>
        <v>0</v>
      </c>
      <c r="N159" s="196" t="b">
        <f t="shared" si="10"/>
        <v>0</v>
      </c>
      <c r="P159" s="196">
        <f t="shared" si="11"/>
        <v>159</v>
      </c>
      <c r="Q159" s="196">
        <f t="shared" si="12"/>
        <v>265</v>
      </c>
      <c r="R159" s="578" t="str">
        <f t="shared" si="13"/>
        <v>Riche Extrême</v>
      </c>
    </row>
    <row r="160" spans="1:18" x14ac:dyDescent="0.25">
      <c r="A160" s="186" t="s">
        <v>670</v>
      </c>
      <c r="B160" s="186" t="s">
        <v>670</v>
      </c>
      <c r="C160" s="4" t="s">
        <v>67</v>
      </c>
      <c r="D160" s="183">
        <v>2</v>
      </c>
      <c r="E160" s="4" t="s">
        <v>3</v>
      </c>
      <c r="F160" s="17">
        <v>151</v>
      </c>
      <c r="G160" s="163" t="s">
        <v>1102</v>
      </c>
      <c r="I160" s="196" t="b">
        <f>IF(Verso!$B$22=Avantages!$A160,TRUE,FALSE)</f>
        <v>0</v>
      </c>
      <c r="J160" s="196" t="b">
        <f>IF(Verso!$B$23=Avantages!$A160,TRUE,FALSE)</f>
        <v>0</v>
      </c>
      <c r="K160" s="196" t="b">
        <f>IF(Verso!$B$24=Avantages!$A160,TRUE,FALSE)</f>
        <v>0</v>
      </c>
      <c r="L160" s="196" t="b">
        <f>IF(Verso!$B$25=Avantages!$A160,TRUE,FALSE)</f>
        <v>0</v>
      </c>
      <c r="M160" s="196" t="b">
        <f>IF(Verso!$B$26=Avantages!$A160,TRUE,FALSE)</f>
        <v>0</v>
      </c>
      <c r="N160" s="196" t="b">
        <f t="shared" si="10"/>
        <v>0</v>
      </c>
      <c r="P160" s="196">
        <f t="shared" si="11"/>
        <v>160</v>
      </c>
      <c r="Q160" s="196">
        <f t="shared" si="12"/>
        <v>266</v>
      </c>
      <c r="R160" s="578" t="str">
        <f t="shared" si="13"/>
        <v>Riche Majeur</v>
      </c>
    </row>
    <row r="161" spans="1:18" x14ac:dyDescent="0.25">
      <c r="A161" s="186" t="s">
        <v>1103</v>
      </c>
      <c r="B161" s="186" t="s">
        <v>1103</v>
      </c>
      <c r="C161" s="4" t="s">
        <v>67</v>
      </c>
      <c r="D161" s="183">
        <v>3</v>
      </c>
      <c r="E161" s="4" t="s">
        <v>3</v>
      </c>
      <c r="F161" s="17">
        <v>151</v>
      </c>
      <c r="G161" s="163" t="s">
        <v>868</v>
      </c>
      <c r="I161" s="196" t="b">
        <f>IF(Verso!$B$22=Avantages!$A161,TRUE,FALSE)</f>
        <v>0</v>
      </c>
      <c r="J161" s="196" t="b">
        <f>IF(Verso!$B$23=Avantages!$A161,TRUE,FALSE)</f>
        <v>0</v>
      </c>
      <c r="K161" s="196" t="b">
        <f>IF(Verso!$B$24=Avantages!$A161,TRUE,FALSE)</f>
        <v>0</v>
      </c>
      <c r="L161" s="196" t="b">
        <f>IF(Verso!$B$25=Avantages!$A161,TRUE,FALSE)</f>
        <v>0</v>
      </c>
      <c r="M161" s="196" t="b">
        <f>IF(Verso!$B$26=Avantages!$A161,TRUE,FALSE)</f>
        <v>0</v>
      </c>
      <c r="N161" s="196" t="b">
        <f t="shared" si="10"/>
        <v>0</v>
      </c>
      <c r="P161" s="196">
        <f t="shared" si="11"/>
        <v>161</v>
      </c>
      <c r="Q161" s="196">
        <f t="shared" si="12"/>
        <v>267</v>
      </c>
      <c r="R161" s="578" t="str">
        <f t="shared" si="13"/>
        <v>Riche Mineur</v>
      </c>
    </row>
    <row r="162" spans="1:18" x14ac:dyDescent="0.25">
      <c r="A162" s="186" t="s">
        <v>794</v>
      </c>
      <c r="B162" s="186" t="str">
        <f>IF(OR(Recto!$C$3=H162,Calculs!$J$8&gt;0),CONCATENATE(A162),"")</f>
        <v/>
      </c>
      <c r="C162" s="4" t="s">
        <v>629</v>
      </c>
      <c r="D162" s="183">
        <v>3</v>
      </c>
      <c r="E162" s="4" t="s">
        <v>2075</v>
      </c>
      <c r="F162" s="17">
        <v>81</v>
      </c>
      <c r="G162" s="163" t="s">
        <v>646</v>
      </c>
      <c r="H162" t="s">
        <v>53</v>
      </c>
      <c r="I162" s="196" t="b">
        <f>IF(Verso!$B$22=Avantages!$A162,TRUE,FALSE)</f>
        <v>0</v>
      </c>
      <c r="J162" s="196" t="b">
        <f>IF(Verso!$B$23=Avantages!$A162,TRUE,FALSE)</f>
        <v>0</v>
      </c>
      <c r="K162" s="196" t="b">
        <f>IF(Verso!$B$24=Avantages!$A162,TRUE,FALSE)</f>
        <v>0</v>
      </c>
      <c r="L162" s="196" t="b">
        <f>IF(Verso!$B$25=Avantages!$A162,TRUE,FALSE)</f>
        <v>0</v>
      </c>
      <c r="M162" s="196" t="b">
        <f>IF(Verso!$B$26=Avantages!$A162,TRUE,FALSE)</f>
        <v>0</v>
      </c>
      <c r="N162" s="196" t="b">
        <f t="shared" si="10"/>
        <v>0</v>
      </c>
      <c r="P162" s="196" t="str">
        <f t="shared" si="11"/>
        <v/>
      </c>
      <c r="Q162" s="196">
        <f t="shared" si="12"/>
        <v>268</v>
      </c>
      <c r="R162" s="578" t="str">
        <f t="shared" si="13"/>
        <v>Riche Moyen</v>
      </c>
    </row>
    <row r="163" spans="1:18" x14ac:dyDescent="0.25">
      <c r="A163" s="186" t="s">
        <v>1126</v>
      </c>
      <c r="B163" s="186" t="s">
        <v>1126</v>
      </c>
      <c r="C163" s="4" t="s">
        <v>67</v>
      </c>
      <c r="D163" s="183">
        <v>8</v>
      </c>
      <c r="E163" s="4" t="s">
        <v>3</v>
      </c>
      <c r="F163" s="17">
        <v>151</v>
      </c>
      <c r="G163" s="163" t="s">
        <v>1127</v>
      </c>
      <c r="I163" s="196" t="b">
        <f>IF(Verso!$B$22=Avantages!$A163,TRUE,FALSE)</f>
        <v>0</v>
      </c>
      <c r="J163" s="196" t="b">
        <f>IF(Verso!$B$23=Avantages!$A163,TRUE,FALSE)</f>
        <v>0</v>
      </c>
      <c r="K163" s="196" t="b">
        <f>IF(Verso!$B$24=Avantages!$A163,TRUE,FALSE)</f>
        <v>0</v>
      </c>
      <c r="L163" s="196" t="b">
        <f>IF(Verso!$B$25=Avantages!$A163,TRUE,FALSE)</f>
        <v>0</v>
      </c>
      <c r="M163" s="196" t="b">
        <f>IF(Verso!$B$26=Avantages!$A163,TRUE,FALSE)</f>
        <v>0</v>
      </c>
      <c r="N163" s="196" t="b">
        <f t="shared" si="10"/>
        <v>0</v>
      </c>
      <c r="P163" s="196">
        <f t="shared" si="11"/>
        <v>163</v>
      </c>
      <c r="Q163" s="196">
        <f t="shared" si="12"/>
        <v>269</v>
      </c>
      <c r="R163" s="578" t="str">
        <f t="shared" si="13"/>
        <v>Risque-Tout</v>
      </c>
    </row>
    <row r="164" spans="1:18" x14ac:dyDescent="0.25">
      <c r="A164" s="186" t="s">
        <v>4052</v>
      </c>
      <c r="B164" s="186" t="s">
        <v>4052</v>
      </c>
      <c r="C164" s="4" t="s">
        <v>67</v>
      </c>
      <c r="D164" s="183">
        <v>10</v>
      </c>
      <c r="E164" s="4" t="s">
        <v>3</v>
      </c>
      <c r="F164" s="17">
        <v>151</v>
      </c>
      <c r="G164" s="163" t="s">
        <v>4053</v>
      </c>
      <c r="I164" s="196" t="b">
        <f>IF(Verso!$B$22=Avantages!$A164,TRUE,FALSE)</f>
        <v>0</v>
      </c>
      <c r="J164" s="196" t="b">
        <f>IF(Verso!$B$23=Avantages!$A164,TRUE,FALSE)</f>
        <v>0</v>
      </c>
      <c r="K164" s="196" t="b">
        <f>IF(Verso!$B$24=Avantages!$A164,TRUE,FALSE)</f>
        <v>0</v>
      </c>
      <c r="L164" s="196" t="b">
        <f>IF(Verso!$B$25=Avantages!$A164,TRUE,FALSE)</f>
        <v>0</v>
      </c>
      <c r="M164" s="196" t="b">
        <f>IF(Verso!$B$26=Avantages!$A164,TRUE,FALSE)</f>
        <v>0</v>
      </c>
      <c r="N164" s="196" t="b">
        <f t="shared" si="10"/>
        <v>0</v>
      </c>
      <c r="P164" s="196">
        <f t="shared" si="11"/>
        <v>164</v>
      </c>
      <c r="Q164" s="196">
        <f t="shared" si="12"/>
        <v>270</v>
      </c>
      <c r="R164" s="578" t="str">
        <f t="shared" si="13"/>
        <v>Sacrosaint</v>
      </c>
    </row>
    <row r="165" spans="1:18" x14ac:dyDescent="0.25">
      <c r="A165" s="186" t="s">
        <v>1125</v>
      </c>
      <c r="B165" s="186" t="s">
        <v>1125</v>
      </c>
      <c r="C165" s="4" t="s">
        <v>67</v>
      </c>
      <c r="D165" s="183">
        <v>6</v>
      </c>
      <c r="E165" s="4" t="s">
        <v>3</v>
      </c>
      <c r="F165" s="17">
        <v>151</v>
      </c>
      <c r="G165" s="163" t="s">
        <v>1122</v>
      </c>
      <c r="I165" s="196" t="b">
        <f>IF(Verso!$B$22=Avantages!$A165,TRUE,FALSE)</f>
        <v>0</v>
      </c>
      <c r="J165" s="196" t="b">
        <f>IF(Verso!$B$23=Avantages!$A165,TRUE,FALSE)</f>
        <v>0</v>
      </c>
      <c r="K165" s="196" t="b">
        <f>IF(Verso!$B$24=Avantages!$A165,TRUE,FALSE)</f>
        <v>0</v>
      </c>
      <c r="L165" s="196" t="b">
        <f>IF(Verso!$B$25=Avantages!$A165,TRUE,FALSE)</f>
        <v>0</v>
      </c>
      <c r="M165" s="196" t="b">
        <f>IF(Verso!$B$26=Avantages!$A165,TRUE,FALSE)</f>
        <v>0</v>
      </c>
      <c r="N165" s="196" t="b">
        <f t="shared" si="10"/>
        <v>0</v>
      </c>
      <c r="P165" s="196">
        <f t="shared" si="11"/>
        <v>165</v>
      </c>
      <c r="Q165" s="196">
        <f t="shared" si="12"/>
        <v>271</v>
      </c>
      <c r="R165" s="578" t="str">
        <f t="shared" si="13"/>
        <v>Sage</v>
      </c>
    </row>
    <row r="166" spans="1:18" x14ac:dyDescent="0.25">
      <c r="A166" s="186" t="s">
        <v>1123</v>
      </c>
      <c r="B166" s="186" t="s">
        <v>1123</v>
      </c>
      <c r="C166" s="4" t="s">
        <v>67</v>
      </c>
      <c r="D166" s="183">
        <v>2</v>
      </c>
      <c r="E166" s="4" t="s">
        <v>3</v>
      </c>
      <c r="F166" s="17">
        <v>151</v>
      </c>
      <c r="G166" s="163" t="s">
        <v>1121</v>
      </c>
      <c r="I166" s="196" t="b">
        <f>IF(Verso!$B$22=Avantages!$A166,TRUE,FALSE)</f>
        <v>0</v>
      </c>
      <c r="J166" s="196" t="b">
        <f>IF(Verso!$B$23=Avantages!$A166,TRUE,FALSE)</f>
        <v>0</v>
      </c>
      <c r="K166" s="196" t="b">
        <f>IF(Verso!$B$24=Avantages!$A166,TRUE,FALSE)</f>
        <v>0</v>
      </c>
      <c r="L166" s="196" t="b">
        <f>IF(Verso!$B$25=Avantages!$A166,TRUE,FALSE)</f>
        <v>0</v>
      </c>
      <c r="M166" s="196" t="b">
        <f>IF(Verso!$B$26=Avantages!$A166,TRUE,FALSE)</f>
        <v>0</v>
      </c>
      <c r="N166" s="196" t="b">
        <f t="shared" si="10"/>
        <v>0</v>
      </c>
      <c r="P166" s="196">
        <f t="shared" si="11"/>
        <v>166</v>
      </c>
      <c r="Q166" s="196">
        <f t="shared" si="12"/>
        <v>273</v>
      </c>
      <c r="R166" s="578" t="str">
        <f t="shared" si="13"/>
        <v>Sang d'Osano-Wo</v>
      </c>
    </row>
    <row r="167" spans="1:18" x14ac:dyDescent="0.25">
      <c r="A167" s="186" t="s">
        <v>1124</v>
      </c>
      <c r="B167" s="186" t="s">
        <v>1124</v>
      </c>
      <c r="C167" s="4" t="s">
        <v>67</v>
      </c>
      <c r="D167" s="183">
        <v>4</v>
      </c>
      <c r="E167" s="4" t="s">
        <v>3</v>
      </c>
      <c r="F167" s="17">
        <v>151</v>
      </c>
      <c r="G167" s="163" t="s">
        <v>1120</v>
      </c>
      <c r="I167" s="196" t="b">
        <f>IF(Verso!$B$22=Avantages!$A167,TRUE,FALSE)</f>
        <v>0</v>
      </c>
      <c r="J167" s="196" t="b">
        <f>IF(Verso!$B$23=Avantages!$A167,TRUE,FALSE)</f>
        <v>0</v>
      </c>
      <c r="K167" s="196" t="b">
        <f>IF(Verso!$B$24=Avantages!$A167,TRUE,FALSE)</f>
        <v>0</v>
      </c>
      <c r="L167" s="196" t="b">
        <f>IF(Verso!$B$25=Avantages!$A167,TRUE,FALSE)</f>
        <v>0</v>
      </c>
      <c r="M167" s="196" t="b">
        <f>IF(Verso!$B$26=Avantages!$A167,TRUE,FALSE)</f>
        <v>0</v>
      </c>
      <c r="N167" s="196" t="b">
        <f t="shared" si="10"/>
        <v>0</v>
      </c>
      <c r="P167" s="196">
        <f t="shared" si="11"/>
        <v>167</v>
      </c>
      <c r="Q167" s="196">
        <f t="shared" si="12"/>
        <v>276</v>
      </c>
      <c r="R167" s="578" t="str">
        <f t="shared" si="13"/>
        <v>Savoir Interdit: Gozuku</v>
      </c>
    </row>
    <row r="168" spans="1:18" x14ac:dyDescent="0.25">
      <c r="A168" s="186" t="s">
        <v>671</v>
      </c>
      <c r="B168" s="186" t="s">
        <v>671</v>
      </c>
      <c r="C168" s="4" t="s">
        <v>629</v>
      </c>
      <c r="D168" s="183">
        <f>IF(OR(Recto!W3="M",Clan="Dragon"),5,6)</f>
        <v>6</v>
      </c>
      <c r="E168" s="4" t="s">
        <v>3</v>
      </c>
      <c r="F168" s="17">
        <v>151</v>
      </c>
      <c r="G168" s="163" t="s">
        <v>72</v>
      </c>
      <c r="I168" s="196" t="b">
        <f>IF(Verso!$B$22=Avantages!$A168,TRUE,FALSE)</f>
        <v>0</v>
      </c>
      <c r="J168" s="196" t="b">
        <f>IF(Verso!$B$23=Avantages!$A168,TRUE,FALSE)</f>
        <v>0</v>
      </c>
      <c r="K168" s="196" t="b">
        <f>IF(Verso!$B$24=Avantages!$A168,TRUE,FALSE)</f>
        <v>0</v>
      </c>
      <c r="L168" s="196" t="b">
        <f>IF(Verso!$B$25=Avantages!$A168,TRUE,FALSE)</f>
        <v>0</v>
      </c>
      <c r="M168" s="196" t="b">
        <f>IF(Verso!$B$26=Avantages!$A168,TRUE,FALSE)</f>
        <v>0</v>
      </c>
      <c r="N168" s="196" t="b">
        <f t="shared" si="10"/>
        <v>0</v>
      </c>
      <c r="P168" s="196">
        <f t="shared" si="11"/>
        <v>168</v>
      </c>
      <c r="Q168" s="196">
        <f t="shared" si="12"/>
        <v>277</v>
      </c>
      <c r="R168" s="578" t="str">
        <f t="shared" si="13"/>
        <v>Savoir Interdit: Kolat</v>
      </c>
    </row>
    <row r="169" spans="1:18" x14ac:dyDescent="0.25">
      <c r="A169" s="186" t="s">
        <v>672</v>
      </c>
      <c r="B169" s="186" t="s">
        <v>672</v>
      </c>
      <c r="C169" s="4" t="s">
        <v>65</v>
      </c>
      <c r="D169" s="183">
        <f>IF(OR(Recto!W3="N",Clan="Araignée",Clan="Scorpion"),2,3)</f>
        <v>3</v>
      </c>
      <c r="E169" s="4" t="s">
        <v>3</v>
      </c>
      <c r="F169" s="17">
        <v>151</v>
      </c>
      <c r="G169" s="163" t="s">
        <v>1104</v>
      </c>
      <c r="I169" s="196" t="b">
        <f>IF(Verso!$B$22=Avantages!$A169,TRUE,FALSE)</f>
        <v>0</v>
      </c>
      <c r="J169" s="196" t="b">
        <f>IF(Verso!$B$23=Avantages!$A169,TRUE,FALSE)</f>
        <v>0</v>
      </c>
      <c r="K169" s="196" t="b">
        <f>IF(Verso!$B$24=Avantages!$A169,TRUE,FALSE)</f>
        <v>0</v>
      </c>
      <c r="L169" s="196" t="b">
        <f>IF(Verso!$B$25=Avantages!$A169,TRUE,FALSE)</f>
        <v>0</v>
      </c>
      <c r="M169" s="196" t="b">
        <f>IF(Verso!$B$26=Avantages!$A169,TRUE,FALSE)</f>
        <v>0</v>
      </c>
      <c r="N169" s="196" t="b">
        <f t="shared" si="10"/>
        <v>0</v>
      </c>
      <c r="P169" s="196">
        <f t="shared" si="11"/>
        <v>169</v>
      </c>
      <c r="Q169" s="196">
        <f t="shared" si="12"/>
        <v>278</v>
      </c>
      <c r="R169" s="578" t="str">
        <f t="shared" si="13"/>
        <v>Savoir Interdit: Maho</v>
      </c>
    </row>
    <row r="170" spans="1:18" x14ac:dyDescent="0.25">
      <c r="A170" s="186" t="s">
        <v>673</v>
      </c>
      <c r="B170" s="186" t="s">
        <v>673</v>
      </c>
      <c r="C170" s="4" t="s">
        <v>65</v>
      </c>
      <c r="D170" s="183">
        <f>IF(Clan="Imperial",1,2)</f>
        <v>2</v>
      </c>
      <c r="E170" s="4" t="s">
        <v>3</v>
      </c>
      <c r="F170" s="17">
        <v>151</v>
      </c>
      <c r="G170" s="163" t="s">
        <v>869</v>
      </c>
      <c r="I170" s="196" t="b">
        <f>IF(Verso!$B$22=Avantages!$A170,TRUE,FALSE)</f>
        <v>0</v>
      </c>
      <c r="J170" s="196" t="b">
        <f>IF(Verso!$B$23=Avantages!$A170,TRUE,FALSE)</f>
        <v>0</v>
      </c>
      <c r="K170" s="196" t="b">
        <f>IF(Verso!$B$24=Avantages!$A170,TRUE,FALSE)</f>
        <v>0</v>
      </c>
      <c r="L170" s="196" t="b">
        <f>IF(Verso!$B$25=Avantages!$A170,TRUE,FALSE)</f>
        <v>0</v>
      </c>
      <c r="M170" s="196" t="b">
        <f>IF(Verso!$B$26=Avantages!$A170,TRUE,FALSE)</f>
        <v>0</v>
      </c>
      <c r="N170" s="196" t="b">
        <f t="shared" si="10"/>
        <v>0</v>
      </c>
      <c r="P170" s="196">
        <f t="shared" si="11"/>
        <v>170</v>
      </c>
      <c r="Q170" s="196">
        <f t="shared" si="12"/>
        <v>279</v>
      </c>
      <c r="R170" s="578" t="str">
        <f t="shared" si="13"/>
        <v>Savoir Interdit: Ombre Rampante</v>
      </c>
    </row>
    <row r="171" spans="1:18" x14ac:dyDescent="0.25">
      <c r="A171" s="186" t="s">
        <v>79</v>
      </c>
      <c r="B171" s="186" t="s">
        <v>79</v>
      </c>
      <c r="C171" s="4" t="s">
        <v>629</v>
      </c>
      <c r="D171" s="183">
        <f>IF(Clan="Phénix",6,8)</f>
        <v>8</v>
      </c>
      <c r="E171" s="4" t="s">
        <v>3</v>
      </c>
      <c r="F171" s="17">
        <v>151</v>
      </c>
      <c r="G171" s="163" t="s">
        <v>80</v>
      </c>
      <c r="I171" s="196" t="b">
        <f>IF(Verso!$B$22=Avantages!$A171,TRUE,FALSE)</f>
        <v>0</v>
      </c>
      <c r="J171" s="196" t="b">
        <f>IF(Verso!$B$23=Avantages!$A171,TRUE,FALSE)</f>
        <v>0</v>
      </c>
      <c r="K171" s="196" t="b">
        <f>IF(Verso!$B$24=Avantages!$A171,TRUE,FALSE)</f>
        <v>0</v>
      </c>
      <c r="L171" s="196" t="b">
        <f>IF(Verso!$B$25=Avantages!$A171,TRUE,FALSE)</f>
        <v>0</v>
      </c>
      <c r="M171" s="196" t="b">
        <f>IF(Verso!$B$26=Avantages!$A171,TRUE,FALSE)</f>
        <v>0</v>
      </c>
      <c r="N171" s="196" t="b">
        <f t="shared" ref="N171:N187" si="14">IF(OR(I171=TRUE,J171=TRUE,K171=TRUE,L171=TRUE,M171=TRUE),TRUE,FALSE)</f>
        <v>0</v>
      </c>
      <c r="P171" s="196">
        <f t="shared" si="11"/>
        <v>171</v>
      </c>
      <c r="Q171" s="196">
        <f t="shared" si="12"/>
        <v>280</v>
      </c>
      <c r="R171" s="578" t="str">
        <f t="shared" si="13"/>
        <v>Savoir Interdit: Poivre Gaijin</v>
      </c>
    </row>
    <row r="172" spans="1:18" x14ac:dyDescent="0.25">
      <c r="A172" s="186" t="s">
        <v>674</v>
      </c>
      <c r="B172" s="186" t="s">
        <v>674</v>
      </c>
      <c r="C172" s="4" t="s">
        <v>68</v>
      </c>
      <c r="D172" s="183">
        <v>5</v>
      </c>
      <c r="E172" s="4" t="s">
        <v>3</v>
      </c>
      <c r="F172" s="17">
        <v>151</v>
      </c>
      <c r="G172" s="163" t="s">
        <v>1105</v>
      </c>
      <c r="I172" s="196" t="b">
        <f>IF(Verso!$B$22=Avantages!$A172,TRUE,FALSE)</f>
        <v>0</v>
      </c>
      <c r="J172" s="196" t="b">
        <f>IF(Verso!$B$23=Avantages!$A172,TRUE,FALSE)</f>
        <v>0</v>
      </c>
      <c r="K172" s="196" t="b">
        <f>IF(Verso!$B$24=Avantages!$A172,TRUE,FALSE)</f>
        <v>0</v>
      </c>
      <c r="L172" s="196" t="b">
        <f>IF(Verso!$B$25=Avantages!$A172,TRUE,FALSE)</f>
        <v>0</v>
      </c>
      <c r="M172" s="196" t="b">
        <f>IF(Verso!$B$26=Avantages!$A172,TRUE,FALSE)</f>
        <v>0</v>
      </c>
      <c r="N172" s="196" t="b">
        <f t="shared" si="14"/>
        <v>0</v>
      </c>
      <c r="P172" s="196">
        <f t="shared" si="11"/>
        <v>172</v>
      </c>
      <c r="Q172" s="196">
        <f t="shared" si="12"/>
        <v>281</v>
      </c>
      <c r="R172" s="578" t="str">
        <f t="shared" si="13"/>
        <v>Savoir Interdit: Véritable Histoire de l'Empire</v>
      </c>
    </row>
    <row r="173" spans="1:18" x14ac:dyDescent="0.25">
      <c r="A173" s="186" t="s">
        <v>677</v>
      </c>
      <c r="B173" s="186" t="s">
        <v>677</v>
      </c>
      <c r="C173" s="4" t="s">
        <v>629</v>
      </c>
      <c r="D173" s="183">
        <v>5</v>
      </c>
      <c r="E173" s="4" t="s">
        <v>3</v>
      </c>
      <c r="F173" s="17">
        <v>151</v>
      </c>
      <c r="G173" s="163" t="s">
        <v>1106</v>
      </c>
      <c r="I173" s="196" t="b">
        <f>IF(Verso!$B$22=Avantages!$A173,TRUE,FALSE)</f>
        <v>0</v>
      </c>
      <c r="J173" s="196" t="b">
        <f>IF(Verso!$B$23=Avantages!$A173,TRUE,FALSE)</f>
        <v>0</v>
      </c>
      <c r="K173" s="196" t="b">
        <f>IF(Verso!$B$24=Avantages!$A173,TRUE,FALSE)</f>
        <v>0</v>
      </c>
      <c r="L173" s="196" t="b">
        <f>IF(Verso!$B$25=Avantages!$A173,TRUE,FALSE)</f>
        <v>0</v>
      </c>
      <c r="M173" s="196" t="b">
        <f>IF(Verso!$B$26=Avantages!$A173,TRUE,FALSE)</f>
        <v>0</v>
      </c>
      <c r="N173" s="196" t="b">
        <f t="shared" si="14"/>
        <v>0</v>
      </c>
      <c r="P173" s="196">
        <f t="shared" si="11"/>
        <v>173</v>
      </c>
      <c r="Q173" s="196">
        <f t="shared" si="12"/>
        <v>282</v>
      </c>
      <c r="R173" s="578" t="str">
        <f t="shared" si="13"/>
        <v>Scribe Impérial</v>
      </c>
    </row>
    <row r="174" spans="1:18" s="196" customFormat="1" x14ac:dyDescent="0.25">
      <c r="A174" s="186" t="s">
        <v>6207</v>
      </c>
      <c r="B174" s="186"/>
      <c r="C174" s="4" t="s">
        <v>67</v>
      </c>
      <c r="D174" s="183">
        <f>IF(Clan="Araignée",4,5)</f>
        <v>5</v>
      </c>
      <c r="E174" s="4" t="s">
        <v>3</v>
      </c>
      <c r="F174" s="17">
        <v>150</v>
      </c>
      <c r="G174" s="270" t="s">
        <v>6208</v>
      </c>
      <c r="I174" s="196" t="b">
        <f>IF(Verso!$B$22=Avantages!$A174,TRUE,FALSE)</f>
        <v>0</v>
      </c>
      <c r="J174" s="196" t="b">
        <f>IF(Verso!$B$23=Avantages!$A174,TRUE,FALSE)</f>
        <v>0</v>
      </c>
      <c r="K174" s="196" t="b">
        <f>IF(Verso!$B$24=Avantages!$A174,TRUE,FALSE)</f>
        <v>0</v>
      </c>
      <c r="L174" s="196" t="b">
        <f>IF(Verso!$B$25=Avantages!$A174,TRUE,FALSE)</f>
        <v>0</v>
      </c>
      <c r="M174" s="196" t="b">
        <f>IF(Verso!$B$26=Avantages!$A174,TRUE,FALSE)</f>
        <v>0</v>
      </c>
      <c r="N174" s="196" t="b">
        <f t="shared" si="14"/>
        <v>0</v>
      </c>
      <c r="O174" s="295"/>
      <c r="P174" s="196" t="str">
        <f t="shared" si="11"/>
        <v/>
      </c>
      <c r="Q174" s="196">
        <f t="shared" si="12"/>
        <v>283</v>
      </c>
      <c r="R174" s="578" t="str">
        <f t="shared" si="13"/>
        <v>Sens de l'orientation</v>
      </c>
    </row>
    <row r="175" spans="1:18" x14ac:dyDescent="0.25">
      <c r="A175" s="186" t="s">
        <v>4512</v>
      </c>
      <c r="B175" s="186" t="s">
        <v>4512</v>
      </c>
      <c r="C175" s="4" t="s">
        <v>67</v>
      </c>
      <c r="D175" s="183">
        <v>10</v>
      </c>
      <c r="E175" s="4" t="s">
        <v>5770</v>
      </c>
      <c r="F175" s="17">
        <v>279</v>
      </c>
      <c r="G175" s="270" t="s">
        <v>5774</v>
      </c>
      <c r="I175" s="196" t="b">
        <f>IF(Verso!$B$22=Avantages!$A175,TRUE,FALSE)</f>
        <v>0</v>
      </c>
      <c r="J175" s="196" t="b">
        <f>IF(Verso!$B$23=Avantages!$A175,TRUE,FALSE)</f>
        <v>0</v>
      </c>
      <c r="K175" s="196" t="b">
        <f>IF(Verso!$B$24=Avantages!$A175,TRUE,FALSE)</f>
        <v>0</v>
      </c>
      <c r="L175" s="196" t="b">
        <f>IF(Verso!$B$25=Avantages!$A175,TRUE,FALSE)</f>
        <v>0</v>
      </c>
      <c r="M175" s="196" t="b">
        <f>IF(Verso!$B$26=Avantages!$A175,TRUE,FALSE)</f>
        <v>0</v>
      </c>
      <c r="N175" s="196" t="b">
        <f t="shared" si="14"/>
        <v>0</v>
      </c>
      <c r="P175" s="196">
        <f t="shared" si="11"/>
        <v>175</v>
      </c>
      <c r="Q175" s="196">
        <f t="shared" si="12"/>
        <v>284</v>
      </c>
      <c r="R175" s="578" t="str">
        <f t="shared" si="13"/>
        <v>Sensation</v>
      </c>
    </row>
    <row r="176" spans="1:18" s="196" customFormat="1" x14ac:dyDescent="0.25">
      <c r="A176" s="186" t="s">
        <v>7509</v>
      </c>
      <c r="B176" s="186" t="str">
        <f>IF(Contexte_jeu&lt;&gt;"L'Empire Stellaire d'Emeraude","",IF(Recto!$C$3=H176,CONCATENATE(A176),""))</f>
        <v/>
      </c>
      <c r="C176" s="4" t="s">
        <v>65</v>
      </c>
      <c r="D176" s="183">
        <v>3</v>
      </c>
      <c r="E176" s="4" t="s">
        <v>7453</v>
      </c>
      <c r="F176" s="17">
        <v>91</v>
      </c>
      <c r="G176" s="163" t="s">
        <v>7510</v>
      </c>
      <c r="I176" s="196" t="b">
        <f>IF(Verso!$B$22=Avantages!$A176,TRUE,FALSE)</f>
        <v>0</v>
      </c>
      <c r="J176" s="196" t="b">
        <f>IF(Verso!$B$23=Avantages!$A176,TRUE,FALSE)</f>
        <v>0</v>
      </c>
      <c r="K176" s="196" t="b">
        <f>IF(Verso!$B$24=Avantages!$A176,TRUE,FALSE)</f>
        <v>0</v>
      </c>
      <c r="L176" s="196" t="b">
        <f>IF(Verso!$B$25=Avantages!$A176,TRUE,FALSE)</f>
        <v>0</v>
      </c>
      <c r="M176" s="196" t="b">
        <f>IF(Verso!$B$26=Avantages!$A176,TRUE,FALSE)</f>
        <v>0</v>
      </c>
      <c r="N176" s="196" t="b">
        <f t="shared" si="14"/>
        <v>0</v>
      </c>
      <c r="O176" s="295"/>
      <c r="P176" s="196" t="str">
        <f t="shared" si="11"/>
        <v/>
      </c>
      <c r="Q176" s="196">
        <f t="shared" si="12"/>
        <v>285</v>
      </c>
      <c r="R176" s="578" t="str">
        <f t="shared" si="13"/>
        <v>Serviteur: Artisan</v>
      </c>
    </row>
    <row r="177" spans="1:18" s="196" customFormat="1" x14ac:dyDescent="0.25">
      <c r="A177" s="186" t="s">
        <v>7511</v>
      </c>
      <c r="B177" s="186" t="str">
        <f>IF(Contexte_jeu&lt;&gt;"L'Empire Stellaire d'Emeraude","",IF(Recto!$C$3=H177,CONCATENATE(A177),""))</f>
        <v/>
      </c>
      <c r="C177" s="4" t="s">
        <v>65</v>
      </c>
      <c r="D177" s="183">
        <v>3</v>
      </c>
      <c r="E177" s="4" t="s">
        <v>7453</v>
      </c>
      <c r="F177" s="17">
        <v>91</v>
      </c>
      <c r="G177" s="163" t="s">
        <v>7512</v>
      </c>
      <c r="I177" s="196" t="b">
        <f>IF(Verso!$B$22=Avantages!$A177,TRUE,FALSE)</f>
        <v>0</v>
      </c>
      <c r="J177" s="196" t="b">
        <f>IF(Verso!$B$23=Avantages!$A177,TRUE,FALSE)</f>
        <v>0</v>
      </c>
      <c r="K177" s="196" t="b">
        <f>IF(Verso!$B$24=Avantages!$A177,TRUE,FALSE)</f>
        <v>0</v>
      </c>
      <c r="L177" s="196" t="b">
        <f>IF(Verso!$B$25=Avantages!$A177,TRUE,FALSE)</f>
        <v>0</v>
      </c>
      <c r="M177" s="196" t="b">
        <f>IF(Verso!$B$26=Avantages!$A177,TRUE,FALSE)</f>
        <v>0</v>
      </c>
      <c r="N177" s="196" t="b">
        <f t="shared" si="14"/>
        <v>0</v>
      </c>
      <c r="O177" s="295"/>
      <c r="P177" s="196" t="str">
        <f t="shared" si="11"/>
        <v/>
      </c>
      <c r="Q177" s="196">
        <f t="shared" si="12"/>
        <v>286</v>
      </c>
      <c r="R177" s="578" t="str">
        <f t="shared" si="13"/>
        <v>Serviteur: Artiste</v>
      </c>
    </row>
    <row r="178" spans="1:18" x14ac:dyDescent="0.25">
      <c r="A178" s="186" t="s">
        <v>1117</v>
      </c>
      <c r="B178" s="186" t="s">
        <v>1117</v>
      </c>
      <c r="C178" s="4" t="s">
        <v>65</v>
      </c>
      <c r="D178" s="183">
        <v>3</v>
      </c>
      <c r="E178" s="4" t="s">
        <v>3</v>
      </c>
      <c r="F178" s="17">
        <v>151</v>
      </c>
      <c r="G178" s="163" t="s">
        <v>1118</v>
      </c>
      <c r="I178" s="196" t="b">
        <f>IF(Verso!$B$22=Avantages!$A178,TRUE,FALSE)</f>
        <v>0</v>
      </c>
      <c r="J178" s="196" t="b">
        <f>IF(Verso!$B$23=Avantages!$A178,TRUE,FALSE)</f>
        <v>0</v>
      </c>
      <c r="K178" s="196" t="b">
        <f>IF(Verso!$B$24=Avantages!$A178,TRUE,FALSE)</f>
        <v>0</v>
      </c>
      <c r="L178" s="196" t="b">
        <f>IF(Verso!$B$25=Avantages!$A178,TRUE,FALSE)</f>
        <v>0</v>
      </c>
      <c r="M178" s="196" t="b">
        <f>IF(Verso!$B$26=Avantages!$A178,TRUE,FALSE)</f>
        <v>0</v>
      </c>
      <c r="N178" s="196" t="b">
        <f t="shared" si="14"/>
        <v>0</v>
      </c>
      <c r="P178" s="196">
        <f t="shared" si="11"/>
        <v>178</v>
      </c>
      <c r="Q178" s="196">
        <f t="shared" si="12"/>
        <v>287</v>
      </c>
      <c r="R178" s="578" t="str">
        <f t="shared" si="13"/>
        <v>Serviteur: Budoka</v>
      </c>
    </row>
    <row r="179" spans="1:18" x14ac:dyDescent="0.25">
      <c r="A179" s="186" t="s">
        <v>1116</v>
      </c>
      <c r="B179" s="186" t="s">
        <v>1116</v>
      </c>
      <c r="C179" s="4" t="s">
        <v>65</v>
      </c>
      <c r="D179" s="183">
        <v>3</v>
      </c>
      <c r="E179" s="4" t="s">
        <v>3</v>
      </c>
      <c r="F179" s="17">
        <v>151</v>
      </c>
      <c r="G179" s="163" t="s">
        <v>1119</v>
      </c>
      <c r="I179" s="196" t="b">
        <f>IF(Verso!$B$22=Avantages!$A179,TRUE,FALSE)</f>
        <v>0</v>
      </c>
      <c r="J179" s="196" t="b">
        <f>IF(Verso!$B$23=Avantages!$A179,TRUE,FALSE)</f>
        <v>0</v>
      </c>
      <c r="K179" s="196" t="b">
        <f>IF(Verso!$B$24=Avantages!$A179,TRUE,FALSE)</f>
        <v>0</v>
      </c>
      <c r="L179" s="196" t="b">
        <f>IF(Verso!$B$25=Avantages!$A179,TRUE,FALSE)</f>
        <v>0</v>
      </c>
      <c r="M179" s="196" t="b">
        <f>IF(Verso!$B$26=Avantages!$A179,TRUE,FALSE)</f>
        <v>0</v>
      </c>
      <c r="N179" s="196" t="b">
        <f t="shared" si="14"/>
        <v>0</v>
      </c>
      <c r="P179" s="196">
        <f t="shared" si="11"/>
        <v>179</v>
      </c>
      <c r="Q179" s="196">
        <f t="shared" si="12"/>
        <v>288</v>
      </c>
      <c r="R179" s="578" t="str">
        <f t="shared" si="13"/>
        <v>Serviteur: Domestique</v>
      </c>
    </row>
    <row r="180" spans="1:18" s="196" customFormat="1" x14ac:dyDescent="0.25">
      <c r="A180" s="186" t="s">
        <v>7513</v>
      </c>
      <c r="B180" s="186" t="str">
        <f>IF(Contexte_jeu&lt;&gt;"L'Empire Stellaire d'Emeraude","",IF(Recto!$C$3=H180,CONCATENATE(A180),""))</f>
        <v/>
      </c>
      <c r="C180" s="4" t="s">
        <v>65</v>
      </c>
      <c r="D180" s="183">
        <v>3</v>
      </c>
      <c r="E180" s="4" t="s">
        <v>7453</v>
      </c>
      <c r="F180" s="17">
        <v>91</v>
      </c>
      <c r="G180" s="163" t="s">
        <v>7514</v>
      </c>
      <c r="I180" s="196" t="b">
        <f>IF(Verso!$B$22=Avantages!$A180,TRUE,FALSE)</f>
        <v>0</v>
      </c>
      <c r="J180" s="196" t="b">
        <f>IF(Verso!$B$23=Avantages!$A180,TRUE,FALSE)</f>
        <v>0</v>
      </c>
      <c r="K180" s="196" t="b">
        <f>IF(Verso!$B$24=Avantages!$A180,TRUE,FALSE)</f>
        <v>0</v>
      </c>
      <c r="L180" s="196" t="b">
        <f>IF(Verso!$B$25=Avantages!$A180,TRUE,FALSE)</f>
        <v>0</v>
      </c>
      <c r="M180" s="196" t="b">
        <f>IF(Verso!$B$26=Avantages!$A180,TRUE,FALSE)</f>
        <v>0</v>
      </c>
      <c r="N180" s="196" t="b">
        <f t="shared" si="14"/>
        <v>0</v>
      </c>
      <c r="O180" s="295"/>
      <c r="P180" s="196" t="str">
        <f t="shared" si="11"/>
        <v/>
      </c>
      <c r="Q180" s="196">
        <f t="shared" si="12"/>
        <v>289</v>
      </c>
      <c r="R180" s="578" t="str">
        <f t="shared" si="13"/>
        <v>Serviteur: Domestique eta</v>
      </c>
    </row>
    <row r="181" spans="1:18" s="196" customFormat="1" x14ac:dyDescent="0.25">
      <c r="A181" s="186" t="s">
        <v>7515</v>
      </c>
      <c r="B181" s="186" t="str">
        <f>IF(Contexte_jeu&lt;&gt;"L'Empire Stellaire d'Emeraude","",IF(Recto!$C$3=H181,CONCATENATE(A181),""))</f>
        <v/>
      </c>
      <c r="C181" s="4" t="s">
        <v>65</v>
      </c>
      <c r="D181" s="183">
        <v>3</v>
      </c>
      <c r="E181" s="4" t="s">
        <v>7453</v>
      </c>
      <c r="F181" s="17">
        <v>91</v>
      </c>
      <c r="G181" s="163" t="s">
        <v>7516</v>
      </c>
      <c r="I181" s="196" t="b">
        <f>IF(Verso!$B$22=Avantages!$A181,TRUE,FALSE)</f>
        <v>0</v>
      </c>
      <c r="J181" s="196" t="b">
        <f>IF(Verso!$B$23=Avantages!$A181,TRUE,FALSE)</f>
        <v>0</v>
      </c>
      <c r="K181" s="196" t="b">
        <f>IF(Verso!$B$24=Avantages!$A181,TRUE,FALSE)</f>
        <v>0</v>
      </c>
      <c r="L181" s="196" t="b">
        <f>IF(Verso!$B$25=Avantages!$A181,TRUE,FALSE)</f>
        <v>0</v>
      </c>
      <c r="M181" s="196" t="b">
        <f>IF(Verso!$B$26=Avantages!$A181,TRUE,FALSE)</f>
        <v>0</v>
      </c>
      <c r="N181" s="196" t="b">
        <f t="shared" si="14"/>
        <v>0</v>
      </c>
      <c r="O181" s="295"/>
      <c r="P181" s="196" t="str">
        <f t="shared" si="11"/>
        <v/>
      </c>
      <c r="Q181" s="196">
        <f t="shared" si="12"/>
        <v>290</v>
      </c>
      <c r="R181" s="578" t="str">
        <f t="shared" si="13"/>
        <v>Serviteur: Marchand</v>
      </c>
    </row>
    <row r="182" spans="1:18" x14ac:dyDescent="0.25">
      <c r="A182" s="186" t="s">
        <v>1112</v>
      </c>
      <c r="B182" s="186" t="s">
        <v>1112</v>
      </c>
      <c r="C182" s="4" t="s">
        <v>65</v>
      </c>
      <c r="D182" s="183">
        <v>1</v>
      </c>
      <c r="E182" s="4" t="s">
        <v>3</v>
      </c>
      <c r="F182" s="17">
        <v>151</v>
      </c>
      <c r="G182" s="163" t="s">
        <v>1113</v>
      </c>
      <c r="I182" s="196" t="b">
        <f>IF(Verso!$B$22=Avantages!$A182,TRUE,FALSE)</f>
        <v>0</v>
      </c>
      <c r="J182" s="196" t="b">
        <f>IF(Verso!$B$23=Avantages!$A182,TRUE,FALSE)</f>
        <v>0</v>
      </c>
      <c r="K182" s="196" t="b">
        <f>IF(Verso!$B$24=Avantages!$A182,TRUE,FALSE)</f>
        <v>0</v>
      </c>
      <c r="L182" s="196" t="b">
        <f>IF(Verso!$B$25=Avantages!$A182,TRUE,FALSE)</f>
        <v>0</v>
      </c>
      <c r="M182" s="196" t="b">
        <f>IF(Verso!$B$26=Avantages!$A182,TRUE,FALSE)</f>
        <v>0</v>
      </c>
      <c r="N182" s="196" t="b">
        <f t="shared" si="14"/>
        <v>0</v>
      </c>
      <c r="P182" s="196">
        <f t="shared" si="11"/>
        <v>182</v>
      </c>
      <c r="Q182" s="196">
        <f t="shared" si="12"/>
        <v>291</v>
      </c>
      <c r="R182" s="578" t="str">
        <f t="shared" si="13"/>
        <v>Serviteur: Palefrenier</v>
      </c>
    </row>
    <row r="183" spans="1:18" x14ac:dyDescent="0.25">
      <c r="A183" s="186" t="s">
        <v>1114</v>
      </c>
      <c r="B183" s="186" t="s">
        <v>1114</v>
      </c>
      <c r="C183" s="4" t="s">
        <v>65</v>
      </c>
      <c r="D183" s="183">
        <v>1</v>
      </c>
      <c r="E183" s="4" t="s">
        <v>3</v>
      </c>
      <c r="F183" s="17">
        <v>151</v>
      </c>
      <c r="G183" s="163" t="s">
        <v>1115</v>
      </c>
      <c r="I183" s="196" t="b">
        <f>IF(Verso!$B$22=Avantages!$A183,TRUE,FALSE)</f>
        <v>0</v>
      </c>
      <c r="J183" s="196" t="b">
        <f>IF(Verso!$B$23=Avantages!$A183,TRUE,FALSE)</f>
        <v>0</v>
      </c>
      <c r="K183" s="196" t="b">
        <f>IF(Verso!$B$24=Avantages!$A183,TRUE,FALSE)</f>
        <v>0</v>
      </c>
      <c r="L183" s="196" t="b">
        <f>IF(Verso!$B$25=Avantages!$A183,TRUE,FALSE)</f>
        <v>0</v>
      </c>
      <c r="M183" s="196" t="b">
        <f>IF(Verso!$B$26=Avantages!$A183,TRUE,FALSE)</f>
        <v>0</v>
      </c>
      <c r="N183" s="196" t="b">
        <f t="shared" si="14"/>
        <v>0</v>
      </c>
      <c r="P183" s="196">
        <f t="shared" si="11"/>
        <v>183</v>
      </c>
      <c r="Q183" s="196">
        <f t="shared" si="12"/>
        <v>292</v>
      </c>
      <c r="R183" s="578" t="str">
        <f t="shared" si="13"/>
        <v>Serviteur: Scribe</v>
      </c>
    </row>
    <row r="184" spans="1:18" s="196" customFormat="1" x14ac:dyDescent="0.25">
      <c r="A184" s="186" t="s">
        <v>1108</v>
      </c>
      <c r="B184" s="186" t="s">
        <v>1108</v>
      </c>
      <c r="C184" s="4" t="s">
        <v>65</v>
      </c>
      <c r="D184" s="183">
        <v>1</v>
      </c>
      <c r="E184" s="4" t="s">
        <v>3</v>
      </c>
      <c r="F184" s="17">
        <v>151</v>
      </c>
      <c r="G184" s="163" t="s">
        <v>1109</v>
      </c>
      <c r="I184" s="196" t="b">
        <f>IF(Verso!$B$22=Avantages!$A184,TRUE,FALSE)</f>
        <v>0</v>
      </c>
      <c r="J184" s="196" t="b">
        <f>IF(Verso!$B$23=Avantages!$A184,TRUE,FALSE)</f>
        <v>0</v>
      </c>
      <c r="K184" s="196" t="b">
        <f>IF(Verso!$B$24=Avantages!$A184,TRUE,FALSE)</f>
        <v>0</v>
      </c>
      <c r="L184" s="196" t="b">
        <f>IF(Verso!$B$25=Avantages!$A184,TRUE,FALSE)</f>
        <v>0</v>
      </c>
      <c r="M184" s="196" t="b">
        <f>IF(Verso!$B$26=Avantages!$A184,TRUE,FALSE)</f>
        <v>0</v>
      </c>
      <c r="N184" s="196" t="b">
        <f t="shared" si="14"/>
        <v>0</v>
      </c>
      <c r="O184" s="295"/>
      <c r="P184" s="196">
        <f t="shared" si="11"/>
        <v>184</v>
      </c>
      <c r="Q184" s="196">
        <f t="shared" si="12"/>
        <v>293</v>
      </c>
      <c r="R184" s="578" t="str">
        <f t="shared" si="13"/>
        <v>Serviteur: Sohei</v>
      </c>
    </row>
    <row r="185" spans="1:18" s="196" customFormat="1" x14ac:dyDescent="0.25">
      <c r="A185" s="186" t="s">
        <v>1107</v>
      </c>
      <c r="B185" s="186" t="s">
        <v>1107</v>
      </c>
      <c r="C185" s="4" t="s">
        <v>65</v>
      </c>
      <c r="D185" s="183">
        <v>1</v>
      </c>
      <c r="E185" s="4" t="s">
        <v>3</v>
      </c>
      <c r="F185" s="17">
        <v>151</v>
      </c>
      <c r="G185" s="163" t="s">
        <v>9064</v>
      </c>
      <c r="I185" s="196" t="b">
        <f>IF(Verso!$B$22=Avantages!$A185,TRUE,FALSE)</f>
        <v>0</v>
      </c>
      <c r="J185" s="196" t="b">
        <f>IF(Verso!$B$23=Avantages!$A185,TRUE,FALSE)</f>
        <v>0</v>
      </c>
      <c r="K185" s="196" t="b">
        <f>IF(Verso!$B$24=Avantages!$A185,TRUE,FALSE)</f>
        <v>0</v>
      </c>
      <c r="L185" s="196" t="b">
        <f>IF(Verso!$B$25=Avantages!$A185,TRUE,FALSE)</f>
        <v>0</v>
      </c>
      <c r="M185" s="196" t="b">
        <f>IF(Verso!$B$26=Avantages!$A185,TRUE,FALSE)</f>
        <v>0</v>
      </c>
      <c r="N185" s="196" t="b">
        <f t="shared" si="14"/>
        <v>0</v>
      </c>
      <c r="O185" s="295"/>
      <c r="P185" s="196">
        <f t="shared" si="11"/>
        <v>185</v>
      </c>
      <c r="Q185" s="196">
        <f t="shared" si="12"/>
        <v>294</v>
      </c>
      <c r="R185" s="578" t="str">
        <f t="shared" si="13"/>
        <v>Silencieux</v>
      </c>
    </row>
    <row r="186" spans="1:18" x14ac:dyDescent="0.25">
      <c r="A186" s="186" t="s">
        <v>1110</v>
      </c>
      <c r="B186" s="186" t="s">
        <v>1110</v>
      </c>
      <c r="C186" s="4" t="s">
        <v>65</v>
      </c>
      <c r="D186" s="183">
        <v>1</v>
      </c>
      <c r="E186" s="4" t="s">
        <v>3</v>
      </c>
      <c r="F186" s="17">
        <v>151</v>
      </c>
      <c r="G186" s="163" t="s">
        <v>1111</v>
      </c>
      <c r="I186" s="196" t="b">
        <f>IF(Verso!$B$22=Avantages!$A186,TRUE,FALSE)</f>
        <v>0</v>
      </c>
      <c r="J186" s="196" t="b">
        <f>IF(Verso!$B$23=Avantages!$A186,TRUE,FALSE)</f>
        <v>0</v>
      </c>
      <c r="K186" s="196" t="b">
        <f>IF(Verso!$B$24=Avantages!$A186,TRUE,FALSE)</f>
        <v>0</v>
      </c>
      <c r="L186" s="196" t="b">
        <f>IF(Verso!$B$25=Avantages!$A186,TRUE,FALSE)</f>
        <v>0</v>
      </c>
      <c r="M186" s="196" t="b">
        <f>IF(Verso!$B$26=Avantages!$A186,TRUE,FALSE)</f>
        <v>0</v>
      </c>
      <c r="N186" s="196" t="b">
        <f t="shared" si="14"/>
        <v>0</v>
      </c>
      <c r="P186" s="196">
        <f t="shared" si="11"/>
        <v>186</v>
      </c>
      <c r="Q186" s="196">
        <f t="shared" si="12"/>
        <v>295</v>
      </c>
      <c r="R186" s="578" t="str">
        <f t="shared" si="13"/>
        <v>Soin de bataille</v>
      </c>
    </row>
    <row r="187" spans="1:18" s="196" customFormat="1" x14ac:dyDescent="0.25">
      <c r="A187" s="186" t="s">
        <v>7517</v>
      </c>
      <c r="B187" s="186" t="s">
        <v>7517</v>
      </c>
      <c r="C187" s="4" t="s">
        <v>65</v>
      </c>
      <c r="D187" s="183">
        <v>6</v>
      </c>
      <c r="E187" s="4" t="s">
        <v>7453</v>
      </c>
      <c r="F187" s="17">
        <v>91</v>
      </c>
      <c r="G187" s="163" t="s">
        <v>7518</v>
      </c>
      <c r="I187" s="196" t="b">
        <f>IF(Verso!$B$22=Avantages!$A187,TRUE,FALSE)</f>
        <v>0</v>
      </c>
      <c r="J187" s="196" t="b">
        <f>IF(Verso!$B$23=Avantages!$A187,TRUE,FALSE)</f>
        <v>0</v>
      </c>
      <c r="K187" s="196" t="b">
        <f>IF(Verso!$B$24=Avantages!$A187,TRUE,FALSE)</f>
        <v>0</v>
      </c>
      <c r="L187" s="196" t="b">
        <f>IF(Verso!$B$25=Avantages!$A187,TRUE,FALSE)</f>
        <v>0</v>
      </c>
      <c r="M187" s="196" t="b">
        <f>IF(Verso!$B$26=Avantages!$A187,TRUE,FALSE)</f>
        <v>0</v>
      </c>
      <c r="N187" s="196" t="b">
        <f t="shared" si="14"/>
        <v>0</v>
      </c>
      <c r="O187" s="295"/>
      <c r="P187" s="196">
        <f t="shared" si="11"/>
        <v>187</v>
      </c>
      <c r="Q187" s="196">
        <f t="shared" si="12"/>
        <v>296</v>
      </c>
      <c r="R187" s="578" t="str">
        <f t="shared" si="13"/>
        <v>Sombre Parangon: Compréhension</v>
      </c>
    </row>
    <row r="188" spans="1:18" x14ac:dyDescent="0.25">
      <c r="A188" s="186" t="s">
        <v>5769</v>
      </c>
      <c r="B188" s="186" t="s">
        <v>5769</v>
      </c>
      <c r="C188" s="4" t="s">
        <v>67</v>
      </c>
      <c r="D188" s="183">
        <v>5</v>
      </c>
      <c r="E188" s="4" t="s">
        <v>5770</v>
      </c>
      <c r="F188" s="17">
        <v>279</v>
      </c>
      <c r="G188" s="270" t="s">
        <v>5773</v>
      </c>
      <c r="I188" s="196" t="b">
        <f>IF(Verso!$B$22=Avantages!$A188,TRUE,FALSE)</f>
        <v>0</v>
      </c>
      <c r="J188" s="196" t="b">
        <f>IF(Verso!$B$23=Avantages!$A188,TRUE,FALSE)</f>
        <v>0</v>
      </c>
      <c r="K188" s="196" t="b">
        <f>IF(Verso!$B$24=Avantages!$A188,TRUE,FALSE)</f>
        <v>0</v>
      </c>
      <c r="L188" s="196" t="b">
        <f>IF(Verso!$B$25=Avantages!$A188,TRUE,FALSE)</f>
        <v>0</v>
      </c>
      <c r="M188" s="196" t="b">
        <f>IF(Verso!$B$26=Avantages!$A188,TRUE,FALSE)</f>
        <v>0</v>
      </c>
      <c r="N188" s="196" t="b">
        <f t="shared" ref="N188:N263" si="15">IF(OR(I188=TRUE,J188=TRUE,K188=TRUE,L188=TRUE,M188=TRUE),TRUE,FALSE)</f>
        <v>0</v>
      </c>
      <c r="P188" s="196">
        <f t="shared" si="11"/>
        <v>188</v>
      </c>
      <c r="Q188" s="196">
        <f t="shared" si="12"/>
        <v>297</v>
      </c>
      <c r="R188" s="578" t="str">
        <f t="shared" si="13"/>
        <v>Sombre Parangon: Contrôle</v>
      </c>
    </row>
    <row r="189" spans="1:18" x14ac:dyDescent="0.25">
      <c r="A189" s="186" t="s">
        <v>5772</v>
      </c>
      <c r="B189" s="186" t="s">
        <v>5772</v>
      </c>
      <c r="C189" s="4" t="s">
        <v>67</v>
      </c>
      <c r="D189" s="183">
        <v>8</v>
      </c>
      <c r="E189" s="4" t="s">
        <v>5770</v>
      </c>
      <c r="F189" s="17">
        <v>279</v>
      </c>
      <c r="G189" s="270" t="s">
        <v>5773</v>
      </c>
      <c r="I189" s="196" t="b">
        <f>IF(Verso!$B$22=Avantages!$A189,TRUE,FALSE)</f>
        <v>0</v>
      </c>
      <c r="J189" s="196" t="b">
        <f>IF(Verso!$B$23=Avantages!$A189,TRUE,FALSE)</f>
        <v>0</v>
      </c>
      <c r="K189" s="196" t="b">
        <f>IF(Verso!$B$24=Avantages!$A189,TRUE,FALSE)</f>
        <v>0</v>
      </c>
      <c r="L189" s="196" t="b">
        <f>IF(Verso!$B$25=Avantages!$A189,TRUE,FALSE)</f>
        <v>0</v>
      </c>
      <c r="M189" s="196" t="b">
        <f>IF(Verso!$B$26=Avantages!$A189,TRUE,FALSE)</f>
        <v>0</v>
      </c>
      <c r="N189" s="196" t="b">
        <f t="shared" si="15"/>
        <v>0</v>
      </c>
      <c r="P189" s="196">
        <f t="shared" si="11"/>
        <v>189</v>
      </c>
      <c r="Q189" s="196">
        <f t="shared" si="12"/>
        <v>298</v>
      </c>
      <c r="R189" s="578" t="str">
        <f t="shared" si="13"/>
        <v>Sombre Parangon: Détermination</v>
      </c>
    </row>
    <row r="190" spans="1:18" x14ac:dyDescent="0.25">
      <c r="A190" s="186" t="s">
        <v>5771</v>
      </c>
      <c r="B190" s="186" t="s">
        <v>5771</v>
      </c>
      <c r="C190" s="4" t="s">
        <v>67</v>
      </c>
      <c r="D190" s="183">
        <v>11</v>
      </c>
      <c r="E190" s="4" t="s">
        <v>5770</v>
      </c>
      <c r="F190" s="17">
        <v>279</v>
      </c>
      <c r="G190" s="270" t="s">
        <v>5773</v>
      </c>
      <c r="I190" s="196" t="b">
        <f>IF(Verso!$B$22=Avantages!$A190,TRUE,FALSE)</f>
        <v>0</v>
      </c>
      <c r="J190" s="196" t="b">
        <f>IF(Verso!$B$23=Avantages!$A190,TRUE,FALSE)</f>
        <v>0</v>
      </c>
      <c r="K190" s="196" t="b">
        <f>IF(Verso!$B$24=Avantages!$A190,TRUE,FALSE)</f>
        <v>0</v>
      </c>
      <c r="L190" s="196" t="b">
        <f>IF(Verso!$B$25=Avantages!$A190,TRUE,FALSE)</f>
        <v>0</v>
      </c>
      <c r="M190" s="196" t="b">
        <f>IF(Verso!$B$26=Avantages!$A190,TRUE,FALSE)</f>
        <v>0</v>
      </c>
      <c r="N190" s="196" t="b">
        <f t="shared" si="15"/>
        <v>0</v>
      </c>
      <c r="P190" s="196">
        <f t="shared" si="11"/>
        <v>190</v>
      </c>
      <c r="Q190" s="196">
        <f t="shared" si="12"/>
        <v>299</v>
      </c>
      <c r="R190" s="578" t="str">
        <f t="shared" si="13"/>
        <v>Sombre Parangon: Force</v>
      </c>
    </row>
    <row r="191" spans="1:18" x14ac:dyDescent="0.25">
      <c r="A191" s="186" t="s">
        <v>678</v>
      </c>
      <c r="B191" s="186" t="s">
        <v>678</v>
      </c>
      <c r="C191" s="4" t="s">
        <v>67</v>
      </c>
      <c r="D191" s="183">
        <f>IF(Clan="Lion",5,6)</f>
        <v>6</v>
      </c>
      <c r="E191" s="4" t="s">
        <v>3</v>
      </c>
      <c r="F191" s="17">
        <v>151</v>
      </c>
      <c r="G191" s="163" t="s">
        <v>1138</v>
      </c>
      <c r="I191" s="196" t="b">
        <f>IF(Verso!$B$22=Avantages!$A191,TRUE,FALSE)</f>
        <v>0</v>
      </c>
      <c r="J191" s="196" t="b">
        <f>IF(Verso!$B$23=Avantages!$A191,TRUE,FALSE)</f>
        <v>0</v>
      </c>
      <c r="K191" s="196" t="b">
        <f>IF(Verso!$B$24=Avantages!$A191,TRUE,FALSE)</f>
        <v>0</v>
      </c>
      <c r="L191" s="196" t="b">
        <f>IF(Verso!$B$25=Avantages!$A191,TRUE,FALSE)</f>
        <v>0</v>
      </c>
      <c r="M191" s="196" t="b">
        <f>IF(Verso!$B$26=Avantages!$A191,TRUE,FALSE)</f>
        <v>0</v>
      </c>
      <c r="N191" s="196" t="b">
        <f t="shared" si="15"/>
        <v>0</v>
      </c>
      <c r="P191" s="196">
        <f t="shared" si="11"/>
        <v>191</v>
      </c>
      <c r="Q191" s="196">
        <f t="shared" si="12"/>
        <v>300</v>
      </c>
      <c r="R191" s="578" t="str">
        <f t="shared" si="13"/>
        <v>Sombre Parangon: Perfection</v>
      </c>
    </row>
    <row r="192" spans="1:18" x14ac:dyDescent="0.25">
      <c r="A192" s="186" t="s">
        <v>4047</v>
      </c>
      <c r="B192" s="186" t="s">
        <v>4047</v>
      </c>
      <c r="C192" s="4" t="s">
        <v>629</v>
      </c>
      <c r="D192" s="183">
        <f>IF(Calculs!G586&gt;0,4,5)</f>
        <v>5</v>
      </c>
      <c r="E192" s="4" t="s">
        <v>3</v>
      </c>
      <c r="F192" s="17">
        <v>151</v>
      </c>
      <c r="G192" s="163" t="s">
        <v>4049</v>
      </c>
      <c r="I192" s="196" t="b">
        <f>IF(Verso!$B$22=Avantages!$A192,TRUE,FALSE)</f>
        <v>0</v>
      </c>
      <c r="J192" s="196" t="b">
        <f>IF(Verso!$B$23=Avantages!$A192,TRUE,FALSE)</f>
        <v>0</v>
      </c>
      <c r="K192" s="196" t="b">
        <f>IF(Verso!$B$24=Avantages!$A192,TRUE,FALSE)</f>
        <v>0</v>
      </c>
      <c r="L192" s="196" t="b">
        <f>IF(Verso!$B$25=Avantages!$A192,TRUE,FALSE)</f>
        <v>0</v>
      </c>
      <c r="M192" s="196" t="b">
        <f>IF(Verso!$B$26=Avantages!$A192,TRUE,FALSE)</f>
        <v>0</v>
      </c>
      <c r="N192" s="196" t="b">
        <f t="shared" si="15"/>
        <v>0</v>
      </c>
      <c r="P192" s="196">
        <f t="shared" si="11"/>
        <v>192</v>
      </c>
      <c r="Q192" s="196">
        <f t="shared" si="12"/>
        <v>301</v>
      </c>
      <c r="R192" s="578" t="str">
        <f t="shared" si="13"/>
        <v>Sombre Parangon: Savoir</v>
      </c>
    </row>
    <row r="193" spans="1:18" x14ac:dyDescent="0.25">
      <c r="A193" s="186" t="s">
        <v>4046</v>
      </c>
      <c r="B193" s="186" t="s">
        <v>4046</v>
      </c>
      <c r="C193" s="4" t="s">
        <v>629</v>
      </c>
      <c r="D193" s="183">
        <f>IF(Calculs!G586&gt;0,3,4)</f>
        <v>4</v>
      </c>
      <c r="E193" s="4" t="s">
        <v>3</v>
      </c>
      <c r="F193" s="17">
        <v>151</v>
      </c>
      <c r="G193" s="163" t="s">
        <v>4048</v>
      </c>
      <c r="I193" s="196" t="b">
        <f>IF(Verso!$B$22=Avantages!$A193,TRUE,FALSE)</f>
        <v>0</v>
      </c>
      <c r="J193" s="196" t="b">
        <f>IF(Verso!$B$23=Avantages!$A193,TRUE,FALSE)</f>
        <v>0</v>
      </c>
      <c r="K193" s="196" t="b">
        <f>IF(Verso!$B$24=Avantages!$A193,TRUE,FALSE)</f>
        <v>0</v>
      </c>
      <c r="L193" s="196" t="b">
        <f>IF(Verso!$B$25=Avantages!$A193,TRUE,FALSE)</f>
        <v>0</v>
      </c>
      <c r="M193" s="196" t="b">
        <f>IF(Verso!$B$26=Avantages!$A193,TRUE,FALSE)</f>
        <v>0</v>
      </c>
      <c r="N193" s="196" t="b">
        <f t="shared" si="15"/>
        <v>0</v>
      </c>
      <c r="P193" s="196">
        <f t="shared" si="11"/>
        <v>193</v>
      </c>
      <c r="Q193" s="196">
        <f t="shared" si="12"/>
        <v>302</v>
      </c>
      <c r="R193" s="578" t="str">
        <f t="shared" si="13"/>
        <v>Sombre Parangon: Volonté</v>
      </c>
    </row>
    <row r="194" spans="1:18" x14ac:dyDescent="0.25">
      <c r="A194" s="186" t="s">
        <v>4044</v>
      </c>
      <c r="B194" s="186" t="s">
        <v>4044</v>
      </c>
      <c r="C194" s="4" t="s">
        <v>629</v>
      </c>
      <c r="D194" s="183">
        <f>IF(Calculs!G586&gt;0,2,3)</f>
        <v>3</v>
      </c>
      <c r="E194" s="4" t="s">
        <v>3</v>
      </c>
      <c r="F194" s="17">
        <v>151</v>
      </c>
      <c r="G194" s="163" t="s">
        <v>4045</v>
      </c>
      <c r="I194" s="196" t="b">
        <f>IF(Verso!$B$22=Avantages!$A194,TRUE,FALSE)</f>
        <v>0</v>
      </c>
      <c r="J194" s="196" t="b">
        <f>IF(Verso!$B$23=Avantages!$A194,TRUE,FALSE)</f>
        <v>0</v>
      </c>
      <c r="K194" s="196" t="b">
        <f>IF(Verso!$B$24=Avantages!$A194,TRUE,FALSE)</f>
        <v>0</v>
      </c>
      <c r="L194" s="196" t="b">
        <f>IF(Verso!$B$25=Avantages!$A194,TRUE,FALSE)</f>
        <v>0</v>
      </c>
      <c r="M194" s="196" t="b">
        <f>IF(Verso!$B$26=Avantages!$A194,TRUE,FALSE)</f>
        <v>0</v>
      </c>
      <c r="N194" s="196" t="b">
        <f t="shared" si="15"/>
        <v>0</v>
      </c>
      <c r="P194" s="196">
        <f t="shared" si="11"/>
        <v>194</v>
      </c>
      <c r="Q194" s="196">
        <f t="shared" si="12"/>
        <v>303</v>
      </c>
      <c r="R194" s="578" t="str">
        <f t="shared" si="13"/>
        <v>Stratège</v>
      </c>
    </row>
    <row r="195" spans="1:18" x14ac:dyDescent="0.25">
      <c r="A195" s="186" t="s">
        <v>4040</v>
      </c>
      <c r="B195" s="186" t="s">
        <v>4040</v>
      </c>
      <c r="C195" s="4" t="s">
        <v>629</v>
      </c>
      <c r="D195" s="183">
        <f>IF(Calculs!G586&gt;0,0,1)</f>
        <v>1</v>
      </c>
      <c r="E195" s="4" t="s">
        <v>3</v>
      </c>
      <c r="F195" s="17">
        <v>151</v>
      </c>
      <c r="G195" s="163" t="s">
        <v>4041</v>
      </c>
      <c r="I195" s="196" t="b">
        <f>IF(Verso!$B$22=Avantages!$A195,TRUE,FALSE)</f>
        <v>0</v>
      </c>
      <c r="J195" s="196" t="b">
        <f>IF(Verso!$B$23=Avantages!$A195,TRUE,FALSE)</f>
        <v>0</v>
      </c>
      <c r="K195" s="196" t="b">
        <f>IF(Verso!$B$24=Avantages!$A195,TRUE,FALSE)</f>
        <v>0</v>
      </c>
      <c r="L195" s="196" t="b">
        <f>IF(Verso!$B$25=Avantages!$A195,TRUE,FALSE)</f>
        <v>0</v>
      </c>
      <c r="M195" s="196" t="b">
        <f>IF(Verso!$B$26=Avantages!$A195,TRUE,FALSE)</f>
        <v>0</v>
      </c>
      <c r="N195" s="196" t="b">
        <f t="shared" si="15"/>
        <v>0</v>
      </c>
      <c r="P195" s="196">
        <f t="shared" ref="P195:P258" si="16">IF(B195="","",ROW())</f>
        <v>195</v>
      </c>
      <c r="Q195" s="196">
        <f t="shared" ref="Q195:Q258" si="17">IFERROR(SMALL(P:P,ROW()-1),"")</f>
        <v>304</v>
      </c>
      <c r="R195" s="578" t="str">
        <f t="shared" ref="R195:R258" si="18">IFERROR(INDEX(B:B,Q195),"")</f>
        <v>Tacticien</v>
      </c>
    </row>
    <row r="196" spans="1:18" x14ac:dyDescent="0.25">
      <c r="A196" s="186" t="s">
        <v>4042</v>
      </c>
      <c r="B196" s="186" t="s">
        <v>4042</v>
      </c>
      <c r="C196" s="4" t="s">
        <v>629</v>
      </c>
      <c r="D196" s="183">
        <f>IF(Calculs!G586&gt;0,2,1)</f>
        <v>1</v>
      </c>
      <c r="E196" s="4" t="s">
        <v>3</v>
      </c>
      <c r="F196" s="17">
        <v>151</v>
      </c>
      <c r="G196" s="163" t="s">
        <v>4043</v>
      </c>
      <c r="I196" s="196" t="b">
        <f>IF(Verso!$B$22=Avantages!$A196,TRUE,FALSE)</f>
        <v>0</v>
      </c>
      <c r="J196" s="196" t="b">
        <f>IF(Verso!$B$23=Avantages!$A196,TRUE,FALSE)</f>
        <v>0</v>
      </c>
      <c r="K196" s="196" t="b">
        <f>IF(Verso!$B$24=Avantages!$A196,TRUE,FALSE)</f>
        <v>0</v>
      </c>
      <c r="L196" s="196" t="b">
        <f>IF(Verso!$B$25=Avantages!$A196,TRUE,FALSE)</f>
        <v>0</v>
      </c>
      <c r="M196" s="196" t="b">
        <f>IF(Verso!$B$26=Avantages!$A196,TRUE,FALSE)</f>
        <v>0</v>
      </c>
      <c r="N196" s="196" t="b">
        <f t="shared" si="15"/>
        <v>0</v>
      </c>
      <c r="P196" s="196">
        <f t="shared" si="16"/>
        <v>196</v>
      </c>
      <c r="Q196" s="196">
        <f t="shared" si="17"/>
        <v>307</v>
      </c>
      <c r="R196" s="578" t="str">
        <f t="shared" si="18"/>
        <v>Vedette</v>
      </c>
    </row>
    <row r="197" spans="1:18" x14ac:dyDescent="0.25">
      <c r="A197" s="186" t="s">
        <v>679</v>
      </c>
      <c r="B197" s="186" t="s">
        <v>679</v>
      </c>
      <c r="C197" s="4" t="s">
        <v>65</v>
      </c>
      <c r="D197" s="183">
        <f>IF(OR(Recto!W3="C",Désavantages!N159=TRUE),3,4)</f>
        <v>4</v>
      </c>
      <c r="E197" s="4" t="s">
        <v>3</v>
      </c>
      <c r="F197" s="17">
        <v>151</v>
      </c>
      <c r="G197" s="163" t="s">
        <v>1139</v>
      </c>
      <c r="I197" s="196" t="b">
        <f>IF(Verso!$B$22=Avantages!$A197,TRUE,FALSE)</f>
        <v>0</v>
      </c>
      <c r="J197" s="196" t="b">
        <f>IF(Verso!$B$23=Avantages!$A197,TRUE,FALSE)</f>
        <v>0</v>
      </c>
      <c r="K197" s="196" t="b">
        <f>IF(Verso!$B$24=Avantages!$A197,TRUE,FALSE)</f>
        <v>0</v>
      </c>
      <c r="L197" s="196" t="b">
        <f>IF(Verso!$B$25=Avantages!$A197,TRUE,FALSE)</f>
        <v>0</v>
      </c>
      <c r="M197" s="196" t="b">
        <f>IF(Verso!$B$26=Avantages!$A197,TRUE,FALSE)</f>
        <v>0</v>
      </c>
      <c r="N197" s="196" t="b">
        <f t="shared" si="15"/>
        <v>0</v>
      </c>
      <c r="P197" s="196">
        <f t="shared" si="16"/>
        <v>197</v>
      </c>
      <c r="Q197" s="196">
        <f t="shared" si="17"/>
        <v>309</v>
      </c>
      <c r="R197" s="578" t="str">
        <f t="shared" si="18"/>
        <v>Vertueux</v>
      </c>
    </row>
    <row r="198" spans="1:18" x14ac:dyDescent="0.25">
      <c r="A198" s="186" t="s">
        <v>817</v>
      </c>
      <c r="B198" s="186" t="str">
        <f>IF(Recto!$C$3=H198,CONCATENATE(A198),"")</f>
        <v>Maître des Noms</v>
      </c>
      <c r="C198" s="4" t="s">
        <v>629</v>
      </c>
      <c r="D198" s="183">
        <v>5</v>
      </c>
      <c r="E198" s="4" t="s">
        <v>2075</v>
      </c>
      <c r="F198" s="17">
        <v>110</v>
      </c>
      <c r="G198" s="163" t="s">
        <v>648</v>
      </c>
      <c r="I198" s="196" t="b">
        <f>IF(Verso!$B$22=Avantages!$A198,TRUE,FALSE)</f>
        <v>0</v>
      </c>
      <c r="J198" s="196" t="b">
        <f>IF(Verso!$B$23=Avantages!$A198,TRUE,FALSE)</f>
        <v>0</v>
      </c>
      <c r="K198" s="196" t="b">
        <f>IF(Verso!$B$24=Avantages!$A198,TRUE,FALSE)</f>
        <v>0</v>
      </c>
      <c r="L198" s="196" t="b">
        <f>IF(Verso!$B$25=Avantages!$A198,TRUE,FALSE)</f>
        <v>0</v>
      </c>
      <c r="M198" s="196" t="b">
        <f>IF(Verso!$B$26=Avantages!$A198,TRUE,FALSE)</f>
        <v>0</v>
      </c>
      <c r="N198" s="196" t="b">
        <f t="shared" si="15"/>
        <v>0</v>
      </c>
      <c r="P198" s="196">
        <f t="shared" si="16"/>
        <v>198</v>
      </c>
      <c r="Q198" s="196">
        <f t="shared" si="17"/>
        <v>310</v>
      </c>
      <c r="R198" s="578" t="str">
        <f t="shared" si="18"/>
        <v>Vétéran de la Cité Impériale</v>
      </c>
    </row>
    <row r="199" spans="1:18" x14ac:dyDescent="0.25">
      <c r="A199" s="186" t="s">
        <v>81</v>
      </c>
      <c r="B199" s="186" t="s">
        <v>81</v>
      </c>
      <c r="C199" s="4" t="s">
        <v>629</v>
      </c>
      <c r="D199" s="183">
        <v>4</v>
      </c>
      <c r="E199" s="4" t="s">
        <v>2075</v>
      </c>
      <c r="F199" s="17">
        <v>244</v>
      </c>
      <c r="G199" s="163" t="s">
        <v>82</v>
      </c>
      <c r="I199" s="196" t="b">
        <f>IF(Verso!$B$22=Avantages!$A199,TRUE,FALSE)</f>
        <v>0</v>
      </c>
      <c r="J199" s="196" t="b">
        <f>IF(Verso!$B$23=Avantages!$A199,TRUE,FALSE)</f>
        <v>0</v>
      </c>
      <c r="K199" s="196" t="b">
        <f>IF(Verso!$B$24=Avantages!$A199,TRUE,FALSE)</f>
        <v>0</v>
      </c>
      <c r="L199" s="196" t="b">
        <f>IF(Verso!$B$25=Avantages!$A199,TRUE,FALSE)</f>
        <v>0</v>
      </c>
      <c r="M199" s="196" t="b">
        <f>IF(Verso!$B$26=Avantages!$A199,TRUE,FALSE)</f>
        <v>0</v>
      </c>
      <c r="N199" s="196" t="b">
        <f t="shared" si="15"/>
        <v>0</v>
      </c>
      <c r="P199" s="196">
        <f t="shared" si="16"/>
        <v>199</v>
      </c>
      <c r="Q199" s="196">
        <f t="shared" si="17"/>
        <v>311</v>
      </c>
      <c r="R199" s="578" t="str">
        <f t="shared" si="18"/>
        <v>Virtuose</v>
      </c>
    </row>
    <row r="200" spans="1:18" x14ac:dyDescent="0.25">
      <c r="A200" s="186" t="s">
        <v>815</v>
      </c>
      <c r="B200" s="186" t="str">
        <f>IF(Recto!$C$3=H200,CONCATENATE(A200),"")</f>
        <v>Mémoire Infallible</v>
      </c>
      <c r="C200" s="4" t="s">
        <v>65</v>
      </c>
      <c r="D200" s="183">
        <v>6</v>
      </c>
      <c r="E200" s="4" t="s">
        <v>2075</v>
      </c>
      <c r="F200" s="17">
        <v>110</v>
      </c>
      <c r="G200" s="163" t="s">
        <v>647</v>
      </c>
      <c r="I200" s="196" t="b">
        <f>IF(Verso!$B$22=Avantages!$A200,TRUE,FALSE)</f>
        <v>0</v>
      </c>
      <c r="J200" s="196" t="b">
        <f>IF(Verso!$B$23=Avantages!$A200,TRUE,FALSE)</f>
        <v>0</v>
      </c>
      <c r="K200" s="196" t="b">
        <f>IF(Verso!$B$24=Avantages!$A200,TRUE,FALSE)</f>
        <v>0</v>
      </c>
      <c r="L200" s="196" t="b">
        <f>IF(Verso!$B$25=Avantages!$A200,TRUE,FALSE)</f>
        <v>0</v>
      </c>
      <c r="M200" s="196" t="b">
        <f>IF(Verso!$B$26=Avantages!$A200,TRUE,FALSE)</f>
        <v>0</v>
      </c>
      <c r="N200" s="196" t="b">
        <f t="shared" si="15"/>
        <v>0</v>
      </c>
      <c r="P200" s="196">
        <f t="shared" si="16"/>
        <v>200</v>
      </c>
      <c r="Q200" s="196">
        <f t="shared" si="17"/>
        <v>312</v>
      </c>
      <c r="R200" s="578" t="str">
        <f t="shared" si="18"/>
        <v>Voix Mélodieuse</v>
      </c>
    </row>
    <row r="201" spans="1:18" x14ac:dyDescent="0.25">
      <c r="A201" s="186" t="s">
        <v>1028</v>
      </c>
      <c r="B201" s="186" t="str">
        <f>IF(OR(Recto!$C$3=H201,Calculs!$J$8&gt;0,Calculs!G433&gt;0),CONCATENATE(A201),"")</f>
        <v/>
      </c>
      <c r="C201" s="4" t="s">
        <v>628</v>
      </c>
      <c r="D201" s="183">
        <f>IF(OR(Recto!D6="Abomination",Recto!D6="Cobra"),4,5)</f>
        <v>5</v>
      </c>
      <c r="E201" s="4" t="s">
        <v>2075</v>
      </c>
      <c r="F201" s="17">
        <v>82</v>
      </c>
      <c r="G201" s="270" t="s">
        <v>1030</v>
      </c>
      <c r="H201" s="196" t="s">
        <v>53</v>
      </c>
      <c r="I201" s="196" t="b">
        <f>IF(Verso!$B$22=Avantages!$A201,TRUE,FALSE)</f>
        <v>0</v>
      </c>
      <c r="J201" s="196" t="b">
        <f>IF(Verso!$B$23=Avantages!$A201,TRUE,FALSE)</f>
        <v>0</v>
      </c>
      <c r="K201" s="196" t="b">
        <f>IF(Verso!$B$24=Avantages!$A201,TRUE,FALSE)</f>
        <v>0</v>
      </c>
      <c r="L201" s="196" t="b">
        <f>IF(Verso!$B$25=Avantages!$A201,TRUE,FALSE)</f>
        <v>0</v>
      </c>
      <c r="M201" s="196" t="b">
        <f>IF(Verso!$B$26=Avantages!$A201,TRUE,FALSE)</f>
        <v>0</v>
      </c>
      <c r="N201" s="196" t="b">
        <f t="shared" si="15"/>
        <v>0</v>
      </c>
      <c r="P201" s="196" t="str">
        <f t="shared" si="16"/>
        <v/>
      </c>
      <c r="Q201" s="196" t="str">
        <f t="shared" si="17"/>
        <v/>
      </c>
      <c r="R201" s="578" t="str">
        <f t="shared" si="18"/>
        <v/>
      </c>
    </row>
    <row r="202" spans="1:18" x14ac:dyDescent="0.25">
      <c r="A202" s="186" t="s">
        <v>1026</v>
      </c>
      <c r="B202" s="186" t="str">
        <f>IF(OR(Recto!$C$3=H202,Calculs!$J$8&gt;0,Calculs!G434&gt;0),CONCATENATE(A202),"")</f>
        <v/>
      </c>
      <c r="C202" s="4" t="s">
        <v>628</v>
      </c>
      <c r="D202" s="183">
        <f>IF(OR(Recto!D5="Abomination",Recto!D5="Cobra"),4,5)</f>
        <v>5</v>
      </c>
      <c r="E202" s="4" t="s">
        <v>2075</v>
      </c>
      <c r="F202" s="17">
        <v>82</v>
      </c>
      <c r="G202" s="270" t="s">
        <v>1027</v>
      </c>
      <c r="H202" s="196" t="s">
        <v>53</v>
      </c>
      <c r="I202" s="196" t="b">
        <f>IF(Verso!$B$22=Avantages!$A202,TRUE,FALSE)</f>
        <v>0</v>
      </c>
      <c r="J202" s="196" t="b">
        <f>IF(Verso!$B$23=Avantages!$A202,TRUE,FALSE)</f>
        <v>0</v>
      </c>
      <c r="K202" s="196" t="b">
        <f>IF(Verso!$B$24=Avantages!$A202,TRUE,FALSE)</f>
        <v>0</v>
      </c>
      <c r="L202" s="196" t="b">
        <f>IF(Verso!$B$25=Avantages!$A202,TRUE,FALSE)</f>
        <v>0</v>
      </c>
      <c r="M202" s="196" t="b">
        <f>IF(Verso!$B$26=Avantages!$A202,TRUE,FALSE)</f>
        <v>0</v>
      </c>
      <c r="N202" s="196" t="b">
        <f t="shared" si="15"/>
        <v>0</v>
      </c>
      <c r="P202" s="196" t="str">
        <f t="shared" si="16"/>
        <v/>
      </c>
      <c r="Q202" s="196" t="str">
        <f t="shared" si="17"/>
        <v/>
      </c>
      <c r="R202" s="578" t="str">
        <f t="shared" si="18"/>
        <v/>
      </c>
    </row>
    <row r="203" spans="1:18" x14ac:dyDescent="0.25">
      <c r="A203" s="186" t="s">
        <v>1033</v>
      </c>
      <c r="B203" s="186" t="str">
        <f>IF(OR(Recto!$C$3=H203,Calculs!$J$8&gt;0,Calculs!G435&gt;0),CONCATENATE(A203),"")</f>
        <v/>
      </c>
      <c r="C203" s="4" t="s">
        <v>628</v>
      </c>
      <c r="D203" s="183">
        <f>IF(OR(Recto!D9="Abomination",Recto!D9="Cobra"),4,5)</f>
        <v>5</v>
      </c>
      <c r="E203" s="4" t="s">
        <v>2075</v>
      </c>
      <c r="F203" s="17">
        <v>82</v>
      </c>
      <c r="G203" s="163" t="s">
        <v>1035</v>
      </c>
      <c r="H203" s="196" t="s">
        <v>53</v>
      </c>
      <c r="I203" s="196" t="b">
        <f>IF(Verso!$B$22=Avantages!$A203,TRUE,FALSE)</f>
        <v>0</v>
      </c>
      <c r="J203" s="196" t="b">
        <f>IF(Verso!$B$23=Avantages!$A203,TRUE,FALSE)</f>
        <v>0</v>
      </c>
      <c r="K203" s="196" t="b">
        <f>IF(Verso!$B$24=Avantages!$A203,TRUE,FALSE)</f>
        <v>0</v>
      </c>
      <c r="L203" s="196" t="b">
        <f>IF(Verso!$B$25=Avantages!$A203,TRUE,FALSE)</f>
        <v>0</v>
      </c>
      <c r="M203" s="196" t="b">
        <f>IF(Verso!$B$26=Avantages!$A203,TRUE,FALSE)</f>
        <v>0</v>
      </c>
      <c r="N203" s="196" t="b">
        <f t="shared" si="15"/>
        <v>0</v>
      </c>
      <c r="P203" s="196" t="str">
        <f t="shared" si="16"/>
        <v/>
      </c>
      <c r="Q203" s="196" t="str">
        <f t="shared" si="17"/>
        <v/>
      </c>
      <c r="R203" s="578" t="str">
        <f t="shared" si="18"/>
        <v/>
      </c>
    </row>
    <row r="204" spans="1:18" x14ac:dyDescent="0.25">
      <c r="A204" s="186" t="s">
        <v>1039</v>
      </c>
      <c r="B204" s="186" t="str">
        <f>IF(OR(Recto!$C$3=H204,Calculs!$J$8&gt;0,Calculs!G436&gt;0),CONCATENATE(A204),"")</f>
        <v/>
      </c>
      <c r="C204" s="4" t="s">
        <v>628</v>
      </c>
      <c r="D204" s="183">
        <f>IF(OR(Recto!D13="Abomination",Recto!D13="Cobra"),4,5)</f>
        <v>5</v>
      </c>
      <c r="E204" s="4" t="s">
        <v>2075</v>
      </c>
      <c r="F204" s="17">
        <v>82</v>
      </c>
      <c r="G204" s="163" t="s">
        <v>1043</v>
      </c>
      <c r="H204" s="196" t="s">
        <v>53</v>
      </c>
      <c r="I204" s="196" t="b">
        <f>IF(Verso!$B$22=Avantages!$A204,TRUE,FALSE)</f>
        <v>0</v>
      </c>
      <c r="J204" s="196" t="b">
        <f>IF(Verso!$B$23=Avantages!$A204,TRUE,FALSE)</f>
        <v>0</v>
      </c>
      <c r="K204" s="196" t="b">
        <f>IF(Verso!$B$24=Avantages!$A204,TRUE,FALSE)</f>
        <v>0</v>
      </c>
      <c r="L204" s="196" t="b">
        <f>IF(Verso!$B$25=Avantages!$A204,TRUE,FALSE)</f>
        <v>0</v>
      </c>
      <c r="M204" s="196" t="b">
        <f>IF(Verso!$B$26=Avantages!$A204,TRUE,FALSE)</f>
        <v>0</v>
      </c>
      <c r="N204" s="196" t="b">
        <f t="shared" si="15"/>
        <v>0</v>
      </c>
      <c r="P204" s="196" t="str">
        <f t="shared" si="16"/>
        <v/>
      </c>
      <c r="Q204" s="196" t="str">
        <f t="shared" si="17"/>
        <v/>
      </c>
      <c r="R204" s="578" t="str">
        <f t="shared" si="18"/>
        <v/>
      </c>
    </row>
    <row r="205" spans="1:18" x14ac:dyDescent="0.25">
      <c r="A205" s="186" t="s">
        <v>1024</v>
      </c>
      <c r="B205" s="186" t="str">
        <f>IF(OR(Recto!$C$3=H205,Calculs!$J$8&gt;0,Calculs!G437&gt;0),CONCATENATE(A205),"")</f>
        <v/>
      </c>
      <c r="C205" s="4" t="s">
        <v>628</v>
      </c>
      <c r="D205" s="183">
        <f>IF(OR(Clan="Abomination",Clan="Cobra"),4,5)</f>
        <v>5</v>
      </c>
      <c r="E205" s="4" t="s">
        <v>2075</v>
      </c>
      <c r="F205" s="17">
        <v>81</v>
      </c>
      <c r="G205" s="270" t="s">
        <v>1025</v>
      </c>
      <c r="H205" s="196" t="s">
        <v>53</v>
      </c>
      <c r="I205" s="196" t="b">
        <f>IF(Verso!$B$22=Avantages!$A205,TRUE,FALSE)</f>
        <v>0</v>
      </c>
      <c r="J205" s="196" t="b">
        <f>IF(Verso!$B$23=Avantages!$A205,TRUE,FALSE)</f>
        <v>0</v>
      </c>
      <c r="K205" s="196" t="b">
        <f>IF(Verso!$B$24=Avantages!$A205,TRUE,FALSE)</f>
        <v>0</v>
      </c>
      <c r="L205" s="196" t="b">
        <f>IF(Verso!$B$25=Avantages!$A205,TRUE,FALSE)</f>
        <v>0</v>
      </c>
      <c r="M205" s="196" t="b">
        <f>IF(Verso!$B$26=Avantages!$A205,TRUE,FALSE)</f>
        <v>0</v>
      </c>
      <c r="N205" s="196" t="b">
        <f t="shared" si="15"/>
        <v>0</v>
      </c>
      <c r="P205" s="196" t="str">
        <f t="shared" si="16"/>
        <v/>
      </c>
      <c r="Q205" s="196" t="str">
        <f t="shared" si="17"/>
        <v/>
      </c>
      <c r="R205" s="578" t="str">
        <f t="shared" si="18"/>
        <v/>
      </c>
    </row>
    <row r="206" spans="1:18" x14ac:dyDescent="0.25">
      <c r="A206" s="186" t="s">
        <v>1029</v>
      </c>
      <c r="B206" s="186" t="str">
        <f>IF(OR(Recto!$C$3=H206,Calculs!$J$8&gt;0,Calculs!G438&gt;0),CONCATENATE(A206),"")</f>
        <v/>
      </c>
      <c r="C206" s="4" t="s">
        <v>628</v>
      </c>
      <c r="D206" s="183">
        <f>IF(OR(Recto!D7="Abomination",Recto!D7="Cobra"),4,5)</f>
        <v>5</v>
      </c>
      <c r="E206" s="4" t="s">
        <v>2075</v>
      </c>
      <c r="F206" s="17">
        <v>82</v>
      </c>
      <c r="G206" s="163" t="s">
        <v>1031</v>
      </c>
      <c r="H206" s="196" t="s">
        <v>53</v>
      </c>
      <c r="I206" s="196" t="b">
        <f>IF(Verso!$B$22=Avantages!$A206,TRUE,FALSE)</f>
        <v>0</v>
      </c>
      <c r="J206" s="196" t="b">
        <f>IF(Verso!$B$23=Avantages!$A206,TRUE,FALSE)</f>
        <v>0</v>
      </c>
      <c r="K206" s="196" t="b">
        <f>IF(Verso!$B$24=Avantages!$A206,TRUE,FALSE)</f>
        <v>0</v>
      </c>
      <c r="L206" s="196" t="b">
        <f>IF(Verso!$B$25=Avantages!$A206,TRUE,FALSE)</f>
        <v>0</v>
      </c>
      <c r="M206" s="196" t="b">
        <f>IF(Verso!$B$26=Avantages!$A206,TRUE,FALSE)</f>
        <v>0</v>
      </c>
      <c r="N206" s="196" t="b">
        <f t="shared" si="15"/>
        <v>0</v>
      </c>
      <c r="P206" s="196" t="str">
        <f t="shared" si="16"/>
        <v/>
      </c>
      <c r="Q206" s="196" t="str">
        <f t="shared" si="17"/>
        <v/>
      </c>
      <c r="R206" s="578" t="str">
        <f t="shared" si="18"/>
        <v/>
      </c>
    </row>
    <row r="207" spans="1:18" x14ac:dyDescent="0.25">
      <c r="A207" s="186" t="s">
        <v>1037</v>
      </c>
      <c r="B207" s="186" t="str">
        <f>IF(OR(Recto!$C$3=H207,Calculs!$J$8&gt;0,Calculs!G439&gt;0),CONCATENATE(A207),"")</f>
        <v/>
      </c>
      <c r="C207" s="4" t="s">
        <v>628</v>
      </c>
      <c r="D207" s="183">
        <f>IF(OR(Recto!D11="Abomination",Recto!D11="Cobra"),4,5)</f>
        <v>5</v>
      </c>
      <c r="E207" s="4" t="s">
        <v>2075</v>
      </c>
      <c r="F207" s="17">
        <v>82</v>
      </c>
      <c r="G207" s="163" t="s">
        <v>1041</v>
      </c>
      <c r="H207" s="196" t="s">
        <v>53</v>
      </c>
      <c r="I207" s="196" t="b">
        <f>IF(Verso!$B$22=Avantages!$A207,TRUE,FALSE)</f>
        <v>0</v>
      </c>
      <c r="J207" s="196" t="b">
        <f>IF(Verso!$B$23=Avantages!$A207,TRUE,FALSE)</f>
        <v>0</v>
      </c>
      <c r="K207" s="196" t="b">
        <f>IF(Verso!$B$24=Avantages!$A207,TRUE,FALSE)</f>
        <v>0</v>
      </c>
      <c r="L207" s="196" t="b">
        <f>IF(Verso!$B$25=Avantages!$A207,TRUE,FALSE)</f>
        <v>0</v>
      </c>
      <c r="M207" s="196" t="b">
        <f>IF(Verso!$B$26=Avantages!$A207,TRUE,FALSE)</f>
        <v>0</v>
      </c>
      <c r="N207" s="196" t="b">
        <f t="shared" si="15"/>
        <v>0</v>
      </c>
      <c r="P207" s="196" t="str">
        <f t="shared" si="16"/>
        <v/>
      </c>
      <c r="Q207" s="196" t="str">
        <f t="shared" si="17"/>
        <v/>
      </c>
      <c r="R207" s="578" t="str">
        <f t="shared" si="18"/>
        <v/>
      </c>
    </row>
    <row r="208" spans="1:18" x14ac:dyDescent="0.25">
      <c r="A208" s="186" t="s">
        <v>1036</v>
      </c>
      <c r="B208" s="186" t="str">
        <f>IF(OR(Recto!$C$3=H208,Calculs!$J$8&gt;0,Calculs!G440&gt;0),CONCATENATE(A208),"")</f>
        <v/>
      </c>
      <c r="C208" s="4" t="s">
        <v>628</v>
      </c>
      <c r="D208" s="183">
        <f>IF(OR(Recto!D10="Abomination",Recto!D10="Cobra"),4,5)</f>
        <v>5</v>
      </c>
      <c r="E208" s="4" t="s">
        <v>2075</v>
      </c>
      <c r="F208" s="17">
        <v>82</v>
      </c>
      <c r="G208" s="163" t="s">
        <v>1040</v>
      </c>
      <c r="H208" s="196" t="s">
        <v>53</v>
      </c>
      <c r="I208" s="196" t="b">
        <f>IF(Verso!$B$22=Avantages!$A208,TRUE,FALSE)</f>
        <v>0</v>
      </c>
      <c r="J208" s="196" t="b">
        <f>IF(Verso!$B$23=Avantages!$A208,TRUE,FALSE)</f>
        <v>0</v>
      </c>
      <c r="K208" s="196" t="b">
        <f>IF(Verso!$B$24=Avantages!$A208,TRUE,FALSE)</f>
        <v>0</v>
      </c>
      <c r="L208" s="196" t="b">
        <f>IF(Verso!$B$25=Avantages!$A208,TRUE,FALSE)</f>
        <v>0</v>
      </c>
      <c r="M208" s="196" t="b">
        <f>IF(Verso!$B$26=Avantages!$A208,TRUE,FALSE)</f>
        <v>0</v>
      </c>
      <c r="N208" s="196" t="b">
        <f t="shared" si="15"/>
        <v>0</v>
      </c>
      <c r="P208" s="196" t="str">
        <f t="shared" si="16"/>
        <v/>
      </c>
      <c r="Q208" s="196" t="str">
        <f t="shared" si="17"/>
        <v/>
      </c>
      <c r="R208" s="578" t="str">
        <f t="shared" si="18"/>
        <v/>
      </c>
    </row>
    <row r="209" spans="1:18" x14ac:dyDescent="0.25">
      <c r="A209" s="186" t="s">
        <v>1032</v>
      </c>
      <c r="B209" s="186" t="str">
        <f>IF(OR(Recto!$C$3=H209,Calculs!$J$8&gt;0,Calculs!G441&gt;0),CONCATENATE(A209),"")</f>
        <v/>
      </c>
      <c r="C209" s="4" t="s">
        <v>628</v>
      </c>
      <c r="D209" s="183">
        <f>IF(OR(Recto!D8="Abomination",Recto!D8="Cobra"),4,5)</f>
        <v>5</v>
      </c>
      <c r="E209" s="4" t="s">
        <v>2075</v>
      </c>
      <c r="F209" s="17">
        <v>82</v>
      </c>
      <c r="G209" s="270" t="s">
        <v>1034</v>
      </c>
      <c r="H209" s="196" t="s">
        <v>53</v>
      </c>
      <c r="I209" s="196" t="b">
        <f>IF(Verso!$B$22=Avantages!$A209,TRUE,FALSE)</f>
        <v>0</v>
      </c>
      <c r="J209" s="196" t="b">
        <f>IF(Verso!$B$23=Avantages!$A209,TRUE,FALSE)</f>
        <v>0</v>
      </c>
      <c r="K209" s="196" t="b">
        <f>IF(Verso!$B$24=Avantages!$A209,TRUE,FALSE)</f>
        <v>0</v>
      </c>
      <c r="L209" s="196" t="b">
        <f>IF(Verso!$B$25=Avantages!$A209,TRUE,FALSE)</f>
        <v>0</v>
      </c>
      <c r="M209" s="196" t="b">
        <f>IF(Verso!$B$26=Avantages!$A209,TRUE,FALSE)</f>
        <v>0</v>
      </c>
      <c r="N209" s="196" t="b">
        <f t="shared" si="15"/>
        <v>0</v>
      </c>
      <c r="P209" s="196" t="str">
        <f t="shared" si="16"/>
        <v/>
      </c>
      <c r="Q209" s="196" t="str">
        <f t="shared" si="17"/>
        <v/>
      </c>
      <c r="R209" s="578" t="str">
        <f t="shared" si="18"/>
        <v/>
      </c>
    </row>
    <row r="210" spans="1:18" x14ac:dyDescent="0.25">
      <c r="A210" s="186" t="s">
        <v>1038</v>
      </c>
      <c r="B210" s="186" t="str">
        <f>IF(OR(Recto!$C$3=H210,Calculs!$J$8&gt;0,Calculs!G442&gt;0),CONCATENATE(A210),"")</f>
        <v/>
      </c>
      <c r="C210" s="4" t="s">
        <v>628</v>
      </c>
      <c r="D210" s="183">
        <f>IF(OR(Recto!D12="Abomination",Recto!D12="Cobra"),4,5)</f>
        <v>5</v>
      </c>
      <c r="E210" s="4" t="s">
        <v>2075</v>
      </c>
      <c r="F210" s="17">
        <v>82</v>
      </c>
      <c r="G210" s="270" t="s">
        <v>1042</v>
      </c>
      <c r="H210" t="s">
        <v>53</v>
      </c>
      <c r="I210" s="196" t="b">
        <f>IF(Verso!$B$22=Avantages!$A210,TRUE,FALSE)</f>
        <v>0</v>
      </c>
      <c r="J210" s="196" t="b">
        <f>IF(Verso!$B$23=Avantages!$A210,TRUE,FALSE)</f>
        <v>0</v>
      </c>
      <c r="K210" s="196" t="b">
        <f>IF(Verso!$B$24=Avantages!$A210,TRUE,FALSE)</f>
        <v>0</v>
      </c>
      <c r="L210" s="196" t="b">
        <f>IF(Verso!$B$25=Avantages!$A210,TRUE,FALSE)</f>
        <v>0</v>
      </c>
      <c r="M210" s="196" t="b">
        <f>IF(Verso!$B$26=Avantages!$A210,TRUE,FALSE)</f>
        <v>0</v>
      </c>
      <c r="N210" s="196" t="b">
        <f t="shared" si="15"/>
        <v>0</v>
      </c>
      <c r="P210" s="196" t="str">
        <f t="shared" si="16"/>
        <v/>
      </c>
      <c r="Q210" s="196" t="str">
        <f t="shared" si="17"/>
        <v/>
      </c>
      <c r="R210" s="578" t="str">
        <f t="shared" si="18"/>
        <v/>
      </c>
    </row>
    <row r="211" spans="1:18" x14ac:dyDescent="0.25">
      <c r="A211" s="186" t="str">
        <f>IF(Contexte_jeu="L'Empire Stellaire d'Emeraude","Ombre d'Hida Secundus","Ombre de la Cité Ruinée")</f>
        <v>Ombre de la Cité Ruinée</v>
      </c>
      <c r="B211" s="186" t="str">
        <f>IF(Contexte_jeu="L'Empire Stellaire d'Emeraude","Ombre d'Hida Secundus","Ombre de la Cité Ruinée")</f>
        <v>Ombre de la Cité Ruinée</v>
      </c>
      <c r="C211" s="4" t="s">
        <v>628</v>
      </c>
      <c r="D211" s="183">
        <v>3</v>
      </c>
      <c r="E211" s="4" t="s">
        <v>2074</v>
      </c>
      <c r="F211" s="17">
        <v>92</v>
      </c>
      <c r="G211" s="270" t="s">
        <v>644</v>
      </c>
      <c r="I211" s="196" t="b">
        <f>IF(Verso!$B$22=Avantages!$A211,TRUE,FALSE)</f>
        <v>0</v>
      </c>
      <c r="J211" s="196" t="b">
        <f>IF(Verso!$B$23=Avantages!$A211,TRUE,FALSE)</f>
        <v>0</v>
      </c>
      <c r="K211" s="196" t="b">
        <f>IF(Verso!$B$24=Avantages!$A211,TRUE,FALSE)</f>
        <v>0</v>
      </c>
      <c r="L211" s="196" t="b">
        <f>IF(Verso!$B$25=Avantages!$A211,TRUE,FALSE)</f>
        <v>0</v>
      </c>
      <c r="M211" s="196" t="b">
        <f>IF(Verso!$B$26=Avantages!$A211,TRUE,FALSE)</f>
        <v>0</v>
      </c>
      <c r="N211" s="196" t="b">
        <f t="shared" si="15"/>
        <v>0</v>
      </c>
      <c r="P211" s="196">
        <f t="shared" si="16"/>
        <v>211</v>
      </c>
      <c r="Q211" s="196" t="str">
        <f t="shared" si="17"/>
        <v/>
      </c>
      <c r="R211" s="578" t="str">
        <f t="shared" si="18"/>
        <v/>
      </c>
    </row>
    <row r="212" spans="1:18" s="196" customFormat="1" x14ac:dyDescent="0.25">
      <c r="A212" s="186" t="s">
        <v>7519</v>
      </c>
      <c r="B212" s="186" t="s">
        <v>7519</v>
      </c>
      <c r="C212" s="4" t="s">
        <v>67</v>
      </c>
      <c r="D212" s="183">
        <f>IF(Clan="Araignée",4,5)</f>
        <v>5</v>
      </c>
      <c r="E212" s="4" t="s">
        <v>7453</v>
      </c>
      <c r="F212" s="17">
        <v>92</v>
      </c>
      <c r="G212" s="270" t="s">
        <v>7520</v>
      </c>
      <c r="I212" s="196" t="b">
        <f>IF(Verso!$B$22=Avantages!$A212,TRUE,FALSE)</f>
        <v>0</v>
      </c>
      <c r="J212" s="196" t="b">
        <f>IF(Verso!$B$23=Avantages!$A212,TRUE,FALSE)</f>
        <v>0</v>
      </c>
      <c r="K212" s="196" t="b">
        <f>IF(Verso!$B$24=Avantages!$A212,TRUE,FALSE)</f>
        <v>0</v>
      </c>
      <c r="L212" s="196" t="b">
        <f>IF(Verso!$B$25=Avantages!$A212,TRUE,FALSE)</f>
        <v>0</v>
      </c>
      <c r="M212" s="196" t="b">
        <f>IF(Verso!$B$26=Avantages!$A212,TRUE,FALSE)</f>
        <v>0</v>
      </c>
      <c r="N212" s="196" t="b">
        <f t="shared" ref="N212:N224" si="19">IF(OR(I212=TRUE,J212=TRUE,K212=TRUE,L212=TRUE,M212=TRUE),TRUE,FALSE)</f>
        <v>0</v>
      </c>
      <c r="O212" s="295" t="s">
        <v>6474</v>
      </c>
      <c r="P212" s="196">
        <f t="shared" si="16"/>
        <v>212</v>
      </c>
      <c r="Q212" s="196" t="str">
        <f t="shared" si="17"/>
        <v/>
      </c>
      <c r="R212" s="578" t="str">
        <f t="shared" si="18"/>
        <v/>
      </c>
    </row>
    <row r="213" spans="1:18" x14ac:dyDescent="0.25">
      <c r="A213" s="186" t="s">
        <v>6150</v>
      </c>
      <c r="B213" s="186" t="s">
        <v>760</v>
      </c>
      <c r="C213" s="4" t="s">
        <v>65</v>
      </c>
      <c r="D213" s="183">
        <f t="shared" ref="D213:D219" si="20">IF(Clan="Lion",6,7)</f>
        <v>7</v>
      </c>
      <c r="E213" s="4" t="s">
        <v>3</v>
      </c>
      <c r="F213" s="17">
        <v>152</v>
      </c>
      <c r="G213" s="163" t="s">
        <v>767</v>
      </c>
      <c r="I213" s="196" t="b">
        <f>IF(Verso!$B$22=Avantages!$A213,TRUE,FALSE)</f>
        <v>0</v>
      </c>
      <c r="J213" s="196" t="b">
        <f>IF(Verso!$B$23=Avantages!$A213,TRUE,FALSE)</f>
        <v>0</v>
      </c>
      <c r="K213" s="196" t="b">
        <f>IF(Verso!$B$24=Avantages!$A213,TRUE,FALSE)</f>
        <v>0</v>
      </c>
      <c r="L213" s="196" t="b">
        <f>IF(Verso!$B$25=Avantages!$A213,TRUE,FALSE)</f>
        <v>0</v>
      </c>
      <c r="M213" s="196" t="b">
        <f>IF(Verso!$B$26=Avantages!$A213,TRUE,FALSE)</f>
        <v>0</v>
      </c>
      <c r="N213" s="196" t="b">
        <f t="shared" si="19"/>
        <v>0</v>
      </c>
      <c r="O213" s="295" t="b">
        <f>IF(OR(N213=TRUE,N214=TRUE,N215=TRUE,N216=TRUE,N217=TRUE,N218=TRUE,N219=TRUE),TRUE,FALSE)</f>
        <v>0</v>
      </c>
      <c r="P213" s="196">
        <f t="shared" si="16"/>
        <v>213</v>
      </c>
      <c r="Q213" s="196" t="str">
        <f t="shared" si="17"/>
        <v/>
      </c>
      <c r="R213" s="578" t="str">
        <f t="shared" si="18"/>
        <v/>
      </c>
    </row>
    <row r="214" spans="1:18" x14ac:dyDescent="0.25">
      <c r="A214" s="186" t="s">
        <v>6151</v>
      </c>
      <c r="B214" s="186" t="s">
        <v>761</v>
      </c>
      <c r="C214" s="4" t="s">
        <v>65</v>
      </c>
      <c r="D214" s="183">
        <f t="shared" si="20"/>
        <v>7</v>
      </c>
      <c r="E214" s="4" t="s">
        <v>3</v>
      </c>
      <c r="F214" s="17">
        <v>152</v>
      </c>
      <c r="G214" s="270" t="s">
        <v>768</v>
      </c>
      <c r="I214" s="196" t="b">
        <f>IF(Verso!$B$22=Avantages!$A214,TRUE,FALSE)</f>
        <v>0</v>
      </c>
      <c r="J214" s="196" t="b">
        <f>IF(Verso!$B$23=Avantages!$A214,TRUE,FALSE)</f>
        <v>0</v>
      </c>
      <c r="K214" s="196" t="b">
        <f>IF(Verso!$B$24=Avantages!$A214,TRUE,FALSE)</f>
        <v>0</v>
      </c>
      <c r="L214" s="196" t="b">
        <f>IF(Verso!$B$25=Avantages!$A214,TRUE,FALSE)</f>
        <v>0</v>
      </c>
      <c r="M214" s="196" t="b">
        <f>IF(Verso!$B$26=Avantages!$A214,TRUE,FALSE)</f>
        <v>0</v>
      </c>
      <c r="N214" s="196" t="b">
        <f t="shared" si="19"/>
        <v>0</v>
      </c>
      <c r="P214" s="196">
        <f t="shared" si="16"/>
        <v>214</v>
      </c>
      <c r="Q214" s="196" t="str">
        <f t="shared" si="17"/>
        <v/>
      </c>
      <c r="R214" s="578" t="str">
        <f t="shared" si="18"/>
        <v/>
      </c>
    </row>
    <row r="215" spans="1:18" x14ac:dyDescent="0.25">
      <c r="A215" s="186" t="s">
        <v>6152</v>
      </c>
      <c r="B215" s="186" t="s">
        <v>762</v>
      </c>
      <c r="C215" s="4" t="s">
        <v>65</v>
      </c>
      <c r="D215" s="183">
        <f t="shared" si="20"/>
        <v>7</v>
      </c>
      <c r="E215" s="4" t="s">
        <v>3</v>
      </c>
      <c r="F215" s="17">
        <v>152</v>
      </c>
      <c r="G215" s="270" t="s">
        <v>769</v>
      </c>
      <c r="I215" s="196" t="b">
        <f>IF(Verso!$B$22=Avantages!$A215,TRUE,FALSE)</f>
        <v>0</v>
      </c>
      <c r="J215" s="196" t="b">
        <f>IF(Verso!$B$23=Avantages!$A215,TRUE,FALSE)</f>
        <v>0</v>
      </c>
      <c r="K215" s="196" t="b">
        <f>IF(Verso!$B$24=Avantages!$A215,TRUE,FALSE)</f>
        <v>0</v>
      </c>
      <c r="L215" s="196" t="b">
        <f>IF(Verso!$B$25=Avantages!$A215,TRUE,FALSE)</f>
        <v>0</v>
      </c>
      <c r="M215" s="196" t="b">
        <f>IF(Verso!$B$26=Avantages!$A215,TRUE,FALSE)</f>
        <v>0</v>
      </c>
      <c r="N215" s="196" t="b">
        <f t="shared" si="19"/>
        <v>0</v>
      </c>
      <c r="P215" s="196">
        <f t="shared" si="16"/>
        <v>215</v>
      </c>
      <c r="Q215" s="196" t="str">
        <f t="shared" si="17"/>
        <v/>
      </c>
      <c r="R215" s="578" t="str">
        <f t="shared" si="18"/>
        <v/>
      </c>
    </row>
    <row r="216" spans="1:18" x14ac:dyDescent="0.25">
      <c r="A216" s="186" t="s">
        <v>6153</v>
      </c>
      <c r="B216" s="186" t="s">
        <v>763</v>
      </c>
      <c r="C216" s="4" t="s">
        <v>65</v>
      </c>
      <c r="D216" s="183">
        <f t="shared" si="20"/>
        <v>7</v>
      </c>
      <c r="E216" s="4" t="s">
        <v>3</v>
      </c>
      <c r="F216" s="17">
        <v>152</v>
      </c>
      <c r="G216" s="163" t="s">
        <v>770</v>
      </c>
      <c r="I216" s="196" t="b">
        <f>IF(Verso!$B$22=Avantages!$A216,TRUE,FALSE)</f>
        <v>0</v>
      </c>
      <c r="J216" s="196" t="b">
        <f>IF(Verso!$B$23=Avantages!$A216,TRUE,FALSE)</f>
        <v>0</v>
      </c>
      <c r="K216" s="196" t="b">
        <f>IF(Verso!$B$24=Avantages!$A216,TRUE,FALSE)</f>
        <v>0</v>
      </c>
      <c r="L216" s="196" t="b">
        <f>IF(Verso!$B$25=Avantages!$A216,TRUE,FALSE)</f>
        <v>0</v>
      </c>
      <c r="M216" s="196" t="b">
        <f>IF(Verso!$B$26=Avantages!$A216,TRUE,FALSE)</f>
        <v>0</v>
      </c>
      <c r="N216" s="196" t="b">
        <f t="shared" si="19"/>
        <v>0</v>
      </c>
      <c r="P216" s="196">
        <f t="shared" si="16"/>
        <v>216</v>
      </c>
      <c r="Q216" s="196" t="str">
        <f t="shared" si="17"/>
        <v/>
      </c>
      <c r="R216" s="578" t="str">
        <f t="shared" si="18"/>
        <v/>
      </c>
    </row>
    <row r="217" spans="1:18" x14ac:dyDescent="0.25">
      <c r="A217" s="186" t="s">
        <v>6154</v>
      </c>
      <c r="B217" s="186" t="s">
        <v>764</v>
      </c>
      <c r="C217" s="4" t="s">
        <v>65</v>
      </c>
      <c r="D217" s="183">
        <f t="shared" si="20"/>
        <v>7</v>
      </c>
      <c r="E217" s="4" t="s">
        <v>3</v>
      </c>
      <c r="F217" s="17">
        <v>152</v>
      </c>
      <c r="G217" s="270" t="s">
        <v>771</v>
      </c>
      <c r="I217" s="196" t="b">
        <f>IF(Verso!$B$22=Avantages!$A217,TRUE,FALSE)</f>
        <v>0</v>
      </c>
      <c r="J217" s="196" t="b">
        <f>IF(Verso!$B$23=Avantages!$A217,TRUE,FALSE)</f>
        <v>0</v>
      </c>
      <c r="K217" s="196" t="b">
        <f>IF(Verso!$B$24=Avantages!$A217,TRUE,FALSE)</f>
        <v>0</v>
      </c>
      <c r="L217" s="196" t="b">
        <f>IF(Verso!$B$25=Avantages!$A217,TRUE,FALSE)</f>
        <v>0</v>
      </c>
      <c r="M217" s="196" t="b">
        <f>IF(Verso!$B$26=Avantages!$A217,TRUE,FALSE)</f>
        <v>0</v>
      </c>
      <c r="N217" s="196" t="b">
        <f t="shared" si="19"/>
        <v>0</v>
      </c>
      <c r="P217" s="196">
        <f t="shared" si="16"/>
        <v>217</v>
      </c>
      <c r="Q217" s="196" t="str">
        <f t="shared" si="17"/>
        <v/>
      </c>
      <c r="R217" s="578" t="str">
        <f t="shared" si="18"/>
        <v/>
      </c>
    </row>
    <row r="218" spans="1:18" x14ac:dyDescent="0.25">
      <c r="A218" s="186" t="s">
        <v>6155</v>
      </c>
      <c r="B218" s="186" t="s">
        <v>765</v>
      </c>
      <c r="C218" s="4" t="s">
        <v>65</v>
      </c>
      <c r="D218" s="183">
        <f t="shared" si="20"/>
        <v>7</v>
      </c>
      <c r="E218" s="4" t="s">
        <v>3</v>
      </c>
      <c r="F218" s="17">
        <v>152</v>
      </c>
      <c r="G218" s="163" t="s">
        <v>982</v>
      </c>
      <c r="I218" s="196" t="b">
        <f>IF(Verso!$B$22=Avantages!$A218,TRUE,FALSE)</f>
        <v>0</v>
      </c>
      <c r="J218" s="196" t="b">
        <f>IF(Verso!$B$23=Avantages!$A218,TRUE,FALSE)</f>
        <v>0</v>
      </c>
      <c r="K218" s="196" t="b">
        <f>IF(Verso!$B$24=Avantages!$A218,TRUE,FALSE)</f>
        <v>0</v>
      </c>
      <c r="L218" s="196" t="b">
        <f>IF(Verso!$B$25=Avantages!$A218,TRUE,FALSE)</f>
        <v>0</v>
      </c>
      <c r="M218" s="196" t="b">
        <f>IF(Verso!$B$26=Avantages!$A218,TRUE,FALSE)</f>
        <v>0</v>
      </c>
      <c r="N218" s="196" t="b">
        <f t="shared" si="19"/>
        <v>0</v>
      </c>
      <c r="P218" s="196">
        <f t="shared" si="16"/>
        <v>218</v>
      </c>
      <c r="Q218" s="196" t="str">
        <f t="shared" si="17"/>
        <v/>
      </c>
      <c r="R218" s="578" t="str">
        <f t="shared" si="18"/>
        <v/>
      </c>
    </row>
    <row r="219" spans="1:18" x14ac:dyDescent="0.25">
      <c r="A219" s="186" t="s">
        <v>6156</v>
      </c>
      <c r="B219" s="186" t="s">
        <v>766</v>
      </c>
      <c r="C219" s="4" t="s">
        <v>65</v>
      </c>
      <c r="D219" s="183">
        <f t="shared" si="20"/>
        <v>7</v>
      </c>
      <c r="E219" s="4" t="s">
        <v>3</v>
      </c>
      <c r="F219" s="17">
        <v>152</v>
      </c>
      <c r="G219" s="270" t="s">
        <v>772</v>
      </c>
      <c r="I219" s="196" t="b">
        <f>IF(Verso!$B$22=Avantages!$A219,TRUE,FALSE)</f>
        <v>0</v>
      </c>
      <c r="J219" s="196" t="b">
        <f>IF(Verso!$B$23=Avantages!$A219,TRUE,FALSE)</f>
        <v>0</v>
      </c>
      <c r="K219" s="196" t="b">
        <f>IF(Verso!$B$24=Avantages!$A219,TRUE,FALSE)</f>
        <v>0</v>
      </c>
      <c r="L219" s="196" t="b">
        <f>IF(Verso!$B$25=Avantages!$A219,TRUE,FALSE)</f>
        <v>0</v>
      </c>
      <c r="M219" s="196" t="b">
        <f>IF(Verso!$B$26=Avantages!$A219,TRUE,FALSE)</f>
        <v>0</v>
      </c>
      <c r="N219" s="196" t="b">
        <f t="shared" si="19"/>
        <v>0</v>
      </c>
      <c r="P219" s="196">
        <f t="shared" si="16"/>
        <v>219</v>
      </c>
      <c r="Q219" s="196" t="str">
        <f t="shared" si="17"/>
        <v/>
      </c>
      <c r="R219" s="578" t="str">
        <f t="shared" si="18"/>
        <v/>
      </c>
    </row>
    <row r="220" spans="1:18" s="196" customFormat="1" x14ac:dyDescent="0.25">
      <c r="A220" s="186" t="s">
        <v>7564</v>
      </c>
      <c r="B220" s="186" t="str">
        <f>IF(Terre&gt;3,"Passe-muraille","")</f>
        <v/>
      </c>
      <c r="C220" s="4" t="s">
        <v>628</v>
      </c>
      <c r="D220" s="183">
        <v>8</v>
      </c>
      <c r="E220" s="4" t="s">
        <v>7453</v>
      </c>
      <c r="F220" s="17">
        <v>93</v>
      </c>
      <c r="G220" s="270" t="s">
        <v>7565</v>
      </c>
      <c r="I220" s="196" t="b">
        <f>IF(Verso!$B$22=Avantages!$A220,TRUE,FALSE)</f>
        <v>0</v>
      </c>
      <c r="J220" s="196" t="b">
        <f>IF(Verso!$B$23=Avantages!$A220,TRUE,FALSE)</f>
        <v>0</v>
      </c>
      <c r="K220" s="196" t="b">
        <f>IF(Verso!$B$24=Avantages!$A220,TRUE,FALSE)</f>
        <v>0</v>
      </c>
      <c r="L220" s="196" t="b">
        <f>IF(Verso!$B$25=Avantages!$A220,TRUE,FALSE)</f>
        <v>0</v>
      </c>
      <c r="M220" s="196" t="b">
        <f>IF(Verso!$B$26=Avantages!$A220,TRUE,FALSE)</f>
        <v>0</v>
      </c>
      <c r="N220" s="196" t="b">
        <f>IF(OR(I220=TRUE,J220=TRUE,K220=TRUE,L220=TRUE,M220=TRUE),TRUE,FALSE)</f>
        <v>0</v>
      </c>
      <c r="O220" s="295"/>
      <c r="P220" s="196" t="str">
        <f t="shared" si="16"/>
        <v/>
      </c>
      <c r="Q220" s="196" t="str">
        <f t="shared" si="17"/>
        <v/>
      </c>
      <c r="R220" s="578" t="str">
        <f t="shared" si="18"/>
        <v/>
      </c>
    </row>
    <row r="221" spans="1:18" x14ac:dyDescent="0.25">
      <c r="A221" s="186" t="s">
        <v>690</v>
      </c>
      <c r="B221" s="186" t="s">
        <v>690</v>
      </c>
      <c r="C221" s="4" t="s">
        <v>628</v>
      </c>
      <c r="D221" s="183">
        <f>IF(Recto!W3="M",5,6)</f>
        <v>6</v>
      </c>
      <c r="E221" s="4" t="s">
        <v>3</v>
      </c>
      <c r="F221" s="17">
        <v>152</v>
      </c>
      <c r="G221" s="163" t="s">
        <v>637</v>
      </c>
      <c r="I221" s="196" t="b">
        <f>IF(Verso!$B$22=Avantages!$A221,TRUE,FALSE)</f>
        <v>0</v>
      </c>
      <c r="J221" s="196" t="b">
        <f>IF(Verso!$B$23=Avantages!$A221,TRUE,FALSE)</f>
        <v>0</v>
      </c>
      <c r="K221" s="196" t="b">
        <f>IF(Verso!$B$24=Avantages!$A221,TRUE,FALSE)</f>
        <v>0</v>
      </c>
      <c r="L221" s="196" t="b">
        <f>IF(Verso!$B$25=Avantages!$A221,TRUE,FALSE)</f>
        <v>0</v>
      </c>
      <c r="M221" s="196" t="b">
        <f>IF(Verso!$B$26=Avantages!$A221,TRUE,FALSE)</f>
        <v>0</v>
      </c>
      <c r="N221" s="196" t="b">
        <f t="shared" si="19"/>
        <v>0</v>
      </c>
      <c r="P221" s="196">
        <f t="shared" si="16"/>
        <v>221</v>
      </c>
      <c r="Q221" s="196" t="str">
        <f t="shared" si="17"/>
        <v/>
      </c>
      <c r="R221" s="578" t="str">
        <f t="shared" si="18"/>
        <v/>
      </c>
    </row>
    <row r="222" spans="1:18" s="196" customFormat="1" x14ac:dyDescent="0.25">
      <c r="A222" s="186" t="s">
        <v>8250</v>
      </c>
      <c r="B222" s="186" t="s">
        <v>8250</v>
      </c>
      <c r="C222" s="4" t="s">
        <v>67</v>
      </c>
      <c r="D222" s="183">
        <f>IF(Calculs!G586&gt;0,5,6)</f>
        <v>6</v>
      </c>
      <c r="E222" s="4" t="s">
        <v>3</v>
      </c>
      <c r="F222" s="17">
        <v>152</v>
      </c>
      <c r="G222" s="270" t="s">
        <v>8251</v>
      </c>
      <c r="I222" s="196" t="b">
        <f>IF(Verso!$B$22=Avantages!$A222,TRUE,FALSE)</f>
        <v>0</v>
      </c>
      <c r="J222" s="196" t="b">
        <f>IF(Verso!$B$23=Avantages!$A222,TRUE,FALSE)</f>
        <v>0</v>
      </c>
      <c r="K222" s="196" t="b">
        <f>IF(Verso!$B$24=Avantages!$A222,TRUE,FALSE)</f>
        <v>0</v>
      </c>
      <c r="L222" s="196" t="b">
        <f>IF(Verso!$B$25=Avantages!$A222,TRUE,FALSE)</f>
        <v>0</v>
      </c>
      <c r="M222" s="196" t="b">
        <f>IF(Verso!$B$26=Avantages!$A222,TRUE,FALSE)</f>
        <v>0</v>
      </c>
      <c r="N222" s="196" t="b">
        <f>IF(OR(I222=TRUE,J222=TRUE,K222=TRUE,L222=TRUE,M222=TRUE),TRUE,FALSE)</f>
        <v>0</v>
      </c>
      <c r="O222" s="295"/>
      <c r="P222" s="196">
        <f t="shared" si="16"/>
        <v>222</v>
      </c>
      <c r="Q222" s="196" t="str">
        <f t="shared" si="17"/>
        <v/>
      </c>
      <c r="R222" s="578" t="str">
        <f t="shared" si="18"/>
        <v/>
      </c>
    </row>
    <row r="223" spans="1:18" x14ac:dyDescent="0.25">
      <c r="A223" s="186" t="s">
        <v>795</v>
      </c>
      <c r="B223" s="186" t="str">
        <f>IF(OR(Recto!$C$3=H223,Calculs!$J$8&gt;0),CONCATENATE(A223),"")</f>
        <v/>
      </c>
      <c r="C223" s="4" t="s">
        <v>65</v>
      </c>
      <c r="D223" s="183">
        <v>6</v>
      </c>
      <c r="E223" s="4" t="s">
        <v>2075</v>
      </c>
      <c r="F223" s="17">
        <v>82</v>
      </c>
      <c r="G223" s="163" t="s">
        <v>4054</v>
      </c>
      <c r="H223" t="s">
        <v>53</v>
      </c>
      <c r="I223" s="196" t="b">
        <f>IF(Verso!$B$22=Avantages!$A223,TRUE,FALSE)</f>
        <v>0</v>
      </c>
      <c r="J223" s="196" t="b">
        <f>IF(Verso!$B$23=Avantages!$A223,TRUE,FALSE)</f>
        <v>0</v>
      </c>
      <c r="K223" s="196" t="b">
        <f>IF(Verso!$B$24=Avantages!$A223,TRUE,FALSE)</f>
        <v>0</v>
      </c>
      <c r="L223" s="196" t="b">
        <f>IF(Verso!$B$25=Avantages!$A223,TRUE,FALSE)</f>
        <v>0</v>
      </c>
      <c r="M223" s="196" t="b">
        <f>IF(Verso!$B$26=Avantages!$A223,TRUE,FALSE)</f>
        <v>0</v>
      </c>
      <c r="N223" s="196" t="b">
        <f t="shared" si="19"/>
        <v>0</v>
      </c>
      <c r="P223" s="196" t="str">
        <f t="shared" si="16"/>
        <v/>
      </c>
      <c r="Q223" s="196" t="str">
        <f t="shared" si="17"/>
        <v/>
      </c>
      <c r="R223" s="578" t="str">
        <f t="shared" si="18"/>
        <v/>
      </c>
    </row>
    <row r="224" spans="1:18" s="196" customFormat="1" x14ac:dyDescent="0.25">
      <c r="A224" s="186" t="s">
        <v>7521</v>
      </c>
      <c r="B224" s="186" t="s">
        <v>7521</v>
      </c>
      <c r="C224" s="4" t="s">
        <v>65</v>
      </c>
      <c r="D224" s="183">
        <f>IF(OR(Famille="Ide",Famille="Daidoji",Famille="Yasuki",Clan="Mante"),2,3)</f>
        <v>3</v>
      </c>
      <c r="E224" s="4" t="s">
        <v>7453</v>
      </c>
      <c r="F224" s="17">
        <v>92</v>
      </c>
      <c r="G224" s="163" t="s">
        <v>7522</v>
      </c>
      <c r="I224" s="196" t="b">
        <f>IF(Verso!$B$22=Avantages!$A224,TRUE,FALSE)</f>
        <v>0</v>
      </c>
      <c r="J224" s="196" t="b">
        <f>IF(Verso!$B$23=Avantages!$A224,TRUE,FALSE)</f>
        <v>0</v>
      </c>
      <c r="K224" s="196" t="b">
        <f>IF(Verso!$B$24=Avantages!$A224,TRUE,FALSE)</f>
        <v>0</v>
      </c>
      <c r="L224" s="196" t="b">
        <f>IF(Verso!$B$25=Avantages!$A224,TRUE,FALSE)</f>
        <v>0</v>
      </c>
      <c r="M224" s="196" t="b">
        <f>IF(Verso!$B$26=Avantages!$A224,TRUE,FALSE)</f>
        <v>0</v>
      </c>
      <c r="N224" s="196" t="b">
        <f t="shared" si="19"/>
        <v>0</v>
      </c>
      <c r="O224" s="295"/>
      <c r="P224" s="196">
        <f t="shared" si="16"/>
        <v>224</v>
      </c>
      <c r="Q224" s="196" t="str">
        <f t="shared" si="17"/>
        <v/>
      </c>
      <c r="R224" s="578" t="str">
        <f t="shared" si="18"/>
        <v/>
      </c>
    </row>
    <row r="225" spans="1:18" x14ac:dyDescent="0.25">
      <c r="A225" s="186" t="s">
        <v>686</v>
      </c>
      <c r="B225" s="186" t="s">
        <v>686</v>
      </c>
      <c r="C225" s="4" t="s">
        <v>628</v>
      </c>
      <c r="D225" s="183">
        <v>2</v>
      </c>
      <c r="E225" s="4" t="s">
        <v>3</v>
      </c>
      <c r="F225" s="17">
        <v>152</v>
      </c>
      <c r="G225" s="163" t="s">
        <v>1149</v>
      </c>
      <c r="I225" s="196" t="b">
        <f>IF(Verso!$B$22=Avantages!$A225,TRUE,FALSE)</f>
        <v>0</v>
      </c>
      <c r="J225" s="196" t="b">
        <f>IF(Verso!$B$23=Avantages!$A225,TRUE,FALSE)</f>
        <v>0</v>
      </c>
      <c r="K225" s="196" t="b">
        <f>IF(Verso!$B$24=Avantages!$A225,TRUE,FALSE)</f>
        <v>0</v>
      </c>
      <c r="L225" s="196" t="b">
        <f>IF(Verso!$B$25=Avantages!$A225,TRUE,FALSE)</f>
        <v>0</v>
      </c>
      <c r="M225" s="196" t="b">
        <f>IF(Verso!$B$26=Avantages!$A225,TRUE,FALSE)</f>
        <v>0</v>
      </c>
      <c r="N225" s="196" t="b">
        <f t="shared" si="15"/>
        <v>0</v>
      </c>
      <c r="P225" s="196">
        <f t="shared" si="16"/>
        <v>225</v>
      </c>
      <c r="Q225" s="196" t="str">
        <f t="shared" si="17"/>
        <v/>
      </c>
      <c r="R225" s="578" t="str">
        <f t="shared" si="18"/>
        <v/>
      </c>
    </row>
    <row r="226" spans="1:18" x14ac:dyDescent="0.25">
      <c r="A226" s="186" t="s">
        <v>812</v>
      </c>
      <c r="B226" s="186" t="str">
        <f>IF(Recto!$C$3=H226,CONCATENATE(A226),"")</f>
        <v/>
      </c>
      <c r="C226" s="4" t="s">
        <v>628</v>
      </c>
      <c r="D226" s="183">
        <v>4</v>
      </c>
      <c r="E226" s="4" t="s">
        <v>2075</v>
      </c>
      <c r="F226" s="17">
        <v>110</v>
      </c>
      <c r="G226" s="163" t="s">
        <v>92</v>
      </c>
      <c r="H226" t="s">
        <v>56</v>
      </c>
      <c r="I226" s="196" t="b">
        <f>IF(Verso!$B$22=Avantages!$A226,TRUE,FALSE)</f>
        <v>0</v>
      </c>
      <c r="J226" s="196" t="b">
        <f>IF(Verso!$B$23=Avantages!$A226,TRUE,FALSE)</f>
        <v>0</v>
      </c>
      <c r="K226" s="196" t="b">
        <f>IF(Verso!$B$24=Avantages!$A226,TRUE,FALSE)</f>
        <v>0</v>
      </c>
      <c r="L226" s="196" t="b">
        <f>IF(Verso!$B$25=Avantages!$A226,TRUE,FALSE)</f>
        <v>0</v>
      </c>
      <c r="M226" s="196" t="b">
        <f>IF(Verso!$B$26=Avantages!$A226,TRUE,FALSE)</f>
        <v>0</v>
      </c>
      <c r="N226" s="196" t="b">
        <f t="shared" si="15"/>
        <v>0</v>
      </c>
      <c r="P226" s="196" t="str">
        <f t="shared" si="16"/>
        <v/>
      </c>
      <c r="Q226" s="196" t="str">
        <f t="shared" si="17"/>
        <v/>
      </c>
      <c r="R226" s="578" t="str">
        <f t="shared" si="18"/>
        <v/>
      </c>
    </row>
    <row r="227" spans="1:18" x14ac:dyDescent="0.25">
      <c r="A227" s="186" t="s">
        <v>796</v>
      </c>
      <c r="B227" s="186" t="str">
        <f>IF(OR(Recto!$C$3=H227,Calculs!$J$8&gt;0),CONCATENATE(A227),"")</f>
        <v/>
      </c>
      <c r="C227" s="4" t="s">
        <v>628</v>
      </c>
      <c r="D227" s="183">
        <v>2</v>
      </c>
      <c r="E227" s="4" t="s">
        <v>2075</v>
      </c>
      <c r="F227" s="17">
        <v>82</v>
      </c>
      <c r="G227" s="163" t="s">
        <v>92</v>
      </c>
      <c r="H227" t="s">
        <v>56</v>
      </c>
      <c r="I227" s="196" t="b">
        <f>IF(Verso!$B$22=Avantages!$A227,TRUE,FALSE)</f>
        <v>0</v>
      </c>
      <c r="J227" s="196" t="b">
        <f>IF(Verso!$B$23=Avantages!$A227,TRUE,FALSE)</f>
        <v>0</v>
      </c>
      <c r="K227" s="196" t="b">
        <f>IF(Verso!$B$24=Avantages!$A227,TRUE,FALSE)</f>
        <v>0</v>
      </c>
      <c r="L227" s="196" t="b">
        <f>IF(Verso!$B$25=Avantages!$A227,TRUE,FALSE)</f>
        <v>0</v>
      </c>
      <c r="M227" s="196" t="b">
        <f>IF(Verso!$B$26=Avantages!$A227,TRUE,FALSE)</f>
        <v>0</v>
      </c>
      <c r="N227" s="196" t="b">
        <f t="shared" si="15"/>
        <v>0</v>
      </c>
      <c r="P227" s="196" t="str">
        <f t="shared" si="16"/>
        <v/>
      </c>
      <c r="Q227" s="196" t="str">
        <f t="shared" si="17"/>
        <v/>
      </c>
      <c r="R227" s="578" t="str">
        <f t="shared" si="18"/>
        <v/>
      </c>
    </row>
    <row r="228" spans="1:18" x14ac:dyDescent="0.25">
      <c r="A228" s="186" t="s">
        <v>691</v>
      </c>
      <c r="B228" s="186" t="s">
        <v>691</v>
      </c>
      <c r="C228" s="4" t="s">
        <v>628</v>
      </c>
      <c r="D228" s="183">
        <f>IF(Recto!W3="N",5,6)</f>
        <v>6</v>
      </c>
      <c r="E228" s="4" t="s">
        <v>3</v>
      </c>
      <c r="F228" s="17">
        <v>152</v>
      </c>
      <c r="G228" s="163" t="s">
        <v>1150</v>
      </c>
      <c r="I228" s="196" t="b">
        <f>IF(Verso!$B$22=Avantages!$A228,TRUE,FALSE)</f>
        <v>0</v>
      </c>
      <c r="J228" s="196" t="b">
        <f>IF(Verso!$B$23=Avantages!$A228,TRUE,FALSE)</f>
        <v>0</v>
      </c>
      <c r="K228" s="196" t="b">
        <f>IF(Verso!$B$24=Avantages!$A228,TRUE,FALSE)</f>
        <v>0</v>
      </c>
      <c r="L228" s="196" t="b">
        <f>IF(Verso!$B$25=Avantages!$A228,TRUE,FALSE)</f>
        <v>0</v>
      </c>
      <c r="M228" s="196" t="b">
        <f>IF(Verso!$B$26=Avantages!$A228,TRUE,FALSE)</f>
        <v>0</v>
      </c>
      <c r="N228" s="196" t="b">
        <f t="shared" si="15"/>
        <v>0</v>
      </c>
      <c r="P228" s="196">
        <f t="shared" si="16"/>
        <v>228</v>
      </c>
      <c r="Q228" s="196" t="str">
        <f t="shared" si="17"/>
        <v/>
      </c>
      <c r="R228" s="578" t="str">
        <f t="shared" si="18"/>
        <v/>
      </c>
    </row>
    <row r="229" spans="1:18" s="196" customFormat="1" x14ac:dyDescent="0.25">
      <c r="A229" s="186" t="s">
        <v>6295</v>
      </c>
      <c r="B229" s="186" t="s">
        <v>6295</v>
      </c>
      <c r="C229" s="4" t="s">
        <v>629</v>
      </c>
      <c r="D229" s="183">
        <f>IF(OR(Verso!B38&lt;&gt;"",Recto!J4="Henshin Asako"),5,6)</f>
        <v>6</v>
      </c>
      <c r="E229" s="4" t="s">
        <v>6192</v>
      </c>
      <c r="F229" s="17">
        <v>191</v>
      </c>
      <c r="G229" s="270" t="s">
        <v>8252</v>
      </c>
      <c r="I229" s="196" t="b">
        <f>IF(Verso!$B$22=Avantages!$A229,TRUE,FALSE)</f>
        <v>0</v>
      </c>
      <c r="J229" s="196" t="b">
        <f>IF(Verso!$B$23=Avantages!$A229,TRUE,FALSE)</f>
        <v>0</v>
      </c>
      <c r="K229" s="196" t="b">
        <f>IF(Verso!$B$24=Avantages!$A229,TRUE,FALSE)</f>
        <v>0</v>
      </c>
      <c r="L229" s="196" t="b">
        <f>IF(Verso!$B$25=Avantages!$A229,TRUE,FALSE)</f>
        <v>0</v>
      </c>
      <c r="M229" s="196" t="b">
        <f>IF(Verso!$B$26=Avantages!$A229,TRUE,FALSE)</f>
        <v>0</v>
      </c>
      <c r="N229" s="196" t="b">
        <f t="shared" si="15"/>
        <v>0</v>
      </c>
      <c r="O229" s="295" t="s">
        <v>6481</v>
      </c>
      <c r="P229" s="196">
        <f t="shared" si="16"/>
        <v>229</v>
      </c>
      <c r="Q229" s="196" t="str">
        <f t="shared" si="17"/>
        <v/>
      </c>
      <c r="R229" s="578" t="str">
        <f t="shared" si="18"/>
        <v/>
      </c>
    </row>
    <row r="230" spans="1:18" x14ac:dyDescent="0.25">
      <c r="A230" s="275" t="s">
        <v>1159</v>
      </c>
      <c r="B230" s="186" t="s">
        <v>1159</v>
      </c>
      <c r="C230" s="4" t="s">
        <v>67</v>
      </c>
      <c r="D230" s="183">
        <f>IF(Clan="Grue",7,8)</f>
        <v>8</v>
      </c>
      <c r="E230" s="4" t="s">
        <v>3</v>
      </c>
      <c r="F230" s="17">
        <v>152</v>
      </c>
      <c r="G230" s="163" t="s">
        <v>1160</v>
      </c>
      <c r="I230" s="196" t="b">
        <f>IF(Verso!$B$22=Avantages!$A230,TRUE,FALSE)</f>
        <v>0</v>
      </c>
      <c r="J230" s="196" t="b">
        <f>IF(Verso!$B$23=Avantages!$A230,TRUE,FALSE)</f>
        <v>0</v>
      </c>
      <c r="K230" s="196" t="b">
        <f>IF(Verso!$B$24=Avantages!$A230,TRUE,FALSE)</f>
        <v>0</v>
      </c>
      <c r="L230" s="196" t="b">
        <f>IF(Verso!$B$25=Avantages!$A230,TRUE,FALSE)</f>
        <v>0</v>
      </c>
      <c r="M230" s="196" t="b">
        <f>IF(Verso!$B$26=Avantages!$A230,TRUE,FALSE)</f>
        <v>0</v>
      </c>
      <c r="N230" s="196" t="b">
        <f t="shared" si="15"/>
        <v>0</v>
      </c>
      <c r="O230" s="295" t="b">
        <f>IF(OR(N231=TRUE,N232=TRUE,N233=TRUE,N234=TRUE,N235=TRUE,N236=TRUE,N237=TRUE,N238=TRUE),TRUE,FALSE)</f>
        <v>0</v>
      </c>
      <c r="P230" s="196">
        <f t="shared" si="16"/>
        <v>230</v>
      </c>
      <c r="Q230" s="196" t="str">
        <f t="shared" si="17"/>
        <v/>
      </c>
      <c r="R230" s="578" t="str">
        <f t="shared" si="18"/>
        <v/>
      </c>
    </row>
    <row r="231" spans="1:18" x14ac:dyDescent="0.25">
      <c r="A231" s="275" t="s">
        <v>1153</v>
      </c>
      <c r="B231" s="186" t="s">
        <v>1153</v>
      </c>
      <c r="C231" s="4" t="s">
        <v>67</v>
      </c>
      <c r="D231" s="183">
        <f>IF(Clan="Grue",4,5)</f>
        <v>5</v>
      </c>
      <c r="E231" s="4" t="s">
        <v>3</v>
      </c>
      <c r="F231" s="17">
        <v>152</v>
      </c>
      <c r="G231" s="163" t="s">
        <v>1160</v>
      </c>
      <c r="I231" s="196" t="b">
        <f>IF(Verso!$B$22=Avantages!$A231,TRUE,FALSE)</f>
        <v>0</v>
      </c>
      <c r="J231" s="196" t="b">
        <f>IF(Verso!$B$23=Avantages!$A231,TRUE,FALSE)</f>
        <v>0</v>
      </c>
      <c r="K231" s="196" t="b">
        <f>IF(Verso!$B$24=Avantages!$A231,TRUE,FALSE)</f>
        <v>0</v>
      </c>
      <c r="L231" s="196" t="b">
        <f>IF(Verso!$B$25=Avantages!$A231,TRUE,FALSE)</f>
        <v>0</v>
      </c>
      <c r="M231" s="196" t="b">
        <f>IF(Verso!$B$26=Avantages!$A231,TRUE,FALSE)</f>
        <v>0</v>
      </c>
      <c r="N231" s="196" t="b">
        <f t="shared" si="15"/>
        <v>0</v>
      </c>
      <c r="P231" s="196">
        <f t="shared" si="16"/>
        <v>231</v>
      </c>
      <c r="Q231" s="196" t="str">
        <f t="shared" si="17"/>
        <v/>
      </c>
      <c r="R231" s="578" t="str">
        <f t="shared" si="18"/>
        <v/>
      </c>
    </row>
    <row r="232" spans="1:18" x14ac:dyDescent="0.25">
      <c r="A232" s="275" t="s">
        <v>1156</v>
      </c>
      <c r="B232" s="186" t="s">
        <v>1156</v>
      </c>
      <c r="C232" s="4" t="s">
        <v>67</v>
      </c>
      <c r="D232" s="183">
        <f>IF(Clan="Grue",5,6)</f>
        <v>6</v>
      </c>
      <c r="E232" s="4" t="s">
        <v>3</v>
      </c>
      <c r="F232" s="17">
        <v>152</v>
      </c>
      <c r="G232" s="163" t="s">
        <v>1160</v>
      </c>
      <c r="I232" s="196" t="b">
        <f>IF(Verso!$B$22=Avantages!$A232,TRUE,FALSE)</f>
        <v>0</v>
      </c>
      <c r="J232" s="196" t="b">
        <f>IF(Verso!$B$23=Avantages!$A232,TRUE,FALSE)</f>
        <v>0</v>
      </c>
      <c r="K232" s="196" t="b">
        <f>IF(Verso!$B$24=Avantages!$A232,TRUE,FALSE)</f>
        <v>0</v>
      </c>
      <c r="L232" s="196" t="b">
        <f>IF(Verso!$B$25=Avantages!$A232,TRUE,FALSE)</f>
        <v>0</v>
      </c>
      <c r="M232" s="196" t="b">
        <f>IF(Verso!$B$26=Avantages!$A232,TRUE,FALSE)</f>
        <v>0</v>
      </c>
      <c r="N232" s="196" t="b">
        <f t="shared" si="15"/>
        <v>0</v>
      </c>
      <c r="P232" s="196">
        <f t="shared" si="16"/>
        <v>232</v>
      </c>
      <c r="Q232" s="196" t="str">
        <f t="shared" si="17"/>
        <v/>
      </c>
      <c r="R232" s="578" t="str">
        <f t="shared" si="18"/>
        <v/>
      </c>
    </row>
    <row r="233" spans="1:18" x14ac:dyDescent="0.25">
      <c r="A233" s="275" t="s">
        <v>1157</v>
      </c>
      <c r="B233" s="186" t="s">
        <v>1157</v>
      </c>
      <c r="C233" s="4" t="s">
        <v>67</v>
      </c>
      <c r="D233" s="183">
        <f>IF(Clan="Grue",4,5)</f>
        <v>5</v>
      </c>
      <c r="E233" s="4" t="s">
        <v>3</v>
      </c>
      <c r="F233" s="17">
        <v>152</v>
      </c>
      <c r="G233" s="163" t="s">
        <v>1160</v>
      </c>
      <c r="I233" s="196" t="b">
        <f>IF(Verso!$B$22=Avantages!$A233,TRUE,FALSE)</f>
        <v>0</v>
      </c>
      <c r="J233" s="196" t="b">
        <f>IF(Verso!$B$23=Avantages!$A233,TRUE,FALSE)</f>
        <v>0</v>
      </c>
      <c r="K233" s="196" t="b">
        <f>IF(Verso!$B$24=Avantages!$A233,TRUE,FALSE)</f>
        <v>0</v>
      </c>
      <c r="L233" s="196" t="b">
        <f>IF(Verso!$B$25=Avantages!$A233,TRUE,FALSE)</f>
        <v>0</v>
      </c>
      <c r="M233" s="196" t="b">
        <f>IF(Verso!$B$26=Avantages!$A233,TRUE,FALSE)</f>
        <v>0</v>
      </c>
      <c r="N233" s="196" t="b">
        <f t="shared" si="15"/>
        <v>0</v>
      </c>
      <c r="P233" s="196">
        <f t="shared" si="16"/>
        <v>233</v>
      </c>
      <c r="Q233" s="196" t="str">
        <f t="shared" si="17"/>
        <v/>
      </c>
      <c r="R233" s="578" t="str">
        <f t="shared" si="18"/>
        <v/>
      </c>
    </row>
    <row r="234" spans="1:18" x14ac:dyDescent="0.25">
      <c r="A234" s="275" t="s">
        <v>1151</v>
      </c>
      <c r="B234" s="186" t="s">
        <v>1151</v>
      </c>
      <c r="C234" s="4" t="s">
        <v>67</v>
      </c>
      <c r="D234" s="183">
        <f>IF(Clan="Grue",1,2)</f>
        <v>2</v>
      </c>
      <c r="E234" s="4" t="s">
        <v>3</v>
      </c>
      <c r="F234" s="17">
        <v>152</v>
      </c>
      <c r="G234" s="163" t="s">
        <v>1160</v>
      </c>
      <c r="I234" s="196" t="b">
        <f>IF(Verso!$B$22=Avantages!$A234,TRUE,FALSE)</f>
        <v>0</v>
      </c>
      <c r="J234" s="196" t="b">
        <f>IF(Verso!$B$23=Avantages!$A234,TRUE,FALSE)</f>
        <v>0</v>
      </c>
      <c r="K234" s="196" t="b">
        <f>IF(Verso!$B$24=Avantages!$A234,TRUE,FALSE)</f>
        <v>0</v>
      </c>
      <c r="L234" s="196" t="b">
        <f>IF(Verso!$B$25=Avantages!$A234,TRUE,FALSE)</f>
        <v>0</v>
      </c>
      <c r="M234" s="196" t="b">
        <f>IF(Verso!$B$26=Avantages!$A234,TRUE,FALSE)</f>
        <v>0</v>
      </c>
      <c r="N234" s="196" t="b">
        <f t="shared" si="15"/>
        <v>0</v>
      </c>
      <c r="P234" s="196">
        <f t="shared" si="16"/>
        <v>234</v>
      </c>
      <c r="Q234" s="196" t="str">
        <f t="shared" si="17"/>
        <v/>
      </c>
      <c r="R234" s="578" t="str">
        <f t="shared" si="18"/>
        <v/>
      </c>
    </row>
    <row r="235" spans="1:18" x14ac:dyDescent="0.25">
      <c r="A235" s="275" t="s">
        <v>1154</v>
      </c>
      <c r="B235" s="186" t="s">
        <v>1154</v>
      </c>
      <c r="C235" s="4" t="s">
        <v>67</v>
      </c>
      <c r="D235" s="183">
        <f>IF(Clan="Grue",2,3)</f>
        <v>3</v>
      </c>
      <c r="E235" s="4" t="s">
        <v>3</v>
      </c>
      <c r="F235" s="17">
        <v>152</v>
      </c>
      <c r="G235" s="163" t="s">
        <v>1160</v>
      </c>
      <c r="I235" s="196" t="b">
        <f>IF(Verso!$B$22=Avantages!$A235,TRUE,FALSE)</f>
        <v>0</v>
      </c>
      <c r="J235" s="196" t="b">
        <f>IF(Verso!$B$23=Avantages!$A235,TRUE,FALSE)</f>
        <v>0</v>
      </c>
      <c r="K235" s="196" t="b">
        <f>IF(Verso!$B$24=Avantages!$A235,TRUE,FALSE)</f>
        <v>0</v>
      </c>
      <c r="L235" s="196" t="b">
        <f>IF(Verso!$B$25=Avantages!$A235,TRUE,FALSE)</f>
        <v>0</v>
      </c>
      <c r="M235" s="196" t="b">
        <f>IF(Verso!$B$26=Avantages!$A235,TRUE,FALSE)</f>
        <v>0</v>
      </c>
      <c r="N235" s="196" t="b">
        <f t="shared" si="15"/>
        <v>0</v>
      </c>
      <c r="P235" s="196">
        <f t="shared" si="16"/>
        <v>235</v>
      </c>
      <c r="Q235" s="196" t="str">
        <f t="shared" si="17"/>
        <v/>
      </c>
      <c r="R235" s="578" t="str">
        <f t="shared" si="18"/>
        <v/>
      </c>
    </row>
    <row r="236" spans="1:18" x14ac:dyDescent="0.25">
      <c r="A236" s="275" t="s">
        <v>1158</v>
      </c>
      <c r="B236" s="186" t="s">
        <v>1158</v>
      </c>
      <c r="C236" s="4" t="s">
        <v>67</v>
      </c>
      <c r="D236" s="183">
        <f>IF(Clan="Grue",5,6)</f>
        <v>6</v>
      </c>
      <c r="E236" s="4" t="s">
        <v>3</v>
      </c>
      <c r="F236" s="17">
        <v>152</v>
      </c>
      <c r="G236" s="163" t="s">
        <v>1160</v>
      </c>
      <c r="I236" s="196" t="b">
        <f>IF(Verso!$B$22=Avantages!$A236,TRUE,FALSE)</f>
        <v>0</v>
      </c>
      <c r="J236" s="196" t="b">
        <f>IF(Verso!$B$23=Avantages!$A236,TRUE,FALSE)</f>
        <v>0</v>
      </c>
      <c r="K236" s="196" t="b">
        <f>IF(Verso!$B$24=Avantages!$A236,TRUE,FALSE)</f>
        <v>0</v>
      </c>
      <c r="L236" s="196" t="b">
        <f>IF(Verso!$B$25=Avantages!$A236,TRUE,FALSE)</f>
        <v>0</v>
      </c>
      <c r="M236" s="196" t="b">
        <f>IF(Verso!$B$26=Avantages!$A236,TRUE,FALSE)</f>
        <v>0</v>
      </c>
      <c r="N236" s="196" t="b">
        <f t="shared" si="15"/>
        <v>0</v>
      </c>
      <c r="P236" s="196">
        <f t="shared" si="16"/>
        <v>236</v>
      </c>
      <c r="Q236" s="196" t="str">
        <f t="shared" si="17"/>
        <v/>
      </c>
      <c r="R236" s="578" t="str">
        <f t="shared" si="18"/>
        <v/>
      </c>
    </row>
    <row r="237" spans="1:18" x14ac:dyDescent="0.25">
      <c r="A237" s="275" t="s">
        <v>1152</v>
      </c>
      <c r="B237" s="186" t="s">
        <v>1152</v>
      </c>
      <c r="C237" s="4" t="s">
        <v>67</v>
      </c>
      <c r="D237" s="183">
        <f>IF(Clan="Grue",2,3)</f>
        <v>3</v>
      </c>
      <c r="E237" s="4" t="s">
        <v>3</v>
      </c>
      <c r="F237" s="17">
        <v>152</v>
      </c>
      <c r="G237" s="163" t="s">
        <v>1160</v>
      </c>
      <c r="I237" s="196" t="b">
        <f>IF(Verso!$B$22=Avantages!$A237,TRUE,FALSE)</f>
        <v>0</v>
      </c>
      <c r="J237" s="196" t="b">
        <f>IF(Verso!$B$23=Avantages!$A237,TRUE,FALSE)</f>
        <v>0</v>
      </c>
      <c r="K237" s="196" t="b">
        <f>IF(Verso!$B$24=Avantages!$A237,TRUE,FALSE)</f>
        <v>0</v>
      </c>
      <c r="L237" s="196" t="b">
        <f>IF(Verso!$B$25=Avantages!$A237,TRUE,FALSE)</f>
        <v>0</v>
      </c>
      <c r="M237" s="196" t="b">
        <f>IF(Verso!$B$26=Avantages!$A237,TRUE,FALSE)</f>
        <v>0</v>
      </c>
      <c r="N237" s="196" t="b">
        <f t="shared" si="15"/>
        <v>0</v>
      </c>
      <c r="P237" s="196">
        <f t="shared" si="16"/>
        <v>237</v>
      </c>
      <c r="Q237" s="196" t="str">
        <f t="shared" si="17"/>
        <v/>
      </c>
      <c r="R237" s="578" t="str">
        <f t="shared" si="18"/>
        <v/>
      </c>
    </row>
    <row r="238" spans="1:18" x14ac:dyDescent="0.25">
      <c r="A238" s="275" t="s">
        <v>1155</v>
      </c>
      <c r="B238" s="186" t="s">
        <v>1155</v>
      </c>
      <c r="C238" s="4" t="s">
        <v>67</v>
      </c>
      <c r="D238" s="183">
        <f>IF(Clan="Grue",3,4)</f>
        <v>4</v>
      </c>
      <c r="E238" s="4" t="s">
        <v>3</v>
      </c>
      <c r="F238" s="17">
        <v>152</v>
      </c>
      <c r="G238" s="163" t="s">
        <v>1160</v>
      </c>
      <c r="I238" s="196" t="b">
        <f>IF(Verso!$B$22=Avantages!$A238,TRUE,FALSE)</f>
        <v>0</v>
      </c>
      <c r="J238" s="196" t="b">
        <f>IF(Verso!$B$23=Avantages!$A238,TRUE,FALSE)</f>
        <v>0</v>
      </c>
      <c r="K238" s="196" t="b">
        <f>IF(Verso!$B$24=Avantages!$A238,TRUE,FALSE)</f>
        <v>0</v>
      </c>
      <c r="L238" s="196" t="b">
        <f>IF(Verso!$B$25=Avantages!$A238,TRUE,FALSE)</f>
        <v>0</v>
      </c>
      <c r="M238" s="196" t="b">
        <f>IF(Verso!$B$26=Avantages!$A238,TRUE,FALSE)</f>
        <v>0</v>
      </c>
      <c r="N238" s="196" t="b">
        <f t="shared" si="15"/>
        <v>0</v>
      </c>
      <c r="P238" s="196">
        <f t="shared" si="16"/>
        <v>238</v>
      </c>
      <c r="Q238" s="196" t="str">
        <f t="shared" si="17"/>
        <v/>
      </c>
      <c r="R238" s="578" t="str">
        <f t="shared" si="18"/>
        <v/>
      </c>
    </row>
    <row r="239" spans="1:18" s="196" customFormat="1" ht="12.6" customHeight="1" x14ac:dyDescent="0.25">
      <c r="A239" s="275" t="s">
        <v>7643</v>
      </c>
      <c r="B239" s="186" t="str">
        <f t="shared" ref="B239:B258" si="21">IF(Contexte_jeu&lt;&gt;"L'Empire Stellaire d'Emeraude","",CONCATENATE(A239))</f>
        <v/>
      </c>
      <c r="C239" s="4" t="s">
        <v>7653</v>
      </c>
      <c r="D239" s="183">
        <v>2</v>
      </c>
      <c r="E239" s="4" t="s">
        <v>7453</v>
      </c>
      <c r="F239" s="17">
        <v>91</v>
      </c>
      <c r="G239" s="163" t="s">
        <v>7644</v>
      </c>
      <c r="I239" s="196" t="b">
        <f>IF(Verso!$B$22=Avantages!$A239,TRUE,FALSE)</f>
        <v>0</v>
      </c>
      <c r="J239" s="196" t="b">
        <f>IF(Verso!$B$23=Avantages!$A239,TRUE,FALSE)</f>
        <v>0</v>
      </c>
      <c r="K239" s="196" t="b">
        <f>IF(Verso!$B$24=Avantages!$A239,TRUE,FALSE)</f>
        <v>0</v>
      </c>
      <c r="L239" s="196" t="b">
        <f>IF(Verso!$B$25=Avantages!$A239,TRUE,FALSE)</f>
        <v>0</v>
      </c>
      <c r="M239" s="196" t="b">
        <f>IF(Verso!$B$26=Avantages!$A239,TRUE,FALSE)</f>
        <v>0</v>
      </c>
      <c r="N239" s="196" t="b">
        <f t="shared" si="15"/>
        <v>0</v>
      </c>
      <c r="O239" s="295"/>
      <c r="P239" s="196" t="str">
        <f t="shared" si="16"/>
        <v/>
      </c>
      <c r="Q239" s="196" t="str">
        <f t="shared" si="17"/>
        <v/>
      </c>
      <c r="R239" s="578" t="str">
        <f t="shared" si="18"/>
        <v/>
      </c>
    </row>
    <row r="240" spans="1:18" s="196" customFormat="1" ht="12.6" customHeight="1" x14ac:dyDescent="0.25">
      <c r="A240" s="275" t="s">
        <v>7626</v>
      </c>
      <c r="B240" s="186" t="str">
        <f t="shared" si="21"/>
        <v/>
      </c>
      <c r="C240" s="4" t="s">
        <v>7653</v>
      </c>
      <c r="D240" s="183">
        <v>3</v>
      </c>
      <c r="E240" s="4" t="s">
        <v>7453</v>
      </c>
      <c r="F240" s="17">
        <v>91</v>
      </c>
      <c r="G240" s="163" t="s">
        <v>7627</v>
      </c>
      <c r="I240" s="196" t="b">
        <f>IF(Verso!$B$22=Avantages!$A240,TRUE,FALSE)</f>
        <v>0</v>
      </c>
      <c r="J240" s="196" t="b">
        <f>IF(Verso!$B$23=Avantages!$A240,TRUE,FALSE)</f>
        <v>0</v>
      </c>
      <c r="K240" s="196" t="b">
        <f>IF(Verso!$B$24=Avantages!$A240,TRUE,FALSE)</f>
        <v>0</v>
      </c>
      <c r="L240" s="196" t="b">
        <f>IF(Verso!$B$25=Avantages!$A240,TRUE,FALSE)</f>
        <v>0</v>
      </c>
      <c r="M240" s="196" t="b">
        <f>IF(Verso!$B$26=Avantages!$A240,TRUE,FALSE)</f>
        <v>0</v>
      </c>
      <c r="N240" s="196" t="b">
        <f t="shared" ref="N240:N257" si="22">IF(OR(I240=TRUE,J240=TRUE,K240=TRUE,L240=TRUE,M240=TRUE),TRUE,FALSE)</f>
        <v>0</v>
      </c>
      <c r="O240" s="295"/>
      <c r="P240" s="196" t="str">
        <f t="shared" si="16"/>
        <v/>
      </c>
      <c r="Q240" s="196" t="str">
        <f t="shared" si="17"/>
        <v/>
      </c>
      <c r="R240" s="578" t="str">
        <f t="shared" si="18"/>
        <v/>
      </c>
    </row>
    <row r="241" spans="1:18" s="196" customFormat="1" x14ac:dyDescent="0.25">
      <c r="A241" s="275" t="s">
        <v>7625</v>
      </c>
      <c r="B241" s="186" t="str">
        <f t="shared" si="21"/>
        <v/>
      </c>
      <c r="C241" s="4" t="s">
        <v>7653</v>
      </c>
      <c r="D241" s="183">
        <v>8</v>
      </c>
      <c r="E241" s="4" t="s">
        <v>7453</v>
      </c>
      <c r="F241" s="17">
        <v>91</v>
      </c>
      <c r="G241" s="163" t="s">
        <v>7628</v>
      </c>
      <c r="I241" s="196" t="b">
        <f>IF(Verso!$B$22=Avantages!$A241,TRUE,FALSE)</f>
        <v>0</v>
      </c>
      <c r="J241" s="196" t="b">
        <f>IF(Verso!$B$23=Avantages!$A241,TRUE,FALSE)</f>
        <v>0</v>
      </c>
      <c r="K241" s="196" t="b">
        <f>IF(Verso!$B$24=Avantages!$A241,TRUE,FALSE)</f>
        <v>0</v>
      </c>
      <c r="L241" s="196" t="b">
        <f>IF(Verso!$B$25=Avantages!$A241,TRUE,FALSE)</f>
        <v>0</v>
      </c>
      <c r="M241" s="196" t="b">
        <f>IF(Verso!$B$26=Avantages!$A241,TRUE,FALSE)</f>
        <v>0</v>
      </c>
      <c r="N241" s="196" t="b">
        <f t="shared" si="22"/>
        <v>0</v>
      </c>
      <c r="O241" s="295"/>
      <c r="P241" s="196" t="str">
        <f t="shared" si="16"/>
        <v/>
      </c>
      <c r="Q241" s="196" t="str">
        <f t="shared" si="17"/>
        <v/>
      </c>
      <c r="R241" s="578" t="str">
        <f t="shared" si="18"/>
        <v/>
      </c>
    </row>
    <row r="242" spans="1:18" s="196" customFormat="1" x14ac:dyDescent="0.25">
      <c r="A242" s="275" t="s">
        <v>7645</v>
      </c>
      <c r="B242" s="186" t="str">
        <f t="shared" si="21"/>
        <v/>
      </c>
      <c r="C242" s="4" t="s">
        <v>7653</v>
      </c>
      <c r="D242" s="183">
        <v>9</v>
      </c>
      <c r="E242" s="4" t="s">
        <v>7453</v>
      </c>
      <c r="F242" s="17">
        <v>91</v>
      </c>
      <c r="G242" s="163" t="s">
        <v>7646</v>
      </c>
      <c r="I242" s="196" t="b">
        <f>IF(Verso!$B$22=Avantages!$A242,TRUE,FALSE)</f>
        <v>0</v>
      </c>
      <c r="J242" s="196" t="b">
        <f>IF(Verso!$B$23=Avantages!$A242,TRUE,FALSE)</f>
        <v>0</v>
      </c>
      <c r="K242" s="196" t="b">
        <f>IF(Verso!$B$24=Avantages!$A242,TRUE,FALSE)</f>
        <v>0</v>
      </c>
      <c r="L242" s="196" t="b">
        <f>IF(Verso!$B$25=Avantages!$A242,TRUE,FALSE)</f>
        <v>0</v>
      </c>
      <c r="M242" s="196" t="b">
        <f>IF(Verso!$B$26=Avantages!$A242,TRUE,FALSE)</f>
        <v>0</v>
      </c>
      <c r="N242" s="196" t="b">
        <f>IF(OR(I242=TRUE,J242=TRUE,K242=TRUE,L242=TRUE,M242=TRUE),TRUE,FALSE)</f>
        <v>0</v>
      </c>
      <c r="O242" s="295"/>
      <c r="P242" s="196" t="str">
        <f t="shared" si="16"/>
        <v/>
      </c>
      <c r="Q242" s="196" t="str">
        <f t="shared" si="17"/>
        <v/>
      </c>
      <c r="R242" s="578" t="str">
        <f t="shared" si="18"/>
        <v/>
      </c>
    </row>
    <row r="243" spans="1:18" s="196" customFormat="1" x14ac:dyDescent="0.25">
      <c r="A243" s="275" t="s">
        <v>7613</v>
      </c>
      <c r="B243" s="186" t="str">
        <f t="shared" si="21"/>
        <v/>
      </c>
      <c r="C243" s="4" t="s">
        <v>7653</v>
      </c>
      <c r="D243" s="183">
        <v>6</v>
      </c>
      <c r="E243" s="4" t="s">
        <v>7453</v>
      </c>
      <c r="F243" s="17">
        <v>91</v>
      </c>
      <c r="G243" s="163" t="s">
        <v>7623</v>
      </c>
      <c r="I243" s="196" t="b">
        <f>IF(Verso!$B$22=Avantages!$A243,TRUE,FALSE)</f>
        <v>0</v>
      </c>
      <c r="J243" s="196" t="b">
        <f>IF(Verso!$B$23=Avantages!$A243,TRUE,FALSE)</f>
        <v>0</v>
      </c>
      <c r="K243" s="196" t="b">
        <f>IF(Verso!$B$24=Avantages!$A243,TRUE,FALSE)</f>
        <v>0</v>
      </c>
      <c r="L243" s="196" t="b">
        <f>IF(Verso!$B$25=Avantages!$A243,TRUE,FALSE)</f>
        <v>0</v>
      </c>
      <c r="M243" s="196" t="b">
        <f>IF(Verso!$B$26=Avantages!$A243,TRUE,FALSE)</f>
        <v>0</v>
      </c>
      <c r="N243" s="196" t="b">
        <f t="shared" si="22"/>
        <v>0</v>
      </c>
      <c r="O243" s="295"/>
      <c r="P243" s="196" t="str">
        <f t="shared" si="16"/>
        <v/>
      </c>
      <c r="Q243" s="196" t="str">
        <f t="shared" si="17"/>
        <v/>
      </c>
      <c r="R243" s="578" t="str">
        <f t="shared" si="18"/>
        <v/>
      </c>
    </row>
    <row r="244" spans="1:18" s="196" customFormat="1" x14ac:dyDescent="0.25">
      <c r="A244" s="275" t="s">
        <v>7616</v>
      </c>
      <c r="B244" s="186" t="str">
        <f t="shared" si="21"/>
        <v/>
      </c>
      <c r="C244" s="4" t="s">
        <v>7653</v>
      </c>
      <c r="D244" s="183">
        <v>8</v>
      </c>
      <c r="E244" s="4" t="s">
        <v>7453</v>
      </c>
      <c r="F244" s="17">
        <v>91</v>
      </c>
      <c r="G244" s="163" t="s">
        <v>7620</v>
      </c>
      <c r="I244" s="196" t="b">
        <f>IF(Verso!$B$22=Avantages!$A244,TRUE,FALSE)</f>
        <v>0</v>
      </c>
      <c r="J244" s="196" t="b">
        <f>IF(Verso!$B$23=Avantages!$A244,TRUE,FALSE)</f>
        <v>0</v>
      </c>
      <c r="K244" s="196" t="b">
        <f>IF(Verso!$B$24=Avantages!$A244,TRUE,FALSE)</f>
        <v>0</v>
      </c>
      <c r="L244" s="196" t="b">
        <f>IF(Verso!$B$25=Avantages!$A244,TRUE,FALSE)</f>
        <v>0</v>
      </c>
      <c r="M244" s="196" t="b">
        <f>IF(Verso!$B$26=Avantages!$A244,TRUE,FALSE)</f>
        <v>0</v>
      </c>
      <c r="N244" s="196" t="b">
        <f t="shared" si="22"/>
        <v>0</v>
      </c>
      <c r="O244" s="295"/>
      <c r="P244" s="196" t="str">
        <f t="shared" si="16"/>
        <v/>
      </c>
      <c r="Q244" s="196" t="str">
        <f t="shared" si="17"/>
        <v/>
      </c>
      <c r="R244" s="578" t="str">
        <f t="shared" si="18"/>
        <v/>
      </c>
    </row>
    <row r="245" spans="1:18" s="196" customFormat="1" x14ac:dyDescent="0.25">
      <c r="A245" s="275" t="s">
        <v>7615</v>
      </c>
      <c r="B245" s="186" t="str">
        <f t="shared" si="21"/>
        <v/>
      </c>
      <c r="C245" s="4" t="s">
        <v>7653</v>
      </c>
      <c r="D245" s="183">
        <v>10</v>
      </c>
      <c r="E245" s="4" t="s">
        <v>7453</v>
      </c>
      <c r="F245" s="17">
        <v>91</v>
      </c>
      <c r="G245" s="163" t="s">
        <v>7621</v>
      </c>
      <c r="I245" s="196" t="b">
        <f>IF(Verso!$B$22=Avantages!$A245,TRUE,FALSE)</f>
        <v>0</v>
      </c>
      <c r="J245" s="196" t="b">
        <f>IF(Verso!$B$23=Avantages!$A245,TRUE,FALSE)</f>
        <v>0</v>
      </c>
      <c r="K245" s="196" t="b">
        <f>IF(Verso!$B$24=Avantages!$A245,TRUE,FALSE)</f>
        <v>0</v>
      </c>
      <c r="L245" s="196" t="b">
        <f>IF(Verso!$B$25=Avantages!$A245,TRUE,FALSE)</f>
        <v>0</v>
      </c>
      <c r="M245" s="196" t="b">
        <f>IF(Verso!$B$26=Avantages!$A245,TRUE,FALSE)</f>
        <v>0</v>
      </c>
      <c r="N245" s="196" t="b">
        <f t="shared" si="22"/>
        <v>0</v>
      </c>
      <c r="O245" s="295"/>
      <c r="P245" s="196" t="str">
        <f t="shared" si="16"/>
        <v/>
      </c>
      <c r="Q245" s="196" t="str">
        <f t="shared" si="17"/>
        <v/>
      </c>
      <c r="R245" s="578" t="str">
        <f t="shared" si="18"/>
        <v/>
      </c>
    </row>
    <row r="246" spans="1:18" s="196" customFormat="1" x14ac:dyDescent="0.25">
      <c r="A246" s="275" t="s">
        <v>7614</v>
      </c>
      <c r="B246" s="186" t="str">
        <f t="shared" si="21"/>
        <v/>
      </c>
      <c r="C246" s="4" t="s">
        <v>7653</v>
      </c>
      <c r="D246" s="183">
        <v>10</v>
      </c>
      <c r="E246" s="4" t="s">
        <v>7453</v>
      </c>
      <c r="F246" s="17">
        <v>91</v>
      </c>
      <c r="G246" s="163" t="s">
        <v>7622</v>
      </c>
      <c r="I246" s="196" t="b">
        <f>IF(Verso!$B$22=Avantages!$A246,TRUE,FALSE)</f>
        <v>0</v>
      </c>
      <c r="J246" s="196" t="b">
        <f>IF(Verso!$B$23=Avantages!$A246,TRUE,FALSE)</f>
        <v>0</v>
      </c>
      <c r="K246" s="196" t="b">
        <f>IF(Verso!$B$24=Avantages!$A246,TRUE,FALSE)</f>
        <v>0</v>
      </c>
      <c r="L246" s="196" t="b">
        <f>IF(Verso!$B$25=Avantages!$A246,TRUE,FALSE)</f>
        <v>0</v>
      </c>
      <c r="M246" s="196" t="b">
        <f>IF(Verso!$B$26=Avantages!$A246,TRUE,FALSE)</f>
        <v>0</v>
      </c>
      <c r="N246" s="196" t="b">
        <f t="shared" si="22"/>
        <v>0</v>
      </c>
      <c r="O246" s="295"/>
      <c r="P246" s="196" t="str">
        <f t="shared" si="16"/>
        <v/>
      </c>
      <c r="Q246" s="196" t="str">
        <f t="shared" si="17"/>
        <v/>
      </c>
      <c r="R246" s="578" t="str">
        <f t="shared" si="18"/>
        <v/>
      </c>
    </row>
    <row r="247" spans="1:18" s="196" customFormat="1" x14ac:dyDescent="0.25">
      <c r="A247" s="275" t="s">
        <v>7647</v>
      </c>
      <c r="B247" s="186" t="str">
        <f t="shared" si="21"/>
        <v/>
      </c>
      <c r="C247" s="4" t="s">
        <v>7653</v>
      </c>
      <c r="D247" s="183">
        <v>4</v>
      </c>
      <c r="E247" s="4" t="s">
        <v>7453</v>
      </c>
      <c r="F247" s="17">
        <v>91</v>
      </c>
      <c r="G247" s="163" t="s">
        <v>7624</v>
      </c>
      <c r="I247" s="196" t="b">
        <f>IF(Verso!$B$22=Avantages!$A247,TRUE,FALSE)</f>
        <v>0</v>
      </c>
      <c r="J247" s="196" t="b">
        <f>IF(Verso!$B$23=Avantages!$A247,TRUE,FALSE)</f>
        <v>0</v>
      </c>
      <c r="K247" s="196" t="b">
        <f>IF(Verso!$B$24=Avantages!$A247,TRUE,FALSE)</f>
        <v>0</v>
      </c>
      <c r="L247" s="196" t="b">
        <f>IF(Verso!$B$25=Avantages!$A247,TRUE,FALSE)</f>
        <v>0</v>
      </c>
      <c r="M247" s="196" t="b">
        <f>IF(Verso!$B$26=Avantages!$A247,TRUE,FALSE)</f>
        <v>0</v>
      </c>
      <c r="N247" s="196" t="b">
        <f t="shared" si="22"/>
        <v>0</v>
      </c>
      <c r="O247" s="295"/>
      <c r="P247" s="196" t="str">
        <f t="shared" si="16"/>
        <v/>
      </c>
      <c r="Q247" s="196" t="str">
        <f t="shared" si="17"/>
        <v/>
      </c>
      <c r="R247" s="578" t="str">
        <f t="shared" si="18"/>
        <v/>
      </c>
    </row>
    <row r="248" spans="1:18" s="196" customFormat="1" x14ac:dyDescent="0.25">
      <c r="A248" s="275" t="s">
        <v>7617</v>
      </c>
      <c r="B248" s="186" t="str">
        <f t="shared" si="21"/>
        <v/>
      </c>
      <c r="C248" s="4" t="s">
        <v>7653</v>
      </c>
      <c r="D248" s="183">
        <v>9</v>
      </c>
      <c r="E248" s="4" t="s">
        <v>7453</v>
      </c>
      <c r="F248" s="17">
        <v>91</v>
      </c>
      <c r="G248" s="163" t="s">
        <v>7619</v>
      </c>
      <c r="I248" s="196" t="b">
        <f>IF(Verso!$B$22=Avantages!$A248,TRUE,FALSE)</f>
        <v>0</v>
      </c>
      <c r="J248" s="196" t="b">
        <f>IF(Verso!$B$23=Avantages!$A248,TRUE,FALSE)</f>
        <v>0</v>
      </c>
      <c r="K248" s="196" t="b">
        <f>IF(Verso!$B$24=Avantages!$A248,TRUE,FALSE)</f>
        <v>0</v>
      </c>
      <c r="L248" s="196" t="b">
        <f>IF(Verso!$B$25=Avantages!$A248,TRUE,FALSE)</f>
        <v>0</v>
      </c>
      <c r="M248" s="196" t="b">
        <f>IF(Verso!$B$26=Avantages!$A248,TRUE,FALSE)</f>
        <v>0</v>
      </c>
      <c r="N248" s="196" t="b">
        <f t="shared" si="22"/>
        <v>0</v>
      </c>
      <c r="O248" s="295"/>
      <c r="P248" s="196" t="str">
        <f t="shared" si="16"/>
        <v/>
      </c>
      <c r="Q248" s="196" t="str">
        <f t="shared" si="17"/>
        <v/>
      </c>
      <c r="R248" s="578" t="str">
        <f t="shared" si="18"/>
        <v/>
      </c>
    </row>
    <row r="249" spans="1:18" s="196" customFormat="1" x14ac:dyDescent="0.25">
      <c r="A249" s="275" t="s">
        <v>7618</v>
      </c>
      <c r="B249" s="186" t="str">
        <f t="shared" si="21"/>
        <v/>
      </c>
      <c r="C249" s="4" t="s">
        <v>7653</v>
      </c>
      <c r="D249" s="183">
        <v>11</v>
      </c>
      <c r="E249" s="4" t="s">
        <v>7453</v>
      </c>
      <c r="F249" s="17">
        <v>91</v>
      </c>
      <c r="G249" s="163" t="s">
        <v>7650</v>
      </c>
      <c r="I249" s="196" t="b">
        <f>IF(Verso!$B$22=Avantages!$A249,TRUE,FALSE)</f>
        <v>0</v>
      </c>
      <c r="J249" s="196" t="b">
        <f>IF(Verso!$B$23=Avantages!$A249,TRUE,FALSE)</f>
        <v>0</v>
      </c>
      <c r="K249" s="196" t="b">
        <f>IF(Verso!$B$24=Avantages!$A249,TRUE,FALSE)</f>
        <v>0</v>
      </c>
      <c r="L249" s="196" t="b">
        <f>IF(Verso!$B$25=Avantages!$A249,TRUE,FALSE)</f>
        <v>0</v>
      </c>
      <c r="M249" s="196" t="b">
        <f>IF(Verso!$B$26=Avantages!$A249,TRUE,FALSE)</f>
        <v>0</v>
      </c>
      <c r="N249" s="196" t="b">
        <f t="shared" si="22"/>
        <v>0</v>
      </c>
      <c r="O249" s="295"/>
      <c r="P249" s="196" t="str">
        <f t="shared" si="16"/>
        <v/>
      </c>
      <c r="Q249" s="196" t="str">
        <f t="shared" si="17"/>
        <v/>
      </c>
      <c r="R249" s="578" t="str">
        <f t="shared" si="18"/>
        <v/>
      </c>
    </row>
    <row r="250" spans="1:18" s="196" customFormat="1" x14ac:dyDescent="0.25">
      <c r="A250" s="275" t="s">
        <v>7638</v>
      </c>
      <c r="B250" s="186" t="str">
        <f t="shared" si="21"/>
        <v/>
      </c>
      <c r="C250" s="4" t="s">
        <v>7653</v>
      </c>
      <c r="D250" s="183">
        <v>4</v>
      </c>
      <c r="E250" s="4" t="s">
        <v>7453</v>
      </c>
      <c r="F250" s="17">
        <v>91</v>
      </c>
      <c r="G250" s="163" t="s">
        <v>7639</v>
      </c>
      <c r="I250" s="196" t="b">
        <f>IF(Verso!$B$22=Avantages!$A250,TRUE,FALSE)</f>
        <v>0</v>
      </c>
      <c r="J250" s="196" t="b">
        <f>IF(Verso!$B$23=Avantages!$A250,TRUE,FALSE)</f>
        <v>0</v>
      </c>
      <c r="K250" s="196" t="b">
        <f>IF(Verso!$B$24=Avantages!$A250,TRUE,FALSE)</f>
        <v>0</v>
      </c>
      <c r="L250" s="196" t="b">
        <f>IF(Verso!$B$25=Avantages!$A250,TRUE,FALSE)</f>
        <v>0</v>
      </c>
      <c r="M250" s="196" t="b">
        <f>IF(Verso!$B$26=Avantages!$A250,TRUE,FALSE)</f>
        <v>0</v>
      </c>
      <c r="N250" s="196" t="b">
        <f t="shared" ref="N250:N256" si="23">IF(OR(I250=TRUE,J250=TRUE,K250=TRUE,L250=TRUE,M250=TRUE),TRUE,FALSE)</f>
        <v>0</v>
      </c>
      <c r="O250" s="295"/>
      <c r="P250" s="196" t="str">
        <f t="shared" si="16"/>
        <v/>
      </c>
      <c r="Q250" s="196" t="str">
        <f t="shared" si="17"/>
        <v/>
      </c>
      <c r="R250" s="578" t="str">
        <f t="shared" si="18"/>
        <v/>
      </c>
    </row>
    <row r="251" spans="1:18" s="196" customFormat="1" x14ac:dyDescent="0.25">
      <c r="A251" s="275" t="s">
        <v>7640</v>
      </c>
      <c r="B251" s="186" t="str">
        <f t="shared" si="21"/>
        <v/>
      </c>
      <c r="C251" s="4" t="s">
        <v>7653</v>
      </c>
      <c r="D251" s="183">
        <v>8</v>
      </c>
      <c r="E251" s="4" t="s">
        <v>7453</v>
      </c>
      <c r="F251" s="17">
        <v>91</v>
      </c>
      <c r="G251" s="163" t="s">
        <v>7652</v>
      </c>
      <c r="I251" s="196" t="b">
        <f>IF(Verso!$B$22=Avantages!$A251,TRUE,FALSE)</f>
        <v>0</v>
      </c>
      <c r="J251" s="196" t="b">
        <f>IF(Verso!$B$23=Avantages!$A251,TRUE,FALSE)</f>
        <v>0</v>
      </c>
      <c r="K251" s="196" t="b">
        <f>IF(Verso!$B$24=Avantages!$A251,TRUE,FALSE)</f>
        <v>0</v>
      </c>
      <c r="L251" s="196" t="b">
        <f>IF(Verso!$B$25=Avantages!$A251,TRUE,FALSE)</f>
        <v>0</v>
      </c>
      <c r="M251" s="196" t="b">
        <f>IF(Verso!$B$26=Avantages!$A251,TRUE,FALSE)</f>
        <v>0</v>
      </c>
      <c r="N251" s="196" t="b">
        <f t="shared" si="23"/>
        <v>0</v>
      </c>
      <c r="O251" s="295"/>
      <c r="P251" s="196" t="str">
        <f t="shared" si="16"/>
        <v/>
      </c>
      <c r="Q251" s="196" t="str">
        <f t="shared" si="17"/>
        <v/>
      </c>
      <c r="R251" s="578" t="str">
        <f t="shared" si="18"/>
        <v/>
      </c>
    </row>
    <row r="252" spans="1:18" s="196" customFormat="1" x14ac:dyDescent="0.25">
      <c r="A252" s="275" t="s">
        <v>7635</v>
      </c>
      <c r="B252" s="186" t="str">
        <f t="shared" si="21"/>
        <v/>
      </c>
      <c r="C252" s="4" t="s">
        <v>7653</v>
      </c>
      <c r="D252" s="183">
        <v>4</v>
      </c>
      <c r="E252" s="4" t="s">
        <v>7453</v>
      </c>
      <c r="F252" s="17">
        <v>91</v>
      </c>
      <c r="G252" s="163" t="s">
        <v>7636</v>
      </c>
      <c r="I252" s="196" t="b">
        <f>IF(Verso!$B$22=Avantages!$A252,TRUE,FALSE)</f>
        <v>0</v>
      </c>
      <c r="J252" s="196" t="b">
        <f>IF(Verso!$B$23=Avantages!$A252,TRUE,FALSE)</f>
        <v>0</v>
      </c>
      <c r="K252" s="196" t="b">
        <f>IF(Verso!$B$24=Avantages!$A252,TRUE,FALSE)</f>
        <v>0</v>
      </c>
      <c r="L252" s="196" t="b">
        <f>IF(Verso!$B$25=Avantages!$A252,TRUE,FALSE)</f>
        <v>0</v>
      </c>
      <c r="M252" s="196" t="b">
        <f>IF(Verso!$B$26=Avantages!$A252,TRUE,FALSE)</f>
        <v>0</v>
      </c>
      <c r="N252" s="196" t="b">
        <f t="shared" si="23"/>
        <v>0</v>
      </c>
      <c r="O252" s="295"/>
      <c r="P252" s="196" t="str">
        <f t="shared" si="16"/>
        <v/>
      </c>
      <c r="Q252" s="196" t="str">
        <f t="shared" si="17"/>
        <v/>
      </c>
      <c r="R252" s="578" t="str">
        <f t="shared" si="18"/>
        <v/>
      </c>
    </row>
    <row r="253" spans="1:18" s="196" customFormat="1" x14ac:dyDescent="0.25">
      <c r="A253" s="275" t="s">
        <v>7637</v>
      </c>
      <c r="B253" s="186" t="str">
        <f t="shared" si="21"/>
        <v/>
      </c>
      <c r="C253" s="4" t="s">
        <v>7653</v>
      </c>
      <c r="D253" s="183">
        <v>9</v>
      </c>
      <c r="E253" s="4" t="s">
        <v>7453</v>
      </c>
      <c r="F253" s="17">
        <v>91</v>
      </c>
      <c r="G253" s="163" t="s">
        <v>8370</v>
      </c>
      <c r="I253" s="196" t="b">
        <f>IF(Verso!$B$22=Avantages!$A253,TRUE,FALSE)</f>
        <v>0</v>
      </c>
      <c r="J253" s="196" t="b">
        <f>IF(Verso!$B$23=Avantages!$A253,TRUE,FALSE)</f>
        <v>0</v>
      </c>
      <c r="K253" s="196" t="b">
        <f>IF(Verso!$B$24=Avantages!$A253,TRUE,FALSE)</f>
        <v>0</v>
      </c>
      <c r="L253" s="196" t="b">
        <f>IF(Verso!$B$25=Avantages!$A253,TRUE,FALSE)</f>
        <v>0</v>
      </c>
      <c r="M253" s="196" t="b">
        <f>IF(Verso!$B$26=Avantages!$A253,TRUE,FALSE)</f>
        <v>0</v>
      </c>
      <c r="N253" s="196" t="b">
        <f t="shared" si="23"/>
        <v>0</v>
      </c>
      <c r="O253" s="295"/>
      <c r="P253" s="196" t="str">
        <f t="shared" si="16"/>
        <v/>
      </c>
      <c r="Q253" s="196" t="str">
        <f t="shared" si="17"/>
        <v/>
      </c>
      <c r="R253" s="578" t="str">
        <f t="shared" si="18"/>
        <v/>
      </c>
    </row>
    <row r="254" spans="1:18" s="196" customFormat="1" x14ac:dyDescent="0.25">
      <c r="A254" s="275" t="s">
        <v>7641</v>
      </c>
      <c r="B254" s="186" t="str">
        <f t="shared" si="21"/>
        <v/>
      </c>
      <c r="C254" s="4" t="s">
        <v>7653</v>
      </c>
      <c r="D254" s="183">
        <v>4</v>
      </c>
      <c r="E254" s="4" t="s">
        <v>7453</v>
      </c>
      <c r="F254" s="17">
        <v>91</v>
      </c>
      <c r="G254" s="163" t="s">
        <v>7642</v>
      </c>
      <c r="I254" s="196" t="b">
        <f>IF(Verso!$B$22=Avantages!$A254,TRUE,FALSE)</f>
        <v>0</v>
      </c>
      <c r="J254" s="196" t="b">
        <f>IF(Verso!$B$23=Avantages!$A254,TRUE,FALSE)</f>
        <v>0</v>
      </c>
      <c r="K254" s="196" t="b">
        <f>IF(Verso!$B$24=Avantages!$A254,TRUE,FALSE)</f>
        <v>0</v>
      </c>
      <c r="L254" s="196" t="b">
        <f>IF(Verso!$B$25=Avantages!$A254,TRUE,FALSE)</f>
        <v>0</v>
      </c>
      <c r="M254" s="196" t="b">
        <f>IF(Verso!$B$26=Avantages!$A254,TRUE,FALSE)</f>
        <v>0</v>
      </c>
      <c r="N254" s="196" t="b">
        <f t="shared" si="23"/>
        <v>0</v>
      </c>
      <c r="O254" s="295"/>
      <c r="P254" s="196" t="str">
        <f t="shared" si="16"/>
        <v/>
      </c>
      <c r="Q254" s="196" t="str">
        <f t="shared" si="17"/>
        <v/>
      </c>
      <c r="R254" s="578" t="str">
        <f t="shared" si="18"/>
        <v/>
      </c>
    </row>
    <row r="255" spans="1:18" s="196" customFormat="1" x14ac:dyDescent="0.25">
      <c r="A255" s="275" t="s">
        <v>7632</v>
      </c>
      <c r="B255" s="186" t="str">
        <f t="shared" si="21"/>
        <v/>
      </c>
      <c r="C255" s="4" t="s">
        <v>7653</v>
      </c>
      <c r="D255" s="183">
        <v>4</v>
      </c>
      <c r="E255" s="4" t="s">
        <v>7453</v>
      </c>
      <c r="F255" s="17">
        <v>91</v>
      </c>
      <c r="G255" s="163" t="s">
        <v>7633</v>
      </c>
      <c r="I255" s="196" t="b">
        <f>IF(Verso!$B$22=Avantages!$A255,TRUE,FALSE)</f>
        <v>0</v>
      </c>
      <c r="J255" s="196" t="b">
        <f>IF(Verso!$B$23=Avantages!$A255,TRUE,FALSE)</f>
        <v>0</v>
      </c>
      <c r="K255" s="196" t="b">
        <f>IF(Verso!$B$24=Avantages!$A255,TRUE,FALSE)</f>
        <v>0</v>
      </c>
      <c r="L255" s="196" t="b">
        <f>IF(Verso!$B$25=Avantages!$A255,TRUE,FALSE)</f>
        <v>0</v>
      </c>
      <c r="M255" s="196" t="b">
        <f>IF(Verso!$B$26=Avantages!$A255,TRUE,FALSE)</f>
        <v>0</v>
      </c>
      <c r="N255" s="196" t="b">
        <f t="shared" si="23"/>
        <v>0</v>
      </c>
      <c r="O255" s="295"/>
      <c r="P255" s="196" t="str">
        <f t="shared" si="16"/>
        <v/>
      </c>
      <c r="Q255" s="196" t="str">
        <f t="shared" si="17"/>
        <v/>
      </c>
      <c r="R255" s="578" t="str">
        <f t="shared" si="18"/>
        <v/>
      </c>
    </row>
    <row r="256" spans="1:18" s="196" customFormat="1" x14ac:dyDescent="0.25">
      <c r="A256" s="275" t="s">
        <v>7634</v>
      </c>
      <c r="B256" s="186" t="str">
        <f t="shared" si="21"/>
        <v/>
      </c>
      <c r="C256" s="4" t="s">
        <v>7653</v>
      </c>
      <c r="D256" s="183">
        <v>8</v>
      </c>
      <c r="E256" s="4" t="s">
        <v>7453</v>
      </c>
      <c r="F256" s="17">
        <v>91</v>
      </c>
      <c r="G256" s="163" t="s">
        <v>7648</v>
      </c>
      <c r="I256" s="196" t="b">
        <f>IF(Verso!$B$22=Avantages!$A256,TRUE,FALSE)</f>
        <v>0</v>
      </c>
      <c r="J256" s="196" t="b">
        <f>IF(Verso!$B$23=Avantages!$A256,TRUE,FALSE)</f>
        <v>0</v>
      </c>
      <c r="K256" s="196" t="b">
        <f>IF(Verso!$B$24=Avantages!$A256,TRUE,FALSE)</f>
        <v>0</v>
      </c>
      <c r="L256" s="196" t="b">
        <f>IF(Verso!$B$25=Avantages!$A256,TRUE,FALSE)</f>
        <v>0</v>
      </c>
      <c r="M256" s="196" t="b">
        <f>IF(Verso!$B$26=Avantages!$A256,TRUE,FALSE)</f>
        <v>0</v>
      </c>
      <c r="N256" s="196" t="b">
        <f t="shared" si="23"/>
        <v>0</v>
      </c>
      <c r="O256" s="295"/>
      <c r="P256" s="196" t="str">
        <f t="shared" si="16"/>
        <v/>
      </c>
      <c r="Q256" s="196" t="str">
        <f t="shared" si="17"/>
        <v/>
      </c>
      <c r="R256" s="578" t="str">
        <f t="shared" si="18"/>
        <v/>
      </c>
    </row>
    <row r="257" spans="1:18" s="196" customFormat="1" x14ac:dyDescent="0.25">
      <c r="A257" s="275" t="s">
        <v>7629</v>
      </c>
      <c r="B257" s="186" t="str">
        <f t="shared" si="21"/>
        <v/>
      </c>
      <c r="C257" s="4" t="s">
        <v>7653</v>
      </c>
      <c r="D257" s="183">
        <v>4</v>
      </c>
      <c r="E257" s="4" t="s">
        <v>7453</v>
      </c>
      <c r="F257" s="17">
        <v>91</v>
      </c>
      <c r="G257" s="163" t="s">
        <v>7631</v>
      </c>
      <c r="I257" s="196" t="b">
        <f>IF(Verso!$B$22=Avantages!$A257,TRUE,FALSE)</f>
        <v>0</v>
      </c>
      <c r="J257" s="196" t="b">
        <f>IF(Verso!$B$23=Avantages!$A257,TRUE,FALSE)</f>
        <v>0</v>
      </c>
      <c r="K257" s="196" t="b">
        <f>IF(Verso!$B$24=Avantages!$A257,TRUE,FALSE)</f>
        <v>0</v>
      </c>
      <c r="L257" s="196" t="b">
        <f>IF(Verso!$B$25=Avantages!$A257,TRUE,FALSE)</f>
        <v>0</v>
      </c>
      <c r="M257" s="196" t="b">
        <f>IF(Verso!$B$26=Avantages!$A257,TRUE,FALSE)</f>
        <v>0</v>
      </c>
      <c r="N257" s="196" t="b">
        <f t="shared" si="22"/>
        <v>0</v>
      </c>
      <c r="O257" s="295"/>
      <c r="P257" s="196" t="str">
        <f t="shared" si="16"/>
        <v/>
      </c>
      <c r="Q257" s="196" t="str">
        <f t="shared" si="17"/>
        <v/>
      </c>
      <c r="R257" s="578" t="str">
        <f t="shared" si="18"/>
        <v/>
      </c>
    </row>
    <row r="258" spans="1:18" s="196" customFormat="1" x14ac:dyDescent="0.25">
      <c r="A258" s="275" t="s">
        <v>7630</v>
      </c>
      <c r="B258" s="186" t="str">
        <f t="shared" si="21"/>
        <v/>
      </c>
      <c r="C258" s="4" t="s">
        <v>7653</v>
      </c>
      <c r="D258" s="183">
        <v>8</v>
      </c>
      <c r="E258" s="4" t="s">
        <v>7453</v>
      </c>
      <c r="F258" s="17">
        <v>91</v>
      </c>
      <c r="G258" s="163" t="s">
        <v>7649</v>
      </c>
      <c r="I258" s="196" t="b">
        <f>IF(Verso!$B$22=Avantages!$A258,TRUE,FALSE)</f>
        <v>0</v>
      </c>
      <c r="J258" s="196" t="b">
        <f>IF(Verso!$B$23=Avantages!$A258,TRUE,FALSE)</f>
        <v>0</v>
      </c>
      <c r="K258" s="196" t="b">
        <f>IF(Verso!$B$24=Avantages!$A258,TRUE,FALSE)</f>
        <v>0</v>
      </c>
      <c r="L258" s="196" t="b">
        <f>IF(Verso!$B$25=Avantages!$A258,TRUE,FALSE)</f>
        <v>0</v>
      </c>
      <c r="M258" s="196" t="b">
        <f>IF(Verso!$B$26=Avantages!$A258,TRUE,FALSE)</f>
        <v>0</v>
      </c>
      <c r="N258" s="196" t="b">
        <f>IF(OR(I258=TRUE,J258=TRUE,K258=TRUE,L258=TRUE,M258=TRUE),TRUE,FALSE)</f>
        <v>0</v>
      </c>
      <c r="O258" s="295"/>
      <c r="P258" s="196" t="str">
        <f t="shared" si="16"/>
        <v/>
      </c>
      <c r="Q258" s="196" t="str">
        <f t="shared" si="17"/>
        <v/>
      </c>
      <c r="R258" s="578" t="str">
        <f t="shared" si="18"/>
        <v/>
      </c>
    </row>
    <row r="259" spans="1:18" x14ac:dyDescent="0.25">
      <c r="A259" s="186" t="s">
        <v>695</v>
      </c>
      <c r="B259" s="186" t="s">
        <v>695</v>
      </c>
      <c r="C259" s="4" t="s">
        <v>67</v>
      </c>
      <c r="D259" s="183">
        <f>IF(Clan="Scorpion",6,IF(Clan="Kolat",5,IF(Clan="Daidoji",7,8)))</f>
        <v>8</v>
      </c>
      <c r="E259" s="4" t="s">
        <v>2075</v>
      </c>
      <c r="F259" s="17">
        <v>48</v>
      </c>
      <c r="G259" s="163" t="s">
        <v>88</v>
      </c>
      <c r="I259" s="196" t="b">
        <f>IF(Verso!$B$22=Avantages!$A259,TRUE,FALSE)</f>
        <v>0</v>
      </c>
      <c r="J259" s="196" t="b">
        <f>IF(Verso!$B$23=Avantages!$A259,TRUE,FALSE)</f>
        <v>0</v>
      </c>
      <c r="K259" s="196" t="b">
        <f>IF(Verso!$B$24=Avantages!$A259,TRUE,FALSE)</f>
        <v>0</v>
      </c>
      <c r="L259" s="196" t="b">
        <f>IF(Verso!$B$25=Avantages!$A259,TRUE,FALSE)</f>
        <v>0</v>
      </c>
      <c r="M259" s="196" t="b">
        <f>IF(Verso!$B$26=Avantages!$A259,TRUE,FALSE)</f>
        <v>0</v>
      </c>
      <c r="N259" s="196" t="b">
        <f t="shared" si="15"/>
        <v>0</v>
      </c>
      <c r="P259" s="196">
        <f t="shared" ref="P259:P313" si="24">IF(B259="","",ROW())</f>
        <v>259</v>
      </c>
      <c r="Q259" s="196" t="str">
        <f t="shared" ref="Q259:Q313" si="25">IFERROR(SMALL(P:P,ROW()-1),"")</f>
        <v/>
      </c>
      <c r="R259" s="578" t="str">
        <f t="shared" ref="R259:R313" si="26">IFERROR(INDEX(B:B,Q259),"")</f>
        <v/>
      </c>
    </row>
    <row r="260" spans="1:18" x14ac:dyDescent="0.25">
      <c r="A260" s="186" t="s">
        <v>1086</v>
      </c>
      <c r="B260" s="186" t="s">
        <v>1086</v>
      </c>
      <c r="C260" s="4" t="s">
        <v>629</v>
      </c>
      <c r="D260" s="183">
        <v>6</v>
      </c>
      <c r="E260" s="4" t="s">
        <v>3</v>
      </c>
      <c r="F260" s="17">
        <v>152</v>
      </c>
      <c r="G260" s="270" t="s">
        <v>1083</v>
      </c>
      <c r="I260" s="196" t="b">
        <f>IF(Verso!$B$22=Avantages!$A260,TRUE,FALSE)</f>
        <v>0</v>
      </c>
      <c r="J260" s="196" t="b">
        <f>IF(Verso!$B$23=Avantages!$A260,TRUE,FALSE)</f>
        <v>0</v>
      </c>
      <c r="K260" s="196" t="b">
        <f>IF(Verso!$B$24=Avantages!$A260,TRUE,FALSE)</f>
        <v>0</v>
      </c>
      <c r="L260" s="196" t="b">
        <f>IF(Verso!$B$25=Avantages!$A260,TRUE,FALSE)</f>
        <v>0</v>
      </c>
      <c r="M260" s="196" t="b">
        <f>IF(Verso!$B$26=Avantages!$A260,TRUE,FALSE)</f>
        <v>0</v>
      </c>
      <c r="N260" s="196" t="b">
        <f t="shared" si="15"/>
        <v>0</v>
      </c>
      <c r="P260" s="196">
        <f t="shared" si="24"/>
        <v>260</v>
      </c>
      <c r="Q260" s="196" t="str">
        <f t="shared" si="25"/>
        <v/>
      </c>
      <c r="R260" s="578" t="str">
        <f t="shared" si="26"/>
        <v/>
      </c>
    </row>
    <row r="261" spans="1:18" x14ac:dyDescent="0.25">
      <c r="A261" s="186" t="s">
        <v>1084</v>
      </c>
      <c r="B261" s="186" t="s">
        <v>1084</v>
      </c>
      <c r="C261" s="4" t="s">
        <v>629</v>
      </c>
      <c r="D261" s="183">
        <v>2</v>
      </c>
      <c r="E261" s="4" t="s">
        <v>3</v>
      </c>
      <c r="F261" s="17">
        <v>152</v>
      </c>
      <c r="G261" s="163" t="s">
        <v>824</v>
      </c>
      <c r="I261" s="196" t="b">
        <f>IF(Verso!$B$22=Avantages!$A261,TRUE,FALSE)</f>
        <v>0</v>
      </c>
      <c r="J261" s="196" t="b">
        <f>IF(Verso!$B$23=Avantages!$A261,TRUE,FALSE)</f>
        <v>0</v>
      </c>
      <c r="K261" s="196" t="b">
        <f>IF(Verso!$B$24=Avantages!$A261,TRUE,FALSE)</f>
        <v>0</v>
      </c>
      <c r="L261" s="196" t="b">
        <f>IF(Verso!$B$25=Avantages!$A261,TRUE,FALSE)</f>
        <v>0</v>
      </c>
      <c r="M261" s="196" t="b">
        <f>IF(Verso!$B$26=Avantages!$A261,TRUE,FALSE)</f>
        <v>0</v>
      </c>
      <c r="N261" s="196" t="b">
        <f t="shared" si="15"/>
        <v>0</v>
      </c>
      <c r="P261" s="196">
        <f t="shared" si="24"/>
        <v>261</v>
      </c>
      <c r="Q261" s="196" t="str">
        <f t="shared" si="25"/>
        <v/>
      </c>
      <c r="R261" s="578" t="str">
        <f t="shared" si="26"/>
        <v/>
      </c>
    </row>
    <row r="262" spans="1:18" x14ac:dyDescent="0.25">
      <c r="A262" s="186" t="s">
        <v>1085</v>
      </c>
      <c r="B262" s="186" t="s">
        <v>1085</v>
      </c>
      <c r="C262" s="4" t="s">
        <v>629</v>
      </c>
      <c r="D262" s="183">
        <v>4</v>
      </c>
      <c r="E262" s="4" t="s">
        <v>3</v>
      </c>
      <c r="F262" s="17">
        <v>152</v>
      </c>
      <c r="G262" s="270" t="s">
        <v>1082</v>
      </c>
      <c r="I262" s="196" t="b">
        <f>IF(Verso!$B$22=Avantages!$A262,TRUE,FALSE)</f>
        <v>0</v>
      </c>
      <c r="J262" s="196" t="b">
        <f>IF(Verso!$B$23=Avantages!$A262,TRUE,FALSE)</f>
        <v>0</v>
      </c>
      <c r="K262" s="196" t="b">
        <f>IF(Verso!$B$24=Avantages!$A262,TRUE,FALSE)</f>
        <v>0</v>
      </c>
      <c r="L262" s="196" t="b">
        <f>IF(Verso!$B$25=Avantages!$A262,TRUE,FALSE)</f>
        <v>0</v>
      </c>
      <c r="M262" s="196" t="b">
        <f>IF(Verso!$B$26=Avantages!$A262,TRUE,FALSE)</f>
        <v>0</v>
      </c>
      <c r="N262" s="196" t="b">
        <f t="shared" si="15"/>
        <v>0</v>
      </c>
      <c r="P262" s="196">
        <f t="shared" si="24"/>
        <v>262</v>
      </c>
      <c r="Q262" s="196" t="str">
        <f t="shared" si="25"/>
        <v/>
      </c>
      <c r="R262" s="578" t="str">
        <f t="shared" si="26"/>
        <v/>
      </c>
    </row>
    <row r="263" spans="1:18" x14ac:dyDescent="0.25">
      <c r="A263" s="186" t="s">
        <v>687</v>
      </c>
      <c r="B263" s="186" t="s">
        <v>687</v>
      </c>
      <c r="C263" s="4" t="s">
        <v>628</v>
      </c>
      <c r="D263" s="183">
        <v>3</v>
      </c>
      <c r="E263" s="4" t="s">
        <v>3</v>
      </c>
      <c r="F263" s="17">
        <v>153</v>
      </c>
      <c r="G263" s="270" t="s">
        <v>1087</v>
      </c>
      <c r="I263" s="196" t="b">
        <f>IF(Verso!$B$22=Avantages!$A263,TRUE,FALSE)</f>
        <v>0</v>
      </c>
      <c r="J263" s="196" t="b">
        <f>IF(Verso!$B$23=Avantages!$A263,TRUE,FALSE)</f>
        <v>0</v>
      </c>
      <c r="K263" s="196" t="b">
        <f>IF(Verso!$B$24=Avantages!$A263,TRUE,FALSE)</f>
        <v>0</v>
      </c>
      <c r="L263" s="196" t="b">
        <f>IF(Verso!$B$25=Avantages!$A263,TRUE,FALSE)</f>
        <v>0</v>
      </c>
      <c r="M263" s="196" t="b">
        <f>IF(Verso!$B$26=Avantages!$A263,TRUE,FALSE)</f>
        <v>0</v>
      </c>
      <c r="N263" s="196" t="b">
        <f t="shared" si="15"/>
        <v>0</v>
      </c>
      <c r="P263" s="196">
        <f t="shared" si="24"/>
        <v>263</v>
      </c>
      <c r="Q263" s="196" t="str">
        <f t="shared" si="25"/>
        <v/>
      </c>
      <c r="R263" s="578" t="str">
        <f t="shared" si="26"/>
        <v/>
      </c>
    </row>
    <row r="264" spans="1:18" x14ac:dyDescent="0.25">
      <c r="A264" s="186" t="s">
        <v>4050</v>
      </c>
      <c r="B264" s="186" t="s">
        <v>4050</v>
      </c>
      <c r="C264" s="4" t="s">
        <v>631</v>
      </c>
      <c r="D264" s="183">
        <f>IF(Calculs!G586&gt;0,4,5)</f>
        <v>5</v>
      </c>
      <c r="E264" s="4" t="s">
        <v>3</v>
      </c>
      <c r="F264" s="17">
        <v>153</v>
      </c>
      <c r="G264" s="270" t="s">
        <v>4051</v>
      </c>
      <c r="I264" s="196" t="b">
        <f>IF(Verso!$B$22=Avantages!$A264,TRUE,FALSE)</f>
        <v>0</v>
      </c>
      <c r="J264" s="196" t="b">
        <f>IF(Verso!$B$23=Avantages!$A264,TRUE,FALSE)</f>
        <v>0</v>
      </c>
      <c r="K264" s="196" t="b">
        <f>IF(Verso!$B$24=Avantages!$A264,TRUE,FALSE)</f>
        <v>0</v>
      </c>
      <c r="L264" s="196" t="b">
        <f>IF(Verso!$B$25=Avantages!$A264,TRUE,FALSE)</f>
        <v>0</v>
      </c>
      <c r="M264" s="196" t="b">
        <f>IF(Verso!$B$26=Avantages!$A264,TRUE,FALSE)</f>
        <v>0</v>
      </c>
      <c r="N264" s="196" t="b">
        <f t="shared" ref="N264:N313" si="27">IF(OR(I264=TRUE,J264=TRUE,K264=TRUE,L264=TRUE,M264=TRUE),TRUE,FALSE)</f>
        <v>0</v>
      </c>
      <c r="O264" s="295" t="s">
        <v>6472</v>
      </c>
      <c r="P264" s="196">
        <f t="shared" si="24"/>
        <v>264</v>
      </c>
      <c r="Q264" s="196" t="str">
        <f t="shared" si="25"/>
        <v/>
      </c>
      <c r="R264" s="578" t="str">
        <f t="shared" si="26"/>
        <v/>
      </c>
    </row>
    <row r="265" spans="1:18" x14ac:dyDescent="0.25">
      <c r="A265" s="186" t="s">
        <v>2843</v>
      </c>
      <c r="B265" s="186" t="s">
        <v>2843</v>
      </c>
      <c r="C265" s="4" t="s">
        <v>631</v>
      </c>
      <c r="D265" s="183">
        <f>IF(Calculs!G586&gt;0,3,4)</f>
        <v>4</v>
      </c>
      <c r="E265" s="4" t="s">
        <v>3</v>
      </c>
      <c r="F265" s="17">
        <v>153</v>
      </c>
      <c r="G265" s="270" t="s">
        <v>2850</v>
      </c>
      <c r="I265" s="196" t="b">
        <f>IF(Verso!$B$22=Avantages!$A265,TRUE,FALSE)</f>
        <v>0</v>
      </c>
      <c r="J265" s="196" t="b">
        <f>IF(Verso!$B$23=Avantages!$A265,TRUE,FALSE)</f>
        <v>0</v>
      </c>
      <c r="K265" s="196" t="b">
        <f>IF(Verso!$B$24=Avantages!$A265,TRUE,FALSE)</f>
        <v>0</v>
      </c>
      <c r="L265" s="196" t="b">
        <f>IF(Verso!$B$25=Avantages!$A265,TRUE,FALSE)</f>
        <v>0</v>
      </c>
      <c r="M265" s="196" t="b">
        <f>IF(Verso!$B$26=Avantages!$A265,TRUE,FALSE)</f>
        <v>0</v>
      </c>
      <c r="N265" s="196" t="b">
        <f t="shared" si="27"/>
        <v>0</v>
      </c>
      <c r="O265" s="295" t="b">
        <f>IF(OR(N265=TRUE,N266=TRUE,N267=TRUE,N268=TRUE),TRUE,FALSE)</f>
        <v>0</v>
      </c>
      <c r="P265" s="196">
        <f t="shared" si="24"/>
        <v>265</v>
      </c>
      <c r="Q265" s="196" t="str">
        <f t="shared" si="25"/>
        <v/>
      </c>
      <c r="R265" s="578" t="str">
        <f t="shared" si="26"/>
        <v/>
      </c>
    </row>
    <row r="266" spans="1:18" s="194" customFormat="1" x14ac:dyDescent="0.25">
      <c r="A266" s="186" t="s">
        <v>2842</v>
      </c>
      <c r="B266" s="186" t="s">
        <v>2842</v>
      </c>
      <c r="C266" s="4" t="s">
        <v>631</v>
      </c>
      <c r="D266" s="183">
        <f>IF(Calculs!G586&gt;0,2,3)</f>
        <v>3</v>
      </c>
      <c r="E266" s="4" t="s">
        <v>3</v>
      </c>
      <c r="F266" s="17">
        <v>153</v>
      </c>
      <c r="G266" s="270" t="s">
        <v>2849</v>
      </c>
      <c r="I266" s="196" t="b">
        <f>IF(Verso!$B$22=Avantages!$A266,TRUE,FALSE)</f>
        <v>0</v>
      </c>
      <c r="J266" s="196" t="b">
        <f>IF(Verso!$B$23=Avantages!$A266,TRUE,FALSE)</f>
        <v>0</v>
      </c>
      <c r="K266" s="196" t="b">
        <f>IF(Verso!$B$24=Avantages!$A266,TRUE,FALSE)</f>
        <v>0</v>
      </c>
      <c r="L266" s="196" t="b">
        <f>IF(Verso!$B$25=Avantages!$A266,TRUE,FALSE)</f>
        <v>0</v>
      </c>
      <c r="M266" s="196" t="b">
        <f>IF(Verso!$B$26=Avantages!$A266,TRUE,FALSE)</f>
        <v>0</v>
      </c>
      <c r="N266" s="196" t="b">
        <f t="shared" si="27"/>
        <v>0</v>
      </c>
      <c r="O266" s="295"/>
      <c r="P266" s="196">
        <f t="shared" si="24"/>
        <v>266</v>
      </c>
      <c r="Q266" s="196" t="str">
        <f t="shared" si="25"/>
        <v/>
      </c>
      <c r="R266" s="578" t="str">
        <f t="shared" si="26"/>
        <v/>
      </c>
    </row>
    <row r="267" spans="1:18" x14ac:dyDescent="0.25">
      <c r="A267" s="186" t="s">
        <v>2840</v>
      </c>
      <c r="B267" s="186" t="s">
        <v>2840</v>
      </c>
      <c r="C267" s="4" t="s">
        <v>631</v>
      </c>
      <c r="D267" s="183">
        <f>IF(Calculs!G586&gt;0,0,1)</f>
        <v>1</v>
      </c>
      <c r="E267" s="4" t="s">
        <v>3</v>
      </c>
      <c r="F267" s="17">
        <v>153</v>
      </c>
      <c r="G267" s="270" t="s">
        <v>2847</v>
      </c>
      <c r="I267" s="196" t="b">
        <f>IF(Verso!$B$22=Avantages!$A267,TRUE,FALSE)</f>
        <v>0</v>
      </c>
      <c r="J267" s="196" t="b">
        <f>IF(Verso!$B$23=Avantages!$A267,TRUE,FALSE)</f>
        <v>0</v>
      </c>
      <c r="K267" s="196" t="b">
        <f>IF(Verso!$B$24=Avantages!$A267,TRUE,FALSE)</f>
        <v>0</v>
      </c>
      <c r="L267" s="196" t="b">
        <f>IF(Verso!$B$25=Avantages!$A267,TRUE,FALSE)</f>
        <v>0</v>
      </c>
      <c r="M267" s="196" t="b">
        <f>IF(Verso!$B$26=Avantages!$A267,TRUE,FALSE)</f>
        <v>0</v>
      </c>
      <c r="N267" s="196" t="b">
        <f t="shared" si="27"/>
        <v>0</v>
      </c>
      <c r="P267" s="196">
        <f t="shared" si="24"/>
        <v>267</v>
      </c>
      <c r="Q267" s="196" t="str">
        <f t="shared" si="25"/>
        <v/>
      </c>
      <c r="R267" s="578" t="str">
        <f t="shared" si="26"/>
        <v/>
      </c>
    </row>
    <row r="268" spans="1:18" x14ac:dyDescent="0.25">
      <c r="A268" s="186" t="s">
        <v>2841</v>
      </c>
      <c r="B268" s="186" t="s">
        <v>2841</v>
      </c>
      <c r="C268" s="4" t="s">
        <v>631</v>
      </c>
      <c r="D268" s="183">
        <f>IF(Calculs!G586&gt;0,1,2)</f>
        <v>2</v>
      </c>
      <c r="E268" s="4" t="s">
        <v>3</v>
      </c>
      <c r="F268" s="17">
        <v>153</v>
      </c>
      <c r="G268" s="270" t="s">
        <v>2848</v>
      </c>
      <c r="I268" s="196" t="b">
        <f>IF(Verso!$B$22=Avantages!$A268,TRUE,FALSE)</f>
        <v>0</v>
      </c>
      <c r="J268" s="196" t="b">
        <f>IF(Verso!$B$23=Avantages!$A268,TRUE,FALSE)</f>
        <v>0</v>
      </c>
      <c r="K268" s="196" t="b">
        <f>IF(Verso!$B$24=Avantages!$A268,TRUE,FALSE)</f>
        <v>0</v>
      </c>
      <c r="L268" s="196" t="b">
        <f>IF(Verso!$B$25=Avantages!$A268,TRUE,FALSE)</f>
        <v>0</v>
      </c>
      <c r="M268" s="196" t="b">
        <f>IF(Verso!$B$26=Avantages!$A268,TRUE,FALSE)</f>
        <v>0</v>
      </c>
      <c r="N268" s="196" t="b">
        <f t="shared" si="27"/>
        <v>0</v>
      </c>
      <c r="P268" s="196">
        <f t="shared" si="24"/>
        <v>268</v>
      </c>
      <c r="Q268" s="196" t="str">
        <f t="shared" si="25"/>
        <v/>
      </c>
      <c r="R268" s="578" t="str">
        <f t="shared" si="26"/>
        <v/>
      </c>
    </row>
    <row r="269" spans="1:18" x14ac:dyDescent="0.25">
      <c r="A269" s="186" t="s">
        <v>685</v>
      </c>
      <c r="B269" s="186" t="s">
        <v>685</v>
      </c>
      <c r="C269" s="4" t="s">
        <v>65</v>
      </c>
      <c r="D269" s="183">
        <f>IF(Clan="Mante",1,2)</f>
        <v>2</v>
      </c>
      <c r="E269" s="4" t="s">
        <v>3</v>
      </c>
      <c r="F269" s="17">
        <v>153</v>
      </c>
      <c r="G269" s="163" t="s">
        <v>70</v>
      </c>
      <c r="I269" s="196" t="b">
        <f>IF(Verso!$B$22=Avantages!$A269,TRUE,FALSE)</f>
        <v>0</v>
      </c>
      <c r="J269" s="196" t="b">
        <f>IF(Verso!$B$23=Avantages!$A269,TRUE,FALSE)</f>
        <v>0</v>
      </c>
      <c r="K269" s="196" t="b">
        <f>IF(Verso!$B$24=Avantages!$A269,TRUE,FALSE)</f>
        <v>0</v>
      </c>
      <c r="L269" s="196" t="b">
        <f>IF(Verso!$B$25=Avantages!$A269,TRUE,FALSE)</f>
        <v>0</v>
      </c>
      <c r="M269" s="196" t="b">
        <f>IF(Verso!$B$26=Avantages!$A269,TRUE,FALSE)</f>
        <v>0</v>
      </c>
      <c r="N269" s="196" t="b">
        <f t="shared" si="27"/>
        <v>0</v>
      </c>
      <c r="P269" s="196">
        <f t="shared" si="24"/>
        <v>269</v>
      </c>
      <c r="Q269" s="196" t="str">
        <f t="shared" si="25"/>
        <v/>
      </c>
      <c r="R269" s="578" t="str">
        <f t="shared" si="26"/>
        <v/>
      </c>
    </row>
    <row r="270" spans="1:18" x14ac:dyDescent="0.25">
      <c r="A270" s="186" t="s">
        <v>633</v>
      </c>
      <c r="B270" s="186" t="s">
        <v>633</v>
      </c>
      <c r="C270" s="4" t="s">
        <v>67</v>
      </c>
      <c r="D270" s="183">
        <f>IF(Clan="Impérial",3,4)</f>
        <v>4</v>
      </c>
      <c r="E270" s="4" t="s">
        <v>3</v>
      </c>
      <c r="F270" s="17">
        <v>153</v>
      </c>
      <c r="G270" s="163" t="s">
        <v>84</v>
      </c>
      <c r="I270" s="196" t="b">
        <f>IF(Verso!$B$22=Avantages!$A270,TRUE,FALSE)</f>
        <v>0</v>
      </c>
      <c r="J270" s="196" t="b">
        <f>IF(Verso!$B$23=Avantages!$A270,TRUE,FALSE)</f>
        <v>0</v>
      </c>
      <c r="K270" s="196" t="b">
        <f>IF(Verso!$B$24=Avantages!$A270,TRUE,FALSE)</f>
        <v>0</v>
      </c>
      <c r="L270" s="196" t="b">
        <f>IF(Verso!$B$25=Avantages!$A270,TRUE,FALSE)</f>
        <v>0</v>
      </c>
      <c r="M270" s="196" t="b">
        <f>IF(Verso!$B$26=Avantages!$A270,TRUE,FALSE)</f>
        <v>0</v>
      </c>
      <c r="N270" s="196" t="b">
        <f t="shared" si="27"/>
        <v>0</v>
      </c>
      <c r="P270" s="196">
        <f t="shared" si="24"/>
        <v>270</v>
      </c>
      <c r="Q270" s="196" t="str">
        <f t="shared" si="25"/>
        <v/>
      </c>
      <c r="R270" s="578" t="str">
        <f t="shared" si="26"/>
        <v/>
      </c>
    </row>
    <row r="271" spans="1:18" x14ac:dyDescent="0.25">
      <c r="A271" s="186" t="s">
        <v>85</v>
      </c>
      <c r="B271" s="186" t="s">
        <v>85</v>
      </c>
      <c r="C271" s="4" t="s">
        <v>65</v>
      </c>
      <c r="D271" s="183">
        <f>IF(OR(Recto!W3="S",Clan="Shugenja"),3,4)</f>
        <v>4</v>
      </c>
      <c r="E271" s="4" t="s">
        <v>3</v>
      </c>
      <c r="F271" s="17">
        <v>153</v>
      </c>
      <c r="G271" s="163" t="s">
        <v>86</v>
      </c>
      <c r="I271" s="196" t="b">
        <f>IF(Verso!$B$22=Avantages!$A271,TRUE,FALSE)</f>
        <v>0</v>
      </c>
      <c r="J271" s="196" t="b">
        <f>IF(Verso!$B$23=Avantages!$A271,TRUE,FALSE)</f>
        <v>0</v>
      </c>
      <c r="K271" s="196" t="b">
        <f>IF(Verso!$B$24=Avantages!$A271,TRUE,FALSE)</f>
        <v>0</v>
      </c>
      <c r="L271" s="196" t="b">
        <f>IF(Verso!$B$25=Avantages!$A271,TRUE,FALSE)</f>
        <v>0</v>
      </c>
      <c r="M271" s="196" t="b">
        <f>IF(Verso!$B$26=Avantages!$A271,TRUE,FALSE)</f>
        <v>0</v>
      </c>
      <c r="N271" s="196" t="b">
        <f t="shared" si="27"/>
        <v>0</v>
      </c>
      <c r="P271" s="196">
        <f t="shared" si="24"/>
        <v>271</v>
      </c>
      <c r="Q271" s="196" t="str">
        <f t="shared" si="25"/>
        <v/>
      </c>
      <c r="R271" s="578" t="str">
        <f t="shared" si="26"/>
        <v/>
      </c>
    </row>
    <row r="272" spans="1:18" s="196" customFormat="1" x14ac:dyDescent="0.25">
      <c r="A272" s="186" t="s">
        <v>6115</v>
      </c>
      <c r="B272" s="186"/>
      <c r="C272" s="4" t="s">
        <v>65</v>
      </c>
      <c r="D272" s="183">
        <f>IF(OR(Recto!W3="S",Clan="Shugenja"),6,7)</f>
        <v>7</v>
      </c>
      <c r="E272" s="4" t="s">
        <v>6010</v>
      </c>
      <c r="F272" s="17">
        <v>202</v>
      </c>
      <c r="G272" s="163" t="s">
        <v>7654</v>
      </c>
      <c r="I272" s="196" t="b">
        <f>IF(Verso!$B$22=Avantages!$A272,TRUE,FALSE)</f>
        <v>0</v>
      </c>
      <c r="J272" s="196" t="b">
        <f>IF(Verso!$B$23=Avantages!$A272,TRUE,FALSE)</f>
        <v>0</v>
      </c>
      <c r="K272" s="196" t="b">
        <f>IF(Verso!$B$24=Avantages!$A272,TRUE,FALSE)</f>
        <v>0</v>
      </c>
      <c r="L272" s="196" t="b">
        <f>IF(Verso!$B$25=Avantages!$A272,TRUE,FALSE)</f>
        <v>0</v>
      </c>
      <c r="M272" s="196" t="b">
        <f>IF(Verso!$B$26=Avantages!$A272,TRUE,FALSE)</f>
        <v>0</v>
      </c>
      <c r="N272" s="196" t="b">
        <f t="shared" si="27"/>
        <v>0</v>
      </c>
      <c r="O272" s="295"/>
      <c r="P272" s="196" t="str">
        <f t="shared" si="24"/>
        <v/>
      </c>
      <c r="Q272" s="196" t="str">
        <f t="shared" si="25"/>
        <v/>
      </c>
      <c r="R272" s="578" t="str">
        <f t="shared" si="26"/>
        <v/>
      </c>
    </row>
    <row r="273" spans="1:18" x14ac:dyDescent="0.25">
      <c r="A273" s="186" t="s">
        <v>692</v>
      </c>
      <c r="B273" s="186" t="s">
        <v>692</v>
      </c>
      <c r="C273" s="4" t="s">
        <v>629</v>
      </c>
      <c r="D273" s="183">
        <f>IF(OR(Clan="Crabe",Clan="Mante"),3,4)</f>
        <v>4</v>
      </c>
      <c r="E273" s="4" t="s">
        <v>3</v>
      </c>
      <c r="F273" s="17">
        <v>153</v>
      </c>
      <c r="G273" s="163" t="s">
        <v>1161</v>
      </c>
      <c r="I273" s="196" t="b">
        <f>IF(Verso!$B$22=Avantages!$A273,TRUE,FALSE)</f>
        <v>0</v>
      </c>
      <c r="J273" s="196" t="b">
        <f>IF(Verso!$B$23=Avantages!$A273,TRUE,FALSE)</f>
        <v>0</v>
      </c>
      <c r="K273" s="196" t="b">
        <f>IF(Verso!$B$24=Avantages!$A273,TRUE,FALSE)</f>
        <v>0</v>
      </c>
      <c r="L273" s="196" t="b">
        <f>IF(Verso!$B$25=Avantages!$A273,TRUE,FALSE)</f>
        <v>0</v>
      </c>
      <c r="M273" s="196" t="b">
        <f>IF(Verso!$B$26=Avantages!$A273,TRUE,FALSE)</f>
        <v>0</v>
      </c>
      <c r="N273" s="196" t="b">
        <f t="shared" si="27"/>
        <v>0</v>
      </c>
      <c r="P273" s="196">
        <f t="shared" si="24"/>
        <v>273</v>
      </c>
      <c r="Q273" s="196" t="str">
        <f t="shared" si="25"/>
        <v/>
      </c>
      <c r="R273" s="578" t="str">
        <f t="shared" si="26"/>
        <v/>
      </c>
    </row>
    <row r="274" spans="1:18" x14ac:dyDescent="0.25">
      <c r="A274" s="186" t="s">
        <v>5790</v>
      </c>
      <c r="B274" s="186" t="str">
        <f>IF(Recto!$C$3=H274,CONCATENATE(A274),"")</f>
        <v/>
      </c>
      <c r="C274" s="4" t="s">
        <v>65</v>
      </c>
      <c r="D274" s="183">
        <v>4</v>
      </c>
      <c r="E274" s="4" t="s">
        <v>6061</v>
      </c>
      <c r="F274" s="17">
        <v>136</v>
      </c>
      <c r="G274" s="270" t="s">
        <v>1162</v>
      </c>
      <c r="H274" t="s">
        <v>20</v>
      </c>
      <c r="I274" s="196" t="b">
        <f>IF(Verso!$B$22=Avantages!$A274,TRUE,FALSE)</f>
        <v>0</v>
      </c>
      <c r="J274" s="196" t="b">
        <f>IF(Verso!$B$23=Avantages!$A274,TRUE,FALSE)</f>
        <v>0</v>
      </c>
      <c r="K274" s="196" t="b">
        <f>IF(Verso!$B$24=Avantages!$A274,TRUE,FALSE)</f>
        <v>0</v>
      </c>
      <c r="L274" s="196" t="b">
        <f>IF(Verso!$B$25=Avantages!$A274,TRUE,FALSE)</f>
        <v>0</v>
      </c>
      <c r="M274" s="196" t="b">
        <f>IF(Verso!$B$26=Avantages!$A274,TRUE,FALSE)</f>
        <v>0</v>
      </c>
      <c r="N274" s="196" t="b">
        <f t="shared" si="27"/>
        <v>0</v>
      </c>
      <c r="P274" s="196" t="str">
        <f t="shared" si="24"/>
        <v/>
      </c>
      <c r="Q274" s="196" t="str">
        <f t="shared" si="25"/>
        <v/>
      </c>
      <c r="R274" s="578" t="str">
        <f t="shared" si="26"/>
        <v/>
      </c>
    </row>
    <row r="275" spans="1:18" x14ac:dyDescent="0.25">
      <c r="A275" s="186" t="s">
        <v>814</v>
      </c>
      <c r="B275" s="186" t="str">
        <f>IF(Recto!$C$3=H275,CONCATENATE(A275),"")</f>
        <v/>
      </c>
      <c r="C275" s="4" t="s">
        <v>65</v>
      </c>
      <c r="D275" s="183">
        <v>5</v>
      </c>
      <c r="E275" s="4" t="s">
        <v>2075</v>
      </c>
      <c r="F275" s="17">
        <v>110</v>
      </c>
      <c r="G275" s="163" t="s">
        <v>94</v>
      </c>
      <c r="H275" t="s">
        <v>56</v>
      </c>
      <c r="I275" s="196" t="b">
        <f>IF(Verso!$B$22=Avantages!$A275,TRUE,FALSE)</f>
        <v>0</v>
      </c>
      <c r="J275" s="196" t="b">
        <f>IF(Verso!$B$23=Avantages!$A275,TRUE,FALSE)</f>
        <v>0</v>
      </c>
      <c r="K275" s="196" t="b">
        <f>IF(Verso!$B$24=Avantages!$A275,TRUE,FALSE)</f>
        <v>0</v>
      </c>
      <c r="L275" s="196" t="b">
        <f>IF(Verso!$B$25=Avantages!$A275,TRUE,FALSE)</f>
        <v>0</v>
      </c>
      <c r="M275" s="196" t="b">
        <f>IF(Verso!$B$26=Avantages!$A275,TRUE,FALSE)</f>
        <v>0</v>
      </c>
      <c r="N275" s="196" t="b">
        <f t="shared" si="27"/>
        <v>0</v>
      </c>
      <c r="P275" s="196" t="str">
        <f t="shared" si="24"/>
        <v/>
      </c>
      <c r="Q275" s="196" t="str">
        <f t="shared" si="25"/>
        <v/>
      </c>
      <c r="R275" s="578" t="str">
        <f t="shared" si="26"/>
        <v/>
      </c>
    </row>
    <row r="276" spans="1:18" x14ac:dyDescent="0.25">
      <c r="A276" s="186" t="s">
        <v>773</v>
      </c>
      <c r="B276" s="186" t="s">
        <v>773</v>
      </c>
      <c r="C276" s="4" t="s">
        <v>65</v>
      </c>
      <c r="D276" s="183">
        <v>5</v>
      </c>
      <c r="E276" s="4" t="s">
        <v>3</v>
      </c>
      <c r="F276" s="17">
        <v>153</v>
      </c>
      <c r="G276" s="270" t="s">
        <v>778</v>
      </c>
      <c r="I276" s="196" t="b">
        <f>IF(Verso!$B$22=Avantages!$A276,TRUE,FALSE)</f>
        <v>0</v>
      </c>
      <c r="J276" s="196" t="b">
        <f>IF(Verso!$B$23=Avantages!$A276,TRUE,FALSE)</f>
        <v>0</v>
      </c>
      <c r="K276" s="196" t="b">
        <f>IF(Verso!$B$24=Avantages!$A276,TRUE,FALSE)</f>
        <v>0</v>
      </c>
      <c r="L276" s="196" t="b">
        <f>IF(Verso!$B$25=Avantages!$A276,TRUE,FALSE)</f>
        <v>0</v>
      </c>
      <c r="M276" s="196" t="b">
        <f>IF(Verso!$B$26=Avantages!$A276,TRUE,FALSE)</f>
        <v>0</v>
      </c>
      <c r="N276" s="196" t="b">
        <f t="shared" si="27"/>
        <v>0</v>
      </c>
      <c r="P276" s="196">
        <f t="shared" si="24"/>
        <v>276</v>
      </c>
      <c r="Q276" s="196" t="str">
        <f t="shared" si="25"/>
        <v/>
      </c>
      <c r="R276" s="578" t="str">
        <f t="shared" si="26"/>
        <v/>
      </c>
    </row>
    <row r="277" spans="1:18" x14ac:dyDescent="0.25">
      <c r="A277" s="186" t="s">
        <v>774</v>
      </c>
      <c r="B277" s="186" t="s">
        <v>774</v>
      </c>
      <c r="C277" s="4" t="s">
        <v>65</v>
      </c>
      <c r="D277" s="183">
        <v>5</v>
      </c>
      <c r="E277" s="4" t="s">
        <v>3</v>
      </c>
      <c r="F277" s="17">
        <v>153</v>
      </c>
      <c r="G277" s="270" t="s">
        <v>779</v>
      </c>
      <c r="I277" s="196" t="b">
        <f>IF(Verso!$B$22=Avantages!$A277,TRUE,FALSE)</f>
        <v>0</v>
      </c>
      <c r="J277" s="196" t="b">
        <f>IF(Verso!$B$23=Avantages!$A277,TRUE,FALSE)</f>
        <v>0</v>
      </c>
      <c r="K277" s="196" t="b">
        <f>IF(Verso!$B$24=Avantages!$A277,TRUE,FALSE)</f>
        <v>0</v>
      </c>
      <c r="L277" s="196" t="b">
        <f>IF(Verso!$B$25=Avantages!$A277,TRUE,FALSE)</f>
        <v>0</v>
      </c>
      <c r="M277" s="196" t="b">
        <f>IF(Verso!$B$26=Avantages!$A277,TRUE,FALSE)</f>
        <v>0</v>
      </c>
      <c r="N277" s="196" t="b">
        <f t="shared" si="27"/>
        <v>0</v>
      </c>
      <c r="P277" s="196">
        <f t="shared" si="24"/>
        <v>277</v>
      </c>
      <c r="Q277" s="196" t="str">
        <f t="shared" si="25"/>
        <v/>
      </c>
      <c r="R277" s="578" t="str">
        <f t="shared" si="26"/>
        <v/>
      </c>
    </row>
    <row r="278" spans="1:18" x14ac:dyDescent="0.25">
      <c r="A278" s="186" t="s">
        <v>775</v>
      </c>
      <c r="B278" s="186" t="s">
        <v>775</v>
      </c>
      <c r="C278" s="4" t="s">
        <v>65</v>
      </c>
      <c r="D278" s="183">
        <v>5</v>
      </c>
      <c r="E278" s="4" t="s">
        <v>3</v>
      </c>
      <c r="F278" s="17">
        <v>153</v>
      </c>
      <c r="G278" s="270" t="s">
        <v>780</v>
      </c>
      <c r="I278" s="196" t="b">
        <f>IF(Verso!$B$22=Avantages!$A278,TRUE,FALSE)</f>
        <v>0</v>
      </c>
      <c r="J278" s="196" t="b">
        <f>IF(Verso!$B$23=Avantages!$A278,TRUE,FALSE)</f>
        <v>0</v>
      </c>
      <c r="K278" s="196" t="b">
        <f>IF(Verso!$B$24=Avantages!$A278,TRUE,FALSE)</f>
        <v>0</v>
      </c>
      <c r="L278" s="196" t="b">
        <f>IF(Verso!$B$25=Avantages!$A278,TRUE,FALSE)</f>
        <v>0</v>
      </c>
      <c r="M278" s="196" t="b">
        <f>IF(Verso!$B$26=Avantages!$A278,TRUE,FALSE)</f>
        <v>0</v>
      </c>
      <c r="N278" s="196" t="b">
        <f t="shared" si="27"/>
        <v>0</v>
      </c>
      <c r="P278" s="196">
        <f t="shared" si="24"/>
        <v>278</v>
      </c>
      <c r="Q278" s="196" t="str">
        <f t="shared" si="25"/>
        <v/>
      </c>
      <c r="R278" s="578" t="str">
        <f t="shared" si="26"/>
        <v/>
      </c>
    </row>
    <row r="279" spans="1:18" x14ac:dyDescent="0.25">
      <c r="A279" s="186" t="s">
        <v>776</v>
      </c>
      <c r="B279" s="186" t="s">
        <v>776</v>
      </c>
      <c r="C279" s="4" t="s">
        <v>65</v>
      </c>
      <c r="D279" s="183">
        <v>5</v>
      </c>
      <c r="E279" s="4" t="s">
        <v>3</v>
      </c>
      <c r="F279" s="17">
        <v>153</v>
      </c>
      <c r="G279" s="270" t="s">
        <v>5804</v>
      </c>
      <c r="I279" s="196" t="b">
        <f>IF(Verso!$B$22=Avantages!$A279,TRUE,FALSE)</f>
        <v>0</v>
      </c>
      <c r="J279" s="196" t="b">
        <f>IF(Verso!$B$23=Avantages!$A279,TRUE,FALSE)</f>
        <v>0</v>
      </c>
      <c r="K279" s="196" t="b">
        <f>IF(Verso!$B$24=Avantages!$A279,TRUE,FALSE)</f>
        <v>0</v>
      </c>
      <c r="L279" s="196" t="b">
        <f>IF(Verso!$B$25=Avantages!$A279,TRUE,FALSE)</f>
        <v>0</v>
      </c>
      <c r="M279" s="196" t="b">
        <f>IF(Verso!$B$26=Avantages!$A279,TRUE,FALSE)</f>
        <v>0</v>
      </c>
      <c r="N279" s="196" t="b">
        <f t="shared" si="27"/>
        <v>0</v>
      </c>
      <c r="P279" s="196">
        <f t="shared" si="24"/>
        <v>279</v>
      </c>
      <c r="Q279" s="196" t="str">
        <f t="shared" si="25"/>
        <v/>
      </c>
      <c r="R279" s="578" t="str">
        <f t="shared" si="26"/>
        <v/>
      </c>
    </row>
    <row r="280" spans="1:18" x14ac:dyDescent="0.25">
      <c r="A280" s="186" t="s">
        <v>777</v>
      </c>
      <c r="B280" s="186" t="s">
        <v>777</v>
      </c>
      <c r="C280" s="4" t="s">
        <v>65</v>
      </c>
      <c r="D280" s="183">
        <v>5</v>
      </c>
      <c r="E280" s="4" t="s">
        <v>3</v>
      </c>
      <c r="F280" s="17">
        <v>153</v>
      </c>
      <c r="G280" s="270" t="s">
        <v>781</v>
      </c>
      <c r="I280" s="196" t="b">
        <f>IF(Verso!$B$22=Avantages!$A280,TRUE,FALSE)</f>
        <v>0</v>
      </c>
      <c r="J280" s="196" t="b">
        <f>IF(Verso!$B$23=Avantages!$A280,TRUE,FALSE)</f>
        <v>0</v>
      </c>
      <c r="K280" s="196" t="b">
        <f>IF(Verso!$B$24=Avantages!$A280,TRUE,FALSE)</f>
        <v>0</v>
      </c>
      <c r="L280" s="196" t="b">
        <f>IF(Verso!$B$25=Avantages!$A280,TRUE,FALSE)</f>
        <v>0</v>
      </c>
      <c r="M280" s="196" t="b">
        <f>IF(Verso!$B$26=Avantages!$A280,TRUE,FALSE)</f>
        <v>0</v>
      </c>
      <c r="N280" s="196" t="b">
        <f t="shared" si="27"/>
        <v>0</v>
      </c>
      <c r="P280" s="196">
        <f t="shared" si="24"/>
        <v>280</v>
      </c>
      <c r="Q280" s="196" t="str">
        <f t="shared" si="25"/>
        <v/>
      </c>
      <c r="R280" s="578" t="str">
        <f t="shared" si="26"/>
        <v/>
      </c>
    </row>
    <row r="281" spans="1:18" x14ac:dyDescent="0.25">
      <c r="A281" s="186" t="s">
        <v>3531</v>
      </c>
      <c r="B281" s="186" t="s">
        <v>3531</v>
      </c>
      <c r="C281" s="4" t="s">
        <v>65</v>
      </c>
      <c r="D281" s="183">
        <v>5</v>
      </c>
      <c r="E281" s="4" t="s">
        <v>3</v>
      </c>
      <c r="F281" s="17">
        <v>153</v>
      </c>
      <c r="G281" s="270" t="s">
        <v>3532</v>
      </c>
      <c r="I281" s="196" t="b">
        <f>IF(Verso!$B$22=Avantages!$A281,TRUE,FALSE)</f>
        <v>0</v>
      </c>
      <c r="J281" s="196" t="b">
        <f>IF(Verso!$B$23=Avantages!$A281,TRUE,FALSE)</f>
        <v>0</v>
      </c>
      <c r="K281" s="196" t="b">
        <f>IF(Verso!$B$24=Avantages!$A281,TRUE,FALSE)</f>
        <v>0</v>
      </c>
      <c r="L281" s="196" t="b">
        <f>IF(Verso!$B$25=Avantages!$A281,TRUE,FALSE)</f>
        <v>0</v>
      </c>
      <c r="M281" s="196" t="b">
        <f>IF(Verso!$B$26=Avantages!$A281,TRUE,FALSE)</f>
        <v>0</v>
      </c>
      <c r="N281" s="196" t="b">
        <f t="shared" si="27"/>
        <v>0</v>
      </c>
      <c r="P281" s="196">
        <f t="shared" si="24"/>
        <v>281</v>
      </c>
      <c r="Q281" s="196" t="str">
        <f t="shared" si="25"/>
        <v/>
      </c>
      <c r="R281" s="578" t="str">
        <f t="shared" si="26"/>
        <v/>
      </c>
    </row>
    <row r="282" spans="1:18" x14ac:dyDescent="0.25">
      <c r="A282" s="186" t="s">
        <v>696</v>
      </c>
      <c r="B282" s="186" t="s">
        <v>696</v>
      </c>
      <c r="C282" s="4" t="s">
        <v>67</v>
      </c>
      <c r="D282" s="183">
        <v>4</v>
      </c>
      <c r="E282" s="4" t="s">
        <v>2077</v>
      </c>
      <c r="F282" s="17">
        <v>67</v>
      </c>
      <c r="G282" s="270" t="s">
        <v>641</v>
      </c>
      <c r="I282" s="196" t="b">
        <f>IF(Verso!$B$22=Avantages!$A282,TRUE,FALSE)</f>
        <v>0</v>
      </c>
      <c r="J282" s="196" t="b">
        <f>IF(Verso!$B$23=Avantages!$A282,TRUE,FALSE)</f>
        <v>0</v>
      </c>
      <c r="K282" s="196" t="b">
        <f>IF(Verso!$B$24=Avantages!$A282,TRUE,FALSE)</f>
        <v>0</v>
      </c>
      <c r="L282" s="196" t="b">
        <f>IF(Verso!$B$25=Avantages!$A282,TRUE,FALSE)</f>
        <v>0</v>
      </c>
      <c r="M282" s="196" t="b">
        <f>IF(Verso!$B$26=Avantages!$A282,TRUE,FALSE)</f>
        <v>0</v>
      </c>
      <c r="N282" s="196" t="b">
        <f t="shared" si="27"/>
        <v>0</v>
      </c>
      <c r="P282" s="196">
        <f t="shared" si="24"/>
        <v>282</v>
      </c>
      <c r="Q282" s="196" t="str">
        <f t="shared" si="25"/>
        <v/>
      </c>
      <c r="R282" s="578" t="str">
        <f t="shared" si="26"/>
        <v/>
      </c>
    </row>
    <row r="283" spans="1:18" x14ac:dyDescent="0.25">
      <c r="A283" s="186" t="s">
        <v>680</v>
      </c>
      <c r="B283" s="186" t="s">
        <v>680</v>
      </c>
      <c r="C283" s="4" t="s">
        <v>65</v>
      </c>
      <c r="D283" s="183">
        <v>1</v>
      </c>
      <c r="E283" s="4" t="s">
        <v>3</v>
      </c>
      <c r="F283" s="17">
        <v>154</v>
      </c>
      <c r="G283" s="163" t="s">
        <v>66</v>
      </c>
      <c r="H283" s="196"/>
      <c r="I283" s="196" t="b">
        <f>IF(Verso!$B$22=Avantages!$A283,TRUE,FALSE)</f>
        <v>0</v>
      </c>
      <c r="J283" s="196" t="b">
        <f>IF(Verso!$B$23=Avantages!$A283,TRUE,FALSE)</f>
        <v>0</v>
      </c>
      <c r="K283" s="196" t="b">
        <f>IF(Verso!$B$24=Avantages!$A283,TRUE,FALSE)</f>
        <v>0</v>
      </c>
      <c r="L283" s="196" t="b">
        <f>IF(Verso!$B$25=Avantages!$A283,TRUE,FALSE)</f>
        <v>0</v>
      </c>
      <c r="M283" s="196" t="b">
        <f>IF(Verso!$B$26=Avantages!$A283,TRUE,FALSE)</f>
        <v>0</v>
      </c>
      <c r="N283" s="196" t="b">
        <f t="shared" si="27"/>
        <v>0</v>
      </c>
      <c r="P283" s="196">
        <f t="shared" si="24"/>
        <v>283</v>
      </c>
      <c r="Q283" s="196" t="str">
        <f t="shared" si="25"/>
        <v/>
      </c>
      <c r="R283" s="578" t="str">
        <f t="shared" si="26"/>
        <v/>
      </c>
    </row>
    <row r="284" spans="1:18" x14ac:dyDescent="0.25">
      <c r="A284" s="186" t="s">
        <v>87</v>
      </c>
      <c r="B284" s="186" t="s">
        <v>87</v>
      </c>
      <c r="C284" s="4" t="s">
        <v>67</v>
      </c>
      <c r="D284" s="183">
        <v>3</v>
      </c>
      <c r="E284" s="4" t="s">
        <v>3</v>
      </c>
      <c r="F284" s="17">
        <v>154</v>
      </c>
      <c r="G284" s="163" t="s">
        <v>8253</v>
      </c>
      <c r="H284" s="196"/>
      <c r="I284" s="196" t="b">
        <f>IF(Verso!$B$22=Avantages!$A284,TRUE,FALSE)</f>
        <v>0</v>
      </c>
      <c r="J284" s="196" t="b">
        <f>IF(Verso!$B$23=Avantages!$A284,TRUE,FALSE)</f>
        <v>0</v>
      </c>
      <c r="K284" s="196" t="b">
        <f>IF(Verso!$B$24=Avantages!$A284,TRUE,FALSE)</f>
        <v>0</v>
      </c>
      <c r="L284" s="196" t="b">
        <f>IF(Verso!$B$25=Avantages!$A284,TRUE,FALSE)</f>
        <v>0</v>
      </c>
      <c r="M284" s="196" t="b">
        <f>IF(Verso!$B$26=Avantages!$A284,TRUE,FALSE)</f>
        <v>0</v>
      </c>
      <c r="N284" s="196" t="b">
        <f t="shared" si="27"/>
        <v>0</v>
      </c>
      <c r="P284" s="196">
        <f t="shared" si="24"/>
        <v>284</v>
      </c>
      <c r="Q284" s="196" t="str">
        <f t="shared" si="25"/>
        <v/>
      </c>
      <c r="R284" s="578" t="str">
        <f t="shared" si="26"/>
        <v/>
      </c>
    </row>
    <row r="285" spans="1:18" x14ac:dyDescent="0.25">
      <c r="A285" s="186" t="s">
        <v>782</v>
      </c>
      <c r="B285" s="186" t="s">
        <v>782</v>
      </c>
      <c r="C285" s="4" t="s">
        <v>631</v>
      </c>
      <c r="D285" s="183">
        <f>IF(Clan="Dragon",3,5)</f>
        <v>5</v>
      </c>
      <c r="E285" s="4" t="s">
        <v>3</v>
      </c>
      <c r="F285" s="17">
        <v>154</v>
      </c>
      <c r="G285" s="163" t="s">
        <v>1088</v>
      </c>
      <c r="H285" s="196"/>
      <c r="I285" s="196" t="b">
        <f>IF(Verso!$B$22=Avantages!$A285,TRUE,FALSE)</f>
        <v>0</v>
      </c>
      <c r="J285" s="196" t="b">
        <f>IF(Verso!$B$23=Avantages!$A285,TRUE,FALSE)</f>
        <v>0</v>
      </c>
      <c r="K285" s="196" t="b">
        <f>IF(Verso!$B$24=Avantages!$A285,TRUE,FALSE)</f>
        <v>0</v>
      </c>
      <c r="L285" s="196" t="b">
        <f>IF(Verso!$B$25=Avantages!$A285,TRUE,FALSE)</f>
        <v>0</v>
      </c>
      <c r="M285" s="196" t="b">
        <f>IF(Verso!$B$26=Avantages!$A285,TRUE,FALSE)</f>
        <v>0</v>
      </c>
      <c r="N285" s="196" t="b">
        <f t="shared" si="27"/>
        <v>0</v>
      </c>
      <c r="P285" s="196">
        <f t="shared" si="24"/>
        <v>285</v>
      </c>
      <c r="Q285" s="196" t="str">
        <f t="shared" si="25"/>
        <v/>
      </c>
      <c r="R285" s="578" t="str">
        <f t="shared" si="26"/>
        <v/>
      </c>
    </row>
    <row r="286" spans="1:18" x14ac:dyDescent="0.25">
      <c r="A286" s="186" t="s">
        <v>783</v>
      </c>
      <c r="B286" s="186" t="s">
        <v>783</v>
      </c>
      <c r="C286" s="4" t="s">
        <v>631</v>
      </c>
      <c r="D286" s="183">
        <f>IF(Clan="Grue",3,5)</f>
        <v>5</v>
      </c>
      <c r="E286" s="4" t="s">
        <v>3</v>
      </c>
      <c r="F286" s="17">
        <v>154</v>
      </c>
      <c r="G286" s="163" t="s">
        <v>1089</v>
      </c>
      <c r="H286" s="196"/>
      <c r="I286" s="196" t="b">
        <f>IF(Verso!$B$22=Avantages!$A286,TRUE,FALSE)</f>
        <v>0</v>
      </c>
      <c r="J286" s="196" t="b">
        <f>IF(Verso!$B$23=Avantages!$A286,TRUE,FALSE)</f>
        <v>0</v>
      </c>
      <c r="K286" s="196" t="b">
        <f>IF(Verso!$B$24=Avantages!$A286,TRUE,FALSE)</f>
        <v>0</v>
      </c>
      <c r="L286" s="196" t="b">
        <f>IF(Verso!$B$25=Avantages!$A286,TRUE,FALSE)</f>
        <v>0</v>
      </c>
      <c r="M286" s="196" t="b">
        <f>IF(Verso!$B$26=Avantages!$A286,TRUE,FALSE)</f>
        <v>0</v>
      </c>
      <c r="N286" s="196" t="b">
        <f t="shared" si="27"/>
        <v>0</v>
      </c>
      <c r="P286" s="196">
        <f t="shared" si="24"/>
        <v>286</v>
      </c>
      <c r="Q286" s="196" t="str">
        <f t="shared" si="25"/>
        <v/>
      </c>
      <c r="R286" s="578" t="str">
        <f t="shared" si="26"/>
        <v/>
      </c>
    </row>
    <row r="287" spans="1:18" x14ac:dyDescent="0.25">
      <c r="A287" s="186" t="s">
        <v>784</v>
      </c>
      <c r="B287" s="186" t="s">
        <v>784</v>
      </c>
      <c r="C287" s="4" t="s">
        <v>631</v>
      </c>
      <c r="D287" s="183">
        <f>IF(Clan="Lion",3,5)</f>
        <v>5</v>
      </c>
      <c r="E287" s="4" t="s">
        <v>3</v>
      </c>
      <c r="F287" s="17">
        <v>154</v>
      </c>
      <c r="G287" s="163" t="s">
        <v>1090</v>
      </c>
      <c r="H287" s="196"/>
      <c r="I287" s="196" t="b">
        <f>IF(Verso!$B$22=Avantages!$A287,TRUE,FALSE)</f>
        <v>0</v>
      </c>
      <c r="J287" s="196" t="b">
        <f>IF(Verso!$B$23=Avantages!$A287,TRUE,FALSE)</f>
        <v>0</v>
      </c>
      <c r="K287" s="196" t="b">
        <f>IF(Verso!$B$24=Avantages!$A287,TRUE,FALSE)</f>
        <v>0</v>
      </c>
      <c r="L287" s="196" t="b">
        <f>IF(Verso!$B$25=Avantages!$A287,TRUE,FALSE)</f>
        <v>0</v>
      </c>
      <c r="M287" s="196" t="b">
        <f>IF(Verso!$B$26=Avantages!$A287,TRUE,FALSE)</f>
        <v>0</v>
      </c>
      <c r="N287" s="196" t="b">
        <f t="shared" si="27"/>
        <v>0</v>
      </c>
      <c r="P287" s="196">
        <f t="shared" si="24"/>
        <v>287</v>
      </c>
      <c r="Q287" s="196" t="str">
        <f t="shared" si="25"/>
        <v/>
      </c>
      <c r="R287" s="578" t="str">
        <f t="shared" si="26"/>
        <v/>
      </c>
    </row>
    <row r="288" spans="1:18" x14ac:dyDescent="0.25">
      <c r="A288" s="186" t="s">
        <v>785</v>
      </c>
      <c r="B288" s="186" t="s">
        <v>785</v>
      </c>
      <c r="C288" s="4" t="s">
        <v>631</v>
      </c>
      <c r="D288" s="183">
        <f>IF(Clan="Scorpion",3,5)</f>
        <v>5</v>
      </c>
      <c r="E288" s="4" t="s">
        <v>3</v>
      </c>
      <c r="F288" s="17">
        <v>154</v>
      </c>
      <c r="G288" s="163" t="s">
        <v>1093</v>
      </c>
      <c r="H288" s="196"/>
      <c r="I288" s="196" t="b">
        <f>IF(Verso!$B$22=Avantages!$A288,TRUE,FALSE)</f>
        <v>0</v>
      </c>
      <c r="J288" s="196" t="b">
        <f>IF(Verso!$B$23=Avantages!$A288,TRUE,FALSE)</f>
        <v>0</v>
      </c>
      <c r="K288" s="196" t="b">
        <f>IF(Verso!$B$24=Avantages!$A288,TRUE,FALSE)</f>
        <v>0</v>
      </c>
      <c r="L288" s="196" t="b">
        <f>IF(Verso!$B$25=Avantages!$A288,TRUE,FALSE)</f>
        <v>0</v>
      </c>
      <c r="M288" s="196" t="b">
        <f>IF(Verso!$B$26=Avantages!$A288,TRUE,FALSE)</f>
        <v>0</v>
      </c>
      <c r="N288" s="196" t="b">
        <f t="shared" si="27"/>
        <v>0</v>
      </c>
      <c r="P288" s="196">
        <f t="shared" si="24"/>
        <v>288</v>
      </c>
      <c r="Q288" s="196" t="str">
        <f t="shared" si="25"/>
        <v/>
      </c>
      <c r="R288" s="578" t="str">
        <f t="shared" si="26"/>
        <v/>
      </c>
    </row>
    <row r="289" spans="1:18" x14ac:dyDescent="0.25">
      <c r="A289" s="186" t="s">
        <v>786</v>
      </c>
      <c r="B289" s="186" t="s">
        <v>786</v>
      </c>
      <c r="C289" s="4" t="s">
        <v>631</v>
      </c>
      <c r="D289" s="183">
        <f>IF(Clan="Crabe",3,5)</f>
        <v>5</v>
      </c>
      <c r="E289" s="4" t="s">
        <v>3</v>
      </c>
      <c r="F289" s="17">
        <v>154</v>
      </c>
      <c r="G289" s="163" t="s">
        <v>1094</v>
      </c>
      <c r="H289" s="196"/>
      <c r="I289" s="196" t="b">
        <f>IF(Verso!$B$22=Avantages!$A289,TRUE,FALSE)</f>
        <v>0</v>
      </c>
      <c r="J289" s="196" t="b">
        <f>IF(Verso!$B$23=Avantages!$A289,TRUE,FALSE)</f>
        <v>0</v>
      </c>
      <c r="K289" s="196" t="b">
        <f>IF(Verso!$B$24=Avantages!$A289,TRUE,FALSE)</f>
        <v>0</v>
      </c>
      <c r="L289" s="196" t="b">
        <f>IF(Verso!$B$25=Avantages!$A289,TRUE,FALSE)</f>
        <v>0</v>
      </c>
      <c r="M289" s="196" t="b">
        <f>IF(Verso!$B$26=Avantages!$A289,TRUE,FALSE)</f>
        <v>0</v>
      </c>
      <c r="N289" s="196" t="b">
        <f t="shared" si="27"/>
        <v>0</v>
      </c>
      <c r="P289" s="196">
        <f t="shared" si="24"/>
        <v>289</v>
      </c>
      <c r="Q289" s="196" t="str">
        <f t="shared" si="25"/>
        <v/>
      </c>
      <c r="R289" s="578" t="str">
        <f t="shared" si="26"/>
        <v/>
      </c>
    </row>
    <row r="290" spans="1:18" x14ac:dyDescent="0.25">
      <c r="A290" s="186" t="s">
        <v>788</v>
      </c>
      <c r="B290" s="186" t="s">
        <v>788</v>
      </c>
      <c r="C290" s="4" t="s">
        <v>631</v>
      </c>
      <c r="D290" s="183">
        <f>IF(Clan="Mante",3,5)</f>
        <v>5</v>
      </c>
      <c r="E290" s="4" t="s">
        <v>3</v>
      </c>
      <c r="F290" s="17">
        <v>154</v>
      </c>
      <c r="G290" s="163" t="s">
        <v>1095</v>
      </c>
      <c r="H290" s="196"/>
      <c r="I290" s="196" t="b">
        <f>IF(Verso!$B$22=Avantages!$A290,TRUE,FALSE)</f>
        <v>0</v>
      </c>
      <c r="J290" s="196" t="b">
        <f>IF(Verso!$B$23=Avantages!$A290,TRUE,FALSE)</f>
        <v>0</v>
      </c>
      <c r="K290" s="196" t="b">
        <f>IF(Verso!$B$24=Avantages!$A290,TRUE,FALSE)</f>
        <v>0</v>
      </c>
      <c r="L290" s="196" t="b">
        <f>IF(Verso!$B$25=Avantages!$A290,TRUE,FALSE)</f>
        <v>0</v>
      </c>
      <c r="M290" s="196" t="b">
        <f>IF(Verso!$B$26=Avantages!$A290,TRUE,FALSE)</f>
        <v>0</v>
      </c>
      <c r="N290" s="196" t="b">
        <f t="shared" si="27"/>
        <v>0</v>
      </c>
      <c r="P290" s="196">
        <f t="shared" si="24"/>
        <v>290</v>
      </c>
      <c r="Q290" s="196" t="str">
        <f t="shared" si="25"/>
        <v/>
      </c>
      <c r="R290" s="578" t="str">
        <f t="shared" si="26"/>
        <v/>
      </c>
    </row>
    <row r="291" spans="1:18" x14ac:dyDescent="0.25">
      <c r="A291" s="186" t="s">
        <v>787</v>
      </c>
      <c r="B291" s="186" t="s">
        <v>787</v>
      </c>
      <c r="C291" s="4" t="s">
        <v>631</v>
      </c>
      <c r="D291" s="183">
        <f>IF(Clan="Licorne",3,5)</f>
        <v>5</v>
      </c>
      <c r="E291" s="4" t="s">
        <v>3</v>
      </c>
      <c r="F291" s="17">
        <v>154</v>
      </c>
      <c r="G291" s="163" t="s">
        <v>1096</v>
      </c>
      <c r="H291" s="196"/>
      <c r="I291" s="196" t="b">
        <f>IF(Verso!$B$22=Avantages!$A291,TRUE,FALSE)</f>
        <v>0</v>
      </c>
      <c r="J291" s="196" t="b">
        <f>IF(Verso!$B$23=Avantages!$A291,TRUE,FALSE)</f>
        <v>0</v>
      </c>
      <c r="K291" s="196" t="b">
        <f>IF(Verso!$B$24=Avantages!$A291,TRUE,FALSE)</f>
        <v>0</v>
      </c>
      <c r="L291" s="196" t="b">
        <f>IF(Verso!$B$25=Avantages!$A291,TRUE,FALSE)</f>
        <v>0</v>
      </c>
      <c r="M291" s="196" t="b">
        <f>IF(Verso!$B$26=Avantages!$A291,TRUE,FALSE)</f>
        <v>0</v>
      </c>
      <c r="N291" s="196" t="b">
        <f t="shared" si="27"/>
        <v>0</v>
      </c>
      <c r="P291" s="196">
        <f t="shared" si="24"/>
        <v>291</v>
      </c>
      <c r="Q291" s="196" t="str">
        <f t="shared" si="25"/>
        <v/>
      </c>
      <c r="R291" s="578" t="str">
        <f t="shared" si="26"/>
        <v/>
      </c>
    </row>
    <row r="292" spans="1:18" x14ac:dyDescent="0.25">
      <c r="A292" s="186" t="s">
        <v>789</v>
      </c>
      <c r="B292" s="186" t="s">
        <v>789</v>
      </c>
      <c r="C292" s="4" t="s">
        <v>631</v>
      </c>
      <c r="D292" s="183">
        <f>IF(Clan="Phénix",3,5)</f>
        <v>5</v>
      </c>
      <c r="E292" s="4" t="s">
        <v>3</v>
      </c>
      <c r="F292" s="17">
        <v>154</v>
      </c>
      <c r="G292" s="163" t="s">
        <v>1091</v>
      </c>
      <c r="H292" s="196"/>
      <c r="I292" s="196" t="b">
        <f>IF(Verso!$B$22=Avantages!$A292,TRUE,FALSE)</f>
        <v>0</v>
      </c>
      <c r="J292" s="196" t="b">
        <f>IF(Verso!$B$23=Avantages!$A292,TRUE,FALSE)</f>
        <v>0</v>
      </c>
      <c r="K292" s="196" t="b">
        <f>IF(Verso!$B$24=Avantages!$A292,TRUE,FALSE)</f>
        <v>0</v>
      </c>
      <c r="L292" s="196" t="b">
        <f>IF(Verso!$B$25=Avantages!$A292,TRUE,FALSE)</f>
        <v>0</v>
      </c>
      <c r="M292" s="196" t="b">
        <f>IF(Verso!$B$26=Avantages!$A292,TRUE,FALSE)</f>
        <v>0</v>
      </c>
      <c r="N292" s="196" t="b">
        <f t="shared" si="27"/>
        <v>0</v>
      </c>
      <c r="P292" s="196">
        <f t="shared" si="24"/>
        <v>292</v>
      </c>
      <c r="Q292" s="196" t="str">
        <f t="shared" si="25"/>
        <v/>
      </c>
      <c r="R292" s="578" t="str">
        <f t="shared" si="26"/>
        <v/>
      </c>
    </row>
    <row r="293" spans="1:18" x14ac:dyDescent="0.25">
      <c r="A293" s="186" t="s">
        <v>790</v>
      </c>
      <c r="B293" s="186" t="s">
        <v>790</v>
      </c>
      <c r="C293" s="4" t="s">
        <v>631</v>
      </c>
      <c r="D293" s="183">
        <f>IF(Clan="Araignée",3,5)</f>
        <v>5</v>
      </c>
      <c r="E293" s="4" t="s">
        <v>3</v>
      </c>
      <c r="F293" s="17">
        <v>154</v>
      </c>
      <c r="G293" s="163" t="s">
        <v>1092</v>
      </c>
      <c r="H293" s="196"/>
      <c r="I293" s="196" t="b">
        <f>IF(Verso!$B$22=Avantages!$A293,TRUE,FALSE)</f>
        <v>0</v>
      </c>
      <c r="J293" s="196" t="b">
        <f>IF(Verso!$B$23=Avantages!$A293,TRUE,FALSE)</f>
        <v>0</v>
      </c>
      <c r="K293" s="196" t="b">
        <f>IF(Verso!$B$24=Avantages!$A293,TRUE,FALSE)</f>
        <v>0</v>
      </c>
      <c r="L293" s="196" t="b">
        <f>IF(Verso!$B$25=Avantages!$A293,TRUE,FALSE)</f>
        <v>0</v>
      </c>
      <c r="M293" s="196" t="b">
        <f>IF(Verso!$B$26=Avantages!$A293,TRUE,FALSE)</f>
        <v>0</v>
      </c>
      <c r="N293" s="196" t="b">
        <f t="shared" si="27"/>
        <v>0</v>
      </c>
      <c r="P293" s="196">
        <f t="shared" si="24"/>
        <v>293</v>
      </c>
      <c r="Q293" s="196" t="str">
        <f t="shared" si="25"/>
        <v/>
      </c>
      <c r="R293" s="578" t="str">
        <f t="shared" si="26"/>
        <v/>
      </c>
    </row>
    <row r="294" spans="1:18" x14ac:dyDescent="0.25">
      <c r="A294" s="186" t="s">
        <v>681</v>
      </c>
      <c r="B294" s="186" t="s">
        <v>681</v>
      </c>
      <c r="C294" s="4" t="s">
        <v>628</v>
      </c>
      <c r="D294" s="183">
        <f>IF(Recto!W3="N",2,3)</f>
        <v>3</v>
      </c>
      <c r="E294" s="4" t="s">
        <v>3</v>
      </c>
      <c r="F294" s="17">
        <v>154</v>
      </c>
      <c r="G294" s="270" t="s">
        <v>1163</v>
      </c>
      <c r="H294" s="196"/>
      <c r="I294" s="196" t="b">
        <f>IF(Verso!$B$22=Avantages!$A294,TRUE,FALSE)</f>
        <v>0</v>
      </c>
      <c r="J294" s="196" t="b">
        <f>IF(Verso!$B$23=Avantages!$A294,TRUE,FALSE)</f>
        <v>0</v>
      </c>
      <c r="K294" s="196" t="b">
        <f>IF(Verso!$B$24=Avantages!$A294,TRUE,FALSE)</f>
        <v>0</v>
      </c>
      <c r="L294" s="196" t="b">
        <f>IF(Verso!$B$25=Avantages!$A294,TRUE,FALSE)</f>
        <v>0</v>
      </c>
      <c r="M294" s="196" t="b">
        <f>IF(Verso!$B$26=Avantages!$A294,TRUE,FALSE)</f>
        <v>0</v>
      </c>
      <c r="N294" s="196" t="b">
        <f t="shared" si="27"/>
        <v>0</v>
      </c>
      <c r="P294" s="196">
        <f t="shared" si="24"/>
        <v>294</v>
      </c>
      <c r="Q294" s="196" t="str">
        <f t="shared" si="25"/>
        <v/>
      </c>
      <c r="R294" s="578" t="str">
        <f t="shared" si="26"/>
        <v/>
      </c>
    </row>
    <row r="295" spans="1:18" ht="13.95" customHeight="1" x14ac:dyDescent="0.25">
      <c r="A295" s="186" t="s">
        <v>4412</v>
      </c>
      <c r="B295" s="186" t="s">
        <v>4412</v>
      </c>
      <c r="C295" s="4" t="s">
        <v>629</v>
      </c>
      <c r="D295" s="183">
        <v>5</v>
      </c>
      <c r="E295" s="4" t="s">
        <v>4403</v>
      </c>
      <c r="F295" s="17">
        <v>178</v>
      </c>
      <c r="G295" s="289" t="s">
        <v>7507</v>
      </c>
      <c r="H295" s="196"/>
      <c r="I295" s="196" t="b">
        <f>IF(Verso!$B$22=Avantages!$A295,TRUE,FALSE)</f>
        <v>0</v>
      </c>
      <c r="J295" s="196" t="b">
        <f>IF(Verso!$B$23=Avantages!$A295,TRUE,FALSE)</f>
        <v>0</v>
      </c>
      <c r="K295" s="196" t="b">
        <f>IF(Verso!$B$24=Avantages!$A295,TRUE,FALSE)</f>
        <v>0</v>
      </c>
      <c r="L295" s="196" t="b">
        <f>IF(Verso!$B$25=Avantages!$A295,TRUE,FALSE)</f>
        <v>0</v>
      </c>
      <c r="M295" s="196" t="b">
        <f>IF(Verso!$B$26=Avantages!$A295,TRUE,FALSE)</f>
        <v>0</v>
      </c>
      <c r="N295" s="196" t="b">
        <f t="shared" si="27"/>
        <v>0</v>
      </c>
      <c r="P295" s="196">
        <f t="shared" si="24"/>
        <v>295</v>
      </c>
      <c r="Q295" s="196" t="str">
        <f t="shared" si="25"/>
        <v/>
      </c>
      <c r="R295" s="578" t="str">
        <f t="shared" si="26"/>
        <v/>
      </c>
    </row>
    <row r="296" spans="1:18" x14ac:dyDescent="0.25">
      <c r="A296" s="186" t="s">
        <v>956</v>
      </c>
      <c r="B296" s="186" t="s">
        <v>956</v>
      </c>
      <c r="C296" s="4" t="s">
        <v>65</v>
      </c>
      <c r="D296" s="183">
        <f t="shared" ref="D296:D302" si="28">IF(Clan="Araignée",4,5)</f>
        <v>5</v>
      </c>
      <c r="E296" s="4" t="s">
        <v>3</v>
      </c>
      <c r="F296" s="17">
        <v>154</v>
      </c>
      <c r="G296" s="163" t="s">
        <v>965</v>
      </c>
      <c r="H296" s="196"/>
      <c r="I296" s="196" t="b">
        <f>IF(Verso!$B$22=Avantages!$A296,TRUE,FALSE)</f>
        <v>0</v>
      </c>
      <c r="J296" s="196" t="b">
        <f>IF(Verso!$B$23=Avantages!$A296,TRUE,FALSE)</f>
        <v>0</v>
      </c>
      <c r="K296" s="196" t="b">
        <f>IF(Verso!$B$24=Avantages!$A296,TRUE,FALSE)</f>
        <v>0</v>
      </c>
      <c r="L296" s="196" t="b">
        <f>IF(Verso!$B$25=Avantages!$A296,TRUE,FALSE)</f>
        <v>0</v>
      </c>
      <c r="M296" s="196" t="b">
        <f>IF(Verso!$B$26=Avantages!$A296,TRUE,FALSE)</f>
        <v>0</v>
      </c>
      <c r="N296" s="196" t="b">
        <f t="shared" si="27"/>
        <v>0</v>
      </c>
      <c r="P296" s="196">
        <f t="shared" si="24"/>
        <v>296</v>
      </c>
      <c r="Q296" s="196" t="str">
        <f t="shared" si="25"/>
        <v/>
      </c>
      <c r="R296" s="578" t="str">
        <f t="shared" si="26"/>
        <v/>
      </c>
    </row>
    <row r="297" spans="1:18" x14ac:dyDescent="0.25">
      <c r="A297" s="186" t="s">
        <v>957</v>
      </c>
      <c r="B297" s="186" t="s">
        <v>957</v>
      </c>
      <c r="C297" s="4" t="s">
        <v>65</v>
      </c>
      <c r="D297" s="183">
        <f t="shared" si="28"/>
        <v>5</v>
      </c>
      <c r="E297" s="4" t="s">
        <v>3</v>
      </c>
      <c r="F297" s="17">
        <v>154</v>
      </c>
      <c r="G297" s="163" t="s">
        <v>966</v>
      </c>
      <c r="H297" s="196"/>
      <c r="I297" s="196" t="b">
        <f>IF(Verso!$B$22=Avantages!$A297,TRUE,FALSE)</f>
        <v>0</v>
      </c>
      <c r="J297" s="196" t="b">
        <f>IF(Verso!$B$23=Avantages!$A297,TRUE,FALSE)</f>
        <v>0</v>
      </c>
      <c r="K297" s="196" t="b">
        <f>IF(Verso!$B$24=Avantages!$A297,TRUE,FALSE)</f>
        <v>0</v>
      </c>
      <c r="L297" s="196" t="b">
        <f>IF(Verso!$B$25=Avantages!$A297,TRUE,FALSE)</f>
        <v>0</v>
      </c>
      <c r="M297" s="196" t="b">
        <f>IF(Verso!$B$26=Avantages!$A297,TRUE,FALSE)</f>
        <v>0</v>
      </c>
      <c r="N297" s="196" t="b">
        <f t="shared" si="27"/>
        <v>0</v>
      </c>
      <c r="P297" s="196">
        <f t="shared" si="24"/>
        <v>297</v>
      </c>
      <c r="Q297" s="196" t="str">
        <f t="shared" si="25"/>
        <v/>
      </c>
      <c r="R297" s="578" t="str">
        <f t="shared" si="26"/>
        <v/>
      </c>
    </row>
    <row r="298" spans="1:18" x14ac:dyDescent="0.25">
      <c r="A298" s="186" t="s">
        <v>958</v>
      </c>
      <c r="B298" s="186" t="s">
        <v>958</v>
      </c>
      <c r="C298" s="4" t="s">
        <v>65</v>
      </c>
      <c r="D298" s="183">
        <f t="shared" si="28"/>
        <v>5</v>
      </c>
      <c r="E298" s="4" t="s">
        <v>3</v>
      </c>
      <c r="F298" s="17">
        <v>154</v>
      </c>
      <c r="G298" s="163" t="s">
        <v>960</v>
      </c>
      <c r="H298" s="196"/>
      <c r="I298" s="196" t="b">
        <f>IF(Verso!$B$22=Avantages!$A298,TRUE,FALSE)</f>
        <v>0</v>
      </c>
      <c r="J298" s="196" t="b">
        <f>IF(Verso!$B$23=Avantages!$A298,TRUE,FALSE)</f>
        <v>0</v>
      </c>
      <c r="K298" s="196" t="b">
        <f>IF(Verso!$B$24=Avantages!$A298,TRUE,FALSE)</f>
        <v>0</v>
      </c>
      <c r="L298" s="196" t="b">
        <f>IF(Verso!$B$25=Avantages!$A298,TRUE,FALSE)</f>
        <v>0</v>
      </c>
      <c r="M298" s="196" t="b">
        <f>IF(Verso!$B$26=Avantages!$A298,TRUE,FALSE)</f>
        <v>0</v>
      </c>
      <c r="N298" s="196" t="b">
        <f t="shared" si="27"/>
        <v>0</v>
      </c>
      <c r="P298" s="196">
        <f t="shared" si="24"/>
        <v>298</v>
      </c>
      <c r="Q298" s="196" t="str">
        <f t="shared" si="25"/>
        <v/>
      </c>
      <c r="R298" s="578" t="str">
        <f t="shared" si="26"/>
        <v/>
      </c>
    </row>
    <row r="299" spans="1:18" x14ac:dyDescent="0.25">
      <c r="A299" s="186" t="s">
        <v>959</v>
      </c>
      <c r="B299" s="186" t="s">
        <v>959</v>
      </c>
      <c r="C299" s="4" t="s">
        <v>65</v>
      </c>
      <c r="D299" s="183">
        <f t="shared" si="28"/>
        <v>5</v>
      </c>
      <c r="E299" s="4" t="s">
        <v>3</v>
      </c>
      <c r="F299" s="17">
        <v>154</v>
      </c>
      <c r="G299" s="163" t="s">
        <v>967</v>
      </c>
      <c r="H299" s="196"/>
      <c r="I299" s="196" t="b">
        <f>IF(Verso!$B$22=Avantages!$A299,TRUE,FALSE)</f>
        <v>0</v>
      </c>
      <c r="J299" s="196" t="b">
        <f>IF(Verso!$B$23=Avantages!$A299,TRUE,FALSE)</f>
        <v>0</v>
      </c>
      <c r="K299" s="196" t="b">
        <f>IF(Verso!$B$24=Avantages!$A299,TRUE,FALSE)</f>
        <v>0</v>
      </c>
      <c r="L299" s="196" t="b">
        <f>IF(Verso!$B$25=Avantages!$A299,TRUE,FALSE)</f>
        <v>0</v>
      </c>
      <c r="M299" s="196" t="b">
        <f>IF(Verso!$B$26=Avantages!$A299,TRUE,FALSE)</f>
        <v>0</v>
      </c>
      <c r="N299" s="196" t="b">
        <f t="shared" si="27"/>
        <v>0</v>
      </c>
      <c r="P299" s="196">
        <f t="shared" si="24"/>
        <v>299</v>
      </c>
      <c r="Q299" s="196" t="str">
        <f t="shared" si="25"/>
        <v/>
      </c>
      <c r="R299" s="578" t="str">
        <f t="shared" si="26"/>
        <v/>
      </c>
    </row>
    <row r="300" spans="1:18" x14ac:dyDescent="0.25">
      <c r="A300" s="186" t="s">
        <v>961</v>
      </c>
      <c r="B300" s="186" t="s">
        <v>961</v>
      </c>
      <c r="C300" s="4" t="s">
        <v>65</v>
      </c>
      <c r="D300" s="183">
        <f t="shared" si="28"/>
        <v>5</v>
      </c>
      <c r="E300" s="4" t="s">
        <v>3</v>
      </c>
      <c r="F300" s="17">
        <v>154</v>
      </c>
      <c r="G300" s="163" t="s">
        <v>964</v>
      </c>
      <c r="H300" s="196"/>
      <c r="I300" s="196" t="b">
        <f>IF(Verso!$B$22=Avantages!$A300,TRUE,FALSE)</f>
        <v>0</v>
      </c>
      <c r="J300" s="196" t="b">
        <f>IF(Verso!$B$23=Avantages!$A300,TRUE,FALSE)</f>
        <v>0</v>
      </c>
      <c r="K300" s="196" t="b">
        <f>IF(Verso!$B$24=Avantages!$A300,TRUE,FALSE)</f>
        <v>0</v>
      </c>
      <c r="L300" s="196" t="b">
        <f>IF(Verso!$B$25=Avantages!$A300,TRUE,FALSE)</f>
        <v>0</v>
      </c>
      <c r="M300" s="196" t="b">
        <f>IF(Verso!$B$26=Avantages!$A300,TRUE,FALSE)</f>
        <v>0</v>
      </c>
      <c r="N300" s="196" t="b">
        <f t="shared" si="27"/>
        <v>0</v>
      </c>
      <c r="P300" s="196">
        <f t="shared" si="24"/>
        <v>300</v>
      </c>
      <c r="Q300" s="196" t="str">
        <f t="shared" si="25"/>
        <v/>
      </c>
      <c r="R300" s="578" t="str">
        <f t="shared" si="26"/>
        <v/>
      </c>
    </row>
    <row r="301" spans="1:18" x14ac:dyDescent="0.25">
      <c r="A301" s="186" t="s">
        <v>962</v>
      </c>
      <c r="B301" s="186" t="s">
        <v>962</v>
      </c>
      <c r="C301" s="4" t="s">
        <v>65</v>
      </c>
      <c r="D301" s="183">
        <f t="shared" si="28"/>
        <v>5</v>
      </c>
      <c r="E301" s="4" t="s">
        <v>3</v>
      </c>
      <c r="F301" s="17">
        <v>154</v>
      </c>
      <c r="G301" s="163" t="s">
        <v>968</v>
      </c>
      <c r="H301" s="196"/>
      <c r="I301" s="196" t="b">
        <f>IF(Verso!$B$22=Avantages!$A301,TRUE,FALSE)</f>
        <v>0</v>
      </c>
      <c r="J301" s="196" t="b">
        <f>IF(Verso!$B$23=Avantages!$A301,TRUE,FALSE)</f>
        <v>0</v>
      </c>
      <c r="K301" s="196" t="b">
        <f>IF(Verso!$B$24=Avantages!$A301,TRUE,FALSE)</f>
        <v>0</v>
      </c>
      <c r="L301" s="196" t="b">
        <f>IF(Verso!$B$25=Avantages!$A301,TRUE,FALSE)</f>
        <v>0</v>
      </c>
      <c r="M301" s="196" t="b">
        <f>IF(Verso!$B$26=Avantages!$A301,TRUE,FALSE)</f>
        <v>0</v>
      </c>
      <c r="N301" s="196" t="b">
        <f t="shared" si="27"/>
        <v>0</v>
      </c>
      <c r="P301" s="196">
        <f t="shared" si="24"/>
        <v>301</v>
      </c>
      <c r="Q301" s="196" t="str">
        <f t="shared" si="25"/>
        <v/>
      </c>
      <c r="R301" s="578" t="str">
        <f t="shared" si="26"/>
        <v/>
      </c>
    </row>
    <row r="302" spans="1:18" x14ac:dyDescent="0.25">
      <c r="A302" s="186" t="s">
        <v>963</v>
      </c>
      <c r="B302" s="186" t="s">
        <v>963</v>
      </c>
      <c r="C302" s="4" t="s">
        <v>65</v>
      </c>
      <c r="D302" s="183">
        <f t="shared" si="28"/>
        <v>5</v>
      </c>
      <c r="E302" s="4" t="s">
        <v>3</v>
      </c>
      <c r="F302" s="17">
        <v>154</v>
      </c>
      <c r="G302" s="163" t="s">
        <v>969</v>
      </c>
      <c r="H302" s="196"/>
      <c r="I302" s="196" t="b">
        <f>IF(Verso!$B$22=Avantages!$A302,TRUE,FALSE)</f>
        <v>0</v>
      </c>
      <c r="J302" s="196" t="b">
        <f>IF(Verso!$B$23=Avantages!$A302,TRUE,FALSE)</f>
        <v>0</v>
      </c>
      <c r="K302" s="196" t="b">
        <f>IF(Verso!$B$24=Avantages!$A302,TRUE,FALSE)</f>
        <v>0</v>
      </c>
      <c r="L302" s="196" t="b">
        <f>IF(Verso!$B$25=Avantages!$A302,TRUE,FALSE)</f>
        <v>0</v>
      </c>
      <c r="M302" s="196" t="b">
        <f>IF(Verso!$B$26=Avantages!$A302,TRUE,FALSE)</f>
        <v>0</v>
      </c>
      <c r="N302" s="196" t="b">
        <f t="shared" si="27"/>
        <v>0</v>
      </c>
      <c r="P302" s="196">
        <f t="shared" si="24"/>
        <v>302</v>
      </c>
      <c r="Q302" s="196" t="str">
        <f t="shared" si="25"/>
        <v/>
      </c>
      <c r="R302" s="578" t="str">
        <f t="shared" si="26"/>
        <v/>
      </c>
    </row>
    <row r="303" spans="1:18" s="196" customFormat="1" ht="13.2" customHeight="1" x14ac:dyDescent="0.25">
      <c r="A303" s="186" t="s">
        <v>6161</v>
      </c>
      <c r="B303" s="186" t="s">
        <v>6161</v>
      </c>
      <c r="C303" s="4" t="s">
        <v>65</v>
      </c>
      <c r="D303" s="183">
        <f>IF(Clan="Lion",4,5)</f>
        <v>5</v>
      </c>
      <c r="E303" s="4" t="s">
        <v>6010</v>
      </c>
      <c r="F303" s="17">
        <v>202</v>
      </c>
      <c r="G303" s="331" t="s">
        <v>6162</v>
      </c>
      <c r="I303" s="196" t="b">
        <f>IF(Verso!$B$22=Avantages!$A303,TRUE,FALSE)</f>
        <v>0</v>
      </c>
      <c r="J303" s="196" t="b">
        <f>IF(Verso!$B$23=Avantages!$A303,TRUE,FALSE)</f>
        <v>0</v>
      </c>
      <c r="K303" s="196" t="b">
        <f>IF(Verso!$B$24=Avantages!$A303,TRUE,FALSE)</f>
        <v>0</v>
      </c>
      <c r="L303" s="196" t="b">
        <f>IF(Verso!$B$25=Avantages!$A303,TRUE,FALSE)</f>
        <v>0</v>
      </c>
      <c r="M303" s="196" t="b">
        <f>IF(Verso!$B$26=Avantages!$A303,TRUE,FALSE)</f>
        <v>0</v>
      </c>
      <c r="N303" s="196" t="b">
        <f t="shared" si="27"/>
        <v>0</v>
      </c>
      <c r="O303" s="295"/>
      <c r="P303" s="196">
        <f t="shared" si="24"/>
        <v>303</v>
      </c>
      <c r="Q303" s="196" t="str">
        <f t="shared" si="25"/>
        <v/>
      </c>
      <c r="R303" s="578" t="str">
        <f t="shared" si="26"/>
        <v/>
      </c>
    </row>
    <row r="304" spans="1:18" x14ac:dyDescent="0.25">
      <c r="A304" s="186" t="s">
        <v>682</v>
      </c>
      <c r="B304" s="186" t="s">
        <v>682</v>
      </c>
      <c r="C304" s="4" t="s">
        <v>65</v>
      </c>
      <c r="D304" s="183">
        <f>IF(OR(Clan="Lion",Recto!W3="B"),3,4)</f>
        <v>4</v>
      </c>
      <c r="E304" s="4" t="s">
        <v>3</v>
      </c>
      <c r="F304" s="17">
        <v>154</v>
      </c>
      <c r="G304" s="163" t="s">
        <v>8406</v>
      </c>
      <c r="H304" s="196"/>
      <c r="I304" s="196" t="b">
        <f>IF(Verso!$B$22=Avantages!$A304,TRUE,FALSE)</f>
        <v>0</v>
      </c>
      <c r="J304" s="196" t="b">
        <f>IF(Verso!$B$23=Avantages!$A304,TRUE,FALSE)</f>
        <v>0</v>
      </c>
      <c r="K304" s="196" t="b">
        <f>IF(Verso!$B$24=Avantages!$A304,TRUE,FALSE)</f>
        <v>0</v>
      </c>
      <c r="L304" s="196" t="b">
        <f>IF(Verso!$B$25=Avantages!$A304,TRUE,FALSE)</f>
        <v>0</v>
      </c>
      <c r="M304" s="196" t="b">
        <f>IF(Verso!$B$26=Avantages!$A304,TRUE,FALSE)</f>
        <v>0</v>
      </c>
      <c r="N304" s="196" t="b">
        <f t="shared" si="27"/>
        <v>0</v>
      </c>
      <c r="P304" s="196">
        <f t="shared" si="24"/>
        <v>304</v>
      </c>
      <c r="Q304" s="196" t="str">
        <f t="shared" si="25"/>
        <v/>
      </c>
      <c r="R304" s="578" t="str">
        <f t="shared" si="26"/>
        <v/>
      </c>
    </row>
    <row r="305" spans="1:18" s="196" customFormat="1" x14ac:dyDescent="0.25">
      <c r="A305" s="186" t="s">
        <v>3181</v>
      </c>
      <c r="B305" s="186" t="str">
        <f>IF(Clan="Dragon","Tatouage","")</f>
        <v/>
      </c>
      <c r="C305" s="4" t="s">
        <v>629</v>
      </c>
      <c r="D305" s="183">
        <v>8</v>
      </c>
      <c r="E305" s="4" t="s">
        <v>7759</v>
      </c>
      <c r="F305" s="17">
        <v>20</v>
      </c>
      <c r="G305" s="163" t="s">
        <v>8407</v>
      </c>
      <c r="H305" s="196" t="s">
        <v>15</v>
      </c>
      <c r="I305" s="196" t="b">
        <f>IF(Verso!$B$22=Avantages!$A305,TRUE,FALSE)</f>
        <v>0</v>
      </c>
      <c r="J305" s="196" t="b">
        <f>IF(Verso!$B$23=Avantages!$A305,TRUE,FALSE)</f>
        <v>0</v>
      </c>
      <c r="K305" s="196" t="b">
        <f>IF(Verso!$B$24=Avantages!$A305,TRUE,FALSE)</f>
        <v>0</v>
      </c>
      <c r="L305" s="196" t="b">
        <f>IF(Verso!$B$25=Avantages!$A305,TRUE,FALSE)</f>
        <v>0</v>
      </c>
      <c r="M305" s="196" t="b">
        <f>IF(Verso!$B$26=Avantages!$A305,TRUE,FALSE)</f>
        <v>0</v>
      </c>
      <c r="N305" s="196" t="b">
        <f t="shared" ref="N305" si="29">IF(OR(I305=TRUE,J305=TRUE,K305=TRUE,L305=TRUE,M305=TRUE),TRUE,FALSE)</f>
        <v>0</v>
      </c>
      <c r="O305" s="295"/>
      <c r="P305" s="196" t="str">
        <f t="shared" si="24"/>
        <v/>
      </c>
      <c r="Q305" s="196" t="str">
        <f t="shared" si="25"/>
        <v/>
      </c>
      <c r="R305" s="578" t="str">
        <f t="shared" si="26"/>
        <v/>
      </c>
    </row>
    <row r="306" spans="1:18" s="196" customFormat="1" x14ac:dyDescent="0.25">
      <c r="A306" s="186" t="s">
        <v>7566</v>
      </c>
      <c r="B306" s="186" t="str">
        <f>IF(Contexte_jeu&lt;&gt;"L'Empire Stellaire d'Emeraude","",IF(Recto!$C$3=H306,CONCATENATE(A306),""))</f>
        <v/>
      </c>
      <c r="C306" s="4" t="s">
        <v>65</v>
      </c>
      <c r="D306" s="183">
        <f>IF(OR(Clan="Phénix",Clan="Crabe",Clan="Castor"),2,3)</f>
        <v>3</v>
      </c>
      <c r="E306" s="4" t="s">
        <v>7453</v>
      </c>
      <c r="F306" s="17">
        <v>93</v>
      </c>
      <c r="G306" s="270" t="s">
        <v>7568</v>
      </c>
      <c r="I306" s="196" t="b">
        <f>IF(Verso!$B$22=Avantages!$A306,TRUE,FALSE)</f>
        <v>0</v>
      </c>
      <c r="J306" s="196" t="b">
        <f>IF(Verso!$B$23=Avantages!$A306,TRUE,FALSE)</f>
        <v>0</v>
      </c>
      <c r="K306" s="196" t="b">
        <f>IF(Verso!$B$24=Avantages!$A306,TRUE,FALSE)</f>
        <v>0</v>
      </c>
      <c r="L306" s="196" t="b">
        <f>IF(Verso!$B$25=Avantages!$A306,TRUE,FALSE)</f>
        <v>0</v>
      </c>
      <c r="M306" s="196" t="b">
        <f>IF(Verso!$B$26=Avantages!$A306,TRUE,FALSE)</f>
        <v>0</v>
      </c>
      <c r="N306" s="196" t="b">
        <f>IF(OR(I306=TRUE,J306=TRUE,K306=TRUE,L306=TRUE,M306=TRUE),TRUE,FALSE)</f>
        <v>0</v>
      </c>
      <c r="O306" s="295"/>
      <c r="P306" s="196" t="str">
        <f t="shared" si="24"/>
        <v/>
      </c>
      <c r="Q306" s="196" t="str">
        <f t="shared" si="25"/>
        <v/>
      </c>
      <c r="R306" s="578" t="str">
        <f t="shared" si="26"/>
        <v/>
      </c>
    </row>
    <row r="307" spans="1:18" x14ac:dyDescent="0.25">
      <c r="A307" s="186" t="s">
        <v>683</v>
      </c>
      <c r="B307" s="186" t="s">
        <v>683</v>
      </c>
      <c r="C307" s="4" t="s">
        <v>67</v>
      </c>
      <c r="D307" s="183">
        <v>3</v>
      </c>
      <c r="E307" s="4" t="s">
        <v>3</v>
      </c>
      <c r="F307" s="17">
        <v>155</v>
      </c>
      <c r="G307" s="163" t="s">
        <v>73</v>
      </c>
      <c r="H307" s="196"/>
      <c r="I307" s="196" t="b">
        <f>IF(Verso!$B$22=Avantages!$A307,TRUE,FALSE)</f>
        <v>0</v>
      </c>
      <c r="J307" s="196" t="b">
        <f>IF(Verso!$B$23=Avantages!$A307,TRUE,FALSE)</f>
        <v>0</v>
      </c>
      <c r="K307" s="196" t="b">
        <f>IF(Verso!$B$24=Avantages!$A307,TRUE,FALSE)</f>
        <v>0</v>
      </c>
      <c r="L307" s="196" t="b">
        <f>IF(Verso!$B$25=Avantages!$A307,TRUE,FALSE)</f>
        <v>0</v>
      </c>
      <c r="M307" s="196" t="b">
        <f>IF(Verso!$B$26=Avantages!$A307,TRUE,FALSE)</f>
        <v>0</v>
      </c>
      <c r="N307" s="196" t="b">
        <f t="shared" si="27"/>
        <v>0</v>
      </c>
      <c r="P307" s="196">
        <f t="shared" si="24"/>
        <v>307</v>
      </c>
      <c r="Q307" s="196" t="str">
        <f t="shared" si="25"/>
        <v/>
      </c>
      <c r="R307" s="578" t="str">
        <f t="shared" si="26"/>
        <v/>
      </c>
    </row>
    <row r="308" spans="1:18" x14ac:dyDescent="0.25">
      <c r="A308" s="186" t="s">
        <v>5791</v>
      </c>
      <c r="B308" s="186" t="str">
        <f>IF(Recto!$C$3=H308,CONCATENATE(A308),"")</f>
        <v/>
      </c>
      <c r="C308" s="4" t="s">
        <v>629</v>
      </c>
      <c r="D308" s="183">
        <v>4</v>
      </c>
      <c r="E308" s="4" t="s">
        <v>6061</v>
      </c>
      <c r="F308" s="17">
        <v>199</v>
      </c>
      <c r="G308" s="163" t="s">
        <v>1164</v>
      </c>
      <c r="H308" s="196" t="s">
        <v>177</v>
      </c>
      <c r="I308" s="196" t="b">
        <f>IF(Verso!$B$22=Avantages!$A308,TRUE,FALSE)</f>
        <v>0</v>
      </c>
      <c r="J308" s="196" t="b">
        <f>IF(Verso!$B$23=Avantages!$A308,TRUE,FALSE)</f>
        <v>0</v>
      </c>
      <c r="K308" s="196" t="b">
        <f>IF(Verso!$B$24=Avantages!$A308,TRUE,FALSE)</f>
        <v>0</v>
      </c>
      <c r="L308" s="196" t="b">
        <f>IF(Verso!$B$25=Avantages!$A308,TRUE,FALSE)</f>
        <v>0</v>
      </c>
      <c r="M308" s="196" t="b">
        <f>IF(Verso!$B$26=Avantages!$A308,TRUE,FALSE)</f>
        <v>0</v>
      </c>
      <c r="N308" s="196" t="b">
        <f t="shared" si="27"/>
        <v>0</v>
      </c>
      <c r="P308" s="196" t="str">
        <f t="shared" si="24"/>
        <v/>
      </c>
      <c r="Q308" s="196" t="str">
        <f t="shared" si="25"/>
        <v/>
      </c>
      <c r="R308" s="578" t="str">
        <f t="shared" si="26"/>
        <v/>
      </c>
    </row>
    <row r="309" spans="1:18" x14ac:dyDescent="0.25">
      <c r="A309" s="186" t="s">
        <v>689</v>
      </c>
      <c r="B309" s="186" t="s">
        <v>689</v>
      </c>
      <c r="C309" s="4" t="s">
        <v>65</v>
      </c>
      <c r="D309" s="183">
        <v>3</v>
      </c>
      <c r="E309" s="4" t="s">
        <v>3</v>
      </c>
      <c r="F309" s="17">
        <v>155</v>
      </c>
      <c r="G309" s="163" t="s">
        <v>89</v>
      </c>
      <c r="H309" s="196"/>
      <c r="I309" s="196" t="b">
        <f>IF(Verso!$B$22=Avantages!$A309,TRUE,FALSE)</f>
        <v>0</v>
      </c>
      <c r="J309" s="196" t="b">
        <f>IF(Verso!$B$23=Avantages!$A309,TRUE,FALSE)</f>
        <v>0</v>
      </c>
      <c r="K309" s="196" t="b">
        <f>IF(Verso!$B$24=Avantages!$A309,TRUE,FALSE)</f>
        <v>0</v>
      </c>
      <c r="L309" s="196" t="b">
        <f>IF(Verso!$B$25=Avantages!$A309,TRUE,FALSE)</f>
        <v>0</v>
      </c>
      <c r="M309" s="196" t="b">
        <f>IF(Verso!$B$26=Avantages!$A309,TRUE,FALSE)</f>
        <v>0</v>
      </c>
      <c r="N309" s="196" t="b">
        <f t="shared" si="27"/>
        <v>0</v>
      </c>
      <c r="P309" s="196">
        <f t="shared" si="24"/>
        <v>309</v>
      </c>
      <c r="Q309" s="196" t="str">
        <f t="shared" si="25"/>
        <v/>
      </c>
      <c r="R309" s="578" t="str">
        <f t="shared" si="26"/>
        <v/>
      </c>
    </row>
    <row r="310" spans="1:18" x14ac:dyDescent="0.25">
      <c r="A310" s="186" t="str">
        <f>IF(Contexte_jeu="L'Empire Stellaire d'Emeraude","Vétéran de Rokugan Prime","Vétéran de la Cité Impériale")</f>
        <v>Vétéran de la Cité Impériale</v>
      </c>
      <c r="B310" s="186" t="str">
        <f>IF(Contexte_jeu="L'Empire Stellaire d'Emeraude","Vétéran de Rokugan Prime","Vétéran de la Cité Impériale")</f>
        <v>Vétéran de la Cité Impériale</v>
      </c>
      <c r="C310" s="4" t="s">
        <v>67</v>
      </c>
      <c r="D310" s="183">
        <v>2</v>
      </c>
      <c r="E310" s="4" t="s">
        <v>2074</v>
      </c>
      <c r="F310" s="17">
        <v>134</v>
      </c>
      <c r="G310" s="270" t="s">
        <v>147</v>
      </c>
      <c r="H310" s="196"/>
      <c r="I310" s="196" t="b">
        <f>IF(Verso!$B$22=Avantages!$A310,TRUE,FALSE)</f>
        <v>0</v>
      </c>
      <c r="J310" s="196" t="b">
        <f>IF(Verso!$B$23=Avantages!$A310,TRUE,FALSE)</f>
        <v>0</v>
      </c>
      <c r="K310" s="196" t="b">
        <f>IF(Verso!$B$24=Avantages!$A310,TRUE,FALSE)</f>
        <v>0</v>
      </c>
      <c r="L310" s="196" t="b">
        <f>IF(Verso!$B$25=Avantages!$A310,TRUE,FALSE)</f>
        <v>0</v>
      </c>
      <c r="M310" s="196" t="b">
        <f>IF(Verso!$B$26=Avantages!$A310,TRUE,FALSE)</f>
        <v>0</v>
      </c>
      <c r="N310" s="196" t="b">
        <f t="shared" si="27"/>
        <v>0</v>
      </c>
      <c r="P310" s="196">
        <f t="shared" si="24"/>
        <v>310</v>
      </c>
      <c r="Q310" s="196" t="str">
        <f t="shared" si="25"/>
        <v/>
      </c>
      <c r="R310" s="578" t="str">
        <f t="shared" si="26"/>
        <v/>
      </c>
    </row>
    <row r="311" spans="1:18" x14ac:dyDescent="0.25">
      <c r="A311" s="186" t="s">
        <v>684</v>
      </c>
      <c r="B311" s="186" t="s">
        <v>684</v>
      </c>
      <c r="C311" s="4" t="s">
        <v>628</v>
      </c>
      <c r="D311" s="183">
        <v>12</v>
      </c>
      <c r="E311" s="4" t="s">
        <v>3</v>
      </c>
      <c r="F311" s="17">
        <v>155</v>
      </c>
      <c r="G311" s="270" t="s">
        <v>1165</v>
      </c>
      <c r="H311" s="196"/>
      <c r="I311" s="196" t="b">
        <f>IF(Verso!$B$22=Avantages!$A311,TRUE,FALSE)</f>
        <v>0</v>
      </c>
      <c r="J311" s="196" t="b">
        <f>IF(Verso!$B$23=Avantages!$A311,TRUE,FALSE)</f>
        <v>0</v>
      </c>
      <c r="K311" s="196" t="b">
        <f>IF(Verso!$B$24=Avantages!$A311,TRUE,FALSE)</f>
        <v>0</v>
      </c>
      <c r="L311" s="196" t="b">
        <f>IF(Verso!$B$25=Avantages!$A311,TRUE,FALSE)</f>
        <v>0</v>
      </c>
      <c r="M311" s="196" t="b">
        <f>IF(Verso!$B$26=Avantages!$A311,TRUE,FALSE)</f>
        <v>0</v>
      </c>
      <c r="N311" s="196" t="b">
        <f t="shared" si="27"/>
        <v>0</v>
      </c>
      <c r="P311" s="196">
        <f t="shared" si="24"/>
        <v>311</v>
      </c>
      <c r="Q311" s="196" t="str">
        <f t="shared" si="25"/>
        <v/>
      </c>
      <c r="R311" s="578" t="str">
        <f t="shared" si="26"/>
        <v/>
      </c>
    </row>
    <row r="312" spans="1:18" x14ac:dyDescent="0.25">
      <c r="A312" s="186" t="s">
        <v>688</v>
      </c>
      <c r="B312" s="186" t="s">
        <v>688</v>
      </c>
      <c r="C312" s="4" t="s">
        <v>628</v>
      </c>
      <c r="D312" s="183">
        <v>3</v>
      </c>
      <c r="E312" s="4" t="s">
        <v>3</v>
      </c>
      <c r="F312" s="17">
        <v>155</v>
      </c>
      <c r="G312" s="270" t="s">
        <v>1166</v>
      </c>
      <c r="H312" s="196"/>
      <c r="I312" s="196" t="b">
        <f>IF(Verso!$B$22=Avantages!$A312,TRUE,FALSE)</f>
        <v>0</v>
      </c>
      <c r="J312" s="196" t="b">
        <f>IF(Verso!$B$23=Avantages!$A312,TRUE,FALSE)</f>
        <v>0</v>
      </c>
      <c r="K312" s="196" t="b">
        <f>IF(Verso!$B$24=Avantages!$A312,TRUE,FALSE)</f>
        <v>0</v>
      </c>
      <c r="L312" s="196" t="b">
        <f>IF(Verso!$B$25=Avantages!$A312,TRUE,FALSE)</f>
        <v>0</v>
      </c>
      <c r="M312" s="196" t="b">
        <f>IF(Verso!$B$26=Avantages!$A312,TRUE,FALSE)</f>
        <v>0</v>
      </c>
      <c r="N312" s="196" t="b">
        <f t="shared" si="27"/>
        <v>0</v>
      </c>
      <c r="P312" s="196">
        <f t="shared" si="24"/>
        <v>312</v>
      </c>
      <c r="Q312" s="196" t="str">
        <f t="shared" si="25"/>
        <v/>
      </c>
      <c r="R312" s="578" t="str">
        <f t="shared" si="26"/>
        <v/>
      </c>
    </row>
    <row r="313" spans="1:18" x14ac:dyDescent="0.25">
      <c r="A313" s="186" t="s">
        <v>818</v>
      </c>
      <c r="B313" s="186" t="str">
        <f>IF(Recto!$C$3=H313,CONCATENATE(A313),"")</f>
        <v/>
      </c>
      <c r="C313" s="4" t="s">
        <v>628</v>
      </c>
      <c r="D313" s="183">
        <v>3</v>
      </c>
      <c r="E313" s="4" t="s">
        <v>2075</v>
      </c>
      <c r="F313" s="17">
        <v>110</v>
      </c>
      <c r="G313" s="163" t="s">
        <v>649</v>
      </c>
      <c r="H313" s="196" t="s">
        <v>56</v>
      </c>
      <c r="I313" s="196" t="b">
        <f>IF(Verso!$B$22=Avantages!$A313,TRUE,FALSE)</f>
        <v>0</v>
      </c>
      <c r="J313" s="196" t="b">
        <f>IF(Verso!$B$23=Avantages!$A313,TRUE,FALSE)</f>
        <v>0</v>
      </c>
      <c r="K313" s="196" t="b">
        <f>IF(Verso!$B$24=Avantages!$A313,TRUE,FALSE)</f>
        <v>0</v>
      </c>
      <c r="L313" s="196" t="b">
        <f>IF(Verso!$B$25=Avantages!$A313,TRUE,FALSE)</f>
        <v>0</v>
      </c>
      <c r="M313" s="196" t="b">
        <f>IF(Verso!$B$26=Avantages!$A313,TRUE,FALSE)</f>
        <v>0</v>
      </c>
      <c r="N313" s="196" t="b">
        <f t="shared" si="27"/>
        <v>0</v>
      </c>
      <c r="P313" s="196" t="str">
        <f t="shared" si="24"/>
        <v/>
      </c>
      <c r="Q313" s="196" t="str">
        <f t="shared" si="25"/>
        <v/>
      </c>
      <c r="R313" s="578" t="str">
        <f t="shared" si="26"/>
        <v/>
      </c>
    </row>
  </sheetData>
  <sheetProtection selectLockedCells="1" selectUnlockedCells="1"/>
  <sortState xmlns:xlrd2="http://schemas.microsoft.com/office/spreadsheetml/2017/richdata2" ref="A2:O244">
    <sortCondition ref="A2:A244"/>
  </sortState>
  <mergeCells count="1">
    <mergeCell ref="P1:R1"/>
  </mergeCells>
  <pageMargins left="0.39370078740157483" right="0.39370078740157483" top="0.39370078740157483" bottom="0.39370078740157483" header="0.51181102362204722" footer="0.51181102362204722"/>
  <pageSetup firstPageNumber="0" orientation="landscape" horizontalDpi="300" verticalDpi="300" r:id="rId1"/>
  <headerFooter alignWithMargins="0">
    <oddHeader>&amp;C&amp;A</oddHeader>
    <oddFooter>&amp;CPage &amp;P</oddFooter>
  </headerFooter>
  <ignoredErrors>
    <ignoredError sqref="B29 B34 B42 D236 D23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54"/>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11.5546875" defaultRowHeight="13.2" x14ac:dyDescent="0.25"/>
  <cols>
    <col min="1" max="1" width="31.88671875" style="196" customWidth="1"/>
    <col min="2" max="2" width="34.33203125" style="185" hidden="1" customWidth="1"/>
    <col min="3" max="3" width="12.109375" style="4" customWidth="1"/>
    <col min="4" max="4" width="5.33203125" style="183" customWidth="1"/>
    <col min="5" max="5" width="12.33203125" style="4" customWidth="1"/>
    <col min="6" max="6" width="4.109375" style="4" customWidth="1"/>
    <col min="7" max="7" width="64.6640625" style="163" customWidth="1"/>
    <col min="8" max="8" width="22.6640625" style="196" hidden="1" customWidth="1"/>
    <col min="9" max="14" width="7.44140625" style="196" hidden="1" customWidth="1"/>
    <col min="15" max="18" width="12.44140625" style="196" hidden="1" customWidth="1"/>
    <col min="19" max="19" width="12.44140625" style="295" hidden="1" customWidth="1"/>
    <col min="20" max="257" width="12.44140625" style="196" customWidth="1"/>
    <col min="258" max="16384" width="11.5546875" style="196"/>
  </cols>
  <sheetData>
    <row r="1" spans="1:19" s="274" customFormat="1" ht="12" customHeight="1" x14ac:dyDescent="0.25">
      <c r="A1" s="269" t="s">
        <v>342</v>
      </c>
      <c r="B1" s="269" t="s">
        <v>342</v>
      </c>
      <c r="C1" s="88" t="s">
        <v>343</v>
      </c>
      <c r="D1" s="271" t="s">
        <v>334</v>
      </c>
      <c r="E1" s="88" t="s">
        <v>0</v>
      </c>
      <c r="F1" s="272" t="s">
        <v>1</v>
      </c>
      <c r="G1" s="273"/>
      <c r="I1" s="274" t="s">
        <v>6405</v>
      </c>
      <c r="J1" s="274" t="s">
        <v>6406</v>
      </c>
      <c r="K1" s="274" t="s">
        <v>6407</v>
      </c>
      <c r="L1" s="274" t="s">
        <v>6408</v>
      </c>
      <c r="M1" s="274" t="s">
        <v>6409</v>
      </c>
      <c r="Q1" s="948" t="s">
        <v>9131</v>
      </c>
      <c r="R1" s="948"/>
      <c r="S1" s="940"/>
    </row>
    <row r="2" spans="1:19" x14ac:dyDescent="0.25">
      <c r="A2" s="186" t="s">
        <v>850</v>
      </c>
      <c r="B2" s="186" t="s">
        <v>850</v>
      </c>
      <c r="C2" s="4" t="s">
        <v>65</v>
      </c>
      <c r="D2" s="183">
        <v>-5</v>
      </c>
      <c r="E2" s="4" t="s">
        <v>2075</v>
      </c>
      <c r="F2" s="17">
        <v>49</v>
      </c>
      <c r="G2" s="163" t="s">
        <v>1061</v>
      </c>
      <c r="I2" s="196" t="b">
        <f>IF(Verso!$B$30=Désavantages!$A2,TRUE,FALSE)</f>
        <v>0</v>
      </c>
      <c r="J2" s="196" t="b">
        <f>IF(Verso!$B$31=Désavantages!$A2,TRUE,FALSE)</f>
        <v>0</v>
      </c>
      <c r="K2" s="196" t="b">
        <f>IF(Verso!$B$32=Désavantages!$A2,TRUE,FALSE)</f>
        <v>0</v>
      </c>
      <c r="L2" s="196" t="b">
        <f>IF(Verso!$B$33=Désavantages!$A2,TRUE,FALSE)</f>
        <v>0</v>
      </c>
      <c r="M2" s="196" t="b">
        <f>IF(Verso!$B$34=Désavantages!$A2,TRUE,FALSE)</f>
        <v>0</v>
      </c>
      <c r="N2" s="196" t="b">
        <f>IF(OR(I2=TRUE,J2=TRUE,K2=TRUE,L2=TRUE,M2=TRUE),TRUE,FALSE)</f>
        <v>0</v>
      </c>
      <c r="O2" s="196" t="s">
        <v>6478</v>
      </c>
      <c r="Q2" s="196">
        <f>IF(B2="","",ROW())</f>
        <v>2</v>
      </c>
      <c r="R2" s="196">
        <f>IFERROR(SMALL(Q:Q,ROW()-1),"")</f>
        <v>2</v>
      </c>
      <c r="S2" s="578" t="str">
        <f>IFERROR(INDEX(B:B,R2),"")</f>
        <v>Agent Dormant</v>
      </c>
    </row>
    <row r="3" spans="1:19" x14ac:dyDescent="0.25">
      <c r="A3" s="186" t="s">
        <v>1952</v>
      </c>
      <c r="B3" s="186" t="s">
        <v>1952</v>
      </c>
      <c r="C3" s="14" t="s">
        <v>65</v>
      </c>
      <c r="D3" s="183">
        <v>-8</v>
      </c>
      <c r="E3" s="4" t="s">
        <v>2075</v>
      </c>
      <c r="F3" s="17">
        <v>49</v>
      </c>
      <c r="G3" s="163" t="s">
        <v>4024</v>
      </c>
      <c r="I3" s="196" t="b">
        <f>IF(Verso!$B$30=Désavantages!$A3,TRUE,FALSE)</f>
        <v>0</v>
      </c>
      <c r="J3" s="196" t="b">
        <f>IF(Verso!$B$31=Désavantages!$A3,TRUE,FALSE)</f>
        <v>0</v>
      </c>
      <c r="K3" s="196" t="b">
        <f>IF(Verso!$B$32=Désavantages!$A3,TRUE,FALSE)</f>
        <v>0</v>
      </c>
      <c r="L3" s="196" t="b">
        <f>IF(Verso!$B$33=Désavantages!$A3,TRUE,FALSE)</f>
        <v>0</v>
      </c>
      <c r="M3" s="196" t="b">
        <f>IF(Verso!$B$34=Désavantages!$A3,TRUE,FALSE)</f>
        <v>0</v>
      </c>
      <c r="N3" s="196" t="b">
        <f>IF(OR(I3=TRUE,J3=TRUE,K3=TRUE,L3=TRUE,M3=TRUE),TRUE,FALSE)</f>
        <v>0</v>
      </c>
      <c r="O3" s="196" t="b">
        <f>IF(OR(N8=TRUE,N16=TRUE,N49=TRUE),TRUE,FALSE)</f>
        <v>0</v>
      </c>
      <c r="Q3" s="196">
        <f t="shared" ref="Q3:Q66" si="0">IF(B3="","",ROW())</f>
        <v>3</v>
      </c>
      <c r="R3" s="196">
        <f t="shared" ref="R3:R66" si="1">IFERROR(SMALL(Q:Q,ROW()-1),"")</f>
        <v>3</v>
      </c>
      <c r="S3" s="578" t="str">
        <f t="shared" ref="S3:S66" si="2">IFERROR(INDEX(B:B,R3),"")</f>
        <v>Agent Dormant Suicidaire</v>
      </c>
    </row>
    <row r="4" spans="1:19" x14ac:dyDescent="0.25">
      <c r="A4" s="186" t="s">
        <v>6980</v>
      </c>
      <c r="B4" s="186" t="s">
        <v>6980</v>
      </c>
      <c r="C4" s="14" t="s">
        <v>67</v>
      </c>
      <c r="D4" s="183">
        <f>IF(Clan="Impérial",-3,-2)</f>
        <v>-2</v>
      </c>
      <c r="E4" s="4" t="s">
        <v>3</v>
      </c>
      <c r="F4" s="17">
        <v>156</v>
      </c>
      <c r="G4" s="163" t="s">
        <v>7763</v>
      </c>
      <c r="I4" s="196" t="b">
        <f>IF(Verso!$B$30=Désavantages!$A4,TRUE,FALSE)</f>
        <v>0</v>
      </c>
      <c r="J4" s="196" t="b">
        <f>IF(Verso!$B$31=Désavantages!$A4,TRUE,FALSE)</f>
        <v>0</v>
      </c>
      <c r="K4" s="196" t="b">
        <f>IF(Verso!$B$32=Désavantages!$A4,TRUE,FALSE)</f>
        <v>0</v>
      </c>
      <c r="L4" s="196" t="b">
        <f>IF(Verso!$B$33=Désavantages!$A4,TRUE,FALSE)</f>
        <v>0</v>
      </c>
      <c r="M4" s="196" t="b">
        <f>IF(Verso!$B$34=Désavantages!$A4,TRUE,FALSE)</f>
        <v>0</v>
      </c>
      <c r="N4" s="196" t="b">
        <f t="shared" ref="N4:N70" si="3">IF(OR(I4=TRUE,J4=TRUE,K4=TRUE,L4=TRUE,M4=TRUE),TRUE,FALSE)</f>
        <v>0</v>
      </c>
      <c r="Q4" s="196">
        <f t="shared" si="0"/>
        <v>4</v>
      </c>
      <c r="R4" s="196">
        <f t="shared" si="1"/>
        <v>4</v>
      </c>
      <c r="S4" s="578" t="str">
        <f t="shared" si="2"/>
        <v>Amères Fiançailles</v>
      </c>
    </row>
    <row r="5" spans="1:19" x14ac:dyDescent="0.25">
      <c r="A5" s="186" t="s">
        <v>7574</v>
      </c>
      <c r="B5" s="186" t="s">
        <v>7574</v>
      </c>
      <c r="C5" s="14" t="s">
        <v>65</v>
      </c>
      <c r="D5" s="183">
        <v>-8</v>
      </c>
      <c r="E5" s="4" t="s">
        <v>7453</v>
      </c>
      <c r="F5" s="17">
        <v>93</v>
      </c>
      <c r="G5" s="163" t="s">
        <v>7575</v>
      </c>
      <c r="I5" s="196" t="b">
        <f>IF(Verso!$B$30=Désavantages!$A5,TRUE,FALSE)</f>
        <v>0</v>
      </c>
      <c r="J5" s="196" t="b">
        <f>IF(Verso!$B$31=Désavantages!$A5,TRUE,FALSE)</f>
        <v>0</v>
      </c>
      <c r="K5" s="196" t="b">
        <f>IF(Verso!$B$32=Désavantages!$A5,TRUE,FALSE)</f>
        <v>0</v>
      </c>
      <c r="L5" s="196" t="b">
        <f>IF(Verso!$B$33=Désavantages!$A5,TRUE,FALSE)</f>
        <v>0</v>
      </c>
      <c r="M5" s="196" t="b">
        <f>IF(Verso!$B$34=Désavantages!$A5,TRUE,FALSE)</f>
        <v>0</v>
      </c>
      <c r="N5" s="196" t="b">
        <f t="shared" si="3"/>
        <v>0</v>
      </c>
      <c r="Q5" s="196">
        <f t="shared" si="0"/>
        <v>5</v>
      </c>
      <c r="R5" s="196">
        <f t="shared" si="1"/>
        <v>5</v>
      </c>
      <c r="S5" s="578" t="str">
        <f t="shared" si="2"/>
        <v>Amnésie</v>
      </c>
    </row>
    <row r="6" spans="1:19" x14ac:dyDescent="0.25">
      <c r="A6" s="186" t="s">
        <v>7572</v>
      </c>
      <c r="B6" s="186" t="str">
        <f>IF(Recto!R5&gt;1,"","Amnésie Totale")</f>
        <v>Amnésie Totale</v>
      </c>
      <c r="C6" s="14" t="s">
        <v>65</v>
      </c>
      <c r="D6" s="183">
        <v>-4</v>
      </c>
      <c r="E6" s="4" t="s">
        <v>7453</v>
      </c>
      <c r="F6" s="17">
        <v>93</v>
      </c>
      <c r="G6" s="163" t="s">
        <v>7573</v>
      </c>
      <c r="I6" s="196" t="b">
        <f>IF(Verso!$B$30=Désavantages!$A6,TRUE,FALSE)</f>
        <v>0</v>
      </c>
      <c r="J6" s="196" t="b">
        <f>IF(Verso!$B$31=Désavantages!$A6,TRUE,FALSE)</f>
        <v>0</v>
      </c>
      <c r="K6" s="196" t="b">
        <f>IF(Verso!$B$32=Désavantages!$A6,TRUE,FALSE)</f>
        <v>0</v>
      </c>
      <c r="L6" s="196" t="b">
        <f>IF(Verso!$B$33=Désavantages!$A6,TRUE,FALSE)</f>
        <v>0</v>
      </c>
      <c r="M6" s="196" t="b">
        <f>IF(Verso!$B$34=Désavantages!$A6,TRUE,FALSE)</f>
        <v>0</v>
      </c>
      <c r="N6" s="196" t="b">
        <f t="shared" si="3"/>
        <v>0</v>
      </c>
      <c r="Q6" s="196">
        <f t="shared" si="0"/>
        <v>6</v>
      </c>
      <c r="R6" s="196">
        <f t="shared" si="1"/>
        <v>6</v>
      </c>
      <c r="S6" s="578" t="str">
        <f t="shared" si="2"/>
        <v>Amnésie Totale</v>
      </c>
    </row>
    <row r="7" spans="1:19" x14ac:dyDescent="0.25">
      <c r="A7" s="186" t="s">
        <v>851</v>
      </c>
      <c r="B7" s="186" t="s">
        <v>851</v>
      </c>
      <c r="C7" s="4" t="s">
        <v>65</v>
      </c>
      <c r="D7" s="184">
        <v>-3</v>
      </c>
      <c r="E7" s="4" t="s">
        <v>3</v>
      </c>
      <c r="F7" s="17">
        <v>156</v>
      </c>
      <c r="G7" s="163" t="s">
        <v>137</v>
      </c>
      <c r="I7" s="196" t="b">
        <f>IF(Verso!$B$30=Désavantages!$A7,TRUE,FALSE)</f>
        <v>0</v>
      </c>
      <c r="J7" s="196" t="b">
        <f>IF(Verso!$B$31=Désavantages!$A7,TRUE,FALSE)</f>
        <v>0</v>
      </c>
      <c r="K7" s="196" t="b">
        <f>IF(Verso!$B$32=Désavantages!$A7,TRUE,FALSE)</f>
        <v>0</v>
      </c>
      <c r="L7" s="196" t="b">
        <f>IF(Verso!$B$33=Désavantages!$A7,TRUE,FALSE)</f>
        <v>0</v>
      </c>
      <c r="M7" s="196" t="b">
        <f>IF(Verso!$B$34=Désavantages!$A7,TRUE,FALSE)</f>
        <v>0</v>
      </c>
      <c r="N7" s="196" t="b">
        <f t="shared" si="3"/>
        <v>0</v>
      </c>
      <c r="Q7" s="196">
        <f t="shared" si="0"/>
        <v>7</v>
      </c>
      <c r="R7" s="196">
        <f t="shared" si="1"/>
        <v>7</v>
      </c>
      <c r="S7" s="578" t="str">
        <f t="shared" si="2"/>
        <v>Amour Sincère</v>
      </c>
    </row>
    <row r="8" spans="1:19" x14ac:dyDescent="0.25">
      <c r="A8" s="186" t="s">
        <v>852</v>
      </c>
      <c r="B8" s="186" t="s">
        <v>852</v>
      </c>
      <c r="C8" s="4" t="s">
        <v>628</v>
      </c>
      <c r="D8" s="183">
        <v>-6</v>
      </c>
      <c r="E8" s="4" t="s">
        <v>3</v>
      </c>
      <c r="F8" s="17">
        <v>156</v>
      </c>
      <c r="G8" s="163" t="s">
        <v>832</v>
      </c>
      <c r="I8" s="196" t="b">
        <f>IF(Verso!$B$30=Désavantages!$A8,TRUE,FALSE)</f>
        <v>0</v>
      </c>
      <c r="J8" s="196" t="b">
        <f>IF(Verso!$B$31=Désavantages!$A8,TRUE,FALSE)</f>
        <v>0</v>
      </c>
      <c r="K8" s="196" t="b">
        <f>IF(Verso!$B$32=Désavantages!$A8,TRUE,FALSE)</f>
        <v>0</v>
      </c>
      <c r="L8" s="196" t="b">
        <f>IF(Verso!$B$33=Désavantages!$A8,TRUE,FALSE)</f>
        <v>0</v>
      </c>
      <c r="M8" s="196" t="b">
        <f>IF(Verso!$B$34=Désavantages!$A8,TRUE,FALSE)</f>
        <v>0</v>
      </c>
      <c r="N8" s="196" t="b">
        <f t="shared" si="3"/>
        <v>0</v>
      </c>
      <c r="Q8" s="196">
        <f t="shared" si="0"/>
        <v>8</v>
      </c>
      <c r="R8" s="196">
        <f t="shared" si="1"/>
        <v>8</v>
      </c>
      <c r="S8" s="578" t="str">
        <f t="shared" si="2"/>
        <v>Amputé</v>
      </c>
    </row>
    <row r="9" spans="1:19" x14ac:dyDescent="0.25">
      <c r="A9" s="186" t="s">
        <v>676</v>
      </c>
      <c r="B9" s="186" t="s">
        <v>676</v>
      </c>
      <c r="C9" s="4" t="s">
        <v>153</v>
      </c>
      <c r="D9" s="183">
        <v>-2</v>
      </c>
      <c r="E9" s="4" t="s">
        <v>2077</v>
      </c>
      <c r="F9" s="17">
        <v>240</v>
      </c>
      <c r="G9" s="163" t="s">
        <v>825</v>
      </c>
      <c r="I9" s="196" t="b">
        <f>IF(Verso!$B$30=Désavantages!$A9,TRUE,FALSE)</f>
        <v>0</v>
      </c>
      <c r="J9" s="196" t="b">
        <f>IF(Verso!$B$31=Désavantages!$A9,TRUE,FALSE)</f>
        <v>0</v>
      </c>
      <c r="K9" s="196" t="b">
        <f>IF(Verso!$B$32=Désavantages!$A9,TRUE,FALSE)</f>
        <v>0</v>
      </c>
      <c r="L9" s="196" t="b">
        <f>IF(Verso!$B$33=Désavantages!$A9,TRUE,FALSE)</f>
        <v>0</v>
      </c>
      <c r="M9" s="196" t="b">
        <f>IF(Verso!$B$34=Désavantages!$A9,TRUE,FALSE)</f>
        <v>0</v>
      </c>
      <c r="N9" s="196" t="b">
        <f t="shared" si="3"/>
        <v>0</v>
      </c>
      <c r="Q9" s="196">
        <f t="shared" si="0"/>
        <v>9</v>
      </c>
      <c r="R9" s="196">
        <f t="shared" si="1"/>
        <v>9</v>
      </c>
      <c r="S9" s="578" t="str">
        <f t="shared" si="2"/>
        <v>Anachronique</v>
      </c>
    </row>
    <row r="10" spans="1:19" x14ac:dyDescent="0.25">
      <c r="A10" s="186" t="s">
        <v>7586</v>
      </c>
      <c r="B10" s="186" t="s">
        <v>7586</v>
      </c>
      <c r="C10" s="4" t="s">
        <v>67</v>
      </c>
      <c r="D10" s="183">
        <f>IF(Contexte_jeu&lt;&gt;"L'Empire Stellaire d'Emeraude",-1,-2)</f>
        <v>-1</v>
      </c>
      <c r="E10" s="4" t="s">
        <v>7766</v>
      </c>
      <c r="F10" s="17" t="s">
        <v>8817</v>
      </c>
      <c r="G10" s="163" t="s">
        <v>7767</v>
      </c>
      <c r="I10" s="196" t="b">
        <f>IF(Verso!$B$30=Désavantages!$A10,TRUE,FALSE)</f>
        <v>0</v>
      </c>
      <c r="J10" s="196" t="b">
        <f>IF(Verso!$B$31=Désavantages!$A10,TRUE,FALSE)</f>
        <v>0</v>
      </c>
      <c r="K10" s="196" t="b">
        <f>IF(Verso!$B$32=Désavantages!$A10,TRUE,FALSE)</f>
        <v>0</v>
      </c>
      <c r="L10" s="196" t="b">
        <f>IF(Verso!$B$33=Désavantages!$A10,TRUE,FALSE)</f>
        <v>0</v>
      </c>
      <c r="M10" s="196" t="b">
        <f>IF(Verso!$B$34=Désavantages!$A10,TRUE,FALSE)</f>
        <v>0</v>
      </c>
      <c r="N10" s="196" t="b">
        <f t="shared" si="3"/>
        <v>0</v>
      </c>
      <c r="Q10" s="196">
        <f t="shared" si="0"/>
        <v>10</v>
      </c>
      <c r="R10" s="196">
        <f t="shared" si="1"/>
        <v>10</v>
      </c>
      <c r="S10" s="578" t="str">
        <f t="shared" si="2"/>
        <v>Analphabète</v>
      </c>
    </row>
    <row r="11" spans="1:19" x14ac:dyDescent="0.25">
      <c r="A11" s="186" t="s">
        <v>1053</v>
      </c>
      <c r="B11" s="186" t="str">
        <f>IF(Recto!$C$3=H11,CONCATENATE(A11),"")</f>
        <v/>
      </c>
      <c r="C11" s="4" t="s">
        <v>628</v>
      </c>
      <c r="D11" s="183">
        <v>-2</v>
      </c>
      <c r="E11" s="4" t="s">
        <v>2075</v>
      </c>
      <c r="F11" s="17">
        <v>111</v>
      </c>
      <c r="G11" s="163" t="s">
        <v>849</v>
      </c>
      <c r="H11" s="196" t="s">
        <v>56</v>
      </c>
      <c r="I11" s="196" t="b">
        <f>IF(Verso!$B$30=Désavantages!$A11,TRUE,FALSE)</f>
        <v>0</v>
      </c>
      <c r="J11" s="196" t="b">
        <f>IF(Verso!$B$31=Désavantages!$A11,TRUE,FALSE)</f>
        <v>0</v>
      </c>
      <c r="K11" s="196" t="b">
        <f>IF(Verso!$B$32=Désavantages!$A11,TRUE,FALSE)</f>
        <v>0</v>
      </c>
      <c r="L11" s="196" t="b">
        <f>IF(Verso!$B$33=Désavantages!$A11,TRUE,FALSE)</f>
        <v>0</v>
      </c>
      <c r="M11" s="196" t="b">
        <f>IF(Verso!$B$34=Désavantages!$A11,TRUE,FALSE)</f>
        <v>0</v>
      </c>
      <c r="N11" s="196" t="b">
        <f t="shared" si="3"/>
        <v>0</v>
      </c>
      <c r="Q11" s="196" t="str">
        <f t="shared" si="0"/>
        <v/>
      </c>
      <c r="R11" s="196">
        <f t="shared" si="1"/>
        <v>12</v>
      </c>
      <c r="S11" s="578" t="str">
        <f t="shared" si="2"/>
        <v>Ascéte</v>
      </c>
    </row>
    <row r="12" spans="1:19" x14ac:dyDescent="0.25">
      <c r="A12" s="186" t="s">
        <v>821</v>
      </c>
      <c r="B12" s="186" t="s">
        <v>821</v>
      </c>
      <c r="C12" s="4" t="s">
        <v>65</v>
      </c>
      <c r="D12" s="183">
        <f>IF(OR(Recto!W3="M",Clan="Dragon"),-3,-2)</f>
        <v>-2</v>
      </c>
      <c r="E12" s="4" t="s">
        <v>3</v>
      </c>
      <c r="F12" s="17">
        <v>156</v>
      </c>
      <c r="G12" s="163" t="s">
        <v>121</v>
      </c>
      <c r="I12" s="196" t="b">
        <f>IF(Verso!$B$30=Désavantages!$A12,TRUE,FALSE)</f>
        <v>0</v>
      </c>
      <c r="J12" s="196" t="b">
        <f>IF(Verso!$B$31=Désavantages!$A12,TRUE,FALSE)</f>
        <v>0</v>
      </c>
      <c r="K12" s="196" t="b">
        <f>IF(Verso!$B$32=Désavantages!$A12,TRUE,FALSE)</f>
        <v>0</v>
      </c>
      <c r="L12" s="196" t="b">
        <f>IF(Verso!$B$33=Désavantages!$A12,TRUE,FALSE)</f>
        <v>0</v>
      </c>
      <c r="M12" s="196" t="b">
        <f>IF(Verso!$B$34=Désavantages!$A12,TRUE,FALSE)</f>
        <v>0</v>
      </c>
      <c r="N12" s="196" t="b">
        <f t="shared" si="3"/>
        <v>0</v>
      </c>
      <c r="Q12" s="196">
        <f t="shared" si="0"/>
        <v>12</v>
      </c>
      <c r="R12" s="196">
        <f t="shared" si="1"/>
        <v>13</v>
      </c>
      <c r="S12" s="578" t="str">
        <f t="shared" si="2"/>
        <v>Asocial Majeur</v>
      </c>
    </row>
    <row r="13" spans="1:19" x14ac:dyDescent="0.25">
      <c r="A13" s="186" t="s">
        <v>986</v>
      </c>
      <c r="B13" s="186" t="s">
        <v>986</v>
      </c>
      <c r="C13" s="4" t="s">
        <v>67</v>
      </c>
      <c r="D13" s="183">
        <f>IF(Clan="Crabe",-5,-4)</f>
        <v>-4</v>
      </c>
      <c r="E13" s="4" t="s">
        <v>3</v>
      </c>
      <c r="F13" s="17">
        <v>156</v>
      </c>
      <c r="G13" s="270" t="s">
        <v>6183</v>
      </c>
      <c r="I13" s="196" t="b">
        <f>IF(Verso!$B$30=Désavantages!$A13,TRUE,FALSE)</f>
        <v>0</v>
      </c>
      <c r="J13" s="196" t="b">
        <f>IF(Verso!$B$31=Désavantages!$A13,TRUE,FALSE)</f>
        <v>0</v>
      </c>
      <c r="K13" s="196" t="b">
        <f>IF(Verso!$B$32=Désavantages!$A13,TRUE,FALSE)</f>
        <v>0</v>
      </c>
      <c r="L13" s="196" t="b">
        <f>IF(Verso!$B$33=Désavantages!$A13,TRUE,FALSE)</f>
        <v>0</v>
      </c>
      <c r="M13" s="196" t="b">
        <f>IF(Verso!$B$34=Désavantages!$A13,TRUE,FALSE)</f>
        <v>0</v>
      </c>
      <c r="N13" s="196" t="b">
        <f t="shared" si="3"/>
        <v>0</v>
      </c>
      <c r="Q13" s="196">
        <f t="shared" si="0"/>
        <v>13</v>
      </c>
      <c r="R13" s="196">
        <f t="shared" si="1"/>
        <v>14</v>
      </c>
      <c r="S13" s="578" t="str">
        <f t="shared" si="2"/>
        <v>Asocial Mineur</v>
      </c>
    </row>
    <row r="14" spans="1:19" x14ac:dyDescent="0.25">
      <c r="A14" s="186" t="s">
        <v>985</v>
      </c>
      <c r="B14" s="186" t="s">
        <v>985</v>
      </c>
      <c r="C14" s="4" t="s">
        <v>67</v>
      </c>
      <c r="D14" s="183">
        <f>IF(Clan="Crabe",-3,-2)</f>
        <v>-2</v>
      </c>
      <c r="E14" s="4" t="s">
        <v>3</v>
      </c>
      <c r="F14" s="17">
        <v>156</v>
      </c>
      <c r="G14" s="270" t="s">
        <v>6184</v>
      </c>
      <c r="I14" s="196" t="b">
        <f>IF(Verso!$B$30=Désavantages!$A14,TRUE,FALSE)</f>
        <v>0</v>
      </c>
      <c r="J14" s="196" t="b">
        <f>IF(Verso!$B$31=Désavantages!$A14,TRUE,FALSE)</f>
        <v>0</v>
      </c>
      <c r="K14" s="196" t="b">
        <f>IF(Verso!$B$32=Désavantages!$A14,TRUE,FALSE)</f>
        <v>0</v>
      </c>
      <c r="L14" s="196" t="b">
        <f>IF(Verso!$B$33=Désavantages!$A14,TRUE,FALSE)</f>
        <v>0</v>
      </c>
      <c r="M14" s="196" t="b">
        <f>IF(Verso!$B$34=Désavantages!$A14,TRUE,FALSE)</f>
        <v>0</v>
      </c>
      <c r="N14" s="196" t="b">
        <f t="shared" si="3"/>
        <v>0</v>
      </c>
      <c r="Q14" s="196">
        <f t="shared" si="0"/>
        <v>14</v>
      </c>
      <c r="R14" s="196">
        <f t="shared" si="1"/>
        <v>15</v>
      </c>
      <c r="S14" s="578" t="str">
        <f t="shared" si="2"/>
        <v>Aspect Dérangeant</v>
      </c>
    </row>
    <row r="15" spans="1:19" x14ac:dyDescent="0.25">
      <c r="A15" s="186" t="s">
        <v>853</v>
      </c>
      <c r="B15" s="186" t="s">
        <v>853</v>
      </c>
      <c r="C15" s="4" t="s">
        <v>628</v>
      </c>
      <c r="D15" s="183">
        <f>IF(Clan="Araignée",-4,-3)</f>
        <v>-3</v>
      </c>
      <c r="E15" s="4" t="s">
        <v>3</v>
      </c>
      <c r="F15" s="17">
        <v>156</v>
      </c>
      <c r="G15" s="163" t="s">
        <v>833</v>
      </c>
      <c r="I15" s="196" t="b">
        <f>IF(Verso!$B$30=Désavantages!$A15,TRUE,FALSE)</f>
        <v>0</v>
      </c>
      <c r="J15" s="196" t="b">
        <f>IF(Verso!$B$31=Désavantages!$A15,TRUE,FALSE)</f>
        <v>0</v>
      </c>
      <c r="K15" s="196" t="b">
        <f>IF(Verso!$B$32=Désavantages!$A15,TRUE,FALSE)</f>
        <v>0</v>
      </c>
      <c r="L15" s="196" t="b">
        <f>IF(Verso!$B$33=Désavantages!$A15,TRUE,FALSE)</f>
        <v>0</v>
      </c>
      <c r="M15" s="196" t="b">
        <f>IF(Verso!$B$34=Désavantages!$A15,TRUE,FALSE)</f>
        <v>0</v>
      </c>
      <c r="N15" s="196" t="b">
        <f t="shared" si="3"/>
        <v>0</v>
      </c>
      <c r="Q15" s="196">
        <f t="shared" si="0"/>
        <v>15</v>
      </c>
      <c r="R15" s="196">
        <f t="shared" si="1"/>
        <v>16</v>
      </c>
      <c r="S15" s="578" t="str">
        <f t="shared" si="2"/>
        <v>Aveugle</v>
      </c>
    </row>
    <row r="16" spans="1:19" x14ac:dyDescent="0.25">
      <c r="A16" s="186" t="s">
        <v>854</v>
      </c>
      <c r="B16" s="186" t="s">
        <v>854</v>
      </c>
      <c r="C16" s="4" t="s">
        <v>628</v>
      </c>
      <c r="D16" s="183">
        <v>-6</v>
      </c>
      <c r="E16" s="4" t="s">
        <v>3</v>
      </c>
      <c r="F16" s="17">
        <v>156</v>
      </c>
      <c r="G16" s="270" t="s">
        <v>6185</v>
      </c>
      <c r="I16" s="196" t="b">
        <f>IF(Verso!$B$30=Désavantages!$A16,TRUE,FALSE)</f>
        <v>0</v>
      </c>
      <c r="J16" s="196" t="b">
        <f>IF(Verso!$B$31=Désavantages!$A16,TRUE,FALSE)</f>
        <v>0</v>
      </c>
      <c r="K16" s="196" t="b">
        <f>IF(Verso!$B$32=Désavantages!$A16,TRUE,FALSE)</f>
        <v>0</v>
      </c>
      <c r="L16" s="196" t="b">
        <f>IF(Verso!$B$33=Désavantages!$A16,TRUE,FALSE)</f>
        <v>0</v>
      </c>
      <c r="M16" s="196" t="b">
        <f>IF(Verso!$B$34=Désavantages!$A16,TRUE,FALSE)</f>
        <v>0</v>
      </c>
      <c r="N16" s="196" t="b">
        <f t="shared" si="3"/>
        <v>0</v>
      </c>
      <c r="Q16" s="196">
        <f t="shared" si="0"/>
        <v>16</v>
      </c>
      <c r="R16" s="196">
        <f t="shared" si="1"/>
        <v>17</v>
      </c>
      <c r="S16" s="578" t="str">
        <f t="shared" si="2"/>
        <v>Blesssure Permanente</v>
      </c>
    </row>
    <row r="17" spans="1:19" x14ac:dyDescent="0.25">
      <c r="A17" s="186" t="s">
        <v>855</v>
      </c>
      <c r="B17" s="186" t="s">
        <v>855</v>
      </c>
      <c r="C17" s="4" t="s">
        <v>628</v>
      </c>
      <c r="D17" s="183">
        <f>IF(Recto!W3="B",-5,-4)</f>
        <v>-4</v>
      </c>
      <c r="E17" s="4" t="s">
        <v>3</v>
      </c>
      <c r="F17" s="17">
        <v>156</v>
      </c>
      <c r="G17" s="163" t="s">
        <v>1062</v>
      </c>
      <c r="I17" s="196" t="b">
        <f>IF(Verso!$B$30=Désavantages!$A17,TRUE,FALSE)</f>
        <v>0</v>
      </c>
      <c r="J17" s="196" t="b">
        <f>IF(Verso!$B$31=Désavantages!$A17,TRUE,FALSE)</f>
        <v>0</v>
      </c>
      <c r="K17" s="196" t="b">
        <f>IF(Verso!$B$32=Désavantages!$A17,TRUE,FALSE)</f>
        <v>0</v>
      </c>
      <c r="L17" s="196" t="b">
        <f>IF(Verso!$B$33=Désavantages!$A17,TRUE,FALSE)</f>
        <v>0</v>
      </c>
      <c r="M17" s="196" t="b">
        <f>IF(Verso!$B$34=Désavantages!$A17,TRUE,FALSE)</f>
        <v>0</v>
      </c>
      <c r="N17" s="196" t="b">
        <f t="shared" si="3"/>
        <v>0</v>
      </c>
      <c r="Q17" s="196">
        <f t="shared" si="0"/>
        <v>17</v>
      </c>
      <c r="R17" s="196">
        <f t="shared" si="1"/>
        <v>18</v>
      </c>
      <c r="S17" s="578" t="str">
        <f t="shared" si="2"/>
        <v>Brebis Galeuse</v>
      </c>
    </row>
    <row r="18" spans="1:19" x14ac:dyDescent="0.25">
      <c r="A18" s="186" t="s">
        <v>857</v>
      </c>
      <c r="B18" s="186" t="s">
        <v>857</v>
      </c>
      <c r="C18" s="4" t="s">
        <v>67</v>
      </c>
      <c r="D18" s="183">
        <v>-3</v>
      </c>
      <c r="E18" s="4" t="s">
        <v>3</v>
      </c>
      <c r="F18" s="17">
        <v>156</v>
      </c>
      <c r="G18" s="163" t="s">
        <v>130</v>
      </c>
      <c r="I18" s="196" t="b">
        <f>IF(Verso!$B$30=Désavantages!$A18,TRUE,FALSE)</f>
        <v>0</v>
      </c>
      <c r="J18" s="196" t="b">
        <f>IF(Verso!$B$31=Désavantages!$A18,TRUE,FALSE)</f>
        <v>0</v>
      </c>
      <c r="K18" s="196" t="b">
        <f>IF(Verso!$B$32=Désavantages!$A18,TRUE,FALSE)</f>
        <v>0</v>
      </c>
      <c r="L18" s="196" t="b">
        <f>IF(Verso!$B$33=Désavantages!$A18,TRUE,FALSE)</f>
        <v>0</v>
      </c>
      <c r="M18" s="196" t="b">
        <f>IF(Verso!$B$34=Désavantages!$A18,TRUE,FALSE)</f>
        <v>0</v>
      </c>
      <c r="N18" s="196" t="b">
        <f t="shared" si="3"/>
        <v>0</v>
      </c>
      <c r="Q18" s="196">
        <f t="shared" si="0"/>
        <v>18</v>
      </c>
      <c r="R18" s="196">
        <f t="shared" si="1"/>
        <v>19</v>
      </c>
      <c r="S18" s="578" t="str">
        <f t="shared" si="2"/>
        <v>Cancanier</v>
      </c>
    </row>
    <row r="19" spans="1:19" x14ac:dyDescent="0.25">
      <c r="A19" s="186" t="s">
        <v>858</v>
      </c>
      <c r="B19" s="186" t="s">
        <v>858</v>
      </c>
      <c r="C19" s="4" t="s">
        <v>67</v>
      </c>
      <c r="D19" s="183">
        <f>IF(Recto!W3="C",-5,-4)</f>
        <v>-4</v>
      </c>
      <c r="E19" s="4" t="s">
        <v>3</v>
      </c>
      <c r="F19" s="17">
        <v>156</v>
      </c>
      <c r="G19" s="163" t="s">
        <v>128</v>
      </c>
      <c r="I19" s="196" t="b">
        <f>IF(Verso!$B$30=Désavantages!$A19,TRUE,FALSE)</f>
        <v>0</v>
      </c>
      <c r="J19" s="196" t="b">
        <f>IF(Verso!$B$31=Désavantages!$A19,TRUE,FALSE)</f>
        <v>0</v>
      </c>
      <c r="K19" s="196" t="b">
        <f>IF(Verso!$B$32=Désavantages!$A19,TRUE,FALSE)</f>
        <v>0</v>
      </c>
      <c r="L19" s="196" t="b">
        <f>IF(Verso!$B$33=Désavantages!$A19,TRUE,FALSE)</f>
        <v>0</v>
      </c>
      <c r="M19" s="196" t="b">
        <f>IF(Verso!$B$34=Désavantages!$A19,TRUE,FALSE)</f>
        <v>0</v>
      </c>
      <c r="N19" s="196" t="b">
        <f t="shared" si="3"/>
        <v>0</v>
      </c>
      <c r="Q19" s="196">
        <f t="shared" si="0"/>
        <v>19</v>
      </c>
      <c r="R19" s="196">
        <f t="shared" si="1"/>
        <v>20</v>
      </c>
      <c r="S19" s="578" t="str">
        <f t="shared" si="2"/>
        <v>Caresse du Vide</v>
      </c>
    </row>
    <row r="20" spans="1:19" x14ac:dyDescent="0.25">
      <c r="A20" s="186" t="s">
        <v>859</v>
      </c>
      <c r="B20" s="186" t="s">
        <v>859</v>
      </c>
      <c r="C20" s="4" t="s">
        <v>629</v>
      </c>
      <c r="D20" s="183">
        <f>IF(Clan="Phénix",-4,-3)</f>
        <v>-3</v>
      </c>
      <c r="E20" s="4" t="s">
        <v>3</v>
      </c>
      <c r="F20" s="17">
        <v>156</v>
      </c>
      <c r="G20" s="163" t="s">
        <v>835</v>
      </c>
      <c r="I20" s="196" t="b">
        <f>IF(Verso!$B$30=Désavantages!$A20,TRUE,FALSE)</f>
        <v>0</v>
      </c>
      <c r="J20" s="196" t="b">
        <f>IF(Verso!$B$31=Désavantages!$A20,TRUE,FALSE)</f>
        <v>0</v>
      </c>
      <c r="K20" s="196" t="b">
        <f>IF(Verso!$B$32=Désavantages!$A20,TRUE,FALSE)</f>
        <v>0</v>
      </c>
      <c r="L20" s="196" t="b">
        <f>IF(Verso!$B$33=Désavantages!$A20,TRUE,FALSE)</f>
        <v>0</v>
      </c>
      <c r="M20" s="196" t="b">
        <f>IF(Verso!$B$34=Désavantages!$A20,TRUE,FALSE)</f>
        <v>0</v>
      </c>
      <c r="N20" s="196" t="b">
        <f t="shared" si="3"/>
        <v>0</v>
      </c>
      <c r="Q20" s="196">
        <f t="shared" si="0"/>
        <v>20</v>
      </c>
      <c r="R20" s="196">
        <f t="shared" si="1"/>
        <v>21</v>
      </c>
      <c r="S20" s="578" t="str">
        <f t="shared" si="2"/>
        <v>Chagrin d'Amour</v>
      </c>
    </row>
    <row r="21" spans="1:19" x14ac:dyDescent="0.25">
      <c r="A21" s="186" t="s">
        <v>860</v>
      </c>
      <c r="B21" s="186" t="s">
        <v>860</v>
      </c>
      <c r="C21" s="4" t="s">
        <v>65</v>
      </c>
      <c r="D21" s="183">
        <v>-3</v>
      </c>
      <c r="E21" s="4" t="s">
        <v>3</v>
      </c>
      <c r="F21" s="17">
        <v>156</v>
      </c>
      <c r="G21" s="163" t="s">
        <v>1063</v>
      </c>
      <c r="I21" s="196" t="b">
        <f>IF(Verso!$B$30=Désavantages!$A21,TRUE,FALSE)</f>
        <v>0</v>
      </c>
      <c r="J21" s="196" t="b">
        <f>IF(Verso!$B$31=Désavantages!$A21,TRUE,FALSE)</f>
        <v>0</v>
      </c>
      <c r="K21" s="196" t="b">
        <f>IF(Verso!$B$32=Désavantages!$A21,TRUE,FALSE)</f>
        <v>0</v>
      </c>
      <c r="L21" s="196" t="b">
        <f>IF(Verso!$B$33=Désavantages!$A21,TRUE,FALSE)</f>
        <v>0</v>
      </c>
      <c r="M21" s="196" t="b">
        <f>IF(Verso!$B$34=Désavantages!$A21,TRUE,FALSE)</f>
        <v>0</v>
      </c>
      <c r="N21" s="196" t="b">
        <f t="shared" si="3"/>
        <v>0</v>
      </c>
      <c r="Q21" s="196">
        <f t="shared" si="0"/>
        <v>21</v>
      </c>
      <c r="R21" s="196">
        <f t="shared" si="1"/>
        <v>22</v>
      </c>
      <c r="S21" s="578" t="str">
        <f t="shared" si="2"/>
        <v>Cœur Tendre</v>
      </c>
    </row>
    <row r="22" spans="1:19" x14ac:dyDescent="0.25">
      <c r="A22" s="186" t="s">
        <v>861</v>
      </c>
      <c r="B22" s="186" t="s">
        <v>861</v>
      </c>
      <c r="C22" s="4" t="s">
        <v>65</v>
      </c>
      <c r="D22" s="183">
        <f>IF(Clan="Phénix",-3,-2)</f>
        <v>-2</v>
      </c>
      <c r="E22" s="4" t="s">
        <v>3</v>
      </c>
      <c r="F22" s="17">
        <v>157</v>
      </c>
      <c r="G22" s="163" t="s">
        <v>827</v>
      </c>
      <c r="I22" s="196" t="b">
        <f>IF(Verso!$B$30=Désavantages!$A22,TRUE,FALSE)</f>
        <v>0</v>
      </c>
      <c r="J22" s="196" t="b">
        <f>IF(Verso!$B$31=Désavantages!$A22,TRUE,FALSE)</f>
        <v>0</v>
      </c>
      <c r="K22" s="196" t="b">
        <f>IF(Verso!$B$32=Désavantages!$A22,TRUE,FALSE)</f>
        <v>0</v>
      </c>
      <c r="L22" s="196" t="b">
        <f>IF(Verso!$B$33=Désavantages!$A22,TRUE,FALSE)</f>
        <v>0</v>
      </c>
      <c r="M22" s="196" t="b">
        <f>IF(Verso!$B$34=Désavantages!$A22,TRUE,FALSE)</f>
        <v>0</v>
      </c>
      <c r="N22" s="196" t="b">
        <f t="shared" si="3"/>
        <v>0</v>
      </c>
      <c r="Q22" s="196">
        <f t="shared" si="0"/>
        <v>22</v>
      </c>
      <c r="R22" s="196">
        <f t="shared" si="1"/>
        <v>23</v>
      </c>
      <c r="S22" s="578" t="str">
        <f t="shared" si="2"/>
        <v>Compulsif Majeur</v>
      </c>
    </row>
    <row r="23" spans="1:19" x14ac:dyDescent="0.25">
      <c r="A23" s="186" t="s">
        <v>1069</v>
      </c>
      <c r="B23" s="186" t="s">
        <v>1069</v>
      </c>
      <c r="C23" s="4" t="s">
        <v>65</v>
      </c>
      <c r="D23" s="183">
        <v>-4</v>
      </c>
      <c r="E23" s="4" t="s">
        <v>3</v>
      </c>
      <c r="F23" s="17">
        <v>157</v>
      </c>
      <c r="G23" s="163" t="s">
        <v>1066</v>
      </c>
      <c r="I23" s="196" t="b">
        <f>IF(Verso!$B$30=Désavantages!$A23,TRUE,FALSE)</f>
        <v>0</v>
      </c>
      <c r="J23" s="196" t="b">
        <f>IF(Verso!$B$31=Désavantages!$A23,TRUE,FALSE)</f>
        <v>0</v>
      </c>
      <c r="K23" s="196" t="b">
        <f>IF(Verso!$B$32=Désavantages!$A23,TRUE,FALSE)</f>
        <v>0</v>
      </c>
      <c r="L23" s="196" t="b">
        <f>IF(Verso!$B$33=Désavantages!$A23,TRUE,FALSE)</f>
        <v>0</v>
      </c>
      <c r="M23" s="196" t="b">
        <f>IF(Verso!$B$34=Désavantages!$A23,TRUE,FALSE)</f>
        <v>0</v>
      </c>
      <c r="N23" s="196" t="b">
        <f t="shared" si="3"/>
        <v>0</v>
      </c>
      <c r="Q23" s="196">
        <f t="shared" si="0"/>
        <v>23</v>
      </c>
      <c r="R23" s="196">
        <f t="shared" si="1"/>
        <v>24</v>
      </c>
      <c r="S23" s="578" t="str">
        <f t="shared" si="2"/>
        <v>Compulsif Mineur</v>
      </c>
    </row>
    <row r="24" spans="1:19" x14ac:dyDescent="0.25">
      <c r="A24" s="186" t="s">
        <v>1067</v>
      </c>
      <c r="B24" s="186" t="s">
        <v>1067</v>
      </c>
      <c r="C24" s="4" t="s">
        <v>65</v>
      </c>
      <c r="D24" s="183">
        <v>-2</v>
      </c>
      <c r="E24" s="4" t="s">
        <v>3</v>
      </c>
      <c r="F24" s="17">
        <v>157</v>
      </c>
      <c r="G24" s="270" t="s">
        <v>1064</v>
      </c>
      <c r="I24" s="196" t="b">
        <f>IF(Verso!$B$30=Désavantages!$A24,TRUE,FALSE)</f>
        <v>0</v>
      </c>
      <c r="J24" s="196" t="b">
        <f>IF(Verso!$B$31=Désavantages!$A24,TRUE,FALSE)</f>
        <v>0</v>
      </c>
      <c r="K24" s="196" t="b">
        <f>IF(Verso!$B$32=Désavantages!$A24,TRUE,FALSE)</f>
        <v>0</v>
      </c>
      <c r="L24" s="196" t="b">
        <f>IF(Verso!$B$33=Désavantages!$A24,TRUE,FALSE)</f>
        <v>0</v>
      </c>
      <c r="M24" s="196" t="b">
        <f>IF(Verso!$B$34=Désavantages!$A24,TRUE,FALSE)</f>
        <v>0</v>
      </c>
      <c r="N24" s="196" t="b">
        <f t="shared" si="3"/>
        <v>0</v>
      </c>
      <c r="Q24" s="196">
        <f t="shared" si="0"/>
        <v>24</v>
      </c>
      <c r="R24" s="196">
        <f t="shared" si="1"/>
        <v>25</v>
      </c>
      <c r="S24" s="578" t="str">
        <f t="shared" si="2"/>
        <v>Compulsif Moyen</v>
      </c>
    </row>
    <row r="25" spans="1:19" x14ac:dyDescent="0.25">
      <c r="A25" s="186" t="s">
        <v>1068</v>
      </c>
      <c r="B25" s="186" t="s">
        <v>1068</v>
      </c>
      <c r="C25" s="4" t="s">
        <v>65</v>
      </c>
      <c r="D25" s="183">
        <v>-3</v>
      </c>
      <c r="E25" s="4" t="s">
        <v>3</v>
      </c>
      <c r="F25" s="17">
        <v>157</v>
      </c>
      <c r="G25" s="270" t="s">
        <v>1065</v>
      </c>
      <c r="I25" s="196" t="b">
        <f>IF(Verso!$B$30=Désavantages!$A25,TRUE,FALSE)</f>
        <v>0</v>
      </c>
      <c r="J25" s="196" t="b">
        <f>IF(Verso!$B$31=Désavantages!$A25,TRUE,FALSE)</f>
        <v>0</v>
      </c>
      <c r="K25" s="196" t="b">
        <f>IF(Verso!$B$32=Désavantages!$A25,TRUE,FALSE)</f>
        <v>0</v>
      </c>
      <c r="L25" s="196" t="b">
        <f>IF(Verso!$B$33=Désavantages!$A25,TRUE,FALSE)</f>
        <v>0</v>
      </c>
      <c r="M25" s="196" t="b">
        <f>IF(Verso!$B$34=Désavantages!$A25,TRUE,FALSE)</f>
        <v>0</v>
      </c>
      <c r="N25" s="196" t="b">
        <f t="shared" si="3"/>
        <v>0</v>
      </c>
      <c r="Q25" s="196">
        <f t="shared" si="0"/>
        <v>25</v>
      </c>
      <c r="R25" s="196">
        <f t="shared" si="1"/>
        <v>26</v>
      </c>
      <c r="S25" s="578" t="str">
        <f t="shared" si="2"/>
        <v>Contrariant</v>
      </c>
    </row>
    <row r="26" spans="1:19" x14ac:dyDescent="0.25">
      <c r="A26" s="186" t="s">
        <v>862</v>
      </c>
      <c r="B26" s="186" t="s">
        <v>862</v>
      </c>
      <c r="C26" s="4" t="s">
        <v>65</v>
      </c>
      <c r="D26" s="183">
        <f>IF(OR(Recto!W3="C",Clan="Impérial"),-4,-3)</f>
        <v>-3</v>
      </c>
      <c r="E26" s="4" t="s">
        <v>3</v>
      </c>
      <c r="F26" s="17">
        <v>157</v>
      </c>
      <c r="G26" s="270" t="s">
        <v>122</v>
      </c>
      <c r="I26" s="196" t="b">
        <f>IF(Verso!$B$30=Désavantages!$A26,TRUE,FALSE)</f>
        <v>0</v>
      </c>
      <c r="J26" s="196" t="b">
        <f>IF(Verso!$B$31=Désavantages!$A26,TRUE,FALSE)</f>
        <v>0</v>
      </c>
      <c r="K26" s="196" t="b">
        <f>IF(Verso!$B$32=Désavantages!$A26,TRUE,FALSE)</f>
        <v>0</v>
      </c>
      <c r="L26" s="196" t="b">
        <f>IF(Verso!$B$33=Désavantages!$A26,TRUE,FALSE)</f>
        <v>0</v>
      </c>
      <c r="M26" s="196" t="b">
        <f>IF(Verso!$B$34=Désavantages!$A26,TRUE,FALSE)</f>
        <v>0</v>
      </c>
      <c r="N26" s="196" t="b">
        <f t="shared" si="3"/>
        <v>0</v>
      </c>
      <c r="Q26" s="196">
        <f t="shared" si="0"/>
        <v>26</v>
      </c>
      <c r="R26" s="196">
        <f t="shared" si="1"/>
        <v>27</v>
      </c>
      <c r="S26" s="578" t="str">
        <f t="shared" si="2"/>
        <v>Corpulent (Faible)</v>
      </c>
    </row>
    <row r="27" spans="1:19" x14ac:dyDescent="0.25">
      <c r="A27" s="186" t="s">
        <v>7275</v>
      </c>
      <c r="B27" s="186" t="s">
        <v>7275</v>
      </c>
      <c r="C27" s="4" t="s">
        <v>628</v>
      </c>
      <c r="D27" s="183">
        <v>-2</v>
      </c>
      <c r="E27" s="4" t="s">
        <v>7453</v>
      </c>
      <c r="F27" s="17">
        <v>93</v>
      </c>
      <c r="G27" s="270" t="s">
        <v>7279</v>
      </c>
      <c r="I27" s="196" t="b">
        <f>IF(Verso!$B$30=Désavantages!$A27,TRUE,FALSE)</f>
        <v>0</v>
      </c>
      <c r="J27" s="196" t="b">
        <f>IF(Verso!$B$31=Désavantages!$A27,TRUE,FALSE)</f>
        <v>0</v>
      </c>
      <c r="K27" s="196" t="b">
        <f>IF(Verso!$B$32=Désavantages!$A27,TRUE,FALSE)</f>
        <v>0</v>
      </c>
      <c r="L27" s="196" t="b">
        <f>IF(Verso!$B$33=Désavantages!$A27,TRUE,FALSE)</f>
        <v>0</v>
      </c>
      <c r="M27" s="196" t="b">
        <f>IF(Verso!$B$34=Désavantages!$A27,TRUE,FALSE)</f>
        <v>0</v>
      </c>
      <c r="N27" s="196" t="b">
        <f t="shared" si="3"/>
        <v>0</v>
      </c>
      <c r="Q27" s="196">
        <f t="shared" si="0"/>
        <v>27</v>
      </c>
      <c r="R27" s="196">
        <f t="shared" si="1"/>
        <v>28</v>
      </c>
      <c r="S27" s="578" t="str">
        <f t="shared" si="2"/>
        <v>Corpulent (Moyen)</v>
      </c>
    </row>
    <row r="28" spans="1:19" x14ac:dyDescent="0.25">
      <c r="A28" s="186" t="s">
        <v>7276</v>
      </c>
      <c r="B28" s="186" t="s">
        <v>7276</v>
      </c>
      <c r="C28" s="4" t="s">
        <v>628</v>
      </c>
      <c r="D28" s="183">
        <v>-4</v>
      </c>
      <c r="E28" s="4" t="s">
        <v>7453</v>
      </c>
      <c r="F28" s="17">
        <v>93</v>
      </c>
      <c r="G28" s="270" t="s">
        <v>7278</v>
      </c>
      <c r="I28" s="196" t="b">
        <f>IF(Verso!$B$30=Désavantages!$A28,TRUE,FALSE)</f>
        <v>0</v>
      </c>
      <c r="J28" s="196" t="b">
        <f>IF(Verso!$B$31=Désavantages!$A28,TRUE,FALSE)</f>
        <v>0</v>
      </c>
      <c r="K28" s="196" t="b">
        <f>IF(Verso!$B$32=Désavantages!$A28,TRUE,FALSE)</f>
        <v>0</v>
      </c>
      <c r="L28" s="196" t="b">
        <f>IF(Verso!$B$33=Désavantages!$A28,TRUE,FALSE)</f>
        <v>0</v>
      </c>
      <c r="M28" s="196" t="b">
        <f>IF(Verso!$B$34=Désavantages!$A28,TRUE,FALSE)</f>
        <v>0</v>
      </c>
      <c r="N28" s="196" t="b">
        <f t="shared" si="3"/>
        <v>0</v>
      </c>
      <c r="Q28" s="196">
        <f t="shared" si="0"/>
        <v>28</v>
      </c>
      <c r="R28" s="196">
        <f t="shared" si="1"/>
        <v>29</v>
      </c>
      <c r="S28" s="578" t="str">
        <f t="shared" si="2"/>
        <v>Corpulent (Obèse)</v>
      </c>
    </row>
    <row r="29" spans="1:19" x14ac:dyDescent="0.25">
      <c r="A29" s="186" t="s">
        <v>7277</v>
      </c>
      <c r="B29" s="186" t="s">
        <v>7277</v>
      </c>
      <c r="C29" s="4" t="s">
        <v>628</v>
      </c>
      <c r="D29" s="183">
        <v>-6</v>
      </c>
      <c r="E29" s="4" t="s">
        <v>7453</v>
      </c>
      <c r="F29" s="17">
        <v>93</v>
      </c>
      <c r="G29" s="270" t="s">
        <v>7280</v>
      </c>
      <c r="I29" s="196" t="b">
        <f>IF(Verso!$B$30=Désavantages!$A29,TRUE,FALSE)</f>
        <v>0</v>
      </c>
      <c r="J29" s="196" t="b">
        <f>IF(Verso!$B$31=Désavantages!$A29,TRUE,FALSE)</f>
        <v>0</v>
      </c>
      <c r="K29" s="196" t="b">
        <f>IF(Verso!$B$32=Désavantages!$A29,TRUE,FALSE)</f>
        <v>0</v>
      </c>
      <c r="L29" s="196" t="b">
        <f>IF(Verso!$B$33=Désavantages!$A29,TRUE,FALSE)</f>
        <v>0</v>
      </c>
      <c r="M29" s="196" t="b">
        <f>IF(Verso!$B$34=Désavantages!$A29,TRUE,FALSE)</f>
        <v>0</v>
      </c>
      <c r="N29" s="196" t="b">
        <f t="shared" si="3"/>
        <v>0</v>
      </c>
      <c r="Q29" s="196">
        <f t="shared" si="0"/>
        <v>29</v>
      </c>
      <c r="R29" s="196">
        <f t="shared" si="1"/>
        <v>30</v>
      </c>
      <c r="S29" s="578" t="str">
        <f t="shared" si="2"/>
        <v>Courroux des Kami</v>
      </c>
    </row>
    <row r="30" spans="1:19" x14ac:dyDescent="0.25">
      <c r="A30" s="186" t="s">
        <v>863</v>
      </c>
      <c r="B30" s="186" t="s">
        <v>863</v>
      </c>
      <c r="C30" s="4" t="s">
        <v>629</v>
      </c>
      <c r="D30" s="183">
        <f>IF(Recto!W3="S",-4,-3)</f>
        <v>-3</v>
      </c>
      <c r="E30" s="4" t="s">
        <v>3</v>
      </c>
      <c r="F30" s="17">
        <v>157</v>
      </c>
      <c r="G30" s="270" t="s">
        <v>675</v>
      </c>
      <c r="I30" s="196" t="b">
        <f>IF(Verso!$B$30=Désavantages!$A30,TRUE,FALSE)</f>
        <v>0</v>
      </c>
      <c r="J30" s="196" t="b">
        <f>IF(Verso!$B$31=Désavantages!$A30,TRUE,FALSE)</f>
        <v>0</v>
      </c>
      <c r="K30" s="196" t="b">
        <f>IF(Verso!$B$32=Désavantages!$A30,TRUE,FALSE)</f>
        <v>0</v>
      </c>
      <c r="L30" s="196" t="b">
        <f>IF(Verso!$B$33=Désavantages!$A30,TRUE,FALSE)</f>
        <v>0</v>
      </c>
      <c r="M30" s="196" t="b">
        <f>IF(Verso!$B$34=Désavantages!$A30,TRUE,FALSE)</f>
        <v>0</v>
      </c>
      <c r="N30" s="196" t="b">
        <f t="shared" si="3"/>
        <v>0</v>
      </c>
      <c r="Q30" s="196">
        <f t="shared" si="0"/>
        <v>30</v>
      </c>
      <c r="R30" s="196">
        <f t="shared" si="1"/>
        <v>31</v>
      </c>
      <c r="S30" s="578" t="str">
        <f t="shared" si="2"/>
        <v>Crédule</v>
      </c>
    </row>
    <row r="31" spans="1:19" x14ac:dyDescent="0.25">
      <c r="A31" s="186" t="s">
        <v>864</v>
      </c>
      <c r="B31" s="186" t="s">
        <v>864</v>
      </c>
      <c r="C31" s="4" t="s">
        <v>65</v>
      </c>
      <c r="D31" s="183">
        <v>-4</v>
      </c>
      <c r="E31" s="4" t="s">
        <v>3</v>
      </c>
      <c r="F31" s="17">
        <v>157</v>
      </c>
      <c r="G31" s="270" t="s">
        <v>837</v>
      </c>
      <c r="I31" s="196" t="b">
        <f>IF(Verso!$B$30=Désavantages!$A31,TRUE,FALSE)</f>
        <v>0</v>
      </c>
      <c r="J31" s="196" t="b">
        <f>IF(Verso!$B$31=Désavantages!$A31,TRUE,FALSE)</f>
        <v>0</v>
      </c>
      <c r="K31" s="196" t="b">
        <f>IF(Verso!$B$32=Désavantages!$A31,TRUE,FALSE)</f>
        <v>0</v>
      </c>
      <c r="L31" s="196" t="b">
        <f>IF(Verso!$B$33=Désavantages!$A31,TRUE,FALSE)</f>
        <v>0</v>
      </c>
      <c r="M31" s="196" t="b">
        <f>IF(Verso!$B$34=Désavantages!$A31,TRUE,FALSE)</f>
        <v>0</v>
      </c>
      <c r="N31" s="196" t="b">
        <f t="shared" si="3"/>
        <v>0</v>
      </c>
      <c r="Q31" s="196">
        <f t="shared" si="0"/>
        <v>31</v>
      </c>
      <c r="R31" s="196">
        <f t="shared" si="1"/>
        <v>32</v>
      </c>
      <c r="S31" s="578" t="str">
        <f t="shared" si="2"/>
        <v>Cupide</v>
      </c>
    </row>
    <row r="32" spans="1:19" x14ac:dyDescent="0.25">
      <c r="A32" s="186" t="s">
        <v>865</v>
      </c>
      <c r="B32" s="186" t="s">
        <v>865</v>
      </c>
      <c r="C32" s="4" t="s">
        <v>65</v>
      </c>
      <c r="D32" s="183">
        <f>IF(Clan="Mante",-4,-3)</f>
        <v>-3</v>
      </c>
      <c r="E32" s="4" t="s">
        <v>3</v>
      </c>
      <c r="F32" s="17">
        <v>157</v>
      </c>
      <c r="G32" s="163" t="s">
        <v>4025</v>
      </c>
      <c r="I32" s="196" t="b">
        <f>IF(Verso!$B$30=Désavantages!$A32,TRUE,FALSE)</f>
        <v>0</v>
      </c>
      <c r="J32" s="196" t="b">
        <f>IF(Verso!$B$31=Désavantages!$A32,TRUE,FALSE)</f>
        <v>0</v>
      </c>
      <c r="K32" s="196" t="b">
        <f>IF(Verso!$B$32=Désavantages!$A32,TRUE,FALSE)</f>
        <v>0</v>
      </c>
      <c r="L32" s="196" t="b">
        <f>IF(Verso!$B$33=Désavantages!$A32,TRUE,FALSE)</f>
        <v>0</v>
      </c>
      <c r="M32" s="196" t="b">
        <f>IF(Verso!$B$34=Désavantages!$A32,TRUE,FALSE)</f>
        <v>0</v>
      </c>
      <c r="N32" s="196" t="b">
        <f t="shared" si="3"/>
        <v>0</v>
      </c>
      <c r="Q32" s="196">
        <f t="shared" si="0"/>
        <v>32</v>
      </c>
      <c r="R32" s="196">
        <f t="shared" si="1"/>
        <v>33</v>
      </c>
      <c r="S32" s="578" t="str">
        <f t="shared" si="2"/>
        <v>Cruel</v>
      </c>
    </row>
    <row r="33" spans="1:19" x14ac:dyDescent="0.25">
      <c r="A33" s="186" t="s">
        <v>7576</v>
      </c>
      <c r="B33" s="186" t="s">
        <v>7576</v>
      </c>
      <c r="C33" s="4" t="s">
        <v>65</v>
      </c>
      <c r="D33" s="183">
        <v>-3</v>
      </c>
      <c r="E33" s="4" t="s">
        <v>7453</v>
      </c>
      <c r="F33" s="17">
        <v>93</v>
      </c>
      <c r="G33" s="270" t="s">
        <v>7577</v>
      </c>
      <c r="I33" s="196" t="b">
        <f>IF(Verso!$B$30=Désavantages!$A33,TRUE,FALSE)</f>
        <v>0</v>
      </c>
      <c r="J33" s="196" t="b">
        <f>IF(Verso!$B$31=Désavantages!$A33,TRUE,FALSE)</f>
        <v>0</v>
      </c>
      <c r="K33" s="196" t="b">
        <f>IF(Verso!$B$32=Désavantages!$A33,TRUE,FALSE)</f>
        <v>0</v>
      </c>
      <c r="L33" s="196" t="b">
        <f>IF(Verso!$B$33=Désavantages!$A33,TRUE,FALSE)</f>
        <v>0</v>
      </c>
      <c r="M33" s="196" t="b">
        <f>IF(Verso!$B$34=Désavantages!$A33,TRUE,FALSE)</f>
        <v>0</v>
      </c>
      <c r="N33" s="196" t="b">
        <f t="shared" si="3"/>
        <v>0</v>
      </c>
      <c r="Q33" s="196">
        <f t="shared" si="0"/>
        <v>33</v>
      </c>
      <c r="R33" s="196">
        <f t="shared" si="1"/>
        <v>34</v>
      </c>
      <c r="S33" s="578" t="str">
        <f t="shared" si="2"/>
        <v>Daltonisme</v>
      </c>
    </row>
    <row r="34" spans="1:19" x14ac:dyDescent="0.25">
      <c r="A34" s="186" t="s">
        <v>8408</v>
      </c>
      <c r="B34" s="186" t="s">
        <v>8408</v>
      </c>
      <c r="C34" s="4" t="s">
        <v>628</v>
      </c>
      <c r="D34" s="183">
        <v>-1</v>
      </c>
      <c r="E34" s="4" t="s">
        <v>7759</v>
      </c>
      <c r="F34" s="17">
        <v>20</v>
      </c>
      <c r="G34" s="270" t="s">
        <v>8409</v>
      </c>
      <c r="I34" s="196" t="b">
        <f>IF(Verso!$B$30=Désavantages!$A34,TRUE,FALSE)</f>
        <v>0</v>
      </c>
      <c r="J34" s="196" t="b">
        <f>IF(Verso!$B$31=Désavantages!$A34,TRUE,FALSE)</f>
        <v>0</v>
      </c>
      <c r="K34" s="196" t="b">
        <f>IF(Verso!$B$32=Désavantages!$A34,TRUE,FALSE)</f>
        <v>0</v>
      </c>
      <c r="L34" s="196" t="b">
        <f>IF(Verso!$B$33=Désavantages!$A34,TRUE,FALSE)</f>
        <v>0</v>
      </c>
      <c r="M34" s="196" t="b">
        <f>IF(Verso!$B$34=Désavantages!$A34,TRUE,FALSE)</f>
        <v>0</v>
      </c>
      <c r="N34" s="196" t="b">
        <f t="shared" ref="N34" si="4">IF(OR(I34=TRUE,J34=TRUE,K34=TRUE,L34=TRUE,M34=TRUE),TRUE,FALSE)</f>
        <v>0</v>
      </c>
      <c r="Q34" s="196">
        <f t="shared" si="0"/>
        <v>34</v>
      </c>
      <c r="R34" s="196">
        <f t="shared" si="1"/>
        <v>37</v>
      </c>
      <c r="S34" s="578" t="str">
        <f t="shared" si="2"/>
        <v>Désavantage Social</v>
      </c>
    </row>
    <row r="35" spans="1:19" x14ac:dyDescent="0.25">
      <c r="A35" s="186" t="s">
        <v>6296</v>
      </c>
      <c r="B35" s="186" t="str">
        <f>IF(Recto!W3="M","Décentré","")</f>
        <v/>
      </c>
      <c r="C35" s="4" t="s">
        <v>629</v>
      </c>
      <c r="D35" s="183">
        <f>IF(Clan="Confrérie",-4,-2)</f>
        <v>-2</v>
      </c>
      <c r="E35" s="4" t="s">
        <v>6192</v>
      </c>
      <c r="F35" s="17">
        <v>192</v>
      </c>
      <c r="G35" s="163" t="s">
        <v>6297</v>
      </c>
      <c r="I35" s="196" t="b">
        <f>IF(Verso!$B$30=Désavantages!$A35,TRUE,FALSE)</f>
        <v>0</v>
      </c>
      <c r="J35" s="196" t="b">
        <f>IF(Verso!$B$31=Désavantages!$A35,TRUE,FALSE)</f>
        <v>0</v>
      </c>
      <c r="K35" s="196" t="b">
        <f>IF(Verso!$B$32=Désavantages!$A35,TRUE,FALSE)</f>
        <v>0</v>
      </c>
      <c r="L35" s="196" t="b">
        <f>IF(Verso!$B$33=Désavantages!$A35,TRUE,FALSE)</f>
        <v>0</v>
      </c>
      <c r="M35" s="196" t="b">
        <f>IF(Verso!$B$34=Désavantages!$A35,TRUE,FALSE)</f>
        <v>0</v>
      </c>
      <c r="N35" s="196" t="b">
        <f t="shared" si="3"/>
        <v>0</v>
      </c>
      <c r="Q35" s="196" t="str">
        <f t="shared" si="0"/>
        <v/>
      </c>
      <c r="R35" s="196">
        <f t="shared" si="1"/>
        <v>42</v>
      </c>
      <c r="S35" s="578" t="str">
        <f t="shared" si="2"/>
        <v>Déshonoré</v>
      </c>
    </row>
    <row r="36" spans="1:19" x14ac:dyDescent="0.25">
      <c r="A36" s="186" t="s">
        <v>1023</v>
      </c>
      <c r="B36" s="186" t="str">
        <f>IF(Recto!$C$3=H36,CONCATENATE(A36),"")</f>
        <v/>
      </c>
      <c r="C36" s="4" t="s">
        <v>629</v>
      </c>
      <c r="D36" s="183">
        <v>-3</v>
      </c>
      <c r="E36" s="4" t="s">
        <v>2075</v>
      </c>
      <c r="F36" s="17">
        <v>82</v>
      </c>
      <c r="G36" s="270" t="s">
        <v>846</v>
      </c>
      <c r="H36" s="196" t="s">
        <v>53</v>
      </c>
      <c r="I36" s="196" t="b">
        <f>IF(Verso!$B$30=Désavantages!$A36,TRUE,FALSE)</f>
        <v>0</v>
      </c>
      <c r="J36" s="196" t="b">
        <f>IF(Verso!$B$31=Désavantages!$A36,TRUE,FALSE)</f>
        <v>0</v>
      </c>
      <c r="K36" s="196" t="b">
        <f>IF(Verso!$B$32=Désavantages!$A36,TRUE,FALSE)</f>
        <v>0</v>
      </c>
      <c r="L36" s="196" t="b">
        <f>IF(Verso!$B$33=Désavantages!$A36,TRUE,FALSE)</f>
        <v>0</v>
      </c>
      <c r="M36" s="196" t="b">
        <f>IF(Verso!$B$34=Désavantages!$A36,TRUE,FALSE)</f>
        <v>0</v>
      </c>
      <c r="N36" s="196" t="b">
        <f t="shared" si="3"/>
        <v>0</v>
      </c>
      <c r="Q36" s="196" t="str">
        <f t="shared" si="0"/>
        <v/>
      </c>
      <c r="R36" s="196">
        <f t="shared" si="1"/>
        <v>43</v>
      </c>
      <c r="S36" s="578" t="str">
        <f t="shared" si="2"/>
        <v>Douillet</v>
      </c>
    </row>
    <row r="37" spans="1:19" x14ac:dyDescent="0.25">
      <c r="A37" s="186" t="s">
        <v>866</v>
      </c>
      <c r="B37" s="186" t="s">
        <v>866</v>
      </c>
      <c r="C37" s="4" t="s">
        <v>67</v>
      </c>
      <c r="D37" s="183">
        <v>-3</v>
      </c>
      <c r="E37" s="4" t="s">
        <v>3</v>
      </c>
      <c r="F37" s="17">
        <v>157</v>
      </c>
      <c r="G37" s="163" t="s">
        <v>140</v>
      </c>
      <c r="I37" s="196" t="b">
        <f>IF(Verso!$B$30=Désavantages!$A37,TRUE,FALSE)</f>
        <v>0</v>
      </c>
      <c r="J37" s="196" t="b">
        <f>IF(Verso!$B$31=Désavantages!$A37,TRUE,FALSE)</f>
        <v>0</v>
      </c>
      <c r="K37" s="196" t="b">
        <f>IF(Verso!$B$32=Désavantages!$A37,TRUE,FALSE)</f>
        <v>0</v>
      </c>
      <c r="L37" s="196" t="b">
        <f>IF(Verso!$B$33=Désavantages!$A37,TRUE,FALSE)</f>
        <v>0</v>
      </c>
      <c r="M37" s="196" t="b">
        <f>IF(Verso!$B$34=Désavantages!$A37,TRUE,FALSE)</f>
        <v>0</v>
      </c>
      <c r="N37" s="196" t="b">
        <f t="shared" si="3"/>
        <v>0</v>
      </c>
      <c r="Q37" s="196">
        <f t="shared" si="0"/>
        <v>37</v>
      </c>
      <c r="R37" s="196">
        <f t="shared" si="1"/>
        <v>47</v>
      </c>
      <c r="S37" s="578" t="str">
        <f t="shared" si="2"/>
        <v>Ennemi Juré</v>
      </c>
    </row>
    <row r="38" spans="1:19" x14ac:dyDescent="0.25">
      <c r="A38" s="186" t="s">
        <v>5797</v>
      </c>
      <c r="B38" s="186" t="str">
        <f>IF(Recto!W3="S","Déséquilibre élémentaire extrême","")</f>
        <v/>
      </c>
      <c r="C38" s="4" t="s">
        <v>629</v>
      </c>
      <c r="D38" s="183">
        <v>-8</v>
      </c>
      <c r="E38" s="4" t="s">
        <v>3</v>
      </c>
      <c r="F38" s="17">
        <v>157</v>
      </c>
      <c r="G38" s="163" t="s">
        <v>4029</v>
      </c>
      <c r="I38" s="196" t="b">
        <f>IF(Verso!$B$30=Désavantages!$A38,TRUE,FALSE)</f>
        <v>0</v>
      </c>
      <c r="J38" s="196" t="b">
        <f>IF(Verso!$B$31=Désavantages!$A38,TRUE,FALSE)</f>
        <v>0</v>
      </c>
      <c r="K38" s="196" t="b">
        <f>IF(Verso!$B$32=Désavantages!$A38,TRUE,FALSE)</f>
        <v>0</v>
      </c>
      <c r="L38" s="196" t="b">
        <f>IF(Verso!$B$33=Désavantages!$A38,TRUE,FALSE)</f>
        <v>0</v>
      </c>
      <c r="M38" s="196" t="b">
        <f>IF(Verso!$B$34=Désavantages!$A38,TRUE,FALSE)</f>
        <v>0</v>
      </c>
      <c r="N38" s="196" t="b">
        <f t="shared" si="3"/>
        <v>0</v>
      </c>
      <c r="Q38" s="196" t="str">
        <f t="shared" si="0"/>
        <v/>
      </c>
      <c r="R38" s="196">
        <f t="shared" si="1"/>
        <v>48</v>
      </c>
      <c r="S38" s="578" t="str">
        <f t="shared" si="2"/>
        <v>Epilepsie</v>
      </c>
    </row>
    <row r="39" spans="1:19" x14ac:dyDescent="0.25">
      <c r="A39" s="186" t="s">
        <v>5796</v>
      </c>
      <c r="B39" s="186" t="str">
        <f>IF(Recto!W3="S","Déséquilibre élémentaire majeure","")</f>
        <v/>
      </c>
      <c r="C39" s="4" t="s">
        <v>629</v>
      </c>
      <c r="D39" s="183">
        <v>-6</v>
      </c>
      <c r="E39" s="4" t="s">
        <v>3</v>
      </c>
      <c r="F39" s="17">
        <v>157</v>
      </c>
      <c r="G39" s="270" t="s">
        <v>4028</v>
      </c>
      <c r="I39" s="196" t="b">
        <f>IF(Verso!$B$30=Désavantages!$A39,TRUE,FALSE)</f>
        <v>0</v>
      </c>
      <c r="J39" s="196" t="b">
        <f>IF(Verso!$B$31=Désavantages!$A39,TRUE,FALSE)</f>
        <v>0</v>
      </c>
      <c r="K39" s="196" t="b">
        <f>IF(Verso!$B$32=Désavantages!$A39,TRUE,FALSE)</f>
        <v>0</v>
      </c>
      <c r="L39" s="196" t="b">
        <f>IF(Verso!$B$33=Désavantages!$A39,TRUE,FALSE)</f>
        <v>0</v>
      </c>
      <c r="M39" s="196" t="b">
        <f>IF(Verso!$B$34=Désavantages!$A39,TRUE,FALSE)</f>
        <v>0</v>
      </c>
      <c r="N39" s="196" t="b">
        <f t="shared" si="3"/>
        <v>0</v>
      </c>
      <c r="Q39" s="196" t="str">
        <f t="shared" si="0"/>
        <v/>
      </c>
      <c r="R39" s="196">
        <f t="shared" si="1"/>
        <v>49</v>
      </c>
      <c r="S39" s="578" t="str">
        <f t="shared" si="2"/>
        <v>Estropié</v>
      </c>
    </row>
    <row r="40" spans="1:19" x14ac:dyDescent="0.25">
      <c r="A40" s="186" t="s">
        <v>5794</v>
      </c>
      <c r="B40" s="186" t="str">
        <f>IF(Recto!W3="S","Déséquilibre élémentaire mineure","")</f>
        <v/>
      </c>
      <c r="C40" s="4" t="s">
        <v>629</v>
      </c>
      <c r="D40" s="183">
        <v>-2</v>
      </c>
      <c r="E40" s="4" t="s">
        <v>3</v>
      </c>
      <c r="F40" s="17">
        <v>157</v>
      </c>
      <c r="G40" s="163" t="s">
        <v>4026</v>
      </c>
      <c r="I40" s="196" t="b">
        <f>IF(Verso!$B$30=Désavantages!$A40,TRUE,FALSE)</f>
        <v>0</v>
      </c>
      <c r="J40" s="196" t="b">
        <f>IF(Verso!$B$31=Désavantages!$A40,TRUE,FALSE)</f>
        <v>0</v>
      </c>
      <c r="K40" s="196" t="b">
        <f>IF(Verso!$B$32=Désavantages!$A40,TRUE,FALSE)</f>
        <v>0</v>
      </c>
      <c r="L40" s="196" t="b">
        <f>IF(Verso!$B$33=Désavantages!$A40,TRUE,FALSE)</f>
        <v>0</v>
      </c>
      <c r="M40" s="196" t="b">
        <f>IF(Verso!$B$34=Désavantages!$A40,TRUE,FALSE)</f>
        <v>0</v>
      </c>
      <c r="N40" s="196" t="b">
        <f t="shared" si="3"/>
        <v>0</v>
      </c>
      <c r="Q40" s="196" t="str">
        <f t="shared" si="0"/>
        <v/>
      </c>
      <c r="R40" s="196">
        <f t="shared" si="1"/>
        <v>50</v>
      </c>
      <c r="S40" s="578" t="str">
        <f t="shared" si="2"/>
        <v>Faible</v>
      </c>
    </row>
    <row r="41" spans="1:19" x14ac:dyDescent="0.25">
      <c r="A41" s="186" t="s">
        <v>5795</v>
      </c>
      <c r="B41" s="186" t="str">
        <f>IF(Recto!W3="S","Déséquilibre élémentaire moyenne","")</f>
        <v/>
      </c>
      <c r="C41" s="4" t="s">
        <v>629</v>
      </c>
      <c r="D41" s="183">
        <v>-4</v>
      </c>
      <c r="E41" s="4" t="s">
        <v>3</v>
      </c>
      <c r="F41" s="17">
        <v>157</v>
      </c>
      <c r="G41" s="163" t="s">
        <v>4027</v>
      </c>
      <c r="I41" s="196" t="b">
        <f>IF(Verso!$B$30=Désavantages!$A41,TRUE,FALSE)</f>
        <v>0</v>
      </c>
      <c r="J41" s="196" t="b">
        <f>IF(Verso!$B$31=Désavantages!$A41,TRUE,FALSE)</f>
        <v>0</v>
      </c>
      <c r="K41" s="196" t="b">
        <f>IF(Verso!$B$32=Désavantages!$A41,TRUE,FALSE)</f>
        <v>0</v>
      </c>
      <c r="L41" s="196" t="b">
        <f>IF(Verso!$B$33=Désavantages!$A41,TRUE,FALSE)</f>
        <v>0</v>
      </c>
      <c r="M41" s="196" t="b">
        <f>IF(Verso!$B$34=Désavantages!$A41,TRUE,FALSE)</f>
        <v>0</v>
      </c>
      <c r="N41" s="196" t="b">
        <f t="shared" si="3"/>
        <v>0</v>
      </c>
      <c r="Q41" s="196" t="str">
        <f t="shared" si="0"/>
        <v/>
      </c>
      <c r="R41" s="196">
        <f t="shared" si="1"/>
        <v>51</v>
      </c>
      <c r="S41" s="578" t="str">
        <f t="shared" si="2"/>
        <v>Faiblesse de Caractère</v>
      </c>
    </row>
    <row r="42" spans="1:19" x14ac:dyDescent="0.25">
      <c r="A42" s="186" t="s">
        <v>873</v>
      </c>
      <c r="B42" s="186" t="s">
        <v>873</v>
      </c>
      <c r="C42" s="4" t="s">
        <v>67</v>
      </c>
      <c r="D42" s="183">
        <v>-5</v>
      </c>
      <c r="E42" s="4" t="s">
        <v>3</v>
      </c>
      <c r="F42" s="17">
        <v>157</v>
      </c>
      <c r="G42" s="163" t="s">
        <v>133</v>
      </c>
      <c r="I42" s="196" t="b">
        <f>IF(Verso!$B$30=Désavantages!$A42,TRUE,FALSE)</f>
        <v>0</v>
      </c>
      <c r="J42" s="196" t="b">
        <f>IF(Verso!$B$31=Désavantages!$A42,TRUE,FALSE)</f>
        <v>0</v>
      </c>
      <c r="K42" s="196" t="b">
        <f>IF(Verso!$B$32=Désavantages!$A42,TRUE,FALSE)</f>
        <v>0</v>
      </c>
      <c r="L42" s="196" t="b">
        <f>IF(Verso!$B$33=Désavantages!$A42,TRUE,FALSE)</f>
        <v>0</v>
      </c>
      <c r="M42" s="196" t="b">
        <f>IF(Verso!$B$34=Désavantages!$A42,TRUE,FALSE)</f>
        <v>0</v>
      </c>
      <c r="N42" s="196" t="b">
        <f t="shared" si="3"/>
        <v>0</v>
      </c>
      <c r="Q42" s="196">
        <f t="shared" si="0"/>
        <v>42</v>
      </c>
      <c r="R42" s="196">
        <f t="shared" si="1"/>
        <v>52</v>
      </c>
      <c r="S42" s="578" t="str">
        <f t="shared" si="2"/>
        <v>Fascination</v>
      </c>
    </row>
    <row r="43" spans="1:19" x14ac:dyDescent="0.25">
      <c r="A43" s="186" t="s">
        <v>874</v>
      </c>
      <c r="B43" s="186" t="s">
        <v>874</v>
      </c>
      <c r="C43" s="4" t="s">
        <v>628</v>
      </c>
      <c r="D43" s="183">
        <v>-4</v>
      </c>
      <c r="E43" s="4" t="s">
        <v>3</v>
      </c>
      <c r="F43" s="17">
        <v>157</v>
      </c>
      <c r="G43" s="270" t="s">
        <v>831</v>
      </c>
      <c r="I43" s="196" t="b">
        <f>IF(Verso!$B$30=Désavantages!$A43,TRUE,FALSE)</f>
        <v>0</v>
      </c>
      <c r="J43" s="196" t="b">
        <f>IF(Verso!$B$31=Désavantages!$A43,TRUE,FALSE)</f>
        <v>0</v>
      </c>
      <c r="K43" s="196" t="b">
        <f>IF(Verso!$B$32=Désavantages!$A43,TRUE,FALSE)</f>
        <v>0</v>
      </c>
      <c r="L43" s="196" t="b">
        <f>IF(Verso!$B$33=Désavantages!$A43,TRUE,FALSE)</f>
        <v>0</v>
      </c>
      <c r="M43" s="196" t="b">
        <f>IF(Verso!$B$34=Désavantages!$A43,TRUE,FALSE)</f>
        <v>0</v>
      </c>
      <c r="N43" s="196" t="b">
        <f t="shared" si="3"/>
        <v>0</v>
      </c>
      <c r="Q43" s="196">
        <f t="shared" si="0"/>
        <v>43</v>
      </c>
      <c r="R43" s="196">
        <f t="shared" si="1"/>
        <v>55</v>
      </c>
      <c r="S43" s="578" t="str">
        <f t="shared" si="2"/>
        <v>Fragile</v>
      </c>
    </row>
    <row r="44" spans="1:19" x14ac:dyDescent="0.25">
      <c r="A44" s="186" t="s">
        <v>6512</v>
      </c>
      <c r="B44" s="186"/>
      <c r="C44" s="4" t="s">
        <v>7587</v>
      </c>
      <c r="D44" s="183">
        <f>IF(Recto!W3="C",-9,-8)</f>
        <v>-8</v>
      </c>
      <c r="E44" s="4" t="s">
        <v>6494</v>
      </c>
      <c r="F44" s="17">
        <v>97</v>
      </c>
      <c r="G44" s="270" t="s">
        <v>6516</v>
      </c>
      <c r="I44" s="196" t="b">
        <f>IF(Verso!$B$30=Désavantages!$A44,TRUE,FALSE)</f>
        <v>0</v>
      </c>
      <c r="J44" s="196" t="b">
        <f>IF(Verso!$B$31=Désavantages!$A44,TRUE,FALSE)</f>
        <v>0</v>
      </c>
      <c r="K44" s="196" t="b">
        <f>IF(Verso!$B$32=Désavantages!$A44,TRUE,FALSE)</f>
        <v>0</v>
      </c>
      <c r="L44" s="196" t="b">
        <f>IF(Verso!$B$33=Désavantages!$A44,TRUE,FALSE)</f>
        <v>0</v>
      </c>
      <c r="M44" s="196" t="b">
        <f>IF(Verso!$B$34=Désavantages!$A44,TRUE,FALSE)</f>
        <v>0</v>
      </c>
      <c r="N44" s="196" t="b">
        <f t="shared" si="3"/>
        <v>0</v>
      </c>
      <c r="Q44" s="196" t="str">
        <f t="shared" si="0"/>
        <v/>
      </c>
      <c r="R44" s="196">
        <f t="shared" si="1"/>
        <v>56</v>
      </c>
      <c r="S44" s="578" t="str">
        <f t="shared" si="2"/>
        <v>Harcèlement</v>
      </c>
    </row>
    <row r="45" spans="1:19" x14ac:dyDescent="0.25">
      <c r="A45" s="186" t="s">
        <v>6514</v>
      </c>
      <c r="B45" s="186"/>
      <c r="C45" s="4" t="s">
        <v>7587</v>
      </c>
      <c r="D45" s="183">
        <f>IF(Recto!W3="C",-4,-5)</f>
        <v>-5</v>
      </c>
      <c r="E45" s="4" t="s">
        <v>6494</v>
      </c>
      <c r="F45" s="17">
        <v>97</v>
      </c>
      <c r="G45" s="270" t="s">
        <v>6515</v>
      </c>
      <c r="I45" s="196" t="b">
        <f>IF(Verso!$B$30=Désavantages!$A45,TRUE,FALSE)</f>
        <v>0</v>
      </c>
      <c r="J45" s="196" t="b">
        <f>IF(Verso!$B$31=Désavantages!$A45,TRUE,FALSE)</f>
        <v>0</v>
      </c>
      <c r="K45" s="196" t="b">
        <f>IF(Verso!$B$32=Désavantages!$A45,TRUE,FALSE)</f>
        <v>0</v>
      </c>
      <c r="L45" s="196" t="b">
        <f>IF(Verso!$B$33=Désavantages!$A45,TRUE,FALSE)</f>
        <v>0</v>
      </c>
      <c r="M45" s="196" t="b">
        <f>IF(Verso!$B$34=Désavantages!$A45,TRUE,FALSE)</f>
        <v>0</v>
      </c>
      <c r="N45" s="196" t="b">
        <f t="shared" si="3"/>
        <v>0</v>
      </c>
      <c r="Q45" s="196" t="str">
        <f t="shared" si="0"/>
        <v/>
      </c>
      <c r="R45" s="196">
        <f t="shared" si="1"/>
        <v>57</v>
      </c>
      <c r="S45" s="578" t="str">
        <f t="shared" si="2"/>
        <v>Honni: un ordre monastique</v>
      </c>
    </row>
    <row r="46" spans="1:19" x14ac:dyDescent="0.25">
      <c r="A46" s="186" t="s">
        <v>6511</v>
      </c>
      <c r="B46" s="186"/>
      <c r="C46" s="4" t="s">
        <v>7587</v>
      </c>
      <c r="D46" s="183">
        <f>IF(Recto!W3="C",-3,-2)</f>
        <v>-2</v>
      </c>
      <c r="E46" s="4" t="s">
        <v>6494</v>
      </c>
      <c r="F46" s="17">
        <v>97</v>
      </c>
      <c r="G46" s="270" t="s">
        <v>6513</v>
      </c>
      <c r="I46" s="196" t="b">
        <f>IF(Verso!$B$30=Désavantages!$A46,TRUE,FALSE)</f>
        <v>0</v>
      </c>
      <c r="J46" s="196" t="b">
        <f>IF(Verso!$B$31=Désavantages!$A46,TRUE,FALSE)</f>
        <v>0</v>
      </c>
      <c r="K46" s="196" t="b">
        <f>IF(Verso!$B$32=Désavantages!$A46,TRUE,FALSE)</f>
        <v>0</v>
      </c>
      <c r="L46" s="196" t="b">
        <f>IF(Verso!$B$33=Désavantages!$A46,TRUE,FALSE)</f>
        <v>0</v>
      </c>
      <c r="M46" s="196" t="b">
        <f>IF(Verso!$B$34=Désavantages!$A46,TRUE,FALSE)</f>
        <v>0</v>
      </c>
      <c r="N46" s="196" t="b">
        <f t="shared" si="3"/>
        <v>0</v>
      </c>
      <c r="Q46" s="196" t="str">
        <f t="shared" si="0"/>
        <v/>
      </c>
      <c r="R46" s="196">
        <f t="shared" si="1"/>
        <v>58</v>
      </c>
      <c r="S46" s="578" t="str">
        <f t="shared" si="2"/>
        <v>Honni: un Temple</v>
      </c>
    </row>
    <row r="47" spans="1:19" x14ac:dyDescent="0.25">
      <c r="A47" s="186" t="s">
        <v>875</v>
      </c>
      <c r="B47" s="186" t="s">
        <v>875</v>
      </c>
      <c r="C47" s="4" t="s">
        <v>67</v>
      </c>
      <c r="D47" s="183">
        <v>-3</v>
      </c>
      <c r="E47" s="4" t="s">
        <v>3</v>
      </c>
      <c r="F47" s="17">
        <v>157</v>
      </c>
      <c r="G47" s="270" t="s">
        <v>129</v>
      </c>
      <c r="I47" s="196" t="b">
        <f>IF(Verso!$B$30=Désavantages!$A47,TRUE,FALSE)</f>
        <v>0</v>
      </c>
      <c r="J47" s="196" t="b">
        <f>IF(Verso!$B$31=Désavantages!$A47,TRUE,FALSE)</f>
        <v>0</v>
      </c>
      <c r="K47" s="196" t="b">
        <f>IF(Verso!$B$32=Désavantages!$A47,TRUE,FALSE)</f>
        <v>0</v>
      </c>
      <c r="L47" s="196" t="b">
        <f>IF(Verso!$B$33=Désavantages!$A47,TRUE,FALSE)</f>
        <v>0</v>
      </c>
      <c r="M47" s="196" t="b">
        <f>IF(Verso!$B$34=Désavantages!$A47,TRUE,FALSE)</f>
        <v>0</v>
      </c>
      <c r="N47" s="196" t="b">
        <f t="shared" si="3"/>
        <v>0</v>
      </c>
      <c r="Q47" s="196">
        <f t="shared" si="0"/>
        <v>47</v>
      </c>
      <c r="R47" s="196">
        <f t="shared" si="1"/>
        <v>59</v>
      </c>
      <c r="S47" s="578" t="str">
        <f t="shared" si="2"/>
        <v>Honteux</v>
      </c>
    </row>
    <row r="48" spans="1:19" x14ac:dyDescent="0.25">
      <c r="A48" s="186" t="s">
        <v>856</v>
      </c>
      <c r="B48" s="186" t="s">
        <v>856</v>
      </c>
      <c r="C48" s="4" t="s">
        <v>628</v>
      </c>
      <c r="D48" s="183">
        <f>IF(Clan="Grue",-5,-4)</f>
        <v>-4</v>
      </c>
      <c r="E48" s="4" t="s">
        <v>3</v>
      </c>
      <c r="F48" s="17">
        <v>157</v>
      </c>
      <c r="G48" s="270" t="s">
        <v>834</v>
      </c>
      <c r="I48" s="196" t="b">
        <f>IF(Verso!$B$30=Désavantages!$A48,TRUE,FALSE)</f>
        <v>0</v>
      </c>
      <c r="J48" s="196" t="b">
        <f>IF(Verso!$B$31=Désavantages!$A48,TRUE,FALSE)</f>
        <v>0</v>
      </c>
      <c r="K48" s="196" t="b">
        <f>IF(Verso!$B$32=Désavantages!$A48,TRUE,FALSE)</f>
        <v>0</v>
      </c>
      <c r="L48" s="196" t="b">
        <f>IF(Verso!$B$33=Désavantages!$A48,TRUE,FALSE)</f>
        <v>0</v>
      </c>
      <c r="M48" s="196" t="b">
        <f>IF(Verso!$B$34=Désavantages!$A48,TRUE,FALSE)</f>
        <v>0</v>
      </c>
      <c r="N48" s="196" t="b">
        <f t="shared" si="3"/>
        <v>0</v>
      </c>
      <c r="Q48" s="196">
        <f t="shared" si="0"/>
        <v>48</v>
      </c>
      <c r="R48" s="196">
        <f t="shared" si="1"/>
        <v>60</v>
      </c>
      <c r="S48" s="578" t="str">
        <f t="shared" si="2"/>
        <v>Idéaliste</v>
      </c>
    </row>
    <row r="49" spans="1:19" x14ac:dyDescent="0.25">
      <c r="A49" s="186" t="s">
        <v>876</v>
      </c>
      <c r="B49" s="186" t="s">
        <v>876</v>
      </c>
      <c r="C49" s="4" t="s">
        <v>628</v>
      </c>
      <c r="D49" s="183">
        <v>-4</v>
      </c>
      <c r="E49" s="4" t="s">
        <v>3</v>
      </c>
      <c r="F49" s="17">
        <v>158</v>
      </c>
      <c r="G49" s="163" t="s">
        <v>830</v>
      </c>
      <c r="I49" s="196" t="b">
        <f>IF(Verso!$B$30=Désavantages!$A49,TRUE,FALSE)</f>
        <v>0</v>
      </c>
      <c r="J49" s="196" t="b">
        <f>IF(Verso!$B$31=Désavantages!$A49,TRUE,FALSE)</f>
        <v>0</v>
      </c>
      <c r="K49" s="196" t="b">
        <f>IF(Verso!$B$32=Désavantages!$A49,TRUE,FALSE)</f>
        <v>0</v>
      </c>
      <c r="L49" s="196" t="b">
        <f>IF(Verso!$B$33=Désavantages!$A49,TRUE,FALSE)</f>
        <v>0</v>
      </c>
      <c r="M49" s="196" t="b">
        <f>IF(Verso!$B$34=Désavantages!$A49,TRUE,FALSE)</f>
        <v>0</v>
      </c>
      <c r="N49" s="196" t="b">
        <f t="shared" si="3"/>
        <v>0</v>
      </c>
      <c r="Q49" s="196">
        <f t="shared" si="0"/>
        <v>49</v>
      </c>
      <c r="R49" s="196">
        <f t="shared" si="1"/>
        <v>61</v>
      </c>
      <c r="S49" s="578" t="str">
        <f t="shared" si="2"/>
        <v>Impétueux</v>
      </c>
    </row>
    <row r="50" spans="1:19" x14ac:dyDescent="0.25">
      <c r="A50" s="186" t="s">
        <v>877</v>
      </c>
      <c r="B50" s="186" t="s">
        <v>877</v>
      </c>
      <c r="C50" s="4" t="s">
        <v>628</v>
      </c>
      <c r="D50" s="183">
        <v>-6</v>
      </c>
      <c r="E50" s="4" t="s">
        <v>3</v>
      </c>
      <c r="F50" s="17">
        <v>158</v>
      </c>
      <c r="G50" s="270" t="s">
        <v>138</v>
      </c>
      <c r="I50" s="196" t="b">
        <f>IF(Verso!$B$30=Désavantages!$A50,TRUE,FALSE)</f>
        <v>0</v>
      </c>
      <c r="J50" s="196" t="b">
        <f>IF(Verso!$B$31=Désavantages!$A50,TRUE,FALSE)</f>
        <v>0</v>
      </c>
      <c r="K50" s="196" t="b">
        <f>IF(Verso!$B$32=Désavantages!$A50,TRUE,FALSE)</f>
        <v>0</v>
      </c>
      <c r="L50" s="196" t="b">
        <f>IF(Verso!$B$33=Désavantages!$A50,TRUE,FALSE)</f>
        <v>0</v>
      </c>
      <c r="M50" s="196" t="b">
        <f>IF(Verso!$B$34=Désavantages!$A50,TRUE,FALSE)</f>
        <v>0</v>
      </c>
      <c r="N50" s="196" t="b">
        <f t="shared" si="3"/>
        <v>0</v>
      </c>
      <c r="Q50" s="196">
        <f t="shared" si="0"/>
        <v>50</v>
      </c>
      <c r="R50" s="196">
        <f t="shared" si="1"/>
        <v>62</v>
      </c>
      <c r="S50" s="578" t="str">
        <f t="shared" si="2"/>
        <v>Incapable de Mentir</v>
      </c>
    </row>
    <row r="51" spans="1:19" x14ac:dyDescent="0.25">
      <c r="A51" s="186" t="s">
        <v>878</v>
      </c>
      <c r="B51" s="186" t="s">
        <v>878</v>
      </c>
      <c r="C51" s="4" t="s">
        <v>65</v>
      </c>
      <c r="D51" s="183">
        <v>-3</v>
      </c>
      <c r="E51" s="4" t="s">
        <v>3</v>
      </c>
      <c r="F51" s="17">
        <v>158</v>
      </c>
      <c r="G51" s="163" t="s">
        <v>6182</v>
      </c>
      <c r="I51" s="196" t="b">
        <f>IF(Verso!$B$30=Désavantages!$A51,TRUE,FALSE)</f>
        <v>0</v>
      </c>
      <c r="J51" s="196" t="b">
        <f>IF(Verso!$B$31=Désavantages!$A51,TRUE,FALSE)</f>
        <v>0</v>
      </c>
      <c r="K51" s="196" t="b">
        <f>IF(Verso!$B$32=Désavantages!$A51,TRUE,FALSE)</f>
        <v>0</v>
      </c>
      <c r="L51" s="196" t="b">
        <f>IF(Verso!$B$33=Désavantages!$A51,TRUE,FALSE)</f>
        <v>0</v>
      </c>
      <c r="M51" s="196" t="b">
        <f>IF(Verso!$B$34=Désavantages!$A51,TRUE,FALSE)</f>
        <v>0</v>
      </c>
      <c r="N51" s="196" t="b">
        <f t="shared" si="3"/>
        <v>0</v>
      </c>
      <c r="Q51" s="196">
        <f t="shared" si="0"/>
        <v>51</v>
      </c>
      <c r="R51" s="196">
        <f t="shared" si="1"/>
        <v>63</v>
      </c>
      <c r="S51" s="578" t="str">
        <f t="shared" si="2"/>
        <v>Incroyant</v>
      </c>
    </row>
    <row r="52" spans="1:19" x14ac:dyDescent="0.25">
      <c r="A52" s="186" t="s">
        <v>97</v>
      </c>
      <c r="B52" s="186" t="s">
        <v>97</v>
      </c>
      <c r="C52" s="4" t="s">
        <v>65</v>
      </c>
      <c r="D52" s="183">
        <v>-1</v>
      </c>
      <c r="E52" s="4" t="s">
        <v>3</v>
      </c>
      <c r="F52" s="17">
        <v>158</v>
      </c>
      <c r="G52" s="163" t="s">
        <v>134</v>
      </c>
      <c r="I52" s="196" t="b">
        <f>IF(Verso!$B$30=Désavantages!$A52,TRUE,FALSE)</f>
        <v>0</v>
      </c>
      <c r="J52" s="196" t="b">
        <f>IF(Verso!$B$31=Désavantages!$A52,TRUE,FALSE)</f>
        <v>0</v>
      </c>
      <c r="K52" s="196" t="b">
        <f>IF(Verso!$B$32=Désavantages!$A52,TRUE,FALSE)</f>
        <v>0</v>
      </c>
      <c r="L52" s="196" t="b">
        <f>IF(Verso!$B$33=Désavantages!$A52,TRUE,FALSE)</f>
        <v>0</v>
      </c>
      <c r="M52" s="196" t="b">
        <f>IF(Verso!$B$34=Désavantages!$A52,TRUE,FALSE)</f>
        <v>0</v>
      </c>
      <c r="N52" s="196" t="b">
        <f t="shared" si="3"/>
        <v>0</v>
      </c>
      <c r="Q52" s="196">
        <f t="shared" si="0"/>
        <v>52</v>
      </c>
      <c r="R52" s="196">
        <f t="shared" si="1"/>
        <v>64</v>
      </c>
      <c r="S52" s="578" t="str">
        <f t="shared" si="2"/>
        <v>Indifférent</v>
      </c>
    </row>
    <row r="53" spans="1:19" x14ac:dyDescent="0.25">
      <c r="A53" s="186" t="s">
        <v>5798</v>
      </c>
      <c r="B53" s="186" t="str">
        <f>IF(Recto!$C$3=H53,CONCATENATE(A53),"")</f>
        <v/>
      </c>
      <c r="C53" s="4" t="s">
        <v>629</v>
      </c>
      <c r="D53" s="183">
        <v>-6</v>
      </c>
      <c r="E53" s="4" t="s">
        <v>59</v>
      </c>
      <c r="F53" s="17">
        <v>101</v>
      </c>
      <c r="G53" s="163" t="s">
        <v>1018</v>
      </c>
      <c r="H53" s="196" t="s">
        <v>15</v>
      </c>
      <c r="I53" s="196" t="b">
        <f>IF(Verso!$B$30=Désavantages!$A53,TRUE,FALSE)</f>
        <v>0</v>
      </c>
      <c r="J53" s="196" t="b">
        <f>IF(Verso!$B$31=Désavantages!$A53,TRUE,FALSE)</f>
        <v>0</v>
      </c>
      <c r="K53" s="196" t="b">
        <f>IF(Verso!$B$32=Désavantages!$A53,TRUE,FALSE)</f>
        <v>0</v>
      </c>
      <c r="L53" s="196" t="b">
        <f>IF(Verso!$B$33=Désavantages!$A53,TRUE,FALSE)</f>
        <v>0</v>
      </c>
      <c r="M53" s="196" t="b">
        <f>IF(Verso!$B$34=Désavantages!$A53,TRUE,FALSE)</f>
        <v>0</v>
      </c>
      <c r="N53" s="196" t="b">
        <f t="shared" si="3"/>
        <v>0</v>
      </c>
      <c r="Q53" s="196" t="str">
        <f t="shared" si="0"/>
        <v/>
      </c>
      <c r="R53" s="196">
        <f t="shared" si="1"/>
        <v>65</v>
      </c>
      <c r="S53" s="578" t="str">
        <f t="shared" si="2"/>
        <v>Infame</v>
      </c>
    </row>
    <row r="54" spans="1:19" x14ac:dyDescent="0.25">
      <c r="A54" s="186" t="s">
        <v>5799</v>
      </c>
      <c r="B54" s="186" t="str">
        <f>IF(Recto!$C$3=H54,CONCATENATE(A54),"")</f>
        <v/>
      </c>
      <c r="C54" s="4" t="s">
        <v>629</v>
      </c>
      <c r="D54" s="183">
        <v>-4</v>
      </c>
      <c r="E54" s="4" t="s">
        <v>59</v>
      </c>
      <c r="F54" s="17">
        <v>101</v>
      </c>
      <c r="G54" s="163" t="s">
        <v>5887</v>
      </c>
      <c r="H54" s="196" t="s">
        <v>15</v>
      </c>
      <c r="I54" s="196" t="b">
        <f>IF(Verso!$B$30=Désavantages!$A54,TRUE,FALSE)</f>
        <v>0</v>
      </c>
      <c r="J54" s="196" t="b">
        <f>IF(Verso!$B$31=Désavantages!$A54,TRUE,FALSE)</f>
        <v>0</v>
      </c>
      <c r="K54" s="196" t="b">
        <f>IF(Verso!$B$32=Désavantages!$A54,TRUE,FALSE)</f>
        <v>0</v>
      </c>
      <c r="L54" s="196" t="b">
        <f>IF(Verso!$B$33=Désavantages!$A54,TRUE,FALSE)</f>
        <v>0</v>
      </c>
      <c r="M54" s="196" t="b">
        <f>IF(Verso!$B$34=Désavantages!$A54,TRUE,FALSE)</f>
        <v>0</v>
      </c>
      <c r="N54" s="196" t="b">
        <f t="shared" si="3"/>
        <v>0</v>
      </c>
      <c r="Q54" s="196" t="str">
        <f t="shared" si="0"/>
        <v/>
      </c>
      <c r="R54" s="196">
        <f t="shared" si="1"/>
        <v>66</v>
      </c>
      <c r="S54" s="578" t="str">
        <f t="shared" si="2"/>
        <v>Jaloux</v>
      </c>
    </row>
    <row r="55" spans="1:19" x14ac:dyDescent="0.25">
      <c r="A55" s="186" t="s">
        <v>880</v>
      </c>
      <c r="B55" s="186" t="s">
        <v>880</v>
      </c>
      <c r="C55" s="4" t="s">
        <v>628</v>
      </c>
      <c r="D55" s="183">
        <v>-4</v>
      </c>
      <c r="E55" s="4" t="s">
        <v>3</v>
      </c>
      <c r="F55" s="17">
        <v>158</v>
      </c>
      <c r="G55" s="163" t="s">
        <v>119</v>
      </c>
      <c r="I55" s="196" t="b">
        <f>IF(Verso!$B$30=Désavantages!$A55,TRUE,FALSE)</f>
        <v>0</v>
      </c>
      <c r="J55" s="196" t="b">
        <f>IF(Verso!$B$31=Désavantages!$A55,TRUE,FALSE)</f>
        <v>0</v>
      </c>
      <c r="K55" s="196" t="b">
        <f>IF(Verso!$B$32=Désavantages!$A55,TRUE,FALSE)</f>
        <v>0</v>
      </c>
      <c r="L55" s="196" t="b">
        <f>IF(Verso!$B$33=Désavantages!$A55,TRUE,FALSE)</f>
        <v>0</v>
      </c>
      <c r="M55" s="196" t="b">
        <f>IF(Verso!$B$34=Désavantages!$A55,TRUE,FALSE)</f>
        <v>0</v>
      </c>
      <c r="N55" s="196" t="b">
        <f t="shared" si="3"/>
        <v>0</v>
      </c>
      <c r="Q55" s="196">
        <f t="shared" si="0"/>
        <v>55</v>
      </c>
      <c r="R55" s="196">
        <f t="shared" si="1"/>
        <v>67</v>
      </c>
      <c r="S55" s="578" t="str">
        <f t="shared" si="2"/>
        <v>Joli Cœur</v>
      </c>
    </row>
    <row r="56" spans="1:19" x14ac:dyDescent="0.25">
      <c r="A56" s="186" t="s">
        <v>892</v>
      </c>
      <c r="B56" s="186" t="s">
        <v>892</v>
      </c>
      <c r="C56" s="4" t="s">
        <v>67</v>
      </c>
      <c r="D56" s="183">
        <f>ROUNDUP(Recto!N7,0)*-1</f>
        <v>-1</v>
      </c>
      <c r="E56" s="4" t="s">
        <v>3</v>
      </c>
      <c r="F56" s="17">
        <v>158</v>
      </c>
      <c r="G56" s="163" t="s">
        <v>120</v>
      </c>
      <c r="I56" s="196" t="b">
        <f>IF(Verso!$B$30=Désavantages!$A56,TRUE,FALSE)</f>
        <v>0</v>
      </c>
      <c r="J56" s="196" t="b">
        <f>IF(Verso!$B$31=Désavantages!$A56,TRUE,FALSE)</f>
        <v>0</v>
      </c>
      <c r="K56" s="196" t="b">
        <f>IF(Verso!$B$32=Désavantages!$A56,TRUE,FALSE)</f>
        <v>0</v>
      </c>
      <c r="L56" s="196" t="b">
        <f>IF(Verso!$B$33=Désavantages!$A56,TRUE,FALSE)</f>
        <v>0</v>
      </c>
      <c r="M56" s="196" t="b">
        <f>IF(Verso!$B$34=Désavantages!$A56,TRUE,FALSE)</f>
        <v>0</v>
      </c>
      <c r="N56" s="196" t="b">
        <f t="shared" si="3"/>
        <v>0</v>
      </c>
      <c r="Q56" s="196">
        <f t="shared" si="0"/>
        <v>56</v>
      </c>
      <c r="R56" s="196">
        <f t="shared" si="1"/>
        <v>69</v>
      </c>
      <c r="S56" s="578" t="str">
        <f t="shared" si="2"/>
        <v>Lien de Dépendance (Conjoint peu automome)</v>
      </c>
    </row>
    <row r="57" spans="1:19" x14ac:dyDescent="0.25">
      <c r="A57" s="186" t="s">
        <v>884</v>
      </c>
      <c r="B57" s="186" t="s">
        <v>884</v>
      </c>
      <c r="C57" s="4" t="s">
        <v>67</v>
      </c>
      <c r="D57" s="183">
        <v>-1</v>
      </c>
      <c r="E57" s="4" t="s">
        <v>3</v>
      </c>
      <c r="F57" s="17">
        <v>158</v>
      </c>
      <c r="G57" s="163" t="s">
        <v>885</v>
      </c>
      <c r="I57" s="196" t="b">
        <f>IF(Verso!$B$30=Désavantages!$A57,TRUE,FALSE)</f>
        <v>0</v>
      </c>
      <c r="J57" s="196" t="b">
        <f>IF(Verso!$B$31=Désavantages!$A57,TRUE,FALSE)</f>
        <v>0</v>
      </c>
      <c r="K57" s="196" t="b">
        <f>IF(Verso!$B$32=Désavantages!$A57,TRUE,FALSE)</f>
        <v>0</v>
      </c>
      <c r="L57" s="196" t="b">
        <f>IF(Verso!$B$33=Désavantages!$A57,TRUE,FALSE)</f>
        <v>0</v>
      </c>
      <c r="M57" s="196" t="b">
        <f>IF(Verso!$B$34=Désavantages!$A57,TRUE,FALSE)</f>
        <v>0</v>
      </c>
      <c r="N57" s="196" t="b">
        <f t="shared" si="3"/>
        <v>0</v>
      </c>
      <c r="Q57" s="196">
        <f t="shared" si="0"/>
        <v>57</v>
      </c>
      <c r="R57" s="196">
        <f t="shared" si="1"/>
        <v>70</v>
      </c>
      <c r="S57" s="578" t="str">
        <f t="shared" si="2"/>
        <v>Lien de Dépendance (Conjoint)</v>
      </c>
    </row>
    <row r="58" spans="1:19" x14ac:dyDescent="0.25">
      <c r="A58" s="186" t="s">
        <v>882</v>
      </c>
      <c r="B58" s="186" t="s">
        <v>882</v>
      </c>
      <c r="C58" s="4" t="s">
        <v>67</v>
      </c>
      <c r="D58" s="183">
        <v>-1</v>
      </c>
      <c r="E58" s="4" t="s">
        <v>3</v>
      </c>
      <c r="F58" s="17">
        <v>158</v>
      </c>
      <c r="G58" s="163" t="s">
        <v>883</v>
      </c>
      <c r="I58" s="196" t="b">
        <f>IF(Verso!$B$30=Désavantages!$A58,TRUE,FALSE)</f>
        <v>0</v>
      </c>
      <c r="J58" s="196" t="b">
        <f>IF(Verso!$B$31=Désavantages!$A58,TRUE,FALSE)</f>
        <v>0</v>
      </c>
      <c r="K58" s="196" t="b">
        <f>IF(Verso!$B$32=Désavantages!$A58,TRUE,FALSE)</f>
        <v>0</v>
      </c>
      <c r="L58" s="196" t="b">
        <f>IF(Verso!$B$33=Désavantages!$A58,TRUE,FALSE)</f>
        <v>0</v>
      </c>
      <c r="M58" s="196" t="b">
        <f>IF(Verso!$B$34=Désavantages!$A58,TRUE,FALSE)</f>
        <v>0</v>
      </c>
      <c r="N58" s="196" t="b">
        <f t="shared" si="3"/>
        <v>0</v>
      </c>
      <c r="Q58" s="196">
        <f t="shared" si="0"/>
        <v>58</v>
      </c>
      <c r="R58" s="196">
        <f t="shared" si="1"/>
        <v>71</v>
      </c>
      <c r="S58" s="578" t="str">
        <f t="shared" si="2"/>
        <v>Lien de Dépendance (Enfant ou Parent Malade)</v>
      </c>
    </row>
    <row r="59" spans="1:19" x14ac:dyDescent="0.25">
      <c r="A59" s="186" t="s">
        <v>7764</v>
      </c>
      <c r="B59" s="186" t="s">
        <v>7764</v>
      </c>
      <c r="C59" s="4" t="s">
        <v>65</v>
      </c>
      <c r="D59" s="183">
        <v>-2</v>
      </c>
      <c r="E59" s="4" t="s">
        <v>7759</v>
      </c>
      <c r="F59" s="17">
        <v>21</v>
      </c>
      <c r="G59" s="163" t="s">
        <v>7765</v>
      </c>
      <c r="I59" s="196" t="b">
        <f>IF(Verso!$B$30=Désavantages!$A59,TRUE,FALSE)</f>
        <v>0</v>
      </c>
      <c r="J59" s="196" t="b">
        <f>IF(Verso!$B$31=Désavantages!$A59,TRUE,FALSE)</f>
        <v>0</v>
      </c>
      <c r="K59" s="196" t="b">
        <f>IF(Verso!$B$32=Désavantages!$A59,TRUE,FALSE)</f>
        <v>0</v>
      </c>
      <c r="L59" s="196" t="b">
        <f>IF(Verso!$B$33=Désavantages!$A59,TRUE,FALSE)</f>
        <v>0</v>
      </c>
      <c r="M59" s="196" t="b">
        <f>IF(Verso!$B$34=Désavantages!$A59,TRUE,FALSE)</f>
        <v>0</v>
      </c>
      <c r="N59" s="196" t="b">
        <f>IF(OR(I59=TRUE,J59=TRUE,K59=TRUE,L59=TRUE,M59=TRUE),TRUE,FALSE)</f>
        <v>0</v>
      </c>
      <c r="Q59" s="196">
        <f t="shared" si="0"/>
        <v>59</v>
      </c>
      <c r="R59" s="196">
        <f t="shared" si="1"/>
        <v>72</v>
      </c>
      <c r="S59" s="578" t="str">
        <f t="shared" si="2"/>
        <v>Lien de Dépendance (Enfant)</v>
      </c>
    </row>
    <row r="60" spans="1:19" x14ac:dyDescent="0.25">
      <c r="A60" s="186" t="s">
        <v>886</v>
      </c>
      <c r="B60" s="186" t="s">
        <v>886</v>
      </c>
      <c r="C60" s="4" t="s">
        <v>65</v>
      </c>
      <c r="D60" s="183">
        <f>IF(Clan="Lion",-3,-2)</f>
        <v>-2</v>
      </c>
      <c r="E60" s="4" t="s">
        <v>3</v>
      </c>
      <c r="F60" s="17">
        <v>158</v>
      </c>
      <c r="G60" s="163" t="s">
        <v>125</v>
      </c>
      <c r="I60" s="196" t="b">
        <f>IF(Verso!$B$30=Désavantages!$A60,TRUE,FALSE)</f>
        <v>0</v>
      </c>
      <c r="J60" s="196" t="b">
        <f>IF(Verso!$B$31=Désavantages!$A60,TRUE,FALSE)</f>
        <v>0</v>
      </c>
      <c r="K60" s="196" t="b">
        <f>IF(Verso!$B$32=Désavantages!$A60,TRUE,FALSE)</f>
        <v>0</v>
      </c>
      <c r="L60" s="196" t="b">
        <f>IF(Verso!$B$33=Désavantages!$A60,TRUE,FALSE)</f>
        <v>0</v>
      </c>
      <c r="M60" s="196" t="b">
        <f>IF(Verso!$B$34=Désavantages!$A60,TRUE,FALSE)</f>
        <v>0</v>
      </c>
      <c r="N60" s="196" t="b">
        <f t="shared" si="3"/>
        <v>0</v>
      </c>
      <c r="Q60" s="196">
        <f t="shared" si="0"/>
        <v>60</v>
      </c>
      <c r="R60" s="196">
        <f t="shared" si="1"/>
        <v>74</v>
      </c>
      <c r="S60" s="578" t="str">
        <f t="shared" si="2"/>
        <v>Malchanceux Exeptionnel</v>
      </c>
    </row>
    <row r="61" spans="1:19" x14ac:dyDescent="0.25">
      <c r="A61" s="186" t="s">
        <v>893</v>
      </c>
      <c r="B61" s="186" t="s">
        <v>893</v>
      </c>
      <c r="C61" s="4" t="s">
        <v>65</v>
      </c>
      <c r="D61" s="183">
        <f>IF(Clan="Dragon",-4,-3)</f>
        <v>-3</v>
      </c>
      <c r="E61" s="4" t="s">
        <v>3</v>
      </c>
      <c r="F61" s="17">
        <v>158</v>
      </c>
      <c r="G61" s="163" t="s">
        <v>828</v>
      </c>
      <c r="I61" s="196" t="b">
        <f>IF(Verso!$B$30=Désavantages!$A61,TRUE,FALSE)</f>
        <v>0</v>
      </c>
      <c r="J61" s="196" t="b">
        <f>IF(Verso!$B$31=Désavantages!$A61,TRUE,FALSE)</f>
        <v>0</v>
      </c>
      <c r="K61" s="196" t="b">
        <f>IF(Verso!$B$32=Désavantages!$A61,TRUE,FALSE)</f>
        <v>0</v>
      </c>
      <c r="L61" s="196" t="b">
        <f>IF(Verso!$B$33=Désavantages!$A61,TRUE,FALSE)</f>
        <v>0</v>
      </c>
      <c r="M61" s="196" t="b">
        <f>IF(Verso!$B$34=Désavantages!$A61,TRUE,FALSE)</f>
        <v>0</v>
      </c>
      <c r="N61" s="196" t="b">
        <f t="shared" si="3"/>
        <v>0</v>
      </c>
      <c r="Q61" s="196">
        <f t="shared" si="0"/>
        <v>61</v>
      </c>
      <c r="R61" s="196">
        <f t="shared" si="1"/>
        <v>75</v>
      </c>
      <c r="S61" s="578" t="str">
        <f t="shared" si="2"/>
        <v>Malchanceux Majeur</v>
      </c>
    </row>
    <row r="62" spans="1:19" x14ac:dyDescent="0.25">
      <c r="A62" s="186" t="s">
        <v>1013</v>
      </c>
      <c r="B62" s="186" t="s">
        <v>1013</v>
      </c>
      <c r="C62" s="4" t="s">
        <v>65</v>
      </c>
      <c r="D62" s="183">
        <v>-2</v>
      </c>
      <c r="E62" s="4" t="s">
        <v>3</v>
      </c>
      <c r="F62" s="17">
        <v>158</v>
      </c>
      <c r="G62" s="163" t="s">
        <v>6520</v>
      </c>
      <c r="I62" s="196" t="b">
        <f>IF(Verso!$B$30=Désavantages!$A62,TRUE,FALSE)</f>
        <v>0</v>
      </c>
      <c r="J62" s="196" t="b">
        <f>IF(Verso!$B$31=Désavantages!$A62,TRUE,FALSE)</f>
        <v>0</v>
      </c>
      <c r="K62" s="196" t="b">
        <f>IF(Verso!$B$32=Désavantages!$A62,TRUE,FALSE)</f>
        <v>0</v>
      </c>
      <c r="L62" s="196" t="b">
        <f>IF(Verso!$B$33=Désavantages!$A62,TRUE,FALSE)</f>
        <v>0</v>
      </c>
      <c r="M62" s="196" t="b">
        <f>IF(Verso!$B$34=Désavantages!$A62,TRUE,FALSE)</f>
        <v>0</v>
      </c>
      <c r="N62" s="196" t="b">
        <f t="shared" si="3"/>
        <v>0</v>
      </c>
      <c r="Q62" s="196">
        <f t="shared" si="0"/>
        <v>62</v>
      </c>
      <c r="R62" s="196">
        <f t="shared" si="1"/>
        <v>76</v>
      </c>
      <c r="S62" s="578" t="str">
        <f t="shared" si="2"/>
        <v>Malchanceux Mineur</v>
      </c>
    </row>
    <row r="63" spans="1:19" x14ac:dyDescent="0.25">
      <c r="A63" s="186" t="s">
        <v>887</v>
      </c>
      <c r="B63" s="186" t="s">
        <v>887</v>
      </c>
      <c r="C63" s="4" t="s">
        <v>65</v>
      </c>
      <c r="D63" s="183">
        <v>-3</v>
      </c>
      <c r="E63" s="4" t="s">
        <v>3</v>
      </c>
      <c r="F63" s="17">
        <v>158</v>
      </c>
      <c r="G63" s="163" t="s">
        <v>826</v>
      </c>
      <c r="I63" s="196" t="b">
        <f>IF(Verso!$B$30=Désavantages!$A63,TRUE,FALSE)</f>
        <v>0</v>
      </c>
      <c r="J63" s="196" t="b">
        <f>IF(Verso!$B$31=Désavantages!$A63,TRUE,FALSE)</f>
        <v>0</v>
      </c>
      <c r="K63" s="196" t="b">
        <f>IF(Verso!$B$32=Désavantages!$A63,TRUE,FALSE)</f>
        <v>0</v>
      </c>
      <c r="L63" s="196" t="b">
        <f>IF(Verso!$B$33=Désavantages!$A63,TRUE,FALSE)</f>
        <v>0</v>
      </c>
      <c r="M63" s="196" t="b">
        <f>IF(Verso!$B$34=Désavantages!$A63,TRUE,FALSE)</f>
        <v>0</v>
      </c>
      <c r="N63" s="196" t="b">
        <f t="shared" si="3"/>
        <v>0</v>
      </c>
      <c r="Q63" s="196">
        <f t="shared" si="0"/>
        <v>63</v>
      </c>
      <c r="R63" s="196">
        <f t="shared" si="1"/>
        <v>77</v>
      </c>
      <c r="S63" s="578" t="str">
        <f t="shared" si="2"/>
        <v>Malchanceux Moyen</v>
      </c>
    </row>
    <row r="64" spans="1:19" x14ac:dyDescent="0.25">
      <c r="A64" s="186" t="s">
        <v>888</v>
      </c>
      <c r="B64" s="186" t="s">
        <v>888</v>
      </c>
      <c r="C64" s="4" t="s">
        <v>65</v>
      </c>
      <c r="D64" s="183">
        <f>IF(Clan="Scorpion",-3,-2)</f>
        <v>-2</v>
      </c>
      <c r="E64" s="4" t="s">
        <v>3</v>
      </c>
      <c r="F64" s="17">
        <v>158</v>
      </c>
      <c r="G64" s="163" t="s">
        <v>126</v>
      </c>
      <c r="I64" s="196" t="b">
        <f>IF(Verso!$B$30=Désavantages!$A64,TRUE,FALSE)</f>
        <v>0</v>
      </c>
      <c r="J64" s="196" t="b">
        <f>IF(Verso!$B$31=Désavantages!$A64,TRUE,FALSE)</f>
        <v>0</v>
      </c>
      <c r="K64" s="196" t="b">
        <f>IF(Verso!$B$32=Désavantages!$A64,TRUE,FALSE)</f>
        <v>0</v>
      </c>
      <c r="L64" s="196" t="b">
        <f>IF(Verso!$B$33=Désavantages!$A64,TRUE,FALSE)</f>
        <v>0</v>
      </c>
      <c r="M64" s="196" t="b">
        <f>IF(Verso!$B$34=Désavantages!$A64,TRUE,FALSE)</f>
        <v>0</v>
      </c>
      <c r="N64" s="196" t="b">
        <f t="shared" si="3"/>
        <v>0</v>
      </c>
      <c r="Q64" s="196">
        <f t="shared" si="0"/>
        <v>64</v>
      </c>
      <c r="R64" s="196">
        <f t="shared" si="1"/>
        <v>78</v>
      </c>
      <c r="S64" s="578" t="str">
        <f t="shared" si="2"/>
        <v>Malédiction de Sire Lune: Faible</v>
      </c>
    </row>
    <row r="65" spans="1:19" x14ac:dyDescent="0.25">
      <c r="A65" s="186" t="s">
        <v>889</v>
      </c>
      <c r="B65" s="186" t="s">
        <v>889</v>
      </c>
      <c r="C65" s="4" t="s">
        <v>67</v>
      </c>
      <c r="D65" s="183">
        <v>-2</v>
      </c>
      <c r="E65" s="4" t="s">
        <v>3</v>
      </c>
      <c r="F65" s="17">
        <v>158</v>
      </c>
      <c r="G65" s="163" t="s">
        <v>890</v>
      </c>
      <c r="I65" s="196" t="b">
        <f>IF(Verso!$B$30=Désavantages!$A65,TRUE,FALSE)</f>
        <v>0</v>
      </c>
      <c r="J65" s="196" t="b">
        <f>IF(Verso!$B$31=Désavantages!$A65,TRUE,FALSE)</f>
        <v>0</v>
      </c>
      <c r="K65" s="196" t="b">
        <f>IF(Verso!$B$32=Désavantages!$A65,TRUE,FALSE)</f>
        <v>0</v>
      </c>
      <c r="L65" s="196" t="b">
        <f>IF(Verso!$B$33=Désavantages!$A65,TRUE,FALSE)</f>
        <v>0</v>
      </c>
      <c r="M65" s="196" t="b">
        <f>IF(Verso!$B$34=Désavantages!$A65,TRUE,FALSE)</f>
        <v>0</v>
      </c>
      <c r="N65" s="196" t="b">
        <f t="shared" si="3"/>
        <v>0</v>
      </c>
      <c r="Q65" s="196">
        <f t="shared" si="0"/>
        <v>65</v>
      </c>
      <c r="R65" s="196">
        <f t="shared" si="1"/>
        <v>79</v>
      </c>
      <c r="S65" s="578" t="str">
        <f t="shared" si="2"/>
        <v>Malédiction de Sire Lune: Forte</v>
      </c>
    </row>
    <row r="66" spans="1:19" x14ac:dyDescent="0.25">
      <c r="A66" s="186" t="s">
        <v>879</v>
      </c>
      <c r="B66" s="186" t="s">
        <v>879</v>
      </c>
      <c r="C66" s="4" t="s">
        <v>65</v>
      </c>
      <c r="D66" s="183">
        <v>-3</v>
      </c>
      <c r="E66" s="4" t="s">
        <v>3</v>
      </c>
      <c r="F66" s="17">
        <v>159</v>
      </c>
      <c r="G66" s="163" t="s">
        <v>127</v>
      </c>
      <c r="I66" s="196" t="b">
        <f>IF(Verso!$B$30=Désavantages!$A66,TRUE,FALSE)</f>
        <v>0</v>
      </c>
      <c r="J66" s="196" t="b">
        <f>IF(Verso!$B$31=Désavantages!$A66,TRUE,FALSE)</f>
        <v>0</v>
      </c>
      <c r="K66" s="196" t="b">
        <f>IF(Verso!$B$32=Désavantages!$A66,TRUE,FALSE)</f>
        <v>0</v>
      </c>
      <c r="L66" s="196" t="b">
        <f>IF(Verso!$B$33=Désavantages!$A66,TRUE,FALSE)</f>
        <v>0</v>
      </c>
      <c r="M66" s="196" t="b">
        <f>IF(Verso!$B$34=Désavantages!$A66,TRUE,FALSE)</f>
        <v>0</v>
      </c>
      <c r="N66" s="196" t="b">
        <f t="shared" si="3"/>
        <v>0</v>
      </c>
      <c r="Q66" s="196">
        <f t="shared" si="0"/>
        <v>66</v>
      </c>
      <c r="R66" s="196">
        <f t="shared" si="1"/>
        <v>80</v>
      </c>
      <c r="S66" s="578" t="str">
        <f t="shared" si="2"/>
        <v>Malédiction de Sire Lune: Moyen</v>
      </c>
    </row>
    <row r="67" spans="1:19" x14ac:dyDescent="0.25">
      <c r="A67" s="186" t="s">
        <v>891</v>
      </c>
      <c r="B67" s="186" t="s">
        <v>891</v>
      </c>
      <c r="C67" s="4" t="s">
        <v>67</v>
      </c>
      <c r="D67" s="183">
        <v>-2</v>
      </c>
      <c r="E67" s="4" t="s">
        <v>3</v>
      </c>
      <c r="F67" s="17">
        <v>159</v>
      </c>
      <c r="G67" s="163" t="s">
        <v>841</v>
      </c>
      <c r="I67" s="196" t="b">
        <f>IF(Verso!$B$30=Désavantages!$A67,TRUE,FALSE)</f>
        <v>0</v>
      </c>
      <c r="J67" s="196" t="b">
        <f>IF(Verso!$B$31=Désavantages!$A67,TRUE,FALSE)</f>
        <v>0</v>
      </c>
      <c r="K67" s="196" t="b">
        <f>IF(Verso!$B$32=Désavantages!$A67,TRUE,FALSE)</f>
        <v>0</v>
      </c>
      <c r="L67" s="196" t="b">
        <f>IF(Verso!$B$33=Désavantages!$A67,TRUE,FALSE)</f>
        <v>0</v>
      </c>
      <c r="M67" s="196" t="b">
        <f>IF(Verso!$B$34=Désavantages!$A67,TRUE,FALSE)</f>
        <v>0</v>
      </c>
      <c r="N67" s="196" t="b">
        <f t="shared" si="3"/>
        <v>0</v>
      </c>
      <c r="Q67" s="196">
        <f t="shared" ref="Q67:Q130" si="5">IF(B67="","",ROW())</f>
        <v>67</v>
      </c>
      <c r="R67" s="196">
        <f t="shared" ref="R67:R130" si="6">IFERROR(SMALL(Q:Q,ROW()-1),"")</f>
        <v>81</v>
      </c>
      <c r="S67" s="578" t="str">
        <f t="shared" ref="S67:S130" si="7">IFERROR(INDEX(B:B,R67),"")</f>
        <v>Malédiction des Fortunes: Toyoyuke-Omikami</v>
      </c>
    </row>
    <row r="68" spans="1:19" x14ac:dyDescent="0.25">
      <c r="A68" s="186" t="s">
        <v>99</v>
      </c>
      <c r="B68" s="186" t="str">
        <f>IF(Recto!$C$3=H68,CONCATENATE(A68),"")</f>
        <v/>
      </c>
      <c r="C68" s="4" t="s">
        <v>628</v>
      </c>
      <c r="D68" s="183">
        <v>-2</v>
      </c>
      <c r="E68" s="4" t="s">
        <v>2075</v>
      </c>
      <c r="F68" s="17">
        <v>111</v>
      </c>
      <c r="G68" s="270" t="s">
        <v>847</v>
      </c>
      <c r="H68" s="196" t="s">
        <v>56</v>
      </c>
      <c r="I68" s="196" t="b">
        <f>IF(Verso!$B$30=Désavantages!$A68,TRUE,FALSE)</f>
        <v>0</v>
      </c>
      <c r="J68" s="196" t="b">
        <f>IF(Verso!$B$31=Désavantages!$A68,TRUE,FALSE)</f>
        <v>0</v>
      </c>
      <c r="K68" s="196" t="b">
        <f>IF(Verso!$B$32=Désavantages!$A68,TRUE,FALSE)</f>
        <v>0</v>
      </c>
      <c r="L68" s="196" t="b">
        <f>IF(Verso!$B$33=Désavantages!$A68,TRUE,FALSE)</f>
        <v>0</v>
      </c>
      <c r="M68" s="196" t="b">
        <f>IF(Verso!$B$34=Désavantages!$A68,TRUE,FALSE)</f>
        <v>0</v>
      </c>
      <c r="N68" s="196" t="b">
        <f t="shared" si="3"/>
        <v>0</v>
      </c>
      <c r="Q68" s="196" t="str">
        <f t="shared" si="5"/>
        <v/>
      </c>
      <c r="R68" s="196">
        <f t="shared" si="6"/>
        <v>82</v>
      </c>
      <c r="S68" s="578" t="str">
        <f t="shared" si="7"/>
        <v xml:space="preserve">Malédiction des Fortunes: Kojin </v>
      </c>
    </row>
    <row r="69" spans="1:19" x14ac:dyDescent="0.25">
      <c r="A69" s="186" t="s">
        <v>1133</v>
      </c>
      <c r="B69" s="186" t="s">
        <v>1133</v>
      </c>
      <c r="C69" s="4" t="s">
        <v>67</v>
      </c>
      <c r="D69" s="183">
        <v>-3</v>
      </c>
      <c r="E69" s="4" t="s">
        <v>3</v>
      </c>
      <c r="F69" s="17">
        <v>159</v>
      </c>
      <c r="G69" s="270" t="s">
        <v>1134</v>
      </c>
      <c r="I69" s="196" t="b">
        <f>IF(Verso!$B$30=Désavantages!$A69,TRUE,FALSE)</f>
        <v>0</v>
      </c>
      <c r="J69" s="196" t="b">
        <f>IF(Verso!$B$31=Désavantages!$A69,TRUE,FALSE)</f>
        <v>0</v>
      </c>
      <c r="K69" s="196" t="b">
        <f>IF(Verso!$B$32=Désavantages!$A69,TRUE,FALSE)</f>
        <v>0</v>
      </c>
      <c r="L69" s="196" t="b">
        <f>IF(Verso!$B$33=Désavantages!$A69,TRUE,FALSE)</f>
        <v>0</v>
      </c>
      <c r="M69" s="196" t="b">
        <f>IF(Verso!$B$34=Désavantages!$A69,TRUE,FALSE)</f>
        <v>0</v>
      </c>
      <c r="N69" s="196" t="b">
        <f t="shared" si="3"/>
        <v>0</v>
      </c>
      <c r="Q69" s="196">
        <f t="shared" si="5"/>
        <v>69</v>
      </c>
      <c r="R69" s="196">
        <f t="shared" si="6"/>
        <v>83</v>
      </c>
      <c r="S69" s="578" t="str">
        <f t="shared" si="7"/>
        <v>Malédiction des Sept Fortunes: Benten</v>
      </c>
    </row>
    <row r="70" spans="1:19" x14ac:dyDescent="0.25">
      <c r="A70" s="186" t="s">
        <v>1073</v>
      </c>
      <c r="B70" s="186" t="s">
        <v>1073</v>
      </c>
      <c r="C70" s="4" t="s">
        <v>67</v>
      </c>
      <c r="D70" s="183">
        <v>-2</v>
      </c>
      <c r="E70" s="4" t="s">
        <v>3</v>
      </c>
      <c r="F70" s="17">
        <v>159</v>
      </c>
      <c r="G70" s="270" t="s">
        <v>1136</v>
      </c>
      <c r="I70" s="196" t="b">
        <f>IF(Verso!$B$30=Désavantages!$A70,TRUE,FALSE)</f>
        <v>0</v>
      </c>
      <c r="J70" s="196" t="b">
        <f>IF(Verso!$B$31=Désavantages!$A70,TRUE,FALSE)</f>
        <v>0</v>
      </c>
      <c r="K70" s="196" t="b">
        <f>IF(Verso!$B$32=Désavantages!$A70,TRUE,FALSE)</f>
        <v>0</v>
      </c>
      <c r="L70" s="196" t="b">
        <f>IF(Verso!$B$33=Désavantages!$A70,TRUE,FALSE)</f>
        <v>0</v>
      </c>
      <c r="M70" s="196" t="b">
        <f>IF(Verso!$B$34=Désavantages!$A70,TRUE,FALSE)</f>
        <v>0</v>
      </c>
      <c r="N70" s="196" t="b">
        <f t="shared" si="3"/>
        <v>0</v>
      </c>
      <c r="Q70" s="196">
        <f t="shared" si="5"/>
        <v>70</v>
      </c>
      <c r="R70" s="196">
        <f t="shared" si="6"/>
        <v>84</v>
      </c>
      <c r="S70" s="578" t="str">
        <f t="shared" si="7"/>
        <v>Malédiction des Sept Fortunes: Bishamon</v>
      </c>
    </row>
    <row r="71" spans="1:19" x14ac:dyDescent="0.25">
      <c r="A71" s="186" t="s">
        <v>1072</v>
      </c>
      <c r="B71" s="186" t="s">
        <v>1072</v>
      </c>
      <c r="C71" s="4" t="s">
        <v>67</v>
      </c>
      <c r="D71" s="183">
        <v>-6</v>
      </c>
      <c r="E71" s="4" t="s">
        <v>3</v>
      </c>
      <c r="F71" s="17">
        <v>159</v>
      </c>
      <c r="G71" s="270" t="s">
        <v>1135</v>
      </c>
      <c r="I71" s="196" t="b">
        <f>IF(Verso!$B$30=Désavantages!$A71,TRUE,FALSE)</f>
        <v>0</v>
      </c>
      <c r="J71" s="196" t="b">
        <f>IF(Verso!$B$31=Désavantages!$A71,TRUE,FALSE)</f>
        <v>0</v>
      </c>
      <c r="K71" s="196" t="b">
        <f>IF(Verso!$B$32=Désavantages!$A71,TRUE,FALSE)</f>
        <v>0</v>
      </c>
      <c r="L71" s="196" t="b">
        <f>IF(Verso!$B$33=Désavantages!$A71,TRUE,FALSE)</f>
        <v>0</v>
      </c>
      <c r="M71" s="196" t="b">
        <f>IF(Verso!$B$34=Désavantages!$A71,TRUE,FALSE)</f>
        <v>0</v>
      </c>
      <c r="N71" s="196" t="b">
        <f t="shared" ref="N71:N120" si="8">IF(OR(I71=TRUE,J71=TRUE,K71=TRUE,L71=TRUE,M71=TRUE),TRUE,FALSE)</f>
        <v>0</v>
      </c>
      <c r="Q71" s="196">
        <f t="shared" si="5"/>
        <v>71</v>
      </c>
      <c r="R71" s="196">
        <f t="shared" si="6"/>
        <v>85</v>
      </c>
      <c r="S71" s="578" t="str">
        <f t="shared" si="7"/>
        <v>Malédiction des Sept Fortunes: Daikoku</v>
      </c>
    </row>
    <row r="72" spans="1:19" x14ac:dyDescent="0.25">
      <c r="A72" s="186" t="s">
        <v>1070</v>
      </c>
      <c r="B72" s="186" t="s">
        <v>1070</v>
      </c>
      <c r="C72" s="4" t="s">
        <v>67</v>
      </c>
      <c r="D72" s="183">
        <v>-5</v>
      </c>
      <c r="E72" s="4" t="s">
        <v>3</v>
      </c>
      <c r="F72" s="17">
        <v>159</v>
      </c>
      <c r="G72" s="270" t="s">
        <v>1071</v>
      </c>
      <c r="I72" s="196" t="b">
        <f>IF(Verso!$B$30=Désavantages!$A72,TRUE,FALSE)</f>
        <v>0</v>
      </c>
      <c r="J72" s="196" t="b">
        <f>IF(Verso!$B$31=Désavantages!$A72,TRUE,FALSE)</f>
        <v>0</v>
      </c>
      <c r="K72" s="196" t="b">
        <f>IF(Verso!$B$32=Désavantages!$A72,TRUE,FALSE)</f>
        <v>0</v>
      </c>
      <c r="L72" s="196" t="b">
        <f>IF(Verso!$B$33=Désavantages!$A72,TRUE,FALSE)</f>
        <v>0</v>
      </c>
      <c r="M72" s="196" t="b">
        <f>IF(Verso!$B$34=Désavantages!$A72,TRUE,FALSE)</f>
        <v>0</v>
      </c>
      <c r="N72" s="196" t="b">
        <f t="shared" si="8"/>
        <v>0</v>
      </c>
      <c r="Q72" s="196">
        <f t="shared" si="5"/>
        <v>72</v>
      </c>
      <c r="R72" s="196">
        <f t="shared" si="6"/>
        <v>86</v>
      </c>
      <c r="S72" s="578" t="str">
        <f t="shared" si="7"/>
        <v>Malédiction des Sept Fortunes: Ebisu</v>
      </c>
    </row>
    <row r="73" spans="1:19" x14ac:dyDescent="0.25">
      <c r="A73" s="186" t="s">
        <v>7605</v>
      </c>
      <c r="B73" s="186" t="str">
        <f>IF(Contexte_jeu&lt;&gt;"L'Empire Stellaire d'Emeraude","",CONCATENATE(A73))</f>
        <v/>
      </c>
      <c r="C73" s="4" t="s">
        <v>628</v>
      </c>
      <c r="D73" s="183">
        <v>-2</v>
      </c>
      <c r="E73" s="4" t="s">
        <v>7453</v>
      </c>
      <c r="F73" s="17">
        <v>94</v>
      </c>
      <c r="G73" s="270" t="s">
        <v>7606</v>
      </c>
      <c r="I73" s="196" t="b">
        <f>IF(Verso!$B$30=Désavantages!$A73,TRUE,FALSE)</f>
        <v>0</v>
      </c>
      <c r="J73" s="196" t="b">
        <f>IF(Verso!$B$31=Désavantages!$A73,TRUE,FALSE)</f>
        <v>0</v>
      </c>
      <c r="K73" s="196" t="b">
        <f>IF(Verso!$B$32=Désavantages!$A73,TRUE,FALSE)</f>
        <v>0</v>
      </c>
      <c r="L73" s="196" t="b">
        <f>IF(Verso!$B$33=Désavantages!$A73,TRUE,FALSE)</f>
        <v>0</v>
      </c>
      <c r="M73" s="196" t="b">
        <f>IF(Verso!$B$34=Désavantages!$A73,TRUE,FALSE)</f>
        <v>0</v>
      </c>
      <c r="N73" s="196" t="b">
        <f>IF(OR(I73=TRUE,J73=TRUE,K73=TRUE,L73=TRUE,M73=TRUE),TRUE,FALSE)</f>
        <v>0</v>
      </c>
      <c r="Q73" s="196" t="str">
        <f t="shared" si="5"/>
        <v/>
      </c>
      <c r="R73" s="196">
        <f t="shared" si="6"/>
        <v>87</v>
      </c>
      <c r="S73" s="578" t="str">
        <f t="shared" si="7"/>
        <v>Malédiction des Sept Fortunes: Fukurokujin</v>
      </c>
    </row>
    <row r="74" spans="1:19" x14ac:dyDescent="0.25">
      <c r="A74" s="186" t="s">
        <v>1128</v>
      </c>
      <c r="B74" s="186" t="s">
        <v>1128</v>
      </c>
      <c r="C74" s="4" t="s">
        <v>629</v>
      </c>
      <c r="D74" s="183">
        <v>-8</v>
      </c>
      <c r="E74" s="4" t="s">
        <v>3</v>
      </c>
      <c r="F74" s="17">
        <v>159</v>
      </c>
      <c r="G74" s="270" t="s">
        <v>1132</v>
      </c>
      <c r="I74" s="196" t="b">
        <f>IF(Verso!$B$30=Désavantages!$A74,TRUE,FALSE)</f>
        <v>0</v>
      </c>
      <c r="J74" s="196" t="b">
        <f>IF(Verso!$B$31=Désavantages!$A74,TRUE,FALSE)</f>
        <v>0</v>
      </c>
      <c r="K74" s="196" t="b">
        <f>IF(Verso!$B$32=Désavantages!$A74,TRUE,FALSE)</f>
        <v>0</v>
      </c>
      <c r="L74" s="196" t="b">
        <f>IF(Verso!$B$33=Désavantages!$A74,TRUE,FALSE)</f>
        <v>0</v>
      </c>
      <c r="M74" s="196" t="b">
        <f>IF(Verso!$B$34=Désavantages!$A74,TRUE,FALSE)</f>
        <v>0</v>
      </c>
      <c r="N74" s="196" t="b">
        <f t="shared" si="8"/>
        <v>0</v>
      </c>
      <c r="Q74" s="196">
        <f t="shared" si="5"/>
        <v>74</v>
      </c>
      <c r="R74" s="196">
        <f t="shared" si="6"/>
        <v>88</v>
      </c>
      <c r="S74" s="578" t="str">
        <f t="shared" si="7"/>
        <v>Malédiction des Sept Fortunes: Hotei</v>
      </c>
    </row>
    <row r="75" spans="1:19" x14ac:dyDescent="0.25">
      <c r="A75" s="186" t="s">
        <v>1076</v>
      </c>
      <c r="B75" s="186" t="s">
        <v>1076</v>
      </c>
      <c r="C75" s="4" t="s">
        <v>629</v>
      </c>
      <c r="D75" s="183">
        <v>-6</v>
      </c>
      <c r="E75" s="4" t="s">
        <v>3</v>
      </c>
      <c r="F75" s="17">
        <v>159</v>
      </c>
      <c r="G75" s="270" t="s">
        <v>1131</v>
      </c>
      <c r="I75" s="196" t="b">
        <f>IF(Verso!$B$30=Désavantages!$A75,TRUE,FALSE)</f>
        <v>0</v>
      </c>
      <c r="J75" s="196" t="b">
        <f>IF(Verso!$B$31=Désavantages!$A75,TRUE,FALSE)</f>
        <v>0</v>
      </c>
      <c r="K75" s="196" t="b">
        <f>IF(Verso!$B$32=Désavantages!$A75,TRUE,FALSE)</f>
        <v>0</v>
      </c>
      <c r="L75" s="196" t="b">
        <f>IF(Verso!$B$33=Désavantages!$A75,TRUE,FALSE)</f>
        <v>0</v>
      </c>
      <c r="M75" s="196" t="b">
        <f>IF(Verso!$B$34=Désavantages!$A75,TRUE,FALSE)</f>
        <v>0</v>
      </c>
      <c r="N75" s="196" t="b">
        <f t="shared" si="8"/>
        <v>0</v>
      </c>
      <c r="Q75" s="196">
        <f t="shared" si="5"/>
        <v>75</v>
      </c>
      <c r="R75" s="196">
        <f t="shared" si="6"/>
        <v>89</v>
      </c>
      <c r="S75" s="578" t="str">
        <f t="shared" si="7"/>
        <v>Malédiction des Sept Fortunes: Jurojin</v>
      </c>
    </row>
    <row r="76" spans="1:19" x14ac:dyDescent="0.25">
      <c r="A76" s="186" t="s">
        <v>1074</v>
      </c>
      <c r="B76" s="186" t="s">
        <v>1074</v>
      </c>
      <c r="C76" s="4" t="s">
        <v>629</v>
      </c>
      <c r="D76" s="183">
        <v>-2</v>
      </c>
      <c r="E76" s="4" t="s">
        <v>3</v>
      </c>
      <c r="F76" s="17">
        <v>159</v>
      </c>
      <c r="G76" s="270" t="s">
        <v>1129</v>
      </c>
      <c r="I76" s="196" t="b">
        <f>IF(Verso!$B$30=Désavantages!$A76,TRUE,FALSE)</f>
        <v>0</v>
      </c>
      <c r="J76" s="196" t="b">
        <f>IF(Verso!$B$31=Désavantages!$A76,TRUE,FALSE)</f>
        <v>0</v>
      </c>
      <c r="K76" s="196" t="b">
        <f>IF(Verso!$B$32=Désavantages!$A76,TRUE,FALSE)</f>
        <v>0</v>
      </c>
      <c r="L76" s="196" t="b">
        <f>IF(Verso!$B$33=Désavantages!$A76,TRUE,FALSE)</f>
        <v>0</v>
      </c>
      <c r="M76" s="196" t="b">
        <f>IF(Verso!$B$34=Désavantages!$A76,TRUE,FALSE)</f>
        <v>0</v>
      </c>
      <c r="N76" s="196" t="b">
        <f t="shared" si="8"/>
        <v>0</v>
      </c>
      <c r="Q76" s="196">
        <f t="shared" si="5"/>
        <v>76</v>
      </c>
      <c r="R76" s="196">
        <f t="shared" si="6"/>
        <v>90</v>
      </c>
      <c r="S76" s="578" t="str">
        <f t="shared" si="7"/>
        <v>Maudit par les Royaumes Spirituels: Chikushudo</v>
      </c>
    </row>
    <row r="77" spans="1:19" x14ac:dyDescent="0.25">
      <c r="A77" s="186" t="s">
        <v>1075</v>
      </c>
      <c r="B77" s="186" t="s">
        <v>1075</v>
      </c>
      <c r="C77" s="4" t="s">
        <v>629</v>
      </c>
      <c r="D77" s="183">
        <v>-4</v>
      </c>
      <c r="E77" s="4" t="s">
        <v>3</v>
      </c>
      <c r="F77" s="17">
        <v>159</v>
      </c>
      <c r="G77" s="163" t="s">
        <v>1130</v>
      </c>
      <c r="I77" s="196" t="b">
        <f>IF(Verso!$B$30=Désavantages!$A77,TRUE,FALSE)</f>
        <v>0</v>
      </c>
      <c r="J77" s="196" t="b">
        <f>IF(Verso!$B$31=Désavantages!$A77,TRUE,FALSE)</f>
        <v>0</v>
      </c>
      <c r="K77" s="196" t="b">
        <f>IF(Verso!$B$32=Désavantages!$A77,TRUE,FALSE)</f>
        <v>0</v>
      </c>
      <c r="L77" s="196" t="b">
        <f>IF(Verso!$B$33=Désavantages!$A77,TRUE,FALSE)</f>
        <v>0</v>
      </c>
      <c r="M77" s="196" t="b">
        <f>IF(Verso!$B$34=Désavantages!$A77,TRUE,FALSE)</f>
        <v>0</v>
      </c>
      <c r="N77" s="196" t="b">
        <f t="shared" si="8"/>
        <v>0</v>
      </c>
      <c r="Q77" s="196">
        <f t="shared" si="5"/>
        <v>77</v>
      </c>
      <c r="R77" s="196">
        <f t="shared" si="6"/>
        <v>91</v>
      </c>
      <c r="S77" s="578" t="str">
        <f t="shared" si="7"/>
        <v>Maudit par les Royaumes Spirituels: Gaki-do</v>
      </c>
    </row>
    <row r="78" spans="1:19" x14ac:dyDescent="0.25">
      <c r="A78" s="186" t="s">
        <v>897</v>
      </c>
      <c r="B78" s="186" t="s">
        <v>897</v>
      </c>
      <c r="C78" s="4" t="s">
        <v>629</v>
      </c>
      <c r="D78" s="183">
        <v>-3</v>
      </c>
      <c r="E78" s="4" t="s">
        <v>3</v>
      </c>
      <c r="F78" s="17">
        <v>159</v>
      </c>
      <c r="G78" s="163" t="s">
        <v>894</v>
      </c>
      <c r="I78" s="196" t="b">
        <f>IF(Verso!$B$30=Désavantages!$A78,TRUE,FALSE)</f>
        <v>0</v>
      </c>
      <c r="J78" s="196" t="b">
        <f>IF(Verso!$B$31=Désavantages!$A78,TRUE,FALSE)</f>
        <v>0</v>
      </c>
      <c r="K78" s="196" t="b">
        <f>IF(Verso!$B$32=Désavantages!$A78,TRUE,FALSE)</f>
        <v>0</v>
      </c>
      <c r="L78" s="196" t="b">
        <f>IF(Verso!$B$33=Désavantages!$A78,TRUE,FALSE)</f>
        <v>0</v>
      </c>
      <c r="M78" s="196" t="b">
        <f>IF(Verso!$B$34=Désavantages!$A78,TRUE,FALSE)</f>
        <v>0</v>
      </c>
      <c r="N78" s="196" t="b">
        <f t="shared" si="8"/>
        <v>0</v>
      </c>
      <c r="Q78" s="196">
        <f t="shared" si="5"/>
        <v>78</v>
      </c>
      <c r="R78" s="196">
        <f t="shared" si="6"/>
        <v>92</v>
      </c>
      <c r="S78" s="578" t="str">
        <f t="shared" si="7"/>
        <v>Maudit par les Royaumes Spirituels: Jigoku</v>
      </c>
    </row>
    <row r="79" spans="1:19" x14ac:dyDescent="0.25">
      <c r="A79" s="186" t="s">
        <v>899</v>
      </c>
      <c r="B79" s="186" t="s">
        <v>899</v>
      </c>
      <c r="C79" s="4" t="s">
        <v>629</v>
      </c>
      <c r="D79" s="183">
        <v>-7</v>
      </c>
      <c r="E79" s="4" t="s">
        <v>3</v>
      </c>
      <c r="F79" s="17">
        <v>159</v>
      </c>
      <c r="G79" s="270" t="s">
        <v>896</v>
      </c>
      <c r="I79" s="196" t="b">
        <f>IF(Verso!$B$30=Désavantages!$A79,TRUE,FALSE)</f>
        <v>0</v>
      </c>
      <c r="J79" s="196" t="b">
        <f>IF(Verso!$B$31=Désavantages!$A79,TRUE,FALSE)</f>
        <v>0</v>
      </c>
      <c r="K79" s="196" t="b">
        <f>IF(Verso!$B$32=Désavantages!$A79,TRUE,FALSE)</f>
        <v>0</v>
      </c>
      <c r="L79" s="196" t="b">
        <f>IF(Verso!$B$33=Désavantages!$A79,TRUE,FALSE)</f>
        <v>0</v>
      </c>
      <c r="M79" s="196" t="b">
        <f>IF(Verso!$B$34=Désavantages!$A79,TRUE,FALSE)</f>
        <v>0</v>
      </c>
      <c r="N79" s="196" t="b">
        <f t="shared" si="8"/>
        <v>0</v>
      </c>
      <c r="Q79" s="196">
        <f t="shared" si="5"/>
        <v>79</v>
      </c>
      <c r="R79" s="196">
        <f t="shared" si="6"/>
        <v>93</v>
      </c>
      <c r="S79" s="578" t="str">
        <f t="shared" si="7"/>
        <v>Maudit par les Royaumes Spirituels: Maigo no Musha</v>
      </c>
    </row>
    <row r="80" spans="1:19" x14ac:dyDescent="0.25">
      <c r="A80" s="186" t="s">
        <v>898</v>
      </c>
      <c r="B80" s="186" t="s">
        <v>898</v>
      </c>
      <c r="C80" s="4" t="s">
        <v>629</v>
      </c>
      <c r="D80" s="183">
        <v>-5</v>
      </c>
      <c r="E80" s="4" t="s">
        <v>3</v>
      </c>
      <c r="F80" s="17">
        <v>159</v>
      </c>
      <c r="G80" s="270" t="s">
        <v>895</v>
      </c>
      <c r="I80" s="196" t="b">
        <f>IF(Verso!$B$30=Désavantages!$A80,TRUE,FALSE)</f>
        <v>0</v>
      </c>
      <c r="J80" s="196" t="b">
        <f>IF(Verso!$B$31=Désavantages!$A80,TRUE,FALSE)</f>
        <v>0</v>
      </c>
      <c r="K80" s="196" t="b">
        <f>IF(Verso!$B$32=Désavantages!$A80,TRUE,FALSE)</f>
        <v>0</v>
      </c>
      <c r="L80" s="196" t="b">
        <f>IF(Verso!$B$33=Désavantages!$A80,TRUE,FALSE)</f>
        <v>0</v>
      </c>
      <c r="M80" s="196" t="b">
        <f>IF(Verso!$B$34=Désavantages!$A80,TRUE,FALSE)</f>
        <v>0</v>
      </c>
      <c r="N80" s="196" t="b">
        <f t="shared" si="8"/>
        <v>0</v>
      </c>
      <c r="Q80" s="196">
        <f t="shared" si="5"/>
        <v>80</v>
      </c>
      <c r="R80" s="196">
        <f t="shared" si="6"/>
        <v>94</v>
      </c>
      <c r="S80" s="578" t="str">
        <f t="shared" si="7"/>
        <v>Maudit par les Royaumes Spirituels: Meido</v>
      </c>
    </row>
    <row r="81" spans="1:19" x14ac:dyDescent="0.25">
      <c r="A81" s="186" t="s">
        <v>7578</v>
      </c>
      <c r="B81" s="186" t="s">
        <v>7578</v>
      </c>
      <c r="C81" s="4" t="s">
        <v>629</v>
      </c>
      <c r="D81" s="183">
        <v>-4</v>
      </c>
      <c r="E81" s="4" t="s">
        <v>7453</v>
      </c>
      <c r="F81" s="17">
        <v>93</v>
      </c>
      <c r="G81" s="270" t="s">
        <v>7580</v>
      </c>
      <c r="I81" s="196" t="b">
        <f>IF(Verso!$B$30=Désavantages!$A81,TRUE,FALSE)</f>
        <v>0</v>
      </c>
      <c r="J81" s="196" t="b">
        <f>IF(Verso!$B$31=Désavantages!$A81,TRUE,FALSE)</f>
        <v>0</v>
      </c>
      <c r="K81" s="196" t="b">
        <f>IF(Verso!$B$32=Désavantages!$A81,TRUE,FALSE)</f>
        <v>0</v>
      </c>
      <c r="L81" s="196" t="b">
        <f>IF(Verso!$B$33=Désavantages!$A81,TRUE,FALSE)</f>
        <v>0</v>
      </c>
      <c r="M81" s="196" t="b">
        <f>IF(Verso!$B$34=Désavantages!$A81,TRUE,FALSE)</f>
        <v>0</v>
      </c>
      <c r="N81" s="196" t="b">
        <f t="shared" si="8"/>
        <v>0</v>
      </c>
      <c r="Q81" s="196">
        <f t="shared" si="5"/>
        <v>81</v>
      </c>
      <c r="R81" s="196">
        <f t="shared" si="6"/>
        <v>95</v>
      </c>
      <c r="S81" s="578" t="str">
        <f t="shared" si="7"/>
        <v>Maudit par les Royaumes Spirituels: Sakkaku</v>
      </c>
    </row>
    <row r="82" spans="1:19" x14ac:dyDescent="0.25">
      <c r="A82" s="186" t="s">
        <v>7579</v>
      </c>
      <c r="B82" s="186" t="s">
        <v>7579</v>
      </c>
      <c r="C82" s="4" t="s">
        <v>629</v>
      </c>
      <c r="D82" s="183">
        <v>-4</v>
      </c>
      <c r="E82" s="4" t="s">
        <v>7453</v>
      </c>
      <c r="F82" s="17">
        <v>93</v>
      </c>
      <c r="G82" s="270" t="s">
        <v>7581</v>
      </c>
      <c r="I82" s="196" t="b">
        <f>IF(Verso!$B$30=Désavantages!$A82,TRUE,FALSE)</f>
        <v>0</v>
      </c>
      <c r="J82" s="196" t="b">
        <f>IF(Verso!$B$31=Désavantages!$A82,TRUE,FALSE)</f>
        <v>0</v>
      </c>
      <c r="K82" s="196" t="b">
        <f>IF(Verso!$B$32=Désavantages!$A82,TRUE,FALSE)</f>
        <v>0</v>
      </c>
      <c r="L82" s="196" t="b">
        <f>IF(Verso!$B$33=Désavantages!$A82,TRUE,FALSE)</f>
        <v>0</v>
      </c>
      <c r="M82" s="196" t="b">
        <f>IF(Verso!$B$34=Désavantages!$A82,TRUE,FALSE)</f>
        <v>0</v>
      </c>
      <c r="N82" s="196" t="b">
        <f t="shared" si="8"/>
        <v>0</v>
      </c>
      <c r="Q82" s="196">
        <f t="shared" si="5"/>
        <v>82</v>
      </c>
      <c r="R82" s="196">
        <f t="shared" si="6"/>
        <v>96</v>
      </c>
      <c r="S82" s="578" t="str">
        <f t="shared" si="7"/>
        <v>Maudit par les Royaumes Spirituels: Tengoku</v>
      </c>
    </row>
    <row r="83" spans="1:19" x14ac:dyDescent="0.25">
      <c r="A83" s="186" t="s">
        <v>902</v>
      </c>
      <c r="B83" s="186" t="s">
        <v>902</v>
      </c>
      <c r="C83" s="4" t="s">
        <v>629</v>
      </c>
      <c r="D83" s="183">
        <v>-3</v>
      </c>
      <c r="E83" s="4" t="s">
        <v>3</v>
      </c>
      <c r="F83" s="17">
        <v>159</v>
      </c>
      <c r="G83" s="270" t="s">
        <v>908</v>
      </c>
      <c r="I83" s="196" t="b">
        <f>IF(Verso!$B$30=Désavantages!$A83,TRUE,FALSE)</f>
        <v>0</v>
      </c>
      <c r="J83" s="196" t="b">
        <f>IF(Verso!$B$31=Désavantages!$A83,TRUE,FALSE)</f>
        <v>0</v>
      </c>
      <c r="K83" s="196" t="b">
        <f>IF(Verso!$B$32=Désavantages!$A83,TRUE,FALSE)</f>
        <v>0</v>
      </c>
      <c r="L83" s="196" t="b">
        <f>IF(Verso!$B$33=Désavantages!$A83,TRUE,FALSE)</f>
        <v>0</v>
      </c>
      <c r="M83" s="196" t="b">
        <f>IF(Verso!$B$34=Désavantages!$A83,TRUE,FALSE)</f>
        <v>0</v>
      </c>
      <c r="N83" s="196" t="b">
        <f t="shared" si="8"/>
        <v>0</v>
      </c>
      <c r="Q83" s="196">
        <f t="shared" si="5"/>
        <v>83</v>
      </c>
      <c r="R83" s="196">
        <f t="shared" si="6"/>
        <v>97</v>
      </c>
      <c r="S83" s="578" t="str">
        <f t="shared" si="7"/>
        <v>Maudit par les Royaumes Spirituels: Toshigoku</v>
      </c>
    </row>
    <row r="84" spans="1:19" x14ac:dyDescent="0.25">
      <c r="A84" s="186" t="s">
        <v>903</v>
      </c>
      <c r="B84" s="186" t="s">
        <v>903</v>
      </c>
      <c r="C84" s="4" t="s">
        <v>629</v>
      </c>
      <c r="D84" s="183">
        <v>-3</v>
      </c>
      <c r="E84" s="4" t="s">
        <v>3</v>
      </c>
      <c r="F84" s="17">
        <v>159</v>
      </c>
      <c r="G84" s="270" t="s">
        <v>909</v>
      </c>
      <c r="I84" s="196" t="b">
        <f>IF(Verso!$B$30=Désavantages!$A84,TRUE,FALSE)</f>
        <v>0</v>
      </c>
      <c r="J84" s="196" t="b">
        <f>IF(Verso!$B$31=Désavantages!$A84,TRUE,FALSE)</f>
        <v>0</v>
      </c>
      <c r="K84" s="196" t="b">
        <f>IF(Verso!$B$32=Désavantages!$A84,TRUE,FALSE)</f>
        <v>0</v>
      </c>
      <c r="L84" s="196" t="b">
        <f>IF(Verso!$B$33=Désavantages!$A84,TRUE,FALSE)</f>
        <v>0</v>
      </c>
      <c r="M84" s="196" t="b">
        <f>IF(Verso!$B$34=Désavantages!$A84,TRUE,FALSE)</f>
        <v>0</v>
      </c>
      <c r="N84" s="196" t="b">
        <f t="shared" si="8"/>
        <v>0</v>
      </c>
      <c r="Q84" s="196">
        <f t="shared" si="5"/>
        <v>84</v>
      </c>
      <c r="R84" s="196">
        <f t="shared" si="6"/>
        <v>99</v>
      </c>
      <c r="S84" s="578" t="str">
        <f t="shared" si="7"/>
        <v>Maudit par les Royaumes Spirituels: Yomi</v>
      </c>
    </row>
    <row r="85" spans="1:19" x14ac:dyDescent="0.25">
      <c r="A85" s="186" t="s">
        <v>901</v>
      </c>
      <c r="B85" s="186" t="s">
        <v>901</v>
      </c>
      <c r="C85" s="4" t="s">
        <v>629</v>
      </c>
      <c r="D85" s="183">
        <v>-3</v>
      </c>
      <c r="E85" s="4" t="s">
        <v>3</v>
      </c>
      <c r="F85" s="17">
        <v>159</v>
      </c>
      <c r="G85" s="270" t="s">
        <v>910</v>
      </c>
      <c r="I85" s="196" t="b">
        <f>IF(Verso!$B$30=Désavantages!$A85,TRUE,FALSE)</f>
        <v>0</v>
      </c>
      <c r="J85" s="196" t="b">
        <f>IF(Verso!$B$31=Désavantages!$A85,TRUE,FALSE)</f>
        <v>0</v>
      </c>
      <c r="K85" s="196" t="b">
        <f>IF(Verso!$B$32=Désavantages!$A85,TRUE,FALSE)</f>
        <v>0</v>
      </c>
      <c r="L85" s="196" t="b">
        <f>IF(Verso!$B$33=Désavantages!$A85,TRUE,FALSE)</f>
        <v>0</v>
      </c>
      <c r="M85" s="196" t="b">
        <f>IF(Verso!$B$34=Désavantages!$A85,TRUE,FALSE)</f>
        <v>0</v>
      </c>
      <c r="N85" s="196" t="b">
        <f t="shared" si="8"/>
        <v>0</v>
      </c>
      <c r="Q85" s="196">
        <f t="shared" si="5"/>
        <v>85</v>
      </c>
      <c r="R85" s="196">
        <f t="shared" si="6"/>
        <v>100</v>
      </c>
      <c r="S85" s="578" t="str">
        <f t="shared" si="7"/>
        <v>Maudit par les Royaumes Spirituels: Yume-do</v>
      </c>
    </row>
    <row r="86" spans="1:19" x14ac:dyDescent="0.25">
      <c r="A86" s="186" t="s">
        <v>904</v>
      </c>
      <c r="B86" s="186" t="s">
        <v>904</v>
      </c>
      <c r="C86" s="4" t="s">
        <v>629</v>
      </c>
      <c r="D86" s="183">
        <v>-3</v>
      </c>
      <c r="E86" s="4" t="s">
        <v>3</v>
      </c>
      <c r="F86" s="17">
        <v>159</v>
      </c>
      <c r="G86" s="163" t="s">
        <v>911</v>
      </c>
      <c r="I86" s="196" t="b">
        <f>IF(Verso!$B$30=Désavantages!$A86,TRUE,FALSE)</f>
        <v>0</v>
      </c>
      <c r="J86" s="196" t="b">
        <f>IF(Verso!$B$31=Désavantages!$A86,TRUE,FALSE)</f>
        <v>0</v>
      </c>
      <c r="K86" s="196" t="b">
        <f>IF(Verso!$B$32=Désavantages!$A86,TRUE,FALSE)</f>
        <v>0</v>
      </c>
      <c r="L86" s="196" t="b">
        <f>IF(Verso!$B$33=Désavantages!$A86,TRUE,FALSE)</f>
        <v>0</v>
      </c>
      <c r="M86" s="196" t="b">
        <f>IF(Verso!$B$34=Désavantages!$A86,TRUE,FALSE)</f>
        <v>0</v>
      </c>
      <c r="N86" s="196" t="b">
        <f t="shared" si="8"/>
        <v>0</v>
      </c>
      <c r="Q86" s="196">
        <f t="shared" si="5"/>
        <v>86</v>
      </c>
      <c r="R86" s="196">
        <f t="shared" si="6"/>
        <v>101</v>
      </c>
      <c r="S86" s="578" t="str">
        <f t="shared" si="7"/>
        <v>Mauvaise Fortune: Albinos</v>
      </c>
    </row>
    <row r="87" spans="1:19" x14ac:dyDescent="0.25">
      <c r="A87" s="186" t="s">
        <v>905</v>
      </c>
      <c r="B87" s="186" t="s">
        <v>905</v>
      </c>
      <c r="C87" s="4" t="s">
        <v>629</v>
      </c>
      <c r="D87" s="183">
        <v>-3</v>
      </c>
      <c r="E87" s="4" t="s">
        <v>3</v>
      </c>
      <c r="F87" s="17">
        <v>159</v>
      </c>
      <c r="G87" s="163" t="s">
        <v>912</v>
      </c>
      <c r="I87" s="196" t="b">
        <f>IF(Verso!$B$30=Désavantages!$A87,TRUE,FALSE)</f>
        <v>0</v>
      </c>
      <c r="J87" s="196" t="b">
        <f>IF(Verso!$B$31=Désavantages!$A87,TRUE,FALSE)</f>
        <v>0</v>
      </c>
      <c r="K87" s="196" t="b">
        <f>IF(Verso!$B$32=Désavantages!$A87,TRUE,FALSE)</f>
        <v>0</v>
      </c>
      <c r="L87" s="196" t="b">
        <f>IF(Verso!$B$33=Désavantages!$A87,TRUE,FALSE)</f>
        <v>0</v>
      </c>
      <c r="M87" s="196" t="b">
        <f>IF(Verso!$B$34=Désavantages!$A87,TRUE,FALSE)</f>
        <v>0</v>
      </c>
      <c r="N87" s="196" t="b">
        <f t="shared" si="8"/>
        <v>0</v>
      </c>
      <c r="Q87" s="196">
        <f t="shared" si="5"/>
        <v>87</v>
      </c>
      <c r="R87" s="196">
        <f t="shared" si="6"/>
        <v>102</v>
      </c>
      <c r="S87" s="578" t="str">
        <f t="shared" si="7"/>
        <v>Mauvaise Fortune: Allergie</v>
      </c>
    </row>
    <row r="88" spans="1:19" x14ac:dyDescent="0.25">
      <c r="A88" s="186" t="s">
        <v>906</v>
      </c>
      <c r="B88" s="186" t="s">
        <v>906</v>
      </c>
      <c r="C88" s="4" t="s">
        <v>629</v>
      </c>
      <c r="D88" s="183">
        <v>-6</v>
      </c>
      <c r="E88" s="4" t="s">
        <v>3</v>
      </c>
      <c r="F88" s="17">
        <v>159</v>
      </c>
      <c r="G88" s="163" t="s">
        <v>913</v>
      </c>
      <c r="I88" s="196" t="b">
        <f>IF(Verso!$B$30=Désavantages!$A88,TRUE,FALSE)</f>
        <v>0</v>
      </c>
      <c r="J88" s="196" t="b">
        <f>IF(Verso!$B$31=Désavantages!$A88,TRUE,FALSE)</f>
        <v>0</v>
      </c>
      <c r="K88" s="196" t="b">
        <f>IF(Verso!$B$32=Désavantages!$A88,TRUE,FALSE)</f>
        <v>0</v>
      </c>
      <c r="L88" s="196" t="b">
        <f>IF(Verso!$B$33=Désavantages!$A88,TRUE,FALSE)</f>
        <v>0</v>
      </c>
      <c r="M88" s="196" t="b">
        <f>IF(Verso!$B$34=Désavantages!$A88,TRUE,FALSE)</f>
        <v>0</v>
      </c>
      <c r="N88" s="196" t="b">
        <f t="shared" si="8"/>
        <v>0</v>
      </c>
      <c r="Q88" s="196">
        <f t="shared" si="5"/>
        <v>88</v>
      </c>
      <c r="R88" s="196">
        <f t="shared" si="6"/>
        <v>103</v>
      </c>
      <c r="S88" s="578" t="str">
        <f t="shared" si="7"/>
        <v>Mauvaise Fortune: Amour Secret</v>
      </c>
    </row>
    <row r="89" spans="1:19" x14ac:dyDescent="0.25">
      <c r="A89" s="186" t="s">
        <v>907</v>
      </c>
      <c r="B89" s="186" t="s">
        <v>907</v>
      </c>
      <c r="C89" s="4" t="s">
        <v>629</v>
      </c>
      <c r="D89" s="183">
        <v>-3</v>
      </c>
      <c r="E89" s="4" t="s">
        <v>3</v>
      </c>
      <c r="F89" s="17">
        <v>159</v>
      </c>
      <c r="G89" s="163" t="s">
        <v>914</v>
      </c>
      <c r="I89" s="196" t="b">
        <f>IF(Verso!$B$30=Désavantages!$A89,TRUE,FALSE)</f>
        <v>0</v>
      </c>
      <c r="J89" s="196" t="b">
        <f>IF(Verso!$B$31=Désavantages!$A89,TRUE,FALSE)</f>
        <v>0</v>
      </c>
      <c r="K89" s="196" t="b">
        <f>IF(Verso!$B$32=Désavantages!$A89,TRUE,FALSE)</f>
        <v>0</v>
      </c>
      <c r="L89" s="196" t="b">
        <f>IF(Verso!$B$33=Désavantages!$A89,TRUE,FALSE)</f>
        <v>0</v>
      </c>
      <c r="M89" s="196" t="b">
        <f>IF(Verso!$B$34=Désavantages!$A89,TRUE,FALSE)</f>
        <v>0</v>
      </c>
      <c r="N89" s="196" t="b">
        <f t="shared" si="8"/>
        <v>0</v>
      </c>
      <c r="Q89" s="196">
        <f t="shared" si="5"/>
        <v>89</v>
      </c>
      <c r="R89" s="196">
        <f t="shared" si="6"/>
        <v>104</v>
      </c>
      <c r="S89" s="578" t="str">
        <f t="shared" si="7"/>
        <v>Mauvaise Fortune: Coup du Sort</v>
      </c>
    </row>
    <row r="90" spans="1:19" x14ac:dyDescent="0.25">
      <c r="A90" s="186" t="s">
        <v>915</v>
      </c>
      <c r="B90" s="186" t="s">
        <v>915</v>
      </c>
      <c r="C90" s="4" t="s">
        <v>629</v>
      </c>
      <c r="D90" s="183">
        <f>IF(Recto!W3="S",-5,-4)</f>
        <v>-4</v>
      </c>
      <c r="E90" s="4" t="s">
        <v>3</v>
      </c>
      <c r="F90" s="17">
        <v>159</v>
      </c>
      <c r="G90" s="270" t="s">
        <v>925</v>
      </c>
      <c r="I90" s="196" t="b">
        <f>IF(Verso!$B$30=Désavantages!$A90,TRUE,FALSE)</f>
        <v>0</v>
      </c>
      <c r="J90" s="196" t="b">
        <f>IF(Verso!$B$31=Désavantages!$A90,TRUE,FALSE)</f>
        <v>0</v>
      </c>
      <c r="K90" s="196" t="b">
        <f>IF(Verso!$B$32=Désavantages!$A90,TRUE,FALSE)</f>
        <v>0</v>
      </c>
      <c r="L90" s="196" t="b">
        <f>IF(Verso!$B$33=Désavantages!$A90,TRUE,FALSE)</f>
        <v>0</v>
      </c>
      <c r="M90" s="196" t="b">
        <f>IF(Verso!$B$34=Désavantages!$A90,TRUE,FALSE)</f>
        <v>0</v>
      </c>
      <c r="N90" s="196" t="b">
        <f t="shared" si="8"/>
        <v>0</v>
      </c>
      <c r="Q90" s="196">
        <f t="shared" si="5"/>
        <v>90</v>
      </c>
      <c r="R90" s="196">
        <f t="shared" si="6"/>
        <v>105</v>
      </c>
      <c r="S90" s="578" t="str">
        <f t="shared" si="7"/>
        <v>Mauvaise Fortune: Défiguration</v>
      </c>
    </row>
    <row r="91" spans="1:19" x14ac:dyDescent="0.25">
      <c r="A91" s="186" t="s">
        <v>916</v>
      </c>
      <c r="B91" s="186" t="s">
        <v>916</v>
      </c>
      <c r="C91" s="4" t="s">
        <v>629</v>
      </c>
      <c r="D91" s="183">
        <f>IF(Recto!W3="S",-5,-4)</f>
        <v>-4</v>
      </c>
      <c r="E91" s="4" t="s">
        <v>3</v>
      </c>
      <c r="F91" s="17">
        <v>159</v>
      </c>
      <c r="G91" s="270" t="s">
        <v>926</v>
      </c>
      <c r="I91" s="196" t="b">
        <f>IF(Verso!$B$30=Désavantages!$A91,TRUE,FALSE)</f>
        <v>0</v>
      </c>
      <c r="J91" s="196" t="b">
        <f>IF(Verso!$B$31=Désavantages!$A91,TRUE,FALSE)</f>
        <v>0</v>
      </c>
      <c r="K91" s="196" t="b">
        <f>IF(Verso!$B$32=Désavantages!$A91,TRUE,FALSE)</f>
        <v>0</v>
      </c>
      <c r="L91" s="196" t="b">
        <f>IF(Verso!$B$33=Désavantages!$A91,TRUE,FALSE)</f>
        <v>0</v>
      </c>
      <c r="M91" s="196" t="b">
        <f>IF(Verso!$B$34=Désavantages!$A91,TRUE,FALSE)</f>
        <v>0</v>
      </c>
      <c r="N91" s="196" t="b">
        <f t="shared" si="8"/>
        <v>0</v>
      </c>
      <c r="Q91" s="196">
        <f t="shared" si="5"/>
        <v>91</v>
      </c>
      <c r="R91" s="196">
        <f t="shared" si="6"/>
        <v>106</v>
      </c>
      <c r="S91" s="578" t="str">
        <f t="shared" si="7"/>
        <v>Mauvaise Fortune: Ennemi Mystérieux</v>
      </c>
    </row>
    <row r="92" spans="1:19" x14ac:dyDescent="0.25">
      <c r="A92" s="186" t="s">
        <v>917</v>
      </c>
      <c r="B92" s="186" t="s">
        <v>917</v>
      </c>
      <c r="C92" s="4" t="s">
        <v>629</v>
      </c>
      <c r="D92" s="183">
        <f>IF(Recto!W3="S",-5,-4)</f>
        <v>-4</v>
      </c>
      <c r="E92" s="4" t="s">
        <v>3</v>
      </c>
      <c r="F92" s="17">
        <v>159</v>
      </c>
      <c r="G92" s="163" t="s">
        <v>927</v>
      </c>
      <c r="I92" s="196" t="b">
        <f>IF(Verso!$B$30=Désavantages!$A92,TRUE,FALSE)</f>
        <v>0</v>
      </c>
      <c r="J92" s="196" t="b">
        <f>IF(Verso!$B$31=Désavantages!$A92,TRUE,FALSE)</f>
        <v>0</v>
      </c>
      <c r="K92" s="196" t="b">
        <f>IF(Verso!$B$32=Désavantages!$A92,TRUE,FALSE)</f>
        <v>0</v>
      </c>
      <c r="L92" s="196" t="b">
        <f>IF(Verso!$B$33=Désavantages!$A92,TRUE,FALSE)</f>
        <v>0</v>
      </c>
      <c r="M92" s="196" t="b">
        <f>IF(Verso!$B$34=Désavantages!$A92,TRUE,FALSE)</f>
        <v>0</v>
      </c>
      <c r="N92" s="196" t="b">
        <f t="shared" si="8"/>
        <v>0</v>
      </c>
      <c r="Q92" s="196">
        <f t="shared" si="5"/>
        <v>92</v>
      </c>
      <c r="R92" s="196">
        <f t="shared" si="6"/>
        <v>107</v>
      </c>
      <c r="S92" s="578" t="str">
        <f t="shared" si="7"/>
        <v>Mauvaise Fortune: Malédiction de Moto</v>
      </c>
    </row>
    <row r="93" spans="1:19" x14ac:dyDescent="0.25">
      <c r="A93" s="186" t="s">
        <v>918</v>
      </c>
      <c r="B93" s="186" t="str">
        <f>IF(Contexte_jeu="La Dynastie Togashi","","Maudit par les Royaumes Spirituels: Maigo no Musha")</f>
        <v>Maudit par les Royaumes Spirituels: Maigo no Musha</v>
      </c>
      <c r="C93" s="4" t="s">
        <v>629</v>
      </c>
      <c r="D93" s="183">
        <f>IF(Recto!W3="S",-5,-4)</f>
        <v>-4</v>
      </c>
      <c r="E93" s="4" t="s">
        <v>3</v>
      </c>
      <c r="F93" s="17">
        <v>159</v>
      </c>
      <c r="G93" s="163" t="s">
        <v>928</v>
      </c>
      <c r="I93" s="196" t="b">
        <f>IF(Verso!$B$30=Désavantages!$A93,TRUE,FALSE)</f>
        <v>0</v>
      </c>
      <c r="J93" s="196" t="b">
        <f>IF(Verso!$B$31=Désavantages!$A93,TRUE,FALSE)</f>
        <v>0</v>
      </c>
      <c r="K93" s="196" t="b">
        <f>IF(Verso!$B$32=Désavantages!$A93,TRUE,FALSE)</f>
        <v>0</v>
      </c>
      <c r="L93" s="196" t="b">
        <f>IF(Verso!$B$33=Désavantages!$A93,TRUE,FALSE)</f>
        <v>0</v>
      </c>
      <c r="M93" s="196" t="b">
        <f>IF(Verso!$B$34=Désavantages!$A93,TRUE,FALSE)</f>
        <v>0</v>
      </c>
      <c r="N93" s="196" t="b">
        <f t="shared" si="8"/>
        <v>0</v>
      </c>
      <c r="Q93" s="196">
        <f t="shared" si="5"/>
        <v>93</v>
      </c>
      <c r="R93" s="196">
        <f t="shared" si="6"/>
        <v>108</v>
      </c>
      <c r="S93" s="578" t="str">
        <f t="shared" si="7"/>
        <v>Mauvaise Fortune: Malédiction de Yogo</v>
      </c>
    </row>
    <row r="94" spans="1:19" x14ac:dyDescent="0.25">
      <c r="A94" s="186" t="s">
        <v>919</v>
      </c>
      <c r="B94" s="186" t="s">
        <v>919</v>
      </c>
      <c r="C94" s="4" t="s">
        <v>629</v>
      </c>
      <c r="D94" s="183">
        <f>IF(Recto!W3="S",-5,-4)</f>
        <v>-4</v>
      </c>
      <c r="E94" s="4" t="s">
        <v>3</v>
      </c>
      <c r="F94" s="17">
        <v>159</v>
      </c>
      <c r="G94" s="163" t="s">
        <v>929</v>
      </c>
      <c r="I94" s="196" t="b">
        <f>IF(Verso!$B$30=Désavantages!$A94,TRUE,FALSE)</f>
        <v>0</v>
      </c>
      <c r="J94" s="196" t="b">
        <f>IF(Verso!$B$31=Désavantages!$A94,TRUE,FALSE)</f>
        <v>0</v>
      </c>
      <c r="K94" s="196" t="b">
        <f>IF(Verso!$B$32=Désavantages!$A94,TRUE,FALSE)</f>
        <v>0</v>
      </c>
      <c r="L94" s="196" t="b">
        <f>IF(Verso!$B$33=Désavantages!$A94,TRUE,FALSE)</f>
        <v>0</v>
      </c>
      <c r="M94" s="196" t="b">
        <f>IF(Verso!$B$34=Désavantages!$A94,TRUE,FALSE)</f>
        <v>0</v>
      </c>
      <c r="N94" s="196" t="b">
        <f t="shared" si="8"/>
        <v>0</v>
      </c>
      <c r="Q94" s="196">
        <f t="shared" si="5"/>
        <v>94</v>
      </c>
      <c r="R94" s="196">
        <f t="shared" si="6"/>
        <v>109</v>
      </c>
      <c r="S94" s="578" t="str">
        <f t="shared" si="7"/>
        <v>Mauvaise Fortune: Mauvais Oeuil</v>
      </c>
    </row>
    <row r="95" spans="1:19" x14ac:dyDescent="0.25">
      <c r="A95" s="186" t="s">
        <v>920</v>
      </c>
      <c r="B95" s="186" t="s">
        <v>920</v>
      </c>
      <c r="C95" s="4" t="s">
        <v>629</v>
      </c>
      <c r="D95" s="183">
        <f>IF(Recto!W3="S",-5,-4)</f>
        <v>-4</v>
      </c>
      <c r="E95" s="4" t="s">
        <v>3</v>
      </c>
      <c r="F95" s="17">
        <v>159</v>
      </c>
      <c r="G95" s="163" t="s">
        <v>930</v>
      </c>
      <c r="I95" s="196" t="b">
        <f>IF(Verso!$B$30=Désavantages!$A95,TRUE,FALSE)</f>
        <v>0</v>
      </c>
      <c r="J95" s="196" t="b">
        <f>IF(Verso!$B$31=Désavantages!$A95,TRUE,FALSE)</f>
        <v>0</v>
      </c>
      <c r="K95" s="196" t="b">
        <f>IF(Verso!$B$32=Désavantages!$A95,TRUE,FALSE)</f>
        <v>0</v>
      </c>
      <c r="L95" s="196" t="b">
        <f>IF(Verso!$B$33=Désavantages!$A95,TRUE,FALSE)</f>
        <v>0</v>
      </c>
      <c r="M95" s="196" t="b">
        <f>IF(Verso!$B$34=Désavantages!$A95,TRUE,FALSE)</f>
        <v>0</v>
      </c>
      <c r="N95" s="196" t="b">
        <f t="shared" si="8"/>
        <v>0</v>
      </c>
      <c r="Q95" s="196">
        <f t="shared" si="5"/>
        <v>95</v>
      </c>
      <c r="R95" s="196">
        <f t="shared" si="6"/>
        <v>110</v>
      </c>
      <c r="S95" s="578" t="str">
        <f t="shared" si="7"/>
        <v>Mauvaise Vue</v>
      </c>
    </row>
    <row r="96" spans="1:19" x14ac:dyDescent="0.25">
      <c r="A96" s="186" t="s">
        <v>921</v>
      </c>
      <c r="B96" s="186" t="s">
        <v>921</v>
      </c>
      <c r="C96" s="4" t="s">
        <v>629</v>
      </c>
      <c r="D96" s="183">
        <f>IF(Recto!W3="S",-5,-4)</f>
        <v>-4</v>
      </c>
      <c r="E96" s="4" t="s">
        <v>3</v>
      </c>
      <c r="F96" s="17">
        <v>159</v>
      </c>
      <c r="G96" s="163" t="s">
        <v>931</v>
      </c>
      <c r="I96" s="196" t="b">
        <f>IF(Verso!$B$30=Désavantages!$A96,TRUE,FALSE)</f>
        <v>0</v>
      </c>
      <c r="J96" s="196" t="b">
        <f>IF(Verso!$B$31=Désavantages!$A96,TRUE,FALSE)</f>
        <v>0</v>
      </c>
      <c r="K96" s="196" t="b">
        <f>IF(Verso!$B$32=Désavantages!$A96,TRUE,FALSE)</f>
        <v>0</v>
      </c>
      <c r="L96" s="196" t="b">
        <f>IF(Verso!$B$33=Désavantages!$A96,TRUE,FALSE)</f>
        <v>0</v>
      </c>
      <c r="M96" s="196" t="b">
        <f>IF(Verso!$B$34=Désavantages!$A96,TRUE,FALSE)</f>
        <v>0</v>
      </c>
      <c r="N96" s="196" t="b">
        <f t="shared" si="8"/>
        <v>0</v>
      </c>
      <c r="Q96" s="196">
        <f t="shared" si="5"/>
        <v>96</v>
      </c>
      <c r="R96" s="196">
        <f t="shared" si="6"/>
        <v>111</v>
      </c>
      <c r="S96" s="578" t="str">
        <f t="shared" si="7"/>
        <v>Mêle-tout</v>
      </c>
    </row>
    <row r="97" spans="1:19" x14ac:dyDescent="0.25">
      <c r="A97" s="186" t="s">
        <v>922</v>
      </c>
      <c r="B97" s="186" t="s">
        <v>922</v>
      </c>
      <c r="C97" s="4" t="s">
        <v>629</v>
      </c>
      <c r="D97" s="183">
        <f>IF(Recto!W3="S",-5,-4)</f>
        <v>-4</v>
      </c>
      <c r="E97" s="4" t="s">
        <v>3</v>
      </c>
      <c r="F97" s="17">
        <v>159</v>
      </c>
      <c r="G97" s="163" t="s">
        <v>932</v>
      </c>
      <c r="I97" s="196" t="b">
        <f>IF(Verso!$B$30=Désavantages!$A97,TRUE,FALSE)</f>
        <v>0</v>
      </c>
      <c r="J97" s="196" t="b">
        <f>IF(Verso!$B$31=Désavantages!$A97,TRUE,FALSE)</f>
        <v>0</v>
      </c>
      <c r="K97" s="196" t="b">
        <f>IF(Verso!$B$32=Désavantages!$A97,TRUE,FALSE)</f>
        <v>0</v>
      </c>
      <c r="L97" s="196" t="b">
        <f>IF(Verso!$B$33=Désavantages!$A97,TRUE,FALSE)</f>
        <v>0</v>
      </c>
      <c r="M97" s="196" t="b">
        <f>IF(Verso!$B$34=Désavantages!$A97,TRUE,FALSE)</f>
        <v>0</v>
      </c>
      <c r="N97" s="196" t="b">
        <f t="shared" si="8"/>
        <v>0</v>
      </c>
      <c r="Q97" s="196">
        <f t="shared" si="5"/>
        <v>97</v>
      </c>
      <c r="R97" s="196">
        <f t="shared" si="6"/>
        <v>112</v>
      </c>
      <c r="S97" s="578" t="str">
        <f t="shared" si="7"/>
        <v>Membre d'une Cour Déshonorée</v>
      </c>
    </row>
    <row r="98" spans="1:19" x14ac:dyDescent="0.25">
      <c r="A98" s="186" t="s">
        <v>7761</v>
      </c>
      <c r="B98" s="186" t="str">
        <f>IF(Contexte_jeu&lt;&gt;"La Dynastie Togashi","","Maudit par les Royaumes Spirituels: Uragiri-Do")</f>
        <v/>
      </c>
      <c r="C98" s="4" t="s">
        <v>629</v>
      </c>
      <c r="D98" s="183">
        <v>-4</v>
      </c>
      <c r="E98" s="4" t="s">
        <v>7759</v>
      </c>
      <c r="F98" s="17">
        <v>15</v>
      </c>
      <c r="G98" s="163" t="s">
        <v>7762</v>
      </c>
      <c r="I98" s="196" t="b">
        <f>IF(Verso!$B$30=Désavantages!$A98,TRUE,FALSE)</f>
        <v>0</v>
      </c>
      <c r="J98" s="196" t="b">
        <f>IF(Verso!$B$31=Désavantages!$A98,TRUE,FALSE)</f>
        <v>0</v>
      </c>
      <c r="K98" s="196" t="b">
        <f>IF(Verso!$B$32=Désavantages!$A98,TRUE,FALSE)</f>
        <v>0</v>
      </c>
      <c r="L98" s="196" t="b">
        <f>IF(Verso!$B$33=Désavantages!$A98,TRUE,FALSE)</f>
        <v>0</v>
      </c>
      <c r="M98" s="196" t="b">
        <f>IF(Verso!$B$34=Désavantages!$A98,TRUE,FALSE)</f>
        <v>0</v>
      </c>
      <c r="N98" s="196" t="b">
        <f>IF(OR(I98=TRUE,J98=TRUE,K98=TRUE,L98=TRUE,M98=TRUE),TRUE,FALSE)</f>
        <v>0</v>
      </c>
      <c r="Q98" s="196" t="str">
        <f t="shared" si="5"/>
        <v/>
      </c>
      <c r="R98" s="196">
        <f t="shared" si="6"/>
        <v>113</v>
      </c>
      <c r="S98" s="578" t="str">
        <f t="shared" si="7"/>
        <v>Momoku</v>
      </c>
    </row>
    <row r="99" spans="1:19" x14ac:dyDescent="0.25">
      <c r="A99" s="186" t="s">
        <v>923</v>
      </c>
      <c r="B99" s="186" t="s">
        <v>923</v>
      </c>
      <c r="C99" s="4" t="s">
        <v>629</v>
      </c>
      <c r="D99" s="183">
        <f>IF(Recto!W3="S",-5,-4)</f>
        <v>-4</v>
      </c>
      <c r="E99" s="4" t="s">
        <v>3</v>
      </c>
      <c r="F99" s="17">
        <v>159</v>
      </c>
      <c r="G99" s="163" t="s">
        <v>8255</v>
      </c>
      <c r="I99" s="196" t="b">
        <f>IF(Verso!$B$30=Désavantages!$A99,TRUE,FALSE)</f>
        <v>0</v>
      </c>
      <c r="J99" s="196" t="b">
        <f>IF(Verso!$B$31=Désavantages!$A99,TRUE,FALSE)</f>
        <v>0</v>
      </c>
      <c r="K99" s="196" t="b">
        <f>IF(Verso!$B$32=Désavantages!$A99,TRUE,FALSE)</f>
        <v>0</v>
      </c>
      <c r="L99" s="196" t="b">
        <f>IF(Verso!$B$33=Désavantages!$A99,TRUE,FALSE)</f>
        <v>0</v>
      </c>
      <c r="M99" s="196" t="b">
        <f>IF(Verso!$B$34=Désavantages!$A99,TRUE,FALSE)</f>
        <v>0</v>
      </c>
      <c r="N99" s="196" t="b">
        <f t="shared" si="8"/>
        <v>0</v>
      </c>
      <c r="Q99" s="196">
        <f t="shared" si="5"/>
        <v>99</v>
      </c>
      <c r="R99" s="196">
        <f t="shared" si="6"/>
        <v>120</v>
      </c>
      <c r="S99" s="578" t="str">
        <f t="shared" si="7"/>
        <v>Nihiliste</v>
      </c>
    </row>
    <row r="100" spans="1:19" x14ac:dyDescent="0.25">
      <c r="A100" s="186" t="s">
        <v>924</v>
      </c>
      <c r="B100" s="186" t="s">
        <v>924</v>
      </c>
      <c r="C100" s="4" t="s">
        <v>629</v>
      </c>
      <c r="D100" s="183">
        <f>IF(Recto!W3="S",-5,-4)</f>
        <v>-4</v>
      </c>
      <c r="E100" s="4" t="s">
        <v>3</v>
      </c>
      <c r="F100" s="17">
        <v>159</v>
      </c>
      <c r="G100" s="163" t="s">
        <v>933</v>
      </c>
      <c r="I100" s="196" t="b">
        <f>IF(Verso!$B$30=Désavantages!$A100,TRUE,FALSE)</f>
        <v>0</v>
      </c>
      <c r="J100" s="196" t="b">
        <f>IF(Verso!$B$31=Désavantages!$A100,TRUE,FALSE)</f>
        <v>0</v>
      </c>
      <c r="K100" s="196" t="b">
        <f>IF(Verso!$B$32=Désavantages!$A100,TRUE,FALSE)</f>
        <v>0</v>
      </c>
      <c r="L100" s="196" t="b">
        <f>IF(Verso!$B$33=Désavantages!$A100,TRUE,FALSE)</f>
        <v>0</v>
      </c>
      <c r="M100" s="196" t="b">
        <f>IF(Verso!$B$34=Désavantages!$A100,TRUE,FALSE)</f>
        <v>0</v>
      </c>
      <c r="N100" s="196" t="b">
        <f t="shared" si="8"/>
        <v>0</v>
      </c>
      <c r="Q100" s="196">
        <f t="shared" si="5"/>
        <v>100</v>
      </c>
      <c r="R100" s="196">
        <f t="shared" si="6"/>
        <v>121</v>
      </c>
      <c r="S100" s="578" t="str">
        <f t="shared" si="7"/>
        <v>Nom Gaijin</v>
      </c>
    </row>
    <row r="101" spans="1:19" x14ac:dyDescent="0.25">
      <c r="A101" s="186" t="s">
        <v>8340</v>
      </c>
      <c r="B101" s="186" t="s">
        <v>8340</v>
      </c>
      <c r="C101" s="4" t="s">
        <v>629</v>
      </c>
      <c r="D101" s="183">
        <v>-3</v>
      </c>
      <c r="E101" s="4" t="s">
        <v>118</v>
      </c>
      <c r="F101" s="17">
        <v>151</v>
      </c>
      <c r="G101" s="163" t="s">
        <v>8341</v>
      </c>
      <c r="Q101" s="196">
        <f t="shared" si="5"/>
        <v>101</v>
      </c>
      <c r="R101" s="196">
        <f t="shared" si="6"/>
        <v>122</v>
      </c>
      <c r="S101" s="578" t="str">
        <f t="shared" si="7"/>
        <v>Obligation Majeure</v>
      </c>
    </row>
    <row r="102" spans="1:19" x14ac:dyDescent="0.25">
      <c r="A102" s="186" t="s">
        <v>934</v>
      </c>
      <c r="B102" s="186" t="s">
        <v>934</v>
      </c>
      <c r="C102" s="4" t="s">
        <v>629</v>
      </c>
      <c r="D102" s="183">
        <v>-3</v>
      </c>
      <c r="E102" s="4" t="s">
        <v>3</v>
      </c>
      <c r="F102" s="17">
        <v>160</v>
      </c>
      <c r="G102" s="163" t="s">
        <v>935</v>
      </c>
      <c r="I102" s="196" t="b">
        <f>IF(Verso!$B$30=Désavantages!$A102,TRUE,FALSE)</f>
        <v>0</v>
      </c>
      <c r="J102" s="196" t="b">
        <f>IF(Verso!$B$31=Désavantages!$A102,TRUE,FALSE)</f>
        <v>0</v>
      </c>
      <c r="K102" s="196" t="b">
        <f>IF(Verso!$B$32=Désavantages!$A102,TRUE,FALSE)</f>
        <v>0</v>
      </c>
      <c r="L102" s="196" t="b">
        <f>IF(Verso!$B$33=Désavantages!$A102,TRUE,FALSE)</f>
        <v>0</v>
      </c>
      <c r="M102" s="196" t="b">
        <f>IF(Verso!$B$34=Désavantages!$A102,TRUE,FALSE)</f>
        <v>0</v>
      </c>
      <c r="N102" s="196" t="b">
        <f t="shared" si="8"/>
        <v>0</v>
      </c>
      <c r="Q102" s="196">
        <f t="shared" si="5"/>
        <v>102</v>
      </c>
      <c r="R102" s="196">
        <f t="shared" si="6"/>
        <v>123</v>
      </c>
      <c r="S102" s="578" t="str">
        <f t="shared" si="7"/>
        <v>Obligation Mineure</v>
      </c>
    </row>
    <row r="103" spans="1:19" x14ac:dyDescent="0.25">
      <c r="A103" s="186" t="s">
        <v>936</v>
      </c>
      <c r="B103" s="186" t="s">
        <v>936</v>
      </c>
      <c r="C103" s="4" t="s">
        <v>629</v>
      </c>
      <c r="D103" s="183">
        <v>-3</v>
      </c>
      <c r="E103" s="4" t="s">
        <v>3</v>
      </c>
      <c r="F103" s="17">
        <v>160</v>
      </c>
      <c r="G103" s="270" t="s">
        <v>937</v>
      </c>
      <c r="I103" s="196" t="b">
        <f>IF(Verso!$B$30=Désavantages!$A103,TRUE,FALSE)</f>
        <v>0</v>
      </c>
      <c r="J103" s="196" t="b">
        <f>IF(Verso!$B$31=Désavantages!$A103,TRUE,FALSE)</f>
        <v>0</v>
      </c>
      <c r="K103" s="196" t="b">
        <f>IF(Verso!$B$32=Désavantages!$A103,TRUE,FALSE)</f>
        <v>0</v>
      </c>
      <c r="L103" s="196" t="b">
        <f>IF(Verso!$B$33=Désavantages!$A103,TRUE,FALSE)</f>
        <v>0</v>
      </c>
      <c r="M103" s="196" t="b">
        <f>IF(Verso!$B$34=Désavantages!$A103,TRUE,FALSE)</f>
        <v>0</v>
      </c>
      <c r="N103" s="196" t="b">
        <f t="shared" si="8"/>
        <v>0</v>
      </c>
      <c r="Q103" s="196">
        <f t="shared" si="5"/>
        <v>103</v>
      </c>
      <c r="R103" s="196">
        <f t="shared" si="6"/>
        <v>124</v>
      </c>
      <c r="S103" s="578" t="str">
        <f t="shared" si="7"/>
        <v>Obtus</v>
      </c>
    </row>
    <row r="104" spans="1:19" x14ac:dyDescent="0.25">
      <c r="A104" s="186" t="s">
        <v>938</v>
      </c>
      <c r="B104" s="186" t="s">
        <v>938</v>
      </c>
      <c r="C104" s="4" t="s">
        <v>629</v>
      </c>
      <c r="D104" s="183">
        <v>-3</v>
      </c>
      <c r="E104" s="4" t="s">
        <v>3</v>
      </c>
      <c r="F104" s="17">
        <v>160</v>
      </c>
      <c r="G104" s="163" t="s">
        <v>939</v>
      </c>
      <c r="I104" s="196" t="b">
        <f>IF(Verso!$B$30=Désavantages!$A104,TRUE,FALSE)</f>
        <v>0</v>
      </c>
      <c r="J104" s="196" t="b">
        <f>IF(Verso!$B$31=Désavantages!$A104,TRUE,FALSE)</f>
        <v>0</v>
      </c>
      <c r="K104" s="196" t="b">
        <f>IF(Verso!$B$32=Désavantages!$A104,TRUE,FALSE)</f>
        <v>0</v>
      </c>
      <c r="L104" s="196" t="b">
        <f>IF(Verso!$B$33=Désavantages!$A104,TRUE,FALSE)</f>
        <v>0</v>
      </c>
      <c r="M104" s="196" t="b">
        <f>IF(Verso!$B$34=Désavantages!$A104,TRUE,FALSE)</f>
        <v>0</v>
      </c>
      <c r="N104" s="196" t="b">
        <f t="shared" si="8"/>
        <v>0</v>
      </c>
      <c r="Q104" s="196">
        <f t="shared" si="5"/>
        <v>104</v>
      </c>
      <c r="R104" s="196">
        <f t="shared" si="6"/>
        <v>125</v>
      </c>
      <c r="S104" s="578" t="str">
        <f t="shared" si="7"/>
        <v>Omnubilé</v>
      </c>
    </row>
    <row r="105" spans="1:19" x14ac:dyDescent="0.25">
      <c r="A105" s="186" t="s">
        <v>940</v>
      </c>
      <c r="B105" s="186" t="s">
        <v>940</v>
      </c>
      <c r="C105" s="4" t="s">
        <v>629</v>
      </c>
      <c r="D105" s="183">
        <v>-3</v>
      </c>
      <c r="E105" s="4" t="s">
        <v>3</v>
      </c>
      <c r="F105" s="17">
        <v>160</v>
      </c>
      <c r="G105" s="163" t="s">
        <v>941</v>
      </c>
      <c r="I105" s="196" t="b">
        <f>IF(Verso!$B$30=Désavantages!$A105,TRUE,FALSE)</f>
        <v>0</v>
      </c>
      <c r="J105" s="196" t="b">
        <f>IF(Verso!$B$31=Désavantages!$A105,TRUE,FALSE)</f>
        <v>0</v>
      </c>
      <c r="K105" s="196" t="b">
        <f>IF(Verso!$B$32=Désavantages!$A105,TRUE,FALSE)</f>
        <v>0</v>
      </c>
      <c r="L105" s="196" t="b">
        <f>IF(Verso!$B$33=Désavantages!$A105,TRUE,FALSE)</f>
        <v>0</v>
      </c>
      <c r="M105" s="196" t="b">
        <f>IF(Verso!$B$34=Désavantages!$A105,TRUE,FALSE)</f>
        <v>0</v>
      </c>
      <c r="N105" s="196" t="b">
        <f t="shared" si="8"/>
        <v>0</v>
      </c>
      <c r="Q105" s="196">
        <f t="shared" si="5"/>
        <v>105</v>
      </c>
      <c r="R105" s="196">
        <f t="shared" si="6"/>
        <v>126</v>
      </c>
      <c r="S105" s="578" t="str">
        <f t="shared" si="7"/>
        <v>Otage</v>
      </c>
    </row>
    <row r="106" spans="1:19" x14ac:dyDescent="0.25">
      <c r="A106" s="186" t="s">
        <v>942</v>
      </c>
      <c r="B106" s="186" t="s">
        <v>942</v>
      </c>
      <c r="C106" s="4" t="s">
        <v>629</v>
      </c>
      <c r="D106" s="183">
        <v>-3</v>
      </c>
      <c r="E106" s="4" t="s">
        <v>3</v>
      </c>
      <c r="F106" s="17">
        <v>160</v>
      </c>
      <c r="G106" s="163" t="s">
        <v>943</v>
      </c>
      <c r="I106" s="196" t="b">
        <f>IF(Verso!$B$30=Désavantages!$A106,TRUE,FALSE)</f>
        <v>0</v>
      </c>
      <c r="J106" s="196" t="b">
        <f>IF(Verso!$B$31=Désavantages!$A106,TRUE,FALSE)</f>
        <v>0</v>
      </c>
      <c r="K106" s="196" t="b">
        <f>IF(Verso!$B$32=Désavantages!$A106,TRUE,FALSE)</f>
        <v>0</v>
      </c>
      <c r="L106" s="196" t="b">
        <f>IF(Verso!$B$33=Désavantages!$A106,TRUE,FALSE)</f>
        <v>0</v>
      </c>
      <c r="M106" s="196" t="b">
        <f>IF(Verso!$B$34=Désavantages!$A106,TRUE,FALSE)</f>
        <v>0</v>
      </c>
      <c r="N106" s="196" t="b">
        <f t="shared" si="8"/>
        <v>0</v>
      </c>
      <c r="Q106" s="196">
        <f t="shared" si="5"/>
        <v>106</v>
      </c>
      <c r="R106" s="196">
        <f t="shared" si="6"/>
        <v>127</v>
      </c>
      <c r="S106" s="578" t="str">
        <f t="shared" si="7"/>
        <v>Oublié du Bushido: Compassion</v>
      </c>
    </row>
    <row r="107" spans="1:19" x14ac:dyDescent="0.25">
      <c r="A107" s="186" t="s">
        <v>5792</v>
      </c>
      <c r="B107" s="186" t="s">
        <v>5792</v>
      </c>
      <c r="C107" s="4" t="s">
        <v>629</v>
      </c>
      <c r="D107" s="183">
        <v>-4</v>
      </c>
      <c r="E107" s="4" t="s">
        <v>3</v>
      </c>
      <c r="F107" s="17">
        <v>160</v>
      </c>
      <c r="G107" s="163" t="s">
        <v>946</v>
      </c>
      <c r="H107" s="196" t="s">
        <v>179</v>
      </c>
      <c r="I107" s="196" t="b">
        <f>IF(Verso!$B$30=Désavantages!$A107,TRUE,FALSE)</f>
        <v>0</v>
      </c>
      <c r="J107" s="196" t="b">
        <f>IF(Verso!$B$31=Désavantages!$A107,TRUE,FALSE)</f>
        <v>0</v>
      </c>
      <c r="K107" s="196" t="b">
        <f>IF(Verso!$B$32=Désavantages!$A107,TRUE,FALSE)</f>
        <v>0</v>
      </c>
      <c r="L107" s="196" t="b">
        <f>IF(Verso!$B$33=Désavantages!$A107,TRUE,FALSE)</f>
        <v>0</v>
      </c>
      <c r="M107" s="196" t="b">
        <f>IF(Verso!$B$34=Désavantages!$A107,TRUE,FALSE)</f>
        <v>0</v>
      </c>
      <c r="N107" s="196" t="b">
        <f t="shared" si="8"/>
        <v>0</v>
      </c>
      <c r="Q107" s="196">
        <f t="shared" si="5"/>
        <v>107</v>
      </c>
      <c r="R107" s="196">
        <f t="shared" si="6"/>
        <v>128</v>
      </c>
      <c r="S107" s="578" t="str">
        <f t="shared" si="7"/>
        <v>Oublié du Bushido: Courage</v>
      </c>
    </row>
    <row r="108" spans="1:19" x14ac:dyDescent="0.25">
      <c r="A108" s="186" t="s">
        <v>5793</v>
      </c>
      <c r="B108" s="186" t="s">
        <v>5793</v>
      </c>
      <c r="C108" s="4" t="s">
        <v>629</v>
      </c>
      <c r="D108" s="183">
        <v>-4</v>
      </c>
      <c r="E108" s="4" t="s">
        <v>3</v>
      </c>
      <c r="F108" s="17">
        <v>160</v>
      </c>
      <c r="G108" s="163" t="s">
        <v>947</v>
      </c>
      <c r="H108" s="196" t="s">
        <v>33</v>
      </c>
      <c r="I108" s="196" t="b">
        <f>IF(Verso!$B$30=Désavantages!$A108,TRUE,FALSE)</f>
        <v>0</v>
      </c>
      <c r="J108" s="196" t="b">
        <f>IF(Verso!$B$31=Désavantages!$A108,TRUE,FALSE)</f>
        <v>0</v>
      </c>
      <c r="K108" s="196" t="b">
        <f>IF(Verso!$B$32=Désavantages!$A108,TRUE,FALSE)</f>
        <v>0</v>
      </c>
      <c r="L108" s="196" t="b">
        <f>IF(Verso!$B$33=Désavantages!$A108,TRUE,FALSE)</f>
        <v>0</v>
      </c>
      <c r="M108" s="196" t="b">
        <f>IF(Verso!$B$34=Désavantages!$A108,TRUE,FALSE)</f>
        <v>0</v>
      </c>
      <c r="N108" s="196" t="b">
        <f t="shared" si="8"/>
        <v>0</v>
      </c>
      <c r="Q108" s="196">
        <f t="shared" si="5"/>
        <v>108</v>
      </c>
      <c r="R108" s="196">
        <f t="shared" si="6"/>
        <v>129</v>
      </c>
      <c r="S108" s="578" t="str">
        <f t="shared" si="7"/>
        <v>Oublié du Bushido: Courtoisie</v>
      </c>
    </row>
    <row r="109" spans="1:19" x14ac:dyDescent="0.25">
      <c r="A109" s="186" t="s">
        <v>948</v>
      </c>
      <c r="B109" s="186" t="s">
        <v>948</v>
      </c>
      <c r="C109" s="4" t="s">
        <v>629</v>
      </c>
      <c r="D109" s="183">
        <v>-3</v>
      </c>
      <c r="E109" s="4" t="s">
        <v>3</v>
      </c>
      <c r="F109" s="17">
        <v>160</v>
      </c>
      <c r="G109" s="163" t="s">
        <v>949</v>
      </c>
      <c r="I109" s="196" t="b">
        <f>IF(Verso!$B$30=Désavantages!$A109,TRUE,FALSE)</f>
        <v>0</v>
      </c>
      <c r="J109" s="196" t="b">
        <f>IF(Verso!$B$31=Désavantages!$A109,TRUE,FALSE)</f>
        <v>0</v>
      </c>
      <c r="K109" s="196" t="b">
        <f>IF(Verso!$B$32=Désavantages!$A109,TRUE,FALSE)</f>
        <v>0</v>
      </c>
      <c r="L109" s="196" t="b">
        <f>IF(Verso!$B$33=Désavantages!$A109,TRUE,FALSE)</f>
        <v>0</v>
      </c>
      <c r="M109" s="196" t="b">
        <f>IF(Verso!$B$34=Désavantages!$A109,TRUE,FALSE)</f>
        <v>0</v>
      </c>
      <c r="N109" s="196" t="b">
        <f t="shared" si="8"/>
        <v>0</v>
      </c>
      <c r="Q109" s="196">
        <f t="shared" si="5"/>
        <v>109</v>
      </c>
      <c r="R109" s="196">
        <f t="shared" si="6"/>
        <v>130</v>
      </c>
      <c r="S109" s="578" t="str">
        <f t="shared" si="7"/>
        <v>Oublié du Bushido: Devoir</v>
      </c>
    </row>
    <row r="110" spans="1:19" x14ac:dyDescent="0.25">
      <c r="A110" s="186" t="s">
        <v>822</v>
      </c>
      <c r="B110" s="186" t="s">
        <v>822</v>
      </c>
      <c r="C110" s="4" t="s">
        <v>628</v>
      </c>
      <c r="D110" s="183">
        <v>-3</v>
      </c>
      <c r="E110" s="4" t="s">
        <v>3</v>
      </c>
      <c r="F110" s="17">
        <v>160</v>
      </c>
      <c r="G110" s="163" t="s">
        <v>840</v>
      </c>
      <c r="I110" s="196" t="b">
        <f>IF(Verso!$B$30=Désavantages!$A110,TRUE,FALSE)</f>
        <v>0</v>
      </c>
      <c r="J110" s="196" t="b">
        <f>IF(Verso!$B$31=Désavantages!$A110,TRUE,FALSE)</f>
        <v>0</v>
      </c>
      <c r="K110" s="196" t="b">
        <f>IF(Verso!$B$32=Désavantages!$A110,TRUE,FALSE)</f>
        <v>0</v>
      </c>
      <c r="L110" s="196" t="b">
        <f>IF(Verso!$B$33=Désavantages!$A110,TRUE,FALSE)</f>
        <v>0</v>
      </c>
      <c r="M110" s="196" t="b">
        <f>IF(Verso!$B$34=Désavantages!$A110,TRUE,FALSE)</f>
        <v>0</v>
      </c>
      <c r="N110" s="196" t="b">
        <f t="shared" si="8"/>
        <v>0</v>
      </c>
      <c r="Q110" s="196">
        <f t="shared" si="5"/>
        <v>110</v>
      </c>
      <c r="R110" s="196">
        <f t="shared" si="6"/>
        <v>131</v>
      </c>
      <c r="S110" s="578" t="str">
        <f t="shared" si="7"/>
        <v>Oublié du Bushido: Honnêteté</v>
      </c>
    </row>
    <row r="111" spans="1:19" x14ac:dyDescent="0.25">
      <c r="A111" s="186" t="s">
        <v>7589</v>
      </c>
      <c r="B111" s="186" t="s">
        <v>7589</v>
      </c>
      <c r="C111" s="4" t="s">
        <v>67</v>
      </c>
      <c r="D111" s="183">
        <v>-3</v>
      </c>
      <c r="E111" s="4" t="s">
        <v>7453</v>
      </c>
      <c r="F111" s="17">
        <v>94</v>
      </c>
      <c r="G111" s="163" t="s">
        <v>7590</v>
      </c>
      <c r="I111" s="196" t="b">
        <f>IF(Verso!$B$30=Désavantages!$A111,TRUE,FALSE)</f>
        <v>0</v>
      </c>
      <c r="J111" s="196" t="b">
        <f>IF(Verso!$B$31=Désavantages!$A111,TRUE,FALSE)</f>
        <v>0</v>
      </c>
      <c r="K111" s="196" t="b">
        <f>IF(Verso!$B$32=Désavantages!$A111,TRUE,FALSE)</f>
        <v>0</v>
      </c>
      <c r="L111" s="196" t="b">
        <f>IF(Verso!$B$33=Désavantages!$A111,TRUE,FALSE)</f>
        <v>0</v>
      </c>
      <c r="M111" s="196" t="b">
        <f>IF(Verso!$B$34=Désavantages!$A111,TRUE,FALSE)</f>
        <v>0</v>
      </c>
      <c r="N111" s="196" t="b">
        <f t="shared" si="8"/>
        <v>0</v>
      </c>
      <c r="Q111" s="196">
        <f t="shared" si="5"/>
        <v>111</v>
      </c>
      <c r="R111" s="196">
        <f t="shared" si="6"/>
        <v>132</v>
      </c>
      <c r="S111" s="578" t="str">
        <f t="shared" si="7"/>
        <v>Oublié du Bushido: Honneur</v>
      </c>
    </row>
    <row r="112" spans="1:19" x14ac:dyDescent="0.25">
      <c r="A112" s="186" t="s">
        <v>900</v>
      </c>
      <c r="B112" s="186" t="s">
        <v>900</v>
      </c>
      <c r="C112" s="4" t="s">
        <v>67</v>
      </c>
      <c r="D112" s="183">
        <v>-3</v>
      </c>
      <c r="E112" s="4" t="s">
        <v>2076</v>
      </c>
      <c r="F112" s="17">
        <v>126</v>
      </c>
      <c r="G112" s="163" t="s">
        <v>1054</v>
      </c>
      <c r="I112" s="196" t="b">
        <f>IF(Verso!$B$30=Désavantages!$A112,TRUE,FALSE)</f>
        <v>0</v>
      </c>
      <c r="J112" s="196" t="b">
        <f>IF(Verso!$B$31=Désavantages!$A112,TRUE,FALSE)</f>
        <v>0</v>
      </c>
      <c r="K112" s="196" t="b">
        <f>IF(Verso!$B$32=Désavantages!$A112,TRUE,FALSE)</f>
        <v>0</v>
      </c>
      <c r="L112" s="196" t="b">
        <f>IF(Verso!$B$33=Désavantages!$A112,TRUE,FALSE)</f>
        <v>0</v>
      </c>
      <c r="M112" s="196" t="b">
        <f>IF(Verso!$B$34=Désavantages!$A112,TRUE,FALSE)</f>
        <v>0</v>
      </c>
      <c r="N112" s="196" t="b">
        <f t="shared" si="8"/>
        <v>0</v>
      </c>
      <c r="Q112" s="196">
        <f t="shared" si="5"/>
        <v>112</v>
      </c>
      <c r="R112" s="196">
        <f t="shared" si="6"/>
        <v>133</v>
      </c>
      <c r="S112" s="578" t="str">
        <f t="shared" si="7"/>
        <v>Oublié du Bushido: Sincérité</v>
      </c>
    </row>
    <row r="113" spans="1:19" x14ac:dyDescent="0.25">
      <c r="A113" s="186" t="s">
        <v>98</v>
      </c>
      <c r="B113" s="186" t="s">
        <v>98</v>
      </c>
      <c r="C113" s="4" t="s">
        <v>629</v>
      </c>
      <c r="D113" s="183">
        <v>-8</v>
      </c>
      <c r="E113" s="4" t="s">
        <v>3</v>
      </c>
      <c r="F113" s="17">
        <v>160</v>
      </c>
      <c r="G113" s="163" t="s">
        <v>136</v>
      </c>
      <c r="I113" s="196" t="b">
        <f>IF(Verso!$B$30=Désavantages!$A113,TRUE,FALSE)</f>
        <v>0</v>
      </c>
      <c r="J113" s="196" t="b">
        <f>IF(Verso!$B$31=Désavantages!$A113,TRUE,FALSE)</f>
        <v>0</v>
      </c>
      <c r="K113" s="196" t="b">
        <f>IF(Verso!$B$32=Désavantages!$A113,TRUE,FALSE)</f>
        <v>0</v>
      </c>
      <c r="L113" s="196" t="b">
        <f>IF(Verso!$B$33=Désavantages!$A113,TRUE,FALSE)</f>
        <v>0</v>
      </c>
      <c r="M113" s="196" t="b">
        <f>IF(Verso!$B$34=Désavantages!$A113,TRUE,FALSE)</f>
        <v>0</v>
      </c>
      <c r="N113" s="196" t="b">
        <f t="shared" si="8"/>
        <v>0</v>
      </c>
      <c r="Q113" s="196">
        <f t="shared" si="5"/>
        <v>113</v>
      </c>
      <c r="R113" s="196">
        <f t="shared" si="6"/>
        <v>134</v>
      </c>
      <c r="S113" s="578" t="str">
        <f t="shared" si="7"/>
        <v>Paranoïaque</v>
      </c>
    </row>
    <row r="114" spans="1:19" x14ac:dyDescent="0.25">
      <c r="A114" s="186" t="s">
        <v>1047</v>
      </c>
      <c r="B114" s="186" t="str">
        <f>IF(OR(Recto!$C$3=H114,Calculs!$J$8&gt;0),CONCATENATE(A114),"")</f>
        <v/>
      </c>
      <c r="C114" s="4" t="s">
        <v>628</v>
      </c>
      <c r="D114" s="183">
        <f>IF(OR(Clan="Abomination",Clan="Cobra"),-6,-5)</f>
        <v>-5</v>
      </c>
      <c r="E114" s="4" t="s">
        <v>2075</v>
      </c>
      <c r="F114" s="17">
        <v>82</v>
      </c>
      <c r="G114" s="163" t="s">
        <v>139</v>
      </c>
      <c r="H114" s="196" t="s">
        <v>53</v>
      </c>
      <c r="I114" s="196" t="b">
        <f>IF(Verso!$B$30=Désavantages!$A114,TRUE,FALSE)</f>
        <v>0</v>
      </c>
      <c r="J114" s="196" t="b">
        <f>IF(Verso!$B$31=Désavantages!$A114,TRUE,FALSE)</f>
        <v>0</v>
      </c>
      <c r="K114" s="196" t="b">
        <f>IF(Verso!$B$32=Désavantages!$A114,TRUE,FALSE)</f>
        <v>0</v>
      </c>
      <c r="L114" s="196" t="b">
        <f>IF(Verso!$B$33=Désavantages!$A114,TRUE,FALSE)</f>
        <v>0</v>
      </c>
      <c r="M114" s="196" t="b">
        <f>IF(Verso!$B$34=Désavantages!$A114,TRUE,FALSE)</f>
        <v>0</v>
      </c>
      <c r="N114" s="196" t="b">
        <f t="shared" si="8"/>
        <v>0</v>
      </c>
      <c r="Q114" s="196" t="str">
        <f t="shared" si="5"/>
        <v/>
      </c>
      <c r="R114" s="196">
        <f t="shared" si="6"/>
        <v>135</v>
      </c>
      <c r="S114" s="578" t="str">
        <f t="shared" si="7"/>
        <v>Petit</v>
      </c>
    </row>
    <row r="115" spans="1:19" x14ac:dyDescent="0.25">
      <c r="A115" s="186" t="s">
        <v>1045</v>
      </c>
      <c r="B115" s="186" t="str">
        <f>IF(OR(Recto!$C$3=H115,Calculs!$J$8&gt;0),CONCATENATE(A115),"")</f>
        <v/>
      </c>
      <c r="C115" s="4" t="s">
        <v>628</v>
      </c>
      <c r="D115" s="183">
        <f>IF(OR(Recto!D5="Abomination",Recto!D5="Cobra"),-6,-5)</f>
        <v>-5</v>
      </c>
      <c r="E115" s="4" t="s">
        <v>2075</v>
      </c>
      <c r="F115" s="17">
        <v>82</v>
      </c>
      <c r="G115" s="163" t="s">
        <v>139</v>
      </c>
      <c r="H115" s="196" t="s">
        <v>53</v>
      </c>
      <c r="I115" s="196" t="b">
        <f>IF(Verso!$B$30=Désavantages!$A115,TRUE,FALSE)</f>
        <v>0</v>
      </c>
      <c r="J115" s="196" t="b">
        <f>IF(Verso!$B$31=Désavantages!$A115,TRUE,FALSE)</f>
        <v>0</v>
      </c>
      <c r="K115" s="196" t="b">
        <f>IF(Verso!$B$32=Désavantages!$A115,TRUE,FALSE)</f>
        <v>0</v>
      </c>
      <c r="L115" s="196" t="b">
        <f>IF(Verso!$B$33=Désavantages!$A115,TRUE,FALSE)</f>
        <v>0</v>
      </c>
      <c r="M115" s="196" t="b">
        <f>IF(Verso!$B$34=Désavantages!$A115,TRUE,FALSE)</f>
        <v>0</v>
      </c>
      <c r="N115" s="196" t="b">
        <f t="shared" si="8"/>
        <v>0</v>
      </c>
      <c r="Q115" s="196" t="str">
        <f t="shared" si="5"/>
        <v/>
      </c>
      <c r="R115" s="196">
        <f t="shared" si="6"/>
        <v>136</v>
      </c>
      <c r="S115" s="578" t="str">
        <f t="shared" si="7"/>
        <v>Peu Assuré</v>
      </c>
    </row>
    <row r="116" spans="1:19" x14ac:dyDescent="0.25">
      <c r="A116" s="186" t="s">
        <v>1044</v>
      </c>
      <c r="B116" s="186" t="str">
        <f>IF(OR(Recto!$C$3=H116,Calculs!$J$8&gt;0),CONCATENATE(A116),"")</f>
        <v/>
      </c>
      <c r="C116" s="4" t="s">
        <v>628</v>
      </c>
      <c r="D116" s="183">
        <f>IF(OR(Recto!D6="Abomination",Recto!D6="Cobra"),-6,-5)</f>
        <v>-5</v>
      </c>
      <c r="E116" s="4" t="s">
        <v>2075</v>
      </c>
      <c r="F116" s="17">
        <v>82</v>
      </c>
      <c r="G116" s="163" t="s">
        <v>139</v>
      </c>
      <c r="H116" s="196" t="s">
        <v>53</v>
      </c>
      <c r="I116" s="196" t="b">
        <f>IF(Verso!$B$30=Désavantages!$A116,TRUE,FALSE)</f>
        <v>0</v>
      </c>
      <c r="J116" s="196" t="b">
        <f>IF(Verso!$B$31=Désavantages!$A116,TRUE,FALSE)</f>
        <v>0</v>
      </c>
      <c r="K116" s="196" t="b">
        <f>IF(Verso!$B$32=Désavantages!$A116,TRUE,FALSE)</f>
        <v>0</v>
      </c>
      <c r="L116" s="196" t="b">
        <f>IF(Verso!$B$33=Désavantages!$A116,TRUE,FALSE)</f>
        <v>0</v>
      </c>
      <c r="M116" s="196" t="b">
        <f>IF(Verso!$B$34=Désavantages!$A116,TRUE,FALSE)</f>
        <v>0</v>
      </c>
      <c r="N116" s="196" t="b">
        <f t="shared" si="8"/>
        <v>0</v>
      </c>
      <c r="Q116" s="196" t="str">
        <f t="shared" si="5"/>
        <v/>
      </c>
      <c r="R116" s="196">
        <f t="shared" si="6"/>
        <v>137</v>
      </c>
      <c r="S116" s="578" t="str">
        <f t="shared" si="7"/>
        <v>Phobie Majeure</v>
      </c>
    </row>
    <row r="117" spans="1:19" x14ac:dyDescent="0.25">
      <c r="A117" s="186" t="s">
        <v>1048</v>
      </c>
      <c r="B117" s="186" t="str">
        <f>IF(OR(Recto!$C$3=H117,Calculs!$J$8&gt;0),CONCATENATE(A117),"")</f>
        <v/>
      </c>
      <c r="C117" s="4" t="s">
        <v>628</v>
      </c>
      <c r="D117" s="183">
        <f>IF(OR(Recto!D7="Abomination",Recto!D7="Cobra"),-6,-5)</f>
        <v>-5</v>
      </c>
      <c r="E117" s="4" t="s">
        <v>2075</v>
      </c>
      <c r="F117" s="17">
        <v>82</v>
      </c>
      <c r="G117" s="163" t="s">
        <v>5801</v>
      </c>
      <c r="H117" s="196" t="s">
        <v>53</v>
      </c>
      <c r="I117" s="196" t="b">
        <f>IF(Verso!$B$30=Désavantages!$A117,TRUE,FALSE)</f>
        <v>0</v>
      </c>
      <c r="J117" s="196" t="b">
        <f>IF(Verso!$B$31=Désavantages!$A117,TRUE,FALSE)</f>
        <v>0</v>
      </c>
      <c r="K117" s="196" t="b">
        <f>IF(Verso!$B$32=Désavantages!$A117,TRUE,FALSE)</f>
        <v>0</v>
      </c>
      <c r="L117" s="196" t="b">
        <f>IF(Verso!$B$33=Désavantages!$A117,TRUE,FALSE)</f>
        <v>0</v>
      </c>
      <c r="M117" s="196" t="b">
        <f>IF(Verso!$B$34=Désavantages!$A117,TRUE,FALSE)</f>
        <v>0</v>
      </c>
      <c r="N117" s="196" t="b">
        <f t="shared" si="8"/>
        <v>0</v>
      </c>
      <c r="Q117" s="196" t="str">
        <f t="shared" si="5"/>
        <v/>
      </c>
      <c r="R117" s="196">
        <f t="shared" si="6"/>
        <v>138</v>
      </c>
      <c r="S117" s="578" t="str">
        <f t="shared" si="7"/>
        <v>Phobie Mineure</v>
      </c>
    </row>
    <row r="118" spans="1:19" x14ac:dyDescent="0.25">
      <c r="A118" s="186" t="s">
        <v>1046</v>
      </c>
      <c r="B118" s="186" t="str">
        <f>IF(OR(Recto!$C$3=H118,Calculs!$J$8&gt;0),CONCATENATE(A118),"")</f>
        <v/>
      </c>
      <c r="C118" s="4" t="s">
        <v>628</v>
      </c>
      <c r="D118" s="183">
        <f>IF(OR(Recto!D8="Abomination",Recto!D8="Cobra"),-6,-5)</f>
        <v>-5</v>
      </c>
      <c r="E118" s="4" t="s">
        <v>2075</v>
      </c>
      <c r="F118" s="17">
        <v>82</v>
      </c>
      <c r="G118" s="163" t="s">
        <v>139</v>
      </c>
      <c r="H118" s="196" t="s">
        <v>53</v>
      </c>
      <c r="I118" s="196" t="b">
        <f>IF(Verso!$B$30=Désavantages!$A118,TRUE,FALSE)</f>
        <v>0</v>
      </c>
      <c r="J118" s="196" t="b">
        <f>IF(Verso!$B$31=Désavantages!$A118,TRUE,FALSE)</f>
        <v>0</v>
      </c>
      <c r="K118" s="196" t="b">
        <f>IF(Verso!$B$32=Désavantages!$A118,TRUE,FALSE)</f>
        <v>0</v>
      </c>
      <c r="L118" s="196" t="b">
        <f>IF(Verso!$B$33=Désavantages!$A118,TRUE,FALSE)</f>
        <v>0</v>
      </c>
      <c r="M118" s="196" t="b">
        <f>IF(Verso!$B$34=Désavantages!$A118,TRUE,FALSE)</f>
        <v>0</v>
      </c>
      <c r="N118" s="196" t="b">
        <f t="shared" si="8"/>
        <v>0</v>
      </c>
      <c r="Q118" s="196" t="str">
        <f t="shared" si="5"/>
        <v/>
      </c>
      <c r="R118" s="196">
        <f t="shared" si="6"/>
        <v>139</v>
      </c>
      <c r="S118" s="578" t="str">
        <f t="shared" si="7"/>
        <v>Phobie Moyenne</v>
      </c>
    </row>
    <row r="119" spans="1:19" x14ac:dyDescent="0.25">
      <c r="A119" s="186" t="s">
        <v>1052</v>
      </c>
      <c r="B119" s="186" t="str">
        <f>IF(Recto!$C$3=H119,CONCATENATE(A119),"")</f>
        <v/>
      </c>
      <c r="C119" s="4" t="s">
        <v>67</v>
      </c>
      <c r="D119" s="183">
        <v>-5</v>
      </c>
      <c r="E119" s="4" t="s">
        <v>2075</v>
      </c>
      <c r="F119" s="17">
        <v>111</v>
      </c>
      <c r="G119" s="163" t="s">
        <v>142</v>
      </c>
      <c r="H119" s="196" t="s">
        <v>56</v>
      </c>
      <c r="I119" s="196" t="b">
        <f>IF(Verso!$B$30=Désavantages!$A119,TRUE,FALSE)</f>
        <v>0</v>
      </c>
      <c r="J119" s="196" t="b">
        <f>IF(Verso!$B$31=Désavantages!$A119,TRUE,FALSE)</f>
        <v>0</v>
      </c>
      <c r="K119" s="196" t="b">
        <f>IF(Verso!$B$32=Désavantages!$A119,TRUE,FALSE)</f>
        <v>0</v>
      </c>
      <c r="L119" s="196" t="b">
        <f>IF(Verso!$B$33=Désavantages!$A119,TRUE,FALSE)</f>
        <v>0</v>
      </c>
      <c r="M119" s="196" t="b">
        <f>IF(Verso!$B$34=Désavantages!$A119,TRUE,FALSE)</f>
        <v>0</v>
      </c>
      <c r="N119" s="196" t="b">
        <f t="shared" si="8"/>
        <v>0</v>
      </c>
      <c r="Q119" s="196" t="str">
        <f t="shared" si="5"/>
        <v/>
      </c>
      <c r="R119" s="196">
        <f t="shared" si="6"/>
        <v>140</v>
      </c>
      <c r="S119" s="578" t="str">
        <f t="shared" si="7"/>
        <v>Possédé</v>
      </c>
    </row>
    <row r="120" spans="1:19" x14ac:dyDescent="0.25">
      <c r="A120" s="186" t="s">
        <v>7591</v>
      </c>
      <c r="B120" s="186" t="s">
        <v>7591</v>
      </c>
      <c r="C120" s="4" t="s">
        <v>67</v>
      </c>
      <c r="D120" s="183">
        <v>-2</v>
      </c>
      <c r="E120" s="4" t="s">
        <v>7453</v>
      </c>
      <c r="F120" s="17">
        <v>94</v>
      </c>
      <c r="G120" s="163" t="s">
        <v>7592</v>
      </c>
      <c r="I120" s="196" t="b">
        <f>IF(Verso!$B$30=Désavantages!$A120,TRUE,FALSE)</f>
        <v>0</v>
      </c>
      <c r="J120" s="196" t="b">
        <f>IF(Verso!$B$31=Désavantages!$A120,TRUE,FALSE)</f>
        <v>0</v>
      </c>
      <c r="K120" s="196" t="b">
        <f>IF(Verso!$B$32=Désavantages!$A120,TRUE,FALSE)</f>
        <v>0</v>
      </c>
      <c r="L120" s="196" t="b">
        <f>IF(Verso!$B$33=Désavantages!$A120,TRUE,FALSE)</f>
        <v>0</v>
      </c>
      <c r="M120" s="196" t="b">
        <f>IF(Verso!$B$34=Désavantages!$A120,TRUE,FALSE)</f>
        <v>0</v>
      </c>
      <c r="N120" s="196" t="b">
        <f t="shared" si="8"/>
        <v>0</v>
      </c>
      <c r="Q120" s="196">
        <f t="shared" si="5"/>
        <v>120</v>
      </c>
      <c r="R120" s="196">
        <f t="shared" si="6"/>
        <v>141</v>
      </c>
      <c r="S120" s="578" t="str">
        <f t="shared" si="7"/>
        <v>Présomptueux</v>
      </c>
    </row>
    <row r="121" spans="1:19" x14ac:dyDescent="0.25">
      <c r="A121" s="186" t="s">
        <v>952</v>
      </c>
      <c r="B121" s="186" t="s">
        <v>952</v>
      </c>
      <c r="C121" s="4" t="s">
        <v>67</v>
      </c>
      <c r="D121" s="183">
        <f>IF(Clan="Licorne",-2,-1)</f>
        <v>-1</v>
      </c>
      <c r="E121" s="4" t="s">
        <v>3</v>
      </c>
      <c r="F121" s="17">
        <v>160</v>
      </c>
      <c r="G121" s="163" t="s">
        <v>135</v>
      </c>
      <c r="I121" s="196" t="b">
        <f>IF(Verso!$B$30=Désavantages!$A121,TRUE,FALSE)</f>
        <v>0</v>
      </c>
      <c r="J121" s="196" t="b">
        <f>IF(Verso!$B$31=Désavantages!$A121,TRUE,FALSE)</f>
        <v>0</v>
      </c>
      <c r="K121" s="196" t="b">
        <f>IF(Verso!$B$32=Désavantages!$A121,TRUE,FALSE)</f>
        <v>0</v>
      </c>
      <c r="L121" s="196" t="b">
        <f>IF(Verso!$B$33=Désavantages!$A121,TRUE,FALSE)</f>
        <v>0</v>
      </c>
      <c r="M121" s="196" t="b">
        <f>IF(Verso!$B$34=Désavantages!$A121,TRUE,FALSE)</f>
        <v>0</v>
      </c>
      <c r="N121" s="196" t="b">
        <f t="shared" ref="N121:N140" si="9">IF(OR(I121=TRUE,J121=TRUE,K121=TRUE,L121=TRUE,M121=TRUE),TRUE,FALSE)</f>
        <v>0</v>
      </c>
      <c r="Q121" s="196">
        <f t="shared" si="5"/>
        <v>121</v>
      </c>
      <c r="R121" s="196">
        <f t="shared" si="6"/>
        <v>143</v>
      </c>
      <c r="S121" s="578" t="str">
        <f t="shared" si="7"/>
        <v>Recherché (Clan/Délit Sérieux)</v>
      </c>
    </row>
    <row r="122" spans="1:19" x14ac:dyDescent="0.25">
      <c r="A122" s="186" t="s">
        <v>988</v>
      </c>
      <c r="B122" s="186" t="s">
        <v>988</v>
      </c>
      <c r="C122" s="4" t="s">
        <v>67</v>
      </c>
      <c r="D122" s="183">
        <v>-6</v>
      </c>
      <c r="E122" s="4" t="s">
        <v>3</v>
      </c>
      <c r="F122" s="17">
        <v>160</v>
      </c>
      <c r="G122" s="163" t="s">
        <v>951</v>
      </c>
      <c r="I122" s="196" t="b">
        <f>IF(Verso!$B$30=Désavantages!$A122,TRUE,FALSE)</f>
        <v>0</v>
      </c>
      <c r="J122" s="196" t="b">
        <f>IF(Verso!$B$31=Désavantages!$A122,TRUE,FALSE)</f>
        <v>0</v>
      </c>
      <c r="K122" s="196" t="b">
        <f>IF(Verso!$B$32=Désavantages!$A122,TRUE,FALSE)</f>
        <v>0</v>
      </c>
      <c r="L122" s="196" t="b">
        <f>IF(Verso!$B$33=Désavantages!$A122,TRUE,FALSE)</f>
        <v>0</v>
      </c>
      <c r="M122" s="196" t="b">
        <f>IF(Verso!$B$34=Désavantages!$A122,TRUE,FALSE)</f>
        <v>0</v>
      </c>
      <c r="N122" s="196" t="b">
        <f t="shared" si="9"/>
        <v>0</v>
      </c>
      <c r="O122" s="196" t="s">
        <v>6480</v>
      </c>
      <c r="Q122" s="196">
        <f t="shared" si="5"/>
        <v>122</v>
      </c>
      <c r="R122" s="196">
        <f t="shared" si="6"/>
        <v>144</v>
      </c>
      <c r="S122" s="578" t="str">
        <f t="shared" si="7"/>
        <v>Recherché (Empire/Délit Haineux ou violent)</v>
      </c>
    </row>
    <row r="123" spans="1:19" x14ac:dyDescent="0.25">
      <c r="A123" s="186" t="s">
        <v>987</v>
      </c>
      <c r="B123" s="186" t="s">
        <v>987</v>
      </c>
      <c r="C123" s="4" t="s">
        <v>67</v>
      </c>
      <c r="D123" s="183">
        <v>-3</v>
      </c>
      <c r="E123" s="4" t="s">
        <v>3</v>
      </c>
      <c r="F123" s="17">
        <v>160</v>
      </c>
      <c r="G123" s="163" t="s">
        <v>950</v>
      </c>
      <c r="I123" s="196" t="b">
        <f>IF(Verso!$B$30=Désavantages!$A123,TRUE,FALSE)</f>
        <v>0</v>
      </c>
      <c r="J123" s="196" t="b">
        <f>IF(Verso!$B$31=Désavantages!$A123,TRUE,FALSE)</f>
        <v>0</v>
      </c>
      <c r="K123" s="196" t="b">
        <f>IF(Verso!$B$32=Désavantages!$A123,TRUE,FALSE)</f>
        <v>0</v>
      </c>
      <c r="L123" s="196" t="b">
        <f>IF(Verso!$B$33=Désavantages!$A123,TRUE,FALSE)</f>
        <v>0</v>
      </c>
      <c r="M123" s="196" t="b">
        <f>IF(Verso!$B$34=Désavantages!$A123,TRUE,FALSE)</f>
        <v>0</v>
      </c>
      <c r="N123" s="196" t="b">
        <f t="shared" si="9"/>
        <v>0</v>
      </c>
      <c r="O123" s="196" t="b">
        <f>IF(OR(N122=TRUE,N123=TRUE),TRUE,FALSE)</f>
        <v>0</v>
      </c>
      <c r="Q123" s="196">
        <f t="shared" si="5"/>
        <v>123</v>
      </c>
      <c r="R123" s="196">
        <f t="shared" si="6"/>
        <v>145</v>
      </c>
      <c r="S123" s="578" t="str">
        <f t="shared" si="7"/>
        <v>Recherché (Province/Délit Mineur)</v>
      </c>
    </row>
    <row r="124" spans="1:19" x14ac:dyDescent="0.25">
      <c r="A124" s="186" t="s">
        <v>954</v>
      </c>
      <c r="B124" s="186" t="s">
        <v>954</v>
      </c>
      <c r="C124" s="4" t="s">
        <v>65</v>
      </c>
      <c r="D124" s="183">
        <f>IF(OR(Clan="Crabe",Recto!W3="B"),-4,-3)</f>
        <v>-3</v>
      </c>
      <c r="E124" s="4" t="s">
        <v>3</v>
      </c>
      <c r="F124" s="17">
        <v>160</v>
      </c>
      <c r="G124" s="163" t="s">
        <v>955</v>
      </c>
      <c r="I124" s="196" t="b">
        <f>IF(Verso!$B$30=Désavantages!$A124,TRUE,FALSE)</f>
        <v>0</v>
      </c>
      <c r="J124" s="196" t="b">
        <f>IF(Verso!$B$31=Désavantages!$A124,TRUE,FALSE)</f>
        <v>0</v>
      </c>
      <c r="K124" s="196" t="b">
        <f>IF(Verso!$B$32=Désavantages!$A124,TRUE,FALSE)</f>
        <v>0</v>
      </c>
      <c r="L124" s="196" t="b">
        <f>IF(Verso!$B$33=Désavantages!$A124,TRUE,FALSE)</f>
        <v>0</v>
      </c>
      <c r="M124" s="196" t="b">
        <f>IF(Verso!$B$34=Désavantages!$A124,TRUE,FALSE)</f>
        <v>0</v>
      </c>
      <c r="N124" s="196" t="b">
        <f t="shared" si="9"/>
        <v>0</v>
      </c>
      <c r="Q124" s="196">
        <f t="shared" si="5"/>
        <v>124</v>
      </c>
      <c r="R124" s="196">
        <f t="shared" si="6"/>
        <v>146</v>
      </c>
      <c r="S124" s="578" t="str">
        <f t="shared" si="7"/>
        <v>Reputation des Sombres Confins</v>
      </c>
    </row>
    <row r="125" spans="1:19" x14ac:dyDescent="0.25">
      <c r="A125" s="186" t="s">
        <v>953</v>
      </c>
      <c r="B125" s="186" t="s">
        <v>953</v>
      </c>
      <c r="C125" s="4" t="s">
        <v>65</v>
      </c>
      <c r="D125" s="183">
        <v>-2</v>
      </c>
      <c r="E125" s="4" t="s">
        <v>3</v>
      </c>
      <c r="F125" s="17">
        <v>160</v>
      </c>
      <c r="G125" s="163" t="s">
        <v>123</v>
      </c>
      <c r="I125" s="196" t="b">
        <f>IF(Verso!$B$30=Désavantages!$A125,TRUE,FALSE)</f>
        <v>0</v>
      </c>
      <c r="J125" s="196" t="b">
        <f>IF(Verso!$B$31=Désavantages!$A125,TRUE,FALSE)</f>
        <v>0</v>
      </c>
      <c r="K125" s="196" t="b">
        <f>IF(Verso!$B$32=Désavantages!$A125,TRUE,FALSE)</f>
        <v>0</v>
      </c>
      <c r="L125" s="196" t="b">
        <f>IF(Verso!$B$33=Désavantages!$A125,TRUE,FALSE)</f>
        <v>0</v>
      </c>
      <c r="M125" s="196" t="b">
        <f>IF(Verso!$B$34=Désavantages!$A125,TRUE,FALSE)</f>
        <v>0</v>
      </c>
      <c r="N125" s="196" t="b">
        <f t="shared" si="9"/>
        <v>0</v>
      </c>
      <c r="Q125" s="196">
        <f t="shared" si="5"/>
        <v>125</v>
      </c>
      <c r="R125" s="196">
        <f t="shared" si="6"/>
        <v>147</v>
      </c>
      <c r="S125" s="578" t="str">
        <f t="shared" si="7"/>
        <v>Retraite Forcée</v>
      </c>
    </row>
    <row r="126" spans="1:19" x14ac:dyDescent="0.25">
      <c r="A126" s="186" t="s">
        <v>867</v>
      </c>
      <c r="B126" s="186" t="s">
        <v>867</v>
      </c>
      <c r="C126" s="4" t="s">
        <v>67</v>
      </c>
      <c r="D126" s="183">
        <v>-3</v>
      </c>
      <c r="E126" s="4" t="s">
        <v>3</v>
      </c>
      <c r="F126" s="17">
        <v>160</v>
      </c>
      <c r="G126" s="163" t="s">
        <v>8254</v>
      </c>
      <c r="I126" s="196" t="b">
        <f>IF(Verso!$B$30=Désavantages!$A126,TRUE,FALSE)</f>
        <v>0</v>
      </c>
      <c r="J126" s="196" t="b">
        <f>IF(Verso!$B$31=Désavantages!$A126,TRUE,FALSE)</f>
        <v>0</v>
      </c>
      <c r="K126" s="196" t="b">
        <f>IF(Verso!$B$32=Désavantages!$A126,TRUE,FALSE)</f>
        <v>0</v>
      </c>
      <c r="L126" s="196" t="b">
        <f>IF(Verso!$B$33=Désavantages!$A126,TRUE,FALSE)</f>
        <v>0</v>
      </c>
      <c r="M126" s="196" t="b">
        <f>IF(Verso!$B$34=Désavantages!$A126,TRUE,FALSE)</f>
        <v>0</v>
      </c>
      <c r="N126" s="196" t="b">
        <f t="shared" si="9"/>
        <v>0</v>
      </c>
      <c r="Q126" s="196">
        <f t="shared" si="5"/>
        <v>126</v>
      </c>
      <c r="R126" s="196">
        <f t="shared" si="6"/>
        <v>148</v>
      </c>
      <c r="S126" s="578" t="str">
        <f t="shared" si="7"/>
        <v>Rongé par le Shourido: Compréhension</v>
      </c>
    </row>
    <row r="127" spans="1:19" x14ac:dyDescent="0.25">
      <c r="A127" s="186" t="s">
        <v>970</v>
      </c>
      <c r="B127" s="186" t="s">
        <v>970</v>
      </c>
      <c r="C127" s="4" t="s">
        <v>65</v>
      </c>
      <c r="D127" s="183">
        <v>-3</v>
      </c>
      <c r="E127" s="4" t="s">
        <v>3</v>
      </c>
      <c r="F127" s="17">
        <v>161</v>
      </c>
      <c r="G127" s="163" t="s">
        <v>977</v>
      </c>
      <c r="I127" s="196" t="b">
        <f>IF(Verso!$B$30=Désavantages!$A127,TRUE,FALSE)</f>
        <v>0</v>
      </c>
      <c r="J127" s="196" t="b">
        <f>IF(Verso!$B$31=Désavantages!$A127,TRUE,FALSE)</f>
        <v>0</v>
      </c>
      <c r="K127" s="196" t="b">
        <f>IF(Verso!$B$32=Désavantages!$A127,TRUE,FALSE)</f>
        <v>0</v>
      </c>
      <c r="L127" s="196" t="b">
        <f>IF(Verso!$B$33=Désavantages!$A127,TRUE,FALSE)</f>
        <v>0</v>
      </c>
      <c r="M127" s="196" t="b">
        <f>IF(Verso!$B$34=Désavantages!$A127,TRUE,FALSE)</f>
        <v>0</v>
      </c>
      <c r="N127" s="196" t="b">
        <f t="shared" si="9"/>
        <v>0</v>
      </c>
      <c r="Q127" s="196">
        <f t="shared" si="5"/>
        <v>127</v>
      </c>
      <c r="R127" s="196">
        <f t="shared" si="6"/>
        <v>149</v>
      </c>
      <c r="S127" s="578" t="str">
        <f t="shared" si="7"/>
        <v>Rongé par le Shourido: Contrôle</v>
      </c>
    </row>
    <row r="128" spans="1:19" x14ac:dyDescent="0.25">
      <c r="A128" s="186" t="s">
        <v>971</v>
      </c>
      <c r="B128" s="186" t="s">
        <v>971</v>
      </c>
      <c r="C128" s="4" t="s">
        <v>65</v>
      </c>
      <c r="D128" s="183">
        <v>-4</v>
      </c>
      <c r="E128" s="4" t="s">
        <v>3</v>
      </c>
      <c r="F128" s="17">
        <v>161</v>
      </c>
      <c r="G128" s="163" t="s">
        <v>978</v>
      </c>
      <c r="I128" s="196" t="b">
        <f>IF(Verso!$B$30=Désavantages!$A128,TRUE,FALSE)</f>
        <v>0</v>
      </c>
      <c r="J128" s="196" t="b">
        <f>IF(Verso!$B$31=Désavantages!$A128,TRUE,FALSE)</f>
        <v>0</v>
      </c>
      <c r="K128" s="196" t="b">
        <f>IF(Verso!$B$32=Désavantages!$A128,TRUE,FALSE)</f>
        <v>0</v>
      </c>
      <c r="L128" s="196" t="b">
        <f>IF(Verso!$B$33=Désavantages!$A128,TRUE,FALSE)</f>
        <v>0</v>
      </c>
      <c r="M128" s="196" t="b">
        <f>IF(Verso!$B$34=Désavantages!$A128,TRUE,FALSE)</f>
        <v>0</v>
      </c>
      <c r="N128" s="196" t="b">
        <f t="shared" si="9"/>
        <v>0</v>
      </c>
      <c r="Q128" s="196">
        <f t="shared" si="5"/>
        <v>128</v>
      </c>
      <c r="R128" s="196">
        <f t="shared" si="6"/>
        <v>150</v>
      </c>
      <c r="S128" s="578" t="str">
        <f t="shared" si="7"/>
        <v>Rongé par le Shourido: Détermination</v>
      </c>
    </row>
    <row r="129" spans="1:19" x14ac:dyDescent="0.25">
      <c r="A129" s="186" t="s">
        <v>972</v>
      </c>
      <c r="B129" s="186" t="s">
        <v>972</v>
      </c>
      <c r="C129" s="4" t="s">
        <v>65</v>
      </c>
      <c r="D129" s="183">
        <v>-4</v>
      </c>
      <c r="E129" s="4" t="s">
        <v>3</v>
      </c>
      <c r="F129" s="17">
        <v>161</v>
      </c>
      <c r="G129" s="163" t="s">
        <v>5800</v>
      </c>
      <c r="I129" s="196" t="b">
        <f>IF(Verso!$B$30=Désavantages!$A129,TRUE,FALSE)</f>
        <v>0</v>
      </c>
      <c r="J129" s="196" t="b">
        <f>IF(Verso!$B$31=Désavantages!$A129,TRUE,FALSE)</f>
        <v>0</v>
      </c>
      <c r="K129" s="196" t="b">
        <f>IF(Verso!$B$32=Désavantages!$A129,TRUE,FALSE)</f>
        <v>0</v>
      </c>
      <c r="L129" s="196" t="b">
        <f>IF(Verso!$B$33=Désavantages!$A129,TRUE,FALSE)</f>
        <v>0</v>
      </c>
      <c r="M129" s="196" t="b">
        <f>IF(Verso!$B$34=Désavantages!$A129,TRUE,FALSE)</f>
        <v>0</v>
      </c>
      <c r="N129" s="196" t="b">
        <f t="shared" si="9"/>
        <v>0</v>
      </c>
      <c r="Q129" s="196">
        <f t="shared" si="5"/>
        <v>129</v>
      </c>
      <c r="R129" s="196">
        <f t="shared" si="6"/>
        <v>151</v>
      </c>
      <c r="S129" s="578" t="str">
        <f t="shared" si="7"/>
        <v>Rongé par le Shourido: Force</v>
      </c>
    </row>
    <row r="130" spans="1:19" x14ac:dyDescent="0.25">
      <c r="A130" s="186" t="s">
        <v>973</v>
      </c>
      <c r="B130" s="186" t="s">
        <v>973</v>
      </c>
      <c r="C130" s="4" t="s">
        <v>65</v>
      </c>
      <c r="D130" s="183">
        <v>-6</v>
      </c>
      <c r="E130" s="4" t="s">
        <v>3</v>
      </c>
      <c r="F130" s="17">
        <v>161</v>
      </c>
      <c r="G130" s="163" t="s">
        <v>979</v>
      </c>
      <c r="I130" s="196" t="b">
        <f>IF(Verso!$B$30=Désavantages!$A130,TRUE,FALSE)</f>
        <v>0</v>
      </c>
      <c r="J130" s="196" t="b">
        <f>IF(Verso!$B$31=Désavantages!$A130,TRUE,FALSE)</f>
        <v>0</v>
      </c>
      <c r="K130" s="196" t="b">
        <f>IF(Verso!$B$32=Désavantages!$A130,TRUE,FALSE)</f>
        <v>0</v>
      </c>
      <c r="L130" s="196" t="b">
        <f>IF(Verso!$B$33=Désavantages!$A130,TRUE,FALSE)</f>
        <v>0</v>
      </c>
      <c r="M130" s="196" t="b">
        <f>IF(Verso!$B$34=Désavantages!$A130,TRUE,FALSE)</f>
        <v>0</v>
      </c>
      <c r="N130" s="196" t="b">
        <f t="shared" si="9"/>
        <v>0</v>
      </c>
      <c r="Q130" s="196">
        <f t="shared" si="5"/>
        <v>130</v>
      </c>
      <c r="R130" s="196">
        <f t="shared" si="6"/>
        <v>152</v>
      </c>
      <c r="S130" s="578" t="str">
        <f t="shared" si="7"/>
        <v>Rongé par le Shourido: Perfection</v>
      </c>
    </row>
    <row r="131" spans="1:19" x14ac:dyDescent="0.25">
      <c r="A131" s="186" t="s">
        <v>974</v>
      </c>
      <c r="B131" s="186" t="s">
        <v>974</v>
      </c>
      <c r="C131" s="4" t="s">
        <v>65</v>
      </c>
      <c r="D131" s="183">
        <v>-3</v>
      </c>
      <c r="E131" s="4" t="s">
        <v>3</v>
      </c>
      <c r="F131" s="17">
        <v>161</v>
      </c>
      <c r="G131" s="163" t="s">
        <v>980</v>
      </c>
      <c r="I131" s="196" t="b">
        <f>IF(Verso!$B$30=Désavantages!$A131,TRUE,FALSE)</f>
        <v>0</v>
      </c>
      <c r="J131" s="196" t="b">
        <f>IF(Verso!$B$31=Désavantages!$A131,TRUE,FALSE)</f>
        <v>0</v>
      </c>
      <c r="K131" s="196" t="b">
        <f>IF(Verso!$B$32=Désavantages!$A131,TRUE,FALSE)</f>
        <v>0</v>
      </c>
      <c r="L131" s="196" t="b">
        <f>IF(Verso!$B$33=Désavantages!$A131,TRUE,FALSE)</f>
        <v>0</v>
      </c>
      <c r="M131" s="196" t="b">
        <f>IF(Verso!$B$34=Désavantages!$A131,TRUE,FALSE)</f>
        <v>0</v>
      </c>
      <c r="N131" s="196" t="b">
        <f t="shared" si="9"/>
        <v>0</v>
      </c>
      <c r="Q131" s="196">
        <f t="shared" ref="Q131:Q175" si="10">IF(B131="","",ROW())</f>
        <v>131</v>
      </c>
      <c r="R131" s="196">
        <f t="shared" ref="R131:R175" si="11">IFERROR(SMALL(Q:Q,ROW()-1),"")</f>
        <v>153</v>
      </c>
      <c r="S131" s="578" t="str">
        <f t="shared" ref="S131:S175" si="12">IFERROR(INDEX(B:B,R131),"")</f>
        <v>Rongé par le Shourido: Savoir</v>
      </c>
    </row>
    <row r="132" spans="1:19" x14ac:dyDescent="0.25">
      <c r="A132" s="186" t="s">
        <v>975</v>
      </c>
      <c r="B132" s="186" t="s">
        <v>975</v>
      </c>
      <c r="C132" s="4" t="s">
        <v>65</v>
      </c>
      <c r="D132" s="183">
        <v>-3</v>
      </c>
      <c r="E132" s="4" t="s">
        <v>3</v>
      </c>
      <c r="F132" s="17">
        <v>161</v>
      </c>
      <c r="G132" s="163" t="s">
        <v>981</v>
      </c>
      <c r="I132" s="196" t="b">
        <f>IF(Verso!$B$30=Désavantages!$A132,TRUE,FALSE)</f>
        <v>0</v>
      </c>
      <c r="J132" s="196" t="b">
        <f>IF(Verso!$B$31=Désavantages!$A132,TRUE,FALSE)</f>
        <v>0</v>
      </c>
      <c r="K132" s="196" t="b">
        <f>IF(Verso!$B$32=Désavantages!$A132,TRUE,FALSE)</f>
        <v>0</v>
      </c>
      <c r="L132" s="196" t="b">
        <f>IF(Verso!$B$33=Désavantages!$A132,TRUE,FALSE)</f>
        <v>0</v>
      </c>
      <c r="M132" s="196" t="b">
        <f>IF(Verso!$B$34=Désavantages!$A132,TRUE,FALSE)</f>
        <v>0</v>
      </c>
      <c r="N132" s="196" t="b">
        <f t="shared" si="9"/>
        <v>0</v>
      </c>
      <c r="Q132" s="196">
        <f t="shared" si="10"/>
        <v>132</v>
      </c>
      <c r="R132" s="196">
        <f t="shared" si="11"/>
        <v>154</v>
      </c>
      <c r="S132" s="578" t="str">
        <f t="shared" si="12"/>
        <v>Rongé par le Shourido: Volonté</v>
      </c>
    </row>
    <row r="133" spans="1:19" x14ac:dyDescent="0.25">
      <c r="A133" s="186" t="s">
        <v>976</v>
      </c>
      <c r="B133" s="186" t="s">
        <v>976</v>
      </c>
      <c r="C133" s="4" t="s">
        <v>65</v>
      </c>
      <c r="D133" s="183">
        <v>-4</v>
      </c>
      <c r="E133" s="4" t="s">
        <v>3</v>
      </c>
      <c r="F133" s="17">
        <v>161</v>
      </c>
      <c r="G133" s="163" t="s">
        <v>983</v>
      </c>
      <c r="I133" s="196" t="b">
        <f>IF(Verso!$B$30=Désavantages!$A133,TRUE,FALSE)</f>
        <v>0</v>
      </c>
      <c r="J133" s="196" t="b">
        <f>IF(Verso!$B$31=Désavantages!$A133,TRUE,FALSE)</f>
        <v>0</v>
      </c>
      <c r="K133" s="196" t="b">
        <f>IF(Verso!$B$32=Désavantages!$A133,TRUE,FALSE)</f>
        <v>0</v>
      </c>
      <c r="L133" s="196" t="b">
        <f>IF(Verso!$B$33=Désavantages!$A133,TRUE,FALSE)</f>
        <v>0</v>
      </c>
      <c r="M133" s="196" t="b">
        <f>IF(Verso!$B$34=Désavantages!$A133,TRUE,FALSE)</f>
        <v>0</v>
      </c>
      <c r="N133" s="196" t="b">
        <f t="shared" si="9"/>
        <v>0</v>
      </c>
      <c r="Q133" s="196">
        <f t="shared" si="10"/>
        <v>133</v>
      </c>
      <c r="R133" s="196">
        <f t="shared" si="11"/>
        <v>156</v>
      </c>
      <c r="S133" s="578" t="str">
        <f t="shared" si="12"/>
        <v>Sombre Destin</v>
      </c>
    </row>
    <row r="134" spans="1:19" x14ac:dyDescent="0.25">
      <c r="A134" s="186" t="s">
        <v>7597</v>
      </c>
      <c r="B134" s="186" t="s">
        <v>7597</v>
      </c>
      <c r="C134" s="4" t="s">
        <v>67</v>
      </c>
      <c r="D134" s="183">
        <v>-3</v>
      </c>
      <c r="E134" s="4" t="s">
        <v>7453</v>
      </c>
      <c r="F134" s="17">
        <v>94</v>
      </c>
      <c r="G134" s="163" t="s">
        <v>7598</v>
      </c>
      <c r="I134" s="196" t="b">
        <f>IF(Verso!$B$30=Désavantages!$A134,TRUE,FALSE)</f>
        <v>0</v>
      </c>
      <c r="J134" s="196" t="b">
        <f>IF(Verso!$B$31=Désavantages!$A134,TRUE,FALSE)</f>
        <v>0</v>
      </c>
      <c r="K134" s="196" t="b">
        <f>IF(Verso!$B$32=Désavantages!$A134,TRUE,FALSE)</f>
        <v>0</v>
      </c>
      <c r="L134" s="196" t="b">
        <f>IF(Verso!$B$33=Désavantages!$A134,TRUE,FALSE)</f>
        <v>0</v>
      </c>
      <c r="M134" s="196" t="b">
        <f>IF(Verso!$B$34=Désavantages!$A134,TRUE,FALSE)</f>
        <v>0</v>
      </c>
      <c r="N134" s="196" t="b">
        <f>IF(OR(I134=TRUE,J134=TRUE,K134=TRUE,L134=TRUE,M134=TRUE),TRUE,FALSE)</f>
        <v>0</v>
      </c>
      <c r="Q134" s="196">
        <f t="shared" si="10"/>
        <v>134</v>
      </c>
      <c r="R134" s="196">
        <f t="shared" si="11"/>
        <v>157</v>
      </c>
      <c r="S134" s="578" t="str">
        <f t="shared" si="12"/>
        <v>Sombre Secret</v>
      </c>
    </row>
    <row r="135" spans="1:19" x14ac:dyDescent="0.25">
      <c r="A135" s="186" t="s">
        <v>881</v>
      </c>
      <c r="B135" s="186" t="s">
        <v>881</v>
      </c>
      <c r="C135" s="4" t="s">
        <v>628</v>
      </c>
      <c r="D135" s="183">
        <v>-3</v>
      </c>
      <c r="E135" s="4" t="s">
        <v>3</v>
      </c>
      <c r="F135" s="17">
        <v>161</v>
      </c>
      <c r="G135" s="163" t="s">
        <v>838</v>
      </c>
      <c r="I135" s="196" t="b">
        <f>IF(Verso!$B$30=Désavantages!$A135,TRUE,FALSE)</f>
        <v>0</v>
      </c>
      <c r="J135" s="196" t="b">
        <f>IF(Verso!$B$31=Désavantages!$A135,TRUE,FALSE)</f>
        <v>0</v>
      </c>
      <c r="K135" s="196" t="b">
        <f>IF(Verso!$B$32=Désavantages!$A135,TRUE,FALSE)</f>
        <v>0</v>
      </c>
      <c r="L135" s="196" t="b">
        <f>IF(Verso!$B$33=Désavantages!$A135,TRUE,FALSE)</f>
        <v>0</v>
      </c>
      <c r="M135" s="196" t="b">
        <f>IF(Verso!$B$34=Désavantages!$A135,TRUE,FALSE)</f>
        <v>0</v>
      </c>
      <c r="N135" s="196" t="b">
        <f t="shared" si="9"/>
        <v>0</v>
      </c>
      <c r="Q135" s="196">
        <f t="shared" si="10"/>
        <v>135</v>
      </c>
      <c r="R135" s="196">
        <f t="shared" si="11"/>
        <v>158</v>
      </c>
      <c r="S135" s="578" t="str">
        <f t="shared" si="12"/>
        <v>Sombre Secret: Mutation</v>
      </c>
    </row>
    <row r="136" spans="1:19" x14ac:dyDescent="0.25">
      <c r="A136" s="186" t="s">
        <v>984</v>
      </c>
      <c r="B136" s="186" t="s">
        <v>984</v>
      </c>
      <c r="C136" s="4" t="s">
        <v>65</v>
      </c>
      <c r="D136" s="183">
        <v>-4</v>
      </c>
      <c r="E136" s="4" t="s">
        <v>3</v>
      </c>
      <c r="F136" s="17">
        <v>161</v>
      </c>
      <c r="G136" s="163" t="s">
        <v>839</v>
      </c>
      <c r="I136" s="196" t="b">
        <f>IF(Verso!$B$30=Désavantages!$A136,TRUE,FALSE)</f>
        <v>0</v>
      </c>
      <c r="J136" s="196" t="b">
        <f>IF(Verso!$B$31=Désavantages!$A136,TRUE,FALSE)</f>
        <v>0</v>
      </c>
      <c r="K136" s="196" t="b">
        <f>IF(Verso!$B$32=Désavantages!$A136,TRUE,FALSE)</f>
        <v>0</v>
      </c>
      <c r="L136" s="196" t="b">
        <f>IF(Verso!$B$33=Désavantages!$A136,TRUE,FALSE)</f>
        <v>0</v>
      </c>
      <c r="M136" s="196" t="b">
        <f>IF(Verso!$B$34=Désavantages!$A136,TRUE,FALSE)</f>
        <v>0</v>
      </c>
      <c r="N136" s="196" t="b">
        <f t="shared" si="9"/>
        <v>0</v>
      </c>
      <c r="Q136" s="196">
        <f t="shared" si="10"/>
        <v>136</v>
      </c>
      <c r="R136" s="196">
        <f t="shared" si="11"/>
        <v>159</v>
      </c>
      <c r="S136" s="578" t="str">
        <f t="shared" si="12"/>
        <v>Sourd</v>
      </c>
    </row>
    <row r="137" spans="1:19" x14ac:dyDescent="0.25">
      <c r="A137" s="186" t="s">
        <v>991</v>
      </c>
      <c r="B137" s="186" t="s">
        <v>991</v>
      </c>
      <c r="C137" s="4" t="s">
        <v>65</v>
      </c>
      <c r="D137" s="183">
        <v>-3</v>
      </c>
      <c r="E137" s="4" t="s">
        <v>3</v>
      </c>
      <c r="F137" s="17">
        <v>161</v>
      </c>
      <c r="G137" s="163" t="s">
        <v>994</v>
      </c>
      <c r="I137" s="196" t="b">
        <f>IF(Verso!$B$30=Désavantages!$A137,TRUE,FALSE)</f>
        <v>0</v>
      </c>
      <c r="J137" s="196" t="b">
        <f>IF(Verso!$B$31=Désavantages!$A137,TRUE,FALSE)</f>
        <v>0</v>
      </c>
      <c r="K137" s="196" t="b">
        <f>IF(Verso!$B$32=Désavantages!$A137,TRUE,FALSE)</f>
        <v>0</v>
      </c>
      <c r="L137" s="196" t="b">
        <f>IF(Verso!$B$33=Désavantages!$A137,TRUE,FALSE)</f>
        <v>0</v>
      </c>
      <c r="M137" s="196" t="b">
        <f>IF(Verso!$B$34=Désavantages!$A137,TRUE,FALSE)</f>
        <v>0</v>
      </c>
      <c r="N137" s="196" t="b">
        <f t="shared" si="9"/>
        <v>0</v>
      </c>
      <c r="Q137" s="196">
        <f t="shared" si="10"/>
        <v>137</v>
      </c>
      <c r="R137" s="196">
        <f t="shared" si="11"/>
        <v>160</v>
      </c>
      <c r="S137" s="578" t="str">
        <f t="shared" si="12"/>
        <v>Souillure de l'Outremonde</v>
      </c>
    </row>
    <row r="138" spans="1:19" x14ac:dyDescent="0.25">
      <c r="A138" s="186" t="s">
        <v>989</v>
      </c>
      <c r="B138" s="186" t="s">
        <v>989</v>
      </c>
      <c r="C138" s="4" t="s">
        <v>65</v>
      </c>
      <c r="D138" s="183">
        <v>-1</v>
      </c>
      <c r="E138" s="4" t="s">
        <v>3</v>
      </c>
      <c r="F138" s="17">
        <v>161</v>
      </c>
      <c r="G138" s="163" t="s">
        <v>992</v>
      </c>
      <c r="I138" s="196" t="b">
        <f>IF(Verso!$B$30=Désavantages!$A138,TRUE,FALSE)</f>
        <v>0</v>
      </c>
      <c r="J138" s="196" t="b">
        <f>IF(Verso!$B$31=Désavantages!$A138,TRUE,FALSE)</f>
        <v>0</v>
      </c>
      <c r="K138" s="196" t="b">
        <f>IF(Verso!$B$32=Désavantages!$A138,TRUE,FALSE)</f>
        <v>0</v>
      </c>
      <c r="L138" s="196" t="b">
        <f>IF(Verso!$B$33=Désavantages!$A138,TRUE,FALSE)</f>
        <v>0</v>
      </c>
      <c r="M138" s="196" t="b">
        <f>IF(Verso!$B$34=Désavantages!$A138,TRUE,FALSE)</f>
        <v>0</v>
      </c>
      <c r="N138" s="196" t="b">
        <f t="shared" si="9"/>
        <v>0</v>
      </c>
      <c r="Q138" s="196">
        <f t="shared" si="10"/>
        <v>138</v>
      </c>
      <c r="R138" s="196">
        <f t="shared" si="11"/>
        <v>161</v>
      </c>
      <c r="S138" s="578" t="str">
        <f t="shared" si="12"/>
        <v>Stigmate: Broken Wave</v>
      </c>
    </row>
    <row r="139" spans="1:19" x14ac:dyDescent="0.25">
      <c r="A139" s="186" t="s">
        <v>990</v>
      </c>
      <c r="B139" s="186" t="s">
        <v>990</v>
      </c>
      <c r="C139" s="4" t="s">
        <v>65</v>
      </c>
      <c r="D139" s="183">
        <v>-2</v>
      </c>
      <c r="E139" s="4" t="s">
        <v>3</v>
      </c>
      <c r="F139" s="17">
        <v>161</v>
      </c>
      <c r="G139" s="163" t="s">
        <v>993</v>
      </c>
      <c r="I139" s="196" t="b">
        <f>IF(Verso!$B$30=Désavantages!$A139,TRUE,FALSE)</f>
        <v>0</v>
      </c>
      <c r="J139" s="196" t="b">
        <f>IF(Verso!$B$31=Désavantages!$A139,TRUE,FALSE)</f>
        <v>0</v>
      </c>
      <c r="K139" s="196" t="b">
        <f>IF(Verso!$B$32=Désavantages!$A139,TRUE,FALSE)</f>
        <v>0</v>
      </c>
      <c r="L139" s="196" t="b">
        <f>IF(Verso!$B$33=Désavantages!$A139,TRUE,FALSE)</f>
        <v>0</v>
      </c>
      <c r="M139" s="196" t="b">
        <f>IF(Verso!$B$34=Désavantages!$A139,TRUE,FALSE)</f>
        <v>0</v>
      </c>
      <c r="N139" s="196" t="b">
        <f t="shared" si="9"/>
        <v>0</v>
      </c>
      <c r="Q139" s="196">
        <f t="shared" si="10"/>
        <v>139</v>
      </c>
      <c r="R139" s="196">
        <f t="shared" si="11"/>
        <v>162</v>
      </c>
      <c r="S139" s="578" t="str">
        <f t="shared" si="12"/>
        <v>Stigmate: Cité Impériale</v>
      </c>
    </row>
    <row r="140" spans="1:19" x14ac:dyDescent="0.25">
      <c r="A140" s="186" t="s">
        <v>995</v>
      </c>
      <c r="B140" s="186" t="s">
        <v>995</v>
      </c>
      <c r="C140" s="4" t="s">
        <v>629</v>
      </c>
      <c r="D140" s="183">
        <v>-3</v>
      </c>
      <c r="E140" s="4" t="s">
        <v>3</v>
      </c>
      <c r="F140" s="17">
        <v>161</v>
      </c>
      <c r="G140" s="163" t="s">
        <v>842</v>
      </c>
      <c r="I140" s="196" t="b">
        <f>IF(Verso!$B$30=Désavantages!$A140,TRUE,FALSE)</f>
        <v>0</v>
      </c>
      <c r="J140" s="196" t="b">
        <f>IF(Verso!$B$31=Désavantages!$A140,TRUE,FALSE)</f>
        <v>0</v>
      </c>
      <c r="K140" s="196" t="b">
        <f>IF(Verso!$B$32=Désavantages!$A140,TRUE,FALSE)</f>
        <v>0</v>
      </c>
      <c r="L140" s="196" t="b">
        <f>IF(Verso!$B$33=Désavantages!$A140,TRUE,FALSE)</f>
        <v>0</v>
      </c>
      <c r="M140" s="196" t="b">
        <f>IF(Verso!$B$34=Désavantages!$A140,TRUE,FALSE)</f>
        <v>0</v>
      </c>
      <c r="N140" s="196" t="b">
        <f t="shared" si="9"/>
        <v>0</v>
      </c>
      <c r="Q140" s="196">
        <f t="shared" si="10"/>
        <v>140</v>
      </c>
      <c r="R140" s="196">
        <f t="shared" si="11"/>
        <v>163</v>
      </c>
      <c r="S140" s="578" t="str">
        <f t="shared" si="12"/>
        <v xml:space="preserve">Stigmate: Clear Water </v>
      </c>
    </row>
    <row r="141" spans="1:19" x14ac:dyDescent="0.25">
      <c r="A141" s="186" t="s">
        <v>996</v>
      </c>
      <c r="B141" s="186" t="s">
        <v>996</v>
      </c>
      <c r="C141" s="4" t="s">
        <v>65</v>
      </c>
      <c r="D141" s="183">
        <f>IF(OR(Clan="Lion",Clan="Mante"),-4,-3)</f>
        <v>-3</v>
      </c>
      <c r="E141" s="4" t="s">
        <v>3</v>
      </c>
      <c r="F141" s="17">
        <v>161</v>
      </c>
      <c r="G141" s="163" t="s">
        <v>829</v>
      </c>
      <c r="I141" s="196" t="b">
        <f>IF(Verso!$B$30=Désavantages!$A141,TRUE,FALSE)</f>
        <v>0</v>
      </c>
      <c r="J141" s="196" t="b">
        <f>IF(Verso!$B$31=Désavantages!$A141,TRUE,FALSE)</f>
        <v>0</v>
      </c>
      <c r="K141" s="196" t="b">
        <f>IF(Verso!$B$32=Désavantages!$A141,TRUE,FALSE)</f>
        <v>0</v>
      </c>
      <c r="L141" s="196" t="b">
        <f>IF(Verso!$B$33=Désavantages!$A141,TRUE,FALSE)</f>
        <v>0</v>
      </c>
      <c r="M141" s="196" t="b">
        <f>IF(Verso!$B$34=Désavantages!$A141,TRUE,FALSE)</f>
        <v>0</v>
      </c>
      <c r="N141" s="196" t="b">
        <f t="shared" ref="N141:N172" si="13">IF(OR(I141=TRUE,J141=TRUE,K141=TRUE,L141=TRUE,M141=TRUE),TRUE,FALSE)</f>
        <v>0</v>
      </c>
      <c r="Q141" s="196">
        <f t="shared" si="10"/>
        <v>141</v>
      </c>
      <c r="R141" s="196">
        <f t="shared" si="11"/>
        <v>164</v>
      </c>
      <c r="S141" s="578" t="str">
        <f t="shared" si="12"/>
        <v>Stigmate: Nikesake</v>
      </c>
    </row>
    <row r="142" spans="1:19" x14ac:dyDescent="0.25">
      <c r="A142" s="186" t="s">
        <v>1051</v>
      </c>
      <c r="B142" s="186" t="str">
        <f>IF(Recto!$C$3=H142,CONCATENATE(A142),"")</f>
        <v/>
      </c>
      <c r="C142" s="4" t="s">
        <v>628</v>
      </c>
      <c r="D142" s="183">
        <v>-4</v>
      </c>
      <c r="E142" s="4" t="s">
        <v>2075</v>
      </c>
      <c r="F142" s="17">
        <v>111</v>
      </c>
      <c r="G142" s="163" t="s">
        <v>848</v>
      </c>
      <c r="H142" s="196" t="s">
        <v>56</v>
      </c>
      <c r="I142" s="196" t="b">
        <f>IF(Verso!$B$30=Désavantages!$A142,TRUE,FALSE)</f>
        <v>0</v>
      </c>
      <c r="J142" s="196" t="b">
        <f>IF(Verso!$B$31=Désavantages!$A142,TRUE,FALSE)</f>
        <v>0</v>
      </c>
      <c r="K142" s="196" t="b">
        <f>IF(Verso!$B$32=Désavantages!$A142,TRUE,FALSE)</f>
        <v>0</v>
      </c>
      <c r="L142" s="196" t="b">
        <f>IF(Verso!$B$33=Désavantages!$A142,TRUE,FALSE)</f>
        <v>0</v>
      </c>
      <c r="M142" s="196" t="b">
        <f>IF(Verso!$B$34=Désavantages!$A142,TRUE,FALSE)</f>
        <v>0</v>
      </c>
      <c r="N142" s="196" t="b">
        <f t="shared" si="13"/>
        <v>0</v>
      </c>
      <c r="Q142" s="196" t="str">
        <f t="shared" si="10"/>
        <v/>
      </c>
      <c r="R142" s="196">
        <f t="shared" si="11"/>
        <v>165</v>
      </c>
      <c r="S142" s="578" t="str">
        <f t="shared" si="12"/>
        <v>Stigmate: Water Hammer City</v>
      </c>
    </row>
    <row r="143" spans="1:19" x14ac:dyDescent="0.25">
      <c r="A143" s="186" t="s">
        <v>1057</v>
      </c>
      <c r="B143" s="186" t="s">
        <v>1057</v>
      </c>
      <c r="C143" s="4" t="s">
        <v>67</v>
      </c>
      <c r="D143" s="183">
        <v>-4</v>
      </c>
      <c r="E143" s="4" t="s">
        <v>2074</v>
      </c>
      <c r="F143" s="17">
        <v>168</v>
      </c>
      <c r="G143" s="163" t="s">
        <v>1058</v>
      </c>
      <c r="I143" s="196" t="b">
        <f>IF(Verso!$B$30=Désavantages!$A143,TRUE,FALSE)</f>
        <v>0</v>
      </c>
      <c r="J143" s="196" t="b">
        <f>IF(Verso!$B$31=Désavantages!$A143,TRUE,FALSE)</f>
        <v>0</v>
      </c>
      <c r="K143" s="196" t="b">
        <f>IF(Verso!$B$32=Désavantages!$A143,TRUE,FALSE)</f>
        <v>0</v>
      </c>
      <c r="L143" s="196" t="b">
        <f>IF(Verso!$B$33=Désavantages!$A143,TRUE,FALSE)</f>
        <v>0</v>
      </c>
      <c r="M143" s="196" t="b">
        <f>IF(Verso!$B$34=Désavantages!$A143,TRUE,FALSE)</f>
        <v>0</v>
      </c>
      <c r="N143" s="196" t="b">
        <f t="shared" si="13"/>
        <v>0</v>
      </c>
      <c r="Q143" s="196">
        <f t="shared" si="10"/>
        <v>143</v>
      </c>
      <c r="R143" s="196">
        <f t="shared" si="11"/>
        <v>166</v>
      </c>
      <c r="S143" s="578" t="str">
        <f t="shared" si="12"/>
        <v>Stigmate: Zakyo Toshi</v>
      </c>
    </row>
    <row r="144" spans="1:19" x14ac:dyDescent="0.25">
      <c r="A144" s="186" t="s">
        <v>1060</v>
      </c>
      <c r="B144" s="186" t="s">
        <v>1060</v>
      </c>
      <c r="C144" s="4" t="s">
        <v>67</v>
      </c>
      <c r="D144" s="183">
        <v>-6</v>
      </c>
      <c r="E144" s="4" t="s">
        <v>2074</v>
      </c>
      <c r="F144" s="17">
        <v>168</v>
      </c>
      <c r="G144" s="163" t="s">
        <v>1059</v>
      </c>
      <c r="I144" s="196" t="b">
        <f>IF(Verso!$B$30=Désavantages!$A144,TRUE,FALSE)</f>
        <v>0</v>
      </c>
      <c r="J144" s="196" t="b">
        <f>IF(Verso!$B$31=Désavantages!$A144,TRUE,FALSE)</f>
        <v>0</v>
      </c>
      <c r="K144" s="196" t="b">
        <f>IF(Verso!$B$32=Désavantages!$A144,TRUE,FALSE)</f>
        <v>0</v>
      </c>
      <c r="L144" s="196" t="b">
        <f>IF(Verso!$B$33=Désavantages!$A144,TRUE,FALSE)</f>
        <v>0</v>
      </c>
      <c r="M144" s="196" t="b">
        <f>IF(Verso!$B$34=Désavantages!$A144,TRUE,FALSE)</f>
        <v>0</v>
      </c>
      <c r="N144" s="196" t="b">
        <f t="shared" si="13"/>
        <v>0</v>
      </c>
      <c r="Q144" s="196">
        <f t="shared" si="10"/>
        <v>144</v>
      </c>
      <c r="R144" s="196">
        <f t="shared" si="11"/>
        <v>167</v>
      </c>
      <c r="S144" s="578" t="str">
        <f t="shared" si="12"/>
        <v>Survivant de la Cité Ruinée</v>
      </c>
    </row>
    <row r="145" spans="1:19" x14ac:dyDescent="0.25">
      <c r="A145" s="186" t="s">
        <v>1055</v>
      </c>
      <c r="B145" s="186" t="s">
        <v>1055</v>
      </c>
      <c r="C145" s="4" t="s">
        <v>67</v>
      </c>
      <c r="D145" s="183">
        <v>-2</v>
      </c>
      <c r="E145" s="4" t="s">
        <v>2074</v>
      </c>
      <c r="F145" s="17">
        <v>168</v>
      </c>
      <c r="G145" s="270" t="s">
        <v>1056</v>
      </c>
      <c r="I145" s="196" t="b">
        <f>IF(Verso!$B$30=Désavantages!$A145,TRUE,FALSE)</f>
        <v>0</v>
      </c>
      <c r="J145" s="196" t="b">
        <f>IF(Verso!$B$31=Désavantages!$A145,TRUE,FALSE)</f>
        <v>0</v>
      </c>
      <c r="K145" s="196" t="b">
        <f>IF(Verso!$B$32=Désavantages!$A145,TRUE,FALSE)</f>
        <v>0</v>
      </c>
      <c r="L145" s="196" t="b">
        <f>IF(Verso!$B$33=Désavantages!$A145,TRUE,FALSE)</f>
        <v>0</v>
      </c>
      <c r="M145" s="196" t="b">
        <f>IF(Verso!$B$34=Désavantages!$A145,TRUE,FALSE)</f>
        <v>0</v>
      </c>
      <c r="N145" s="196" t="b">
        <f t="shared" si="13"/>
        <v>0</v>
      </c>
      <c r="Q145" s="196">
        <f t="shared" si="10"/>
        <v>145</v>
      </c>
      <c r="R145" s="196">
        <f t="shared" si="11"/>
        <v>171</v>
      </c>
      <c r="S145" s="578" t="str">
        <f t="shared" si="12"/>
        <v>Tribunaux de la Cité Impériale</v>
      </c>
    </row>
    <row r="146" spans="1:19" x14ac:dyDescent="0.25">
      <c r="A146" s="186" t="s">
        <v>1020</v>
      </c>
      <c r="B146" s="186" t="s">
        <v>1020</v>
      </c>
      <c r="C146" s="4" t="s">
        <v>67</v>
      </c>
      <c r="D146" s="183">
        <v>-2</v>
      </c>
      <c r="E146" s="4" t="s">
        <v>2074</v>
      </c>
      <c r="F146" s="17">
        <v>60</v>
      </c>
      <c r="G146" s="163" t="s">
        <v>145</v>
      </c>
      <c r="I146" s="196" t="b">
        <f>IF(Verso!$B$30=Désavantages!$A146,TRUE,FALSE)</f>
        <v>0</v>
      </c>
      <c r="J146" s="196" t="b">
        <f>IF(Verso!$B$31=Désavantages!$A146,TRUE,FALSE)</f>
        <v>0</v>
      </c>
      <c r="K146" s="196" t="b">
        <f>IF(Verso!$B$32=Désavantages!$A146,TRUE,FALSE)</f>
        <v>0</v>
      </c>
      <c r="L146" s="196" t="b">
        <f>IF(Verso!$B$33=Désavantages!$A146,TRUE,FALSE)</f>
        <v>0</v>
      </c>
      <c r="M146" s="196" t="b">
        <f>IF(Verso!$B$34=Désavantages!$A146,TRUE,FALSE)</f>
        <v>0</v>
      </c>
      <c r="N146" s="196" t="b">
        <f t="shared" si="13"/>
        <v>0</v>
      </c>
      <c r="Q146" s="196">
        <f t="shared" si="10"/>
        <v>146</v>
      </c>
      <c r="R146" s="196">
        <f t="shared" si="11"/>
        <v>172</v>
      </c>
      <c r="S146" s="578" t="str">
        <f t="shared" si="12"/>
        <v>Vagabond</v>
      </c>
    </row>
    <row r="147" spans="1:19" x14ac:dyDescent="0.25">
      <c r="A147" s="186" t="s">
        <v>997</v>
      </c>
      <c r="B147" s="186" t="s">
        <v>997</v>
      </c>
      <c r="C147" s="4" t="s">
        <v>67</v>
      </c>
      <c r="D147" s="183">
        <f>IF(Recto!W3="5",-5,-4)</f>
        <v>-4</v>
      </c>
      <c r="E147" s="4" t="s">
        <v>3</v>
      </c>
      <c r="F147" s="17">
        <v>161</v>
      </c>
      <c r="G147" s="163" t="s">
        <v>124</v>
      </c>
      <c r="I147" s="196" t="b">
        <f>IF(Verso!$B$30=Désavantages!$A147,TRUE,FALSE)</f>
        <v>0</v>
      </c>
      <c r="J147" s="196" t="b">
        <f>IF(Verso!$B$31=Désavantages!$A147,TRUE,FALSE)</f>
        <v>0</v>
      </c>
      <c r="K147" s="196" t="b">
        <f>IF(Verso!$B$32=Désavantages!$A147,TRUE,FALSE)</f>
        <v>0</v>
      </c>
      <c r="L147" s="196" t="b">
        <f>IF(Verso!$B$33=Désavantages!$A147,TRUE,FALSE)</f>
        <v>0</v>
      </c>
      <c r="M147" s="196" t="b">
        <f>IF(Verso!$B$34=Désavantages!$A147,TRUE,FALSE)</f>
        <v>0</v>
      </c>
      <c r="N147" s="196" t="b">
        <f t="shared" si="13"/>
        <v>0</v>
      </c>
      <c r="Q147" s="196">
        <f t="shared" si="10"/>
        <v>147</v>
      </c>
      <c r="R147" s="196">
        <f t="shared" si="11"/>
        <v>173</v>
      </c>
      <c r="S147" s="578" t="str">
        <f t="shared" si="12"/>
        <v>Vaniteux</v>
      </c>
    </row>
    <row r="148" spans="1:19" x14ac:dyDescent="0.25">
      <c r="A148" s="186" t="s">
        <v>998</v>
      </c>
      <c r="B148" s="186" t="s">
        <v>998</v>
      </c>
      <c r="C148" s="4" t="s">
        <v>65</v>
      </c>
      <c r="D148" s="183">
        <f>IF(Clan="Araignée",-5,-4)</f>
        <v>-4</v>
      </c>
      <c r="E148" s="4" t="s">
        <v>3</v>
      </c>
      <c r="F148" s="17">
        <v>162</v>
      </c>
      <c r="G148" s="163" t="s">
        <v>1005</v>
      </c>
      <c r="I148" s="196" t="b">
        <f>IF(Verso!$B$30=Désavantages!$A148,TRUE,FALSE)</f>
        <v>0</v>
      </c>
      <c r="J148" s="196" t="b">
        <f>IF(Verso!$B$31=Désavantages!$A148,TRUE,FALSE)</f>
        <v>0</v>
      </c>
      <c r="K148" s="196" t="b">
        <f>IF(Verso!$B$32=Désavantages!$A148,TRUE,FALSE)</f>
        <v>0</v>
      </c>
      <c r="L148" s="196" t="b">
        <f>IF(Verso!$B$33=Désavantages!$A148,TRUE,FALSE)</f>
        <v>0</v>
      </c>
      <c r="M148" s="196" t="b">
        <f>IF(Verso!$B$34=Désavantages!$A148,TRUE,FALSE)</f>
        <v>0</v>
      </c>
      <c r="N148" s="196" t="b">
        <f t="shared" si="13"/>
        <v>0</v>
      </c>
      <c r="Q148" s="196">
        <f t="shared" si="10"/>
        <v>148</v>
      </c>
      <c r="R148" s="196">
        <f t="shared" si="11"/>
        <v>174</v>
      </c>
      <c r="S148" s="578" t="str">
        <f t="shared" si="12"/>
        <v>Vieux</v>
      </c>
    </row>
    <row r="149" spans="1:19" x14ac:dyDescent="0.25">
      <c r="A149" s="186" t="s">
        <v>999</v>
      </c>
      <c r="B149" s="186" t="s">
        <v>999</v>
      </c>
      <c r="C149" s="4" t="s">
        <v>65</v>
      </c>
      <c r="D149" s="183">
        <f>IF(Clan="Araignée",-5,-4)</f>
        <v>-4</v>
      </c>
      <c r="E149" s="4" t="s">
        <v>3</v>
      </c>
      <c r="F149" s="17">
        <v>162</v>
      </c>
      <c r="G149" s="163" t="s">
        <v>1006</v>
      </c>
      <c r="I149" s="196" t="b">
        <f>IF(Verso!$B$30=Désavantages!$A149,TRUE,FALSE)</f>
        <v>0</v>
      </c>
      <c r="J149" s="196" t="b">
        <f>IF(Verso!$B$31=Désavantages!$A149,TRUE,FALSE)</f>
        <v>0</v>
      </c>
      <c r="K149" s="196" t="b">
        <f>IF(Verso!$B$32=Désavantages!$A149,TRUE,FALSE)</f>
        <v>0</v>
      </c>
      <c r="L149" s="196" t="b">
        <f>IF(Verso!$B$33=Désavantages!$A149,TRUE,FALSE)</f>
        <v>0</v>
      </c>
      <c r="M149" s="196" t="b">
        <f>IF(Verso!$B$34=Désavantages!$A149,TRUE,FALSE)</f>
        <v>0</v>
      </c>
      <c r="N149" s="196" t="b">
        <f t="shared" si="13"/>
        <v>0</v>
      </c>
      <c r="Q149" s="196">
        <f t="shared" si="10"/>
        <v>149</v>
      </c>
      <c r="R149" s="196">
        <f t="shared" si="11"/>
        <v>175</v>
      </c>
      <c r="S149" s="578" t="str">
        <f t="shared" si="12"/>
        <v>Vénérable</v>
      </c>
    </row>
    <row r="150" spans="1:19" x14ac:dyDescent="0.25">
      <c r="A150" s="186" t="s">
        <v>1000</v>
      </c>
      <c r="B150" s="186" t="s">
        <v>1000</v>
      </c>
      <c r="C150" s="4" t="s">
        <v>65</v>
      </c>
      <c r="D150" s="183">
        <f>IF(Clan="Araignée",-6,-5)</f>
        <v>-5</v>
      </c>
      <c r="E150" s="4" t="s">
        <v>3</v>
      </c>
      <c r="F150" s="17">
        <v>162</v>
      </c>
      <c r="G150" s="163" t="s">
        <v>1007</v>
      </c>
      <c r="I150" s="196" t="b">
        <f>IF(Verso!$B$30=Désavantages!$A150,TRUE,FALSE)</f>
        <v>0</v>
      </c>
      <c r="J150" s="196" t="b">
        <f>IF(Verso!$B$31=Désavantages!$A150,TRUE,FALSE)</f>
        <v>0</v>
      </c>
      <c r="K150" s="196" t="b">
        <f>IF(Verso!$B$32=Désavantages!$A150,TRUE,FALSE)</f>
        <v>0</v>
      </c>
      <c r="L150" s="196" t="b">
        <f>IF(Verso!$B$33=Désavantages!$A150,TRUE,FALSE)</f>
        <v>0</v>
      </c>
      <c r="M150" s="196" t="b">
        <f>IF(Verso!$B$34=Désavantages!$A150,TRUE,FALSE)</f>
        <v>0</v>
      </c>
      <c r="N150" s="196" t="b">
        <f t="shared" si="13"/>
        <v>0</v>
      </c>
      <c r="Q150" s="196">
        <f t="shared" si="10"/>
        <v>150</v>
      </c>
      <c r="R150" s="196" t="str">
        <f t="shared" si="11"/>
        <v/>
      </c>
      <c r="S150" s="578" t="str">
        <f t="shared" si="12"/>
        <v/>
      </c>
    </row>
    <row r="151" spans="1:19" x14ac:dyDescent="0.25">
      <c r="A151" s="186" t="s">
        <v>1001</v>
      </c>
      <c r="B151" s="186" t="s">
        <v>1001</v>
      </c>
      <c r="C151" s="4" t="s">
        <v>65</v>
      </c>
      <c r="D151" s="183">
        <f>IF(Clan="Araignée",-5,-4)</f>
        <v>-4</v>
      </c>
      <c r="E151" s="4" t="s">
        <v>3</v>
      </c>
      <c r="F151" s="17">
        <v>162</v>
      </c>
      <c r="G151" s="163" t="s">
        <v>5802</v>
      </c>
      <c r="I151" s="196" t="b">
        <f>IF(Verso!$B$30=Désavantages!$A151,TRUE,FALSE)</f>
        <v>0</v>
      </c>
      <c r="J151" s="196" t="b">
        <f>IF(Verso!$B$31=Désavantages!$A151,TRUE,FALSE)</f>
        <v>0</v>
      </c>
      <c r="K151" s="196" t="b">
        <f>IF(Verso!$B$32=Désavantages!$A151,TRUE,FALSE)</f>
        <v>0</v>
      </c>
      <c r="L151" s="196" t="b">
        <f>IF(Verso!$B$33=Désavantages!$A151,TRUE,FALSE)</f>
        <v>0</v>
      </c>
      <c r="M151" s="196" t="b">
        <f>IF(Verso!$B$34=Désavantages!$A151,TRUE,FALSE)</f>
        <v>0</v>
      </c>
      <c r="N151" s="196" t="b">
        <f t="shared" si="13"/>
        <v>0</v>
      </c>
      <c r="Q151" s="196">
        <f t="shared" si="10"/>
        <v>151</v>
      </c>
      <c r="R151" s="196" t="str">
        <f t="shared" si="11"/>
        <v/>
      </c>
      <c r="S151" s="578" t="str">
        <f t="shared" si="12"/>
        <v/>
      </c>
    </row>
    <row r="152" spans="1:19" x14ac:dyDescent="0.25">
      <c r="A152" s="186" t="s">
        <v>1002</v>
      </c>
      <c r="B152" s="186" t="s">
        <v>1002</v>
      </c>
      <c r="C152" s="4" t="s">
        <v>65</v>
      </c>
      <c r="D152" s="183">
        <f>IF(Clan="Araignée",-6,-5)</f>
        <v>-5</v>
      </c>
      <c r="E152" s="4" t="s">
        <v>3</v>
      </c>
      <c r="F152" s="17">
        <v>162</v>
      </c>
      <c r="G152" s="163" t="s">
        <v>1008</v>
      </c>
      <c r="I152" s="196" t="b">
        <f>IF(Verso!$B$30=Désavantages!$A152,TRUE,FALSE)</f>
        <v>0</v>
      </c>
      <c r="J152" s="196" t="b">
        <f>IF(Verso!$B$31=Désavantages!$A152,TRUE,FALSE)</f>
        <v>0</v>
      </c>
      <c r="K152" s="196" t="b">
        <f>IF(Verso!$B$32=Désavantages!$A152,TRUE,FALSE)</f>
        <v>0</v>
      </c>
      <c r="L152" s="196" t="b">
        <f>IF(Verso!$B$33=Désavantages!$A152,TRUE,FALSE)</f>
        <v>0</v>
      </c>
      <c r="M152" s="196" t="b">
        <f>IF(Verso!$B$34=Désavantages!$A152,TRUE,FALSE)</f>
        <v>0</v>
      </c>
      <c r="N152" s="196" t="b">
        <f t="shared" si="13"/>
        <v>0</v>
      </c>
      <c r="Q152" s="196">
        <f t="shared" si="10"/>
        <v>152</v>
      </c>
      <c r="R152" s="196" t="str">
        <f t="shared" si="11"/>
        <v/>
      </c>
      <c r="S152" s="578" t="str">
        <f t="shared" si="12"/>
        <v/>
      </c>
    </row>
    <row r="153" spans="1:19" x14ac:dyDescent="0.25">
      <c r="A153" s="186" t="s">
        <v>1003</v>
      </c>
      <c r="B153" s="186" t="s">
        <v>1003</v>
      </c>
      <c r="C153" s="4" t="s">
        <v>65</v>
      </c>
      <c r="D153" s="183">
        <f>IF(Clan="Araignée",-5,-4)</f>
        <v>-4</v>
      </c>
      <c r="E153" s="4" t="s">
        <v>3</v>
      </c>
      <c r="F153" s="17">
        <v>162</v>
      </c>
      <c r="G153" s="270" t="s">
        <v>1009</v>
      </c>
      <c r="I153" s="196" t="b">
        <f>IF(Verso!$B$30=Désavantages!$A153,TRUE,FALSE)</f>
        <v>0</v>
      </c>
      <c r="J153" s="196" t="b">
        <f>IF(Verso!$B$31=Désavantages!$A153,TRUE,FALSE)</f>
        <v>0</v>
      </c>
      <c r="K153" s="196" t="b">
        <f>IF(Verso!$B$32=Désavantages!$A153,TRUE,FALSE)</f>
        <v>0</v>
      </c>
      <c r="L153" s="196" t="b">
        <f>IF(Verso!$B$33=Désavantages!$A153,TRUE,FALSE)</f>
        <v>0</v>
      </c>
      <c r="M153" s="196" t="b">
        <f>IF(Verso!$B$34=Désavantages!$A153,TRUE,FALSE)</f>
        <v>0</v>
      </c>
      <c r="N153" s="196" t="b">
        <f t="shared" si="13"/>
        <v>0</v>
      </c>
      <c r="Q153" s="196">
        <f t="shared" si="10"/>
        <v>153</v>
      </c>
      <c r="R153" s="196" t="str">
        <f t="shared" si="11"/>
        <v/>
      </c>
      <c r="S153" s="578" t="str">
        <f t="shared" si="12"/>
        <v/>
      </c>
    </row>
    <row r="154" spans="1:19" x14ac:dyDescent="0.25">
      <c r="A154" s="186" t="s">
        <v>1004</v>
      </c>
      <c r="B154" s="186" t="s">
        <v>1004</v>
      </c>
      <c r="C154" s="4" t="s">
        <v>65</v>
      </c>
      <c r="D154" s="183">
        <f>IF(Clan="Araignée",-5,-4)</f>
        <v>-4</v>
      </c>
      <c r="E154" s="4" t="s">
        <v>3</v>
      </c>
      <c r="F154" s="17">
        <v>162</v>
      </c>
      <c r="G154" s="270" t="s">
        <v>1010</v>
      </c>
      <c r="I154" s="196" t="b">
        <f>IF(Verso!$B$30=Désavantages!$A154,TRUE,FALSE)</f>
        <v>0</v>
      </c>
      <c r="J154" s="196" t="b">
        <f>IF(Verso!$B$31=Désavantages!$A154,TRUE,FALSE)</f>
        <v>0</v>
      </c>
      <c r="K154" s="196" t="b">
        <f>IF(Verso!$B$32=Désavantages!$A154,TRUE,FALSE)</f>
        <v>0</v>
      </c>
      <c r="L154" s="196" t="b">
        <f>IF(Verso!$B$33=Désavantages!$A154,TRUE,FALSE)</f>
        <v>0</v>
      </c>
      <c r="M154" s="196" t="b">
        <f>IF(Verso!$B$34=Désavantages!$A154,TRUE,FALSE)</f>
        <v>0</v>
      </c>
      <c r="N154" s="196" t="b">
        <f t="shared" si="13"/>
        <v>0</v>
      </c>
      <c r="Q154" s="196">
        <f t="shared" si="10"/>
        <v>154</v>
      </c>
      <c r="R154" s="196" t="str">
        <f t="shared" si="11"/>
        <v/>
      </c>
      <c r="S154" s="578" t="str">
        <f t="shared" si="12"/>
        <v/>
      </c>
    </row>
    <row r="155" spans="1:19" x14ac:dyDescent="0.25">
      <c r="A155" s="186" t="s">
        <v>568</v>
      </c>
      <c r="B155" s="186" t="str">
        <f>IF(Recto!$C$3=H155,CONCATENATE(A155),"")</f>
        <v/>
      </c>
      <c r="C155" s="4" t="s">
        <v>629</v>
      </c>
      <c r="D155" s="183">
        <v>-9</v>
      </c>
      <c r="E155" s="4" t="s">
        <v>2075</v>
      </c>
      <c r="F155" s="17">
        <v>111</v>
      </c>
      <c r="G155" s="270" t="s">
        <v>141</v>
      </c>
      <c r="H155" s="196" t="s">
        <v>56</v>
      </c>
      <c r="I155" s="196" t="b">
        <f>IF(Verso!$B$30=Désavantages!$A155,TRUE,FALSE)</f>
        <v>0</v>
      </c>
      <c r="J155" s="196" t="b">
        <f>IF(Verso!$B$31=Désavantages!$A155,TRUE,FALSE)</f>
        <v>0</v>
      </c>
      <c r="K155" s="196" t="b">
        <f>IF(Verso!$B$32=Désavantages!$A155,TRUE,FALSE)</f>
        <v>0</v>
      </c>
      <c r="L155" s="196" t="b">
        <f>IF(Verso!$B$33=Désavantages!$A155,TRUE,FALSE)</f>
        <v>0</v>
      </c>
      <c r="M155" s="196" t="b">
        <f>IF(Verso!$B$34=Désavantages!$A155,TRUE,FALSE)</f>
        <v>0</v>
      </c>
      <c r="N155" s="196" t="b">
        <f t="shared" si="13"/>
        <v>0</v>
      </c>
      <c r="Q155" s="196" t="str">
        <f t="shared" si="10"/>
        <v/>
      </c>
      <c r="R155" s="196" t="str">
        <f t="shared" si="11"/>
        <v/>
      </c>
      <c r="S155" s="578" t="str">
        <f t="shared" si="12"/>
        <v/>
      </c>
    </row>
    <row r="156" spans="1:19" x14ac:dyDescent="0.25">
      <c r="A156" s="186" t="s">
        <v>1011</v>
      </c>
      <c r="B156" s="186" t="s">
        <v>1011</v>
      </c>
      <c r="C156" s="4" t="s">
        <v>629</v>
      </c>
      <c r="D156" s="183">
        <v>-3</v>
      </c>
      <c r="E156" s="4" t="s">
        <v>3</v>
      </c>
      <c r="F156" s="17">
        <v>162</v>
      </c>
      <c r="G156" s="163" t="s">
        <v>131</v>
      </c>
      <c r="I156" s="196" t="b">
        <f>IF(Verso!$B$30=Désavantages!$A156,TRUE,FALSE)</f>
        <v>0</v>
      </c>
      <c r="J156" s="196" t="b">
        <f>IF(Verso!$B$31=Désavantages!$A156,TRUE,FALSE)</f>
        <v>0</v>
      </c>
      <c r="K156" s="196" t="b">
        <f>IF(Verso!$B$32=Désavantages!$A156,TRUE,FALSE)</f>
        <v>0</v>
      </c>
      <c r="L156" s="196" t="b">
        <f>IF(Verso!$B$33=Désavantages!$A156,TRUE,FALSE)</f>
        <v>0</v>
      </c>
      <c r="M156" s="196" t="b">
        <f>IF(Verso!$B$34=Désavantages!$A156,TRUE,FALSE)</f>
        <v>0</v>
      </c>
      <c r="N156" s="196" t="b">
        <f t="shared" si="13"/>
        <v>0</v>
      </c>
      <c r="Q156" s="196">
        <f t="shared" si="10"/>
        <v>156</v>
      </c>
      <c r="R156" s="196" t="str">
        <f t="shared" si="11"/>
        <v/>
      </c>
      <c r="S156" s="578" t="str">
        <f t="shared" si="12"/>
        <v/>
      </c>
    </row>
    <row r="157" spans="1:19" x14ac:dyDescent="0.25">
      <c r="A157" s="186" t="s">
        <v>1012</v>
      </c>
      <c r="B157" s="186" t="s">
        <v>1012</v>
      </c>
      <c r="C157" s="4" t="s">
        <v>67</v>
      </c>
      <c r="D157" s="183">
        <f>IF(Recto!W3="N",-5,-4)</f>
        <v>-4</v>
      </c>
      <c r="E157" s="4" t="s">
        <v>3</v>
      </c>
      <c r="F157" s="17">
        <v>162</v>
      </c>
      <c r="G157" s="163" t="s">
        <v>132</v>
      </c>
      <c r="I157" s="196" t="b">
        <f>IF(Verso!$B$30=Désavantages!$A157,TRUE,FALSE)</f>
        <v>0</v>
      </c>
      <c r="J157" s="196" t="b">
        <f>IF(Verso!$B$31=Désavantages!$A157,TRUE,FALSE)</f>
        <v>0</v>
      </c>
      <c r="K157" s="196" t="b">
        <f>IF(Verso!$B$32=Désavantages!$A157,TRUE,FALSE)</f>
        <v>0</v>
      </c>
      <c r="L157" s="196" t="b">
        <f>IF(Verso!$B$33=Désavantages!$A157,TRUE,FALSE)</f>
        <v>0</v>
      </c>
      <c r="M157" s="196" t="b">
        <f>IF(Verso!$B$34=Désavantages!$A157,TRUE,FALSE)</f>
        <v>0</v>
      </c>
      <c r="N157" s="196" t="b">
        <f t="shared" si="13"/>
        <v>0</v>
      </c>
      <c r="Q157" s="196">
        <f t="shared" si="10"/>
        <v>157</v>
      </c>
      <c r="R157" s="196" t="str">
        <f t="shared" si="11"/>
        <v/>
      </c>
      <c r="S157" s="578" t="str">
        <f t="shared" si="12"/>
        <v/>
      </c>
    </row>
    <row r="158" spans="1:19" x14ac:dyDescent="0.25">
      <c r="A158" s="186" t="s">
        <v>7582</v>
      </c>
      <c r="B158" s="186" t="s">
        <v>7582</v>
      </c>
      <c r="C158" s="4" t="s">
        <v>7588</v>
      </c>
      <c r="D158" s="183">
        <v>-4</v>
      </c>
      <c r="E158" s="4" t="s">
        <v>7453</v>
      </c>
      <c r="F158" s="17">
        <v>93</v>
      </c>
      <c r="G158" s="163" t="s">
        <v>7583</v>
      </c>
      <c r="I158" s="196" t="b">
        <f>IF(Verso!$B$30=Désavantages!$A158,TRUE,FALSE)</f>
        <v>0</v>
      </c>
      <c r="J158" s="196" t="b">
        <f>IF(Verso!$B$31=Désavantages!$A158,TRUE,FALSE)</f>
        <v>0</v>
      </c>
      <c r="K158" s="196" t="b">
        <f>IF(Verso!$B$32=Désavantages!$A158,TRUE,FALSE)</f>
        <v>0</v>
      </c>
      <c r="L158" s="196" t="b">
        <f>IF(Verso!$B$33=Désavantages!$A158,TRUE,FALSE)</f>
        <v>0</v>
      </c>
      <c r="M158" s="196" t="b">
        <f>IF(Verso!$B$34=Désavantages!$A158,TRUE,FALSE)</f>
        <v>0</v>
      </c>
      <c r="N158" s="196" t="b">
        <f t="shared" si="13"/>
        <v>0</v>
      </c>
      <c r="Q158" s="196">
        <f t="shared" si="10"/>
        <v>158</v>
      </c>
      <c r="R158" s="196" t="str">
        <f t="shared" si="11"/>
        <v/>
      </c>
      <c r="S158" s="578" t="str">
        <f t="shared" si="12"/>
        <v/>
      </c>
    </row>
    <row r="159" spans="1:19" x14ac:dyDescent="0.25">
      <c r="A159" s="186" t="s">
        <v>7584</v>
      </c>
      <c r="B159" s="186" t="s">
        <v>7584</v>
      </c>
      <c r="C159" s="4" t="s">
        <v>628</v>
      </c>
      <c r="D159" s="183">
        <v>-3</v>
      </c>
      <c r="E159" s="4" t="s">
        <v>7453</v>
      </c>
      <c r="F159" s="17">
        <v>93</v>
      </c>
      <c r="G159" s="163" t="s">
        <v>7585</v>
      </c>
      <c r="I159" s="196" t="b">
        <f>IF(Verso!$B$30=Désavantages!$A159,TRUE,FALSE)</f>
        <v>0</v>
      </c>
      <c r="J159" s="196" t="b">
        <f>IF(Verso!$B$31=Désavantages!$A159,TRUE,FALSE)</f>
        <v>0</v>
      </c>
      <c r="K159" s="196" t="b">
        <f>IF(Verso!$B$32=Désavantages!$A159,TRUE,FALSE)</f>
        <v>0</v>
      </c>
      <c r="L159" s="196" t="b">
        <f>IF(Verso!$B$33=Désavantages!$A159,TRUE,FALSE)</f>
        <v>0</v>
      </c>
      <c r="M159" s="196" t="b">
        <f>IF(Verso!$B$34=Désavantages!$A159,TRUE,FALSE)</f>
        <v>0</v>
      </c>
      <c r="N159" s="196" t="b">
        <f t="shared" si="13"/>
        <v>0</v>
      </c>
      <c r="Q159" s="196">
        <f t="shared" si="10"/>
        <v>159</v>
      </c>
      <c r="R159" s="196" t="str">
        <f t="shared" si="11"/>
        <v/>
      </c>
      <c r="S159" s="578" t="str">
        <f t="shared" si="12"/>
        <v/>
      </c>
    </row>
    <row r="160" spans="1:19" x14ac:dyDescent="0.25">
      <c r="A160" s="186" t="s">
        <v>945</v>
      </c>
      <c r="B160" s="186" t="s">
        <v>945</v>
      </c>
      <c r="C160" s="4" t="s">
        <v>629</v>
      </c>
      <c r="D160" s="183">
        <v>-4</v>
      </c>
      <c r="E160" s="4" t="s">
        <v>3</v>
      </c>
      <c r="F160" s="17">
        <v>162</v>
      </c>
      <c r="G160" s="163" t="s">
        <v>944</v>
      </c>
      <c r="I160" s="196" t="b">
        <f>IF(Verso!$B$30=Désavantages!$A160,TRUE,FALSE)</f>
        <v>0</v>
      </c>
      <c r="J160" s="196" t="b">
        <f>IF(Verso!$B$31=Désavantages!$A160,TRUE,FALSE)</f>
        <v>0</v>
      </c>
      <c r="K160" s="196" t="b">
        <f>IF(Verso!$B$32=Désavantages!$A160,TRUE,FALSE)</f>
        <v>0</v>
      </c>
      <c r="L160" s="196" t="b">
        <f>IF(Verso!$B$33=Désavantages!$A160,TRUE,FALSE)</f>
        <v>0</v>
      </c>
      <c r="M160" s="196" t="b">
        <f>IF(Verso!$B$34=Désavantages!$A160,TRUE,FALSE)</f>
        <v>0</v>
      </c>
      <c r="N160" s="196" t="b">
        <f t="shared" si="13"/>
        <v>0</v>
      </c>
      <c r="Q160" s="196">
        <f t="shared" si="10"/>
        <v>160</v>
      </c>
      <c r="R160" s="196" t="str">
        <f t="shared" si="11"/>
        <v/>
      </c>
      <c r="S160" s="578" t="str">
        <f t="shared" si="12"/>
        <v/>
      </c>
    </row>
    <row r="161" spans="1:19" x14ac:dyDescent="0.25">
      <c r="A161" s="186" t="str">
        <f>IF(Contexte_jeu="L'Empire Stellaire d'Emeraude","Stigmate: Osano-wo Reach","Stigmate: Broken Wave")</f>
        <v>Stigmate: Broken Wave</v>
      </c>
      <c r="B161" s="186" t="str">
        <f>IF(Contexte_jeu="L'Empire Stellaire d'Emeraude","Stigmate: Osano-wo Reach","Stigmate: Broken Wave")</f>
        <v>Stigmate: Broken Wave</v>
      </c>
      <c r="C161" s="4" t="s">
        <v>67</v>
      </c>
      <c r="D161" s="183">
        <v>-2</v>
      </c>
      <c r="E161" s="4" t="s">
        <v>2074</v>
      </c>
      <c r="F161" s="17">
        <v>24</v>
      </c>
      <c r="G161" s="163" t="s">
        <v>843</v>
      </c>
      <c r="I161" s="196" t="b">
        <f>IF(Verso!$B$30=Désavantages!$A161,TRUE,FALSE)</f>
        <v>0</v>
      </c>
      <c r="J161" s="196" t="b">
        <f>IF(Verso!$B$31=Désavantages!$A161,TRUE,FALSE)</f>
        <v>0</v>
      </c>
      <c r="K161" s="196" t="b">
        <f>IF(Verso!$B$32=Désavantages!$A161,TRUE,FALSE)</f>
        <v>0</v>
      </c>
      <c r="L161" s="196" t="b">
        <f>IF(Verso!$B$33=Désavantages!$A161,TRUE,FALSE)</f>
        <v>0</v>
      </c>
      <c r="M161" s="196" t="b">
        <f>IF(Verso!$B$34=Désavantages!$A161,TRUE,FALSE)</f>
        <v>0</v>
      </c>
      <c r="N161" s="196" t="b">
        <f t="shared" si="13"/>
        <v>0</v>
      </c>
      <c r="Q161" s="196">
        <f t="shared" si="10"/>
        <v>161</v>
      </c>
      <c r="R161" s="196" t="str">
        <f t="shared" si="11"/>
        <v/>
      </c>
      <c r="S161" s="578" t="str">
        <f t="shared" si="12"/>
        <v/>
      </c>
    </row>
    <row r="162" spans="1:19" x14ac:dyDescent="0.25">
      <c r="A162" s="186" t="str">
        <f>IF(Contexte_jeu="L'Empire Stellaire d'Emeraude","Stigmate: Rokugan Prime","Stigmate: Cité Impériale")</f>
        <v>Stigmate: Cité Impériale</v>
      </c>
      <c r="B162" s="186" t="str">
        <f>IF(Contexte_jeu="L'Empire Stellaire d'Emeraude","Stigmate: Rokugan Prime","Stigmate: Cité Impériale")</f>
        <v>Stigmate: Cité Impériale</v>
      </c>
      <c r="C162" s="4" t="s">
        <v>67</v>
      </c>
      <c r="D162" s="183">
        <v>-4</v>
      </c>
      <c r="E162" s="4" t="s">
        <v>2074</v>
      </c>
      <c r="F162" s="17">
        <v>107</v>
      </c>
      <c r="G162" s="163" t="s">
        <v>1080</v>
      </c>
      <c r="I162" s="196" t="b">
        <f>IF(Verso!$B$30=Désavantages!$A162,TRUE,FALSE)</f>
        <v>0</v>
      </c>
      <c r="J162" s="196" t="b">
        <f>IF(Verso!$B$31=Désavantages!$A162,TRUE,FALSE)</f>
        <v>0</v>
      </c>
      <c r="K162" s="196" t="b">
        <f>IF(Verso!$B$32=Désavantages!$A162,TRUE,FALSE)</f>
        <v>0</v>
      </c>
      <c r="L162" s="196" t="b">
        <f>IF(Verso!$B$33=Désavantages!$A162,TRUE,FALSE)</f>
        <v>0</v>
      </c>
      <c r="M162" s="196" t="b">
        <f>IF(Verso!$B$34=Désavantages!$A162,TRUE,FALSE)</f>
        <v>0</v>
      </c>
      <c r="N162" s="196" t="b">
        <f t="shared" si="13"/>
        <v>0</v>
      </c>
      <c r="Q162" s="196">
        <f t="shared" si="10"/>
        <v>162</v>
      </c>
      <c r="R162" s="196" t="str">
        <f t="shared" si="11"/>
        <v/>
      </c>
      <c r="S162" s="578" t="str">
        <f t="shared" si="12"/>
        <v/>
      </c>
    </row>
    <row r="163" spans="1:19" x14ac:dyDescent="0.25">
      <c r="A163" s="186" t="str">
        <f>IF(Contexte_jeu="L'Empire Stellaire d'Emeraude","Stigmate: Hida Prime","Stigmate: Clear Water")</f>
        <v>Stigmate: Clear Water</v>
      </c>
      <c r="B163" s="186" t="s">
        <v>1021</v>
      </c>
      <c r="C163" s="4" t="s">
        <v>67</v>
      </c>
      <c r="D163" s="183">
        <v>-2</v>
      </c>
      <c r="E163" s="4" t="s">
        <v>2074</v>
      </c>
      <c r="F163" s="17">
        <v>44</v>
      </c>
      <c r="G163" s="163" t="s">
        <v>144</v>
      </c>
      <c r="I163" s="196" t="b">
        <f>IF(Verso!$B$30=Désavantages!$A163,TRUE,FALSE)</f>
        <v>0</v>
      </c>
      <c r="J163" s="196" t="b">
        <f>IF(Verso!$B$31=Désavantages!$A163,TRUE,FALSE)</f>
        <v>0</v>
      </c>
      <c r="K163" s="196" t="b">
        <f>IF(Verso!$B$32=Désavantages!$A163,TRUE,FALSE)</f>
        <v>0</v>
      </c>
      <c r="L163" s="196" t="b">
        <f>IF(Verso!$B$33=Désavantages!$A163,TRUE,FALSE)</f>
        <v>0</v>
      </c>
      <c r="M163" s="196" t="b">
        <f>IF(Verso!$B$34=Désavantages!$A163,TRUE,FALSE)</f>
        <v>0</v>
      </c>
      <c r="N163" s="196" t="b">
        <f t="shared" si="13"/>
        <v>0</v>
      </c>
      <c r="Q163" s="196">
        <f t="shared" si="10"/>
        <v>163</v>
      </c>
      <c r="R163" s="196" t="str">
        <f t="shared" si="11"/>
        <v/>
      </c>
      <c r="S163" s="578" t="str">
        <f t="shared" si="12"/>
        <v/>
      </c>
    </row>
    <row r="164" spans="1:19" x14ac:dyDescent="0.25">
      <c r="A164" s="186" t="str">
        <f>IF(Contexte_jeu="L'Empire Stellaire d'Emeraude","Stigmate: Ujimitsu","Stigmate: Nikesake")</f>
        <v>Stigmate: Nikesake</v>
      </c>
      <c r="B164" s="186" t="s">
        <v>1022</v>
      </c>
      <c r="C164" s="4" t="s">
        <v>67</v>
      </c>
      <c r="D164" s="183">
        <v>-4</v>
      </c>
      <c r="E164" s="4" t="s">
        <v>2074</v>
      </c>
      <c r="F164" s="17">
        <v>75</v>
      </c>
      <c r="G164" s="163" t="s">
        <v>844</v>
      </c>
      <c r="I164" s="196" t="b">
        <f>IF(Verso!$B$30=Désavantages!$A164,TRUE,FALSE)</f>
        <v>0</v>
      </c>
      <c r="J164" s="196" t="b">
        <f>IF(Verso!$B$31=Désavantages!$A164,TRUE,FALSE)</f>
        <v>0</v>
      </c>
      <c r="K164" s="196" t="b">
        <f>IF(Verso!$B$32=Désavantages!$A164,TRUE,FALSE)</f>
        <v>0</v>
      </c>
      <c r="L164" s="196" t="b">
        <f>IF(Verso!$B$33=Désavantages!$A164,TRUE,FALSE)</f>
        <v>0</v>
      </c>
      <c r="M164" s="196" t="b">
        <f>IF(Verso!$B$34=Désavantages!$A164,TRUE,FALSE)</f>
        <v>0</v>
      </c>
      <c r="N164" s="196" t="b">
        <f t="shared" si="13"/>
        <v>0</v>
      </c>
      <c r="Q164" s="196">
        <f t="shared" si="10"/>
        <v>164</v>
      </c>
      <c r="R164" s="196" t="str">
        <f t="shared" si="11"/>
        <v/>
      </c>
      <c r="S164" s="578" t="str">
        <f t="shared" si="12"/>
        <v/>
      </c>
    </row>
    <row r="165" spans="1:19" x14ac:dyDescent="0.25">
      <c r="A165" s="186" t="str">
        <f>IF(Contexte_jeu="L'Empire Stellaire d'Emeraude","Stigmate: Dragon's Eye","Stigmate: Water Hammer City")</f>
        <v>Stigmate: Water Hammer City</v>
      </c>
      <c r="B165" s="186" t="str">
        <f>IF(Contexte_jeu="L'Empire Stellaire d'Emeraude","Stigmate: Dragon's Eye","Stigmate: Water Hammer City")</f>
        <v>Stigmate: Water Hammer City</v>
      </c>
      <c r="C165" s="4" t="s">
        <v>67</v>
      </c>
      <c r="D165" s="183">
        <v>-4</v>
      </c>
      <c r="E165" s="4" t="s">
        <v>2074</v>
      </c>
      <c r="F165" s="17">
        <v>107</v>
      </c>
      <c r="G165" s="163" t="s">
        <v>845</v>
      </c>
      <c r="I165" s="196" t="b">
        <f>IF(Verso!$B$30=Désavantages!$A165,TRUE,FALSE)</f>
        <v>0</v>
      </c>
      <c r="J165" s="196" t="b">
        <f>IF(Verso!$B$31=Désavantages!$A165,TRUE,FALSE)</f>
        <v>0</v>
      </c>
      <c r="K165" s="196" t="b">
        <f>IF(Verso!$B$32=Désavantages!$A165,TRUE,FALSE)</f>
        <v>0</v>
      </c>
      <c r="L165" s="196" t="b">
        <f>IF(Verso!$B$33=Désavantages!$A165,TRUE,FALSE)</f>
        <v>0</v>
      </c>
      <c r="M165" s="196" t="b">
        <f>IF(Verso!$B$34=Désavantages!$A165,TRUE,FALSE)</f>
        <v>0</v>
      </c>
      <c r="N165" s="196" t="b">
        <f t="shared" si="13"/>
        <v>0</v>
      </c>
      <c r="Q165" s="196">
        <f t="shared" si="10"/>
        <v>165</v>
      </c>
      <c r="R165" s="196" t="str">
        <f t="shared" si="11"/>
        <v/>
      </c>
      <c r="S165" s="578" t="str">
        <f t="shared" si="12"/>
        <v/>
      </c>
    </row>
    <row r="166" spans="1:19" x14ac:dyDescent="0.25">
      <c r="A166" s="186" t="str">
        <f>IF(Contexte_jeu="L'Empire Stellaire d'Emeraude","Stigmate: World of Dreams","Stigmate: Zakyo Toshi")</f>
        <v>Stigmate: Zakyo Toshi</v>
      </c>
      <c r="B166" s="186" t="str">
        <f>IF(Contexte_jeu="L'Empire Stellaire d'Emeraude","Stigmate: World of Dreams","Stigmate: Zakyo Toshi")</f>
        <v>Stigmate: Zakyo Toshi</v>
      </c>
      <c r="C166" s="4" t="s">
        <v>67</v>
      </c>
      <c r="D166" s="183">
        <v>-3</v>
      </c>
      <c r="E166" s="4" t="s">
        <v>2074</v>
      </c>
      <c r="F166" s="17">
        <v>152</v>
      </c>
      <c r="G166" s="163" t="s">
        <v>836</v>
      </c>
      <c r="I166" s="196" t="b">
        <f>IF(Verso!$B$30=Désavantages!$A166,TRUE,FALSE)</f>
        <v>0</v>
      </c>
      <c r="J166" s="196" t="b">
        <f>IF(Verso!$B$31=Désavantages!$A166,TRUE,FALSE)</f>
        <v>0</v>
      </c>
      <c r="K166" s="196" t="b">
        <f>IF(Verso!$B$32=Désavantages!$A166,TRUE,FALSE)</f>
        <v>0</v>
      </c>
      <c r="L166" s="196" t="b">
        <f>IF(Verso!$B$33=Désavantages!$A166,TRUE,FALSE)</f>
        <v>0</v>
      </c>
      <c r="M166" s="196" t="b">
        <f>IF(Verso!$B$34=Désavantages!$A166,TRUE,FALSE)</f>
        <v>0</v>
      </c>
      <c r="N166" s="196" t="b">
        <f>IF(OR(I166=TRUE,J166=TRUE,K166=TRUE,L166=TRUE,M166=TRUE),TRUE,FALSE)</f>
        <v>0</v>
      </c>
      <c r="Q166" s="196">
        <f t="shared" si="10"/>
        <v>166</v>
      </c>
      <c r="R166" s="196" t="str">
        <f t="shared" si="11"/>
        <v/>
      </c>
      <c r="S166" s="578" t="str">
        <f t="shared" si="12"/>
        <v/>
      </c>
    </row>
    <row r="167" spans="1:19" x14ac:dyDescent="0.25">
      <c r="A167" s="186" t="str">
        <f>IF(Contexte_jeu="L'Empire Stellaire d'Emeraude","Survivant d'Hida Secundus","Survivant de la Cité Ruinée")</f>
        <v>Survivant de la Cité Ruinée</v>
      </c>
      <c r="B167" s="186" t="str">
        <f>IF(Contexte_jeu="L'Empire Stellaire d'Emeraude","Survivant d'Hida Secundus","Survivant de la Cité Ruinée")</f>
        <v>Survivant de la Cité Ruinée</v>
      </c>
      <c r="C167" s="4" t="s">
        <v>631</v>
      </c>
      <c r="D167" s="183">
        <v>-4</v>
      </c>
      <c r="E167" s="4" t="s">
        <v>2074</v>
      </c>
      <c r="F167" s="17">
        <v>92</v>
      </c>
      <c r="G167" s="163" t="s">
        <v>146</v>
      </c>
      <c r="I167" s="196" t="b">
        <f>IF(Verso!$B$30=Désavantages!$A167,TRUE,FALSE)</f>
        <v>0</v>
      </c>
      <c r="J167" s="196" t="b">
        <f>IF(Verso!$B$31=Désavantages!$A167,TRUE,FALSE)</f>
        <v>0</v>
      </c>
      <c r="K167" s="196" t="b">
        <f>IF(Verso!$B$32=Désavantages!$A167,TRUE,FALSE)</f>
        <v>0</v>
      </c>
      <c r="L167" s="196" t="b">
        <f>IF(Verso!$B$33=Désavantages!$A167,TRUE,FALSE)</f>
        <v>0</v>
      </c>
      <c r="M167" s="196" t="b">
        <f>IF(Verso!$B$34=Désavantages!$A167,TRUE,FALSE)</f>
        <v>0</v>
      </c>
      <c r="N167" s="196" t="b">
        <f t="shared" si="13"/>
        <v>0</v>
      </c>
      <c r="Q167" s="196">
        <f t="shared" si="10"/>
        <v>167</v>
      </c>
      <c r="R167" s="196" t="str">
        <f t="shared" si="11"/>
        <v/>
      </c>
      <c r="S167" s="578" t="str">
        <f t="shared" si="12"/>
        <v/>
      </c>
    </row>
    <row r="168" spans="1:19" x14ac:dyDescent="0.25">
      <c r="A168" s="186" t="s">
        <v>7599</v>
      </c>
      <c r="B168" s="186" t="str">
        <f>IF(Contexte_jeu&lt;&gt;"L'Empire Stellaire d'Emeraude","",CONCATENATE(A168))</f>
        <v/>
      </c>
      <c r="C168" s="4" t="s">
        <v>65</v>
      </c>
      <c r="D168" s="183">
        <v>-3</v>
      </c>
      <c r="E168" s="4" t="s">
        <v>7453</v>
      </c>
      <c r="F168" s="17">
        <v>94</v>
      </c>
      <c r="G168" s="270" t="s">
        <v>7601</v>
      </c>
      <c r="I168" s="196" t="b">
        <f>IF(Verso!$B$30=Désavantages!$A168,TRUE,FALSE)</f>
        <v>0</v>
      </c>
      <c r="J168" s="196" t="b">
        <f>IF(Verso!$B$31=Désavantages!$A168,TRUE,FALSE)</f>
        <v>0</v>
      </c>
      <c r="K168" s="196" t="b">
        <f>IF(Verso!$B$32=Désavantages!$A168,TRUE,FALSE)</f>
        <v>0</v>
      </c>
      <c r="L168" s="196" t="b">
        <f>IF(Verso!$B$33=Désavantages!$A168,TRUE,FALSE)</f>
        <v>0</v>
      </c>
      <c r="M168" s="196" t="b">
        <f>IF(Verso!$B$34=Désavantages!$A168,TRUE,FALSE)</f>
        <v>0</v>
      </c>
      <c r="N168" s="196" t="b">
        <f>IF(OR(I168=TRUE,J168=TRUE,K168=TRUE,L168=TRUE,M168=TRUE),TRUE,FALSE)</f>
        <v>0</v>
      </c>
      <c r="Q168" s="196" t="str">
        <f t="shared" si="10"/>
        <v/>
      </c>
      <c r="R168" s="196" t="str">
        <f t="shared" si="11"/>
        <v/>
      </c>
      <c r="S168" s="578" t="str">
        <f t="shared" si="12"/>
        <v/>
      </c>
    </row>
    <row r="169" spans="1:19" x14ac:dyDescent="0.25">
      <c r="A169" s="186" t="s">
        <v>7600</v>
      </c>
      <c r="B169" s="186" t="str">
        <f>IF(Contexte_jeu&lt;&gt;"L'Empire Stellaire d'Emeraude","",CONCATENATE(A169))</f>
        <v/>
      </c>
      <c r="C169" s="4" t="s">
        <v>65</v>
      </c>
      <c r="D169" s="183">
        <v>-9</v>
      </c>
      <c r="E169" s="4" t="s">
        <v>7453</v>
      </c>
      <c r="F169" s="17">
        <v>94</v>
      </c>
      <c r="G169" s="270" t="s">
        <v>7602</v>
      </c>
      <c r="I169" s="196" t="b">
        <f>IF(Verso!$B$30=Désavantages!$A169,TRUE,FALSE)</f>
        <v>0</v>
      </c>
      <c r="J169" s="196" t="b">
        <f>IF(Verso!$B$31=Désavantages!$A169,TRUE,FALSE)</f>
        <v>0</v>
      </c>
      <c r="K169" s="196" t="b">
        <f>IF(Verso!$B$32=Désavantages!$A169,TRUE,FALSE)</f>
        <v>0</v>
      </c>
      <c r="L169" s="196" t="b">
        <f>IF(Verso!$B$33=Désavantages!$A169,TRUE,FALSE)</f>
        <v>0</v>
      </c>
      <c r="M169" s="196" t="b">
        <f>IF(Verso!$B$34=Désavantages!$A169,TRUE,FALSE)</f>
        <v>0</v>
      </c>
      <c r="N169" s="196" t="b">
        <f>IF(OR(I169=TRUE,J169=TRUE,K169=TRUE,L169=TRUE,M169=TRUE),TRUE,FALSE)</f>
        <v>0</v>
      </c>
      <c r="Q169" s="196" t="str">
        <f t="shared" si="10"/>
        <v/>
      </c>
      <c r="R169" s="196" t="str">
        <f t="shared" si="11"/>
        <v/>
      </c>
      <c r="S169" s="578" t="str">
        <f t="shared" si="12"/>
        <v/>
      </c>
    </row>
    <row r="170" spans="1:19" x14ac:dyDescent="0.25">
      <c r="A170" s="186" t="s">
        <v>1050</v>
      </c>
      <c r="B170" s="186" t="str">
        <f>IF(OR(Recto!$C$3=H170,Calculs!$J$8&gt;0),CONCATENATE(A170),"")</f>
        <v/>
      </c>
      <c r="C170" s="4" t="s">
        <v>65</v>
      </c>
      <c r="D170" s="183">
        <v>-3</v>
      </c>
      <c r="E170" s="4" t="s">
        <v>2075</v>
      </c>
      <c r="F170" s="17">
        <v>83</v>
      </c>
      <c r="G170" s="270" t="s">
        <v>1049</v>
      </c>
      <c r="H170" s="196" t="s">
        <v>53</v>
      </c>
      <c r="I170" s="196" t="b">
        <f>IF(Verso!$B$30=Désavantages!$A170,TRUE,FALSE)</f>
        <v>0</v>
      </c>
      <c r="J170" s="196" t="b">
        <f>IF(Verso!$B$31=Désavantages!$A170,TRUE,FALSE)</f>
        <v>0</v>
      </c>
      <c r="K170" s="196" t="b">
        <f>IF(Verso!$B$32=Désavantages!$A170,TRUE,FALSE)</f>
        <v>0</v>
      </c>
      <c r="L170" s="196" t="b">
        <f>IF(Verso!$B$33=Désavantages!$A170,TRUE,FALSE)</f>
        <v>0</v>
      </c>
      <c r="M170" s="196" t="b">
        <f>IF(Verso!$B$34=Désavantages!$A170,TRUE,FALSE)</f>
        <v>0</v>
      </c>
      <c r="N170" s="196" t="b">
        <f t="shared" si="13"/>
        <v>0</v>
      </c>
      <c r="Q170" s="196" t="str">
        <f t="shared" si="10"/>
        <v/>
      </c>
      <c r="R170" s="196" t="str">
        <f t="shared" si="11"/>
        <v/>
      </c>
      <c r="S170" s="578" t="str">
        <f t="shared" si="12"/>
        <v/>
      </c>
    </row>
    <row r="171" spans="1:19" x14ac:dyDescent="0.25">
      <c r="A171" s="186" t="str">
        <f>IF(Contexte_jeu="L'Empire Stellaire d'Emeraude","Tribunaux de Rokugan Prime","Tribunaux de la Cité Impériale")</f>
        <v>Tribunaux de la Cité Impériale</v>
      </c>
      <c r="B171" s="186" t="str">
        <f>IF(Contexte_jeu="L'Empire Stellaire d'Emeraude","Tribunaux de Rokugan Prime","Tribunaux de la Cité Impériale")</f>
        <v>Tribunaux de la Cité Impériale</v>
      </c>
      <c r="C171" s="4" t="s">
        <v>67</v>
      </c>
      <c r="D171" s="183">
        <v>-4</v>
      </c>
      <c r="E171" s="4" t="s">
        <v>2074</v>
      </c>
      <c r="F171" s="17">
        <v>107</v>
      </c>
      <c r="G171" s="270" t="s">
        <v>1081</v>
      </c>
      <c r="I171" s="196" t="b">
        <f>IF(Verso!$B$30=Désavantages!$A171,TRUE,FALSE)</f>
        <v>0</v>
      </c>
      <c r="J171" s="196" t="b">
        <f>IF(Verso!$B$31=Désavantages!$A171,TRUE,FALSE)</f>
        <v>0</v>
      </c>
      <c r="K171" s="196" t="b">
        <f>IF(Verso!$B$32=Désavantages!$A171,TRUE,FALSE)</f>
        <v>0</v>
      </c>
      <c r="L171" s="196" t="b">
        <f>IF(Verso!$B$33=Désavantages!$A171,TRUE,FALSE)</f>
        <v>0</v>
      </c>
      <c r="M171" s="196" t="b">
        <f>IF(Verso!$B$34=Désavantages!$A171,TRUE,FALSE)</f>
        <v>0</v>
      </c>
      <c r="N171" s="196" t="b">
        <f t="shared" si="13"/>
        <v>0</v>
      </c>
      <c r="Q171" s="196">
        <f t="shared" si="10"/>
        <v>171</v>
      </c>
      <c r="R171" s="196" t="str">
        <f t="shared" si="11"/>
        <v/>
      </c>
      <c r="S171" s="578" t="str">
        <f t="shared" si="12"/>
        <v/>
      </c>
    </row>
    <row r="172" spans="1:19" x14ac:dyDescent="0.25">
      <c r="A172" s="186" t="s">
        <v>1019</v>
      </c>
      <c r="B172" s="186" t="s">
        <v>1019</v>
      </c>
      <c r="C172" s="4" t="s">
        <v>65</v>
      </c>
      <c r="D172" s="183">
        <v>-2</v>
      </c>
      <c r="E172" s="4" t="s">
        <v>2074</v>
      </c>
      <c r="F172" s="17">
        <v>168</v>
      </c>
      <c r="G172" s="163" t="s">
        <v>148</v>
      </c>
      <c r="I172" s="196" t="b">
        <f>IF(Verso!$B$30=Désavantages!$A172,TRUE,FALSE)</f>
        <v>0</v>
      </c>
      <c r="J172" s="196" t="b">
        <f>IF(Verso!$B$31=Désavantages!$A172,TRUE,FALSE)</f>
        <v>0</v>
      </c>
      <c r="K172" s="196" t="b">
        <f>IF(Verso!$B$32=Désavantages!$A172,TRUE,FALSE)</f>
        <v>0</v>
      </c>
      <c r="L172" s="196" t="b">
        <f>IF(Verso!$B$33=Désavantages!$A172,TRUE,FALSE)</f>
        <v>0</v>
      </c>
      <c r="M172" s="196" t="b">
        <f>IF(Verso!$B$34=Désavantages!$A172,TRUE,FALSE)</f>
        <v>0</v>
      </c>
      <c r="N172" s="196" t="b">
        <f t="shared" si="13"/>
        <v>0</v>
      </c>
      <c r="Q172" s="196">
        <f t="shared" si="10"/>
        <v>172</v>
      </c>
      <c r="R172" s="196" t="str">
        <f t="shared" si="11"/>
        <v/>
      </c>
      <c r="S172" s="578" t="str">
        <f t="shared" si="12"/>
        <v/>
      </c>
    </row>
    <row r="173" spans="1:19" x14ac:dyDescent="0.25">
      <c r="A173" s="186" t="s">
        <v>7603</v>
      </c>
      <c r="B173" s="186" t="s">
        <v>7603</v>
      </c>
      <c r="C173" s="4" t="s">
        <v>65</v>
      </c>
      <c r="D173" s="183">
        <f>IF(Avantages!N53=TRUE,-4,-3)</f>
        <v>-3</v>
      </c>
      <c r="E173" s="4" t="s">
        <v>7453</v>
      </c>
      <c r="F173" s="17">
        <v>94</v>
      </c>
      <c r="G173" s="163" t="s">
        <v>7604</v>
      </c>
      <c r="I173" s="196" t="b">
        <f>IF(Verso!$B$30=Désavantages!$A173,TRUE,FALSE)</f>
        <v>0</v>
      </c>
      <c r="J173" s="196" t="b">
        <f>IF(Verso!$B$31=Désavantages!$A173,TRUE,FALSE)</f>
        <v>0</v>
      </c>
      <c r="K173" s="196" t="b">
        <f>IF(Verso!$B$32=Désavantages!$A173,TRUE,FALSE)</f>
        <v>0</v>
      </c>
      <c r="L173" s="196" t="b">
        <f>IF(Verso!$B$33=Désavantages!$A173,TRUE,FALSE)</f>
        <v>0</v>
      </c>
      <c r="M173" s="196" t="b">
        <f>IF(Verso!$B$34=Désavantages!$A173,TRUE,FALSE)</f>
        <v>0</v>
      </c>
      <c r="N173" s="196" t="b">
        <f>IF(OR(I173=TRUE,J173=TRUE,K173=TRUE,L173=TRUE,M173=TRUE),TRUE,FALSE)</f>
        <v>0</v>
      </c>
      <c r="Q173" s="196">
        <f t="shared" si="10"/>
        <v>173</v>
      </c>
      <c r="R173" s="196" t="str">
        <f t="shared" si="11"/>
        <v/>
      </c>
      <c r="S173" s="578" t="str">
        <f t="shared" si="12"/>
        <v/>
      </c>
    </row>
    <row r="174" spans="1:19" x14ac:dyDescent="0.25">
      <c r="A174" s="186" t="s">
        <v>7593</v>
      </c>
      <c r="B174" s="186" t="s">
        <v>7593</v>
      </c>
      <c r="C174" s="4" t="s">
        <v>628</v>
      </c>
      <c r="D174" s="183">
        <v>-4</v>
      </c>
      <c r="E174" s="4" t="s">
        <v>7453</v>
      </c>
      <c r="F174" s="17">
        <v>94</v>
      </c>
      <c r="G174" s="270" t="s">
        <v>7595</v>
      </c>
      <c r="I174" s="196" t="b">
        <f>IF(Verso!$B$30=Désavantages!$A174,TRUE,FALSE)</f>
        <v>0</v>
      </c>
      <c r="J174" s="196" t="b">
        <f>IF(Verso!$B$31=Désavantages!$A174,TRUE,FALSE)</f>
        <v>0</v>
      </c>
      <c r="K174" s="196" t="b">
        <f>IF(Verso!$B$32=Désavantages!$A174,TRUE,FALSE)</f>
        <v>0</v>
      </c>
      <c r="L174" s="196" t="b">
        <f>IF(Verso!$B$33=Désavantages!$A174,TRUE,FALSE)</f>
        <v>0</v>
      </c>
      <c r="M174" s="196" t="b">
        <f>IF(Verso!$B$34=Désavantages!$A174,TRUE,FALSE)</f>
        <v>0</v>
      </c>
      <c r="N174" s="196" t="b">
        <f>IF(OR(I174=TRUE,J174=TRUE,K174=TRUE,L174=TRUE,M174=TRUE),TRUE,FALSE)</f>
        <v>0</v>
      </c>
      <c r="Q174" s="196">
        <f t="shared" si="10"/>
        <v>174</v>
      </c>
      <c r="R174" s="196" t="str">
        <f t="shared" si="11"/>
        <v/>
      </c>
      <c r="S174" s="578" t="str">
        <f t="shared" si="12"/>
        <v/>
      </c>
    </row>
    <row r="175" spans="1:19" x14ac:dyDescent="0.25">
      <c r="A175" s="186" t="s">
        <v>7594</v>
      </c>
      <c r="B175" s="186" t="s">
        <v>7594</v>
      </c>
      <c r="C175" s="4" t="s">
        <v>628</v>
      </c>
      <c r="D175" s="183">
        <v>-8</v>
      </c>
      <c r="E175" s="4" t="s">
        <v>7453</v>
      </c>
      <c r="F175" s="17">
        <v>94</v>
      </c>
      <c r="G175" s="270" t="s">
        <v>7596</v>
      </c>
      <c r="I175" s="196" t="b">
        <f>IF(Verso!$B$30=Désavantages!$A175,TRUE,FALSE)</f>
        <v>0</v>
      </c>
      <c r="J175" s="196" t="b">
        <f>IF(Verso!$B$31=Désavantages!$A175,TRUE,FALSE)</f>
        <v>0</v>
      </c>
      <c r="K175" s="196" t="b">
        <f>IF(Verso!$B$32=Désavantages!$A175,TRUE,FALSE)</f>
        <v>0</v>
      </c>
      <c r="L175" s="196" t="b">
        <f>IF(Verso!$B$33=Désavantages!$A175,TRUE,FALSE)</f>
        <v>0</v>
      </c>
      <c r="M175" s="196" t="b">
        <f>IF(Verso!$B$34=Désavantages!$A175,TRUE,FALSE)</f>
        <v>0</v>
      </c>
      <c r="N175" s="196" t="b">
        <f>IF(OR(I175=TRUE,J175=TRUE,K175=TRUE,L175=TRUE,M175=TRUE),TRUE,FALSE)</f>
        <v>0</v>
      </c>
      <c r="Q175" s="196">
        <f t="shared" si="10"/>
        <v>175</v>
      </c>
      <c r="R175" s="196" t="str">
        <f t="shared" si="11"/>
        <v/>
      </c>
      <c r="S175" s="578" t="str">
        <f t="shared" si="12"/>
        <v/>
      </c>
    </row>
    <row r="176" spans="1:19" x14ac:dyDescent="0.25">
      <c r="A176" s="186"/>
      <c r="B176" s="186"/>
      <c r="F176" s="17"/>
    </row>
    <row r="177" spans="1:7" x14ac:dyDescent="0.25">
      <c r="A177" s="186"/>
      <c r="B177" s="186"/>
      <c r="F177" s="17"/>
    </row>
    <row r="178" spans="1:7" x14ac:dyDescent="0.25">
      <c r="A178" s="186"/>
      <c r="B178" s="186"/>
      <c r="F178" s="17"/>
    </row>
    <row r="179" spans="1:7" x14ac:dyDescent="0.25">
      <c r="A179" s="186"/>
      <c r="B179" s="186"/>
      <c r="F179" s="17"/>
      <c r="G179" s="270"/>
    </row>
    <row r="180" spans="1:7" x14ac:dyDescent="0.25">
      <c r="A180" s="186"/>
      <c r="B180" s="186"/>
      <c r="F180" s="17"/>
      <c r="G180" s="270"/>
    </row>
    <row r="181" spans="1:7" x14ac:dyDescent="0.25">
      <c r="A181" s="186"/>
      <c r="B181" s="186"/>
      <c r="F181" s="17"/>
      <c r="G181" s="270"/>
    </row>
    <row r="182" spans="1:7" x14ac:dyDescent="0.25">
      <c r="A182" s="186"/>
      <c r="B182" s="186"/>
      <c r="F182" s="17"/>
    </row>
    <row r="183" spans="1:7" x14ac:dyDescent="0.25">
      <c r="A183" s="186"/>
      <c r="B183" s="186"/>
      <c r="F183" s="17"/>
      <c r="G183" s="270"/>
    </row>
    <row r="184" spans="1:7" x14ac:dyDescent="0.25">
      <c r="A184" s="186"/>
      <c r="B184" s="186"/>
      <c r="F184" s="17"/>
      <c r="G184" s="270"/>
    </row>
    <row r="185" spans="1:7" x14ac:dyDescent="0.25">
      <c r="A185" s="186"/>
      <c r="B185" s="186"/>
      <c r="F185" s="17"/>
    </row>
    <row r="186" spans="1:7" x14ac:dyDescent="0.25">
      <c r="A186" s="186"/>
      <c r="B186" s="186"/>
      <c r="F186" s="17"/>
      <c r="G186" s="270"/>
    </row>
    <row r="187" spans="1:7" x14ac:dyDescent="0.25">
      <c r="A187" s="186"/>
      <c r="B187" s="186"/>
      <c r="F187" s="17"/>
    </row>
    <row r="188" spans="1:7" x14ac:dyDescent="0.25">
      <c r="A188" s="186"/>
      <c r="B188" s="186"/>
      <c r="F188" s="17"/>
      <c r="G188" s="270"/>
    </row>
    <row r="189" spans="1:7" x14ac:dyDescent="0.25">
      <c r="A189" s="186"/>
      <c r="B189" s="186"/>
      <c r="F189" s="17"/>
    </row>
    <row r="190" spans="1:7" x14ac:dyDescent="0.25">
      <c r="A190" s="186"/>
      <c r="B190" s="186"/>
      <c r="F190" s="17"/>
    </row>
    <row r="191" spans="1:7" x14ac:dyDescent="0.25">
      <c r="A191" s="186"/>
      <c r="B191" s="186"/>
      <c r="F191" s="17"/>
    </row>
    <row r="192" spans="1:7" x14ac:dyDescent="0.25">
      <c r="A192" s="186"/>
      <c r="B192" s="186"/>
      <c r="F192" s="17"/>
    </row>
    <row r="193" spans="1:7" x14ac:dyDescent="0.25">
      <c r="A193" s="186"/>
      <c r="B193" s="186"/>
      <c r="F193" s="17"/>
    </row>
    <row r="194" spans="1:7" x14ac:dyDescent="0.25">
      <c r="A194" s="186"/>
      <c r="B194" s="186"/>
      <c r="F194" s="17"/>
    </row>
    <row r="195" spans="1:7" x14ac:dyDescent="0.25">
      <c r="A195" s="186"/>
      <c r="B195" s="186"/>
      <c r="F195" s="17"/>
    </row>
    <row r="196" spans="1:7" x14ac:dyDescent="0.25">
      <c r="A196" s="186"/>
      <c r="B196" s="186"/>
      <c r="F196" s="17"/>
    </row>
    <row r="197" spans="1:7" x14ac:dyDescent="0.25">
      <c r="A197" s="186"/>
      <c r="B197" s="186"/>
      <c r="F197" s="17"/>
    </row>
    <row r="198" spans="1:7" x14ac:dyDescent="0.25">
      <c r="A198" s="186"/>
      <c r="B198" s="186"/>
      <c r="F198" s="17"/>
    </row>
    <row r="199" spans="1:7" x14ac:dyDescent="0.25">
      <c r="A199" s="186"/>
      <c r="B199" s="186"/>
      <c r="F199" s="17"/>
    </row>
    <row r="200" spans="1:7" x14ac:dyDescent="0.25">
      <c r="A200" s="186"/>
      <c r="B200" s="186"/>
      <c r="F200" s="17"/>
    </row>
    <row r="201" spans="1:7" x14ac:dyDescent="0.25">
      <c r="A201" s="186"/>
      <c r="B201" s="186"/>
      <c r="F201" s="17"/>
    </row>
    <row r="202" spans="1:7" x14ac:dyDescent="0.25">
      <c r="A202" s="186"/>
      <c r="B202" s="186"/>
      <c r="F202" s="17"/>
    </row>
    <row r="203" spans="1:7" x14ac:dyDescent="0.25">
      <c r="A203" s="186"/>
      <c r="B203" s="186"/>
      <c r="F203" s="17"/>
    </row>
    <row r="204" spans="1:7" x14ac:dyDescent="0.25">
      <c r="A204" s="186"/>
      <c r="B204" s="186"/>
      <c r="F204" s="17"/>
    </row>
    <row r="205" spans="1:7" x14ac:dyDescent="0.25">
      <c r="A205" s="186"/>
      <c r="B205" s="186"/>
      <c r="F205" s="17"/>
      <c r="G205" s="270"/>
    </row>
    <row r="206" spans="1:7" x14ac:dyDescent="0.25">
      <c r="A206" s="186"/>
      <c r="B206" s="186"/>
      <c r="F206" s="17"/>
    </row>
    <row r="207" spans="1:7" x14ac:dyDescent="0.25">
      <c r="A207" s="186"/>
      <c r="B207" s="186"/>
      <c r="F207" s="17"/>
      <c r="G207" s="270"/>
    </row>
    <row r="208" spans="1:7" x14ac:dyDescent="0.25">
      <c r="A208" s="186"/>
      <c r="B208" s="186"/>
      <c r="F208" s="17"/>
      <c r="G208" s="270"/>
    </row>
    <row r="209" spans="1:7" x14ac:dyDescent="0.25">
      <c r="A209" s="186"/>
      <c r="B209" s="186"/>
      <c r="F209" s="17"/>
      <c r="G209" s="270"/>
    </row>
    <row r="210" spans="1:7" x14ac:dyDescent="0.25">
      <c r="A210" s="186"/>
      <c r="B210" s="186"/>
      <c r="F210" s="17"/>
      <c r="G210" s="270"/>
    </row>
    <row r="211" spans="1:7" x14ac:dyDescent="0.25">
      <c r="A211" s="186"/>
      <c r="B211" s="186"/>
      <c r="F211" s="17"/>
      <c r="G211" s="270"/>
    </row>
    <row r="212" spans="1:7" x14ac:dyDescent="0.25">
      <c r="A212" s="186"/>
      <c r="B212" s="186"/>
      <c r="F212" s="17"/>
      <c r="G212" s="270"/>
    </row>
    <row r="213" spans="1:7" x14ac:dyDescent="0.25">
      <c r="A213" s="186"/>
      <c r="B213" s="186"/>
      <c r="F213" s="17"/>
      <c r="G213" s="270"/>
    </row>
    <row r="214" spans="1:7" x14ac:dyDescent="0.25">
      <c r="A214" s="186"/>
      <c r="B214" s="186"/>
      <c r="F214" s="17"/>
    </row>
    <row r="215" spans="1:7" x14ac:dyDescent="0.25">
      <c r="A215" s="186"/>
      <c r="B215" s="186"/>
      <c r="F215" s="17"/>
    </row>
    <row r="216" spans="1:7" x14ac:dyDescent="0.25">
      <c r="A216" s="186"/>
      <c r="B216" s="186"/>
      <c r="F216" s="17"/>
    </row>
    <row r="217" spans="1:7" x14ac:dyDescent="0.25">
      <c r="A217" s="186"/>
      <c r="B217" s="186"/>
      <c r="F217" s="17"/>
    </row>
    <row r="218" spans="1:7" x14ac:dyDescent="0.25">
      <c r="A218" s="186"/>
      <c r="B218" s="186"/>
      <c r="F218" s="17"/>
      <c r="G218" s="270"/>
    </row>
    <row r="219" spans="1:7" x14ac:dyDescent="0.25">
      <c r="A219" s="186"/>
      <c r="B219" s="186"/>
      <c r="F219" s="17"/>
    </row>
    <row r="220" spans="1:7" x14ac:dyDescent="0.25">
      <c r="A220" s="186"/>
      <c r="B220" s="186"/>
      <c r="F220" s="17"/>
      <c r="G220" s="270"/>
    </row>
    <row r="221" spans="1:7" x14ac:dyDescent="0.25">
      <c r="A221" s="186"/>
      <c r="B221" s="186"/>
      <c r="F221" s="17"/>
      <c r="G221" s="270"/>
    </row>
    <row r="222" spans="1:7" x14ac:dyDescent="0.25">
      <c r="A222" s="186"/>
      <c r="B222" s="186"/>
      <c r="F222" s="17"/>
      <c r="G222" s="270"/>
    </row>
    <row r="223" spans="1:7" x14ac:dyDescent="0.25">
      <c r="A223" s="186"/>
      <c r="B223" s="186"/>
      <c r="F223" s="17"/>
      <c r="G223" s="270"/>
    </row>
    <row r="224" spans="1:7" x14ac:dyDescent="0.25">
      <c r="A224" s="186"/>
      <c r="B224" s="186"/>
      <c r="F224" s="17"/>
      <c r="G224" s="270"/>
    </row>
    <row r="225" spans="1:7" x14ac:dyDescent="0.25">
      <c r="A225" s="186"/>
      <c r="B225" s="186"/>
      <c r="F225" s="17"/>
      <c r="G225" s="270"/>
    </row>
    <row r="226" spans="1:7" x14ac:dyDescent="0.25">
      <c r="A226" s="186"/>
      <c r="B226" s="186"/>
      <c r="F226" s="17"/>
      <c r="G226" s="270"/>
    </row>
    <row r="227" spans="1:7" x14ac:dyDescent="0.25">
      <c r="A227" s="186"/>
      <c r="B227" s="186"/>
      <c r="F227" s="17"/>
    </row>
    <row r="228" spans="1:7" x14ac:dyDescent="0.25">
      <c r="A228" s="186"/>
      <c r="B228" s="186"/>
      <c r="F228" s="17"/>
    </row>
    <row r="229" spans="1:7" x14ac:dyDescent="0.25">
      <c r="A229" s="186"/>
      <c r="B229" s="186"/>
      <c r="F229" s="17"/>
    </row>
    <row r="230" spans="1:7" x14ac:dyDescent="0.25">
      <c r="A230" s="186"/>
      <c r="B230" s="186"/>
      <c r="F230" s="17"/>
    </row>
    <row r="231" spans="1:7" x14ac:dyDescent="0.25">
      <c r="A231" s="186"/>
      <c r="B231" s="186"/>
      <c r="F231" s="17"/>
    </row>
    <row r="232" spans="1:7" x14ac:dyDescent="0.25">
      <c r="A232" s="186"/>
      <c r="B232" s="186"/>
      <c r="F232" s="17"/>
    </row>
    <row r="233" spans="1:7" x14ac:dyDescent="0.25">
      <c r="A233" s="186"/>
      <c r="B233" s="186"/>
      <c r="F233" s="17"/>
    </row>
    <row r="234" spans="1:7" x14ac:dyDescent="0.25">
      <c r="A234" s="186"/>
      <c r="B234" s="186"/>
      <c r="F234" s="17"/>
    </row>
    <row r="235" spans="1:7" x14ac:dyDescent="0.25">
      <c r="A235" s="186"/>
      <c r="B235" s="186"/>
      <c r="F235" s="17"/>
    </row>
    <row r="236" spans="1:7" x14ac:dyDescent="0.25">
      <c r="A236" s="186"/>
      <c r="B236" s="186"/>
      <c r="F236" s="17"/>
    </row>
    <row r="237" spans="1:7" x14ac:dyDescent="0.25">
      <c r="A237" s="186"/>
      <c r="B237" s="186"/>
      <c r="F237" s="17"/>
    </row>
    <row r="238" spans="1:7" x14ac:dyDescent="0.25">
      <c r="A238" s="186"/>
      <c r="B238" s="186"/>
      <c r="F238" s="17"/>
      <c r="G238" s="270"/>
    </row>
    <row r="239" spans="1:7" x14ac:dyDescent="0.25">
      <c r="A239" s="186"/>
      <c r="B239" s="186"/>
      <c r="F239" s="17"/>
      <c r="G239" s="270"/>
    </row>
    <row r="240" spans="1:7" x14ac:dyDescent="0.25">
      <c r="A240" s="186"/>
      <c r="B240" s="186"/>
      <c r="F240" s="17"/>
    </row>
    <row r="241" spans="1:7" x14ac:dyDescent="0.25">
      <c r="A241" s="186"/>
      <c r="B241" s="186"/>
      <c r="F241" s="17"/>
    </row>
    <row r="242" spans="1:7" x14ac:dyDescent="0.25">
      <c r="A242" s="186"/>
      <c r="B242" s="186"/>
      <c r="F242" s="17"/>
    </row>
    <row r="243" spans="1:7" x14ac:dyDescent="0.25">
      <c r="A243" s="186"/>
      <c r="B243" s="186"/>
      <c r="F243" s="17"/>
    </row>
    <row r="244" spans="1:7" x14ac:dyDescent="0.25">
      <c r="A244" s="186"/>
      <c r="B244" s="186"/>
      <c r="F244" s="17"/>
    </row>
    <row r="245" spans="1:7" x14ac:dyDescent="0.25">
      <c r="A245" s="186"/>
      <c r="B245" s="186"/>
      <c r="F245" s="17"/>
    </row>
    <row r="246" spans="1:7" x14ac:dyDescent="0.25">
      <c r="A246" s="186"/>
      <c r="B246" s="186"/>
      <c r="F246" s="17"/>
    </row>
    <row r="247" spans="1:7" x14ac:dyDescent="0.25">
      <c r="A247" s="186"/>
      <c r="B247" s="186"/>
      <c r="F247" s="17"/>
    </row>
    <row r="248" spans="1:7" x14ac:dyDescent="0.25">
      <c r="A248" s="186"/>
      <c r="B248" s="186"/>
      <c r="F248" s="17"/>
    </row>
    <row r="249" spans="1:7" x14ac:dyDescent="0.25">
      <c r="A249" s="186"/>
      <c r="B249" s="186"/>
      <c r="F249" s="17"/>
    </row>
    <row r="250" spans="1:7" x14ac:dyDescent="0.25">
      <c r="A250" s="186"/>
      <c r="B250" s="186"/>
      <c r="F250" s="17"/>
    </row>
    <row r="251" spans="1:7" x14ac:dyDescent="0.25">
      <c r="A251" s="186"/>
      <c r="B251" s="186"/>
      <c r="F251" s="17"/>
      <c r="G251" s="270"/>
    </row>
    <row r="252" spans="1:7" x14ac:dyDescent="0.25">
      <c r="A252" s="186"/>
      <c r="B252" s="186"/>
      <c r="F252" s="17"/>
      <c r="G252" s="270"/>
    </row>
    <row r="253" spans="1:7" x14ac:dyDescent="0.25">
      <c r="A253" s="186"/>
      <c r="B253" s="186"/>
      <c r="F253" s="17"/>
      <c r="G253" s="270"/>
    </row>
    <row r="254" spans="1:7" x14ac:dyDescent="0.25">
      <c r="A254" s="186"/>
      <c r="B254" s="186"/>
      <c r="F254" s="17"/>
    </row>
  </sheetData>
  <sheetProtection selectLockedCells="1" selectUnlockedCells="1"/>
  <sortState xmlns:xlrd2="http://schemas.microsoft.com/office/spreadsheetml/2017/richdata2" ref="A2:G146">
    <sortCondition ref="A2:A146"/>
    <sortCondition ref="C2:C146"/>
    <sortCondition ref="D2:D146"/>
  </sortState>
  <mergeCells count="1">
    <mergeCell ref="Q1:S1"/>
  </mergeCells>
  <pageMargins left="0.39370078740157483" right="0.39370078740157483" top="0.39370078740157483" bottom="0.39370078740157483" header="0.51181102362204722" footer="0.51181102362204722"/>
  <pageSetup firstPageNumber="0" orientation="landscape" horizontalDpi="300" verticalDpi="300" r:id="rId1"/>
  <headerFooter alignWithMargins="0">
    <oddHeader>&amp;C&amp;A</oddHeader>
    <oddFooter>&amp;CPage &amp;P</oddFooter>
  </headerFooter>
  <ignoredErrors>
    <ignoredError sqref="D150 D15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03"/>
  <sheetViews>
    <sheetView zoomScale="115" zoomScaleNormal="115" workbookViewId="0">
      <pane xSplit="1" ySplit="1" topLeftCell="B2" activePane="bottomRight" state="frozen"/>
      <selection pane="topRight" activeCell="B1" sqref="B1"/>
      <selection pane="bottomLeft" activeCell="A2" sqref="A2"/>
      <selection pane="bottomRight"/>
    </sheetView>
  </sheetViews>
  <sheetFormatPr baseColWidth="10" defaultRowHeight="23.4" customHeight="1" x14ac:dyDescent="0.25"/>
  <cols>
    <col min="1" max="1" width="28.33203125" style="180" customWidth="1"/>
    <col min="2" max="2" width="10.6640625" style="129" customWidth="1"/>
    <col min="3" max="3" width="5" style="12" customWidth="1"/>
    <col min="4" max="4" width="6.88671875" style="6" customWidth="1"/>
    <col min="5" max="5" width="7.33203125" style="167" customWidth="1"/>
    <col min="6" max="6" width="3.44140625" style="12" customWidth="1"/>
    <col min="7" max="7" width="4.33203125" style="193" customWidth="1"/>
    <col min="8" max="8" width="8.33203125" style="129" customWidth="1"/>
    <col min="9" max="9" width="14" style="129" customWidth="1"/>
    <col min="10" max="10" width="7.5546875" style="162" customWidth="1"/>
    <col min="11" max="11" width="14.88671875" style="129" customWidth="1"/>
    <col min="12" max="12" width="7.5546875" style="162" customWidth="1"/>
    <col min="13" max="13" width="4.33203125" style="12" customWidth="1"/>
    <col min="14" max="14" width="89.33203125" style="159" customWidth="1"/>
    <col min="15" max="15" width="5.6640625" customWidth="1"/>
    <col min="16" max="265" width="12.44140625" customWidth="1"/>
  </cols>
  <sheetData>
    <row r="1" spans="1:14" s="10" customFormat="1" ht="30" customHeight="1" x14ac:dyDescent="0.25">
      <c r="A1" s="93" t="s">
        <v>379</v>
      </c>
      <c r="B1" s="169" t="s">
        <v>380</v>
      </c>
      <c r="C1" s="93" t="s">
        <v>2068</v>
      </c>
      <c r="D1" s="27" t="s">
        <v>57</v>
      </c>
      <c r="E1" s="169" t="s">
        <v>1933</v>
      </c>
      <c r="F1" s="268" t="s">
        <v>2066</v>
      </c>
      <c r="G1" s="190" t="s">
        <v>4091</v>
      </c>
      <c r="H1" s="168" t="s">
        <v>3873</v>
      </c>
      <c r="I1" s="168" t="s">
        <v>4700</v>
      </c>
      <c r="J1" s="168" t="s">
        <v>3874</v>
      </c>
      <c r="K1" s="93" t="s">
        <v>4206</v>
      </c>
      <c r="L1" s="267" t="s">
        <v>0</v>
      </c>
      <c r="M1" s="272" t="s">
        <v>1</v>
      </c>
      <c r="N1" s="168" t="s">
        <v>1246</v>
      </c>
    </row>
    <row r="2" spans="1:14" ht="23.4" customHeight="1" x14ac:dyDescent="0.25">
      <c r="A2" s="180" t="s">
        <v>1839</v>
      </c>
      <c r="B2" s="170" t="s">
        <v>2078</v>
      </c>
      <c r="C2" s="16" t="s">
        <v>2078</v>
      </c>
      <c r="D2" s="6" t="s">
        <v>4441</v>
      </c>
      <c r="E2" s="167" t="s">
        <v>4441</v>
      </c>
      <c r="F2" s="199">
        <v>1</v>
      </c>
      <c r="G2" s="12">
        <v>15</v>
      </c>
      <c r="H2" s="129" t="s">
        <v>3891</v>
      </c>
      <c r="I2" s="129" t="s">
        <v>4709</v>
      </c>
      <c r="J2" s="162" t="s">
        <v>3951</v>
      </c>
      <c r="K2" s="129" t="s">
        <v>5054</v>
      </c>
      <c r="L2" s="162" t="s">
        <v>2079</v>
      </c>
      <c r="M2" s="262">
        <v>114</v>
      </c>
      <c r="N2" s="159" t="s">
        <v>8821</v>
      </c>
    </row>
    <row r="3" spans="1:14" ht="23.4" customHeight="1" x14ac:dyDescent="0.25">
      <c r="A3" s="180" t="s">
        <v>1840</v>
      </c>
      <c r="B3" s="170" t="s">
        <v>2078</v>
      </c>
      <c r="C3" s="16" t="s">
        <v>2078</v>
      </c>
      <c r="D3" s="6" t="s">
        <v>4441</v>
      </c>
      <c r="E3" s="167" t="s">
        <v>4441</v>
      </c>
      <c r="F3" s="12">
        <v>1</v>
      </c>
      <c r="G3" s="12">
        <v>15</v>
      </c>
      <c r="H3" s="129" t="s">
        <v>3891</v>
      </c>
      <c r="I3" s="129" t="s">
        <v>4709</v>
      </c>
      <c r="J3" s="162" t="s">
        <v>3951</v>
      </c>
      <c r="K3" s="129" t="s">
        <v>1284</v>
      </c>
      <c r="L3" s="162" t="s">
        <v>2079</v>
      </c>
      <c r="M3" s="262">
        <v>114</v>
      </c>
      <c r="N3" s="159" t="s">
        <v>5056</v>
      </c>
    </row>
    <row r="4" spans="1:14" ht="23.4" customHeight="1" x14ac:dyDescent="0.25">
      <c r="A4" s="180" t="s">
        <v>1838</v>
      </c>
      <c r="B4" s="170" t="s">
        <v>2078</v>
      </c>
      <c r="C4" s="16" t="s">
        <v>2078</v>
      </c>
      <c r="D4" s="6" t="s">
        <v>4441</v>
      </c>
      <c r="E4" s="167" t="s">
        <v>4441</v>
      </c>
      <c r="F4" s="12">
        <v>1</v>
      </c>
      <c r="G4" s="12">
        <v>15</v>
      </c>
      <c r="H4" s="129" t="s">
        <v>3891</v>
      </c>
      <c r="I4" s="129" t="s">
        <v>4709</v>
      </c>
      <c r="J4" s="162" t="s">
        <v>3951</v>
      </c>
      <c r="K4" s="129" t="s">
        <v>1284</v>
      </c>
      <c r="L4" s="162" t="s">
        <v>2079</v>
      </c>
      <c r="M4" s="262">
        <v>114</v>
      </c>
      <c r="N4" s="159" t="s">
        <v>5052</v>
      </c>
    </row>
    <row r="5" spans="1:14" ht="23.4" customHeight="1" x14ac:dyDescent="0.25">
      <c r="A5" s="180" t="s">
        <v>1835</v>
      </c>
      <c r="B5" s="170" t="s">
        <v>2078</v>
      </c>
      <c r="C5" s="16" t="s">
        <v>2078</v>
      </c>
      <c r="D5" s="6" t="s">
        <v>4441</v>
      </c>
      <c r="E5" s="167" t="s">
        <v>4441</v>
      </c>
      <c r="F5" s="199">
        <v>1</v>
      </c>
      <c r="G5" s="199">
        <v>10</v>
      </c>
      <c r="H5" s="129" t="s">
        <v>3891</v>
      </c>
      <c r="I5" s="129" t="s">
        <v>4709</v>
      </c>
      <c r="J5" s="162" t="s">
        <v>3951</v>
      </c>
      <c r="K5" s="129" t="s">
        <v>1284</v>
      </c>
      <c r="L5" s="162" t="s">
        <v>2079</v>
      </c>
      <c r="M5" s="198">
        <v>114</v>
      </c>
      <c r="N5" s="159" t="s">
        <v>8822</v>
      </c>
    </row>
    <row r="6" spans="1:14" ht="23.4" customHeight="1" x14ac:dyDescent="0.25">
      <c r="A6" s="180" t="s">
        <v>1843</v>
      </c>
      <c r="B6" s="170" t="s">
        <v>2078</v>
      </c>
      <c r="C6" s="16" t="s">
        <v>2078</v>
      </c>
      <c r="D6" s="6" t="s">
        <v>4441</v>
      </c>
      <c r="E6" s="167" t="s">
        <v>4441</v>
      </c>
      <c r="F6" s="199">
        <v>1</v>
      </c>
      <c r="G6" s="12">
        <v>20</v>
      </c>
      <c r="H6" s="129" t="s">
        <v>3891</v>
      </c>
      <c r="I6" s="129" t="s">
        <v>4709</v>
      </c>
      <c r="J6" s="162" t="s">
        <v>3951</v>
      </c>
      <c r="K6" s="129" t="s">
        <v>1284</v>
      </c>
      <c r="L6" s="162" t="s">
        <v>2079</v>
      </c>
      <c r="M6" s="262">
        <v>115</v>
      </c>
      <c r="N6" s="159" t="s">
        <v>8823</v>
      </c>
    </row>
    <row r="7" spans="1:14" ht="23.4" customHeight="1" x14ac:dyDescent="0.25">
      <c r="A7" s="180" t="s">
        <v>1841</v>
      </c>
      <c r="B7" s="170" t="s">
        <v>2078</v>
      </c>
      <c r="C7" s="16" t="s">
        <v>2078</v>
      </c>
      <c r="D7" s="6" t="s">
        <v>4441</v>
      </c>
      <c r="E7" s="167" t="s">
        <v>4441</v>
      </c>
      <c r="F7" s="199">
        <v>1</v>
      </c>
      <c r="G7" s="12">
        <v>20</v>
      </c>
      <c r="H7" s="129" t="s">
        <v>3891</v>
      </c>
      <c r="I7" s="129" t="s">
        <v>4709</v>
      </c>
      <c r="J7" s="162" t="s">
        <v>3951</v>
      </c>
      <c r="K7" s="129" t="s">
        <v>1284</v>
      </c>
      <c r="L7" s="162" t="s">
        <v>2079</v>
      </c>
      <c r="M7" s="262">
        <v>114</v>
      </c>
      <c r="N7" s="159" t="s">
        <v>5057</v>
      </c>
    </row>
    <row r="8" spans="1:14" ht="23.4" customHeight="1" x14ac:dyDescent="0.25">
      <c r="A8" s="180" t="s">
        <v>1837</v>
      </c>
      <c r="B8" s="170" t="s">
        <v>2078</v>
      </c>
      <c r="C8" s="16" t="s">
        <v>2078</v>
      </c>
      <c r="D8" s="6" t="s">
        <v>4441</v>
      </c>
      <c r="E8" s="167" t="s">
        <v>4441</v>
      </c>
      <c r="F8" s="199">
        <v>1</v>
      </c>
      <c r="G8" s="12">
        <v>20</v>
      </c>
      <c r="H8" s="129" t="s">
        <v>5061</v>
      </c>
      <c r="I8" s="129" t="s">
        <v>4709</v>
      </c>
      <c r="J8" s="162" t="s">
        <v>3951</v>
      </c>
      <c r="K8" s="129" t="s">
        <v>5053</v>
      </c>
      <c r="L8" s="162" t="s">
        <v>2079</v>
      </c>
      <c r="M8" s="262">
        <v>114</v>
      </c>
      <c r="N8" s="159" t="s">
        <v>8824</v>
      </c>
    </row>
    <row r="9" spans="1:14" ht="23.4" customHeight="1" x14ac:dyDescent="0.25">
      <c r="A9" s="180" t="s">
        <v>1836</v>
      </c>
      <c r="B9" s="170" t="s">
        <v>2078</v>
      </c>
      <c r="C9" s="16" t="s">
        <v>2078</v>
      </c>
      <c r="D9" s="6" t="s">
        <v>4441</v>
      </c>
      <c r="E9" s="167" t="s">
        <v>4441</v>
      </c>
      <c r="F9" s="12">
        <v>1</v>
      </c>
      <c r="G9" s="12">
        <v>20</v>
      </c>
      <c r="H9" s="129" t="s">
        <v>3891</v>
      </c>
      <c r="I9" s="129" t="s">
        <v>4709</v>
      </c>
      <c r="J9" s="162" t="s">
        <v>5062</v>
      </c>
      <c r="K9" s="129" t="s">
        <v>1284</v>
      </c>
      <c r="L9" s="162" t="s">
        <v>2079</v>
      </c>
      <c r="M9" s="262">
        <v>114</v>
      </c>
      <c r="N9" s="159" t="s">
        <v>5051</v>
      </c>
    </row>
    <row r="10" spans="1:14" ht="23.4" customHeight="1" x14ac:dyDescent="0.25">
      <c r="A10" s="180" t="s">
        <v>1842</v>
      </c>
      <c r="B10" s="170" t="s">
        <v>2078</v>
      </c>
      <c r="C10" s="16" t="s">
        <v>2078</v>
      </c>
      <c r="D10" s="6" t="s">
        <v>4441</v>
      </c>
      <c r="E10" s="167" t="s">
        <v>4441</v>
      </c>
      <c r="F10" s="12">
        <v>1</v>
      </c>
      <c r="G10" s="12">
        <v>10</v>
      </c>
      <c r="H10" s="129" t="s">
        <v>3891</v>
      </c>
      <c r="I10" s="129" t="s">
        <v>4709</v>
      </c>
      <c r="J10" s="162" t="s">
        <v>3951</v>
      </c>
      <c r="K10" s="129" t="s">
        <v>1284</v>
      </c>
      <c r="L10" s="162" t="s">
        <v>2079</v>
      </c>
      <c r="M10" s="262">
        <v>115</v>
      </c>
      <c r="N10" s="159" t="s">
        <v>8825</v>
      </c>
    </row>
    <row r="11" spans="1:14" ht="23.4" customHeight="1" x14ac:dyDescent="0.25">
      <c r="A11" s="180" t="s">
        <v>1866</v>
      </c>
      <c r="B11" s="170" t="s">
        <v>2078</v>
      </c>
      <c r="C11" s="16" t="s">
        <v>2078</v>
      </c>
      <c r="D11" s="6" t="s">
        <v>4441</v>
      </c>
      <c r="E11" s="167" t="s">
        <v>4441</v>
      </c>
      <c r="F11" s="199">
        <v>2</v>
      </c>
      <c r="G11" s="12">
        <v>15</v>
      </c>
      <c r="H11" s="129" t="s">
        <v>3891</v>
      </c>
      <c r="I11" s="129" t="s">
        <v>4709</v>
      </c>
      <c r="J11" s="162" t="s">
        <v>3951</v>
      </c>
      <c r="K11" s="129" t="s">
        <v>1284</v>
      </c>
      <c r="L11" s="162" t="s">
        <v>2079</v>
      </c>
      <c r="M11" s="262">
        <v>115</v>
      </c>
      <c r="N11" s="159" t="s">
        <v>5063</v>
      </c>
    </row>
    <row r="12" spans="1:14" ht="23.4" customHeight="1" x14ac:dyDescent="0.25">
      <c r="A12" s="180" t="s">
        <v>1845</v>
      </c>
      <c r="B12" s="170" t="s">
        <v>2078</v>
      </c>
      <c r="C12" s="16" t="s">
        <v>2078</v>
      </c>
      <c r="D12" s="6" t="s">
        <v>4441</v>
      </c>
      <c r="E12" s="167" t="s">
        <v>4441</v>
      </c>
      <c r="F12" s="199">
        <v>2</v>
      </c>
      <c r="G12" s="12">
        <v>20</v>
      </c>
      <c r="H12" s="129" t="s">
        <v>3891</v>
      </c>
      <c r="I12" s="129" t="s">
        <v>4709</v>
      </c>
      <c r="J12" s="162" t="s">
        <v>3951</v>
      </c>
      <c r="K12" s="129" t="s">
        <v>1284</v>
      </c>
      <c r="L12" s="162" t="s">
        <v>2079</v>
      </c>
      <c r="M12" s="262">
        <v>115</v>
      </c>
      <c r="N12" s="159" t="s">
        <v>8826</v>
      </c>
    </row>
    <row r="13" spans="1:14" ht="23.4" customHeight="1" x14ac:dyDescent="0.25">
      <c r="A13" s="180" t="s">
        <v>1844</v>
      </c>
      <c r="B13" s="170" t="s">
        <v>2078</v>
      </c>
      <c r="C13" s="16" t="s">
        <v>2078</v>
      </c>
      <c r="D13" s="6" t="s">
        <v>4441</v>
      </c>
      <c r="E13" s="167" t="s">
        <v>4441</v>
      </c>
      <c r="F13" s="199">
        <v>2</v>
      </c>
      <c r="G13" s="12">
        <v>20</v>
      </c>
      <c r="H13" s="129" t="s">
        <v>3891</v>
      </c>
      <c r="I13" s="129" t="s">
        <v>4709</v>
      </c>
      <c r="J13" s="162" t="s">
        <v>4010</v>
      </c>
      <c r="K13" s="129" t="s">
        <v>1284</v>
      </c>
      <c r="L13" s="162" t="s">
        <v>2079</v>
      </c>
      <c r="M13" s="262">
        <v>115</v>
      </c>
      <c r="N13" s="159" t="s">
        <v>5058</v>
      </c>
    </row>
    <row r="14" spans="1:14" ht="23.4" customHeight="1" x14ac:dyDescent="0.25">
      <c r="A14" s="180" t="s">
        <v>1847</v>
      </c>
      <c r="B14" s="170" t="s">
        <v>2078</v>
      </c>
      <c r="C14" s="16" t="s">
        <v>2078</v>
      </c>
      <c r="D14" s="6" t="s">
        <v>4441</v>
      </c>
      <c r="E14" s="167" t="s">
        <v>4441</v>
      </c>
      <c r="F14" s="199">
        <v>2</v>
      </c>
      <c r="G14" s="12">
        <v>25</v>
      </c>
      <c r="H14" s="129" t="s">
        <v>3891</v>
      </c>
      <c r="I14" s="129" t="s">
        <v>4709</v>
      </c>
      <c r="J14" s="162" t="s">
        <v>3951</v>
      </c>
      <c r="K14" s="129" t="s">
        <v>1284</v>
      </c>
      <c r="L14" s="162" t="s">
        <v>2079</v>
      </c>
      <c r="M14" s="262">
        <v>115</v>
      </c>
      <c r="N14" s="159" t="s">
        <v>5064</v>
      </c>
    </row>
    <row r="15" spans="1:14" ht="23.4" customHeight="1" x14ac:dyDescent="0.25">
      <c r="A15" s="180" t="s">
        <v>1848</v>
      </c>
      <c r="B15" s="170" t="s">
        <v>2078</v>
      </c>
      <c r="C15" s="16" t="s">
        <v>2078</v>
      </c>
      <c r="D15" s="6" t="s">
        <v>4441</v>
      </c>
      <c r="E15" s="167" t="s">
        <v>4441</v>
      </c>
      <c r="F15" s="199">
        <v>2</v>
      </c>
      <c r="G15" s="12">
        <v>20</v>
      </c>
      <c r="H15" s="129" t="s">
        <v>3891</v>
      </c>
      <c r="I15" s="129" t="s">
        <v>4709</v>
      </c>
      <c r="J15" s="162" t="s">
        <v>3951</v>
      </c>
      <c r="K15" s="129" t="s">
        <v>5066</v>
      </c>
      <c r="L15" s="162" t="s">
        <v>2079</v>
      </c>
      <c r="M15" s="262">
        <v>115</v>
      </c>
      <c r="N15" s="159" t="s">
        <v>5065</v>
      </c>
    </row>
    <row r="16" spans="1:14" ht="23.4" customHeight="1" x14ac:dyDescent="0.25">
      <c r="A16" s="180" t="s">
        <v>1849</v>
      </c>
      <c r="B16" s="170" t="s">
        <v>2078</v>
      </c>
      <c r="C16" s="16" t="s">
        <v>2078</v>
      </c>
      <c r="D16" s="6" t="s">
        <v>4441</v>
      </c>
      <c r="E16" s="167" t="s">
        <v>4441</v>
      </c>
      <c r="F16" s="199">
        <v>2</v>
      </c>
      <c r="G16" s="12">
        <v>25</v>
      </c>
      <c r="H16" s="129" t="s">
        <v>3891</v>
      </c>
      <c r="I16" s="129" t="s">
        <v>4709</v>
      </c>
      <c r="J16" s="162" t="s">
        <v>3951</v>
      </c>
      <c r="K16" s="129" t="s">
        <v>1284</v>
      </c>
      <c r="L16" s="162" t="s">
        <v>2079</v>
      </c>
      <c r="M16" s="262">
        <v>115</v>
      </c>
      <c r="N16" s="159" t="s">
        <v>5067</v>
      </c>
    </row>
    <row r="17" spans="1:14" ht="23.4" customHeight="1" x14ac:dyDescent="0.25">
      <c r="A17" s="180" t="s">
        <v>1846</v>
      </c>
      <c r="B17" s="170" t="s">
        <v>2078</v>
      </c>
      <c r="C17" s="16" t="s">
        <v>2078</v>
      </c>
      <c r="D17" s="6" t="s">
        <v>4441</v>
      </c>
      <c r="E17" s="167" t="s">
        <v>4441</v>
      </c>
      <c r="F17" s="199">
        <v>2</v>
      </c>
      <c r="G17" s="12">
        <v>15</v>
      </c>
      <c r="H17" s="129" t="s">
        <v>5060</v>
      </c>
      <c r="I17" s="129" t="s">
        <v>5024</v>
      </c>
      <c r="J17" s="162" t="s">
        <v>3951</v>
      </c>
      <c r="K17" s="129" t="s">
        <v>5059</v>
      </c>
      <c r="L17" s="162" t="s">
        <v>2079</v>
      </c>
      <c r="M17" s="262">
        <v>115</v>
      </c>
      <c r="N17" s="159" t="s">
        <v>8827</v>
      </c>
    </row>
    <row r="18" spans="1:14" ht="23.4" customHeight="1" x14ac:dyDescent="0.25">
      <c r="A18" s="180" t="s">
        <v>1853</v>
      </c>
      <c r="B18" s="170" t="s">
        <v>2078</v>
      </c>
      <c r="C18" s="16" t="s">
        <v>2078</v>
      </c>
      <c r="D18" s="6" t="s">
        <v>4441</v>
      </c>
      <c r="E18" s="167" t="s">
        <v>4441</v>
      </c>
      <c r="F18" s="199">
        <v>3</v>
      </c>
      <c r="G18" s="12">
        <v>25</v>
      </c>
      <c r="H18" s="129" t="s">
        <v>3891</v>
      </c>
      <c r="I18" s="129" t="s">
        <v>4709</v>
      </c>
      <c r="J18" s="162" t="s">
        <v>3951</v>
      </c>
      <c r="K18" s="129" t="s">
        <v>1284</v>
      </c>
      <c r="L18" s="162" t="s">
        <v>2079</v>
      </c>
      <c r="M18" s="262">
        <v>116</v>
      </c>
      <c r="N18" s="159" t="s">
        <v>5071</v>
      </c>
    </row>
    <row r="19" spans="1:14" ht="23.4" customHeight="1" x14ac:dyDescent="0.25">
      <c r="A19" s="180" t="s">
        <v>1850</v>
      </c>
      <c r="B19" s="170" t="s">
        <v>2078</v>
      </c>
      <c r="C19" s="16" t="s">
        <v>2078</v>
      </c>
      <c r="D19" s="6" t="s">
        <v>4441</v>
      </c>
      <c r="E19" s="167" t="s">
        <v>4441</v>
      </c>
      <c r="F19" s="199">
        <v>3</v>
      </c>
      <c r="G19" s="12">
        <v>25</v>
      </c>
      <c r="H19" s="129" t="s">
        <v>3891</v>
      </c>
      <c r="I19" s="129" t="s">
        <v>4709</v>
      </c>
      <c r="J19" s="162" t="s">
        <v>3951</v>
      </c>
      <c r="K19" s="129" t="s">
        <v>1284</v>
      </c>
      <c r="L19" s="162" t="s">
        <v>2079</v>
      </c>
      <c r="M19" s="262">
        <v>116</v>
      </c>
      <c r="N19" s="159" t="s">
        <v>5068</v>
      </c>
    </row>
    <row r="20" spans="1:14" ht="23.4" customHeight="1" x14ac:dyDescent="0.25">
      <c r="A20" s="180" t="s">
        <v>1851</v>
      </c>
      <c r="B20" s="170" t="s">
        <v>2078</v>
      </c>
      <c r="C20" s="16" t="s">
        <v>2078</v>
      </c>
      <c r="D20" s="6" t="s">
        <v>4441</v>
      </c>
      <c r="E20" s="167" t="s">
        <v>4441</v>
      </c>
      <c r="F20" s="199">
        <v>3</v>
      </c>
      <c r="G20" s="12">
        <v>30</v>
      </c>
      <c r="H20" s="129" t="s">
        <v>3891</v>
      </c>
      <c r="I20" s="129" t="s">
        <v>4709</v>
      </c>
      <c r="J20" s="162" t="s">
        <v>3951</v>
      </c>
      <c r="K20" s="129" t="s">
        <v>1284</v>
      </c>
      <c r="L20" s="162" t="s">
        <v>2079</v>
      </c>
      <c r="M20" s="262">
        <v>116</v>
      </c>
      <c r="N20" s="159" t="s">
        <v>5069</v>
      </c>
    </row>
    <row r="21" spans="1:14" ht="23.4" customHeight="1" x14ac:dyDescent="0.25">
      <c r="A21" s="180" t="s">
        <v>1852</v>
      </c>
      <c r="B21" s="170" t="s">
        <v>2078</v>
      </c>
      <c r="C21" s="16" t="s">
        <v>2078</v>
      </c>
      <c r="D21" s="6" t="s">
        <v>4441</v>
      </c>
      <c r="E21" s="167" t="s">
        <v>4441</v>
      </c>
      <c r="F21" s="199">
        <v>3</v>
      </c>
      <c r="G21" s="12">
        <v>20</v>
      </c>
      <c r="H21" s="129" t="s">
        <v>3891</v>
      </c>
      <c r="I21" s="129" t="s">
        <v>4709</v>
      </c>
      <c r="J21" s="162" t="s">
        <v>3951</v>
      </c>
      <c r="K21" s="129" t="s">
        <v>1284</v>
      </c>
      <c r="L21" s="162" t="s">
        <v>2079</v>
      </c>
      <c r="M21" s="262">
        <v>116</v>
      </c>
      <c r="N21" s="159" t="s">
        <v>5070</v>
      </c>
    </row>
    <row r="22" spans="1:14" ht="23.4" customHeight="1" x14ac:dyDescent="0.25">
      <c r="A22" s="180" t="s">
        <v>1854</v>
      </c>
      <c r="B22" s="170" t="s">
        <v>2078</v>
      </c>
      <c r="C22" s="16" t="s">
        <v>2078</v>
      </c>
      <c r="D22" s="6" t="s">
        <v>4441</v>
      </c>
      <c r="E22" s="167" t="s">
        <v>4441</v>
      </c>
      <c r="F22" s="199">
        <v>3</v>
      </c>
      <c r="G22" s="12">
        <v>25</v>
      </c>
      <c r="H22" s="129" t="s">
        <v>3891</v>
      </c>
      <c r="I22" s="129" t="s">
        <v>4709</v>
      </c>
      <c r="J22" s="162" t="s">
        <v>3951</v>
      </c>
      <c r="K22" s="129" t="s">
        <v>1284</v>
      </c>
      <c r="L22" s="162" t="s">
        <v>2079</v>
      </c>
      <c r="M22" s="262">
        <v>116</v>
      </c>
      <c r="N22" s="159" t="s">
        <v>8828</v>
      </c>
    </row>
    <row r="23" spans="1:14" ht="23.4" customHeight="1" x14ac:dyDescent="0.25">
      <c r="A23" s="180" t="s">
        <v>1855</v>
      </c>
      <c r="B23" s="170" t="s">
        <v>2078</v>
      </c>
      <c r="C23" s="16" t="s">
        <v>2078</v>
      </c>
      <c r="D23" s="6" t="s">
        <v>4441</v>
      </c>
      <c r="E23" s="167" t="s">
        <v>4441</v>
      </c>
      <c r="F23" s="199">
        <v>4</v>
      </c>
      <c r="G23" s="12">
        <v>30</v>
      </c>
      <c r="H23" s="129" t="s">
        <v>3891</v>
      </c>
      <c r="I23" s="129" t="s">
        <v>4709</v>
      </c>
      <c r="J23" s="162" t="s">
        <v>3951</v>
      </c>
      <c r="K23" s="129" t="s">
        <v>1284</v>
      </c>
      <c r="L23" s="162" t="s">
        <v>2079</v>
      </c>
      <c r="M23" s="262">
        <v>116</v>
      </c>
      <c r="N23" s="159" t="s">
        <v>5072</v>
      </c>
    </row>
    <row r="24" spans="1:14" ht="23.4" customHeight="1" x14ac:dyDescent="0.25">
      <c r="A24" s="180" t="s">
        <v>1856</v>
      </c>
      <c r="B24" s="170" t="s">
        <v>2078</v>
      </c>
      <c r="C24" s="16" t="s">
        <v>2078</v>
      </c>
      <c r="D24" s="6" t="s">
        <v>4441</v>
      </c>
      <c r="E24" s="167" t="s">
        <v>4441</v>
      </c>
      <c r="F24" s="199">
        <v>4</v>
      </c>
      <c r="G24" s="12">
        <v>35</v>
      </c>
      <c r="H24" s="129" t="s">
        <v>3891</v>
      </c>
      <c r="I24" s="129" t="s">
        <v>4709</v>
      </c>
      <c r="J24" s="162" t="s">
        <v>3951</v>
      </c>
      <c r="K24" s="129" t="s">
        <v>5073</v>
      </c>
      <c r="L24" s="162" t="s">
        <v>2079</v>
      </c>
      <c r="M24" s="262">
        <v>116</v>
      </c>
      <c r="N24" s="159" t="str">
        <f>CONCATENATE("Le porteur de ce bâton peut faire appel à son pouvoir une fois par jour pour regagner ",Terre*5," blessures ou pour ignorer toutes les pénalités dont il souffre à cause de ses blessures pendant une heure.")</f>
        <v>Le porteur de ce bâton peut faire appel à son pouvoir une fois par jour pour regagner 10 blessures ou pour ignorer toutes les pénalités dont il souffre à cause de ses blessures pendant une heure.</v>
      </c>
    </row>
    <row r="25" spans="1:14" ht="23.4" customHeight="1" x14ac:dyDescent="0.25">
      <c r="A25" s="180" t="s">
        <v>1859</v>
      </c>
      <c r="B25" s="170" t="s">
        <v>2078</v>
      </c>
      <c r="C25" s="16" t="s">
        <v>2078</v>
      </c>
      <c r="D25" s="6" t="s">
        <v>4441</v>
      </c>
      <c r="E25" s="167" t="s">
        <v>4441</v>
      </c>
      <c r="F25" s="199">
        <v>4</v>
      </c>
      <c r="G25" s="12">
        <v>20</v>
      </c>
      <c r="H25" s="129" t="s">
        <v>3891</v>
      </c>
      <c r="I25" s="129" t="s">
        <v>4709</v>
      </c>
      <c r="J25" s="162" t="s">
        <v>3951</v>
      </c>
      <c r="K25" s="129" t="s">
        <v>1284</v>
      </c>
      <c r="L25" s="162" t="s">
        <v>2079</v>
      </c>
      <c r="M25" s="262">
        <v>116</v>
      </c>
      <c r="N25" s="159" t="s">
        <v>5805</v>
      </c>
    </row>
    <row r="26" spans="1:14" ht="23.4" customHeight="1" x14ac:dyDescent="0.25">
      <c r="A26" s="180" t="s">
        <v>1857</v>
      </c>
      <c r="B26" s="170" t="s">
        <v>2078</v>
      </c>
      <c r="C26" s="16" t="s">
        <v>2078</v>
      </c>
      <c r="D26" s="6" t="s">
        <v>4441</v>
      </c>
      <c r="E26" s="167" t="s">
        <v>4441</v>
      </c>
      <c r="F26" s="199">
        <v>4</v>
      </c>
      <c r="G26" s="12">
        <v>30</v>
      </c>
      <c r="H26" s="129" t="s">
        <v>3891</v>
      </c>
      <c r="I26" s="129" t="s">
        <v>4709</v>
      </c>
      <c r="J26" s="162" t="s">
        <v>3951</v>
      </c>
      <c r="K26" s="129" t="s">
        <v>1284</v>
      </c>
      <c r="L26" s="162" t="s">
        <v>2079</v>
      </c>
      <c r="M26" s="262">
        <v>116</v>
      </c>
      <c r="N26" s="159" t="s">
        <v>8829</v>
      </c>
    </row>
    <row r="27" spans="1:14" ht="23.4" customHeight="1" x14ac:dyDescent="0.25">
      <c r="A27" s="180" t="s">
        <v>1858</v>
      </c>
      <c r="B27" s="170" t="s">
        <v>2078</v>
      </c>
      <c r="C27" s="16" t="s">
        <v>2078</v>
      </c>
      <c r="D27" s="6" t="s">
        <v>4441</v>
      </c>
      <c r="E27" s="167" t="s">
        <v>4441</v>
      </c>
      <c r="F27" s="199">
        <v>4</v>
      </c>
      <c r="G27" s="12">
        <v>30</v>
      </c>
      <c r="H27" s="129" t="s">
        <v>3891</v>
      </c>
      <c r="I27" s="129" t="s">
        <v>4709</v>
      </c>
      <c r="J27" s="162" t="s">
        <v>3951</v>
      </c>
      <c r="K27" s="129" t="s">
        <v>5075</v>
      </c>
      <c r="L27" s="162" t="s">
        <v>2079</v>
      </c>
      <c r="M27" s="262">
        <v>116</v>
      </c>
      <c r="N27" s="159" t="s">
        <v>5074</v>
      </c>
    </row>
    <row r="28" spans="1:14" ht="23.4" customHeight="1" x14ac:dyDescent="0.25">
      <c r="A28" s="180" t="s">
        <v>1860</v>
      </c>
      <c r="B28" s="170" t="s">
        <v>2078</v>
      </c>
      <c r="C28" s="16" t="s">
        <v>2078</v>
      </c>
      <c r="D28" s="6" t="s">
        <v>4441</v>
      </c>
      <c r="E28" s="167" t="s">
        <v>4441</v>
      </c>
      <c r="F28" s="199">
        <v>4</v>
      </c>
      <c r="G28" s="12">
        <v>20</v>
      </c>
      <c r="H28" s="129" t="s">
        <v>3891</v>
      </c>
      <c r="I28" s="129" t="s">
        <v>4709</v>
      </c>
      <c r="J28" s="162" t="s">
        <v>3951</v>
      </c>
      <c r="K28" s="129" t="s">
        <v>1284</v>
      </c>
      <c r="L28" s="162" t="s">
        <v>2079</v>
      </c>
      <c r="M28" s="262">
        <v>116</v>
      </c>
      <c r="N28" s="159" t="s">
        <v>5076</v>
      </c>
    </row>
    <row r="29" spans="1:14" ht="23.4" customHeight="1" x14ac:dyDescent="0.25">
      <c r="A29" s="180" t="s">
        <v>1863</v>
      </c>
      <c r="B29" s="170" t="s">
        <v>2078</v>
      </c>
      <c r="C29" s="16" t="s">
        <v>2078</v>
      </c>
      <c r="D29" s="6" t="s">
        <v>4441</v>
      </c>
      <c r="E29" s="167" t="s">
        <v>4441</v>
      </c>
      <c r="F29" s="199">
        <v>5</v>
      </c>
      <c r="G29" s="12">
        <v>35</v>
      </c>
      <c r="H29" s="129" t="s">
        <v>3891</v>
      </c>
      <c r="I29" s="129" t="s">
        <v>4709</v>
      </c>
      <c r="J29" s="162" t="s">
        <v>3951</v>
      </c>
      <c r="K29" s="129" t="s">
        <v>1284</v>
      </c>
      <c r="L29" s="162" t="s">
        <v>2079</v>
      </c>
      <c r="M29" s="262">
        <v>117</v>
      </c>
      <c r="N29" s="159" t="s">
        <v>8830</v>
      </c>
    </row>
    <row r="30" spans="1:14" ht="23.4" customHeight="1" x14ac:dyDescent="0.25">
      <c r="A30" s="180" t="s">
        <v>1861</v>
      </c>
      <c r="B30" s="170" t="s">
        <v>2078</v>
      </c>
      <c r="C30" s="16" t="s">
        <v>2078</v>
      </c>
      <c r="D30" s="6" t="s">
        <v>4441</v>
      </c>
      <c r="E30" s="167" t="s">
        <v>4441</v>
      </c>
      <c r="F30" s="199">
        <v>5</v>
      </c>
      <c r="G30" s="12">
        <v>35</v>
      </c>
      <c r="H30" s="129" t="s">
        <v>3891</v>
      </c>
      <c r="I30" s="129" t="s">
        <v>4709</v>
      </c>
      <c r="J30" s="162" t="s">
        <v>3951</v>
      </c>
      <c r="K30" s="129" t="s">
        <v>1284</v>
      </c>
      <c r="L30" s="162" t="s">
        <v>2079</v>
      </c>
      <c r="M30" s="262">
        <v>117</v>
      </c>
      <c r="N30" s="159" t="s">
        <v>5077</v>
      </c>
    </row>
    <row r="31" spans="1:14" ht="23.4" customHeight="1" x14ac:dyDescent="0.25">
      <c r="A31" s="180" t="s">
        <v>1864</v>
      </c>
      <c r="B31" s="170" t="s">
        <v>2078</v>
      </c>
      <c r="C31" s="16" t="s">
        <v>2078</v>
      </c>
      <c r="D31" s="6" t="s">
        <v>4441</v>
      </c>
      <c r="E31" s="167" t="s">
        <v>4441</v>
      </c>
      <c r="F31" s="199">
        <v>5</v>
      </c>
      <c r="G31" s="12">
        <v>25</v>
      </c>
      <c r="H31" s="129" t="s">
        <v>3891</v>
      </c>
      <c r="I31" s="129" t="s">
        <v>4709</v>
      </c>
      <c r="J31" s="162" t="s">
        <v>3951</v>
      </c>
      <c r="K31" s="129" t="s">
        <v>1284</v>
      </c>
      <c r="L31" s="162" t="s">
        <v>2079</v>
      </c>
      <c r="M31" s="262">
        <v>117</v>
      </c>
      <c r="N31" s="159" t="s">
        <v>8831</v>
      </c>
    </row>
    <row r="32" spans="1:14" ht="23.4" customHeight="1" x14ac:dyDescent="0.25">
      <c r="A32" s="180" t="s">
        <v>1862</v>
      </c>
      <c r="B32" s="170" t="s">
        <v>2078</v>
      </c>
      <c r="C32" s="16" t="s">
        <v>2078</v>
      </c>
      <c r="D32" s="6" t="s">
        <v>4441</v>
      </c>
      <c r="E32" s="167" t="s">
        <v>4441</v>
      </c>
      <c r="F32" s="199">
        <v>5</v>
      </c>
      <c r="G32" s="12">
        <v>35</v>
      </c>
      <c r="H32" s="129" t="s">
        <v>3891</v>
      </c>
      <c r="I32" s="129" t="s">
        <v>4709</v>
      </c>
      <c r="J32" s="162" t="s">
        <v>3951</v>
      </c>
      <c r="K32" s="129" t="s">
        <v>5078</v>
      </c>
      <c r="L32" s="162" t="s">
        <v>2079</v>
      </c>
      <c r="M32" s="262">
        <v>117</v>
      </c>
      <c r="N32" s="159" t="s">
        <v>8832</v>
      </c>
    </row>
    <row r="33" spans="1:14" ht="23.4" customHeight="1" x14ac:dyDescent="0.25">
      <c r="A33" s="180" t="s">
        <v>1865</v>
      </c>
      <c r="B33" s="170" t="s">
        <v>2078</v>
      </c>
      <c r="C33" s="16" t="s">
        <v>2078</v>
      </c>
      <c r="D33" s="6" t="s">
        <v>4441</v>
      </c>
      <c r="E33" s="167" t="s">
        <v>4441</v>
      </c>
      <c r="F33" s="199">
        <v>5</v>
      </c>
      <c r="G33" s="12">
        <v>30</v>
      </c>
      <c r="H33" s="129" t="s">
        <v>3891</v>
      </c>
      <c r="I33" s="129" t="s">
        <v>4709</v>
      </c>
      <c r="J33" s="162" t="s">
        <v>3951</v>
      </c>
      <c r="K33" s="129" t="s">
        <v>1284</v>
      </c>
      <c r="L33" s="162" t="s">
        <v>2079</v>
      </c>
      <c r="M33" s="262">
        <v>117</v>
      </c>
      <c r="N33" s="159" t="s">
        <v>8833</v>
      </c>
    </row>
    <row r="34" spans="1:14" ht="23.4" customHeight="1" x14ac:dyDescent="0.25">
      <c r="A34" s="180" t="s">
        <v>1669</v>
      </c>
      <c r="B34" s="129" t="s">
        <v>115</v>
      </c>
      <c r="C34" s="16" t="s">
        <v>2078</v>
      </c>
      <c r="D34" s="6" t="s">
        <v>2082</v>
      </c>
      <c r="E34" s="332" t="s">
        <v>100</v>
      </c>
      <c r="F34" s="12">
        <v>1</v>
      </c>
      <c r="G34" s="192">
        <f t="shared" ref="G34:G65" si="0">IF(OR(D34="Kiho",D34="Kata"),"---",5+F34*5)</f>
        <v>10</v>
      </c>
      <c r="H34" s="129" t="s">
        <v>3891</v>
      </c>
      <c r="I34" s="129" t="s">
        <v>4715</v>
      </c>
      <c r="J34" s="129" t="s">
        <v>4940</v>
      </c>
      <c r="K34" s="129" t="s">
        <v>1284</v>
      </c>
      <c r="L34" s="162" t="s">
        <v>2079</v>
      </c>
      <c r="M34" s="12">
        <v>191</v>
      </c>
      <c r="N34" s="159" t="s">
        <v>8834</v>
      </c>
    </row>
    <row r="35" spans="1:14" ht="23.4" customHeight="1" x14ac:dyDescent="0.25">
      <c r="A35" s="180" t="s">
        <v>1666</v>
      </c>
      <c r="B35" s="129" t="s">
        <v>117</v>
      </c>
      <c r="C35" s="16" t="s">
        <v>2078</v>
      </c>
      <c r="D35" s="6" t="s">
        <v>2082</v>
      </c>
      <c r="E35" s="332" t="s">
        <v>100</v>
      </c>
      <c r="F35" s="12">
        <v>1</v>
      </c>
      <c r="G35" s="192">
        <f t="shared" si="0"/>
        <v>10</v>
      </c>
      <c r="H35" s="129" t="s">
        <v>3952</v>
      </c>
      <c r="I35" s="129" t="s">
        <v>4065</v>
      </c>
      <c r="J35" s="129" t="s">
        <v>4939</v>
      </c>
      <c r="K35" s="129" t="s">
        <v>4941</v>
      </c>
      <c r="L35" s="162" t="s">
        <v>2079</v>
      </c>
      <c r="M35" s="12">
        <v>191</v>
      </c>
      <c r="N35" s="159" t="s">
        <v>8835</v>
      </c>
    </row>
    <row r="36" spans="1:14" ht="23.4" customHeight="1" x14ac:dyDescent="0.25">
      <c r="A36" s="180" t="s">
        <v>1670</v>
      </c>
      <c r="B36" s="129" t="s">
        <v>117</v>
      </c>
      <c r="C36" s="16" t="s">
        <v>2078</v>
      </c>
      <c r="D36" s="6" t="s">
        <v>2082</v>
      </c>
      <c r="E36" s="332" t="s">
        <v>100</v>
      </c>
      <c r="F36" s="12">
        <v>2</v>
      </c>
      <c r="G36" s="192">
        <f t="shared" si="0"/>
        <v>15</v>
      </c>
      <c r="H36" s="129" t="s">
        <v>3891</v>
      </c>
      <c r="I36" s="129" t="s">
        <v>3916</v>
      </c>
      <c r="J36" s="129" t="s">
        <v>4154</v>
      </c>
      <c r="K36" s="129" t="s">
        <v>4949</v>
      </c>
      <c r="L36" s="162" t="s">
        <v>2079</v>
      </c>
      <c r="M36" s="12">
        <v>193</v>
      </c>
      <c r="N36" s="159" t="s">
        <v>8836</v>
      </c>
    </row>
    <row r="37" spans="1:14" ht="23.4" customHeight="1" x14ac:dyDescent="0.25">
      <c r="A37" s="180" t="s">
        <v>1668</v>
      </c>
      <c r="B37" s="129" t="s">
        <v>115</v>
      </c>
      <c r="C37" s="16" t="s">
        <v>2078</v>
      </c>
      <c r="D37" s="6" t="s">
        <v>2082</v>
      </c>
      <c r="E37" s="332" t="s">
        <v>100</v>
      </c>
      <c r="F37" s="12">
        <v>2</v>
      </c>
      <c r="G37" s="192">
        <f t="shared" si="0"/>
        <v>15</v>
      </c>
      <c r="H37" s="129" t="s">
        <v>3891</v>
      </c>
      <c r="I37" s="129" t="s">
        <v>4715</v>
      </c>
      <c r="J37" s="129" t="s">
        <v>4953</v>
      </c>
      <c r="K37" s="129" t="s">
        <v>4954</v>
      </c>
      <c r="L37" s="162" t="s">
        <v>2079</v>
      </c>
      <c r="M37" s="12">
        <v>193</v>
      </c>
      <c r="N37" s="159" t="s">
        <v>4955</v>
      </c>
    </row>
    <row r="38" spans="1:14" ht="23.4" customHeight="1" x14ac:dyDescent="0.25">
      <c r="A38" s="180" t="s">
        <v>1671</v>
      </c>
      <c r="B38" s="129" t="s">
        <v>117</v>
      </c>
      <c r="C38" s="16" t="s">
        <v>2078</v>
      </c>
      <c r="D38" s="6" t="s">
        <v>2082</v>
      </c>
      <c r="E38" s="332" t="s">
        <v>100</v>
      </c>
      <c r="F38" s="12">
        <v>3</v>
      </c>
      <c r="G38" s="192">
        <f t="shared" si="0"/>
        <v>20</v>
      </c>
      <c r="H38" s="129" t="s">
        <v>3956</v>
      </c>
      <c r="I38" s="129" t="s">
        <v>4956</v>
      </c>
      <c r="J38" s="129" t="s">
        <v>4947</v>
      </c>
      <c r="K38" s="129" t="s">
        <v>1284</v>
      </c>
      <c r="L38" s="162" t="s">
        <v>2079</v>
      </c>
      <c r="M38" s="12">
        <v>193</v>
      </c>
      <c r="N38" s="159" t="s">
        <v>4957</v>
      </c>
    </row>
    <row r="39" spans="1:14" ht="23.4" customHeight="1" x14ac:dyDescent="0.25">
      <c r="A39" s="180" t="s">
        <v>1672</v>
      </c>
      <c r="B39" s="129" t="s">
        <v>115</v>
      </c>
      <c r="C39" s="16" t="s">
        <v>2078</v>
      </c>
      <c r="D39" s="6" t="s">
        <v>2082</v>
      </c>
      <c r="E39" s="332" t="s">
        <v>100</v>
      </c>
      <c r="F39" s="12">
        <v>3</v>
      </c>
      <c r="G39" s="192">
        <f t="shared" si="0"/>
        <v>20</v>
      </c>
      <c r="H39" s="129" t="s">
        <v>3875</v>
      </c>
      <c r="I39" s="129" t="s">
        <v>4715</v>
      </c>
      <c r="J39" s="129" t="s">
        <v>4946</v>
      </c>
      <c r="K39" s="129" t="s">
        <v>4078</v>
      </c>
      <c r="L39" s="162" t="s">
        <v>2079</v>
      </c>
      <c r="M39" s="12">
        <v>194</v>
      </c>
      <c r="N39" s="159" t="s">
        <v>4963</v>
      </c>
    </row>
    <row r="40" spans="1:14" ht="23.4" customHeight="1" x14ac:dyDescent="0.25">
      <c r="A40" s="180" t="s">
        <v>1674</v>
      </c>
      <c r="B40" s="129" t="s">
        <v>112</v>
      </c>
      <c r="C40" s="16" t="s">
        <v>2078</v>
      </c>
      <c r="D40" s="6" t="s">
        <v>2082</v>
      </c>
      <c r="E40" s="333" t="s">
        <v>578</v>
      </c>
      <c r="F40" s="12">
        <v>1</v>
      </c>
      <c r="G40" s="192">
        <f t="shared" si="0"/>
        <v>10</v>
      </c>
      <c r="H40" s="129" t="s">
        <v>4936</v>
      </c>
      <c r="I40" s="129" t="s">
        <v>4065</v>
      </c>
      <c r="J40" s="129" t="s">
        <v>4937</v>
      </c>
      <c r="K40" s="129" t="s">
        <v>1284</v>
      </c>
      <c r="L40" s="162" t="s">
        <v>2079</v>
      </c>
      <c r="M40" s="12">
        <v>191</v>
      </c>
      <c r="N40" s="159" t="s">
        <v>4938</v>
      </c>
    </row>
    <row r="41" spans="1:14" ht="23.4" customHeight="1" x14ac:dyDescent="0.25">
      <c r="A41" s="180" t="s">
        <v>1673</v>
      </c>
      <c r="B41" s="129" t="s">
        <v>111</v>
      </c>
      <c r="C41" s="16" t="s">
        <v>2078</v>
      </c>
      <c r="D41" s="6" t="s">
        <v>2082</v>
      </c>
      <c r="E41" s="333" t="s">
        <v>578</v>
      </c>
      <c r="F41" s="12">
        <v>1</v>
      </c>
      <c r="G41" s="192">
        <f t="shared" si="0"/>
        <v>10</v>
      </c>
      <c r="H41" s="129" t="s">
        <v>3925</v>
      </c>
      <c r="I41" s="129" t="s">
        <v>4942</v>
      </c>
      <c r="J41" s="129" t="s">
        <v>4939</v>
      </c>
      <c r="K41" s="129" t="s">
        <v>4943</v>
      </c>
      <c r="L41" s="162" t="s">
        <v>2079</v>
      </c>
      <c r="M41" s="12">
        <v>192</v>
      </c>
      <c r="N41" s="159" t="s">
        <v>4944</v>
      </c>
    </row>
    <row r="42" spans="1:14" ht="23.4" customHeight="1" x14ac:dyDescent="0.25">
      <c r="A42" s="180" t="s">
        <v>1676</v>
      </c>
      <c r="B42" s="129" t="s">
        <v>112</v>
      </c>
      <c r="C42" s="16" t="s">
        <v>2078</v>
      </c>
      <c r="D42" s="6" t="s">
        <v>2082</v>
      </c>
      <c r="E42" s="333" t="s">
        <v>578</v>
      </c>
      <c r="F42" s="12">
        <v>2</v>
      </c>
      <c r="G42" s="192">
        <f t="shared" si="0"/>
        <v>15</v>
      </c>
      <c r="H42" s="129" t="s">
        <v>4112</v>
      </c>
      <c r="I42" s="129" t="s">
        <v>3885</v>
      </c>
      <c r="J42" s="129" t="s">
        <v>4947</v>
      </c>
      <c r="K42" s="129" t="s">
        <v>4948</v>
      </c>
      <c r="L42" s="162" t="s">
        <v>2079</v>
      </c>
      <c r="M42" s="12">
        <v>192</v>
      </c>
      <c r="N42" s="159" t="s">
        <v>8837</v>
      </c>
    </row>
    <row r="43" spans="1:14" ht="23.4" customHeight="1" x14ac:dyDescent="0.25">
      <c r="A43" s="180" t="s">
        <v>1675</v>
      </c>
      <c r="B43" s="129" t="s">
        <v>111</v>
      </c>
      <c r="C43" s="16" t="s">
        <v>2078</v>
      </c>
      <c r="D43" s="6" t="s">
        <v>2082</v>
      </c>
      <c r="E43" s="333" t="s">
        <v>578</v>
      </c>
      <c r="F43" s="12">
        <v>2</v>
      </c>
      <c r="G43" s="192">
        <f t="shared" si="0"/>
        <v>15</v>
      </c>
      <c r="H43" s="129" t="s">
        <v>3952</v>
      </c>
      <c r="I43" s="129" t="s">
        <v>4065</v>
      </c>
      <c r="J43" s="129" t="s">
        <v>4946</v>
      </c>
      <c r="K43" s="129" t="s">
        <v>4951</v>
      </c>
      <c r="L43" s="162" t="s">
        <v>2079</v>
      </c>
      <c r="M43" s="12">
        <v>193</v>
      </c>
      <c r="N43" s="159" t="s">
        <v>4952</v>
      </c>
    </row>
    <row r="44" spans="1:14" ht="23.4" customHeight="1" x14ac:dyDescent="0.25">
      <c r="A44" s="180" t="s">
        <v>1677</v>
      </c>
      <c r="B44" s="129" t="s">
        <v>112</v>
      </c>
      <c r="C44" s="16" t="s">
        <v>2078</v>
      </c>
      <c r="D44" s="6" t="s">
        <v>2082</v>
      </c>
      <c r="E44" s="333" t="s">
        <v>578</v>
      </c>
      <c r="F44" s="12">
        <v>3</v>
      </c>
      <c r="G44" s="192">
        <f t="shared" si="0"/>
        <v>20</v>
      </c>
      <c r="H44" s="129" t="s">
        <v>3952</v>
      </c>
      <c r="I44" s="129" t="s">
        <v>3885</v>
      </c>
      <c r="J44" s="129" t="s">
        <v>4933</v>
      </c>
      <c r="K44" s="129" t="s">
        <v>1284</v>
      </c>
      <c r="L44" s="162" t="s">
        <v>2079</v>
      </c>
      <c r="M44" s="12">
        <v>194</v>
      </c>
      <c r="N44" s="159" t="s">
        <v>4959</v>
      </c>
    </row>
    <row r="45" spans="1:14" ht="23.4" customHeight="1" x14ac:dyDescent="0.25">
      <c r="A45" s="180" t="s">
        <v>1678</v>
      </c>
      <c r="B45" s="129" t="s">
        <v>110</v>
      </c>
      <c r="C45" s="16" t="s">
        <v>2078</v>
      </c>
      <c r="D45" s="6" t="s">
        <v>2082</v>
      </c>
      <c r="E45" s="334" t="s">
        <v>579</v>
      </c>
      <c r="F45" s="12">
        <v>1</v>
      </c>
      <c r="G45" s="192">
        <f t="shared" si="0"/>
        <v>10</v>
      </c>
      <c r="H45" s="129" t="s">
        <v>3925</v>
      </c>
      <c r="I45" s="129" t="s">
        <v>4065</v>
      </c>
      <c r="J45" s="129" t="s">
        <v>4933</v>
      </c>
      <c r="K45" s="129" t="s">
        <v>1284</v>
      </c>
      <c r="L45" s="162" t="s">
        <v>2079</v>
      </c>
      <c r="M45" s="12">
        <v>190</v>
      </c>
      <c r="N45" s="159" t="s">
        <v>8838</v>
      </c>
    </row>
    <row r="46" spans="1:14" ht="23.4" customHeight="1" x14ac:dyDescent="0.25">
      <c r="A46" s="180" t="s">
        <v>1679</v>
      </c>
      <c r="B46" s="129" t="s">
        <v>116</v>
      </c>
      <c r="C46" s="16" t="s">
        <v>2078</v>
      </c>
      <c r="D46" s="6" t="s">
        <v>2082</v>
      </c>
      <c r="E46" s="334" t="s">
        <v>579</v>
      </c>
      <c r="F46" s="12">
        <v>1</v>
      </c>
      <c r="G46" s="192">
        <f t="shared" si="0"/>
        <v>10</v>
      </c>
      <c r="H46" s="129" t="s">
        <v>4124</v>
      </c>
      <c r="I46" s="129" t="s">
        <v>3892</v>
      </c>
      <c r="J46" s="129" t="s">
        <v>3951</v>
      </c>
      <c r="K46" s="129" t="s">
        <v>1284</v>
      </c>
      <c r="L46" s="162" t="s">
        <v>2079</v>
      </c>
      <c r="M46" s="12">
        <v>192</v>
      </c>
      <c r="N46" s="159" t="s">
        <v>8839</v>
      </c>
    </row>
    <row r="47" spans="1:14" ht="23.4" customHeight="1" x14ac:dyDescent="0.25">
      <c r="A47" s="180" t="s">
        <v>1681</v>
      </c>
      <c r="B47" s="129" t="s">
        <v>110</v>
      </c>
      <c r="C47" s="16" t="s">
        <v>2078</v>
      </c>
      <c r="D47" s="6" t="s">
        <v>2082</v>
      </c>
      <c r="E47" s="334" t="s">
        <v>579</v>
      </c>
      <c r="F47" s="12">
        <v>2</v>
      </c>
      <c r="G47" s="192">
        <f t="shared" si="0"/>
        <v>15</v>
      </c>
      <c r="H47" s="129" t="s">
        <v>3926</v>
      </c>
      <c r="I47" s="129" t="s">
        <v>4715</v>
      </c>
      <c r="J47" s="129" t="s">
        <v>4946</v>
      </c>
      <c r="K47" s="129" t="s">
        <v>1284</v>
      </c>
      <c r="L47" s="162" t="s">
        <v>2079</v>
      </c>
      <c r="M47" s="12">
        <v>192</v>
      </c>
      <c r="N47" s="159" t="s">
        <v>8840</v>
      </c>
    </row>
    <row r="48" spans="1:14" ht="23.4" customHeight="1" x14ac:dyDescent="0.25">
      <c r="A48" s="180" t="s">
        <v>1680</v>
      </c>
      <c r="B48" s="129" t="s">
        <v>116</v>
      </c>
      <c r="C48" s="16" t="s">
        <v>2078</v>
      </c>
      <c r="D48" s="6" t="s">
        <v>2082</v>
      </c>
      <c r="E48" s="334" t="s">
        <v>579</v>
      </c>
      <c r="F48" s="12">
        <v>2</v>
      </c>
      <c r="G48" s="192">
        <f t="shared" si="0"/>
        <v>15</v>
      </c>
      <c r="H48" s="129" t="s">
        <v>3925</v>
      </c>
      <c r="I48" s="129" t="s">
        <v>3885</v>
      </c>
      <c r="J48" s="129" t="s">
        <v>3900</v>
      </c>
      <c r="K48" s="129" t="s">
        <v>1284</v>
      </c>
      <c r="L48" s="162" t="s">
        <v>2079</v>
      </c>
      <c r="M48" s="12">
        <v>193</v>
      </c>
      <c r="N48" s="159" t="s">
        <v>8841</v>
      </c>
    </row>
    <row r="49" spans="1:14" ht="23.4" customHeight="1" x14ac:dyDescent="0.25">
      <c r="A49" s="180" t="s">
        <v>1683</v>
      </c>
      <c r="B49" s="129" t="s">
        <v>110</v>
      </c>
      <c r="C49" s="16" t="s">
        <v>2078</v>
      </c>
      <c r="D49" s="6" t="s">
        <v>2082</v>
      </c>
      <c r="E49" s="334" t="s">
        <v>579</v>
      </c>
      <c r="F49" s="12">
        <v>3</v>
      </c>
      <c r="G49" s="192">
        <f t="shared" si="0"/>
        <v>20</v>
      </c>
      <c r="H49" s="129" t="s">
        <v>3891</v>
      </c>
      <c r="I49" s="129" t="s">
        <v>4715</v>
      </c>
      <c r="J49" s="129" t="s">
        <v>3930</v>
      </c>
      <c r="K49" s="129" t="s">
        <v>1284</v>
      </c>
      <c r="L49" s="162" t="s">
        <v>2079</v>
      </c>
      <c r="M49" s="12">
        <v>194</v>
      </c>
      <c r="N49" s="159" t="s">
        <v>8842</v>
      </c>
    </row>
    <row r="50" spans="1:14" ht="23.4" customHeight="1" x14ac:dyDescent="0.25">
      <c r="A50" s="180" t="s">
        <v>1682</v>
      </c>
      <c r="B50" s="129" t="s">
        <v>116</v>
      </c>
      <c r="C50" s="16" t="s">
        <v>2078</v>
      </c>
      <c r="D50" s="6" t="s">
        <v>2082</v>
      </c>
      <c r="E50" s="334" t="s">
        <v>579</v>
      </c>
      <c r="F50" s="12">
        <v>3</v>
      </c>
      <c r="G50" s="192">
        <f t="shared" si="0"/>
        <v>20</v>
      </c>
      <c r="H50" s="129" t="s">
        <v>3926</v>
      </c>
      <c r="I50" s="129" t="s">
        <v>3885</v>
      </c>
      <c r="J50" s="129" t="s">
        <v>4960</v>
      </c>
      <c r="K50" s="129" t="s">
        <v>4961</v>
      </c>
      <c r="L50" s="162" t="s">
        <v>2079</v>
      </c>
      <c r="M50" s="12">
        <v>194</v>
      </c>
      <c r="N50" s="159" t="s">
        <v>8843</v>
      </c>
    </row>
    <row r="51" spans="1:14" ht="23.4" customHeight="1" x14ac:dyDescent="0.25">
      <c r="A51" s="180" t="s">
        <v>1684</v>
      </c>
      <c r="B51" s="129" t="s">
        <v>113</v>
      </c>
      <c r="C51" s="16" t="s">
        <v>2078</v>
      </c>
      <c r="D51" s="6" t="s">
        <v>2082</v>
      </c>
      <c r="E51" s="335" t="s">
        <v>577</v>
      </c>
      <c r="F51" s="12">
        <v>1</v>
      </c>
      <c r="G51" s="192">
        <f t="shared" si="0"/>
        <v>10</v>
      </c>
      <c r="H51" s="129" t="s">
        <v>3891</v>
      </c>
      <c r="I51" s="129" t="s">
        <v>4065</v>
      </c>
      <c r="J51" s="129" t="s">
        <v>4939</v>
      </c>
      <c r="K51" s="129" t="s">
        <v>1284</v>
      </c>
      <c r="L51" s="162" t="s">
        <v>2079</v>
      </c>
      <c r="M51" s="12">
        <v>190</v>
      </c>
      <c r="N51" s="159" t="s">
        <v>4934</v>
      </c>
    </row>
    <row r="52" spans="1:14" ht="23.4" customHeight="1" x14ac:dyDescent="0.25">
      <c r="A52" s="180" t="s">
        <v>1685</v>
      </c>
      <c r="B52" s="129" t="s">
        <v>114</v>
      </c>
      <c r="C52" s="16" t="s">
        <v>2078</v>
      </c>
      <c r="D52" s="6" t="s">
        <v>2082</v>
      </c>
      <c r="E52" s="335" t="s">
        <v>577</v>
      </c>
      <c r="F52" s="12">
        <v>1</v>
      </c>
      <c r="G52" s="192">
        <f t="shared" si="0"/>
        <v>10</v>
      </c>
      <c r="H52" s="129" t="s">
        <v>3875</v>
      </c>
      <c r="I52" s="129" t="s">
        <v>4715</v>
      </c>
      <c r="J52" s="129" t="s">
        <v>4939</v>
      </c>
      <c r="K52" s="129" t="s">
        <v>4935</v>
      </c>
      <c r="L52" s="162" t="s">
        <v>2079</v>
      </c>
      <c r="M52" s="12">
        <v>190</v>
      </c>
      <c r="N52" s="159" t="s">
        <v>8844</v>
      </c>
    </row>
    <row r="53" spans="1:14" ht="23.4" customHeight="1" x14ac:dyDescent="0.25">
      <c r="A53" s="180" t="s">
        <v>1687</v>
      </c>
      <c r="B53" s="129" t="s">
        <v>114</v>
      </c>
      <c r="C53" s="16" t="s">
        <v>2078</v>
      </c>
      <c r="D53" s="6" t="s">
        <v>2082</v>
      </c>
      <c r="E53" s="335" t="s">
        <v>577</v>
      </c>
      <c r="F53" s="12">
        <v>2</v>
      </c>
      <c r="G53" s="192">
        <f t="shared" si="0"/>
        <v>15</v>
      </c>
      <c r="H53" s="129" t="s">
        <v>3933</v>
      </c>
      <c r="I53" s="129" t="s">
        <v>4715</v>
      </c>
      <c r="J53" s="129" t="s">
        <v>4939</v>
      </c>
      <c r="K53" s="129" t="s">
        <v>1284</v>
      </c>
      <c r="L53" s="162" t="s">
        <v>2079</v>
      </c>
      <c r="M53" s="12">
        <v>192</v>
      </c>
      <c r="N53" s="159" t="s">
        <v>4945</v>
      </c>
    </row>
    <row r="54" spans="1:14" ht="23.4" customHeight="1" x14ac:dyDescent="0.25">
      <c r="A54" s="180" t="s">
        <v>1686</v>
      </c>
      <c r="B54" s="129" t="s">
        <v>113</v>
      </c>
      <c r="C54" s="16" t="s">
        <v>2078</v>
      </c>
      <c r="D54" s="6" t="s">
        <v>2082</v>
      </c>
      <c r="E54" s="335" t="s">
        <v>577</v>
      </c>
      <c r="F54" s="12">
        <v>2</v>
      </c>
      <c r="G54" s="192">
        <f t="shared" si="0"/>
        <v>15</v>
      </c>
      <c r="H54" s="129" t="s">
        <v>3891</v>
      </c>
      <c r="I54" s="129" t="s">
        <v>4065</v>
      </c>
      <c r="J54" s="129" t="s">
        <v>4939</v>
      </c>
      <c r="K54" s="129" t="s">
        <v>1284</v>
      </c>
      <c r="L54" s="162" t="s">
        <v>2079</v>
      </c>
      <c r="M54" s="12">
        <v>193</v>
      </c>
      <c r="N54" s="159" t="s">
        <v>4950</v>
      </c>
    </row>
    <row r="55" spans="1:14" ht="23.4" customHeight="1" x14ac:dyDescent="0.25">
      <c r="A55" s="180" t="s">
        <v>1688</v>
      </c>
      <c r="B55" s="129" t="s">
        <v>113</v>
      </c>
      <c r="C55" s="16" t="s">
        <v>2078</v>
      </c>
      <c r="D55" s="6" t="s">
        <v>2082</v>
      </c>
      <c r="E55" s="335" t="s">
        <v>577</v>
      </c>
      <c r="F55" s="12">
        <v>3</v>
      </c>
      <c r="G55" s="192">
        <f t="shared" si="0"/>
        <v>20</v>
      </c>
      <c r="H55" s="129" t="s">
        <v>3952</v>
      </c>
      <c r="I55" s="129" t="s">
        <v>3885</v>
      </c>
      <c r="J55" s="129" t="s">
        <v>3912</v>
      </c>
      <c r="K55" s="129" t="s">
        <v>4114</v>
      </c>
      <c r="L55" s="162" t="s">
        <v>2079</v>
      </c>
      <c r="M55" s="12">
        <v>194</v>
      </c>
      <c r="N55" s="159" t="s">
        <v>8845</v>
      </c>
    </row>
    <row r="56" spans="1:14" ht="23.4" customHeight="1" x14ac:dyDescent="0.25">
      <c r="A56" s="180" t="s">
        <v>1689</v>
      </c>
      <c r="B56" s="129" t="s">
        <v>114</v>
      </c>
      <c r="C56" s="16" t="s">
        <v>2078</v>
      </c>
      <c r="D56" s="6" t="s">
        <v>2082</v>
      </c>
      <c r="E56" s="335" t="s">
        <v>577</v>
      </c>
      <c r="F56" s="12">
        <v>3</v>
      </c>
      <c r="G56" s="192">
        <f t="shared" si="0"/>
        <v>20</v>
      </c>
      <c r="H56" s="129" t="s">
        <v>4288</v>
      </c>
      <c r="I56" s="129" t="s">
        <v>4956</v>
      </c>
      <c r="J56" s="129" t="s">
        <v>3930</v>
      </c>
      <c r="K56" s="129" t="s">
        <v>4079</v>
      </c>
      <c r="L56" s="162" t="s">
        <v>2079</v>
      </c>
      <c r="M56" s="12">
        <v>194</v>
      </c>
      <c r="N56" s="159" t="s">
        <v>4958</v>
      </c>
    </row>
    <row r="57" spans="1:14" ht="23.4" customHeight="1" x14ac:dyDescent="0.25">
      <c r="A57" s="181" t="s">
        <v>1180</v>
      </c>
      <c r="B57" s="182" t="s">
        <v>177</v>
      </c>
      <c r="C57" s="16" t="s">
        <v>2078</v>
      </c>
      <c r="D57" s="6" t="s">
        <v>104</v>
      </c>
      <c r="E57" s="332" t="s">
        <v>100</v>
      </c>
      <c r="F57" s="90">
        <v>3</v>
      </c>
      <c r="G57" s="192" t="str">
        <f t="shared" si="0"/>
        <v>---</v>
      </c>
      <c r="H57" s="191" t="s">
        <v>2078</v>
      </c>
      <c r="I57" s="191" t="s">
        <v>2078</v>
      </c>
      <c r="J57" s="191" t="s">
        <v>2078</v>
      </c>
      <c r="K57" s="191" t="s">
        <v>2078</v>
      </c>
      <c r="L57" s="276" t="s">
        <v>6061</v>
      </c>
      <c r="M57" s="90">
        <v>202</v>
      </c>
      <c r="N57" s="159" t="s">
        <v>4798</v>
      </c>
    </row>
    <row r="58" spans="1:14" ht="23.4" customHeight="1" x14ac:dyDescent="0.25">
      <c r="A58" s="181" t="s">
        <v>1187</v>
      </c>
      <c r="B58" s="182" t="s">
        <v>178</v>
      </c>
      <c r="C58" s="16" t="s">
        <v>2078</v>
      </c>
      <c r="D58" s="6" t="s">
        <v>104</v>
      </c>
      <c r="E58" s="332" t="s">
        <v>100</v>
      </c>
      <c r="F58" s="90">
        <v>3</v>
      </c>
      <c r="G58" s="192" t="str">
        <f t="shared" si="0"/>
        <v>---</v>
      </c>
      <c r="H58" s="191" t="s">
        <v>2078</v>
      </c>
      <c r="I58" s="191" t="s">
        <v>2078</v>
      </c>
      <c r="J58" s="191" t="s">
        <v>2078</v>
      </c>
      <c r="K58" s="182" t="s">
        <v>4271</v>
      </c>
      <c r="L58" s="276" t="s">
        <v>6061</v>
      </c>
      <c r="M58" s="90">
        <v>170</v>
      </c>
      <c r="N58" s="159" t="s">
        <v>4272</v>
      </c>
    </row>
    <row r="59" spans="1:14" ht="23.4" customHeight="1" x14ac:dyDescent="0.25">
      <c r="A59" s="181" t="s">
        <v>1193</v>
      </c>
      <c r="B59" s="182" t="s">
        <v>178</v>
      </c>
      <c r="C59" s="16" t="s">
        <v>2078</v>
      </c>
      <c r="D59" s="6" t="s">
        <v>104</v>
      </c>
      <c r="E59" s="332" t="s">
        <v>100</v>
      </c>
      <c r="F59" s="90">
        <v>3</v>
      </c>
      <c r="G59" s="192" t="str">
        <f t="shared" si="0"/>
        <v>---</v>
      </c>
      <c r="H59" s="191" t="s">
        <v>2078</v>
      </c>
      <c r="I59" s="191" t="s">
        <v>2078</v>
      </c>
      <c r="J59" s="191" t="s">
        <v>2078</v>
      </c>
      <c r="K59" s="191" t="s">
        <v>2078</v>
      </c>
      <c r="L59" s="276" t="s">
        <v>6061</v>
      </c>
      <c r="M59" s="90">
        <v>170</v>
      </c>
      <c r="N59" s="159" t="s">
        <v>4273</v>
      </c>
    </row>
    <row r="60" spans="1:14" ht="23.4" customHeight="1" x14ac:dyDescent="0.25">
      <c r="A60" s="181" t="s">
        <v>1189</v>
      </c>
      <c r="B60" s="182" t="s">
        <v>175</v>
      </c>
      <c r="C60" s="16" t="s">
        <v>2078</v>
      </c>
      <c r="D60" s="6" t="s">
        <v>104</v>
      </c>
      <c r="E60" s="332" t="s">
        <v>100</v>
      </c>
      <c r="F60" s="90">
        <v>3</v>
      </c>
      <c r="G60" s="192" t="str">
        <f t="shared" si="0"/>
        <v>---</v>
      </c>
      <c r="H60" s="191" t="s">
        <v>2078</v>
      </c>
      <c r="I60" s="191" t="s">
        <v>2078</v>
      </c>
      <c r="J60" s="191" t="s">
        <v>2078</v>
      </c>
      <c r="K60" s="191" t="s">
        <v>2078</v>
      </c>
      <c r="L60" s="276" t="s">
        <v>6061</v>
      </c>
      <c r="M60" s="90">
        <v>42</v>
      </c>
      <c r="N60" s="159" t="s">
        <v>8846</v>
      </c>
    </row>
    <row r="61" spans="1:14" ht="23.4" customHeight="1" x14ac:dyDescent="0.25">
      <c r="A61" s="181" t="s">
        <v>1168</v>
      </c>
      <c r="B61" s="170" t="s">
        <v>2078</v>
      </c>
      <c r="C61" s="16" t="s">
        <v>2078</v>
      </c>
      <c r="D61" s="6" t="s">
        <v>104</v>
      </c>
      <c r="E61" s="332" t="s">
        <v>100</v>
      </c>
      <c r="F61" s="90">
        <v>3</v>
      </c>
      <c r="G61" s="192" t="str">
        <f t="shared" si="0"/>
        <v>---</v>
      </c>
      <c r="H61" s="191" t="s">
        <v>2078</v>
      </c>
      <c r="I61" s="191" t="s">
        <v>2078</v>
      </c>
      <c r="J61" s="191" t="s">
        <v>2078</v>
      </c>
      <c r="K61" s="182" t="s">
        <v>4207</v>
      </c>
      <c r="L61" s="276" t="s">
        <v>3</v>
      </c>
      <c r="M61" s="90">
        <v>259</v>
      </c>
      <c r="N61" s="159" t="str">
        <f>CONCATENATE("Lorsque vous adoptez la Posture de Défense, augmentez votre ND d'armure de ",Air)</f>
        <v>Lorsque vous adoptez la Posture de Défense, augmentez votre ND d'armure de 2</v>
      </c>
    </row>
    <row r="62" spans="1:14" ht="23.4" customHeight="1" x14ac:dyDescent="0.25">
      <c r="A62" s="181" t="s">
        <v>1179</v>
      </c>
      <c r="B62" s="170" t="s">
        <v>2078</v>
      </c>
      <c r="C62" s="16" t="s">
        <v>2078</v>
      </c>
      <c r="D62" s="6" t="s">
        <v>104</v>
      </c>
      <c r="E62" s="332" t="s">
        <v>100</v>
      </c>
      <c r="F62" s="90">
        <v>3</v>
      </c>
      <c r="G62" s="192" t="str">
        <f t="shared" si="0"/>
        <v>---</v>
      </c>
      <c r="H62" s="191" t="s">
        <v>2078</v>
      </c>
      <c r="I62" s="191" t="s">
        <v>2078</v>
      </c>
      <c r="J62" s="191" t="s">
        <v>2078</v>
      </c>
      <c r="K62" s="182" t="s">
        <v>4227</v>
      </c>
      <c r="L62" s="276" t="s">
        <v>3</v>
      </c>
      <c r="M62" s="90">
        <v>259</v>
      </c>
      <c r="N62" s="159" t="s">
        <v>4228</v>
      </c>
    </row>
    <row r="63" spans="1:14" s="196" customFormat="1" ht="23.4" customHeight="1" x14ac:dyDescent="0.25">
      <c r="A63" s="181" t="s">
        <v>1174</v>
      </c>
      <c r="B63" s="170" t="s">
        <v>2078</v>
      </c>
      <c r="C63" s="16" t="s">
        <v>2078</v>
      </c>
      <c r="D63" s="6" t="s">
        <v>104</v>
      </c>
      <c r="E63" s="332" t="s">
        <v>100</v>
      </c>
      <c r="F63" s="90">
        <v>4</v>
      </c>
      <c r="G63" s="192" t="str">
        <f t="shared" si="0"/>
        <v>---</v>
      </c>
      <c r="H63" s="191" t="s">
        <v>2078</v>
      </c>
      <c r="I63" s="191" t="s">
        <v>2078</v>
      </c>
      <c r="J63" s="191" t="s">
        <v>2078</v>
      </c>
      <c r="K63" s="182" t="s">
        <v>4211</v>
      </c>
      <c r="L63" s="276" t="s">
        <v>3</v>
      </c>
      <c r="M63" s="90">
        <v>259</v>
      </c>
      <c r="N63" s="159" t="s">
        <v>4212</v>
      </c>
    </row>
    <row r="64" spans="1:14" ht="23.4" customHeight="1" x14ac:dyDescent="0.25">
      <c r="A64" s="181" t="s">
        <v>1200</v>
      </c>
      <c r="B64" s="170" t="s">
        <v>2078</v>
      </c>
      <c r="C64" s="16" t="s">
        <v>2078</v>
      </c>
      <c r="D64" s="6" t="s">
        <v>104</v>
      </c>
      <c r="E64" s="332" t="s">
        <v>100</v>
      </c>
      <c r="F64" s="90">
        <v>4</v>
      </c>
      <c r="G64" s="192" t="str">
        <f t="shared" si="0"/>
        <v>---</v>
      </c>
      <c r="H64" s="191" t="s">
        <v>2078</v>
      </c>
      <c r="I64" s="191" t="s">
        <v>2078</v>
      </c>
      <c r="J64" s="191" t="s">
        <v>2078</v>
      </c>
      <c r="K64" s="182" t="s">
        <v>4217</v>
      </c>
      <c r="L64" s="276" t="s">
        <v>3</v>
      </c>
      <c r="M64" s="90">
        <v>260</v>
      </c>
      <c r="N64" s="159" t="s">
        <v>8847</v>
      </c>
    </row>
    <row r="65" spans="1:14" ht="23.4" customHeight="1" x14ac:dyDescent="0.25">
      <c r="A65" s="181" t="s">
        <v>7786</v>
      </c>
      <c r="B65" s="170" t="s">
        <v>2078</v>
      </c>
      <c r="C65" s="16" t="s">
        <v>2078</v>
      </c>
      <c r="D65" s="6" t="s">
        <v>104</v>
      </c>
      <c r="E65" s="332" t="s">
        <v>100</v>
      </c>
      <c r="F65" s="90">
        <v>4</v>
      </c>
      <c r="G65" s="192" t="str">
        <f t="shared" si="0"/>
        <v>---</v>
      </c>
      <c r="H65" s="191" t="s">
        <v>2078</v>
      </c>
      <c r="I65" s="191" t="s">
        <v>2078</v>
      </c>
      <c r="J65" s="191" t="s">
        <v>2078</v>
      </c>
      <c r="K65" s="182" t="s">
        <v>4207</v>
      </c>
      <c r="L65" s="276" t="s">
        <v>7759</v>
      </c>
      <c r="M65" s="90">
        <v>24</v>
      </c>
      <c r="N65" s="159" t="s">
        <v>7787</v>
      </c>
    </row>
    <row r="66" spans="1:14" ht="23.4" customHeight="1" x14ac:dyDescent="0.25">
      <c r="A66" s="181" t="s">
        <v>1182</v>
      </c>
      <c r="B66" s="170" t="s">
        <v>2078</v>
      </c>
      <c r="C66" s="16" t="s">
        <v>2078</v>
      </c>
      <c r="D66" s="6" t="s">
        <v>104</v>
      </c>
      <c r="E66" s="332" t="s">
        <v>100</v>
      </c>
      <c r="F66" s="90">
        <v>4</v>
      </c>
      <c r="G66" s="192" t="str">
        <f t="shared" ref="G66:G98" si="1">IF(OR(D66="Kiho",D66="Kata"),"---",5+F66*5)</f>
        <v>---</v>
      </c>
      <c r="H66" s="191" t="s">
        <v>2078</v>
      </c>
      <c r="I66" s="191" t="s">
        <v>2078</v>
      </c>
      <c r="J66" s="191" t="s">
        <v>2078</v>
      </c>
      <c r="K66" s="182" t="s">
        <v>4226</v>
      </c>
      <c r="L66" s="276" t="s">
        <v>3</v>
      </c>
      <c r="M66" s="90">
        <v>260</v>
      </c>
      <c r="N66" s="159" t="s">
        <v>8848</v>
      </c>
    </row>
    <row r="67" spans="1:14" ht="23.4" customHeight="1" x14ac:dyDescent="0.25">
      <c r="A67" s="181" t="s">
        <v>1185</v>
      </c>
      <c r="B67" s="170" t="s">
        <v>2078</v>
      </c>
      <c r="C67" s="16" t="s">
        <v>2078</v>
      </c>
      <c r="D67" s="6" t="s">
        <v>104</v>
      </c>
      <c r="E67" s="332" t="s">
        <v>100</v>
      </c>
      <c r="F67" s="90">
        <v>4</v>
      </c>
      <c r="G67" s="192" t="str">
        <f t="shared" si="1"/>
        <v>---</v>
      </c>
      <c r="H67" s="191" t="s">
        <v>2078</v>
      </c>
      <c r="I67" s="191" t="s">
        <v>2078</v>
      </c>
      <c r="J67" s="191" t="s">
        <v>2078</v>
      </c>
      <c r="K67" s="182" t="s">
        <v>4207</v>
      </c>
      <c r="L67" s="276" t="s">
        <v>118</v>
      </c>
      <c r="M67" s="90">
        <v>175</v>
      </c>
      <c r="N67" s="159" t="str">
        <f>CONCATENATE("Ajoutez ",Air," au total de toute attaque effectué dans le cadre d'une manœuvre de Dommages Augmentés")</f>
        <v>Ajoutez 2 au total de toute attaque effectué dans le cadre d'une manœuvre de Dommages Augmentés</v>
      </c>
    </row>
    <row r="68" spans="1:14" ht="23.4" customHeight="1" x14ac:dyDescent="0.25">
      <c r="A68" s="181" t="s">
        <v>1188</v>
      </c>
      <c r="B68" s="170" t="s">
        <v>2078</v>
      </c>
      <c r="C68" s="16" t="s">
        <v>2078</v>
      </c>
      <c r="D68" s="6" t="s">
        <v>104</v>
      </c>
      <c r="E68" s="332" t="s">
        <v>100</v>
      </c>
      <c r="F68" s="90">
        <v>4</v>
      </c>
      <c r="G68" s="192" t="str">
        <f t="shared" si="1"/>
        <v>---</v>
      </c>
      <c r="H68" s="191" t="s">
        <v>2078</v>
      </c>
      <c r="I68" s="191" t="s">
        <v>2078</v>
      </c>
      <c r="J68" s="191" t="s">
        <v>2078</v>
      </c>
      <c r="K68" s="182" t="s">
        <v>4207</v>
      </c>
      <c r="L68" s="276" t="s">
        <v>118</v>
      </c>
      <c r="M68" s="90">
        <v>175</v>
      </c>
      <c r="N68" s="159" t="str">
        <f>CONCATENATE("Ajoutez ",Air," au total de toute attaque effectué dans le cadre d'une manœuvre de Coups Précis ou Renversement")</f>
        <v>Ajoutez 2 au total de toute attaque effectué dans le cadre d'une manœuvre de Coups Précis ou Renversement</v>
      </c>
    </row>
    <row r="69" spans="1:14" s="196" customFormat="1" ht="23.4" customHeight="1" x14ac:dyDescent="0.25">
      <c r="A69" s="181" t="s">
        <v>7220</v>
      </c>
      <c r="B69" s="170" t="s">
        <v>2078</v>
      </c>
      <c r="C69" s="16" t="s">
        <v>2078</v>
      </c>
      <c r="D69" s="6" t="s">
        <v>104</v>
      </c>
      <c r="E69" s="332" t="s">
        <v>100</v>
      </c>
      <c r="F69" s="90">
        <v>5</v>
      </c>
      <c r="G69" s="192" t="str">
        <f t="shared" si="1"/>
        <v>---</v>
      </c>
      <c r="H69" s="191" t="s">
        <v>2078</v>
      </c>
      <c r="I69" s="191" t="s">
        <v>2078</v>
      </c>
      <c r="J69" s="191" t="s">
        <v>2078</v>
      </c>
      <c r="K69" s="182" t="s">
        <v>7238</v>
      </c>
      <c r="L69" s="276" t="s">
        <v>6831</v>
      </c>
      <c r="M69" s="90">
        <v>118</v>
      </c>
      <c r="N69" s="159" t="s">
        <v>7221</v>
      </c>
    </row>
    <row r="70" spans="1:14" ht="23.4" customHeight="1" x14ac:dyDescent="0.25">
      <c r="A70" s="181" t="s">
        <v>1399</v>
      </c>
      <c r="B70" s="170" t="s">
        <v>2078</v>
      </c>
      <c r="C70" s="16" t="s">
        <v>2078</v>
      </c>
      <c r="D70" s="6" t="s">
        <v>104</v>
      </c>
      <c r="E70" s="336" t="s">
        <v>1167</v>
      </c>
      <c r="F70" s="90">
        <f>(IF(OR(Recto!J4="Bushi Kakita",Recto!J4="Bushi Mirumoto"),2,3))</f>
        <v>3</v>
      </c>
      <c r="G70" s="192" t="str">
        <f t="shared" si="1"/>
        <v>---</v>
      </c>
      <c r="H70" s="191" t="s">
        <v>2078</v>
      </c>
      <c r="I70" s="191" t="s">
        <v>2078</v>
      </c>
      <c r="J70" s="191" t="s">
        <v>2078</v>
      </c>
      <c r="K70" s="182" t="s">
        <v>4207</v>
      </c>
      <c r="L70" s="276" t="s">
        <v>160</v>
      </c>
      <c r="M70" s="90">
        <v>179</v>
      </c>
      <c r="N70" s="159" t="s">
        <v>4240</v>
      </c>
    </row>
    <row r="71" spans="1:14" ht="23.4" customHeight="1" x14ac:dyDescent="0.25">
      <c r="A71" s="181" t="s">
        <v>1201</v>
      </c>
      <c r="B71" s="170" t="s">
        <v>2078</v>
      </c>
      <c r="C71" s="16" t="s">
        <v>2078</v>
      </c>
      <c r="D71" s="6" t="s">
        <v>104</v>
      </c>
      <c r="E71" s="336" t="s">
        <v>1167</v>
      </c>
      <c r="F71" s="90">
        <f>(IF(OR(Recto!J4="Bushi Kakita",Recto!J4="Bushi Mirumoto"),3,4))</f>
        <v>4</v>
      </c>
      <c r="G71" s="192" t="str">
        <f t="shared" si="1"/>
        <v>---</v>
      </c>
      <c r="H71" s="191" t="s">
        <v>2078</v>
      </c>
      <c r="I71" s="191" t="s">
        <v>2078</v>
      </c>
      <c r="J71" s="191" t="s">
        <v>2078</v>
      </c>
      <c r="K71" s="182" t="s">
        <v>4207</v>
      </c>
      <c r="L71" s="276" t="s">
        <v>160</v>
      </c>
      <c r="M71" s="90">
        <v>180</v>
      </c>
      <c r="N71" s="159" t="s">
        <v>4241</v>
      </c>
    </row>
    <row r="72" spans="1:14" ht="23.4" customHeight="1" x14ac:dyDescent="0.25">
      <c r="A72" s="181" t="s">
        <v>1202</v>
      </c>
      <c r="B72" s="170" t="s">
        <v>2078</v>
      </c>
      <c r="C72" s="16" t="s">
        <v>2078</v>
      </c>
      <c r="D72" s="6" t="s">
        <v>104</v>
      </c>
      <c r="E72" s="336" t="s">
        <v>1167</v>
      </c>
      <c r="F72" s="90">
        <f>(IF(OR(Recto!J4="Bushi Kakita",Recto!J4="Bushi Mirumoto"),4,5))</f>
        <v>5</v>
      </c>
      <c r="G72" s="192" t="str">
        <f t="shared" si="1"/>
        <v>---</v>
      </c>
      <c r="H72" s="191" t="s">
        <v>2078</v>
      </c>
      <c r="I72" s="191" t="s">
        <v>2078</v>
      </c>
      <c r="J72" s="191" t="s">
        <v>2078</v>
      </c>
      <c r="K72" s="182" t="s">
        <v>4207</v>
      </c>
      <c r="L72" s="276" t="s">
        <v>160</v>
      </c>
      <c r="M72" s="90">
        <v>180</v>
      </c>
      <c r="N72" s="159" t="s">
        <v>4243</v>
      </c>
    </row>
    <row r="73" spans="1:14" ht="23.4" customHeight="1" x14ac:dyDescent="0.25">
      <c r="A73" s="181" t="s">
        <v>1398</v>
      </c>
      <c r="B73" s="170" t="s">
        <v>2078</v>
      </c>
      <c r="C73" s="16" t="s">
        <v>2078</v>
      </c>
      <c r="D73" s="6" t="s">
        <v>104</v>
      </c>
      <c r="E73" s="336" t="s">
        <v>1167</v>
      </c>
      <c r="F73" s="90">
        <f>(IF(OR(Recto!J4="Bushi Kakita",Recto!J4="Bushi Mirumoto"),5,6))</f>
        <v>6</v>
      </c>
      <c r="G73" s="192" t="str">
        <f t="shared" si="1"/>
        <v>---</v>
      </c>
      <c r="H73" s="191" t="s">
        <v>2078</v>
      </c>
      <c r="I73" s="191" t="s">
        <v>2078</v>
      </c>
      <c r="J73" s="191" t="s">
        <v>2078</v>
      </c>
      <c r="K73" s="182" t="s">
        <v>4207</v>
      </c>
      <c r="L73" s="276" t="s">
        <v>160</v>
      </c>
      <c r="M73" s="90">
        <v>180</v>
      </c>
      <c r="N73" s="159" t="s">
        <v>4244</v>
      </c>
    </row>
    <row r="74" spans="1:14" ht="23.4" customHeight="1" x14ac:dyDescent="0.25">
      <c r="A74" s="180" t="s">
        <v>4436</v>
      </c>
      <c r="B74" s="170" t="s">
        <v>2078</v>
      </c>
      <c r="C74" s="16" t="s">
        <v>2078</v>
      </c>
      <c r="D74" s="6" t="s">
        <v>104</v>
      </c>
      <c r="E74" s="333" t="s">
        <v>578</v>
      </c>
      <c r="F74" s="12">
        <v>3</v>
      </c>
      <c r="G74" s="192" t="str">
        <f t="shared" si="1"/>
        <v>---</v>
      </c>
      <c r="H74" s="191" t="s">
        <v>2078</v>
      </c>
      <c r="I74" s="191" t="s">
        <v>2078</v>
      </c>
      <c r="J74" s="191" t="s">
        <v>2078</v>
      </c>
      <c r="K74" s="129" t="s">
        <v>7746</v>
      </c>
      <c r="L74" s="162" t="s">
        <v>4403</v>
      </c>
      <c r="M74" s="12">
        <v>177</v>
      </c>
      <c r="N74" s="159" t="str">
        <f>CONCATENATE("Tant que ce kata est actif, vous pouvez réduire votre ND d'armure d'un maximum de ",Eau*5," (pour un minimum de 5). En retour vous pouvez augmenter votre distance de mouvement maximum de cette valeur pour ce Round.")</f>
        <v>Tant que ce kata est actif, vous pouvez réduire votre ND d'armure d'un maximum de 10 (pour un minimum de 5). En retour vous pouvez augmenter votre distance de mouvement maximum de cette valeur pour ce Round.</v>
      </c>
    </row>
    <row r="75" spans="1:14" ht="23.4" customHeight="1" x14ac:dyDescent="0.25">
      <c r="A75" s="181" t="s">
        <v>1198</v>
      </c>
      <c r="B75" s="182" t="s">
        <v>179</v>
      </c>
      <c r="C75" s="16" t="s">
        <v>2078</v>
      </c>
      <c r="D75" s="6" t="s">
        <v>104</v>
      </c>
      <c r="E75" s="333" t="s">
        <v>578</v>
      </c>
      <c r="F75" s="90">
        <v>3</v>
      </c>
      <c r="G75" s="192" t="str">
        <f t="shared" si="1"/>
        <v>---</v>
      </c>
      <c r="H75" s="191" t="s">
        <v>2078</v>
      </c>
      <c r="I75" s="191" t="s">
        <v>2078</v>
      </c>
      <c r="J75" s="191" t="s">
        <v>2078</v>
      </c>
      <c r="K75" s="191" t="s">
        <v>2078</v>
      </c>
      <c r="L75" s="276" t="s">
        <v>6061</v>
      </c>
      <c r="M75" s="90">
        <v>260</v>
      </c>
      <c r="N75" s="159" t="s">
        <v>4276</v>
      </c>
    </row>
    <row r="76" spans="1:14" ht="23.4" customHeight="1" x14ac:dyDescent="0.25">
      <c r="A76" s="181" t="s">
        <v>1192</v>
      </c>
      <c r="B76" s="182" t="s">
        <v>20</v>
      </c>
      <c r="C76" s="16" t="s">
        <v>2078</v>
      </c>
      <c r="D76" s="6" t="s">
        <v>104</v>
      </c>
      <c r="E76" s="333" t="s">
        <v>578</v>
      </c>
      <c r="F76" s="90">
        <v>3</v>
      </c>
      <c r="G76" s="192" t="str">
        <f t="shared" si="1"/>
        <v>---</v>
      </c>
      <c r="H76" s="191" t="s">
        <v>2078</v>
      </c>
      <c r="I76" s="191" t="s">
        <v>2078</v>
      </c>
      <c r="J76" s="191" t="s">
        <v>2078</v>
      </c>
      <c r="K76" s="191" t="s">
        <v>2078</v>
      </c>
      <c r="L76" s="276" t="s">
        <v>6061</v>
      </c>
      <c r="M76" s="90">
        <v>140</v>
      </c>
      <c r="N76" s="159" t="s">
        <v>8849</v>
      </c>
    </row>
    <row r="77" spans="1:14" ht="23.4" customHeight="1" x14ac:dyDescent="0.25">
      <c r="A77" s="181" t="s">
        <v>1172</v>
      </c>
      <c r="B77" s="170" t="s">
        <v>2078</v>
      </c>
      <c r="C77" s="16" t="s">
        <v>2078</v>
      </c>
      <c r="D77" s="6" t="s">
        <v>104</v>
      </c>
      <c r="E77" s="333" t="s">
        <v>578</v>
      </c>
      <c r="F77" s="90">
        <v>3</v>
      </c>
      <c r="G77" s="192" t="str">
        <f t="shared" si="1"/>
        <v>---</v>
      </c>
      <c r="H77" s="191" t="s">
        <v>2078</v>
      </c>
      <c r="I77" s="191" t="s">
        <v>2078</v>
      </c>
      <c r="J77" s="191" t="s">
        <v>2078</v>
      </c>
      <c r="K77" s="182" t="s">
        <v>4207</v>
      </c>
      <c r="L77" s="276" t="s">
        <v>3</v>
      </c>
      <c r="M77" s="90">
        <v>259</v>
      </c>
      <c r="N77" s="159" t="s">
        <v>4208</v>
      </c>
    </row>
    <row r="78" spans="1:14" ht="23.4" customHeight="1" x14ac:dyDescent="0.25">
      <c r="A78" s="180" t="s">
        <v>4438</v>
      </c>
      <c r="B78" s="170" t="s">
        <v>2078</v>
      </c>
      <c r="C78" s="16" t="s">
        <v>2078</v>
      </c>
      <c r="D78" s="6" t="s">
        <v>104</v>
      </c>
      <c r="E78" s="333" t="s">
        <v>578</v>
      </c>
      <c r="F78" s="12">
        <v>3</v>
      </c>
      <c r="G78" s="192" t="str">
        <f t="shared" si="1"/>
        <v>---</v>
      </c>
      <c r="H78" s="191" t="s">
        <v>2078</v>
      </c>
      <c r="I78" s="191" t="s">
        <v>2078</v>
      </c>
      <c r="J78" s="191" t="s">
        <v>2078</v>
      </c>
      <c r="K78" s="129" t="s">
        <v>7747</v>
      </c>
      <c r="L78" s="162" t="s">
        <v>4403</v>
      </c>
      <c r="M78" s="12">
        <v>177</v>
      </c>
      <c r="N78" s="159" t="s">
        <v>5900</v>
      </c>
    </row>
    <row r="79" spans="1:14" ht="23.4" customHeight="1" x14ac:dyDescent="0.25">
      <c r="A79" s="180" t="s">
        <v>4437</v>
      </c>
      <c r="B79" s="170" t="s">
        <v>2078</v>
      </c>
      <c r="C79" s="16" t="s">
        <v>2078</v>
      </c>
      <c r="D79" s="6" t="s">
        <v>104</v>
      </c>
      <c r="E79" s="333" t="s">
        <v>578</v>
      </c>
      <c r="F79" s="12">
        <v>4</v>
      </c>
      <c r="G79" s="192" t="str">
        <f t="shared" si="1"/>
        <v>---</v>
      </c>
      <c r="H79" s="191" t="s">
        <v>2078</v>
      </c>
      <c r="I79" s="191" t="s">
        <v>2078</v>
      </c>
      <c r="J79" s="191" t="s">
        <v>2078</v>
      </c>
      <c r="K79" s="182" t="s">
        <v>7748</v>
      </c>
      <c r="L79" s="162" t="s">
        <v>4403</v>
      </c>
      <c r="M79" s="12">
        <v>177</v>
      </c>
      <c r="N79" s="159" t="str">
        <f>CONCATENATE("Tant que ce kata est actif, une fois par Round quand vous attaquez un adversaire vous pouvez ignorer jusqu à ",Eau,"pts de sa Réduction")</f>
        <v>Tant que ce kata est actif, une fois par Round quand vous attaquez un adversaire vous pouvez ignorer jusqu à 2pts de sa Réduction</v>
      </c>
    </row>
    <row r="80" spans="1:14" ht="23.4" customHeight="1" x14ac:dyDescent="0.25">
      <c r="A80" s="181" t="s">
        <v>1175</v>
      </c>
      <c r="B80" s="170" t="s">
        <v>2078</v>
      </c>
      <c r="C80" s="16" t="s">
        <v>2078</v>
      </c>
      <c r="D80" s="6" t="s">
        <v>104</v>
      </c>
      <c r="E80" s="333" t="s">
        <v>578</v>
      </c>
      <c r="F80" s="90">
        <v>4</v>
      </c>
      <c r="G80" s="192" t="str">
        <f t="shared" si="1"/>
        <v>---</v>
      </c>
      <c r="H80" s="191" t="s">
        <v>2078</v>
      </c>
      <c r="I80" s="191" t="s">
        <v>2078</v>
      </c>
      <c r="J80" s="191" t="s">
        <v>2078</v>
      </c>
      <c r="K80" s="182" t="s">
        <v>4213</v>
      </c>
      <c r="L80" s="276" t="s">
        <v>3</v>
      </c>
      <c r="M80" s="90">
        <v>259</v>
      </c>
      <c r="N80" s="159" t="s">
        <v>4214</v>
      </c>
    </row>
    <row r="81" spans="1:14" ht="23.4" customHeight="1" x14ac:dyDescent="0.25">
      <c r="A81" s="181" t="s">
        <v>1178</v>
      </c>
      <c r="B81" s="170" t="s">
        <v>2078</v>
      </c>
      <c r="C81" s="16" t="s">
        <v>2078</v>
      </c>
      <c r="D81" s="6" t="s">
        <v>104</v>
      </c>
      <c r="E81" s="333" t="s">
        <v>578</v>
      </c>
      <c r="F81" s="53">
        <v>5</v>
      </c>
      <c r="G81" s="192" t="str">
        <f t="shared" si="1"/>
        <v>---</v>
      </c>
      <c r="H81" s="191" t="s">
        <v>2078</v>
      </c>
      <c r="I81" s="191" t="s">
        <v>2078</v>
      </c>
      <c r="J81" s="191" t="s">
        <v>2078</v>
      </c>
      <c r="K81" s="191" t="s">
        <v>2078</v>
      </c>
      <c r="L81" s="276" t="s">
        <v>6061</v>
      </c>
      <c r="M81" s="53">
        <v>283</v>
      </c>
      <c r="N81" s="159" t="s">
        <v>4279</v>
      </c>
    </row>
    <row r="82" spans="1:14" ht="23.4" customHeight="1" x14ac:dyDescent="0.25">
      <c r="A82" s="181" t="s">
        <v>1191</v>
      </c>
      <c r="B82" s="182" t="s">
        <v>15</v>
      </c>
      <c r="C82" s="16" t="s">
        <v>2078</v>
      </c>
      <c r="D82" s="6" t="s">
        <v>104</v>
      </c>
      <c r="E82" s="334" t="s">
        <v>579</v>
      </c>
      <c r="F82" s="90">
        <v>3</v>
      </c>
      <c r="G82" s="192" t="str">
        <f t="shared" si="1"/>
        <v>---</v>
      </c>
      <c r="H82" s="191" t="s">
        <v>2078</v>
      </c>
      <c r="I82" s="191" t="s">
        <v>2078</v>
      </c>
      <c r="J82" s="191" t="s">
        <v>2078</v>
      </c>
      <c r="K82" s="191" t="s">
        <v>2078</v>
      </c>
      <c r="L82" s="276" t="s">
        <v>6061</v>
      </c>
      <c r="M82" s="90">
        <v>104</v>
      </c>
      <c r="N82" s="159" t="s">
        <v>4270</v>
      </c>
    </row>
    <row r="83" spans="1:14" ht="23.4" customHeight="1" x14ac:dyDescent="0.25">
      <c r="A83" s="181" t="s">
        <v>1196</v>
      </c>
      <c r="B83" s="182" t="s">
        <v>33</v>
      </c>
      <c r="C83" s="16" t="s">
        <v>2078</v>
      </c>
      <c r="D83" s="6" t="s">
        <v>104</v>
      </c>
      <c r="E83" s="334" t="s">
        <v>579</v>
      </c>
      <c r="F83" s="90">
        <v>3</v>
      </c>
      <c r="G83" s="192" t="str">
        <f t="shared" si="1"/>
        <v>---</v>
      </c>
      <c r="H83" s="191" t="s">
        <v>2078</v>
      </c>
      <c r="I83" s="191" t="s">
        <v>2078</v>
      </c>
      <c r="J83" s="191" t="s">
        <v>2078</v>
      </c>
      <c r="K83" s="191" t="s">
        <v>2078</v>
      </c>
      <c r="L83" s="276" t="s">
        <v>6061</v>
      </c>
      <c r="M83" s="90">
        <v>230</v>
      </c>
      <c r="N83" s="159" t="s">
        <v>4275</v>
      </c>
    </row>
    <row r="84" spans="1:14" ht="23.4" customHeight="1" x14ac:dyDescent="0.25">
      <c r="A84" s="181" t="s">
        <v>1170</v>
      </c>
      <c r="B84" s="170" t="s">
        <v>2078</v>
      </c>
      <c r="C84" s="16" t="s">
        <v>2078</v>
      </c>
      <c r="D84" s="6" t="s">
        <v>104</v>
      </c>
      <c r="E84" s="334" t="s">
        <v>579</v>
      </c>
      <c r="F84" s="90">
        <v>3</v>
      </c>
      <c r="G84" s="192" t="str">
        <f t="shared" si="1"/>
        <v>---</v>
      </c>
      <c r="H84" s="191" t="s">
        <v>2078</v>
      </c>
      <c r="I84" s="191" t="s">
        <v>2078</v>
      </c>
      <c r="J84" s="191" t="s">
        <v>2078</v>
      </c>
      <c r="K84" s="182" t="s">
        <v>4207</v>
      </c>
      <c r="L84" s="276" t="s">
        <v>3</v>
      </c>
      <c r="M84" s="90">
        <v>259</v>
      </c>
      <c r="N84" s="159" t="str">
        <f>CONCATENATE("Lorsque vous adoptez la Posture d'Assaut, ajoutez ",Feu," au total d'un jet d'attaque par Round")</f>
        <v>Lorsque vous adoptez la Posture d'Assaut, ajoutez 2 au total d'un jet d'attaque par Round</v>
      </c>
    </row>
    <row r="85" spans="1:14" ht="23.4" customHeight="1" x14ac:dyDescent="0.25">
      <c r="A85" s="181" t="s">
        <v>1186</v>
      </c>
      <c r="B85" s="170" t="s">
        <v>2078</v>
      </c>
      <c r="C85" s="16" t="s">
        <v>2078</v>
      </c>
      <c r="D85" s="6" t="s">
        <v>104</v>
      </c>
      <c r="E85" s="334" t="s">
        <v>579</v>
      </c>
      <c r="F85" s="90">
        <v>4</v>
      </c>
      <c r="G85" s="192" t="str">
        <f t="shared" si="1"/>
        <v>---</v>
      </c>
      <c r="H85" s="191" t="s">
        <v>2078</v>
      </c>
      <c r="I85" s="191" t="s">
        <v>2078</v>
      </c>
      <c r="J85" s="191" t="s">
        <v>2078</v>
      </c>
      <c r="K85" s="182" t="s">
        <v>4218</v>
      </c>
      <c r="L85" s="276" t="s">
        <v>3</v>
      </c>
      <c r="M85" s="90">
        <v>260</v>
      </c>
      <c r="N85" s="159" t="str">
        <f>CONCATENATE("Lorsque vous adoptez la Posture d'Assaut, ajoutez ",Feu," à votre ND d'armure")</f>
        <v>Lorsque vous adoptez la Posture d'Assaut, ajoutez 2 à votre ND d'armure</v>
      </c>
    </row>
    <row r="86" spans="1:14" ht="23.4" customHeight="1" x14ac:dyDescent="0.25">
      <c r="A86" s="181" t="s">
        <v>1181</v>
      </c>
      <c r="B86" s="170" t="s">
        <v>2078</v>
      </c>
      <c r="C86" s="16" t="s">
        <v>2078</v>
      </c>
      <c r="D86" s="6" t="s">
        <v>104</v>
      </c>
      <c r="E86" s="334" t="s">
        <v>579</v>
      </c>
      <c r="F86" s="90">
        <v>4</v>
      </c>
      <c r="G86" s="192" t="str">
        <f t="shared" si="1"/>
        <v>---</v>
      </c>
      <c r="H86" s="191" t="s">
        <v>2078</v>
      </c>
      <c r="I86" s="191" t="s">
        <v>2078</v>
      </c>
      <c r="J86" s="191" t="s">
        <v>2078</v>
      </c>
      <c r="K86" s="182" t="s">
        <v>4225</v>
      </c>
      <c r="L86" s="276" t="s">
        <v>3</v>
      </c>
      <c r="M86" s="90">
        <v>260</v>
      </c>
      <c r="N86" s="159" t="s">
        <v>8850</v>
      </c>
    </row>
    <row r="87" spans="1:14" ht="23.4" customHeight="1" x14ac:dyDescent="0.25">
      <c r="A87" s="181" t="s">
        <v>4219</v>
      </c>
      <c r="B87" s="170" t="s">
        <v>2078</v>
      </c>
      <c r="C87" s="16" t="s">
        <v>2078</v>
      </c>
      <c r="D87" s="6" t="s">
        <v>104</v>
      </c>
      <c r="E87" s="334" t="s">
        <v>579</v>
      </c>
      <c r="F87" s="90">
        <v>5</v>
      </c>
      <c r="G87" s="192" t="str">
        <f t="shared" si="1"/>
        <v>---</v>
      </c>
      <c r="H87" s="191" t="s">
        <v>2078</v>
      </c>
      <c r="I87" s="191" t="s">
        <v>2078</v>
      </c>
      <c r="J87" s="191" t="s">
        <v>2078</v>
      </c>
      <c r="K87" s="182" t="s">
        <v>4220</v>
      </c>
      <c r="L87" s="276" t="s">
        <v>3</v>
      </c>
      <c r="M87" s="90">
        <v>260</v>
      </c>
      <c r="N87" s="159" t="s">
        <v>4221</v>
      </c>
    </row>
    <row r="88" spans="1:14" ht="23.4" customHeight="1" x14ac:dyDescent="0.25">
      <c r="A88" s="181" t="s">
        <v>1190</v>
      </c>
      <c r="B88" s="182" t="s">
        <v>176</v>
      </c>
      <c r="C88" s="16" t="s">
        <v>2078</v>
      </c>
      <c r="D88" s="6" t="s">
        <v>104</v>
      </c>
      <c r="E88" s="335" t="s">
        <v>577</v>
      </c>
      <c r="F88" s="90">
        <v>3</v>
      </c>
      <c r="G88" s="192" t="str">
        <f t="shared" si="1"/>
        <v>---</v>
      </c>
      <c r="H88" s="191" t="s">
        <v>2078</v>
      </c>
      <c r="I88" s="191" t="s">
        <v>2078</v>
      </c>
      <c r="J88" s="191" t="s">
        <v>2078</v>
      </c>
      <c r="K88" s="191" t="s">
        <v>2078</v>
      </c>
      <c r="L88" s="276" t="s">
        <v>6061</v>
      </c>
      <c r="M88" s="90">
        <v>74</v>
      </c>
      <c r="N88" s="159" t="str">
        <f>CONCATENATE("Lorsque vous combattez avec une lame ou une lance, vous pouvez ajouter ",IF(Honneur-3&lt;1,1,Honneur-3)," à votre ND d'armure.")</f>
        <v>Lorsque vous combattez avec une lame ou une lance, vous pouvez ajouter 1 à votre ND d'armure.</v>
      </c>
    </row>
    <row r="89" spans="1:14" ht="23.4" customHeight="1" x14ac:dyDescent="0.25">
      <c r="A89" s="181" t="s">
        <v>1194</v>
      </c>
      <c r="B89" s="170" t="s">
        <v>2078</v>
      </c>
      <c r="C89" s="16" t="s">
        <v>2078</v>
      </c>
      <c r="D89" s="6" t="s">
        <v>104</v>
      </c>
      <c r="E89" s="335" t="s">
        <v>577</v>
      </c>
      <c r="F89" s="90">
        <v>3</v>
      </c>
      <c r="G89" s="192" t="str">
        <f t="shared" si="1"/>
        <v>---</v>
      </c>
      <c r="H89" s="191" t="s">
        <v>2078</v>
      </c>
      <c r="I89" s="191" t="s">
        <v>2078</v>
      </c>
      <c r="J89" s="191" t="s">
        <v>2078</v>
      </c>
      <c r="K89" s="129" t="s">
        <v>4234</v>
      </c>
      <c r="L89" s="276" t="s">
        <v>158</v>
      </c>
      <c r="M89" s="12">
        <v>194</v>
      </c>
      <c r="N89" s="159" t="str">
        <f>CONCATENATE("Lorsque ce kata est activé, vous pouvez réduire votre Initiative de ",Terre," . Augmentez votre ND d'armure de ",Terre," tant que ce kata est actif . Cet effet persiste jusqu'à ce que vous désactiviez ce kata.")</f>
        <v>Lorsque ce kata est activé, vous pouvez réduire votre Initiative de 2 . Augmentez votre ND d'armure de 2 tant que ce kata est actif . Cet effet persiste jusqu'à ce que vous désactiviez ce kata.</v>
      </c>
    </row>
    <row r="90" spans="1:14" ht="23.4" customHeight="1" x14ac:dyDescent="0.25">
      <c r="A90" s="181" t="s">
        <v>1197</v>
      </c>
      <c r="B90" s="182" t="s">
        <v>181</v>
      </c>
      <c r="C90" s="16" t="s">
        <v>2078</v>
      </c>
      <c r="D90" s="6" t="s">
        <v>104</v>
      </c>
      <c r="E90" s="335" t="s">
        <v>577</v>
      </c>
      <c r="F90" s="90">
        <v>3</v>
      </c>
      <c r="G90" s="192" t="str">
        <f t="shared" si="1"/>
        <v>---</v>
      </c>
      <c r="H90" s="191" t="s">
        <v>2078</v>
      </c>
      <c r="I90" s="191" t="s">
        <v>2078</v>
      </c>
      <c r="J90" s="191" t="s">
        <v>2078</v>
      </c>
      <c r="K90" s="191" t="s">
        <v>2078</v>
      </c>
      <c r="L90" s="276" t="s">
        <v>6061</v>
      </c>
      <c r="M90" s="90">
        <v>283</v>
      </c>
      <c r="N90" s="159" t="s">
        <v>8851</v>
      </c>
    </row>
    <row r="91" spans="1:14" ht="23.4" customHeight="1" x14ac:dyDescent="0.25">
      <c r="A91" s="181" t="s">
        <v>1169</v>
      </c>
      <c r="B91" s="170" t="s">
        <v>2078</v>
      </c>
      <c r="C91" s="16" t="s">
        <v>2078</v>
      </c>
      <c r="D91" s="6" t="s">
        <v>104</v>
      </c>
      <c r="E91" s="335" t="s">
        <v>577</v>
      </c>
      <c r="F91" s="90">
        <v>3</v>
      </c>
      <c r="G91" s="192" t="str">
        <f t="shared" si="1"/>
        <v>---</v>
      </c>
      <c r="H91" s="191" t="s">
        <v>2078</v>
      </c>
      <c r="I91" s="191" t="s">
        <v>2078</v>
      </c>
      <c r="J91" s="191" t="s">
        <v>2078</v>
      </c>
      <c r="K91" s="182" t="s">
        <v>4207</v>
      </c>
      <c r="L91" s="276" t="s">
        <v>3</v>
      </c>
      <c r="M91" s="90">
        <v>259</v>
      </c>
      <c r="N91" s="159" t="str">
        <f>CONCATENATE("Lorsque vous adoptez la Posture de d'Esquive, vous gagnez ",Terre," pts de Réduction (cumulable avec les autres formes de Réduction)")</f>
        <v>Lorsque vous adoptez la Posture de d'Esquive, vous gagnez 2 pts de Réduction (cumulable avec les autres formes de Réduction)</v>
      </c>
    </row>
    <row r="92" spans="1:14" ht="23.4" customHeight="1" x14ac:dyDescent="0.25">
      <c r="A92" s="181" t="s">
        <v>1199</v>
      </c>
      <c r="B92" s="170" t="s">
        <v>2078</v>
      </c>
      <c r="C92" s="16" t="s">
        <v>2078</v>
      </c>
      <c r="D92" s="6" t="s">
        <v>104</v>
      </c>
      <c r="E92" s="335" t="s">
        <v>577</v>
      </c>
      <c r="F92" s="90">
        <v>3</v>
      </c>
      <c r="G92" s="192" t="str">
        <f t="shared" si="1"/>
        <v>---</v>
      </c>
      <c r="H92" s="191" t="s">
        <v>2078</v>
      </c>
      <c r="I92" s="191" t="s">
        <v>2078</v>
      </c>
      <c r="J92" s="191" t="s">
        <v>2078</v>
      </c>
      <c r="K92" s="182" t="s">
        <v>4236</v>
      </c>
      <c r="L92" s="276" t="s">
        <v>158</v>
      </c>
      <c r="M92" s="90">
        <v>195</v>
      </c>
      <c r="N92" s="159" t="s">
        <v>4237</v>
      </c>
    </row>
    <row r="93" spans="1:14" ht="23.4" customHeight="1" x14ac:dyDescent="0.25">
      <c r="A93" s="181" t="s">
        <v>1177</v>
      </c>
      <c r="B93" s="170" t="s">
        <v>2078</v>
      </c>
      <c r="C93" s="16" t="s">
        <v>2078</v>
      </c>
      <c r="D93" s="6" t="s">
        <v>104</v>
      </c>
      <c r="E93" s="335" t="s">
        <v>577</v>
      </c>
      <c r="F93" s="90">
        <v>3</v>
      </c>
      <c r="G93" s="192" t="str">
        <f t="shared" si="1"/>
        <v>---</v>
      </c>
      <c r="H93" s="191" t="s">
        <v>2078</v>
      </c>
      <c r="I93" s="191" t="s">
        <v>2078</v>
      </c>
      <c r="J93" s="191" t="s">
        <v>2078</v>
      </c>
      <c r="K93" s="182" t="s">
        <v>4233</v>
      </c>
      <c r="L93" s="276" t="s">
        <v>158</v>
      </c>
      <c r="M93" s="90">
        <v>194</v>
      </c>
      <c r="N93" s="159" t="str">
        <f>CONCATENATE("Lorsque ce kata est activé, vous pouvez réduire de ",Terre," votre ND d'armure. Tous les dommages effectués tant que ce kata est actif sont augmentés de ",Terre,". Cet effet persiste jusqu'à ce que vous désactiviez ce kata.")</f>
        <v>Lorsque ce kata est activé, vous pouvez réduire de 2 votre ND d'armure. Tous les dommages effectués tant que ce kata est actif sont augmentés de 2. Cet effet persiste jusqu'à ce que vous désactiviez ce kata.</v>
      </c>
    </row>
    <row r="94" spans="1:14" ht="23.4" customHeight="1" x14ac:dyDescent="0.25">
      <c r="A94" s="181" t="s">
        <v>1184</v>
      </c>
      <c r="B94" s="170" t="s">
        <v>2078</v>
      </c>
      <c r="C94" s="16" t="s">
        <v>2078</v>
      </c>
      <c r="D94" s="6" t="s">
        <v>104</v>
      </c>
      <c r="E94" s="335" t="s">
        <v>577</v>
      </c>
      <c r="F94" s="90">
        <v>3</v>
      </c>
      <c r="G94" s="192" t="str">
        <f t="shared" si="1"/>
        <v>---</v>
      </c>
      <c r="H94" s="191" t="s">
        <v>2078</v>
      </c>
      <c r="I94" s="191" t="s">
        <v>2078</v>
      </c>
      <c r="J94" s="191" t="s">
        <v>2078</v>
      </c>
      <c r="K94" s="182" t="s">
        <v>4222</v>
      </c>
      <c r="L94" s="276" t="s">
        <v>3</v>
      </c>
      <c r="M94" s="90">
        <v>260</v>
      </c>
      <c r="N94" s="159" t="s">
        <v>4223</v>
      </c>
    </row>
    <row r="95" spans="1:14" ht="23.4" customHeight="1" x14ac:dyDescent="0.25">
      <c r="A95" s="181" t="s">
        <v>1400</v>
      </c>
      <c r="B95" s="170" t="s">
        <v>2078</v>
      </c>
      <c r="C95" s="16" t="s">
        <v>2078</v>
      </c>
      <c r="D95" s="6" t="s">
        <v>104</v>
      </c>
      <c r="E95" s="335" t="s">
        <v>577</v>
      </c>
      <c r="F95" s="90">
        <v>4</v>
      </c>
      <c r="G95" s="192" t="str">
        <f t="shared" si="1"/>
        <v>---</v>
      </c>
      <c r="H95" s="191" t="s">
        <v>2078</v>
      </c>
      <c r="I95" s="191" t="s">
        <v>2078</v>
      </c>
      <c r="J95" s="191" t="s">
        <v>2078</v>
      </c>
      <c r="K95" s="182" t="s">
        <v>4235</v>
      </c>
      <c r="L95" s="276" t="s">
        <v>158</v>
      </c>
      <c r="M95" s="90">
        <v>195</v>
      </c>
      <c r="N95" s="159" t="str">
        <f>CONCATENATE("Lorsque vous adoptez la Posture de d'Esquive ou de Défense, augmentez votre ND d'armure de ",Terre)</f>
        <v>Lorsque vous adoptez la Posture de d'Esquive ou de Défense, augmentez votre ND d'armure de 2</v>
      </c>
    </row>
    <row r="96" spans="1:14" ht="23.4" customHeight="1" x14ac:dyDescent="0.25">
      <c r="A96" s="181" t="s">
        <v>1183</v>
      </c>
      <c r="B96" s="170" t="s">
        <v>2078</v>
      </c>
      <c r="C96" s="16" t="s">
        <v>2078</v>
      </c>
      <c r="D96" s="6" t="s">
        <v>104</v>
      </c>
      <c r="E96" s="335" t="s">
        <v>577</v>
      </c>
      <c r="F96" s="90">
        <v>4</v>
      </c>
      <c r="G96" s="192" t="str">
        <f t="shared" si="1"/>
        <v>---</v>
      </c>
      <c r="H96" s="191" t="s">
        <v>2078</v>
      </c>
      <c r="I96" s="191" t="s">
        <v>2078</v>
      </c>
      <c r="J96" s="191" t="s">
        <v>2078</v>
      </c>
      <c r="K96" s="182" t="s">
        <v>4224</v>
      </c>
      <c r="L96" s="276" t="s">
        <v>3</v>
      </c>
      <c r="M96" s="90">
        <v>260</v>
      </c>
      <c r="N96" s="159" t="str">
        <f>CONCATENATE("Réduisez tous vos malus de Blessures de ",Terre)</f>
        <v>Réduisez tous vos malus de Blessures de 2</v>
      </c>
    </row>
    <row r="97" spans="1:14" ht="23.4" customHeight="1" x14ac:dyDescent="0.25">
      <c r="A97" s="181" t="s">
        <v>1401</v>
      </c>
      <c r="B97" s="170" t="s">
        <v>2078</v>
      </c>
      <c r="C97" s="16" t="s">
        <v>2078</v>
      </c>
      <c r="D97" s="6" t="s">
        <v>104</v>
      </c>
      <c r="E97" s="335" t="s">
        <v>577</v>
      </c>
      <c r="F97" s="90">
        <v>5</v>
      </c>
      <c r="G97" s="192" t="str">
        <f t="shared" si="1"/>
        <v>---</v>
      </c>
      <c r="H97" s="191" t="s">
        <v>2078</v>
      </c>
      <c r="I97" s="191" t="s">
        <v>2078</v>
      </c>
      <c r="J97" s="191" t="s">
        <v>2078</v>
      </c>
      <c r="K97" s="129" t="s">
        <v>4238</v>
      </c>
      <c r="L97" s="276" t="s">
        <v>158</v>
      </c>
      <c r="M97" s="90">
        <v>195</v>
      </c>
      <c r="N97" s="159" t="s">
        <v>4239</v>
      </c>
    </row>
    <row r="98" spans="1:14" s="196" customFormat="1" ht="23.4" customHeight="1" x14ac:dyDescent="0.25">
      <c r="A98" s="181" t="s">
        <v>9084</v>
      </c>
      <c r="B98" s="170" t="s">
        <v>396</v>
      </c>
      <c r="C98" s="16" t="s">
        <v>2078</v>
      </c>
      <c r="D98" s="6" t="s">
        <v>104</v>
      </c>
      <c r="E98" s="337" t="s">
        <v>328</v>
      </c>
      <c r="F98" s="12">
        <v>3</v>
      </c>
      <c r="G98" s="192" t="str">
        <f t="shared" si="1"/>
        <v>---</v>
      </c>
      <c r="H98" s="191" t="s">
        <v>2078</v>
      </c>
      <c r="I98" s="191" t="s">
        <v>2078</v>
      </c>
      <c r="J98" s="191" t="s">
        <v>2078</v>
      </c>
      <c r="K98" s="191" t="s">
        <v>9085</v>
      </c>
      <c r="L98" s="276" t="s">
        <v>9070</v>
      </c>
      <c r="M98" s="90">
        <v>150</v>
      </c>
      <c r="N98" s="159" t="s">
        <v>9086</v>
      </c>
    </row>
    <row r="99" spans="1:14" ht="23.4" customHeight="1" x14ac:dyDescent="0.25">
      <c r="A99" s="181" t="s">
        <v>1195</v>
      </c>
      <c r="B99" s="129" t="s">
        <v>177</v>
      </c>
      <c r="C99" s="16" t="s">
        <v>2078</v>
      </c>
      <c r="D99" s="6" t="s">
        <v>104</v>
      </c>
      <c r="E99" s="337" t="s">
        <v>328</v>
      </c>
      <c r="F99" s="12">
        <v>3</v>
      </c>
      <c r="G99" s="192" t="str">
        <f t="shared" ref="G99:G130" si="2">IF(OR(D99="Kiho",D99="Kata"),"---",5+F99*5)</f>
        <v>---</v>
      </c>
      <c r="H99" s="191" t="s">
        <v>2078</v>
      </c>
      <c r="I99" s="191" t="s">
        <v>2078</v>
      </c>
      <c r="J99" s="191" t="s">
        <v>2078</v>
      </c>
      <c r="K99" s="191" t="s">
        <v>2078</v>
      </c>
      <c r="L99" s="162" t="s">
        <v>6061</v>
      </c>
      <c r="M99" s="12">
        <v>202</v>
      </c>
      <c r="N99" s="159" t="s">
        <v>4274</v>
      </c>
    </row>
    <row r="100" spans="1:14" ht="23.4" customHeight="1" x14ac:dyDescent="0.25">
      <c r="A100" s="181" t="s">
        <v>1171</v>
      </c>
      <c r="B100" s="170" t="s">
        <v>2078</v>
      </c>
      <c r="C100" s="16" t="s">
        <v>2078</v>
      </c>
      <c r="D100" s="6" t="s">
        <v>104</v>
      </c>
      <c r="E100" s="337" t="s">
        <v>328</v>
      </c>
      <c r="F100" s="90">
        <v>3</v>
      </c>
      <c r="G100" s="192" t="str">
        <f t="shared" si="2"/>
        <v>---</v>
      </c>
      <c r="H100" s="191" t="s">
        <v>2078</v>
      </c>
      <c r="I100" s="191" t="s">
        <v>2078</v>
      </c>
      <c r="J100" s="191" t="s">
        <v>2078</v>
      </c>
      <c r="K100" s="182" t="s">
        <v>4207</v>
      </c>
      <c r="L100" s="276" t="s">
        <v>3</v>
      </c>
      <c r="M100" s="90">
        <v>259</v>
      </c>
      <c r="N100" s="159" t="str">
        <f>CONCATENATE("Lorsque vous adoptez la Posture du Centre, augmentez votre ND d'armure de ",Vide)</f>
        <v>Lorsque vous adoptez la Posture du Centre, augmentez votre ND d'armure de 2</v>
      </c>
    </row>
    <row r="101" spans="1:14" ht="23.4" customHeight="1" x14ac:dyDescent="0.25">
      <c r="A101" s="181" t="s">
        <v>1173</v>
      </c>
      <c r="B101" s="170" t="s">
        <v>2078</v>
      </c>
      <c r="C101" s="16" t="s">
        <v>2078</v>
      </c>
      <c r="D101" s="6" t="s">
        <v>104</v>
      </c>
      <c r="E101" s="337" t="s">
        <v>328</v>
      </c>
      <c r="F101" s="90">
        <v>3</v>
      </c>
      <c r="G101" s="192" t="str">
        <f t="shared" si="2"/>
        <v>---</v>
      </c>
      <c r="H101" s="191" t="s">
        <v>2078</v>
      </c>
      <c r="I101" s="191" t="s">
        <v>2078</v>
      </c>
      <c r="J101" s="191" t="s">
        <v>2078</v>
      </c>
      <c r="K101" s="182" t="s">
        <v>4209</v>
      </c>
      <c r="L101" s="276" t="s">
        <v>3</v>
      </c>
      <c r="M101" s="90">
        <v>259</v>
      </c>
      <c r="N101" s="159" t="s">
        <v>4210</v>
      </c>
    </row>
    <row r="102" spans="1:14" ht="23.4" customHeight="1" x14ac:dyDescent="0.25">
      <c r="A102" s="181" t="s">
        <v>1176</v>
      </c>
      <c r="B102" s="170" t="s">
        <v>2078</v>
      </c>
      <c r="C102" s="16" t="s">
        <v>2078</v>
      </c>
      <c r="D102" s="6" t="s">
        <v>104</v>
      </c>
      <c r="E102" s="337" t="s">
        <v>328</v>
      </c>
      <c r="F102" s="90">
        <v>4</v>
      </c>
      <c r="G102" s="192" t="str">
        <f t="shared" si="2"/>
        <v>---</v>
      </c>
      <c r="H102" s="191" t="s">
        <v>2078</v>
      </c>
      <c r="I102" s="191" t="s">
        <v>2078</v>
      </c>
      <c r="J102" s="191" t="s">
        <v>2078</v>
      </c>
      <c r="K102" s="182" t="s">
        <v>4215</v>
      </c>
      <c r="L102" s="276" t="s">
        <v>3</v>
      </c>
      <c r="M102" s="90">
        <v>259</v>
      </c>
      <c r="N102" s="159" t="s">
        <v>4216</v>
      </c>
    </row>
    <row r="103" spans="1:14" ht="23.4" customHeight="1" x14ac:dyDescent="0.25">
      <c r="A103" s="180" t="s">
        <v>1773</v>
      </c>
      <c r="B103" s="170" t="s">
        <v>2078</v>
      </c>
      <c r="C103" s="6" t="s">
        <v>2070</v>
      </c>
      <c r="D103" s="6" t="s">
        <v>2067</v>
      </c>
      <c r="E103" s="338" t="s">
        <v>100</v>
      </c>
      <c r="F103" s="12">
        <v>3</v>
      </c>
      <c r="G103" s="192" t="str">
        <f t="shared" si="2"/>
        <v>---</v>
      </c>
      <c r="H103" s="191" t="s">
        <v>2078</v>
      </c>
      <c r="I103" s="191" t="s">
        <v>2078</v>
      </c>
      <c r="J103" s="191" t="s">
        <v>2078</v>
      </c>
      <c r="K103" s="191" t="s">
        <v>2078</v>
      </c>
      <c r="L103" s="162" t="s">
        <v>3</v>
      </c>
      <c r="M103" s="12">
        <v>262</v>
      </c>
      <c r="N103" s="159" t="str">
        <f>CONCATENATE("Une fois ce kiho actif, vous pouvez entreprendre une action de mouvement simpe pour sauter d'une distance maximale de ",Air*3,"m. Cet effet perdure jusqu'à ce que vous faisiez votre saut puis disparait.")</f>
        <v>Une fois ce kiho actif, vous pouvez entreprendre une action de mouvement simpe pour sauter d'une distance maximale de 6m. Cet effet perdure jusqu'à ce que vous faisiez votre saut puis disparait.</v>
      </c>
    </row>
    <row r="104" spans="1:14" ht="23.4" customHeight="1" x14ac:dyDescent="0.25">
      <c r="A104" s="180" t="s">
        <v>1774</v>
      </c>
      <c r="B104" s="129" t="s">
        <v>106</v>
      </c>
      <c r="C104" s="6" t="s">
        <v>2071</v>
      </c>
      <c r="D104" s="6" t="s">
        <v>2067</v>
      </c>
      <c r="E104" s="338" t="s">
        <v>100</v>
      </c>
      <c r="F104" s="12">
        <v>3</v>
      </c>
      <c r="G104" s="192" t="str">
        <f t="shared" si="2"/>
        <v>---</v>
      </c>
      <c r="H104" s="191" t="s">
        <v>2078</v>
      </c>
      <c r="I104" s="191" t="s">
        <v>2078</v>
      </c>
      <c r="J104" s="191" t="s">
        <v>2078</v>
      </c>
      <c r="K104" s="191" t="s">
        <v>2078</v>
      </c>
      <c r="L104" s="162" t="s">
        <v>3</v>
      </c>
      <c r="M104" s="12">
        <v>262</v>
      </c>
      <c r="N104" s="568" t="str">
        <f>CONCATENATE("Vous devez réussir un attaque d'atemi contre la cible. Elle souffre alors d'un malus  à tous ces ND comme si elle avait subit ",Air," Rangs de blessures pendant ",Air+Réputation," Rounds. Cet effet est suplanté par les dégâts réels.")</f>
        <v>Vous devez réussir un attaque d'atemi contre la cible. Elle souffre alors d'un malus  à tous ces ND comme si elle avait subit 2 Rangs de blessures pendant 3 Rounds. Cet effet est suplanté par les dégâts réels.</v>
      </c>
    </row>
    <row r="105" spans="1:14" ht="23.4" customHeight="1" x14ac:dyDescent="0.25">
      <c r="A105" s="180" t="s">
        <v>1772</v>
      </c>
      <c r="B105" s="170" t="s">
        <v>2078</v>
      </c>
      <c r="C105" s="6" t="s">
        <v>2072</v>
      </c>
      <c r="D105" s="6" t="s">
        <v>2067</v>
      </c>
      <c r="E105" s="338" t="s">
        <v>100</v>
      </c>
      <c r="F105" s="12">
        <v>3</v>
      </c>
      <c r="G105" s="192" t="str">
        <f t="shared" si="2"/>
        <v>---</v>
      </c>
      <c r="H105" s="191" t="s">
        <v>2078</v>
      </c>
      <c r="I105" s="191" t="s">
        <v>2078</v>
      </c>
      <c r="J105" s="191" t="s">
        <v>2078</v>
      </c>
      <c r="K105" s="191" t="s">
        <v>2078</v>
      </c>
      <c r="L105" s="162" t="s">
        <v>3</v>
      </c>
      <c r="M105" s="12">
        <v>263</v>
      </c>
      <c r="N105" s="159" t="str">
        <f>CONCATENATE("Une fois ce kiho activé, votre score d'Initiative augmente de +5 tant que vous portez des attaques à Mains Nues. Tant que ce kiho est actif, les dommages issus de vos attaques à mains nues sont réduits de",Air,". L'effet s'annule si vous portez un autre type d'attaque ou au bout d'une journée.")</f>
        <v>Une fois ce kiho activé, votre score d'Initiative augmente de +5 tant que vous portez des attaques à Mains Nues. Tant que ce kiho est actif, les dommages issus de vos attaques à mains nues sont réduits de2. L'effet s'annule si vous portez un autre type d'attaque ou au bout d'une journée.</v>
      </c>
    </row>
    <row r="106" spans="1:14" ht="23.4" customHeight="1" x14ac:dyDescent="0.25">
      <c r="A106" s="180" t="s">
        <v>1783</v>
      </c>
      <c r="B106" s="170" t="s">
        <v>2078</v>
      </c>
      <c r="C106" s="6" t="s">
        <v>2072</v>
      </c>
      <c r="D106" s="6" t="s">
        <v>2067</v>
      </c>
      <c r="E106" s="338" t="s">
        <v>100</v>
      </c>
      <c r="F106" s="12">
        <v>4</v>
      </c>
      <c r="G106" s="192" t="str">
        <f t="shared" si="2"/>
        <v>---</v>
      </c>
      <c r="H106" s="191" t="s">
        <v>2078</v>
      </c>
      <c r="I106" s="191" t="s">
        <v>2078</v>
      </c>
      <c r="J106" s="191" t="s">
        <v>2078</v>
      </c>
      <c r="K106" s="191" t="s">
        <v>2078</v>
      </c>
      <c r="L106" s="162" t="s">
        <v>3</v>
      </c>
      <c r="M106" s="12">
        <v>262</v>
      </c>
      <c r="N106" s="569" t="str">
        <f>CONCATENATE("Quand vous activez ce kiho, + ",Réputation+Air," à votre ND d'Armure.")</f>
        <v>Quand vous activez ce kiho, + 3 à votre ND d'Armure.</v>
      </c>
    </row>
    <row r="107" spans="1:14" ht="23.4" customHeight="1" x14ac:dyDescent="0.25">
      <c r="A107" s="180" t="s">
        <v>4230</v>
      </c>
      <c r="B107" s="129" t="s">
        <v>106</v>
      </c>
      <c r="C107" s="6" t="s">
        <v>2070</v>
      </c>
      <c r="D107" s="6" t="s">
        <v>2067</v>
      </c>
      <c r="E107" s="338" t="s">
        <v>100</v>
      </c>
      <c r="F107" s="12">
        <v>4</v>
      </c>
      <c r="G107" s="192" t="str">
        <f t="shared" si="2"/>
        <v>---</v>
      </c>
      <c r="H107" s="191" t="s">
        <v>2078</v>
      </c>
      <c r="I107" s="191" t="s">
        <v>2078</v>
      </c>
      <c r="J107" s="191" t="s">
        <v>2078</v>
      </c>
      <c r="K107" s="191" t="s">
        <v>2078</v>
      </c>
      <c r="L107" s="162" t="s">
        <v>3</v>
      </c>
      <c r="M107" s="12">
        <v>262</v>
      </c>
      <c r="N107" s="159" t="str">
        <f>CONCATENATE("Ce kiho doit être délivré au moyen d'une attaque de type atemi. En cas de succès, la cible devient incapable de parler (et donc d'incanter) pendant",Air," Rounds.")</f>
        <v>Ce kiho doit être délivré au moyen d'une attaque de type atemi. En cas de succès, la cible devient incapable de parler (et donc d'incanter) pendant2 Rounds.</v>
      </c>
    </row>
    <row r="108" spans="1:14" ht="23.4" customHeight="1" x14ac:dyDescent="0.25">
      <c r="A108" s="180" t="s">
        <v>1814</v>
      </c>
      <c r="B108" s="170" t="s">
        <v>2078</v>
      </c>
      <c r="C108" s="6" t="s">
        <v>2072</v>
      </c>
      <c r="D108" s="6" t="s">
        <v>2067</v>
      </c>
      <c r="E108" s="338" t="s">
        <v>100</v>
      </c>
      <c r="F108" s="12">
        <v>4</v>
      </c>
      <c r="G108" s="192" t="str">
        <f t="shared" si="2"/>
        <v>---</v>
      </c>
      <c r="H108" s="191" t="s">
        <v>2078</v>
      </c>
      <c r="I108" s="191" t="s">
        <v>2078</v>
      </c>
      <c r="J108" s="191" t="s">
        <v>2078</v>
      </c>
      <c r="K108" s="191" t="s">
        <v>2078</v>
      </c>
      <c r="L108" s="162" t="s">
        <v>118</v>
      </c>
      <c r="M108" s="12">
        <v>190</v>
      </c>
      <c r="N108" s="159" t="s">
        <v>8852</v>
      </c>
    </row>
    <row r="109" spans="1:14" ht="23.4" customHeight="1" x14ac:dyDescent="0.25">
      <c r="A109" s="180" t="s">
        <v>1815</v>
      </c>
      <c r="B109" s="170" t="s">
        <v>2078</v>
      </c>
      <c r="C109" s="6" t="s">
        <v>2071</v>
      </c>
      <c r="D109" s="6" t="s">
        <v>2067</v>
      </c>
      <c r="E109" s="338" t="s">
        <v>100</v>
      </c>
      <c r="F109" s="12">
        <v>5</v>
      </c>
      <c r="G109" s="192" t="str">
        <f t="shared" si="2"/>
        <v>---</v>
      </c>
      <c r="H109" s="191" t="s">
        <v>2078</v>
      </c>
      <c r="I109" s="191" t="s">
        <v>2078</v>
      </c>
      <c r="J109" s="191" t="s">
        <v>2078</v>
      </c>
      <c r="K109" s="191" t="s">
        <v>2078</v>
      </c>
      <c r="L109" s="162" t="s">
        <v>118</v>
      </c>
      <c r="M109" s="12">
        <v>191</v>
      </c>
      <c r="N109" s="159" t="str">
        <f>CONCATENATE("Tant que ce Kiho est actif, vous pouvez sauter pour porter une attaque à pieds nus jusqu'à ",3*Air,"m. La puissance de ce mouvement brusque ajoute +1g0 dégâts supplémentaires à toute attaque réussie et vous gagnez une AG à la manœuvre Renversement pour cette attaque.")</f>
        <v>Tant que ce Kiho est actif, vous pouvez sauter pour porter une attaque à pieds nus jusqu'à 6m. La puissance de ce mouvement brusque ajoute +1g0 dégâts supplémentaires à toute attaque réussie et vous gagnez une AG à la manœuvre Renversement pour cette attaque.</v>
      </c>
    </row>
    <row r="110" spans="1:14" ht="23.4" customHeight="1" x14ac:dyDescent="0.25">
      <c r="A110" s="180" t="s">
        <v>1817</v>
      </c>
      <c r="B110" s="170" t="s">
        <v>2078</v>
      </c>
      <c r="C110" s="6" t="s">
        <v>2070</v>
      </c>
      <c r="D110" s="6" t="s">
        <v>2067</v>
      </c>
      <c r="E110" s="338" t="s">
        <v>100</v>
      </c>
      <c r="F110" s="12">
        <v>5</v>
      </c>
      <c r="G110" s="192" t="str">
        <f t="shared" si="2"/>
        <v>---</v>
      </c>
      <c r="H110" s="191" t="s">
        <v>2078</v>
      </c>
      <c r="I110" s="191" t="s">
        <v>2078</v>
      </c>
      <c r="J110" s="191" t="s">
        <v>2078</v>
      </c>
      <c r="K110" s="191" t="s">
        <v>2078</v>
      </c>
      <c r="L110" s="162" t="s">
        <v>118</v>
      </c>
      <c r="M110" s="12">
        <v>192</v>
      </c>
      <c r="N110" s="159" t="s">
        <v>4694</v>
      </c>
    </row>
    <row r="111" spans="1:14" ht="23.4" customHeight="1" x14ac:dyDescent="0.25">
      <c r="A111" s="180" t="s">
        <v>1796</v>
      </c>
      <c r="B111" s="170" t="s">
        <v>2078</v>
      </c>
      <c r="C111" s="6" t="s">
        <v>2070</v>
      </c>
      <c r="D111" s="6" t="s">
        <v>2067</v>
      </c>
      <c r="E111" s="338" t="s">
        <v>100</v>
      </c>
      <c r="F111" s="12">
        <v>5</v>
      </c>
      <c r="G111" s="192" t="str">
        <f t="shared" si="2"/>
        <v>---</v>
      </c>
      <c r="H111" s="191" t="s">
        <v>2078</v>
      </c>
      <c r="I111" s="191" t="s">
        <v>2078</v>
      </c>
      <c r="J111" s="191" t="s">
        <v>2078</v>
      </c>
      <c r="K111" s="191" t="s">
        <v>4231</v>
      </c>
      <c r="L111" s="162" t="s">
        <v>3</v>
      </c>
      <c r="M111" s="12">
        <v>262</v>
      </c>
      <c r="N111" s="159" t="str">
        <f>CONCATENATE("Max ",Air,"/j test Opposition d'Air contre une cible dans votre champ de vision, apprendrez une des informations suivantes: son Anneau le plus élevé ou le plus bas, son Rg. De Compétence le plus élevé ou encore son Avantage ou Désavantage Spirituel le plus élevé.")</f>
        <v>Max 2/j test Opposition d'Air contre une cible dans votre champ de vision, apprendrez une des informations suivantes: son Anneau le plus élevé ou le plus bas, son Rg. De Compétence le plus élevé ou encore son Avantage ou Désavantage Spirituel le plus élevé.</v>
      </c>
    </row>
    <row r="112" spans="1:14" ht="23.4" customHeight="1" x14ac:dyDescent="0.25">
      <c r="A112" s="180" t="s">
        <v>1816</v>
      </c>
      <c r="B112" s="170" t="s">
        <v>2078</v>
      </c>
      <c r="C112" s="6" t="s">
        <v>2072</v>
      </c>
      <c r="D112" s="6" t="s">
        <v>2067</v>
      </c>
      <c r="E112" s="338" t="s">
        <v>100</v>
      </c>
      <c r="F112" s="12">
        <v>5</v>
      </c>
      <c r="G112" s="192" t="str">
        <f t="shared" si="2"/>
        <v>---</v>
      </c>
      <c r="H112" s="191" t="s">
        <v>2078</v>
      </c>
      <c r="I112" s="191" t="s">
        <v>2078</v>
      </c>
      <c r="J112" s="191" t="s">
        <v>2078</v>
      </c>
      <c r="K112" s="191" t="s">
        <v>2078</v>
      </c>
      <c r="L112" s="162" t="s">
        <v>118</v>
      </c>
      <c r="M112" s="12">
        <v>190</v>
      </c>
      <c r="N112" s="159" t="s">
        <v>8853</v>
      </c>
    </row>
    <row r="113" spans="1:14" ht="23.4" customHeight="1" x14ac:dyDescent="0.25">
      <c r="A113" s="180" t="s">
        <v>1797</v>
      </c>
      <c r="B113" s="170" t="s">
        <v>2078</v>
      </c>
      <c r="C113" s="6" t="s">
        <v>2072</v>
      </c>
      <c r="D113" s="6" t="s">
        <v>2067</v>
      </c>
      <c r="E113" s="338" t="s">
        <v>100</v>
      </c>
      <c r="F113" s="12">
        <v>5</v>
      </c>
      <c r="G113" s="192" t="str">
        <f t="shared" si="2"/>
        <v>---</v>
      </c>
      <c r="H113" s="191" t="s">
        <v>2078</v>
      </c>
      <c r="I113" s="191" t="s">
        <v>2078</v>
      </c>
      <c r="J113" s="191" t="s">
        <v>2078</v>
      </c>
      <c r="K113" s="191" t="s">
        <v>2078</v>
      </c>
      <c r="L113" s="162" t="s">
        <v>3</v>
      </c>
      <c r="M113" s="12">
        <v>263</v>
      </c>
      <c r="N113" s="159" t="s">
        <v>4232</v>
      </c>
    </row>
    <row r="114" spans="1:14" ht="23.4" customHeight="1" x14ac:dyDescent="0.25">
      <c r="A114" s="180" t="s">
        <v>4229</v>
      </c>
      <c r="B114" s="170" t="s">
        <v>2078</v>
      </c>
      <c r="C114" s="6" t="s">
        <v>2073</v>
      </c>
      <c r="D114" s="6" t="s">
        <v>2067</v>
      </c>
      <c r="E114" s="338" t="s">
        <v>100</v>
      </c>
      <c r="F114" s="12">
        <v>6</v>
      </c>
      <c r="G114" s="192" t="str">
        <f t="shared" si="2"/>
        <v>---</v>
      </c>
      <c r="H114" s="191" t="s">
        <v>2078</v>
      </c>
      <c r="I114" s="191" t="s">
        <v>2078</v>
      </c>
      <c r="J114" s="191" t="s">
        <v>2078</v>
      </c>
      <c r="K114" s="191" t="s">
        <v>2078</v>
      </c>
      <c r="L114" s="162" t="s">
        <v>3</v>
      </c>
      <c r="M114" s="12">
        <v>262</v>
      </c>
      <c r="N114" s="159" t="str">
        <f>CONCATENATE("Avec ce kiho actif vous êtes immunisé contre l'influence de la Souillure de l'Outremonde (et de l'Ombre Rampante) pdt",Air," rounds. Cette immunité vous permet de ne pas gagner de Souillure et d'ignorer les malus de la Souillure que vous possédez déjà sauf si votre action est délibérée.")</f>
        <v>Avec ce kiho actif vous êtes immunisé contre l'influence de la Souillure de l'Outremonde (et de l'Ombre Rampante) pdt2 rounds. Cette immunité vous permet de ne pas gagner de Souillure et d'ignorer les malus de la Souillure que vous possédez déjà sauf si votre action est délibérée.</v>
      </c>
    </row>
    <row r="115" spans="1:14" ht="23.4" customHeight="1" x14ac:dyDescent="0.25">
      <c r="A115" s="180" t="s">
        <v>1821</v>
      </c>
      <c r="B115" s="129" t="s">
        <v>106</v>
      </c>
      <c r="C115" s="6" t="s">
        <v>2071</v>
      </c>
      <c r="D115" s="6" t="s">
        <v>2067</v>
      </c>
      <c r="E115" s="338" t="s">
        <v>100</v>
      </c>
      <c r="F115" s="12">
        <v>6</v>
      </c>
      <c r="G115" s="192" t="str">
        <f t="shared" si="2"/>
        <v>---</v>
      </c>
      <c r="H115" s="191" t="s">
        <v>2078</v>
      </c>
      <c r="I115" s="191" t="s">
        <v>2078</v>
      </c>
      <c r="J115" s="191" t="s">
        <v>2078</v>
      </c>
      <c r="K115" s="191" t="s">
        <v>2078</v>
      </c>
      <c r="L115" s="162" t="s">
        <v>118</v>
      </c>
      <c r="M115" s="12">
        <v>192</v>
      </c>
      <c r="N115" s="159" t="str">
        <f>CONCATENATE("Ce Kiho nécessite une coup atemi porté avec succès. Faites alors un Test d'Opposition d'Air contre votre adversaire. Si vous réussissez, votre adversaire subit des dommages (avec un VD égal à ",Air,") sous la forme d'une violente décharge électrique. Les dégâts de ce Kiho ignorent les réduction sauf électriques.")</f>
        <v>Ce Kiho nécessite une coup atemi porté avec succès. Faites alors un Test d'Opposition d'Air contre votre adversaire. Si vous réussissez, votre adversaire subit des dommages (avec un VD égal à 2) sous la forme d'une violente décharge électrique. Les dégâts de ce Kiho ignorent les réduction sauf électriques.</v>
      </c>
    </row>
    <row r="116" spans="1:14" ht="23.4" customHeight="1" x14ac:dyDescent="0.25">
      <c r="A116" s="180" t="s">
        <v>1818</v>
      </c>
      <c r="B116" s="170" t="s">
        <v>2078</v>
      </c>
      <c r="C116" s="6" t="s">
        <v>2070</v>
      </c>
      <c r="D116" s="6" t="s">
        <v>2067</v>
      </c>
      <c r="E116" s="338" t="s">
        <v>100</v>
      </c>
      <c r="F116" s="12">
        <v>6</v>
      </c>
      <c r="G116" s="192" t="str">
        <f t="shared" si="2"/>
        <v>---</v>
      </c>
      <c r="H116" s="191" t="s">
        <v>2078</v>
      </c>
      <c r="I116" s="191" t="s">
        <v>2078</v>
      </c>
      <c r="J116" s="191" t="s">
        <v>2078</v>
      </c>
      <c r="K116" s="191" t="s">
        <v>2078</v>
      </c>
      <c r="L116" s="162" t="s">
        <v>118</v>
      </c>
      <c r="M116" s="12">
        <v>192</v>
      </c>
      <c r="N116" s="159" t="str">
        <f>CONCATENATE("En AC vous criez un mot de puissance rempli de l'essence du dragon de tonnerre. Tous les êtres vivants capables d'entendre votre cri doivent faire un test d'Opposition d'Air contestée contre vous. Ceux qui échouent sont Hébétés pour un ",Air," rounds")</f>
        <v>En AC vous criez un mot de puissance rempli de l'essence du dragon de tonnerre. Tous les êtres vivants capables d'entendre votre cri doivent faire un test d'Opposition d'Air contestée contre vous. Ceux qui échouent sont Hébétés pour un 2 rounds</v>
      </c>
    </row>
    <row r="117" spans="1:14" ht="23.4" customHeight="1" x14ac:dyDescent="0.25">
      <c r="A117" s="180" t="s">
        <v>1819</v>
      </c>
      <c r="B117" s="129" t="s">
        <v>106</v>
      </c>
      <c r="C117" s="6" t="s">
        <v>2071</v>
      </c>
      <c r="D117" s="6" t="s">
        <v>2067</v>
      </c>
      <c r="E117" s="338" t="s">
        <v>100</v>
      </c>
      <c r="F117" s="12">
        <v>7</v>
      </c>
      <c r="G117" s="192" t="str">
        <f t="shared" si="2"/>
        <v>---</v>
      </c>
      <c r="H117" s="191" t="s">
        <v>2078</v>
      </c>
      <c r="I117" s="191" t="s">
        <v>2078</v>
      </c>
      <c r="J117" s="191" t="s">
        <v>2078</v>
      </c>
      <c r="K117" s="191" t="s">
        <v>2078</v>
      </c>
      <c r="L117" s="162" t="s">
        <v>118</v>
      </c>
      <c r="M117" s="12">
        <v>191</v>
      </c>
      <c r="N117" s="159" t="s">
        <v>4692</v>
      </c>
    </row>
    <row r="118" spans="1:14" ht="23.4" customHeight="1" x14ac:dyDescent="0.25">
      <c r="A118" s="180" t="s">
        <v>1805</v>
      </c>
      <c r="B118" s="170" t="s">
        <v>2078</v>
      </c>
      <c r="C118" s="6" t="s">
        <v>2073</v>
      </c>
      <c r="D118" s="6" t="s">
        <v>2067</v>
      </c>
      <c r="E118" s="338" t="s">
        <v>100</v>
      </c>
      <c r="F118" s="12">
        <v>7</v>
      </c>
      <c r="G118" s="192" t="str">
        <f t="shared" si="2"/>
        <v>---</v>
      </c>
      <c r="H118" s="191" t="s">
        <v>2078</v>
      </c>
      <c r="I118" s="191" t="s">
        <v>2078</v>
      </c>
      <c r="J118" s="191" t="s">
        <v>2078</v>
      </c>
      <c r="K118" s="191" t="s">
        <v>2078</v>
      </c>
      <c r="L118" s="162" t="s">
        <v>3</v>
      </c>
      <c r="M118" s="12">
        <v>262</v>
      </c>
      <c r="N118" s="159" t="str">
        <f>CONCATENATE("Une fois ce kiho actif, +0g",Air," aux jets de Discrétion. Cet effet dure ",Réputation," Rounds.")</f>
        <v>Une fois ce kiho actif, +0g2 aux jets de Discrétion. Cet effet dure 1 Rounds.</v>
      </c>
    </row>
    <row r="119" spans="1:14" ht="23.4" customHeight="1" x14ac:dyDescent="0.25">
      <c r="A119" s="180" t="s">
        <v>1820</v>
      </c>
      <c r="B119" s="170" t="s">
        <v>2078</v>
      </c>
      <c r="C119" s="6" t="s">
        <v>2071</v>
      </c>
      <c r="D119" s="6" t="s">
        <v>2067</v>
      </c>
      <c r="E119" s="338" t="s">
        <v>100</v>
      </c>
      <c r="F119" s="12">
        <v>7</v>
      </c>
      <c r="G119" s="192" t="str">
        <f t="shared" si="2"/>
        <v>---</v>
      </c>
      <c r="H119" s="191" t="s">
        <v>2078</v>
      </c>
      <c r="I119" s="191" t="s">
        <v>2078</v>
      </c>
      <c r="J119" s="191" t="s">
        <v>2078</v>
      </c>
      <c r="K119" s="191" t="s">
        <v>2078</v>
      </c>
      <c r="L119" s="162" t="s">
        <v>118</v>
      </c>
      <c r="M119" s="12">
        <v>192</v>
      </c>
      <c r="N119" s="159" t="str">
        <f>CONCATENATE("Après une attaque sans armes réussie, dépensez 1 PVide. Votre coup inflige la moitié des dégâts normaux (arrondi sup.),fait reculer votre adversaire de ",Air*3,", et le met Au Sol. Tout adversaire frappé avec succès par cette attaque est déplacé par l'effet du Kiho, même s'il ne souffre pas des blessures.")</f>
        <v>Après une attaque sans armes réussie, dépensez 1 PVide. Votre coup inflige la moitié des dégâts normaux (arrondi sup.),fait reculer votre adversaire de 6, et le met Au Sol. Tout adversaire frappé avec succès par cette attaque est déplacé par l'effet du Kiho, même s'il ne souffre pas des blessures.</v>
      </c>
    </row>
    <row r="120" spans="1:14" ht="23.4" customHeight="1" x14ac:dyDescent="0.25">
      <c r="A120" s="180" t="s">
        <v>1822</v>
      </c>
      <c r="B120" s="170" t="s">
        <v>2078</v>
      </c>
      <c r="C120" s="6" t="s">
        <v>2070</v>
      </c>
      <c r="D120" s="6" t="s">
        <v>2067</v>
      </c>
      <c r="E120" s="338" t="s">
        <v>100</v>
      </c>
      <c r="F120" s="12">
        <v>8</v>
      </c>
      <c r="G120" s="192" t="str">
        <f t="shared" si="2"/>
        <v>---</v>
      </c>
      <c r="H120" s="191" t="s">
        <v>2078</v>
      </c>
      <c r="I120" s="191" t="s">
        <v>4693</v>
      </c>
      <c r="J120" s="191" t="s">
        <v>2078</v>
      </c>
      <c r="K120" s="191" t="s">
        <v>2078</v>
      </c>
      <c r="L120" s="162" t="s">
        <v>118</v>
      </c>
      <c r="M120" s="12">
        <v>192</v>
      </c>
      <c r="N120" s="159" t="str">
        <f>CONCATENATE("Dépensez un PVide et une ActG pour activer cette Kiho: en AC prenez une profonde respiration et maintenez la. Vous libérez au tour suivant en AC un cône de congélation où toute créature vivante subit des dégâts de froid avec une VD de ",Air)</f>
        <v>Dépensez un PVide et une ActG pour activer cette Kiho: en AC prenez une profonde respiration et maintenez la. Vous libérez au tour suivant en AC un cône de congélation où toute créature vivante subit des dégâts de froid avec une VD de 2</v>
      </c>
    </row>
    <row r="121" spans="1:14" ht="23.4" customHeight="1" x14ac:dyDescent="0.25">
      <c r="A121" s="180" t="s">
        <v>4442</v>
      </c>
      <c r="B121" s="170" t="s">
        <v>4441</v>
      </c>
      <c r="C121" s="6" t="s">
        <v>2071</v>
      </c>
      <c r="D121" s="6" t="s">
        <v>2067</v>
      </c>
      <c r="E121" s="333" t="s">
        <v>578</v>
      </c>
      <c r="F121" s="12">
        <v>2</v>
      </c>
      <c r="G121" s="192" t="str">
        <f t="shared" si="2"/>
        <v>---</v>
      </c>
      <c r="H121" s="191" t="s">
        <v>2078</v>
      </c>
      <c r="I121" s="191" t="s">
        <v>2078</v>
      </c>
      <c r="J121" s="191" t="s">
        <v>2078</v>
      </c>
      <c r="K121" s="191" t="s">
        <v>5949</v>
      </c>
      <c r="L121" s="162" t="s">
        <v>4403</v>
      </c>
      <c r="M121" s="12">
        <v>189</v>
      </c>
      <c r="N121" s="159" t="str">
        <f>CONCATENATE("Tant que ce kiho est actif, que vs portez un bâton et le déplacez vite (en AS), tout sort qui vs. cible spécifiquement fait l'objet d'un test d'opposition de Bâton/Eau contre le jet d'Incantation. En cas de succès le sort est dissipé et sans effet. Max ",Eau," par combat.")</f>
        <v>Tant que ce kiho est actif, que vs portez un bâton et le déplacez vite (en AS), tout sort qui vs. cible spécifiquement fait l'objet d'un test d'opposition de Bâton/Eau contre le jet d'Incantation. En cas de succès le sort est dissipé et sans effet. Max 2 par combat.</v>
      </c>
    </row>
    <row r="122" spans="1:14" ht="23.4" customHeight="1" x14ac:dyDescent="0.25">
      <c r="A122" s="180" t="s">
        <v>1780</v>
      </c>
      <c r="B122" s="170" t="s">
        <v>2078</v>
      </c>
      <c r="C122" s="6" t="s">
        <v>2073</v>
      </c>
      <c r="D122" s="6" t="s">
        <v>2067</v>
      </c>
      <c r="E122" s="333" t="s">
        <v>578</v>
      </c>
      <c r="F122" s="12">
        <v>3</v>
      </c>
      <c r="G122" s="192" t="str">
        <f t="shared" si="2"/>
        <v>---</v>
      </c>
      <c r="H122" s="191" t="s">
        <v>2078</v>
      </c>
      <c r="I122" s="191" t="s">
        <v>2078</v>
      </c>
      <c r="J122" s="191" t="s">
        <v>2078</v>
      </c>
      <c r="K122" s="191" t="s">
        <v>2078</v>
      </c>
      <c r="L122" s="162" t="s">
        <v>3</v>
      </c>
      <c r="M122" s="12">
        <v>263</v>
      </c>
      <c r="N122" s="159" t="str">
        <f>CONCATENATE("Tant quekiho est actif, récupérez ",Eau," blessures durant l'étape de réactions de chaque Round pendant ",Réputation," Rounds.")</f>
        <v>Tant quekiho est actif, récupérez 2 blessures durant l'étape de réactions de chaque Round pendant 1 Rounds.</v>
      </c>
    </row>
    <row r="123" spans="1:14" ht="23.4" customHeight="1" x14ac:dyDescent="0.25">
      <c r="A123" s="180" t="s">
        <v>1779</v>
      </c>
      <c r="B123" s="170" t="s">
        <v>2078</v>
      </c>
      <c r="C123" s="6" t="s">
        <v>2070</v>
      </c>
      <c r="D123" s="6" t="s">
        <v>2067</v>
      </c>
      <c r="E123" s="333" t="s">
        <v>578</v>
      </c>
      <c r="F123" s="12">
        <v>3</v>
      </c>
      <c r="G123" s="192" t="str">
        <f t="shared" si="2"/>
        <v>---</v>
      </c>
      <c r="H123" s="191" t="s">
        <v>2078</v>
      </c>
      <c r="I123" s="191" t="s">
        <v>2078</v>
      </c>
      <c r="J123" s="191" t="s">
        <v>2078</v>
      </c>
      <c r="K123" s="191" t="s">
        <v>2078</v>
      </c>
      <c r="L123" s="162" t="s">
        <v>3</v>
      </c>
      <c r="M123" s="12">
        <v>263</v>
      </c>
      <c r="N123" s="159" t="s">
        <v>4843</v>
      </c>
    </row>
    <row r="124" spans="1:14" ht="23.4" customHeight="1" x14ac:dyDescent="0.25">
      <c r="A124" s="180" t="s">
        <v>1791</v>
      </c>
      <c r="B124" s="129" t="s">
        <v>106</v>
      </c>
      <c r="C124" s="6" t="s">
        <v>2071</v>
      </c>
      <c r="D124" s="6" t="s">
        <v>2067</v>
      </c>
      <c r="E124" s="333" t="s">
        <v>578</v>
      </c>
      <c r="F124" s="12">
        <v>4</v>
      </c>
      <c r="G124" s="192" t="str">
        <f t="shared" si="2"/>
        <v>---</v>
      </c>
      <c r="H124" s="191" t="s">
        <v>2078</v>
      </c>
      <c r="I124" s="191" t="s">
        <v>2078</v>
      </c>
      <c r="J124" s="191" t="s">
        <v>2078</v>
      </c>
      <c r="K124" s="191" t="s">
        <v>2078</v>
      </c>
      <c r="L124" s="162" t="s">
        <v>3</v>
      </c>
      <c r="M124" s="12">
        <v>263</v>
      </c>
      <c r="N124" s="159" t="str">
        <f>CONCATENATE("Pour activer ce kiho, dépensez un Pvide juste après avoir frappé une cible avec une attaque atemi. La cible regagne aussi tôt ",Eau," Blessures mais également au début de chacun de ses tours suivants pendant ",Réputation," Rounds. Vous ne pouvez l'utiliser sur vous-même.")</f>
        <v>Pour activer ce kiho, dépensez un Pvide juste après avoir frappé une cible avec une attaque atemi. La cible regagne aussi tôt 2 Blessures mais également au début de chacun de ses tours suivants pendant 1 Rounds. Vous ne pouvez l'utiliser sur vous-même.</v>
      </c>
    </row>
    <row r="125" spans="1:14" ht="23.4" customHeight="1" x14ac:dyDescent="0.25">
      <c r="A125" s="180" t="s">
        <v>1792</v>
      </c>
      <c r="B125" s="170" t="s">
        <v>2078</v>
      </c>
      <c r="C125" s="6" t="s">
        <v>2070</v>
      </c>
      <c r="D125" s="6" t="s">
        <v>2067</v>
      </c>
      <c r="E125" s="333" t="s">
        <v>578</v>
      </c>
      <c r="F125" s="12">
        <v>4</v>
      </c>
      <c r="G125" s="192" t="str">
        <f t="shared" si="2"/>
        <v>---</v>
      </c>
      <c r="H125" s="191" t="s">
        <v>2078</v>
      </c>
      <c r="I125" s="191" t="s">
        <v>2078</v>
      </c>
      <c r="J125" s="191" t="s">
        <v>2078</v>
      </c>
      <c r="K125" s="191" t="s">
        <v>2078</v>
      </c>
      <c r="L125" s="162" t="s">
        <v>3</v>
      </c>
      <c r="M125" s="12">
        <v>263</v>
      </c>
      <c r="N125" s="159" t="str">
        <f>CONCATENATE("Vs pouvez effectuer une attaque à Mains Nues en frappant une étendue d'Eau ou de Terre. Un adversaire en contact avec l'Eau ou la Terre et situé dans un rayon de ",3*Eau," ressent les effets de cette attaque. Ce effet très visible ne saurait être produit discrètement: si vous êtes caché, vous êtes aussi tôt révélé.")</f>
        <v>Vs pouvez effectuer une attaque à Mains Nues en frappant une étendue d'Eau ou de Terre. Un adversaire en contact avec l'Eau ou la Terre et situé dans un rayon de 6 ressent les effets de cette attaque. Ce effet très visible ne saurait être produit discrètement: si vous êtes caché, vous êtes aussi tôt révélé.</v>
      </c>
    </row>
    <row r="126" spans="1:14" ht="23.4" customHeight="1" x14ac:dyDescent="0.25">
      <c r="A126" s="180" t="s">
        <v>4439</v>
      </c>
      <c r="B126" s="170" t="s">
        <v>4441</v>
      </c>
      <c r="C126" s="6" t="s">
        <v>2072</v>
      </c>
      <c r="D126" s="6" t="s">
        <v>2067</v>
      </c>
      <c r="E126" s="333" t="s">
        <v>578</v>
      </c>
      <c r="F126" s="12">
        <v>5</v>
      </c>
      <c r="G126" s="192" t="str">
        <f t="shared" si="2"/>
        <v>---</v>
      </c>
      <c r="H126" s="191" t="s">
        <v>2078</v>
      </c>
      <c r="I126" s="191" t="s">
        <v>2078</v>
      </c>
      <c r="J126" s="191" t="s">
        <v>2078</v>
      </c>
      <c r="K126" s="191" t="s">
        <v>2078</v>
      </c>
      <c r="L126" s="162" t="s">
        <v>4403</v>
      </c>
      <c r="M126" s="12">
        <v>188</v>
      </c>
      <c r="N126" s="159" t="str">
        <f>CONCATENATE("Aussi longtemps que ce kiho est actif, que vs. portez un bâton et le déplacez vite (en ActG), ajoutez ",Eau,"+ Rg de Bâtons à votre ND d'armure. (+ ",Eau," pr chaque AS sacrifiée dans ce but) Ce bonus s'achève au début du Round suivant.")</f>
        <v>Aussi longtemps que ce kiho est actif, que vs. portez un bâton et le déplacez vite (en ActG), ajoutez 2+ Rg de Bâtons à votre ND d'armure. (+ 2 pr chaque AS sacrifiée dans ce but) Ce bonus s'achève au début du Round suivant.</v>
      </c>
    </row>
    <row r="127" spans="1:14" ht="23.4" customHeight="1" x14ac:dyDescent="0.25">
      <c r="A127" s="180" t="s">
        <v>1802</v>
      </c>
      <c r="B127" s="129" t="s">
        <v>106</v>
      </c>
      <c r="C127" s="6" t="s">
        <v>2073</v>
      </c>
      <c r="D127" s="6" t="s">
        <v>2067</v>
      </c>
      <c r="E127" s="333" t="s">
        <v>578</v>
      </c>
      <c r="F127" s="12">
        <v>5</v>
      </c>
      <c r="G127" s="192" t="str">
        <f t="shared" si="2"/>
        <v>---</v>
      </c>
      <c r="H127" s="191" t="s">
        <v>2078</v>
      </c>
      <c r="I127" s="191" t="s">
        <v>2078</v>
      </c>
      <c r="J127" s="191" t="s">
        <v>2078</v>
      </c>
      <c r="K127" s="191" t="s">
        <v>2078</v>
      </c>
      <c r="L127" s="162" t="s">
        <v>3</v>
      </c>
      <c r="M127" s="12">
        <v>263</v>
      </c>
      <c r="N127" s="159" t="s">
        <v>8854</v>
      </c>
    </row>
    <row r="128" spans="1:14" ht="23.4" customHeight="1" x14ac:dyDescent="0.25">
      <c r="A128" s="180" t="s">
        <v>1808</v>
      </c>
      <c r="B128" s="170" t="s">
        <v>2078</v>
      </c>
      <c r="C128" s="6" t="s">
        <v>2072</v>
      </c>
      <c r="D128" s="6" t="s">
        <v>2067</v>
      </c>
      <c r="E128" s="333" t="s">
        <v>578</v>
      </c>
      <c r="F128" s="12">
        <v>6</v>
      </c>
      <c r="G128" s="192" t="str">
        <f t="shared" si="2"/>
        <v>---</v>
      </c>
      <c r="H128" s="191" t="s">
        <v>2078</v>
      </c>
      <c r="I128" s="191" t="s">
        <v>2078</v>
      </c>
      <c r="J128" s="191" t="s">
        <v>2078</v>
      </c>
      <c r="K128" s="191" t="s">
        <v>2078</v>
      </c>
      <c r="L128" s="162" t="s">
        <v>3</v>
      </c>
      <c r="M128" s="12">
        <v>263</v>
      </c>
      <c r="N128" s="159" t="str">
        <f>CONCATENATE("Lorsque vous activez ce kiho, vous gagnez ",Eau," Réductionqui se cumule avec toute autre Réduction (due à des sorts ou une armure par exemple) pendant ",Eau," Rounds.")</f>
        <v>Lorsque vous activez ce kiho, vous gagnez 2 Réductionqui se cumule avec toute autre Réduction (due à des sorts ou une armure par exemple) pendant 2 Rounds.</v>
      </c>
    </row>
    <row r="129" spans="1:14" ht="23.4" customHeight="1" x14ac:dyDescent="0.25">
      <c r="A129" s="180" t="s">
        <v>5951</v>
      </c>
      <c r="B129" s="170" t="s">
        <v>4440</v>
      </c>
      <c r="C129" s="6" t="s">
        <v>2071</v>
      </c>
      <c r="D129" s="6" t="s">
        <v>2067</v>
      </c>
      <c r="E129" s="333" t="s">
        <v>578</v>
      </c>
      <c r="F129" s="12">
        <v>6</v>
      </c>
      <c r="G129" s="192" t="str">
        <f t="shared" si="2"/>
        <v>---</v>
      </c>
      <c r="H129" s="191" t="s">
        <v>2078</v>
      </c>
      <c r="I129" s="191" t="s">
        <v>2078</v>
      </c>
      <c r="J129" s="191" t="s">
        <v>2078</v>
      </c>
      <c r="K129" s="191" t="s">
        <v>2078</v>
      </c>
      <c r="L129" s="162" t="s">
        <v>4403</v>
      </c>
      <c r="M129" s="12">
        <v>189</v>
      </c>
      <c r="N129" s="159" t="s">
        <v>5950</v>
      </c>
    </row>
    <row r="130" spans="1:14" ht="23.4" customHeight="1" x14ac:dyDescent="0.25">
      <c r="A130" s="180" t="s">
        <v>1810</v>
      </c>
      <c r="B130" s="129" t="s">
        <v>106</v>
      </c>
      <c r="C130" s="6" t="s">
        <v>2071</v>
      </c>
      <c r="D130" s="6" t="s">
        <v>2067</v>
      </c>
      <c r="E130" s="333" t="s">
        <v>578</v>
      </c>
      <c r="F130" s="12">
        <v>7</v>
      </c>
      <c r="G130" s="192" t="str">
        <f t="shared" si="2"/>
        <v>---</v>
      </c>
      <c r="H130" s="191" t="s">
        <v>2078</v>
      </c>
      <c r="I130" s="191" t="s">
        <v>2078</v>
      </c>
      <c r="J130" s="191" t="s">
        <v>2078</v>
      </c>
      <c r="K130" s="191" t="s">
        <v>2078</v>
      </c>
      <c r="L130" s="162" t="s">
        <v>3</v>
      </c>
      <c r="M130" s="12">
        <v>263</v>
      </c>
      <c r="N130" s="159" t="str">
        <f>CONCATENATE("L'individu frappé par l'ataque atemi est Paralysé, Etourdi et incapable d'entreprendre la moindre action de mouvement. Il ne peut se déplacer de son propre chef pendant ",Réputation," Rounds.")</f>
        <v>L'individu frappé par l'ataque atemi est Paralysé, Etourdi et incapable d'entreprendre la moindre action de mouvement. Il ne peut se déplacer de son propre chef pendant 1 Rounds.</v>
      </c>
    </row>
    <row r="131" spans="1:14" ht="23.4" customHeight="1" x14ac:dyDescent="0.25">
      <c r="A131" s="180" t="s">
        <v>1811</v>
      </c>
      <c r="B131" s="170" t="s">
        <v>2078</v>
      </c>
      <c r="C131" s="6" t="s">
        <v>2070</v>
      </c>
      <c r="D131" s="6" t="s">
        <v>2067</v>
      </c>
      <c r="E131" s="333" t="s">
        <v>578</v>
      </c>
      <c r="F131" s="12">
        <v>7</v>
      </c>
      <c r="G131" s="192" t="str">
        <f t="shared" ref="G131:G162" si="3">IF(OR(D131="Kiho",D131="Kata"),"---",5+F131*5)</f>
        <v>---</v>
      </c>
      <c r="H131" s="191" t="s">
        <v>2078</v>
      </c>
      <c r="I131" s="191" t="s">
        <v>2078</v>
      </c>
      <c r="J131" s="191" t="s">
        <v>2078</v>
      </c>
      <c r="K131" s="191" t="s">
        <v>2078</v>
      </c>
      <c r="L131" s="162" t="s">
        <v>3</v>
      </c>
      <c r="M131" s="12">
        <v>263</v>
      </c>
      <c r="N131" s="159" t="str">
        <f>CONCATENATE("Pour activez ce kiho, dépensez un Pvide. Vous devez frapper à Mains Nues et pousser un cri Kiai tonitruant. Tous ceux qui se trouvent dans un arc de cercle situé devant vous et dans un rayon de ",Eau*1.5,"m doivent réussir un test d'Opposition d'Eau contre vous ou être Hébétés.")</f>
        <v>Pour activez ce kiho, dépensez un Pvide. Vous devez frapper à Mains Nues et pousser un cri Kiai tonitruant. Tous ceux qui se trouvent dans un arc de cercle situé devant vous et dans un rayon de 3m doivent réussir un test d'Opposition d'Eau contre vous ou être Hébétés.</v>
      </c>
    </row>
    <row r="132" spans="1:14" ht="23.4" customHeight="1" x14ac:dyDescent="0.25">
      <c r="A132" s="180" t="s">
        <v>1777</v>
      </c>
      <c r="B132" s="170" t="s">
        <v>2078</v>
      </c>
      <c r="C132" s="6" t="s">
        <v>2071</v>
      </c>
      <c r="D132" s="6" t="s">
        <v>2067</v>
      </c>
      <c r="E132" s="339" t="s">
        <v>579</v>
      </c>
      <c r="F132" s="12">
        <v>3</v>
      </c>
      <c r="G132" s="192" t="str">
        <f t="shared" si="3"/>
        <v>---</v>
      </c>
      <c r="H132" s="191" t="s">
        <v>2078</v>
      </c>
      <c r="I132" s="191" t="s">
        <v>2078</v>
      </c>
      <c r="J132" s="191" t="s">
        <v>2078</v>
      </c>
      <c r="K132" s="191" t="s">
        <v>2078</v>
      </c>
      <c r="L132" s="162" t="s">
        <v>3</v>
      </c>
      <c r="M132" s="12">
        <v>264</v>
      </c>
      <c r="N132" s="159" t="str">
        <f>CONCATENATE("Ce kiho actif permet à vos attaques à Mains Nues d'infliger des dommages complets aux matérieux non métalliques ce qui inclut le bois et la pierre sans que vous ne pâtissiez des effets secondaires dus au choc. Cet effet dure ",Feu, "min.Le MJ décide des dommages qu'un objet doit subir avant destruction.")</f>
        <v>Ce kiho actif permet à vos attaques à Mains Nues d'infliger des dommages complets aux matérieux non métalliques ce qui inclut le bois et la pierre sans que vous ne pâtissiez des effets secondaires dus au choc. Cet effet dure 2min.Le MJ décide des dommages qu'un objet doit subir avant destruction.</v>
      </c>
    </row>
    <row r="133" spans="1:14" ht="23.4" customHeight="1" x14ac:dyDescent="0.25">
      <c r="A133" s="180" t="s">
        <v>1778</v>
      </c>
      <c r="B133" s="129" t="s">
        <v>106</v>
      </c>
      <c r="C133" s="6" t="s">
        <v>2071</v>
      </c>
      <c r="D133" s="6" t="s">
        <v>2067</v>
      </c>
      <c r="E133" s="339" t="s">
        <v>579</v>
      </c>
      <c r="F133" s="12">
        <v>3</v>
      </c>
      <c r="G133" s="192" t="str">
        <f t="shared" si="3"/>
        <v>---</v>
      </c>
      <c r="H133" s="191" t="s">
        <v>2078</v>
      </c>
      <c r="I133" s="191" t="s">
        <v>2078</v>
      </c>
      <c r="J133" s="191" t="s">
        <v>2078</v>
      </c>
      <c r="K133" s="191" t="s">
        <v>2078</v>
      </c>
      <c r="L133" s="162" t="s">
        <v>3</v>
      </c>
      <c r="M133" s="12">
        <v>264</v>
      </c>
      <c r="N133" s="159" t="str">
        <f>CONCATENATE("Un adversaire frappé par un attaque atemi qui active ce kiho subit un malus de",Feu*3," ND de toutes ses actions pendant ",Feu," Rounds.")</f>
        <v>Un adversaire frappé par un attaque atemi qui active ce kiho subit un malus de6 ND de toutes ses actions pendant 2 Rounds.</v>
      </c>
    </row>
    <row r="134" spans="1:14" ht="23.4" customHeight="1" x14ac:dyDescent="0.25">
      <c r="A134" s="180" t="s">
        <v>1787</v>
      </c>
      <c r="B134" s="170" t="s">
        <v>2078</v>
      </c>
      <c r="C134" s="6" t="s">
        <v>2071</v>
      </c>
      <c r="D134" s="6" t="s">
        <v>2067</v>
      </c>
      <c r="E134" s="339" t="s">
        <v>579</v>
      </c>
      <c r="F134" s="12">
        <v>4</v>
      </c>
      <c r="G134" s="192" t="str">
        <f t="shared" si="3"/>
        <v>---</v>
      </c>
      <c r="H134" s="191" t="s">
        <v>2078</v>
      </c>
      <c r="I134" s="191" t="s">
        <v>2078</v>
      </c>
      <c r="J134" s="191" t="s">
        <v>2078</v>
      </c>
      <c r="K134" s="191" t="s">
        <v>2078</v>
      </c>
      <c r="L134" s="162" t="s">
        <v>3</v>
      </c>
      <c r="M134" s="12">
        <v>264</v>
      </c>
      <c r="N134" s="159" t="s">
        <v>4844</v>
      </c>
    </row>
    <row r="135" spans="1:14" ht="23.4" customHeight="1" x14ac:dyDescent="0.25">
      <c r="A135" s="180" t="s">
        <v>1790</v>
      </c>
      <c r="B135" s="129" t="s">
        <v>106</v>
      </c>
      <c r="C135" s="6" t="s">
        <v>2070</v>
      </c>
      <c r="D135" s="6" t="s">
        <v>2067</v>
      </c>
      <c r="E135" s="339" t="s">
        <v>579</v>
      </c>
      <c r="F135" s="12">
        <v>4</v>
      </c>
      <c r="G135" s="192" t="str">
        <f t="shared" si="3"/>
        <v>---</v>
      </c>
      <c r="H135" s="191" t="s">
        <v>2078</v>
      </c>
      <c r="I135" s="191" t="s">
        <v>2078</v>
      </c>
      <c r="J135" s="191" t="s">
        <v>2078</v>
      </c>
      <c r="K135" s="191" t="s">
        <v>2078</v>
      </c>
      <c r="L135" s="162" t="s">
        <v>3</v>
      </c>
      <c r="M135" s="12">
        <v>264</v>
      </c>
      <c r="N135" s="159" t="s">
        <v>8855</v>
      </c>
    </row>
    <row r="136" spans="1:14" ht="23.4" customHeight="1" x14ac:dyDescent="0.25">
      <c r="A136" s="180" t="s">
        <v>1831</v>
      </c>
      <c r="B136" s="170" t="s">
        <v>2078</v>
      </c>
      <c r="C136" s="6" t="s">
        <v>2072</v>
      </c>
      <c r="D136" s="6" t="s">
        <v>2067</v>
      </c>
      <c r="E136" s="339" t="s">
        <v>579</v>
      </c>
      <c r="F136" s="12">
        <v>4</v>
      </c>
      <c r="G136" s="192" t="str">
        <f t="shared" si="3"/>
        <v>---</v>
      </c>
      <c r="H136" s="191" t="s">
        <v>2078</v>
      </c>
      <c r="I136" s="191" t="s">
        <v>2078</v>
      </c>
      <c r="J136" s="191" t="s">
        <v>2078</v>
      </c>
      <c r="K136" s="191" t="s">
        <v>2078</v>
      </c>
      <c r="L136" s="162" t="s">
        <v>160</v>
      </c>
      <c r="M136" s="12">
        <v>191</v>
      </c>
      <c r="N136" s="159" t="s">
        <v>4281</v>
      </c>
    </row>
    <row r="137" spans="1:14" ht="23.4" customHeight="1" x14ac:dyDescent="0.25">
      <c r="A137" s="180" t="s">
        <v>1788</v>
      </c>
      <c r="B137" s="170" t="s">
        <v>2078</v>
      </c>
      <c r="C137" s="6" t="s">
        <v>2073</v>
      </c>
      <c r="D137" s="6" t="s">
        <v>2067</v>
      </c>
      <c r="E137" s="339" t="s">
        <v>579</v>
      </c>
      <c r="F137" s="12">
        <v>4</v>
      </c>
      <c r="G137" s="192" t="str">
        <f t="shared" si="3"/>
        <v>---</v>
      </c>
      <c r="H137" s="191" t="s">
        <v>2078</v>
      </c>
      <c r="I137" s="191" t="s">
        <v>2078</v>
      </c>
      <c r="J137" s="191" t="s">
        <v>2078</v>
      </c>
      <c r="K137" s="191" t="s">
        <v>2078</v>
      </c>
      <c r="L137" s="162" t="s">
        <v>3</v>
      </c>
      <c r="M137" s="12">
        <v>264</v>
      </c>
      <c r="N137" s="159" t="str">
        <f>CONCATENATE("Quand ce kiho est actif, toutes vos Actions de Mouvement augmentent de 1,5m. Ce kiho dure un nombre de ",Feu," Rounds")</f>
        <v>Quand ce kiho est actif, toutes vos Actions de Mouvement augmentent de 1,5m. Ce kiho dure un nombre de 2 Rounds</v>
      </c>
    </row>
    <row r="138" spans="1:14" ht="23.4" customHeight="1" x14ac:dyDescent="0.25">
      <c r="A138" s="180" t="s">
        <v>1789</v>
      </c>
      <c r="B138" s="170" t="s">
        <v>2078</v>
      </c>
      <c r="C138" s="6" t="s">
        <v>2070</v>
      </c>
      <c r="D138" s="6" t="s">
        <v>2067</v>
      </c>
      <c r="E138" s="339" t="s">
        <v>579</v>
      </c>
      <c r="F138" s="12">
        <v>4</v>
      </c>
      <c r="G138" s="192" t="str">
        <f t="shared" si="3"/>
        <v>---</v>
      </c>
      <c r="H138" s="191" t="s">
        <v>2078</v>
      </c>
      <c r="I138" s="191" t="s">
        <v>2078</v>
      </c>
      <c r="J138" s="191" t="s">
        <v>2078</v>
      </c>
      <c r="K138" s="191" t="s">
        <v>2078</v>
      </c>
      <c r="L138" s="162" t="s">
        <v>3</v>
      </c>
      <c r="M138" s="12">
        <v>264</v>
      </c>
      <c r="N138" s="159" t="str">
        <f>CONCATENATE("Quand vous activez ce kiho, votre peau devient extrêmement chaude et quiconque vous touche, y compris ceux qui vous visent ou vous frappent au moyen d'attaques à Main Nues, subit ",Feu," Blessures. Cet effet dure ",Feu*2," Rounds")</f>
        <v>Quand vous activez ce kiho, votre peau devient extrêmement chaude et quiconque vous touche, y compris ceux qui vous visent ou vous frappent au moyen d'attaques à Main Nues, subit 2 Blessures. Cet effet dure 4 Rounds</v>
      </c>
    </row>
    <row r="139" spans="1:14" ht="23.4" customHeight="1" x14ac:dyDescent="0.25">
      <c r="A139" s="180" t="s">
        <v>7204</v>
      </c>
      <c r="B139" s="170" t="s">
        <v>2078</v>
      </c>
      <c r="C139" s="6" t="s">
        <v>2070</v>
      </c>
      <c r="D139" s="6" t="s">
        <v>2067</v>
      </c>
      <c r="E139" s="339" t="s">
        <v>579</v>
      </c>
      <c r="F139" s="12">
        <f>IF(OR(Recto!J5="Shugenja Kuni",Recto!J5="Répurgateur Kuni"),4,5)</f>
        <v>5</v>
      </c>
      <c r="G139" s="192" t="str">
        <f t="shared" si="3"/>
        <v>---</v>
      </c>
      <c r="H139" s="191" t="s">
        <v>2078</v>
      </c>
      <c r="I139" s="191" t="s">
        <v>2078</v>
      </c>
      <c r="J139" s="191" t="s">
        <v>2078</v>
      </c>
      <c r="K139" s="191" t="s">
        <v>2078</v>
      </c>
      <c r="L139" s="162" t="s">
        <v>6831</v>
      </c>
      <c r="M139" s="12">
        <v>115</v>
      </c>
      <c r="N139" s="159" t="str">
        <f>CONCATENATE("Dépensez un Pvide et buvez un peu de saké en AS: pdt ",Constitution,"rounds vous crachez du feu en ouvrant la bouche une fois par Round en AS. Ce feu à une VD égale à ",Feu," et touche toute cible située dans la zone d'effet. Vous ne pouvez ni parler ni incanter tant que le Kiho persiste mais vous pouvez y mettre fin durant l'étape de Réaction.")</f>
        <v>Dépensez un Pvide et buvez un peu de saké en AS: pdt 2rounds vous crachez du feu en ouvrant la bouche une fois par Round en AS. Ce feu à une VD égale à 2 et touche toute cible située dans la zone d'effet. Vous ne pouvez ni parler ni incanter tant que le Kiho persiste mais vous pouvez y mettre fin durant l'étape de Réaction.</v>
      </c>
    </row>
    <row r="140" spans="1:14" s="196" customFormat="1" ht="23.4" customHeight="1" x14ac:dyDescent="0.25">
      <c r="A140" s="180" t="s">
        <v>1832</v>
      </c>
      <c r="B140" s="129" t="s">
        <v>106</v>
      </c>
      <c r="C140" s="6" t="s">
        <v>2070</v>
      </c>
      <c r="D140" s="6" t="s">
        <v>2067</v>
      </c>
      <c r="E140" s="339" t="s">
        <v>579</v>
      </c>
      <c r="F140" s="12">
        <f>IF(OR(Recto!J4="Shugenja Kuni",Recto!J4="Répurgateur Kuni"),4,5)</f>
        <v>5</v>
      </c>
      <c r="G140" s="192" t="str">
        <f t="shared" si="3"/>
        <v>---</v>
      </c>
      <c r="H140" s="191" t="s">
        <v>2078</v>
      </c>
      <c r="I140" s="191" t="s">
        <v>2078</v>
      </c>
      <c r="J140" s="191" t="s">
        <v>2078</v>
      </c>
      <c r="K140" s="191" t="s">
        <v>2078</v>
      </c>
      <c r="L140" s="162" t="s">
        <v>160</v>
      </c>
      <c r="M140" s="12">
        <v>192</v>
      </c>
      <c r="N140" s="159" t="s">
        <v>4282</v>
      </c>
    </row>
    <row r="141" spans="1:14" ht="23.4" customHeight="1" x14ac:dyDescent="0.25">
      <c r="A141" s="180" t="s">
        <v>1807</v>
      </c>
      <c r="B141" s="170" t="s">
        <v>2078</v>
      </c>
      <c r="C141" s="6" t="s">
        <v>2071</v>
      </c>
      <c r="D141" s="6" t="s">
        <v>2067</v>
      </c>
      <c r="E141" s="339" t="s">
        <v>579</v>
      </c>
      <c r="F141" s="12">
        <v>6</v>
      </c>
      <c r="G141" s="192" t="str">
        <f t="shared" si="3"/>
        <v>---</v>
      </c>
      <c r="H141" s="191" t="s">
        <v>2078</v>
      </c>
      <c r="I141" s="191" t="s">
        <v>2078</v>
      </c>
      <c r="J141" s="191" t="s">
        <v>2078</v>
      </c>
      <c r="K141" s="191" t="s">
        <v>2078</v>
      </c>
      <c r="L141" s="162" t="s">
        <v>3</v>
      </c>
      <c r="M141" s="12">
        <v>264</v>
      </c>
      <c r="N141" s="159" t="s">
        <v>4845</v>
      </c>
    </row>
    <row r="142" spans="1:14" ht="23.4" customHeight="1" x14ac:dyDescent="0.25">
      <c r="A142" s="180" t="s">
        <v>1806</v>
      </c>
      <c r="B142" s="170" t="s">
        <v>2078</v>
      </c>
      <c r="C142" s="6" t="s">
        <v>2072</v>
      </c>
      <c r="D142" s="6" t="s">
        <v>2067</v>
      </c>
      <c r="E142" s="339" t="s">
        <v>579</v>
      </c>
      <c r="F142" s="12">
        <v>6</v>
      </c>
      <c r="G142" s="192" t="str">
        <f t="shared" si="3"/>
        <v>---</v>
      </c>
      <c r="H142" s="191" t="s">
        <v>2078</v>
      </c>
      <c r="I142" s="191" t="s">
        <v>2078</v>
      </c>
      <c r="J142" s="191" t="s">
        <v>2078</v>
      </c>
      <c r="K142" s="191" t="s">
        <v>2078</v>
      </c>
      <c r="L142" s="162" t="s">
        <v>3</v>
      </c>
      <c r="M142" s="12">
        <v>264</v>
      </c>
      <c r="N142" s="159" t="s">
        <v>4846</v>
      </c>
    </row>
    <row r="143" spans="1:14" ht="23.4" customHeight="1" x14ac:dyDescent="0.25">
      <c r="A143" s="180" t="s">
        <v>1833</v>
      </c>
      <c r="B143" s="129" t="s">
        <v>106</v>
      </c>
      <c r="C143" s="6" t="s">
        <v>2071</v>
      </c>
      <c r="D143" s="6" t="s">
        <v>2067</v>
      </c>
      <c r="E143" s="339" t="s">
        <v>579</v>
      </c>
      <c r="F143" s="12">
        <v>6</v>
      </c>
      <c r="G143" s="192" t="str">
        <f t="shared" si="3"/>
        <v>---</v>
      </c>
      <c r="H143" s="191" t="s">
        <v>2078</v>
      </c>
      <c r="I143" s="191" t="s">
        <v>2078</v>
      </c>
      <c r="J143" s="191" t="s">
        <v>2078</v>
      </c>
      <c r="K143" s="191" t="s">
        <v>2078</v>
      </c>
      <c r="L143" s="162" t="s">
        <v>160</v>
      </c>
      <c r="M143" s="12">
        <v>192</v>
      </c>
      <c r="N143" s="159" t="s">
        <v>4283</v>
      </c>
    </row>
    <row r="144" spans="1:14" ht="23.4" customHeight="1" x14ac:dyDescent="0.25">
      <c r="A144" s="180" t="s">
        <v>1809</v>
      </c>
      <c r="B144" s="129" t="s">
        <v>106</v>
      </c>
      <c r="C144" s="6" t="s">
        <v>2071</v>
      </c>
      <c r="D144" s="6" t="s">
        <v>2067</v>
      </c>
      <c r="E144" s="339" t="s">
        <v>579</v>
      </c>
      <c r="F144" s="12">
        <v>7</v>
      </c>
      <c r="G144" s="192" t="str">
        <f t="shared" si="3"/>
        <v>---</v>
      </c>
      <c r="H144" s="191" t="s">
        <v>2078</v>
      </c>
      <c r="I144" s="191" t="s">
        <v>2078</v>
      </c>
      <c r="J144" s="191" t="s">
        <v>2078</v>
      </c>
      <c r="K144" s="191" t="s">
        <v>2078</v>
      </c>
      <c r="L144" s="162" t="s">
        <v>3</v>
      </c>
      <c r="M144" s="12">
        <v>264</v>
      </c>
      <c r="N144" s="159" t="str">
        <f>CONCATENATE("Pour activer ce kiho, dépensez un Pvide après avoir réussi une attaque à Mains Nues requiérant 2A. L'attaque inflige ses dégâts normaux +",Feu,"g",Feu, ". La cible et vous devez faire un jet d'Opposition de Feu. En cas de réussite de votre part, la cible est Aveuglée pdt ",Feu," h")</f>
        <v>Pour activer ce kiho, dépensez un Pvide après avoir réussi une attaque à Mains Nues requiérant 2A. L'attaque inflige ses dégâts normaux +2g2. La cible et vous devez faire un jet d'Opposition de Feu. En cas de réussite de votre part, la cible est Aveuglée pdt 2 h</v>
      </c>
    </row>
    <row r="145" spans="1:14" ht="23.4" customHeight="1" x14ac:dyDescent="0.25">
      <c r="A145" s="180" t="s">
        <v>1776</v>
      </c>
      <c r="B145" s="170" t="s">
        <v>2078</v>
      </c>
      <c r="C145" s="6" t="s">
        <v>2072</v>
      </c>
      <c r="D145" s="6" t="s">
        <v>2067</v>
      </c>
      <c r="E145" s="335" t="s">
        <v>577</v>
      </c>
      <c r="F145" s="12">
        <v>3</v>
      </c>
      <c r="G145" s="192" t="str">
        <f t="shared" si="3"/>
        <v>---</v>
      </c>
      <c r="H145" s="191" t="s">
        <v>2078</v>
      </c>
      <c r="I145" s="191" t="s">
        <v>2078</v>
      </c>
      <c r="J145" s="191" t="s">
        <v>2078</v>
      </c>
      <c r="K145" s="191" t="s">
        <v>2078</v>
      </c>
      <c r="L145" s="162" t="s">
        <v>3</v>
      </c>
      <c r="M145" s="12">
        <v>265</v>
      </c>
      <c r="N145" s="159" t="str">
        <f>CONCATENATE("Ce kiho activé vous permet de répérer l'arrivée de tout individu ou créature en contact avec le sol dans un rayon de ",Réputation*15,"m. Si ce kiho est actif au début d'une escarmouche, vous ne pouvez être pris en embuscade ou par surprise par un adversaire terrestre. Ce effet dure ",Terre," minutes.")</f>
        <v>Ce kiho activé vous permet de répérer l'arrivée de tout individu ou créature en contact avec le sol dans un rayon de 15m. Si ce kiho est actif au début d'une escarmouche, vous ne pouvez être pris en embuscade ou par surprise par un adversaire terrestre. Ce effet dure 2 minutes.</v>
      </c>
    </row>
    <row r="146" spans="1:14" ht="23.4" customHeight="1" x14ac:dyDescent="0.25">
      <c r="A146" s="180" t="s">
        <v>1775</v>
      </c>
      <c r="B146" s="170" t="s">
        <v>2078</v>
      </c>
      <c r="C146" s="6" t="s">
        <v>2072</v>
      </c>
      <c r="D146" s="6" t="s">
        <v>2067</v>
      </c>
      <c r="E146" s="335" t="s">
        <v>577</v>
      </c>
      <c r="F146" s="12">
        <v>3</v>
      </c>
      <c r="G146" s="192" t="str">
        <f t="shared" si="3"/>
        <v>---</v>
      </c>
      <c r="H146" s="191" t="s">
        <v>2078</v>
      </c>
      <c r="I146" s="191" t="s">
        <v>2078</v>
      </c>
      <c r="J146" s="191" t="s">
        <v>2078</v>
      </c>
      <c r="K146" s="191" t="s">
        <v>2078</v>
      </c>
      <c r="L146" s="162" t="s">
        <v>3</v>
      </c>
      <c r="M146" s="12">
        <v>265</v>
      </c>
      <c r="N146" s="159" t="s">
        <v>4847</v>
      </c>
    </row>
    <row r="147" spans="1:14" ht="23.4" customHeight="1" x14ac:dyDescent="0.25">
      <c r="A147" s="180" t="s">
        <v>1784</v>
      </c>
      <c r="B147" s="170" t="s">
        <v>2078</v>
      </c>
      <c r="C147" s="6" t="s">
        <v>2072</v>
      </c>
      <c r="D147" s="6" t="s">
        <v>2067</v>
      </c>
      <c r="E147" s="335" t="s">
        <v>577</v>
      </c>
      <c r="F147" s="12">
        <v>4</v>
      </c>
      <c r="G147" s="192" t="str">
        <f t="shared" si="3"/>
        <v>---</v>
      </c>
      <c r="H147" s="191" t="s">
        <v>2078</v>
      </c>
      <c r="I147" s="191" t="s">
        <v>2078</v>
      </c>
      <c r="J147" s="191" t="s">
        <v>2078</v>
      </c>
      <c r="K147" s="191" t="s">
        <v>2078</v>
      </c>
      <c r="L147" s="162" t="s">
        <v>3</v>
      </c>
      <c r="M147" s="12">
        <v>264</v>
      </c>
      <c r="N147" s="159" t="str">
        <f>CONCATENATE("Si vous activez ce kiho, +",ROUNDDOWN(Terre/2,0),"g0 aux jets visant à résister aux poisons et maladies.")</f>
        <v>Si vous activez ce kiho, +1g0 aux jets visant à résister aux poisons et maladies.</v>
      </c>
    </row>
    <row r="148" spans="1:14" ht="23.4" customHeight="1" x14ac:dyDescent="0.25">
      <c r="A148" s="180" t="s">
        <v>1823</v>
      </c>
      <c r="B148" s="170" t="s">
        <v>2078</v>
      </c>
      <c r="C148" s="6" t="s">
        <v>2072</v>
      </c>
      <c r="D148" s="6" t="s">
        <v>2067</v>
      </c>
      <c r="E148" s="335" t="s">
        <v>577</v>
      </c>
      <c r="F148" s="12">
        <v>4</v>
      </c>
      <c r="G148" s="192" t="str">
        <f t="shared" si="3"/>
        <v>---</v>
      </c>
      <c r="H148" s="191" t="s">
        <v>2078</v>
      </c>
      <c r="I148" s="191" t="s">
        <v>2078</v>
      </c>
      <c r="J148" s="191" t="s">
        <v>2078</v>
      </c>
      <c r="K148" s="191" t="s">
        <v>2078</v>
      </c>
      <c r="L148" s="162" t="s">
        <v>158</v>
      </c>
      <c r="M148" s="12">
        <v>206</v>
      </c>
      <c r="N148" s="159" t="s">
        <v>4788</v>
      </c>
    </row>
    <row r="149" spans="1:14" ht="23.4" customHeight="1" x14ac:dyDescent="0.25">
      <c r="A149" s="180" t="s">
        <v>1785</v>
      </c>
      <c r="B149" s="129" t="s">
        <v>106</v>
      </c>
      <c r="C149" s="6" t="s">
        <v>2073</v>
      </c>
      <c r="D149" s="6" t="s">
        <v>2067</v>
      </c>
      <c r="E149" s="335" t="s">
        <v>577</v>
      </c>
      <c r="F149" s="12">
        <v>4</v>
      </c>
      <c r="G149" s="192" t="str">
        <f t="shared" si="3"/>
        <v>---</v>
      </c>
      <c r="H149" s="191" t="s">
        <v>2078</v>
      </c>
      <c r="I149" s="191" t="s">
        <v>2078</v>
      </c>
      <c r="J149" s="191" t="s">
        <v>2078</v>
      </c>
      <c r="K149" s="191" t="s">
        <v>2078</v>
      </c>
      <c r="L149" s="162" t="s">
        <v>3</v>
      </c>
      <c r="M149" s="12">
        <v>265</v>
      </c>
      <c r="N149" s="159" t="str">
        <f>CONCATENATE("En délivrant une attaque atemi en activant ce kiho, on considère que l'Anneau d'Eau de cet adversaire a 2 Rangs de moins pour déterminer la distance qu'il peut parcourir dans le cardre d'une Action de Mouvement. Ce effet dure ",Terre*2," Rounds")</f>
        <v>En délivrant une attaque atemi en activant ce kiho, on considère que l'Anneau d'Eau de cet adversaire a 2 Rangs de moins pour déterminer la distance qu'il peut parcourir dans le cardre d'une Action de Mouvement. Ce effet dure 4 Rounds</v>
      </c>
    </row>
    <row r="150" spans="1:14" ht="23.4" customHeight="1" x14ac:dyDescent="0.25">
      <c r="A150" s="180" t="s">
        <v>1786</v>
      </c>
      <c r="B150" s="170" t="s">
        <v>2078</v>
      </c>
      <c r="C150" s="6" t="s">
        <v>2071</v>
      </c>
      <c r="D150" s="6" t="s">
        <v>2067</v>
      </c>
      <c r="E150" s="335" t="s">
        <v>577</v>
      </c>
      <c r="F150" s="12">
        <v>4</v>
      </c>
      <c r="G150" s="192" t="str">
        <f t="shared" si="3"/>
        <v>---</v>
      </c>
      <c r="H150" s="191" t="s">
        <v>2078</v>
      </c>
      <c r="I150" s="191" t="s">
        <v>2078</v>
      </c>
      <c r="J150" s="191" t="s">
        <v>2078</v>
      </c>
      <c r="K150" s="191" t="s">
        <v>2078</v>
      </c>
      <c r="L150" s="162" t="s">
        <v>3</v>
      </c>
      <c r="M150" s="12">
        <v>265</v>
      </c>
      <c r="N150" s="159" t="str">
        <f>CONCATENATE("Avec ce kiho actif, les adversaires engagés dans une Empoignade contre vous subissent ",Terre," blessures supplémentaires par Round quel que soit celui qui remporte l'Empoignade. Ces dommages d'infligent lors de l'étape de Réactions. Ce effet dure ",Terre," minutes.")</f>
        <v>Avec ce kiho actif, les adversaires engagés dans une Empoignade contre vous subissent 2 blessures supplémentaires par Round quel que soit celui qui remporte l'Empoignade. Ces dommages d'infligent lors de l'étape de Réactions. Ce effet dure 2 minutes.</v>
      </c>
    </row>
    <row r="151" spans="1:14" ht="23.4" customHeight="1" x14ac:dyDescent="0.25">
      <c r="A151" s="180" t="s">
        <v>1824</v>
      </c>
      <c r="B151" s="129" t="s">
        <v>106</v>
      </c>
      <c r="C151" s="6" t="s">
        <v>2071</v>
      </c>
      <c r="D151" s="6" t="s">
        <v>2067</v>
      </c>
      <c r="E151" s="335" t="s">
        <v>577</v>
      </c>
      <c r="F151" s="12">
        <v>5</v>
      </c>
      <c r="G151" s="192" t="str">
        <f t="shared" si="3"/>
        <v>---</v>
      </c>
      <c r="H151" s="191" t="s">
        <v>2078</v>
      </c>
      <c r="I151" s="191" t="s">
        <v>2078</v>
      </c>
      <c r="J151" s="191" t="s">
        <v>2078</v>
      </c>
      <c r="K151" s="191" t="s">
        <v>2078</v>
      </c>
      <c r="L151" s="162" t="s">
        <v>158</v>
      </c>
      <c r="M151" s="12">
        <v>206</v>
      </c>
      <c r="N151" s="159" t="str">
        <f>CONCATENATE("Ce Kiho est livré via une attaque atemi qui inflige des dégâts à mains nues normaux. Cependant, si la coup est réussit, votre jet de dommages est augmenté de + ",Terre,"g0.")</f>
        <v>Ce Kiho est livré via une attaque atemi qui inflige des dégâts à mains nues normaux. Cependant, si la coup est réussit, votre jet de dommages est augmenté de + 2g0.</v>
      </c>
    </row>
    <row r="152" spans="1:14" ht="23.4" customHeight="1" x14ac:dyDescent="0.25">
      <c r="A152" s="180" t="s">
        <v>1798</v>
      </c>
      <c r="B152" s="170" t="s">
        <v>2078</v>
      </c>
      <c r="C152" s="6" t="s">
        <v>2070</v>
      </c>
      <c r="D152" s="6" t="s">
        <v>2067</v>
      </c>
      <c r="E152" s="335" t="s">
        <v>577</v>
      </c>
      <c r="F152" s="12">
        <v>5</v>
      </c>
      <c r="G152" s="192" t="str">
        <f t="shared" si="3"/>
        <v>---</v>
      </c>
      <c r="H152" s="191" t="s">
        <v>2078</v>
      </c>
      <c r="I152" s="191" t="s">
        <v>2078</v>
      </c>
      <c r="J152" s="191" t="s">
        <v>2078</v>
      </c>
      <c r="K152" s="191" t="s">
        <v>2078</v>
      </c>
      <c r="L152" s="162" t="s">
        <v>3</v>
      </c>
      <c r="M152" s="12">
        <v>265</v>
      </c>
      <c r="N152" s="159" t="str">
        <f>CONCATENATE("Quand vous activez ce kiho, vous gagnez ",Terre*2," Réduction. Ceci se cumule avec toute autre forme de Réduction (issue par exemple d'une armure ou de sorts). Ce effet dure ",Terre," Rounds")</f>
        <v>Quand vous activez ce kiho, vous gagnez 4 Réduction. Ceci se cumule avec toute autre forme de Réduction (issue par exemple d'une armure ou de sorts). Ce effet dure 2 Rounds</v>
      </c>
    </row>
    <row r="153" spans="1:14" ht="23.4" customHeight="1" x14ac:dyDescent="0.25">
      <c r="A153" s="180" t="s">
        <v>1801</v>
      </c>
      <c r="B153" s="170" t="s">
        <v>2078</v>
      </c>
      <c r="C153" s="6" t="s">
        <v>2072</v>
      </c>
      <c r="D153" s="6" t="s">
        <v>2067</v>
      </c>
      <c r="E153" s="335" t="s">
        <v>577</v>
      </c>
      <c r="F153" s="12">
        <v>5</v>
      </c>
      <c r="G153" s="192" t="str">
        <f t="shared" si="3"/>
        <v>---</v>
      </c>
      <c r="H153" s="191" t="s">
        <v>2078</v>
      </c>
      <c r="I153" s="191" t="s">
        <v>2078</v>
      </c>
      <c r="J153" s="191" t="s">
        <v>2078</v>
      </c>
      <c r="K153" s="191" t="s">
        <v>2078</v>
      </c>
      <c r="L153" s="162" t="s">
        <v>3</v>
      </c>
      <c r="M153" s="12">
        <v>265</v>
      </c>
      <c r="N153" s="159" t="s">
        <v>8856</v>
      </c>
    </row>
    <row r="154" spans="1:14" ht="23.4" customHeight="1" x14ac:dyDescent="0.25">
      <c r="A154" s="180" t="s">
        <v>1800</v>
      </c>
      <c r="B154" s="129" t="s">
        <v>106</v>
      </c>
      <c r="C154" s="6" t="s">
        <v>2071</v>
      </c>
      <c r="D154" s="6" t="s">
        <v>2067</v>
      </c>
      <c r="E154" s="335" t="s">
        <v>577</v>
      </c>
      <c r="F154" s="12">
        <v>5</v>
      </c>
      <c r="G154" s="192" t="str">
        <f t="shared" si="3"/>
        <v>---</v>
      </c>
      <c r="H154" s="191" t="s">
        <v>2078</v>
      </c>
      <c r="I154" s="191" t="s">
        <v>2078</v>
      </c>
      <c r="J154" s="191" t="s">
        <v>2078</v>
      </c>
      <c r="K154" s="191" t="s">
        <v>2078</v>
      </c>
      <c r="L154" s="162" t="s">
        <v>3</v>
      </c>
      <c r="M154" s="12">
        <v>265</v>
      </c>
      <c r="N154" s="159" t="str">
        <f>CONCATENATE("On ne peut activer ce kiho que par une attaque atemi. Elle inflige des dégâts normaux + un nbre de dés lancés mais non gardés égal au Rg. de Souillure de la cible. Une cible jadis non corrompue perds les avantages de la Souillure pdt ",Terre," Rounds et est également affranchie de la folie liée.")</f>
        <v>On ne peut activer ce kiho que par une attaque atemi. Elle inflige des dégâts normaux + un nbre de dés lancés mais non gardés égal au Rg. de Souillure de la cible. Une cible jadis non corrompue perds les avantages de la Souillure pdt 2 Rounds et est également affranchie de la folie liée.</v>
      </c>
    </row>
    <row r="155" spans="1:14" ht="23.4" customHeight="1" x14ac:dyDescent="0.25">
      <c r="A155" s="180" t="s">
        <v>1799</v>
      </c>
      <c r="B155" s="170" t="s">
        <v>2078</v>
      </c>
      <c r="C155" s="6" t="s">
        <v>2072</v>
      </c>
      <c r="D155" s="6" t="s">
        <v>2067</v>
      </c>
      <c r="E155" s="335" t="s">
        <v>577</v>
      </c>
      <c r="F155" s="12">
        <v>5</v>
      </c>
      <c r="G155" s="192" t="str">
        <f t="shared" si="3"/>
        <v>---</v>
      </c>
      <c r="H155" s="191" t="s">
        <v>2078</v>
      </c>
      <c r="I155" s="191" t="s">
        <v>2078</v>
      </c>
      <c r="J155" s="191" t="s">
        <v>2078</v>
      </c>
      <c r="K155" s="191" t="s">
        <v>2078</v>
      </c>
      <c r="L155" s="162" t="s">
        <v>3</v>
      </c>
      <c r="M155" s="12">
        <v>265</v>
      </c>
      <c r="N155" s="159" t="str">
        <f>CONCATENATE("Quand vous activez ce kiho, réduisez vos Malus dus aux Blessures de ",Terre,". Vous pouvez également entreprendre des AS même au rang de blessure Epuisé. Cet effet dure ",Terre," Rounds.")</f>
        <v>Quand vous activez ce kiho, réduisez vos Malus dus aux Blessures de 2. Vous pouvez également entreprendre des AS même au rang de blessure Epuisé. Cet effet dure 2 Rounds.</v>
      </c>
    </row>
    <row r="156" spans="1:14" ht="23.4" customHeight="1" x14ac:dyDescent="0.25">
      <c r="A156" s="180" t="s">
        <v>1827</v>
      </c>
      <c r="B156" s="170" t="s">
        <v>2078</v>
      </c>
      <c r="C156" s="6" t="s">
        <v>2073</v>
      </c>
      <c r="D156" s="6" t="s">
        <v>2067</v>
      </c>
      <c r="E156" s="335" t="s">
        <v>577</v>
      </c>
      <c r="F156" s="12">
        <v>6</v>
      </c>
      <c r="G156" s="192" t="str">
        <f t="shared" si="3"/>
        <v>---</v>
      </c>
      <c r="H156" s="191" t="s">
        <v>2078</v>
      </c>
      <c r="I156" s="191" t="s">
        <v>2078</v>
      </c>
      <c r="J156" s="191" t="s">
        <v>2078</v>
      </c>
      <c r="K156" s="191" t="s">
        <v>2078</v>
      </c>
      <c r="L156" s="162" t="s">
        <v>158</v>
      </c>
      <c r="M156" s="12">
        <v>207</v>
      </c>
      <c r="N156" s="159" t="str">
        <f>CONCATENATE("Dure Rg. de Maitrise+ 1 Round. Tant qu'il est actif, chaque fois qu'un adv. déclare une A (sauf AG) ds une action offensive qui vous cible (sauf sorts), gagnez Réduction=2X le nmbre d'A que l'attaque ait porté ou non, sont cumulatives (Max ",Terre*5,") jusqu'à désactivation ou fin du combat.")</f>
        <v>Dure Rg. de Maitrise+ 1 Round. Tant qu'il est actif, chaque fois qu'un adv. déclare une A (sauf AG) ds une action offensive qui vous cible (sauf sorts), gagnez Réduction=2X le nmbre d'A que l'attaque ait porté ou non, sont cumulatives (Max 10) jusqu'à désactivation ou fin du combat.</v>
      </c>
    </row>
    <row r="157" spans="1:14" ht="23.4" customHeight="1" x14ac:dyDescent="0.25">
      <c r="A157" s="180" t="s">
        <v>1826</v>
      </c>
      <c r="B157" s="170" t="s">
        <v>2078</v>
      </c>
      <c r="C157" s="6" t="s">
        <v>2072</v>
      </c>
      <c r="D157" s="6" t="s">
        <v>2067</v>
      </c>
      <c r="E157" s="335" t="s">
        <v>577</v>
      </c>
      <c r="F157" s="12">
        <v>6</v>
      </c>
      <c r="G157" s="192" t="str">
        <f t="shared" si="3"/>
        <v>---</v>
      </c>
      <c r="H157" s="191" t="s">
        <v>2078</v>
      </c>
      <c r="I157" s="191" t="s">
        <v>2078</v>
      </c>
      <c r="J157" s="191" t="s">
        <v>2078</v>
      </c>
      <c r="K157" s="191" t="s">
        <v>2078</v>
      </c>
      <c r="L157" s="162" t="s">
        <v>158</v>
      </c>
      <c r="M157" s="12">
        <v>206</v>
      </c>
      <c r="N157" s="159" t="str">
        <f>CONCATENATE("Lorsque ce Kiho est activé, vous devez rester parfaitement immobile pendant ",IF(10-Terre&lt;1,10-Terre,10-Terre)," rounds. Une fois cela accompli, vous êtes immédiatement en mesure de détecter les impuretés spirituelles et physiques (poison, souillure, maladie...) dans un rayon de ",15*Terre,"m pdt 1 round.")</f>
        <v>Lorsque ce Kiho est activé, vous devez rester parfaitement immobile pendant 8 rounds. Une fois cela accompli, vous êtes immédiatement en mesure de détecter les impuretés spirituelles et physiques (poison, souillure, maladie...) dans un rayon de 30m pdt 1 round.</v>
      </c>
    </row>
    <row r="158" spans="1:14" ht="23.4" customHeight="1" x14ac:dyDescent="0.25">
      <c r="A158" s="180" t="s">
        <v>1829</v>
      </c>
      <c r="B158" s="170" t="s">
        <v>2078</v>
      </c>
      <c r="C158" s="6" t="s">
        <v>2073</v>
      </c>
      <c r="D158" s="6" t="s">
        <v>2067</v>
      </c>
      <c r="E158" s="335" t="s">
        <v>577</v>
      </c>
      <c r="F158" s="12">
        <v>6</v>
      </c>
      <c r="G158" s="192" t="str">
        <f t="shared" si="3"/>
        <v>---</v>
      </c>
      <c r="H158" s="191" t="s">
        <v>2078</v>
      </c>
      <c r="I158" s="191" t="s">
        <v>2078</v>
      </c>
      <c r="J158" s="191" t="s">
        <v>2078</v>
      </c>
      <c r="K158" s="191" t="s">
        <v>2078</v>
      </c>
      <c r="L158" s="162" t="s">
        <v>158</v>
      </c>
      <c r="M158" s="12">
        <v>207</v>
      </c>
      <c r="N158" s="159" t="s">
        <v>8857</v>
      </c>
    </row>
    <row r="159" spans="1:14" ht="23.4" customHeight="1" x14ac:dyDescent="0.25">
      <c r="A159" s="180" t="s">
        <v>1828</v>
      </c>
      <c r="B159" s="170" t="s">
        <v>2078</v>
      </c>
      <c r="C159" s="6" t="s">
        <v>2072</v>
      </c>
      <c r="D159" s="6" t="s">
        <v>2067</v>
      </c>
      <c r="E159" s="335" t="s">
        <v>577</v>
      </c>
      <c r="F159" s="12">
        <v>6</v>
      </c>
      <c r="G159" s="192" t="str">
        <f t="shared" si="3"/>
        <v>---</v>
      </c>
      <c r="H159" s="191" t="s">
        <v>2078</v>
      </c>
      <c r="I159" s="191" t="s">
        <v>2078</v>
      </c>
      <c r="J159" s="191" t="s">
        <v>2078</v>
      </c>
      <c r="K159" s="191" t="s">
        <v>2078</v>
      </c>
      <c r="L159" s="162" t="s">
        <v>158</v>
      </c>
      <c r="M159" s="12">
        <v>205</v>
      </c>
      <c r="N159" s="159" t="s">
        <v>4787</v>
      </c>
    </row>
    <row r="160" spans="1:14" ht="23.4" customHeight="1" x14ac:dyDescent="0.25">
      <c r="A160" s="180" t="s">
        <v>1825</v>
      </c>
      <c r="B160" s="129" t="s">
        <v>106</v>
      </c>
      <c r="C160" s="6" t="s">
        <v>2071</v>
      </c>
      <c r="D160" s="6" t="s">
        <v>2067</v>
      </c>
      <c r="E160" s="335" t="s">
        <v>577</v>
      </c>
      <c r="F160" s="12">
        <v>6</v>
      </c>
      <c r="G160" s="192" t="str">
        <f t="shared" si="3"/>
        <v>---</v>
      </c>
      <c r="H160" s="191" t="s">
        <v>2078</v>
      </c>
      <c r="I160" s="191" t="s">
        <v>2078</v>
      </c>
      <c r="J160" s="191" t="s">
        <v>2078</v>
      </c>
      <c r="K160" s="191" t="s">
        <v>2078</v>
      </c>
      <c r="L160" s="162" t="s">
        <v>158</v>
      </c>
      <c r="M160" s="12">
        <v>206</v>
      </c>
      <c r="N160" s="159" t="s">
        <v>8858</v>
      </c>
    </row>
    <row r="161" spans="1:14" ht="23.4" customHeight="1" x14ac:dyDescent="0.25">
      <c r="A161" s="180" t="s">
        <v>1830</v>
      </c>
      <c r="B161" s="170" t="s">
        <v>2078</v>
      </c>
      <c r="C161" s="6" t="s">
        <v>2073</v>
      </c>
      <c r="D161" s="6" t="s">
        <v>2067</v>
      </c>
      <c r="E161" s="335" t="s">
        <v>577</v>
      </c>
      <c r="F161" s="12">
        <v>7</v>
      </c>
      <c r="G161" s="192" t="str">
        <f t="shared" si="3"/>
        <v>---</v>
      </c>
      <c r="H161" s="191" t="s">
        <v>2078</v>
      </c>
      <c r="I161" s="191" t="s">
        <v>2078</v>
      </c>
      <c r="J161" s="191" t="s">
        <v>2078</v>
      </c>
      <c r="K161" s="191" t="s">
        <v>2078</v>
      </c>
      <c r="L161" s="162" t="s">
        <v>158</v>
      </c>
      <c r="M161" s="12">
        <v>206</v>
      </c>
      <c r="N161" s="159" t="s">
        <v>4789</v>
      </c>
    </row>
    <row r="162" spans="1:14" ht="23.4" customHeight="1" x14ac:dyDescent="0.25">
      <c r="A162" s="180" t="s">
        <v>1781</v>
      </c>
      <c r="B162" s="170" t="s">
        <v>2078</v>
      </c>
      <c r="C162" s="6" t="s">
        <v>2073</v>
      </c>
      <c r="D162" s="6" t="s">
        <v>2067</v>
      </c>
      <c r="E162" s="340" t="s">
        <v>328</v>
      </c>
      <c r="F162" s="12">
        <v>3</v>
      </c>
      <c r="G162" s="192" t="str">
        <f t="shared" si="3"/>
        <v>---</v>
      </c>
      <c r="H162" s="191" t="s">
        <v>2078</v>
      </c>
      <c r="I162" s="191" t="s">
        <v>2078</v>
      </c>
      <c r="J162" s="191" t="s">
        <v>2078</v>
      </c>
      <c r="K162" s="191" t="s">
        <v>2078</v>
      </c>
      <c r="L162" s="162" t="s">
        <v>3</v>
      </c>
      <c r="M162" s="12">
        <v>266</v>
      </c>
      <c r="N162" s="159" t="s">
        <v>4848</v>
      </c>
    </row>
    <row r="163" spans="1:14" ht="23.4" customHeight="1" x14ac:dyDescent="0.25">
      <c r="A163" s="180" t="s">
        <v>1782</v>
      </c>
      <c r="B163" s="170" t="s">
        <v>2078</v>
      </c>
      <c r="C163" s="6" t="s">
        <v>2073</v>
      </c>
      <c r="D163" s="6" t="s">
        <v>2067</v>
      </c>
      <c r="E163" s="340" t="s">
        <v>328</v>
      </c>
      <c r="F163" s="12">
        <v>3</v>
      </c>
      <c r="G163" s="192" t="str">
        <f t="shared" ref="G163:G172" si="4">IF(OR(D163="Kiho",D163="Kata"),"---",5+F163*5)</f>
        <v>---</v>
      </c>
      <c r="H163" s="191" t="s">
        <v>2078</v>
      </c>
      <c r="I163" s="191" t="s">
        <v>2078</v>
      </c>
      <c r="J163" s="191" t="s">
        <v>2078</v>
      </c>
      <c r="K163" s="191" t="s">
        <v>2078</v>
      </c>
      <c r="L163" s="162" t="s">
        <v>3</v>
      </c>
      <c r="M163" s="12">
        <v>266</v>
      </c>
      <c r="N163" s="159" t="s">
        <v>4849</v>
      </c>
    </row>
    <row r="164" spans="1:14" ht="23.4" customHeight="1" x14ac:dyDescent="0.25">
      <c r="A164" s="180" t="s">
        <v>1793</v>
      </c>
      <c r="B164" s="129" t="s">
        <v>106</v>
      </c>
      <c r="C164" s="6" t="s">
        <v>2073</v>
      </c>
      <c r="D164" s="6" t="s">
        <v>2067</v>
      </c>
      <c r="E164" s="340" t="s">
        <v>328</v>
      </c>
      <c r="F164" s="12">
        <v>4</v>
      </c>
      <c r="G164" s="192" t="str">
        <f t="shared" si="4"/>
        <v>---</v>
      </c>
      <c r="H164" s="191" t="s">
        <v>2078</v>
      </c>
      <c r="I164" s="191" t="s">
        <v>2078</v>
      </c>
      <c r="J164" s="191" t="s">
        <v>2078</v>
      </c>
      <c r="K164" s="191" t="s">
        <v>2078</v>
      </c>
      <c r="L164" s="162" t="s">
        <v>3</v>
      </c>
      <c r="M164" s="12">
        <v>265</v>
      </c>
      <c r="N164" s="159" t="str">
        <f>CONCATENATE("La cible de l'attaque atemi qui active ce kiho ignore les effets de son Désavantage le plus coûteux pendant ",Vide," Rounds. Ce effet ne peut pas cibler pas les Désavantages Sociaux ni les Désavantages Spirituels.")</f>
        <v>La cible de l'attaque atemi qui active ce kiho ignore les effets de son Désavantage le plus coûteux pendant 2 Rounds. Ce effet ne peut pas cibler pas les Désavantages Sociaux ni les Désavantages Spirituels.</v>
      </c>
    </row>
    <row r="165" spans="1:14" ht="23.4" customHeight="1" x14ac:dyDescent="0.25">
      <c r="A165" s="180" t="s">
        <v>6311</v>
      </c>
      <c r="B165" s="170" t="s">
        <v>2078</v>
      </c>
      <c r="C165" s="6" t="s">
        <v>2072</v>
      </c>
      <c r="D165" s="6" t="s">
        <v>2067</v>
      </c>
      <c r="E165" s="340" t="s">
        <v>328</v>
      </c>
      <c r="F165" s="12">
        <v>4</v>
      </c>
      <c r="G165" s="193" t="str">
        <f t="shared" si="4"/>
        <v>---</v>
      </c>
      <c r="H165" s="191" t="s">
        <v>2078</v>
      </c>
      <c r="I165" s="191" t="s">
        <v>2078</v>
      </c>
      <c r="J165" s="191" t="s">
        <v>2078</v>
      </c>
      <c r="K165" s="191" t="s">
        <v>2078</v>
      </c>
      <c r="L165" s="162" t="s">
        <v>6192</v>
      </c>
      <c r="M165" s="12">
        <v>192</v>
      </c>
      <c r="N165" s="159" t="str">
        <f>CONCATENATE("En méditation ou Position du Centre, tant que vous maintenez ce kiho actif, vous êtes informé de tout effet de sort élémentaire ou de la présence d'un nemunarai dans un rayon de ",Vide*3,"m. Vous connaissez la direction générale où il se trouve et son élément mais pas sa nature ni localisation exacte.")</f>
        <v>En méditation ou Position du Centre, tant que vous maintenez ce kiho actif, vous êtes informé de tout effet de sort élémentaire ou de la présence d'un nemunarai dans un rayon de 6m. Vous connaissez la direction générale où il se trouve et son élément mais pas sa nature ni localisation exacte.</v>
      </c>
    </row>
    <row r="166" spans="1:14" ht="23.4" customHeight="1" x14ac:dyDescent="0.25">
      <c r="A166" s="180" t="s">
        <v>1794</v>
      </c>
      <c r="B166" s="170" t="s">
        <v>2078</v>
      </c>
      <c r="C166" s="6" t="s">
        <v>2072</v>
      </c>
      <c r="D166" s="6" t="s">
        <v>2067</v>
      </c>
      <c r="E166" s="340" t="s">
        <v>328</v>
      </c>
      <c r="F166" s="12">
        <v>4</v>
      </c>
      <c r="G166" s="192" t="str">
        <f t="shared" si="4"/>
        <v>---</v>
      </c>
      <c r="H166" s="191" t="s">
        <v>2078</v>
      </c>
      <c r="I166" s="191" t="s">
        <v>2078</v>
      </c>
      <c r="J166" s="191" t="s">
        <v>2078</v>
      </c>
      <c r="K166" s="191" t="s">
        <v>2078</v>
      </c>
      <c r="L166" s="162" t="s">
        <v>3</v>
      </c>
      <c r="M166" s="12">
        <v>266</v>
      </c>
      <c r="N166" s="159" t="s">
        <v>4850</v>
      </c>
    </row>
    <row r="167" spans="1:14" s="196" customFormat="1" ht="23.4" customHeight="1" x14ac:dyDescent="0.25">
      <c r="A167" s="180" t="s">
        <v>8446</v>
      </c>
      <c r="B167" s="170" t="s">
        <v>2078</v>
      </c>
      <c r="C167" s="6" t="s">
        <v>2072</v>
      </c>
      <c r="D167" s="6" t="s">
        <v>2067</v>
      </c>
      <c r="E167" s="340" t="s">
        <v>328</v>
      </c>
      <c r="F167" s="12">
        <v>4</v>
      </c>
      <c r="G167" s="192" t="str">
        <f t="shared" si="4"/>
        <v>---</v>
      </c>
      <c r="H167" s="191" t="s">
        <v>2078</v>
      </c>
      <c r="I167" s="191" t="s">
        <v>2078</v>
      </c>
      <c r="J167" s="191" t="s">
        <v>2078</v>
      </c>
      <c r="K167" s="191" t="s">
        <v>2078</v>
      </c>
      <c r="L167" s="162" t="s">
        <v>7759</v>
      </c>
      <c r="M167" s="12">
        <v>34</v>
      </c>
      <c r="N167" s="159" t="str">
        <f>CONCATENATE("En entrant en trance au cours d'une Méditation, vous pouvez communiquer avec un ancêtre ou esprit sans repos actif la région. Une fois le lien établi, vous pouvez lui poser ",Vide," questions mais les réponses restent vagues et énigmatiques.")</f>
        <v>En entrant en trance au cours d'une Méditation, vous pouvez communiquer avec un ancêtre ou esprit sans repos actif la région. Une fois le lien établi, vous pouvez lui poser 2 questions mais les réponses restent vagues et énigmatiques.</v>
      </c>
    </row>
    <row r="168" spans="1:14" ht="23.4" customHeight="1" x14ac:dyDescent="0.25">
      <c r="A168" s="180" t="s">
        <v>1795</v>
      </c>
      <c r="B168" s="170" t="s">
        <v>2078</v>
      </c>
      <c r="C168" s="6" t="s">
        <v>2071</v>
      </c>
      <c r="D168" s="6" t="s">
        <v>2067</v>
      </c>
      <c r="E168" s="340" t="s">
        <v>328</v>
      </c>
      <c r="F168" s="12">
        <v>4</v>
      </c>
      <c r="G168" s="192" t="str">
        <f t="shared" si="4"/>
        <v>---</v>
      </c>
      <c r="H168" s="191" t="s">
        <v>2078</v>
      </c>
      <c r="I168" s="191" t="s">
        <v>2078</v>
      </c>
      <c r="J168" s="191" t="s">
        <v>2078</v>
      </c>
      <c r="K168" s="191" t="s">
        <v>2078</v>
      </c>
      <c r="L168" s="162" t="s">
        <v>3</v>
      </c>
      <c r="M168" s="12">
        <v>266</v>
      </c>
      <c r="N168" s="159" t="s">
        <v>4851</v>
      </c>
    </row>
    <row r="169" spans="1:14" ht="23.4" customHeight="1" x14ac:dyDescent="0.25">
      <c r="A169" s="180" t="s">
        <v>1803</v>
      </c>
      <c r="B169" s="170" t="s">
        <v>2078</v>
      </c>
      <c r="C169" s="6" t="s">
        <v>2070</v>
      </c>
      <c r="D169" s="6" t="s">
        <v>2067</v>
      </c>
      <c r="E169" s="340" t="s">
        <v>328</v>
      </c>
      <c r="F169" s="12">
        <v>5</v>
      </c>
      <c r="G169" s="192" t="str">
        <f t="shared" si="4"/>
        <v>---</v>
      </c>
      <c r="H169" s="191" t="s">
        <v>2078</v>
      </c>
      <c r="I169" s="191" t="s">
        <v>2078</v>
      </c>
      <c r="J169" s="191" t="s">
        <v>2078</v>
      </c>
      <c r="K169" s="191" t="s">
        <v>2078</v>
      </c>
      <c r="L169" s="162" t="s">
        <v>3</v>
      </c>
      <c r="M169" s="12">
        <v>266</v>
      </c>
      <c r="N169" s="159" t="str">
        <f>CONCATENATE("Quand vous activez ce kiho, vous percevez la présence de toutes les créatures situées dans un rayon de ",Vide*3,"m. Vous percevez aussi les objets et individus cachés déliérément situés dans ce rayon, ce qui inclus les portes secrètes, compartiments escamotés, objets entérrés, etc.")</f>
        <v>Quand vous activez ce kiho, vous percevez la présence de toutes les créatures situées dans un rayon de 6m. Vous percevez aussi les objets et individus cachés déliérément situés dans ce rayon, ce qui inclus les portes secrètes, compartiments escamotés, objets entérrés, etc.</v>
      </c>
    </row>
    <row r="170" spans="1:14" ht="23.4" customHeight="1" x14ac:dyDescent="0.25">
      <c r="A170" s="180" t="s">
        <v>6313</v>
      </c>
      <c r="B170" s="170" t="s">
        <v>2078</v>
      </c>
      <c r="C170" s="6" t="s">
        <v>2073</v>
      </c>
      <c r="D170" s="6" t="s">
        <v>2067</v>
      </c>
      <c r="E170" s="340" t="s">
        <v>328</v>
      </c>
      <c r="F170" s="12">
        <v>5</v>
      </c>
      <c r="G170" s="193" t="str">
        <f t="shared" si="4"/>
        <v>---</v>
      </c>
      <c r="H170" s="191" t="s">
        <v>2078</v>
      </c>
      <c r="I170" s="191" t="s">
        <v>2078</v>
      </c>
      <c r="J170" s="191" t="s">
        <v>2078</v>
      </c>
      <c r="K170" s="191" t="s">
        <v>2078</v>
      </c>
      <c r="L170" s="162" t="s">
        <v>6192</v>
      </c>
      <c r="M170" s="12">
        <v>192</v>
      </c>
      <c r="N170" s="159" t="s">
        <v>6317</v>
      </c>
    </row>
    <row r="171" spans="1:14" ht="23.4" customHeight="1" x14ac:dyDescent="0.25">
      <c r="A171" s="180" t="s">
        <v>1804</v>
      </c>
      <c r="B171" s="129" t="s">
        <v>106</v>
      </c>
      <c r="C171" s="6" t="s">
        <v>2073</v>
      </c>
      <c r="D171" s="6" t="s">
        <v>2067</v>
      </c>
      <c r="E171" s="340" t="s">
        <v>328</v>
      </c>
      <c r="F171" s="12">
        <v>5</v>
      </c>
      <c r="G171" s="192" t="str">
        <f t="shared" si="4"/>
        <v>---</v>
      </c>
      <c r="H171" s="191" t="s">
        <v>2078</v>
      </c>
      <c r="I171" s="191" t="s">
        <v>2078</v>
      </c>
      <c r="J171" s="191" t="s">
        <v>2078</v>
      </c>
      <c r="K171" s="191" t="s">
        <v>2078</v>
      </c>
      <c r="L171" s="162" t="s">
        <v>3</v>
      </c>
      <c r="M171" s="12">
        <v>267</v>
      </c>
      <c r="N171" s="159" t="str">
        <f>CONCATENATE("Un adversaire frappé par un attaque atemi qui active ce kiho doit dépenser 2 emplacements de sort pour lancer un sort. Cet effet dure ",Vide," Rounds.")</f>
        <v>Un adversaire frappé par un attaque atemi qui active ce kiho doit dépenser 2 emplacements de sort pour lancer un sort. Cet effet dure 2 Rounds.</v>
      </c>
    </row>
    <row r="172" spans="1:14" ht="23.4" customHeight="1" x14ac:dyDescent="0.25">
      <c r="A172" s="180" t="s">
        <v>6312</v>
      </c>
      <c r="B172" s="129" t="s">
        <v>106</v>
      </c>
      <c r="C172" s="6" t="s">
        <v>2070</v>
      </c>
      <c r="D172" s="6" t="s">
        <v>2067</v>
      </c>
      <c r="E172" s="340" t="s">
        <v>328</v>
      </c>
      <c r="F172" s="12">
        <v>6</v>
      </c>
      <c r="G172" s="193" t="str">
        <f t="shared" si="4"/>
        <v>---</v>
      </c>
      <c r="H172" s="191" t="s">
        <v>2078</v>
      </c>
      <c r="I172" s="191" t="s">
        <v>2078</v>
      </c>
      <c r="J172" s="191" t="s">
        <v>2078</v>
      </c>
      <c r="K172" s="191" t="s">
        <v>2078</v>
      </c>
      <c r="L172" s="162" t="s">
        <v>6192</v>
      </c>
      <c r="M172" s="12">
        <v>192</v>
      </c>
      <c r="N172" s="159" t="s">
        <v>8859</v>
      </c>
    </row>
    <row r="173" spans="1:14" ht="23.4" customHeight="1" x14ac:dyDescent="0.25">
      <c r="A173" s="180" t="s">
        <v>6316</v>
      </c>
      <c r="B173" s="170" t="s">
        <v>2078</v>
      </c>
      <c r="C173" s="6" t="s">
        <v>2072</v>
      </c>
      <c r="D173" s="6" t="s">
        <v>2067</v>
      </c>
      <c r="E173" s="340" t="s">
        <v>328</v>
      </c>
      <c r="F173" s="12">
        <v>6</v>
      </c>
      <c r="H173" s="191" t="s">
        <v>2078</v>
      </c>
      <c r="I173" s="191" t="s">
        <v>2078</v>
      </c>
      <c r="J173" s="191" t="s">
        <v>2078</v>
      </c>
      <c r="K173" s="191" t="s">
        <v>2078</v>
      </c>
      <c r="L173" s="162" t="s">
        <v>6192</v>
      </c>
      <c r="M173" s="12">
        <v>192</v>
      </c>
      <c r="N173" s="159" t="s">
        <v>6320</v>
      </c>
    </row>
    <row r="174" spans="1:14" ht="23.4" customHeight="1" x14ac:dyDescent="0.25">
      <c r="A174" s="180" t="s">
        <v>6314</v>
      </c>
      <c r="B174" s="129" t="s">
        <v>106</v>
      </c>
      <c r="C174" s="6" t="s">
        <v>2073</v>
      </c>
      <c r="D174" s="6" t="s">
        <v>2067</v>
      </c>
      <c r="E174" s="340" t="s">
        <v>328</v>
      </c>
      <c r="F174" s="12">
        <v>6</v>
      </c>
      <c r="G174" s="193" t="str">
        <f>IF(OR(D174="Kiho",D174="Kata"),"---",5+F174*5)</f>
        <v>---</v>
      </c>
      <c r="H174" s="191" t="s">
        <v>2078</v>
      </c>
      <c r="I174" s="191" t="s">
        <v>2078</v>
      </c>
      <c r="J174" s="191" t="s">
        <v>2078</v>
      </c>
      <c r="K174" s="191" t="s">
        <v>2078</v>
      </c>
      <c r="L174" s="162" t="s">
        <v>6192</v>
      </c>
      <c r="M174" s="12">
        <v>192</v>
      </c>
      <c r="N174" s="159" t="s">
        <v>6318</v>
      </c>
    </row>
    <row r="175" spans="1:14" ht="23.4" customHeight="1" x14ac:dyDescent="0.25">
      <c r="A175" s="180" t="s">
        <v>1812</v>
      </c>
      <c r="B175" s="129" t="s">
        <v>106</v>
      </c>
      <c r="C175" s="6" t="s">
        <v>2070</v>
      </c>
      <c r="D175" s="6" t="s">
        <v>2067</v>
      </c>
      <c r="E175" s="340" t="s">
        <v>328</v>
      </c>
      <c r="F175" s="12">
        <v>7</v>
      </c>
      <c r="G175" s="192" t="str">
        <f>IF(OR(D175="Kiho",D175="Kata"),"---",5+F175*5)</f>
        <v>---</v>
      </c>
      <c r="H175" s="191" t="s">
        <v>2078</v>
      </c>
      <c r="I175" s="191" t="s">
        <v>2078</v>
      </c>
      <c r="J175" s="191" t="s">
        <v>2078</v>
      </c>
      <c r="K175" s="191" t="s">
        <v>2078</v>
      </c>
      <c r="L175" s="162" t="s">
        <v>3</v>
      </c>
      <c r="M175" s="12">
        <v>266</v>
      </c>
      <c r="N175" s="159" t="str">
        <f>CONCATENATE("Vous devez porter 3 attaques atemi en 3 Rounds consécutifs une fois ce kiho activé puis dépsenser un Pvide. En cas de succès, tous les Anneaux de la cible se réduisent de 1 par heure. Malus maximal de ",Réputation,". Si un Anneau tombe à 0, la cible doit réussir 3 jets d'opposition de vide ou mourir.")</f>
        <v>Vous devez porter 3 attaques atemi en 3 Rounds consécutifs une fois ce kiho activé puis dépsenser un Pvide. En cas de succès, tous les Anneaux de la cible se réduisent de 1 par heure. Malus maximal de 1. Si un Anneau tombe à 0, la cible doit réussir 3 jets d'opposition de vide ou mourir.</v>
      </c>
    </row>
    <row r="176" spans="1:14" ht="23.4" customHeight="1" x14ac:dyDescent="0.25">
      <c r="A176" s="180" t="s">
        <v>6315</v>
      </c>
      <c r="B176" s="170" t="s">
        <v>2078</v>
      </c>
      <c r="C176" s="6" t="s">
        <v>2071</v>
      </c>
      <c r="D176" s="6" t="s">
        <v>2067</v>
      </c>
      <c r="E176" s="340" t="s">
        <v>328</v>
      </c>
      <c r="F176" s="12">
        <v>7</v>
      </c>
      <c r="H176" s="191" t="s">
        <v>2078</v>
      </c>
      <c r="I176" s="191" t="s">
        <v>2078</v>
      </c>
      <c r="J176" s="191" t="s">
        <v>2078</v>
      </c>
      <c r="K176" s="191" t="s">
        <v>2078</v>
      </c>
      <c r="L176" s="162" t="s">
        <v>6192</v>
      </c>
      <c r="M176" s="12">
        <v>192</v>
      </c>
      <c r="N176" s="159" t="s">
        <v>6319</v>
      </c>
    </row>
    <row r="177" spans="1:14" ht="23.4" customHeight="1" x14ac:dyDescent="0.25">
      <c r="A177" s="180" t="s">
        <v>1813</v>
      </c>
      <c r="B177" s="129" t="s">
        <v>106</v>
      </c>
      <c r="C177" s="6" t="s">
        <v>2073</v>
      </c>
      <c r="D177" s="6" t="s">
        <v>2067</v>
      </c>
      <c r="E177" s="340" t="s">
        <v>328</v>
      </c>
      <c r="F177" s="12">
        <v>8</v>
      </c>
      <c r="G177" s="192" t="str">
        <f t="shared" ref="G177:G208" si="5">IF(OR(D177="Kiho",D177="Kata"),"---",5+F177*5)</f>
        <v>---</v>
      </c>
      <c r="H177" s="191" t="s">
        <v>2078</v>
      </c>
      <c r="I177" s="191" t="s">
        <v>2078</v>
      </c>
      <c r="J177" s="191" t="s">
        <v>2078</v>
      </c>
      <c r="K177" s="191" t="s">
        <v>2078</v>
      </c>
      <c r="L177" s="162" t="s">
        <v>3</v>
      </c>
      <c r="M177" s="12">
        <v>267</v>
      </c>
      <c r="N177" s="159" t="s">
        <v>8860</v>
      </c>
    </row>
    <row r="178" spans="1:14" s="196" customFormat="1" ht="23.4" customHeight="1" x14ac:dyDescent="0.25">
      <c r="A178" s="180" t="str">
        <f>IF(Contexte_jeu="L'Empire Stellaire d'Emeraude","Energie de mon Sang","")</f>
        <v/>
      </c>
      <c r="B178" s="129" t="s">
        <v>7738</v>
      </c>
      <c r="C178" s="16" t="s">
        <v>2078</v>
      </c>
      <c r="D178" s="6" t="s">
        <v>159</v>
      </c>
      <c r="E178" s="332" t="s">
        <v>100</v>
      </c>
      <c r="F178" s="12">
        <v>1</v>
      </c>
      <c r="G178" s="192">
        <f t="shared" si="5"/>
        <v>10</v>
      </c>
      <c r="H178" s="129" t="s">
        <v>3891</v>
      </c>
      <c r="I178" s="191" t="s">
        <v>4065</v>
      </c>
      <c r="J178" s="191" t="s">
        <v>3900</v>
      </c>
      <c r="K178" s="191" t="s">
        <v>1284</v>
      </c>
      <c r="L178" s="162" t="s">
        <v>7453</v>
      </c>
      <c r="M178" s="12">
        <v>28</v>
      </c>
      <c r="N178" s="159" t="s">
        <v>8007</v>
      </c>
    </row>
    <row r="179" spans="1:14" ht="23.4" customHeight="1" x14ac:dyDescent="0.25">
      <c r="A179" s="180" t="s">
        <v>1693</v>
      </c>
      <c r="B179" s="129" t="s">
        <v>223</v>
      </c>
      <c r="C179" s="16" t="s">
        <v>2078</v>
      </c>
      <c r="D179" s="6" t="s">
        <v>159</v>
      </c>
      <c r="E179" s="332" t="s">
        <v>100</v>
      </c>
      <c r="F179" s="12">
        <v>1</v>
      </c>
      <c r="G179" s="192">
        <f t="shared" si="5"/>
        <v>10</v>
      </c>
      <c r="H179" s="129" t="s">
        <v>3891</v>
      </c>
      <c r="I179" s="129" t="s">
        <v>3927</v>
      </c>
      <c r="J179" s="162" t="s">
        <v>4305</v>
      </c>
      <c r="K179" s="129" t="s">
        <v>4096</v>
      </c>
      <c r="L179" s="162" t="s">
        <v>2079</v>
      </c>
      <c r="M179" s="12">
        <v>27</v>
      </c>
      <c r="N179" s="159" t="s">
        <v>4903</v>
      </c>
    </row>
    <row r="180" spans="1:14" ht="23.4" customHeight="1" x14ac:dyDescent="0.25">
      <c r="A180" s="180" t="s">
        <v>1642</v>
      </c>
      <c r="B180" s="170" t="s">
        <v>2078</v>
      </c>
      <c r="C180" s="16" t="s">
        <v>2078</v>
      </c>
      <c r="D180" s="6" t="s">
        <v>159</v>
      </c>
      <c r="E180" s="332" t="s">
        <v>100</v>
      </c>
      <c r="F180" s="12">
        <v>1</v>
      </c>
      <c r="G180" s="192">
        <f t="shared" si="5"/>
        <v>10</v>
      </c>
      <c r="H180" s="129" t="s">
        <v>3956</v>
      </c>
      <c r="I180" s="129" t="s">
        <v>4262</v>
      </c>
      <c r="J180" s="162" t="s">
        <v>3934</v>
      </c>
      <c r="K180" s="129" t="s">
        <v>4855</v>
      </c>
      <c r="L180" s="162" t="s">
        <v>143</v>
      </c>
      <c r="M180" s="12">
        <v>269</v>
      </c>
      <c r="N180" s="159" t="s">
        <v>4856</v>
      </c>
    </row>
    <row r="181" spans="1:14" ht="23.4" customHeight="1" x14ac:dyDescent="0.25">
      <c r="A181" s="180" t="s">
        <v>1643</v>
      </c>
      <c r="B181" s="170" t="s">
        <v>2078</v>
      </c>
      <c r="C181" s="16" t="s">
        <v>2078</v>
      </c>
      <c r="D181" s="6" t="s">
        <v>159</v>
      </c>
      <c r="E181" s="332" t="s">
        <v>100</v>
      </c>
      <c r="F181" s="12">
        <v>1</v>
      </c>
      <c r="G181" s="192">
        <f t="shared" si="5"/>
        <v>10</v>
      </c>
      <c r="H181" s="129" t="s">
        <v>3925</v>
      </c>
      <c r="I181" s="129" t="s">
        <v>4857</v>
      </c>
      <c r="J181" s="162" t="s">
        <v>3893</v>
      </c>
      <c r="K181" s="129" t="s">
        <v>4858</v>
      </c>
      <c r="L181" s="162" t="s">
        <v>143</v>
      </c>
      <c r="M181" s="12">
        <v>269</v>
      </c>
      <c r="N181" s="159" t="s">
        <v>8861</v>
      </c>
    </row>
    <row r="182" spans="1:14" ht="23.4" customHeight="1" x14ac:dyDescent="0.25">
      <c r="A182" s="180" t="s">
        <v>1644</v>
      </c>
      <c r="B182" s="170" t="s">
        <v>2078</v>
      </c>
      <c r="C182" s="16" t="s">
        <v>2078</v>
      </c>
      <c r="D182" s="6" t="s">
        <v>159</v>
      </c>
      <c r="E182" s="332" t="s">
        <v>100</v>
      </c>
      <c r="F182" s="12">
        <v>1</v>
      </c>
      <c r="G182" s="192">
        <f t="shared" si="5"/>
        <v>10</v>
      </c>
      <c r="H182" s="129" t="s">
        <v>3887</v>
      </c>
      <c r="I182" s="129" t="s">
        <v>3957</v>
      </c>
      <c r="J182" s="162" t="s">
        <v>4077</v>
      </c>
      <c r="K182" s="129" t="s">
        <v>4863</v>
      </c>
      <c r="L182" s="162" t="s">
        <v>143</v>
      </c>
      <c r="M182" s="12">
        <v>269</v>
      </c>
      <c r="N182" s="159" t="s">
        <v>8862</v>
      </c>
    </row>
    <row r="183" spans="1:14" ht="23.4" customHeight="1" x14ac:dyDescent="0.25">
      <c r="A183" s="180" t="s">
        <v>1645</v>
      </c>
      <c r="B183" s="170" t="s">
        <v>2078</v>
      </c>
      <c r="C183" s="16" t="s">
        <v>2078</v>
      </c>
      <c r="D183" s="6" t="s">
        <v>159</v>
      </c>
      <c r="E183" s="332" t="s">
        <v>100</v>
      </c>
      <c r="F183" s="12">
        <v>1</v>
      </c>
      <c r="G183" s="192">
        <f t="shared" si="5"/>
        <v>10</v>
      </c>
      <c r="H183" s="129" t="s">
        <v>4073</v>
      </c>
      <c r="I183" s="129" t="s">
        <v>4864</v>
      </c>
      <c r="J183" s="162" t="s">
        <v>3893</v>
      </c>
      <c r="K183" s="129" t="s">
        <v>4865</v>
      </c>
      <c r="L183" s="162" t="s">
        <v>143</v>
      </c>
      <c r="M183" s="12">
        <v>269</v>
      </c>
      <c r="N183" s="159" t="s">
        <v>4866</v>
      </c>
    </row>
    <row r="184" spans="1:14" ht="23.4" customHeight="1" x14ac:dyDescent="0.25">
      <c r="A184" s="180" t="s">
        <v>1745</v>
      </c>
      <c r="B184" s="170" t="s">
        <v>2078</v>
      </c>
      <c r="C184" s="16" t="s">
        <v>2078</v>
      </c>
      <c r="D184" s="6" t="s">
        <v>159</v>
      </c>
      <c r="E184" s="332" t="s">
        <v>100</v>
      </c>
      <c r="F184" s="12">
        <v>2</v>
      </c>
      <c r="G184" s="192">
        <f t="shared" si="5"/>
        <v>15</v>
      </c>
      <c r="H184" s="129" t="s">
        <v>3952</v>
      </c>
      <c r="I184" s="129" t="s">
        <v>4262</v>
      </c>
      <c r="J184" s="162" t="s">
        <v>4010</v>
      </c>
      <c r="K184" s="129" t="s">
        <v>4792</v>
      </c>
      <c r="L184" s="162" t="s">
        <v>4797</v>
      </c>
      <c r="M184" s="12">
        <v>13</v>
      </c>
      <c r="N184" s="159" t="s">
        <v>4793</v>
      </c>
    </row>
    <row r="185" spans="1:14" ht="23.4" customHeight="1" x14ac:dyDescent="0.25">
      <c r="A185" s="180" t="s">
        <v>4872</v>
      </c>
      <c r="B185" s="170" t="s">
        <v>2078</v>
      </c>
      <c r="C185" s="16" t="s">
        <v>2078</v>
      </c>
      <c r="D185" s="6" t="s">
        <v>159</v>
      </c>
      <c r="E185" s="332" t="s">
        <v>100</v>
      </c>
      <c r="F185" s="12">
        <v>2</v>
      </c>
      <c r="G185" s="192">
        <f t="shared" si="5"/>
        <v>15</v>
      </c>
      <c r="H185" s="129" t="s">
        <v>3926</v>
      </c>
      <c r="I185" s="129" t="s">
        <v>3885</v>
      </c>
      <c r="J185" s="162" t="s">
        <v>4873</v>
      </c>
      <c r="K185" s="129" t="s">
        <v>4874</v>
      </c>
      <c r="L185" s="162" t="s">
        <v>143</v>
      </c>
      <c r="M185" s="12">
        <v>270</v>
      </c>
      <c r="N185" s="159" t="s">
        <v>4875</v>
      </c>
    </row>
    <row r="186" spans="1:14" ht="23.4" customHeight="1" x14ac:dyDescent="0.25">
      <c r="A186" s="180" t="s">
        <v>1754</v>
      </c>
      <c r="B186" s="170" t="s">
        <v>2078</v>
      </c>
      <c r="C186" s="16" t="s">
        <v>2078</v>
      </c>
      <c r="D186" s="6" t="s">
        <v>159</v>
      </c>
      <c r="E186" s="332" t="s">
        <v>100</v>
      </c>
      <c r="F186" s="12">
        <v>2</v>
      </c>
      <c r="G186" s="192">
        <f t="shared" si="5"/>
        <v>15</v>
      </c>
      <c r="H186" s="129" t="s">
        <v>3925</v>
      </c>
      <c r="I186" s="129" t="s">
        <v>3885</v>
      </c>
      <c r="J186" s="162" t="s">
        <v>4305</v>
      </c>
      <c r="K186" s="129" t="s">
        <v>4914</v>
      </c>
      <c r="L186" s="162" t="s">
        <v>2079</v>
      </c>
      <c r="M186" s="12">
        <v>28</v>
      </c>
      <c r="N186" s="159" t="s">
        <v>8863</v>
      </c>
    </row>
    <row r="187" spans="1:14" ht="23.4" customHeight="1" x14ac:dyDescent="0.25">
      <c r="A187" s="180" t="s">
        <v>1753</v>
      </c>
      <c r="B187" s="170" t="s">
        <v>2078</v>
      </c>
      <c r="C187" s="16" t="s">
        <v>2078</v>
      </c>
      <c r="D187" s="6" t="s">
        <v>159</v>
      </c>
      <c r="E187" s="332" t="s">
        <v>100</v>
      </c>
      <c r="F187" s="12">
        <v>2</v>
      </c>
      <c r="G187" s="192">
        <f t="shared" si="5"/>
        <v>15</v>
      </c>
      <c r="H187" s="129" t="s">
        <v>3925</v>
      </c>
      <c r="I187" s="129" t="s">
        <v>4911</v>
      </c>
      <c r="J187" s="162" t="s">
        <v>4277</v>
      </c>
      <c r="K187" s="129" t="s">
        <v>4912</v>
      </c>
      <c r="L187" s="162" t="s">
        <v>2079</v>
      </c>
      <c r="M187" s="12">
        <v>28</v>
      </c>
      <c r="N187" s="159" t="s">
        <v>4913</v>
      </c>
    </row>
    <row r="188" spans="1:14" ht="23.4" customHeight="1" x14ac:dyDescent="0.25">
      <c r="A188" s="180" t="s">
        <v>1759</v>
      </c>
      <c r="B188" s="129" t="s">
        <v>101</v>
      </c>
      <c r="C188" s="16" t="s">
        <v>2078</v>
      </c>
      <c r="D188" s="6" t="s">
        <v>159</v>
      </c>
      <c r="E188" s="332" t="s">
        <v>100</v>
      </c>
      <c r="F188" s="12">
        <v>3</v>
      </c>
      <c r="G188" s="192">
        <f t="shared" si="5"/>
        <v>20</v>
      </c>
      <c r="H188" s="129" t="s">
        <v>3925</v>
      </c>
      <c r="I188" s="129" t="s">
        <v>3885</v>
      </c>
      <c r="J188" s="162" t="s">
        <v>3900</v>
      </c>
      <c r="K188" s="129" t="s">
        <v>4915</v>
      </c>
      <c r="L188" s="162" t="s">
        <v>2079</v>
      </c>
      <c r="M188" s="12">
        <v>29</v>
      </c>
      <c r="N188" s="159" t="s">
        <v>8864</v>
      </c>
    </row>
    <row r="189" spans="1:14" ht="23.4" customHeight="1" x14ac:dyDescent="0.25">
      <c r="A189" s="180" t="s">
        <v>1646</v>
      </c>
      <c r="B189" s="170" t="s">
        <v>2078</v>
      </c>
      <c r="C189" s="16" t="s">
        <v>2078</v>
      </c>
      <c r="D189" s="6" t="s">
        <v>159</v>
      </c>
      <c r="E189" s="332" t="s">
        <v>100</v>
      </c>
      <c r="F189" s="12">
        <v>3</v>
      </c>
      <c r="G189" s="192">
        <f t="shared" si="5"/>
        <v>20</v>
      </c>
      <c r="H189" s="129" t="s">
        <v>3925</v>
      </c>
      <c r="I189" s="129" t="s">
        <v>3885</v>
      </c>
      <c r="J189" s="162" t="s">
        <v>3930</v>
      </c>
      <c r="K189" s="129" t="s">
        <v>4880</v>
      </c>
      <c r="L189" s="162" t="s">
        <v>143</v>
      </c>
      <c r="M189" s="12">
        <v>271</v>
      </c>
      <c r="N189" s="159" t="s">
        <v>8865</v>
      </c>
    </row>
    <row r="190" spans="1:14" ht="23.4" customHeight="1" x14ac:dyDescent="0.25">
      <c r="A190" s="180" t="s">
        <v>1755</v>
      </c>
      <c r="B190" s="170" t="s">
        <v>2078</v>
      </c>
      <c r="C190" s="16" t="s">
        <v>2078</v>
      </c>
      <c r="D190" s="6" t="s">
        <v>159</v>
      </c>
      <c r="E190" s="332" t="s">
        <v>100</v>
      </c>
      <c r="F190" s="12">
        <v>3</v>
      </c>
      <c r="G190" s="192">
        <f t="shared" si="5"/>
        <v>20</v>
      </c>
      <c r="H190" s="129" t="s">
        <v>4111</v>
      </c>
      <c r="I190" s="129" t="s">
        <v>4715</v>
      </c>
      <c r="J190" s="162" t="s">
        <v>4884</v>
      </c>
      <c r="K190" s="129" t="s">
        <v>4916</v>
      </c>
      <c r="L190" s="162" t="s">
        <v>2079</v>
      </c>
      <c r="M190" s="12">
        <v>29</v>
      </c>
      <c r="N190" s="159" t="s">
        <v>4917</v>
      </c>
    </row>
    <row r="191" spans="1:14" ht="23.4" customHeight="1" x14ac:dyDescent="0.25">
      <c r="A191" s="180" t="s">
        <v>1667</v>
      </c>
      <c r="B191" s="129" t="s">
        <v>223</v>
      </c>
      <c r="C191" s="16" t="s">
        <v>2078</v>
      </c>
      <c r="D191" s="6" t="s">
        <v>159</v>
      </c>
      <c r="E191" s="332" t="s">
        <v>100</v>
      </c>
      <c r="F191" s="12">
        <v>3</v>
      </c>
      <c r="G191" s="192">
        <f t="shared" si="5"/>
        <v>20</v>
      </c>
      <c r="H191" s="129" t="s">
        <v>3891</v>
      </c>
      <c r="I191" s="129" t="s">
        <v>3927</v>
      </c>
      <c r="J191" s="162" t="s">
        <v>4158</v>
      </c>
      <c r="K191" s="129" t="s">
        <v>1284</v>
      </c>
      <c r="L191" s="162" t="s">
        <v>2079</v>
      </c>
      <c r="M191" s="12">
        <v>29</v>
      </c>
      <c r="N191" s="159" t="s">
        <v>8866</v>
      </c>
    </row>
    <row r="192" spans="1:14" ht="23.4" customHeight="1" x14ac:dyDescent="0.25">
      <c r="A192" s="180" t="s">
        <v>1648</v>
      </c>
      <c r="B192" s="170" t="s">
        <v>2078</v>
      </c>
      <c r="C192" s="16" t="s">
        <v>2078</v>
      </c>
      <c r="D192" s="6" t="s">
        <v>159</v>
      </c>
      <c r="E192" s="332" t="s">
        <v>100</v>
      </c>
      <c r="F192" s="12">
        <v>4</v>
      </c>
      <c r="G192" s="192">
        <f t="shared" si="5"/>
        <v>25</v>
      </c>
      <c r="H192" s="129" t="s">
        <v>3925</v>
      </c>
      <c r="I192" s="129" t="s">
        <v>4857</v>
      </c>
      <c r="J192" s="162" t="s">
        <v>3917</v>
      </c>
      <c r="K192" s="129" t="s">
        <v>4892</v>
      </c>
      <c r="L192" s="162" t="s">
        <v>143</v>
      </c>
      <c r="M192" s="12">
        <v>273</v>
      </c>
      <c r="N192" s="159" t="s">
        <v>4893</v>
      </c>
    </row>
    <row r="193" spans="1:14" ht="23.4" customHeight="1" x14ac:dyDescent="0.25">
      <c r="A193" s="180" t="s">
        <v>1647</v>
      </c>
      <c r="B193" s="170" t="s">
        <v>2078</v>
      </c>
      <c r="C193" s="16" t="s">
        <v>2078</v>
      </c>
      <c r="D193" s="6" t="s">
        <v>159</v>
      </c>
      <c r="E193" s="332" t="s">
        <v>100</v>
      </c>
      <c r="F193" s="12">
        <v>4</v>
      </c>
      <c r="G193" s="192">
        <f t="shared" si="5"/>
        <v>25</v>
      </c>
      <c r="H193" s="129" t="s">
        <v>3926</v>
      </c>
      <c r="I193" s="129" t="s">
        <v>3885</v>
      </c>
      <c r="J193" s="162" t="s">
        <v>3900</v>
      </c>
      <c r="K193" s="129" t="s">
        <v>4889</v>
      </c>
      <c r="L193" s="162" t="s">
        <v>143</v>
      </c>
      <c r="M193" s="12">
        <v>273</v>
      </c>
      <c r="N193" s="568" t="str">
        <f>CONCATENATE("Le sort à une VD de ",Air,"g0; La cible de ce sort subit un malus au ND continu de 10 à toutes ses actions. Cet effet ne saurait s'achever naturellement même si on soigne les blessures. Toutefois les soins magiques (Sorts, Kiho et autres effets surnaturels) mettent fin au malus.")</f>
        <v>Le sort à une VD de 2g0; La cible de ce sort subit un malus au ND continu de 10 à toutes ses actions. Cet effet ne saurait s'achever naturellement même si on soigne les blessures. Toutefois les soins magiques (Sorts, Kiho et autres effets surnaturels) mettent fin au malus.</v>
      </c>
    </row>
    <row r="194" spans="1:14" ht="23.4" customHeight="1" x14ac:dyDescent="0.25">
      <c r="A194" s="180" t="s">
        <v>107</v>
      </c>
      <c r="B194" s="170" t="s">
        <v>2078</v>
      </c>
      <c r="C194" s="16" t="s">
        <v>2078</v>
      </c>
      <c r="D194" s="6" t="s">
        <v>159</v>
      </c>
      <c r="E194" s="332" t="s">
        <v>100</v>
      </c>
      <c r="F194" s="12">
        <v>5</v>
      </c>
      <c r="G194" s="192">
        <f t="shared" si="5"/>
        <v>30</v>
      </c>
      <c r="H194" s="129" t="s">
        <v>3926</v>
      </c>
      <c r="I194" s="129" t="s">
        <v>4857</v>
      </c>
      <c r="J194" s="162" t="s">
        <v>4010</v>
      </c>
      <c r="K194" s="129" t="s">
        <v>4900</v>
      </c>
      <c r="L194" s="162" t="s">
        <v>143</v>
      </c>
      <c r="M194" s="12">
        <v>274</v>
      </c>
      <c r="N194" s="159" t="s">
        <v>8867</v>
      </c>
    </row>
    <row r="195" spans="1:14" ht="23.4" customHeight="1" x14ac:dyDescent="0.25">
      <c r="A195" s="180" t="s">
        <v>1760</v>
      </c>
      <c r="B195" s="170" t="s">
        <v>2078</v>
      </c>
      <c r="C195" s="16" t="s">
        <v>2078</v>
      </c>
      <c r="D195" s="6" t="s">
        <v>159</v>
      </c>
      <c r="E195" s="332" t="s">
        <v>100</v>
      </c>
      <c r="F195" s="12">
        <v>6</v>
      </c>
      <c r="G195" s="192">
        <f t="shared" si="5"/>
        <v>35</v>
      </c>
      <c r="H195" s="129" t="s">
        <v>4111</v>
      </c>
      <c r="I195" s="129" t="s">
        <v>4924</v>
      </c>
      <c r="J195" s="162" t="s">
        <v>3951</v>
      </c>
      <c r="K195" s="129" t="s">
        <v>4925</v>
      </c>
      <c r="L195" s="162" t="s">
        <v>2079</v>
      </c>
      <c r="M195" s="12">
        <v>30</v>
      </c>
      <c r="N195" s="159" t="s">
        <v>8868</v>
      </c>
    </row>
    <row r="196" spans="1:14" ht="23.4" customHeight="1" x14ac:dyDescent="0.25">
      <c r="A196" s="180" t="s">
        <v>1649</v>
      </c>
      <c r="B196" s="170" t="s">
        <v>2078</v>
      </c>
      <c r="C196" s="16" t="s">
        <v>2078</v>
      </c>
      <c r="D196" s="6" t="s">
        <v>159</v>
      </c>
      <c r="E196" s="333" t="s">
        <v>578</v>
      </c>
      <c r="F196" s="12">
        <v>1</v>
      </c>
      <c r="G196" s="192">
        <f t="shared" si="5"/>
        <v>10</v>
      </c>
      <c r="H196" s="129" t="s">
        <v>3925</v>
      </c>
      <c r="I196" s="129" t="s">
        <v>4860</v>
      </c>
      <c r="J196" s="162" t="s">
        <v>4077</v>
      </c>
      <c r="K196" s="129" t="s">
        <v>4861</v>
      </c>
      <c r="L196" s="162" t="s">
        <v>143</v>
      </c>
      <c r="M196" s="12">
        <v>269</v>
      </c>
      <c r="N196" s="159" t="s">
        <v>8869</v>
      </c>
    </row>
    <row r="197" spans="1:14" ht="23.4" customHeight="1" x14ac:dyDescent="0.25">
      <c r="A197" s="180" t="s">
        <v>1696</v>
      </c>
      <c r="B197" s="129" t="s">
        <v>223</v>
      </c>
      <c r="C197" s="16" t="s">
        <v>2078</v>
      </c>
      <c r="D197" s="6" t="s">
        <v>159</v>
      </c>
      <c r="E197" s="333" t="s">
        <v>578</v>
      </c>
      <c r="F197" s="12">
        <v>1</v>
      </c>
      <c r="G197" s="192">
        <f t="shared" si="5"/>
        <v>10</v>
      </c>
      <c r="H197" s="129" t="s">
        <v>3891</v>
      </c>
      <c r="I197" s="129" t="s">
        <v>3957</v>
      </c>
      <c r="J197" s="162" t="s">
        <v>4158</v>
      </c>
      <c r="K197" s="129" t="s">
        <v>4907</v>
      </c>
      <c r="L197" s="162" t="s">
        <v>2079</v>
      </c>
      <c r="M197" s="12">
        <v>28</v>
      </c>
      <c r="N197" s="159" t="s">
        <v>4908</v>
      </c>
    </row>
    <row r="198" spans="1:14" ht="23.4" customHeight="1" x14ac:dyDescent="0.25">
      <c r="A198" s="180" t="s">
        <v>1697</v>
      </c>
      <c r="B198" s="170" t="s">
        <v>2078</v>
      </c>
      <c r="C198" s="16" t="s">
        <v>2078</v>
      </c>
      <c r="D198" s="6" t="s">
        <v>159</v>
      </c>
      <c r="E198" s="333" t="s">
        <v>578</v>
      </c>
      <c r="F198" s="12">
        <v>2</v>
      </c>
      <c r="G198" s="192">
        <f t="shared" si="5"/>
        <v>15</v>
      </c>
      <c r="H198" s="129" t="s">
        <v>3887</v>
      </c>
      <c r="I198" s="129" t="s">
        <v>3916</v>
      </c>
      <c r="J198" s="162" t="s">
        <v>3917</v>
      </c>
      <c r="K198" s="129" t="s">
        <v>4020</v>
      </c>
      <c r="L198" s="162" t="s">
        <v>2079</v>
      </c>
      <c r="M198" s="12">
        <v>28</v>
      </c>
      <c r="N198" s="159" t="s">
        <v>4909</v>
      </c>
    </row>
    <row r="199" spans="1:14" ht="23.4" customHeight="1" x14ac:dyDescent="0.25">
      <c r="A199" s="180" t="s">
        <v>1650</v>
      </c>
      <c r="B199" s="170" t="s">
        <v>2078</v>
      </c>
      <c r="C199" s="16" t="s">
        <v>2078</v>
      </c>
      <c r="D199" s="6" t="s">
        <v>159</v>
      </c>
      <c r="E199" s="333" t="s">
        <v>578</v>
      </c>
      <c r="F199" s="12">
        <v>2</v>
      </c>
      <c r="G199" s="192">
        <f t="shared" si="5"/>
        <v>15</v>
      </c>
      <c r="H199" s="129" t="s">
        <v>3925</v>
      </c>
      <c r="I199" s="129" t="s">
        <v>4262</v>
      </c>
      <c r="J199" s="162" t="s">
        <v>4077</v>
      </c>
      <c r="K199" s="129" t="s">
        <v>4870</v>
      </c>
      <c r="L199" s="162" t="s">
        <v>143</v>
      </c>
      <c r="M199" s="12">
        <v>270</v>
      </c>
      <c r="N199" s="159" t="s">
        <v>4871</v>
      </c>
    </row>
    <row r="200" spans="1:14" s="196" customFormat="1" ht="23.4" customHeight="1" x14ac:dyDescent="0.25">
      <c r="A200" s="180" t="s">
        <v>7668</v>
      </c>
      <c r="B200" s="170" t="s">
        <v>2078</v>
      </c>
      <c r="C200" s="16" t="s">
        <v>2078</v>
      </c>
      <c r="D200" s="6" t="s">
        <v>159</v>
      </c>
      <c r="E200" s="333" t="s">
        <v>578</v>
      </c>
      <c r="F200" s="12">
        <v>2</v>
      </c>
      <c r="G200" s="192">
        <f t="shared" si="5"/>
        <v>15</v>
      </c>
      <c r="H200" s="129" t="s">
        <v>3891</v>
      </c>
      <c r="I200" s="129" t="s">
        <v>4262</v>
      </c>
      <c r="J200" s="162" t="s">
        <v>3930</v>
      </c>
      <c r="K200" s="129" t="s">
        <v>7669</v>
      </c>
      <c r="L200" s="162" t="s">
        <v>7453</v>
      </c>
      <c r="M200" s="12">
        <v>28</v>
      </c>
      <c r="N200" s="159" t="s">
        <v>8870</v>
      </c>
    </row>
    <row r="201" spans="1:14" ht="23.4" customHeight="1" x14ac:dyDescent="0.25">
      <c r="A201" s="180" t="s">
        <v>1640</v>
      </c>
      <c r="B201" s="170" t="s">
        <v>2078</v>
      </c>
      <c r="C201" s="16" t="s">
        <v>2078</v>
      </c>
      <c r="D201" s="6" t="s">
        <v>159</v>
      </c>
      <c r="E201" s="334" t="s">
        <v>579</v>
      </c>
      <c r="F201" s="12">
        <v>1</v>
      </c>
      <c r="G201" s="192">
        <f t="shared" si="5"/>
        <v>10</v>
      </c>
      <c r="H201" s="129" t="s">
        <v>3891</v>
      </c>
      <c r="I201" s="129" t="s">
        <v>4894</v>
      </c>
      <c r="J201" s="162" t="s">
        <v>4895</v>
      </c>
      <c r="K201" s="129" t="s">
        <v>4896</v>
      </c>
      <c r="L201" s="162" t="s">
        <v>143</v>
      </c>
      <c r="M201" s="12">
        <v>268</v>
      </c>
      <c r="N201" s="159" t="s">
        <v>4897</v>
      </c>
    </row>
    <row r="202" spans="1:14" ht="23.4" customHeight="1" x14ac:dyDescent="0.25">
      <c r="A202" s="180" t="s">
        <v>1641</v>
      </c>
      <c r="B202" s="170" t="s">
        <v>2078</v>
      </c>
      <c r="C202" s="16" t="s">
        <v>2078</v>
      </c>
      <c r="D202" s="6" t="s">
        <v>159</v>
      </c>
      <c r="E202" s="334" t="s">
        <v>579</v>
      </c>
      <c r="F202" s="12">
        <v>1</v>
      </c>
      <c r="G202" s="192">
        <f t="shared" si="5"/>
        <v>10</v>
      </c>
      <c r="H202" s="129" t="s">
        <v>3925</v>
      </c>
      <c r="I202" s="129" t="s">
        <v>4262</v>
      </c>
      <c r="J202" s="162" t="s">
        <v>4852</v>
      </c>
      <c r="K202" s="129" t="s">
        <v>4853</v>
      </c>
      <c r="L202" s="162" t="s">
        <v>143</v>
      </c>
      <c r="M202" s="12">
        <v>268</v>
      </c>
      <c r="N202" s="159" t="s">
        <v>4854</v>
      </c>
    </row>
    <row r="203" spans="1:14" ht="23.4" customHeight="1" x14ac:dyDescent="0.25">
      <c r="A203" s="180" t="s">
        <v>1698</v>
      </c>
      <c r="B203" s="170" t="s">
        <v>2078</v>
      </c>
      <c r="C203" s="16" t="s">
        <v>2078</v>
      </c>
      <c r="D203" s="6" t="s">
        <v>159</v>
      </c>
      <c r="E203" s="334" t="s">
        <v>579</v>
      </c>
      <c r="F203" s="12">
        <v>2</v>
      </c>
      <c r="G203" s="192">
        <f t="shared" si="5"/>
        <v>15</v>
      </c>
      <c r="H203" s="129" t="s">
        <v>3878</v>
      </c>
      <c r="I203" s="129" t="s">
        <v>4715</v>
      </c>
      <c r="J203" s="162" t="s">
        <v>3893</v>
      </c>
      <c r="K203" s="129" t="s">
        <v>4292</v>
      </c>
      <c r="L203" s="162" t="s">
        <v>2079</v>
      </c>
      <c r="M203" s="12">
        <v>28</v>
      </c>
      <c r="N203" s="159" t="s">
        <v>4910</v>
      </c>
    </row>
    <row r="204" spans="1:14" ht="23.4" customHeight="1" x14ac:dyDescent="0.25">
      <c r="A204" s="180" t="s">
        <v>1651</v>
      </c>
      <c r="B204" s="170" t="s">
        <v>2078</v>
      </c>
      <c r="C204" s="16" t="s">
        <v>2078</v>
      </c>
      <c r="D204" s="6" t="s">
        <v>159</v>
      </c>
      <c r="E204" s="334" t="s">
        <v>579</v>
      </c>
      <c r="F204" s="12">
        <v>2</v>
      </c>
      <c r="G204" s="192">
        <f t="shared" si="5"/>
        <v>15</v>
      </c>
      <c r="H204" s="129" t="s">
        <v>3926</v>
      </c>
      <c r="I204" s="129" t="s">
        <v>4876</v>
      </c>
      <c r="J204" s="162" t="s">
        <v>4877</v>
      </c>
      <c r="K204" s="129" t="s">
        <v>4878</v>
      </c>
      <c r="L204" s="162" t="s">
        <v>143</v>
      </c>
      <c r="M204" s="12">
        <v>270</v>
      </c>
      <c r="N204" s="159" t="s">
        <v>8871</v>
      </c>
    </row>
    <row r="205" spans="1:14" ht="23.4" customHeight="1" x14ac:dyDescent="0.25">
      <c r="A205" s="180" t="s">
        <v>1652</v>
      </c>
      <c r="B205" s="170" t="s">
        <v>2078</v>
      </c>
      <c r="C205" s="16" t="s">
        <v>2078</v>
      </c>
      <c r="D205" s="6" t="s">
        <v>159</v>
      </c>
      <c r="E205" s="334" t="s">
        <v>579</v>
      </c>
      <c r="F205" s="12">
        <v>3</v>
      </c>
      <c r="G205" s="192">
        <f t="shared" si="5"/>
        <v>20</v>
      </c>
      <c r="H205" s="129" t="s">
        <v>3891</v>
      </c>
      <c r="I205" s="129" t="s">
        <v>4715</v>
      </c>
      <c r="J205" s="162" t="s">
        <v>3917</v>
      </c>
      <c r="K205" s="129" t="s">
        <v>4879</v>
      </c>
      <c r="L205" s="162" t="s">
        <v>143</v>
      </c>
      <c r="M205" s="12">
        <v>271</v>
      </c>
      <c r="N205" s="159" t="s">
        <v>8872</v>
      </c>
    </row>
    <row r="206" spans="1:14" ht="23.4" customHeight="1" x14ac:dyDescent="0.25">
      <c r="A206" s="180" t="s">
        <v>1699</v>
      </c>
      <c r="B206" s="170" t="s">
        <v>2078</v>
      </c>
      <c r="C206" s="16" t="s">
        <v>2078</v>
      </c>
      <c r="D206" s="6" t="s">
        <v>159</v>
      </c>
      <c r="E206" s="334" t="s">
        <v>579</v>
      </c>
      <c r="F206" s="199">
        <v>4</v>
      </c>
      <c r="G206" s="192">
        <f t="shared" si="5"/>
        <v>25</v>
      </c>
      <c r="H206" s="129" t="s">
        <v>3925</v>
      </c>
      <c r="I206" s="129" t="s">
        <v>3885</v>
      </c>
      <c r="J206" s="162" t="s">
        <v>3900</v>
      </c>
      <c r="K206" s="129" t="s">
        <v>4918</v>
      </c>
      <c r="L206" s="162" t="s">
        <v>2079</v>
      </c>
      <c r="M206" s="199">
        <v>29</v>
      </c>
      <c r="N206" s="159" t="s">
        <v>8873</v>
      </c>
    </row>
    <row r="207" spans="1:14" ht="23.4" customHeight="1" x14ac:dyDescent="0.25">
      <c r="A207" s="180" t="s">
        <v>1653</v>
      </c>
      <c r="B207" s="170" t="s">
        <v>2078</v>
      </c>
      <c r="C207" s="16" t="s">
        <v>2078</v>
      </c>
      <c r="D207" s="6" t="s">
        <v>159</v>
      </c>
      <c r="E207" s="334" t="s">
        <v>579</v>
      </c>
      <c r="F207" s="12">
        <v>5</v>
      </c>
      <c r="G207" s="192">
        <f t="shared" si="5"/>
        <v>30</v>
      </c>
      <c r="H207" s="129" t="s">
        <v>6277</v>
      </c>
      <c r="I207" s="129" t="s">
        <v>4857</v>
      </c>
      <c r="J207" s="162" t="s">
        <v>4077</v>
      </c>
      <c r="K207" s="129" t="s">
        <v>4898</v>
      </c>
      <c r="L207" s="162" t="s">
        <v>143</v>
      </c>
      <c r="M207" s="12">
        <v>273</v>
      </c>
      <c r="N207" s="159" t="s">
        <v>4899</v>
      </c>
    </row>
    <row r="208" spans="1:14" ht="23.4" customHeight="1" x14ac:dyDescent="0.25">
      <c r="A208" s="180" t="str">
        <f>IF(Contexte_jeu="L'Empire Stellaire d'Emeraude","Energie de mon Sang","")</f>
        <v/>
      </c>
      <c r="B208" s="170" t="s">
        <v>7738</v>
      </c>
      <c r="C208" s="16" t="s">
        <v>2078</v>
      </c>
      <c r="D208" s="6" t="s">
        <v>159</v>
      </c>
      <c r="E208" s="335" t="s">
        <v>577</v>
      </c>
      <c r="F208" s="12">
        <v>1</v>
      </c>
      <c r="G208" s="192">
        <f t="shared" si="5"/>
        <v>10</v>
      </c>
      <c r="H208" s="129" t="s">
        <v>3891</v>
      </c>
      <c r="I208" s="129" t="s">
        <v>3916</v>
      </c>
      <c r="J208" s="162" t="s">
        <v>3900</v>
      </c>
      <c r="K208" s="129" t="s">
        <v>1284</v>
      </c>
      <c r="L208" s="162" t="s">
        <v>7453</v>
      </c>
      <c r="M208" s="12">
        <v>28</v>
      </c>
      <c r="N208" s="159" t="s">
        <v>7665</v>
      </c>
    </row>
    <row r="209" spans="1:14" s="196" customFormat="1" ht="23.4" customHeight="1" x14ac:dyDescent="0.25">
      <c r="A209" s="180" t="s">
        <v>1692</v>
      </c>
      <c r="B209" s="170" t="s">
        <v>2078</v>
      </c>
      <c r="C209" s="16" t="s">
        <v>2078</v>
      </c>
      <c r="D209" s="6" t="s">
        <v>159</v>
      </c>
      <c r="E209" s="335" t="s">
        <v>577</v>
      </c>
      <c r="F209" s="12">
        <v>1</v>
      </c>
      <c r="G209" s="192">
        <f t="shared" ref="G209:G240" si="6">IF(OR(D209="Kiho",D209="Kata"),"---",5+F209*5)</f>
        <v>10</v>
      </c>
      <c r="H209" s="129" t="s">
        <v>3891</v>
      </c>
      <c r="I209" s="129" t="s">
        <v>3916</v>
      </c>
      <c r="J209" s="162" t="s">
        <v>3900</v>
      </c>
      <c r="K209" s="129" t="s">
        <v>1284</v>
      </c>
      <c r="L209" s="162" t="s">
        <v>2079</v>
      </c>
      <c r="M209" s="12">
        <v>27</v>
      </c>
      <c r="N209" s="159" t="s">
        <v>8874</v>
      </c>
    </row>
    <row r="210" spans="1:14" ht="23.4" customHeight="1" x14ac:dyDescent="0.25">
      <c r="A210" s="180" t="s">
        <v>1655</v>
      </c>
      <c r="B210" s="170" t="s">
        <v>2078</v>
      </c>
      <c r="C210" s="16" t="s">
        <v>2078</v>
      </c>
      <c r="D210" s="6" t="s">
        <v>159</v>
      </c>
      <c r="E210" s="335" t="s">
        <v>577</v>
      </c>
      <c r="F210" s="12">
        <v>1</v>
      </c>
      <c r="G210" s="192">
        <f t="shared" si="6"/>
        <v>10</v>
      </c>
      <c r="H210" s="129" t="s">
        <v>3926</v>
      </c>
      <c r="I210" s="129" t="s">
        <v>4718</v>
      </c>
      <c r="J210" s="162" t="s">
        <v>3893</v>
      </c>
      <c r="K210" s="129" t="s">
        <v>4859</v>
      </c>
      <c r="L210" s="162" t="s">
        <v>143</v>
      </c>
      <c r="M210" s="12">
        <v>269</v>
      </c>
      <c r="N210" s="159" t="s">
        <v>8875</v>
      </c>
    </row>
    <row r="211" spans="1:14" ht="23.4" customHeight="1" x14ac:dyDescent="0.25">
      <c r="A211" s="180" t="s">
        <v>1694</v>
      </c>
      <c r="B211" s="170" t="s">
        <v>2078</v>
      </c>
      <c r="C211" s="16" t="s">
        <v>2078</v>
      </c>
      <c r="D211" s="6" t="s">
        <v>159</v>
      </c>
      <c r="E211" s="335" t="s">
        <v>577</v>
      </c>
      <c r="F211" s="12">
        <v>1</v>
      </c>
      <c r="G211" s="192">
        <f t="shared" si="6"/>
        <v>10</v>
      </c>
      <c r="H211" s="129" t="s">
        <v>3925</v>
      </c>
      <c r="I211" s="129" t="s">
        <v>4904</v>
      </c>
      <c r="J211" s="162" t="s">
        <v>3951</v>
      </c>
      <c r="K211" s="129" t="s">
        <v>4905</v>
      </c>
      <c r="L211" s="162" t="s">
        <v>2079</v>
      </c>
      <c r="M211" s="12">
        <v>27</v>
      </c>
      <c r="N211" s="159" t="s">
        <v>8876</v>
      </c>
    </row>
    <row r="212" spans="1:14" s="196" customFormat="1" ht="23.4" customHeight="1" x14ac:dyDescent="0.25">
      <c r="A212" s="180" t="s">
        <v>1654</v>
      </c>
      <c r="B212" s="170" t="s">
        <v>2078</v>
      </c>
      <c r="C212" s="16" t="s">
        <v>2078</v>
      </c>
      <c r="D212" s="6" t="s">
        <v>159</v>
      </c>
      <c r="E212" s="335" t="s">
        <v>577</v>
      </c>
      <c r="F212" s="12">
        <v>1</v>
      </c>
      <c r="G212" s="192">
        <f t="shared" si="6"/>
        <v>10</v>
      </c>
      <c r="H212" s="129" t="s">
        <v>3891</v>
      </c>
      <c r="I212" s="129" t="s">
        <v>4262</v>
      </c>
      <c r="J212" s="162" t="s">
        <v>3917</v>
      </c>
      <c r="K212" s="129" t="s">
        <v>4862</v>
      </c>
      <c r="L212" s="162" t="s">
        <v>143</v>
      </c>
      <c r="M212" s="12">
        <v>269</v>
      </c>
      <c r="N212" s="159" t="s">
        <v>8877</v>
      </c>
    </row>
    <row r="213" spans="1:14" ht="23.4" customHeight="1" x14ac:dyDescent="0.25">
      <c r="A213" s="180" t="s">
        <v>1695</v>
      </c>
      <c r="B213" s="170" t="s">
        <v>2078</v>
      </c>
      <c r="C213" s="16" t="s">
        <v>2078</v>
      </c>
      <c r="D213" s="6" t="s">
        <v>159</v>
      </c>
      <c r="E213" s="335" t="s">
        <v>577</v>
      </c>
      <c r="F213" s="12">
        <v>1</v>
      </c>
      <c r="G213" s="192">
        <f t="shared" si="6"/>
        <v>10</v>
      </c>
      <c r="H213" s="129" t="s">
        <v>3891</v>
      </c>
      <c r="I213" s="129" t="s">
        <v>3885</v>
      </c>
      <c r="J213" s="162" t="s">
        <v>4010</v>
      </c>
      <c r="K213" s="129" t="s">
        <v>4906</v>
      </c>
      <c r="L213" s="162" t="s">
        <v>2079</v>
      </c>
      <c r="M213" s="12">
        <v>28</v>
      </c>
      <c r="N213" s="159" t="s">
        <v>8878</v>
      </c>
    </row>
    <row r="214" spans="1:14" ht="23.4" customHeight="1" x14ac:dyDescent="0.25">
      <c r="A214" s="180" t="s">
        <v>1657</v>
      </c>
      <c r="B214" s="170" t="s">
        <v>2078</v>
      </c>
      <c r="C214" s="16" t="s">
        <v>2078</v>
      </c>
      <c r="D214" s="6" t="s">
        <v>159</v>
      </c>
      <c r="E214" s="335" t="s">
        <v>577</v>
      </c>
      <c r="F214" s="12">
        <v>2</v>
      </c>
      <c r="G214" s="192">
        <f t="shared" si="6"/>
        <v>15</v>
      </c>
      <c r="H214" s="129" t="s">
        <v>3925</v>
      </c>
      <c r="I214" s="129" t="s">
        <v>4262</v>
      </c>
      <c r="J214" s="162" t="s">
        <v>3917</v>
      </c>
      <c r="K214" s="129" t="s">
        <v>4867</v>
      </c>
      <c r="L214" s="162" t="s">
        <v>143</v>
      </c>
      <c r="M214" s="12">
        <v>270</v>
      </c>
      <c r="N214" s="159" t="s">
        <v>4868</v>
      </c>
    </row>
    <row r="215" spans="1:14" ht="23.4" customHeight="1" x14ac:dyDescent="0.25">
      <c r="A215" s="180" t="s">
        <v>1656</v>
      </c>
      <c r="B215" s="170" t="s">
        <v>2078</v>
      </c>
      <c r="C215" s="16" t="s">
        <v>2078</v>
      </c>
      <c r="D215" s="6" t="s">
        <v>159</v>
      </c>
      <c r="E215" s="335" t="s">
        <v>577</v>
      </c>
      <c r="F215" s="12">
        <v>2</v>
      </c>
      <c r="G215" s="192">
        <f t="shared" si="6"/>
        <v>15</v>
      </c>
      <c r="H215" s="129" t="s">
        <v>3925</v>
      </c>
      <c r="I215" s="129" t="s">
        <v>3892</v>
      </c>
      <c r="J215" s="162" t="s">
        <v>3900</v>
      </c>
      <c r="K215" s="129" t="s">
        <v>3886</v>
      </c>
      <c r="L215" s="162" t="s">
        <v>143</v>
      </c>
      <c r="M215" s="12">
        <v>270</v>
      </c>
      <c r="N215" s="159" t="s">
        <v>4869</v>
      </c>
    </row>
    <row r="216" spans="1:14" ht="23.4" customHeight="1" x14ac:dyDescent="0.25">
      <c r="A216" s="180" t="s">
        <v>1658</v>
      </c>
      <c r="B216" s="170" t="s">
        <v>2078</v>
      </c>
      <c r="C216" s="16" t="s">
        <v>2078</v>
      </c>
      <c r="D216" s="6" t="s">
        <v>159</v>
      </c>
      <c r="E216" s="335" t="s">
        <v>577</v>
      </c>
      <c r="F216" s="12">
        <v>2</v>
      </c>
      <c r="G216" s="192">
        <f t="shared" si="6"/>
        <v>15</v>
      </c>
      <c r="H216" s="129" t="s">
        <v>3952</v>
      </c>
      <c r="I216" s="129" t="s">
        <v>4262</v>
      </c>
      <c r="J216" s="162" t="s">
        <v>3912</v>
      </c>
      <c r="K216" s="129" t="s">
        <v>4132</v>
      </c>
      <c r="L216" s="162" t="s">
        <v>143</v>
      </c>
      <c r="M216" s="12">
        <v>270</v>
      </c>
      <c r="N216" s="159" t="s">
        <v>8879</v>
      </c>
    </row>
    <row r="217" spans="1:14" ht="23.4" customHeight="1" x14ac:dyDescent="0.25">
      <c r="A217" s="180" t="s">
        <v>1659</v>
      </c>
      <c r="B217" s="170" t="s">
        <v>2078</v>
      </c>
      <c r="C217" s="16" t="s">
        <v>2078</v>
      </c>
      <c r="D217" s="6" t="s">
        <v>159</v>
      </c>
      <c r="E217" s="335" t="s">
        <v>577</v>
      </c>
      <c r="F217" s="12">
        <v>2</v>
      </c>
      <c r="G217" s="192">
        <f t="shared" si="6"/>
        <v>15</v>
      </c>
      <c r="H217" s="129" t="s">
        <v>3952</v>
      </c>
      <c r="I217" s="129" t="s">
        <v>4702</v>
      </c>
      <c r="J217" s="162" t="s">
        <v>3951</v>
      </c>
      <c r="K217" s="129" t="s">
        <v>3886</v>
      </c>
      <c r="L217" s="162" t="s">
        <v>3</v>
      </c>
      <c r="M217" s="12">
        <v>270</v>
      </c>
      <c r="N217" s="159" t="str">
        <f>CONCATENATE("Le sort vise 2 personnes, l'une d'elle devant avoir la Souillure. Jusqu'à ",Souillure+Réputation+Terre," points peuvent être transférés à l'autre personne. Toutefois ce sort ne peut priver la source de Souillure de son dernier point. Le lanceur doit réussir un test de Volonté contre la cible qui reçoit la Souillure.")</f>
        <v>Le sort vise 2 personnes, l'une d'elle devant avoir la Souillure. Jusqu'à 3 points peuvent être transférés à l'autre personne. Toutefois ce sort ne peut priver la source de Souillure de son dernier point. Le lanceur doit réussir un test de Volonté contre la cible qui reçoit la Souillure.</v>
      </c>
    </row>
    <row r="218" spans="1:14" ht="23.4" customHeight="1" x14ac:dyDescent="0.25">
      <c r="A218" s="180" t="s">
        <v>1747</v>
      </c>
      <c r="B218" s="170" t="s">
        <v>2078</v>
      </c>
      <c r="C218" s="16" t="s">
        <v>2078</v>
      </c>
      <c r="D218" s="6" t="s">
        <v>159</v>
      </c>
      <c r="E218" s="335" t="s">
        <v>577</v>
      </c>
      <c r="F218" s="12">
        <v>2</v>
      </c>
      <c r="G218" s="192">
        <f t="shared" si="6"/>
        <v>15</v>
      </c>
      <c r="H218" s="129" t="s">
        <v>3891</v>
      </c>
      <c r="I218" s="129" t="s">
        <v>4718</v>
      </c>
      <c r="J218" s="162" t="s">
        <v>4277</v>
      </c>
      <c r="K218" s="129" t="s">
        <v>4278</v>
      </c>
      <c r="L218" s="162" t="s">
        <v>6061</v>
      </c>
      <c r="M218" s="12">
        <v>282</v>
      </c>
      <c r="N218" s="159" t="str">
        <f>CONCATENATE("Après 1 h de rituel, vous pouvez cibler ",Souillure," cadavreset les préparer pour un usage ultérieur. Tant que le sort est actif, vous pouvez dépenser une AC et un emplacement de sort de Terre pour invoquer instantanément le cadavre préparé à l'endroit où vous vous trouvez.")</f>
        <v>Après 1 h de rituel, vous pouvez cibler 0 cadavreset les préparer pour un usage ultérieur. Tant que le sort est actif, vous pouvez dépenser une AC et un emplacement de sort de Terre pour invoquer instantanément le cadavre préparé à l'endroit où vous vous trouvez.</v>
      </c>
    </row>
    <row r="219" spans="1:14" ht="23.4" customHeight="1" x14ac:dyDescent="0.25">
      <c r="A219" s="180" t="s">
        <v>1660</v>
      </c>
      <c r="B219" s="170" t="s">
        <v>2078</v>
      </c>
      <c r="C219" s="16" t="s">
        <v>2078</v>
      </c>
      <c r="D219" s="6" t="s">
        <v>159</v>
      </c>
      <c r="E219" s="335" t="s">
        <v>577</v>
      </c>
      <c r="F219" s="12">
        <v>3</v>
      </c>
      <c r="G219" s="192">
        <f t="shared" si="6"/>
        <v>20</v>
      </c>
      <c r="H219" s="129" t="s">
        <v>3925</v>
      </c>
      <c r="I219" s="129" t="s">
        <v>4718</v>
      </c>
      <c r="J219" s="162" t="s">
        <v>4852</v>
      </c>
      <c r="K219" s="129" t="s">
        <v>4881</v>
      </c>
      <c r="L219" s="162" t="s">
        <v>143</v>
      </c>
      <c r="M219" s="12">
        <v>271</v>
      </c>
      <c r="N219" s="159" t="s">
        <v>8880</v>
      </c>
    </row>
    <row r="220" spans="1:14" ht="23.4" customHeight="1" x14ac:dyDescent="0.25">
      <c r="A220" s="180" t="s">
        <v>1661</v>
      </c>
      <c r="B220" s="170" t="s">
        <v>2078</v>
      </c>
      <c r="C220" s="16" t="s">
        <v>2078</v>
      </c>
      <c r="D220" s="6" t="s">
        <v>159</v>
      </c>
      <c r="E220" s="335" t="s">
        <v>577</v>
      </c>
      <c r="F220" s="12">
        <v>3</v>
      </c>
      <c r="G220" s="192">
        <f t="shared" si="6"/>
        <v>20</v>
      </c>
      <c r="H220" s="129" t="s">
        <v>3925</v>
      </c>
      <c r="I220" s="129" t="s">
        <v>4882</v>
      </c>
      <c r="J220" s="162" t="s">
        <v>4852</v>
      </c>
      <c r="K220" s="129" t="s">
        <v>4883</v>
      </c>
      <c r="L220" s="162" t="s">
        <v>143</v>
      </c>
      <c r="M220" s="12">
        <v>271</v>
      </c>
      <c r="N220" s="159" t="s">
        <v>8881</v>
      </c>
    </row>
    <row r="221" spans="1:14" ht="23.4" customHeight="1" x14ac:dyDescent="0.25">
      <c r="A221" s="180" t="s">
        <v>1662</v>
      </c>
      <c r="B221" s="170" t="s">
        <v>2078</v>
      </c>
      <c r="C221" s="16" t="s">
        <v>2078</v>
      </c>
      <c r="D221" s="6" t="s">
        <v>159</v>
      </c>
      <c r="E221" s="335" t="s">
        <v>577</v>
      </c>
      <c r="F221" s="12">
        <v>3</v>
      </c>
      <c r="G221" s="192">
        <f t="shared" si="6"/>
        <v>20</v>
      </c>
      <c r="H221" s="129" t="s">
        <v>3891</v>
      </c>
      <c r="I221" s="129" t="s">
        <v>4857</v>
      </c>
      <c r="J221" s="162" t="s">
        <v>4884</v>
      </c>
      <c r="K221" s="129" t="s">
        <v>4885</v>
      </c>
      <c r="L221" s="162" t="s">
        <v>143</v>
      </c>
      <c r="M221" s="12">
        <v>272</v>
      </c>
      <c r="N221" s="159" t="s">
        <v>8882</v>
      </c>
    </row>
    <row r="222" spans="1:14" ht="23.4" customHeight="1" x14ac:dyDescent="0.25">
      <c r="A222" s="180" t="str">
        <f>IF(Contexte_jeu="L'Empire Stellaire d'Emeraude","Machinations de l'Esprit","")</f>
        <v/>
      </c>
      <c r="B222" s="170" t="s">
        <v>7738</v>
      </c>
      <c r="C222" s="16" t="s">
        <v>2078</v>
      </c>
      <c r="D222" s="6" t="s">
        <v>159</v>
      </c>
      <c r="E222" s="335" t="s">
        <v>577</v>
      </c>
      <c r="F222" s="12">
        <v>4</v>
      </c>
      <c r="G222" s="192">
        <f t="shared" si="6"/>
        <v>25</v>
      </c>
      <c r="H222" s="129" t="s">
        <v>3891</v>
      </c>
      <c r="I222" s="129" t="s">
        <v>4262</v>
      </c>
      <c r="J222" s="162" t="s">
        <v>3951</v>
      </c>
      <c r="K222" s="129" t="s">
        <v>7666</v>
      </c>
      <c r="L222" s="162" t="s">
        <v>7453</v>
      </c>
      <c r="M222" s="12">
        <v>28</v>
      </c>
      <c r="N222" s="159" t="s">
        <v>7667</v>
      </c>
    </row>
    <row r="223" spans="1:14" s="196" customFormat="1" ht="23.4" customHeight="1" x14ac:dyDescent="0.25">
      <c r="A223" s="180" t="s">
        <v>1663</v>
      </c>
      <c r="B223" s="170" t="s">
        <v>2078</v>
      </c>
      <c r="C223" s="16" t="s">
        <v>2078</v>
      </c>
      <c r="D223" s="6" t="s">
        <v>159</v>
      </c>
      <c r="E223" s="335" t="s">
        <v>577</v>
      </c>
      <c r="F223" s="12">
        <v>4</v>
      </c>
      <c r="G223" s="192">
        <f t="shared" si="6"/>
        <v>25</v>
      </c>
      <c r="H223" s="129" t="s">
        <v>3925</v>
      </c>
      <c r="I223" s="129" t="s">
        <v>4262</v>
      </c>
      <c r="J223" s="162" t="s">
        <v>3917</v>
      </c>
      <c r="K223" s="129" t="s">
        <v>4887</v>
      </c>
      <c r="L223" s="162" t="s">
        <v>143</v>
      </c>
      <c r="M223" s="12">
        <v>272</v>
      </c>
      <c r="N223" s="159" t="s">
        <v>4888</v>
      </c>
    </row>
    <row r="224" spans="1:14" ht="23.4" customHeight="1" x14ac:dyDescent="0.25">
      <c r="A224" s="180" t="s">
        <v>1746</v>
      </c>
      <c r="B224" s="170" t="s">
        <v>2078</v>
      </c>
      <c r="C224" s="16" t="s">
        <v>2078</v>
      </c>
      <c r="D224" s="6" t="s">
        <v>159</v>
      </c>
      <c r="E224" s="335" t="s">
        <v>577</v>
      </c>
      <c r="F224" s="12">
        <v>4</v>
      </c>
      <c r="G224" s="192">
        <f t="shared" si="6"/>
        <v>25</v>
      </c>
      <c r="H224" s="129" t="s">
        <v>4794</v>
      </c>
      <c r="I224" s="129" t="s">
        <v>4795</v>
      </c>
      <c r="J224" s="162" t="s">
        <v>3951</v>
      </c>
      <c r="K224" s="129" t="s">
        <v>4796</v>
      </c>
      <c r="L224" s="162" t="s">
        <v>4797</v>
      </c>
      <c r="M224" s="12">
        <v>13</v>
      </c>
      <c r="N224" s="159" t="s">
        <v>8883</v>
      </c>
    </row>
    <row r="225" spans="1:14" ht="23.4" customHeight="1" x14ac:dyDescent="0.25">
      <c r="A225" s="180" t="s">
        <v>1690</v>
      </c>
      <c r="B225" s="170" t="s">
        <v>2078</v>
      </c>
      <c r="C225" s="16" t="s">
        <v>2078</v>
      </c>
      <c r="D225" s="6" t="s">
        <v>159</v>
      </c>
      <c r="E225" s="335" t="s">
        <v>577</v>
      </c>
      <c r="F225" s="12">
        <v>4</v>
      </c>
      <c r="G225" s="192">
        <f t="shared" si="6"/>
        <v>25</v>
      </c>
      <c r="H225" s="129" t="s">
        <v>3925</v>
      </c>
      <c r="I225" s="129" t="s">
        <v>3885</v>
      </c>
      <c r="J225" s="162" t="s">
        <v>4919</v>
      </c>
      <c r="K225" s="129" t="s">
        <v>4106</v>
      </c>
      <c r="L225" s="162" t="s">
        <v>2079</v>
      </c>
      <c r="M225" s="12">
        <v>29</v>
      </c>
      <c r="N225" s="159" t="s">
        <v>8884</v>
      </c>
    </row>
    <row r="226" spans="1:14" ht="23.4" customHeight="1" x14ac:dyDescent="0.25">
      <c r="A226" s="180" t="s">
        <v>1664</v>
      </c>
      <c r="B226" s="170" t="s">
        <v>2078</v>
      </c>
      <c r="C226" s="16" t="s">
        <v>2078</v>
      </c>
      <c r="D226" s="6" t="s">
        <v>159</v>
      </c>
      <c r="E226" s="335" t="s">
        <v>577</v>
      </c>
      <c r="F226" s="12">
        <v>4</v>
      </c>
      <c r="G226" s="192">
        <f t="shared" si="6"/>
        <v>25</v>
      </c>
      <c r="H226" s="129" t="s">
        <v>4794</v>
      </c>
      <c r="I226" s="129" t="s">
        <v>4857</v>
      </c>
      <c r="J226" s="162" t="s">
        <v>4010</v>
      </c>
      <c r="K226" s="129" t="s">
        <v>4890</v>
      </c>
      <c r="L226" s="162" t="s">
        <v>143</v>
      </c>
      <c r="M226" s="12">
        <v>273</v>
      </c>
      <c r="N226" s="159" t="s">
        <v>4891</v>
      </c>
    </row>
    <row r="227" spans="1:14" ht="23.4" customHeight="1" x14ac:dyDescent="0.25">
      <c r="A227" s="180" t="s">
        <v>1700</v>
      </c>
      <c r="B227" s="129" t="s">
        <v>228</v>
      </c>
      <c r="C227" s="16" t="s">
        <v>2078</v>
      </c>
      <c r="D227" s="6" t="s">
        <v>159</v>
      </c>
      <c r="E227" s="335" t="s">
        <v>577</v>
      </c>
      <c r="F227" s="199">
        <v>5</v>
      </c>
      <c r="G227" s="192">
        <f t="shared" si="6"/>
        <v>30</v>
      </c>
      <c r="H227" s="129" t="s">
        <v>3925</v>
      </c>
      <c r="I227" s="129" t="s">
        <v>4920</v>
      </c>
      <c r="J227" s="162" t="s">
        <v>3930</v>
      </c>
      <c r="K227" s="129" t="s">
        <v>4008</v>
      </c>
      <c r="L227" s="162" t="s">
        <v>2079</v>
      </c>
      <c r="M227" s="199">
        <v>30</v>
      </c>
      <c r="N227" s="159" t="s">
        <v>4921</v>
      </c>
    </row>
    <row r="228" spans="1:14" ht="23.4" customHeight="1" x14ac:dyDescent="0.25">
      <c r="A228" s="180" t="s">
        <v>1701</v>
      </c>
      <c r="B228" s="170" t="s">
        <v>2078</v>
      </c>
      <c r="C228" s="16" t="s">
        <v>2078</v>
      </c>
      <c r="D228" s="6" t="s">
        <v>159</v>
      </c>
      <c r="E228" s="335" t="s">
        <v>577</v>
      </c>
      <c r="F228" s="199">
        <v>5</v>
      </c>
      <c r="G228" s="192">
        <f t="shared" si="6"/>
        <v>30</v>
      </c>
      <c r="H228" s="129" t="s">
        <v>3891</v>
      </c>
      <c r="I228" s="129" t="s">
        <v>3916</v>
      </c>
      <c r="J228" s="162" t="s">
        <v>3900</v>
      </c>
      <c r="K228" s="129" t="s">
        <v>4922</v>
      </c>
      <c r="L228" s="162" t="s">
        <v>2079</v>
      </c>
      <c r="M228" s="199">
        <v>30</v>
      </c>
      <c r="N228" s="159" t="s">
        <v>4923</v>
      </c>
    </row>
    <row r="229" spans="1:14" ht="23.4" customHeight="1" x14ac:dyDescent="0.25">
      <c r="A229" s="180" t="s">
        <v>1665</v>
      </c>
      <c r="B229" s="170" t="s">
        <v>2078</v>
      </c>
      <c r="C229" s="16" t="s">
        <v>2078</v>
      </c>
      <c r="D229" s="6" t="s">
        <v>159</v>
      </c>
      <c r="E229" s="335" t="s">
        <v>577</v>
      </c>
      <c r="F229" s="12">
        <v>5</v>
      </c>
      <c r="G229" s="192">
        <f t="shared" si="6"/>
        <v>30</v>
      </c>
      <c r="H229" s="129" t="s">
        <v>3925</v>
      </c>
      <c r="I229" s="129" t="s">
        <v>3885</v>
      </c>
      <c r="J229" s="162" t="s">
        <v>3900</v>
      </c>
      <c r="K229" s="129" t="s">
        <v>4901</v>
      </c>
      <c r="L229" s="162" t="s">
        <v>143</v>
      </c>
      <c r="M229" s="12">
        <v>274</v>
      </c>
      <c r="N229" s="159" t="s">
        <v>4902</v>
      </c>
    </row>
    <row r="230" spans="1:14" ht="23.4" customHeight="1" x14ac:dyDescent="0.25">
      <c r="A230" s="180" t="s">
        <v>1711</v>
      </c>
      <c r="B230" s="170" t="s">
        <v>2078</v>
      </c>
      <c r="C230" s="16" t="s">
        <v>2078</v>
      </c>
      <c r="D230" s="6" t="s">
        <v>2081</v>
      </c>
      <c r="E230" s="167" t="s">
        <v>2081</v>
      </c>
      <c r="F230" s="12">
        <v>1</v>
      </c>
      <c r="G230" s="192">
        <f t="shared" si="6"/>
        <v>10</v>
      </c>
      <c r="H230" s="129" t="s">
        <v>3884</v>
      </c>
      <c r="I230" s="129" t="s">
        <v>4982</v>
      </c>
      <c r="J230" s="162" t="s">
        <v>3951</v>
      </c>
      <c r="K230" s="129" t="s">
        <v>1284</v>
      </c>
      <c r="L230" s="162" t="s">
        <v>2079</v>
      </c>
      <c r="M230" s="12">
        <v>121</v>
      </c>
      <c r="N230" s="159" t="s">
        <v>8885</v>
      </c>
    </row>
    <row r="231" spans="1:14" ht="23.4" customHeight="1" x14ac:dyDescent="0.25">
      <c r="A231" s="180" t="s">
        <v>1706</v>
      </c>
      <c r="B231" s="170" t="s">
        <v>2078</v>
      </c>
      <c r="C231" s="16" t="s">
        <v>2078</v>
      </c>
      <c r="D231" s="6" t="s">
        <v>2081</v>
      </c>
      <c r="E231" s="167" t="s">
        <v>2081</v>
      </c>
      <c r="F231" s="12">
        <v>1</v>
      </c>
      <c r="G231" s="192">
        <f t="shared" si="6"/>
        <v>10</v>
      </c>
      <c r="H231" s="129" t="s">
        <v>3884</v>
      </c>
      <c r="I231" s="129" t="s">
        <v>3981</v>
      </c>
      <c r="J231" s="162" t="s">
        <v>3900</v>
      </c>
      <c r="K231" s="129" t="s">
        <v>4973</v>
      </c>
      <c r="L231" s="162" t="s">
        <v>2079</v>
      </c>
      <c r="M231" s="12">
        <v>120</v>
      </c>
      <c r="N231" s="159" t="s">
        <v>4974</v>
      </c>
    </row>
    <row r="232" spans="1:14" ht="23.4" customHeight="1" x14ac:dyDescent="0.25">
      <c r="A232" s="180" t="s">
        <v>1712</v>
      </c>
      <c r="B232" s="170" t="s">
        <v>2078</v>
      </c>
      <c r="C232" s="16" t="s">
        <v>2078</v>
      </c>
      <c r="D232" s="6" t="s">
        <v>2081</v>
      </c>
      <c r="E232" s="167" t="s">
        <v>2081</v>
      </c>
      <c r="F232" s="12">
        <v>1</v>
      </c>
      <c r="G232" s="192">
        <f t="shared" si="6"/>
        <v>10</v>
      </c>
      <c r="H232" s="129" t="s">
        <v>3891</v>
      </c>
      <c r="I232" s="129" t="s">
        <v>3904</v>
      </c>
      <c r="J232" s="162" t="s">
        <v>4983</v>
      </c>
      <c r="K232" s="129" t="s">
        <v>4984</v>
      </c>
      <c r="L232" s="162" t="s">
        <v>2079</v>
      </c>
      <c r="M232" s="12">
        <v>121</v>
      </c>
      <c r="N232" s="159" t="str">
        <f>CONCATENATE("En utilisant ce sort, le chaman place une fraction de son nom dans l'arme choisie. +",Vide,"g0 à la VD de l'arme. De plus le chaman est toujours conscient de la position de cette arme. Si l'arme est détruite, le chaman perd un Rg de Nom plein. Max 1 arme à la fois.")</f>
        <v>En utilisant ce sort, le chaman place une fraction de son nom dans l'arme choisie. +2g0 à la VD de l'arme. De plus le chaman est toujours conscient de la position de cette arme. Si l'arme est détruite, le chaman perd un Rg de Nom plein. Max 1 arme à la fois.</v>
      </c>
    </row>
    <row r="233" spans="1:14" ht="23.4" customHeight="1" x14ac:dyDescent="0.25">
      <c r="A233" s="180" t="s">
        <v>1704</v>
      </c>
      <c r="B233" s="170" t="s">
        <v>2078</v>
      </c>
      <c r="C233" s="16" t="s">
        <v>2078</v>
      </c>
      <c r="D233" s="6" t="s">
        <v>2081</v>
      </c>
      <c r="E233" s="167" t="s">
        <v>2081</v>
      </c>
      <c r="F233" s="12">
        <v>1</v>
      </c>
      <c r="G233" s="192">
        <f t="shared" si="6"/>
        <v>10</v>
      </c>
      <c r="H233" s="129" t="s">
        <v>4970</v>
      </c>
      <c r="I233" s="129" t="s">
        <v>4262</v>
      </c>
      <c r="J233" s="162" t="s">
        <v>3893</v>
      </c>
      <c r="K233" s="129" t="s">
        <v>1284</v>
      </c>
      <c r="L233" s="162" t="s">
        <v>2079</v>
      </c>
      <c r="M233" s="12">
        <v>120</v>
      </c>
      <c r="N233" s="159" t="s">
        <v>4971</v>
      </c>
    </row>
    <row r="234" spans="1:14" ht="23.4" customHeight="1" x14ac:dyDescent="0.25">
      <c r="A234" s="180" t="s">
        <v>1707</v>
      </c>
      <c r="B234" s="170" t="s">
        <v>2078</v>
      </c>
      <c r="C234" s="16" t="s">
        <v>2078</v>
      </c>
      <c r="D234" s="6" t="s">
        <v>2081</v>
      </c>
      <c r="E234" s="167" t="s">
        <v>2081</v>
      </c>
      <c r="F234" s="12">
        <v>1</v>
      </c>
      <c r="G234" s="192">
        <f t="shared" si="6"/>
        <v>10</v>
      </c>
      <c r="H234" s="129" t="s">
        <v>3926</v>
      </c>
      <c r="I234" s="129" t="s">
        <v>3919</v>
      </c>
      <c r="J234" s="162" t="s">
        <v>3917</v>
      </c>
      <c r="K234" s="129" t="s">
        <v>4975</v>
      </c>
      <c r="L234" s="162" t="s">
        <v>2079</v>
      </c>
      <c r="M234" s="12">
        <v>120</v>
      </c>
      <c r="N234" s="159" t="s">
        <v>8886</v>
      </c>
    </row>
    <row r="235" spans="1:14" ht="23.4" customHeight="1" x14ac:dyDescent="0.25">
      <c r="A235" s="180" t="s">
        <v>1713</v>
      </c>
      <c r="B235" s="170" t="s">
        <v>2078</v>
      </c>
      <c r="C235" s="16" t="s">
        <v>2078</v>
      </c>
      <c r="D235" s="6" t="s">
        <v>2081</v>
      </c>
      <c r="E235" s="167" t="s">
        <v>2081</v>
      </c>
      <c r="F235" s="12">
        <v>1</v>
      </c>
      <c r="G235" s="192">
        <f t="shared" si="6"/>
        <v>10</v>
      </c>
      <c r="H235" s="129" t="s">
        <v>3926</v>
      </c>
      <c r="I235" s="129" t="s">
        <v>4262</v>
      </c>
      <c r="J235" s="162" t="s">
        <v>3900</v>
      </c>
      <c r="K235" s="129" t="s">
        <v>4985</v>
      </c>
      <c r="L235" s="162" t="s">
        <v>2079</v>
      </c>
      <c r="M235" s="12">
        <v>121</v>
      </c>
      <c r="N235" s="159" t="s">
        <v>4986</v>
      </c>
    </row>
    <row r="236" spans="1:14" ht="23.4" customHeight="1" x14ac:dyDescent="0.25">
      <c r="A236" s="180" t="s">
        <v>1709</v>
      </c>
      <c r="B236" s="170" t="s">
        <v>2078</v>
      </c>
      <c r="C236" s="16" t="s">
        <v>2078</v>
      </c>
      <c r="D236" s="6" t="s">
        <v>2081</v>
      </c>
      <c r="E236" s="167" t="s">
        <v>2081</v>
      </c>
      <c r="F236" s="12">
        <v>1</v>
      </c>
      <c r="G236" s="192">
        <f t="shared" si="6"/>
        <v>10</v>
      </c>
      <c r="H236" s="129" t="s">
        <v>3887</v>
      </c>
      <c r="I236" s="129" t="s">
        <v>4965</v>
      </c>
      <c r="J236" s="162" t="s">
        <v>3893</v>
      </c>
      <c r="K236" s="129" t="s">
        <v>4979</v>
      </c>
      <c r="L236" s="162" t="s">
        <v>2079</v>
      </c>
      <c r="M236" s="12">
        <v>120</v>
      </c>
      <c r="N236" s="159" t="s">
        <v>4980</v>
      </c>
    </row>
    <row r="237" spans="1:14" ht="23.4" customHeight="1" x14ac:dyDescent="0.25">
      <c r="A237" s="180" t="s">
        <v>1702</v>
      </c>
      <c r="B237" s="170" t="s">
        <v>2078</v>
      </c>
      <c r="C237" s="16" t="s">
        <v>2078</v>
      </c>
      <c r="D237" s="6" t="s">
        <v>2081</v>
      </c>
      <c r="E237" s="167" t="s">
        <v>2081</v>
      </c>
      <c r="F237" s="12">
        <v>1</v>
      </c>
      <c r="G237" s="192">
        <f t="shared" si="6"/>
        <v>10</v>
      </c>
      <c r="H237" s="129" t="s">
        <v>4964</v>
      </c>
      <c r="I237" s="129" t="s">
        <v>4965</v>
      </c>
      <c r="J237" s="162" t="s">
        <v>4154</v>
      </c>
      <c r="K237" s="129" t="s">
        <v>4966</v>
      </c>
      <c r="L237" s="162" t="s">
        <v>2079</v>
      </c>
      <c r="M237" s="12">
        <v>119</v>
      </c>
      <c r="N237" s="159" t="s">
        <v>4967</v>
      </c>
    </row>
    <row r="238" spans="1:14" ht="23.4" customHeight="1" x14ac:dyDescent="0.25">
      <c r="A238" s="180" t="s">
        <v>1703</v>
      </c>
      <c r="B238" s="170" t="s">
        <v>2078</v>
      </c>
      <c r="C238" s="16" t="s">
        <v>2078</v>
      </c>
      <c r="D238" s="6" t="s">
        <v>2081</v>
      </c>
      <c r="E238" s="167" t="s">
        <v>2081</v>
      </c>
      <c r="F238" s="12">
        <v>1</v>
      </c>
      <c r="G238" s="192">
        <f t="shared" si="6"/>
        <v>10</v>
      </c>
      <c r="H238" s="129" t="s">
        <v>3926</v>
      </c>
      <c r="I238" s="129" t="s">
        <v>4262</v>
      </c>
      <c r="J238" s="162" t="s">
        <v>3934</v>
      </c>
      <c r="K238" s="129" t="s">
        <v>4968</v>
      </c>
      <c r="L238" s="162" t="s">
        <v>2079</v>
      </c>
      <c r="M238" s="12">
        <v>119</v>
      </c>
      <c r="N238" s="159" t="s">
        <v>4969</v>
      </c>
    </row>
    <row r="239" spans="1:14" ht="23.4" customHeight="1" x14ac:dyDescent="0.25">
      <c r="A239" s="180" t="s">
        <v>1710</v>
      </c>
      <c r="B239" s="170" t="s">
        <v>2078</v>
      </c>
      <c r="C239" s="16" t="s">
        <v>2078</v>
      </c>
      <c r="D239" s="6" t="s">
        <v>2081</v>
      </c>
      <c r="E239" s="167" t="s">
        <v>2081</v>
      </c>
      <c r="F239" s="12">
        <v>1</v>
      </c>
      <c r="G239" s="192">
        <f t="shared" si="6"/>
        <v>10</v>
      </c>
      <c r="H239" s="129" t="s">
        <v>3891</v>
      </c>
      <c r="I239" s="129" t="s">
        <v>4262</v>
      </c>
      <c r="J239" s="162" t="s">
        <v>3951</v>
      </c>
      <c r="K239" s="129" t="s">
        <v>1284</v>
      </c>
      <c r="L239" s="162" t="s">
        <v>2079</v>
      </c>
      <c r="M239" s="12">
        <v>120</v>
      </c>
      <c r="N239" s="159" t="s">
        <v>4981</v>
      </c>
    </row>
    <row r="240" spans="1:14" ht="23.4" customHeight="1" x14ac:dyDescent="0.25">
      <c r="A240" s="180" t="s">
        <v>1705</v>
      </c>
      <c r="B240" s="170" t="s">
        <v>2078</v>
      </c>
      <c r="C240" s="16" t="s">
        <v>2078</v>
      </c>
      <c r="D240" s="6" t="s">
        <v>2081</v>
      </c>
      <c r="E240" s="167" t="s">
        <v>2081</v>
      </c>
      <c r="F240" s="12">
        <v>1</v>
      </c>
      <c r="G240" s="192">
        <f t="shared" si="6"/>
        <v>10</v>
      </c>
      <c r="H240" s="129" t="s">
        <v>4970</v>
      </c>
      <c r="I240" s="129" t="s">
        <v>4262</v>
      </c>
      <c r="J240" s="162" t="s">
        <v>3889</v>
      </c>
      <c r="K240" s="129" t="s">
        <v>3941</v>
      </c>
      <c r="L240" s="162" t="s">
        <v>2079</v>
      </c>
      <c r="M240" s="12">
        <v>120</v>
      </c>
      <c r="N240" s="159" t="s">
        <v>4972</v>
      </c>
    </row>
    <row r="241" spans="1:14" ht="23.4" customHeight="1" x14ac:dyDescent="0.25">
      <c r="A241" s="180" t="s">
        <v>1708</v>
      </c>
      <c r="B241" s="170" t="s">
        <v>2078</v>
      </c>
      <c r="C241" s="16" t="s">
        <v>2078</v>
      </c>
      <c r="D241" s="6" t="s">
        <v>2081</v>
      </c>
      <c r="E241" s="167" t="s">
        <v>2081</v>
      </c>
      <c r="F241" s="12">
        <v>1</v>
      </c>
      <c r="G241" s="192">
        <f t="shared" ref="G241:G272" si="7">IF(OR(D241="Kiho",D241="Kata"),"---",5+F241*5)</f>
        <v>10</v>
      </c>
      <c r="H241" s="129" t="s">
        <v>3887</v>
      </c>
      <c r="I241" s="129" t="s">
        <v>4965</v>
      </c>
      <c r="J241" s="162" t="s">
        <v>4976</v>
      </c>
      <c r="K241" s="129" t="s">
        <v>4977</v>
      </c>
      <c r="L241" s="162" t="s">
        <v>2079</v>
      </c>
      <c r="M241" s="12">
        <v>120</v>
      </c>
      <c r="N241" s="159" t="s">
        <v>4978</v>
      </c>
    </row>
    <row r="242" spans="1:14" ht="23.4" customHeight="1" x14ac:dyDescent="0.25">
      <c r="A242" s="180" t="s">
        <v>1714</v>
      </c>
      <c r="B242" s="170" t="s">
        <v>2078</v>
      </c>
      <c r="C242" s="16" t="s">
        <v>2078</v>
      </c>
      <c r="D242" s="6" t="s">
        <v>2081</v>
      </c>
      <c r="E242" s="167" t="s">
        <v>2081</v>
      </c>
      <c r="F242" s="12">
        <v>2</v>
      </c>
      <c r="G242" s="192">
        <f t="shared" si="7"/>
        <v>15</v>
      </c>
      <c r="H242" s="129" t="s">
        <v>3926</v>
      </c>
      <c r="I242" s="129" t="s">
        <v>4262</v>
      </c>
      <c r="J242" s="162" t="s">
        <v>3900</v>
      </c>
      <c r="K242" s="129" t="s">
        <v>4987</v>
      </c>
      <c r="L242" s="162" t="s">
        <v>2079</v>
      </c>
      <c r="M242" s="12">
        <v>121</v>
      </c>
      <c r="N242" s="159" t="str">
        <f>CONCATENATE("Des étincelles d'énergie brillante détonnent entre le chamane et sa cible qui infligent ",Feu," dommages. Si le sort est employé contre un objet combustible, ce dernier prends feu. Les flammes brûlent de façon normale une fois qu'elles ont pris.")</f>
        <v>Des étincelles d'énergie brillante détonnent entre le chamane et sa cible qui infligent 2 dommages. Si le sort est employé contre un objet combustible, ce dernier prends feu. Les flammes brûlent de façon normale une fois qu'elles ont pris.</v>
      </c>
    </row>
    <row r="243" spans="1:14" ht="23.4" customHeight="1" x14ac:dyDescent="0.25">
      <c r="A243" s="180" t="s">
        <v>1720</v>
      </c>
      <c r="B243" s="170" t="s">
        <v>2078</v>
      </c>
      <c r="C243" s="16" t="s">
        <v>2078</v>
      </c>
      <c r="D243" s="6" t="s">
        <v>2081</v>
      </c>
      <c r="E243" s="167" t="s">
        <v>2081</v>
      </c>
      <c r="F243" s="12">
        <v>2</v>
      </c>
      <c r="G243" s="192">
        <f t="shared" si="7"/>
        <v>15</v>
      </c>
      <c r="H243" s="129" t="s">
        <v>3926</v>
      </c>
      <c r="I243" s="129" t="s">
        <v>4262</v>
      </c>
      <c r="J243" s="162" t="s">
        <v>3900</v>
      </c>
      <c r="K243" s="129" t="s">
        <v>5003</v>
      </c>
      <c r="L243" s="162" t="s">
        <v>2079</v>
      </c>
      <c r="M243" s="12">
        <v>122</v>
      </c>
      <c r="N243" s="159" t="s">
        <v>5004</v>
      </c>
    </row>
    <row r="244" spans="1:14" ht="23.4" customHeight="1" x14ac:dyDescent="0.25">
      <c r="A244" s="180" t="s">
        <v>1716</v>
      </c>
      <c r="B244" s="170" t="s">
        <v>2078</v>
      </c>
      <c r="C244" s="16" t="s">
        <v>2078</v>
      </c>
      <c r="D244" s="6" t="s">
        <v>2081</v>
      </c>
      <c r="E244" s="167" t="s">
        <v>2081</v>
      </c>
      <c r="F244" s="12">
        <v>2</v>
      </c>
      <c r="G244" s="192">
        <f t="shared" si="7"/>
        <v>15</v>
      </c>
      <c r="H244" s="129" t="s">
        <v>4991</v>
      </c>
      <c r="I244" s="129" t="s">
        <v>4992</v>
      </c>
      <c r="J244" s="162" t="s">
        <v>3900</v>
      </c>
      <c r="K244" s="129" t="s">
        <v>1284</v>
      </c>
      <c r="L244" s="162" t="s">
        <v>2079</v>
      </c>
      <c r="M244" s="12">
        <v>122</v>
      </c>
      <c r="N244" s="159" t="s">
        <v>4993</v>
      </c>
    </row>
    <row r="245" spans="1:14" ht="23.4" customHeight="1" x14ac:dyDescent="0.25">
      <c r="A245" s="180" t="s">
        <v>1715</v>
      </c>
      <c r="B245" s="170" t="s">
        <v>2078</v>
      </c>
      <c r="C245" s="16" t="s">
        <v>2078</v>
      </c>
      <c r="D245" s="6" t="s">
        <v>2081</v>
      </c>
      <c r="E245" s="167" t="s">
        <v>2081</v>
      </c>
      <c r="F245" s="12">
        <v>2</v>
      </c>
      <c r="G245" s="192">
        <f t="shared" si="7"/>
        <v>15</v>
      </c>
      <c r="H245" s="129" t="s">
        <v>3940</v>
      </c>
      <c r="I245" s="129" t="s">
        <v>4988</v>
      </c>
      <c r="J245" s="162" t="s">
        <v>3893</v>
      </c>
      <c r="K245" s="129" t="s">
        <v>4989</v>
      </c>
      <c r="L245" s="162" t="s">
        <v>2079</v>
      </c>
      <c r="M245" s="12">
        <v>121</v>
      </c>
      <c r="N245" s="159" t="s">
        <v>4990</v>
      </c>
    </row>
    <row r="246" spans="1:14" ht="23.4" customHeight="1" x14ac:dyDescent="0.25">
      <c r="A246" s="180" t="s">
        <v>4996</v>
      </c>
      <c r="B246" s="170" t="s">
        <v>2078</v>
      </c>
      <c r="C246" s="16" t="s">
        <v>2078</v>
      </c>
      <c r="D246" s="6" t="s">
        <v>2081</v>
      </c>
      <c r="E246" s="167" t="s">
        <v>2081</v>
      </c>
      <c r="F246" s="12">
        <v>2</v>
      </c>
      <c r="G246" s="192">
        <f t="shared" si="7"/>
        <v>15</v>
      </c>
      <c r="H246" s="129" t="s">
        <v>3891</v>
      </c>
      <c r="I246" s="129" t="s">
        <v>4262</v>
      </c>
      <c r="J246" s="162" t="s">
        <v>3951</v>
      </c>
      <c r="K246" s="129" t="s">
        <v>4997</v>
      </c>
      <c r="L246" s="162" t="s">
        <v>2079</v>
      </c>
      <c r="M246" s="12">
        <v>122</v>
      </c>
      <c r="N246" s="159" t="s">
        <v>4998</v>
      </c>
    </row>
    <row r="247" spans="1:14" ht="23.4" customHeight="1" x14ac:dyDescent="0.25">
      <c r="A247" s="180" t="s">
        <v>1718</v>
      </c>
      <c r="B247" s="170" t="s">
        <v>2078</v>
      </c>
      <c r="C247" s="16" t="s">
        <v>2078</v>
      </c>
      <c r="D247" s="6" t="s">
        <v>2081</v>
      </c>
      <c r="E247" s="167" t="s">
        <v>2081</v>
      </c>
      <c r="F247" s="12">
        <v>2</v>
      </c>
      <c r="G247" s="192">
        <f t="shared" si="7"/>
        <v>15</v>
      </c>
      <c r="H247" s="129" t="s">
        <v>3887</v>
      </c>
      <c r="I247" s="129" t="s">
        <v>4965</v>
      </c>
      <c r="J247" s="162" t="s">
        <v>3893</v>
      </c>
      <c r="K247" s="129" t="s">
        <v>4999</v>
      </c>
      <c r="L247" s="162" t="s">
        <v>2079</v>
      </c>
      <c r="M247" s="12">
        <v>122</v>
      </c>
      <c r="N247" s="159" t="s">
        <v>5000</v>
      </c>
    </row>
    <row r="248" spans="1:14" ht="23.4" customHeight="1" x14ac:dyDescent="0.25">
      <c r="A248" s="180" t="s">
        <v>1721</v>
      </c>
      <c r="B248" s="170" t="s">
        <v>2078</v>
      </c>
      <c r="C248" s="16" t="s">
        <v>2078</v>
      </c>
      <c r="D248" s="6" t="s">
        <v>2081</v>
      </c>
      <c r="E248" s="167" t="s">
        <v>2081</v>
      </c>
      <c r="F248" s="12">
        <v>2</v>
      </c>
      <c r="G248" s="192">
        <f t="shared" si="7"/>
        <v>15</v>
      </c>
      <c r="H248" s="129" t="s">
        <v>379</v>
      </c>
      <c r="I248" s="129" t="s">
        <v>4262</v>
      </c>
      <c r="J248" s="162" t="s">
        <v>3889</v>
      </c>
      <c r="K248" s="129" t="s">
        <v>5005</v>
      </c>
      <c r="L248" s="162" t="s">
        <v>2079</v>
      </c>
      <c r="M248" s="12">
        <v>122</v>
      </c>
      <c r="N248" s="159" t="s">
        <v>8887</v>
      </c>
    </row>
    <row r="249" spans="1:14" ht="23.4" customHeight="1" x14ac:dyDescent="0.25">
      <c r="A249" s="180" t="s">
        <v>1722</v>
      </c>
      <c r="B249" s="170" t="s">
        <v>2078</v>
      </c>
      <c r="C249" s="16" t="s">
        <v>2078</v>
      </c>
      <c r="D249" s="6" t="s">
        <v>2081</v>
      </c>
      <c r="E249" s="167" t="s">
        <v>2081</v>
      </c>
      <c r="F249" s="12">
        <v>2</v>
      </c>
      <c r="G249" s="192">
        <f t="shared" si="7"/>
        <v>15</v>
      </c>
      <c r="H249" s="129" t="s">
        <v>3891</v>
      </c>
      <c r="I249" s="129" t="s">
        <v>5006</v>
      </c>
      <c r="J249" s="162" t="s">
        <v>4983</v>
      </c>
      <c r="K249" s="129" t="s">
        <v>5007</v>
      </c>
      <c r="L249" s="162" t="s">
        <v>2079</v>
      </c>
      <c r="M249" s="12">
        <v>122</v>
      </c>
      <c r="N249" s="159" t="s">
        <v>5008</v>
      </c>
    </row>
    <row r="250" spans="1:14" ht="23.4" customHeight="1" x14ac:dyDescent="0.25">
      <c r="A250" s="180" t="s">
        <v>1719</v>
      </c>
      <c r="B250" s="170" t="s">
        <v>2078</v>
      </c>
      <c r="C250" s="16" t="s">
        <v>2078</v>
      </c>
      <c r="D250" s="6" t="s">
        <v>2081</v>
      </c>
      <c r="E250" s="167" t="s">
        <v>2081</v>
      </c>
      <c r="F250" s="12">
        <v>2</v>
      </c>
      <c r="G250" s="192">
        <f t="shared" si="7"/>
        <v>15</v>
      </c>
      <c r="H250" s="129" t="s">
        <v>3891</v>
      </c>
      <c r="I250" s="129" t="s">
        <v>4262</v>
      </c>
      <c r="J250" s="162" t="s">
        <v>3951</v>
      </c>
      <c r="K250" s="129" t="s">
        <v>5001</v>
      </c>
      <c r="L250" s="162" t="s">
        <v>2079</v>
      </c>
      <c r="M250" s="12">
        <v>122</v>
      </c>
      <c r="N250" s="159" t="s">
        <v>5002</v>
      </c>
    </row>
    <row r="251" spans="1:14" ht="23.4" customHeight="1" x14ac:dyDescent="0.25">
      <c r="A251" s="180" t="s">
        <v>1717</v>
      </c>
      <c r="B251" s="170" t="s">
        <v>2078</v>
      </c>
      <c r="C251" s="16" t="s">
        <v>2078</v>
      </c>
      <c r="D251" s="6" t="s">
        <v>2081</v>
      </c>
      <c r="E251" s="167" t="s">
        <v>2081</v>
      </c>
      <c r="F251" s="12">
        <v>2</v>
      </c>
      <c r="G251" s="192">
        <f t="shared" si="7"/>
        <v>15</v>
      </c>
      <c r="H251" s="129" t="s">
        <v>3887</v>
      </c>
      <c r="I251" s="129" t="s">
        <v>4965</v>
      </c>
      <c r="J251" s="162" t="s">
        <v>3951</v>
      </c>
      <c r="K251" s="129" t="s">
        <v>4994</v>
      </c>
      <c r="L251" s="162" t="s">
        <v>2079</v>
      </c>
      <c r="M251" s="12">
        <v>122</v>
      </c>
      <c r="N251" s="159" t="s">
        <v>4995</v>
      </c>
    </row>
    <row r="252" spans="1:14" ht="23.4" customHeight="1" x14ac:dyDescent="0.25">
      <c r="A252" s="180" t="s">
        <v>1725</v>
      </c>
      <c r="B252" s="170" t="s">
        <v>2078</v>
      </c>
      <c r="C252" s="16" t="s">
        <v>2078</v>
      </c>
      <c r="D252" s="6" t="s">
        <v>2081</v>
      </c>
      <c r="E252" s="167" t="s">
        <v>2081</v>
      </c>
      <c r="F252" s="12">
        <v>3</v>
      </c>
      <c r="G252" s="192">
        <f t="shared" si="7"/>
        <v>20</v>
      </c>
      <c r="H252" s="129" t="s">
        <v>3884</v>
      </c>
      <c r="I252" s="129" t="s">
        <v>5012</v>
      </c>
      <c r="J252" s="162" t="s">
        <v>4314</v>
      </c>
      <c r="K252" s="129" t="s">
        <v>5013</v>
      </c>
      <c r="L252" s="162" t="s">
        <v>2079</v>
      </c>
      <c r="M252" s="12">
        <v>123</v>
      </c>
      <c r="N252" s="159" t="s">
        <v>5014</v>
      </c>
    </row>
    <row r="253" spans="1:14" ht="23.4" customHeight="1" x14ac:dyDescent="0.25">
      <c r="A253" s="180" t="s">
        <v>1724</v>
      </c>
      <c r="B253" s="170" t="s">
        <v>2078</v>
      </c>
      <c r="C253" s="16" t="s">
        <v>2078</v>
      </c>
      <c r="D253" s="6" t="s">
        <v>2081</v>
      </c>
      <c r="E253" s="167" t="s">
        <v>2081</v>
      </c>
      <c r="F253" s="12">
        <v>3</v>
      </c>
      <c r="G253" s="192">
        <f t="shared" si="7"/>
        <v>20</v>
      </c>
      <c r="H253" s="129" t="s">
        <v>3926</v>
      </c>
      <c r="I253" s="129" t="s">
        <v>4262</v>
      </c>
      <c r="J253" s="162" t="s">
        <v>3900</v>
      </c>
      <c r="K253" s="129" t="s">
        <v>5010</v>
      </c>
      <c r="L253" s="162" t="s">
        <v>2079</v>
      </c>
      <c r="M253" s="12">
        <v>123</v>
      </c>
      <c r="N253" s="159" t="s">
        <v>5011</v>
      </c>
    </row>
    <row r="254" spans="1:14" ht="23.4" customHeight="1" x14ac:dyDescent="0.25">
      <c r="A254" s="180" t="s">
        <v>1730</v>
      </c>
      <c r="B254" s="170" t="s">
        <v>2078</v>
      </c>
      <c r="C254" s="16" t="s">
        <v>2078</v>
      </c>
      <c r="D254" s="6" t="s">
        <v>2081</v>
      </c>
      <c r="E254" s="167" t="s">
        <v>2081</v>
      </c>
      <c r="F254" s="12">
        <v>3</v>
      </c>
      <c r="G254" s="192">
        <f t="shared" si="7"/>
        <v>20</v>
      </c>
      <c r="H254" s="129" t="s">
        <v>3891</v>
      </c>
      <c r="I254" s="129" t="s">
        <v>4992</v>
      </c>
      <c r="J254" s="162" t="s">
        <v>4010</v>
      </c>
      <c r="K254" s="129" t="s">
        <v>5023</v>
      </c>
      <c r="L254" s="162" t="s">
        <v>2079</v>
      </c>
      <c r="M254" s="12">
        <v>124</v>
      </c>
      <c r="N254" s="159" t="s">
        <v>5026</v>
      </c>
    </row>
    <row r="255" spans="1:14" ht="23.4" customHeight="1" x14ac:dyDescent="0.25">
      <c r="A255" s="180" t="s">
        <v>1723</v>
      </c>
      <c r="B255" s="170" t="s">
        <v>2078</v>
      </c>
      <c r="C255" s="16" t="s">
        <v>2078</v>
      </c>
      <c r="D255" s="6" t="s">
        <v>2081</v>
      </c>
      <c r="E255" s="167" t="s">
        <v>2081</v>
      </c>
      <c r="F255" s="12">
        <v>3</v>
      </c>
      <c r="G255" s="192">
        <f t="shared" si="7"/>
        <v>20</v>
      </c>
      <c r="H255" s="129" t="s">
        <v>3926</v>
      </c>
      <c r="I255" s="129" t="s">
        <v>4262</v>
      </c>
      <c r="J255" s="162" t="s">
        <v>3900</v>
      </c>
      <c r="K255" s="129" t="s">
        <v>5009</v>
      </c>
      <c r="L255" s="162" t="s">
        <v>2079</v>
      </c>
      <c r="M255" s="12">
        <v>123</v>
      </c>
      <c r="N255" s="159" t="s">
        <v>8888</v>
      </c>
    </row>
    <row r="256" spans="1:14" ht="23.4" customHeight="1" x14ac:dyDescent="0.25">
      <c r="A256" s="180" t="s">
        <v>1726</v>
      </c>
      <c r="B256" s="170" t="s">
        <v>2078</v>
      </c>
      <c r="C256" s="16" t="s">
        <v>2078</v>
      </c>
      <c r="D256" s="6" t="s">
        <v>2081</v>
      </c>
      <c r="E256" s="167" t="s">
        <v>2081</v>
      </c>
      <c r="F256" s="12">
        <v>3</v>
      </c>
      <c r="G256" s="192">
        <f t="shared" si="7"/>
        <v>20</v>
      </c>
      <c r="H256" s="129" t="s">
        <v>5015</v>
      </c>
      <c r="I256" s="129" t="s">
        <v>4262</v>
      </c>
      <c r="J256" s="162" t="s">
        <v>3889</v>
      </c>
      <c r="K256" s="129" t="s">
        <v>5016</v>
      </c>
      <c r="L256" s="162" t="s">
        <v>2079</v>
      </c>
      <c r="M256" s="12">
        <v>123</v>
      </c>
      <c r="N256" s="159" t="s">
        <v>8889</v>
      </c>
    </row>
    <row r="257" spans="1:14" ht="23.4" customHeight="1" x14ac:dyDescent="0.25">
      <c r="A257" s="180" t="s">
        <v>1731</v>
      </c>
      <c r="B257" s="170" t="s">
        <v>2078</v>
      </c>
      <c r="C257" s="16" t="s">
        <v>2078</v>
      </c>
      <c r="D257" s="6" t="s">
        <v>2081</v>
      </c>
      <c r="E257" s="167" t="s">
        <v>2081</v>
      </c>
      <c r="F257" s="12">
        <v>3</v>
      </c>
      <c r="G257" s="192">
        <f t="shared" si="7"/>
        <v>20</v>
      </c>
      <c r="H257" s="129" t="s">
        <v>3926</v>
      </c>
      <c r="I257" s="129" t="s">
        <v>5024</v>
      </c>
      <c r="J257" s="162" t="s">
        <v>3900</v>
      </c>
      <c r="K257" s="129" t="s">
        <v>5025</v>
      </c>
      <c r="L257" s="162" t="s">
        <v>2079</v>
      </c>
      <c r="M257" s="12">
        <v>124</v>
      </c>
      <c r="N257" s="159" t="s">
        <v>5027</v>
      </c>
    </row>
    <row r="258" spans="1:14" ht="23.4" customHeight="1" x14ac:dyDescent="0.25">
      <c r="A258" s="180" t="s">
        <v>1729</v>
      </c>
      <c r="B258" s="170" t="s">
        <v>2078</v>
      </c>
      <c r="C258" s="16" t="s">
        <v>2078</v>
      </c>
      <c r="D258" s="6" t="s">
        <v>2081</v>
      </c>
      <c r="E258" s="167" t="s">
        <v>2081</v>
      </c>
      <c r="F258" s="12">
        <v>3</v>
      </c>
      <c r="G258" s="192">
        <f t="shared" si="7"/>
        <v>20</v>
      </c>
      <c r="H258" s="129" t="s">
        <v>5015</v>
      </c>
      <c r="I258" s="129" t="s">
        <v>4262</v>
      </c>
      <c r="J258" s="162" t="s">
        <v>3889</v>
      </c>
      <c r="K258" s="129" t="s">
        <v>5021</v>
      </c>
      <c r="L258" s="162" t="s">
        <v>2079</v>
      </c>
      <c r="M258" s="12">
        <v>124</v>
      </c>
      <c r="N258" s="159" t="s">
        <v>5022</v>
      </c>
    </row>
    <row r="259" spans="1:14" ht="23.4" customHeight="1" x14ac:dyDescent="0.25">
      <c r="A259" s="180" t="s">
        <v>1728</v>
      </c>
      <c r="B259" s="170" t="s">
        <v>2078</v>
      </c>
      <c r="C259" s="16" t="s">
        <v>2078</v>
      </c>
      <c r="D259" s="6" t="s">
        <v>2081</v>
      </c>
      <c r="E259" s="167" t="s">
        <v>2081</v>
      </c>
      <c r="F259" s="12">
        <v>3</v>
      </c>
      <c r="G259" s="192">
        <f t="shared" si="7"/>
        <v>20</v>
      </c>
      <c r="H259" s="129" t="s">
        <v>3926</v>
      </c>
      <c r="I259" s="129" t="s">
        <v>5019</v>
      </c>
      <c r="J259" s="162" t="s">
        <v>4983</v>
      </c>
      <c r="K259" s="129" t="s">
        <v>5020</v>
      </c>
      <c r="L259" s="162" t="s">
        <v>2079</v>
      </c>
      <c r="M259" s="12">
        <v>123</v>
      </c>
      <c r="N259" s="159" t="s">
        <v>8890</v>
      </c>
    </row>
    <row r="260" spans="1:14" ht="23.4" customHeight="1" x14ac:dyDescent="0.25">
      <c r="A260" s="180" t="s">
        <v>1727</v>
      </c>
      <c r="B260" s="170" t="s">
        <v>2078</v>
      </c>
      <c r="C260" s="16" t="s">
        <v>2078</v>
      </c>
      <c r="D260" s="6" t="s">
        <v>2081</v>
      </c>
      <c r="E260" s="167" t="s">
        <v>2081</v>
      </c>
      <c r="F260" s="12">
        <v>3</v>
      </c>
      <c r="G260" s="192">
        <f t="shared" si="7"/>
        <v>20</v>
      </c>
      <c r="H260" s="129" t="s">
        <v>379</v>
      </c>
      <c r="I260" s="129" t="s">
        <v>4262</v>
      </c>
      <c r="J260" s="162" t="s">
        <v>3900</v>
      </c>
      <c r="K260" s="129" t="s">
        <v>5017</v>
      </c>
      <c r="L260" s="162" t="s">
        <v>2079</v>
      </c>
      <c r="M260" s="12">
        <v>123</v>
      </c>
      <c r="N260" s="159" t="s">
        <v>5018</v>
      </c>
    </row>
    <row r="261" spans="1:14" ht="23.4" customHeight="1" x14ac:dyDescent="0.25">
      <c r="A261" s="180" t="s">
        <v>1734</v>
      </c>
      <c r="B261" s="170" t="s">
        <v>2078</v>
      </c>
      <c r="C261" s="16" t="s">
        <v>2078</v>
      </c>
      <c r="D261" s="6" t="s">
        <v>2081</v>
      </c>
      <c r="E261" s="167" t="s">
        <v>2081</v>
      </c>
      <c r="F261" s="12">
        <v>4</v>
      </c>
      <c r="G261" s="192">
        <f t="shared" si="7"/>
        <v>25</v>
      </c>
      <c r="H261" s="129" t="s">
        <v>5031</v>
      </c>
      <c r="I261" s="129" t="s">
        <v>627</v>
      </c>
      <c r="J261" s="162" t="s">
        <v>3900</v>
      </c>
      <c r="K261" s="129" t="s">
        <v>5032</v>
      </c>
      <c r="L261" s="162" t="s">
        <v>2079</v>
      </c>
      <c r="M261" s="12">
        <v>124</v>
      </c>
      <c r="N261" s="159" t="s">
        <v>8891</v>
      </c>
    </row>
    <row r="262" spans="1:14" ht="23.4" customHeight="1" x14ac:dyDescent="0.25">
      <c r="A262" s="180" t="s">
        <v>1733</v>
      </c>
      <c r="B262" s="170" t="s">
        <v>2078</v>
      </c>
      <c r="C262" s="16" t="s">
        <v>2078</v>
      </c>
      <c r="D262" s="6" t="s">
        <v>2081</v>
      </c>
      <c r="E262" s="167" t="s">
        <v>2081</v>
      </c>
      <c r="F262" s="12">
        <v>4</v>
      </c>
      <c r="G262" s="192">
        <f t="shared" si="7"/>
        <v>25</v>
      </c>
      <c r="H262" s="129" t="s">
        <v>3884</v>
      </c>
      <c r="I262" s="129" t="s">
        <v>4704</v>
      </c>
      <c r="J262" s="162" t="s">
        <v>3900</v>
      </c>
      <c r="K262" s="129" t="s">
        <v>5030</v>
      </c>
      <c r="L262" s="162" t="s">
        <v>2079</v>
      </c>
      <c r="M262" s="12">
        <v>124</v>
      </c>
      <c r="N262" s="159" t="s">
        <v>8892</v>
      </c>
    </row>
    <row r="263" spans="1:14" ht="23.4" customHeight="1" x14ac:dyDescent="0.25">
      <c r="A263" s="180" t="s">
        <v>1738</v>
      </c>
      <c r="B263" s="170" t="s">
        <v>2078</v>
      </c>
      <c r="C263" s="16" t="s">
        <v>2078</v>
      </c>
      <c r="D263" s="6" t="s">
        <v>2081</v>
      </c>
      <c r="E263" s="167" t="s">
        <v>2081</v>
      </c>
      <c r="F263" s="12">
        <v>4</v>
      </c>
      <c r="G263" s="192">
        <f t="shared" si="7"/>
        <v>25</v>
      </c>
      <c r="H263" s="129" t="s">
        <v>5037</v>
      </c>
      <c r="I263" s="129" t="s">
        <v>4262</v>
      </c>
      <c r="J263" s="162" t="s">
        <v>4010</v>
      </c>
      <c r="K263" s="129" t="s">
        <v>5038</v>
      </c>
      <c r="L263" s="162" t="s">
        <v>2079</v>
      </c>
      <c r="M263" s="12">
        <v>125</v>
      </c>
      <c r="N263" s="159" t="s">
        <v>8893</v>
      </c>
    </row>
    <row r="264" spans="1:14" ht="23.4" customHeight="1" x14ac:dyDescent="0.25">
      <c r="A264" s="180" t="s">
        <v>1735</v>
      </c>
      <c r="B264" s="170" t="s">
        <v>2078</v>
      </c>
      <c r="C264" s="16" t="s">
        <v>2078</v>
      </c>
      <c r="D264" s="6" t="s">
        <v>2081</v>
      </c>
      <c r="E264" s="167" t="s">
        <v>2081</v>
      </c>
      <c r="F264" s="12">
        <v>4</v>
      </c>
      <c r="G264" s="192">
        <f t="shared" si="7"/>
        <v>25</v>
      </c>
      <c r="H264" s="129" t="s">
        <v>3891</v>
      </c>
      <c r="I264" s="129" t="s">
        <v>5033</v>
      </c>
      <c r="J264" s="162" t="s">
        <v>4010</v>
      </c>
      <c r="K264" s="129" t="s">
        <v>5034</v>
      </c>
      <c r="L264" s="162" t="s">
        <v>2079</v>
      </c>
      <c r="M264" s="12">
        <v>125</v>
      </c>
      <c r="N264" s="159" t="s">
        <v>8894</v>
      </c>
    </row>
    <row r="265" spans="1:14" ht="23.4" customHeight="1" x14ac:dyDescent="0.25">
      <c r="A265" s="180" t="s">
        <v>1732</v>
      </c>
      <c r="B265" s="170" t="s">
        <v>2078</v>
      </c>
      <c r="C265" s="16" t="s">
        <v>2078</v>
      </c>
      <c r="D265" s="6" t="s">
        <v>2081</v>
      </c>
      <c r="E265" s="167" t="s">
        <v>2081</v>
      </c>
      <c r="F265" s="12">
        <v>4</v>
      </c>
      <c r="G265" s="192">
        <f t="shared" si="7"/>
        <v>25</v>
      </c>
      <c r="H265" s="129" t="s">
        <v>379</v>
      </c>
      <c r="I265" s="129" t="s">
        <v>4262</v>
      </c>
      <c r="J265" s="162" t="s">
        <v>3893</v>
      </c>
      <c r="K265" s="129" t="s">
        <v>5028</v>
      </c>
      <c r="L265" s="162" t="s">
        <v>2079</v>
      </c>
      <c r="M265" s="12">
        <v>124</v>
      </c>
      <c r="N265" s="159" t="s">
        <v>5029</v>
      </c>
    </row>
    <row r="266" spans="1:14" ht="23.4" customHeight="1" x14ac:dyDescent="0.25">
      <c r="A266" s="180" t="s">
        <v>1737</v>
      </c>
      <c r="B266" s="170" t="s">
        <v>2078</v>
      </c>
      <c r="C266" s="16" t="s">
        <v>2078</v>
      </c>
      <c r="D266" s="6" t="s">
        <v>2081</v>
      </c>
      <c r="E266" s="167" t="s">
        <v>2081</v>
      </c>
      <c r="F266" s="12">
        <v>4</v>
      </c>
      <c r="G266" s="192">
        <f t="shared" si="7"/>
        <v>25</v>
      </c>
      <c r="H266" s="129" t="s">
        <v>3926</v>
      </c>
      <c r="I266" s="129" t="s">
        <v>4262</v>
      </c>
      <c r="J266" s="162" t="s">
        <v>3893</v>
      </c>
      <c r="K266" s="129" t="s">
        <v>5036</v>
      </c>
      <c r="L266" s="162" t="s">
        <v>2079</v>
      </c>
      <c r="M266" s="12">
        <v>125</v>
      </c>
      <c r="N266" s="159" t="s">
        <v>8895</v>
      </c>
    </row>
    <row r="267" spans="1:14" ht="23.4" customHeight="1" x14ac:dyDescent="0.25">
      <c r="A267" s="180" t="s">
        <v>1736</v>
      </c>
      <c r="B267" s="170" t="s">
        <v>2078</v>
      </c>
      <c r="C267" s="16" t="s">
        <v>2078</v>
      </c>
      <c r="D267" s="6" t="s">
        <v>2081</v>
      </c>
      <c r="E267" s="167" t="s">
        <v>2081</v>
      </c>
      <c r="F267" s="12">
        <v>4</v>
      </c>
      <c r="G267" s="192">
        <f t="shared" si="7"/>
        <v>25</v>
      </c>
      <c r="H267" s="129" t="s">
        <v>3940</v>
      </c>
      <c r="I267" s="129" t="s">
        <v>4965</v>
      </c>
      <c r="J267" s="162" t="s">
        <v>3951</v>
      </c>
      <c r="K267" s="129" t="s">
        <v>5035</v>
      </c>
      <c r="L267" s="162" t="s">
        <v>2079</v>
      </c>
      <c r="M267" s="12">
        <v>125</v>
      </c>
      <c r="N267" s="159" t="s">
        <v>8896</v>
      </c>
    </row>
    <row r="268" spans="1:14" ht="23.4" customHeight="1" x14ac:dyDescent="0.25">
      <c r="A268" s="180" t="s">
        <v>1741</v>
      </c>
      <c r="B268" s="170" t="s">
        <v>2078</v>
      </c>
      <c r="C268" s="16" t="s">
        <v>2078</v>
      </c>
      <c r="D268" s="6" t="s">
        <v>2081</v>
      </c>
      <c r="E268" s="167" t="s">
        <v>2081</v>
      </c>
      <c r="F268" s="12">
        <v>5</v>
      </c>
      <c r="G268" s="192">
        <f t="shared" si="7"/>
        <v>30</v>
      </c>
      <c r="H268" s="129" t="s">
        <v>5043</v>
      </c>
      <c r="I268" s="129" t="s">
        <v>5044</v>
      </c>
      <c r="J268" s="162" t="s">
        <v>4154</v>
      </c>
      <c r="K268" s="129" t="s">
        <v>5045</v>
      </c>
      <c r="L268" s="162" t="s">
        <v>2079</v>
      </c>
      <c r="M268" s="12">
        <v>126</v>
      </c>
      <c r="N268" s="159" t="s">
        <v>8897</v>
      </c>
    </row>
    <row r="269" spans="1:14" ht="23.4" customHeight="1" x14ac:dyDescent="0.25">
      <c r="A269" s="180" t="s">
        <v>1742</v>
      </c>
      <c r="B269" s="170" t="s">
        <v>2078</v>
      </c>
      <c r="C269" s="16" t="s">
        <v>2078</v>
      </c>
      <c r="D269" s="6" t="s">
        <v>2081</v>
      </c>
      <c r="E269" s="167" t="s">
        <v>2081</v>
      </c>
      <c r="F269" s="12">
        <v>5</v>
      </c>
      <c r="G269" s="192">
        <f t="shared" si="7"/>
        <v>30</v>
      </c>
      <c r="H269" s="129" t="s">
        <v>5046</v>
      </c>
      <c r="I269" s="129" t="s">
        <v>5047</v>
      </c>
      <c r="J269" s="162" t="s">
        <v>3900</v>
      </c>
      <c r="K269" s="129" t="s">
        <v>1284</v>
      </c>
      <c r="L269" s="162" t="s">
        <v>2079</v>
      </c>
      <c r="M269" s="12">
        <v>126</v>
      </c>
      <c r="N269" s="159" t="s">
        <v>5048</v>
      </c>
    </row>
    <row r="270" spans="1:14" ht="23.4" customHeight="1" x14ac:dyDescent="0.25">
      <c r="A270" s="180" t="s">
        <v>1740</v>
      </c>
      <c r="B270" s="170" t="s">
        <v>2078</v>
      </c>
      <c r="C270" s="16" t="s">
        <v>2078</v>
      </c>
      <c r="D270" s="6" t="s">
        <v>2081</v>
      </c>
      <c r="E270" s="167" t="s">
        <v>2081</v>
      </c>
      <c r="F270" s="12">
        <v>5</v>
      </c>
      <c r="G270" s="192">
        <f t="shared" si="7"/>
        <v>30</v>
      </c>
      <c r="H270" s="129" t="s">
        <v>3926</v>
      </c>
      <c r="I270" s="129" t="s">
        <v>5040</v>
      </c>
      <c r="J270" s="162" t="s">
        <v>3889</v>
      </c>
      <c r="K270" s="129" t="s">
        <v>5041</v>
      </c>
      <c r="L270" s="162" t="s">
        <v>2079</v>
      </c>
      <c r="M270" s="12">
        <v>125</v>
      </c>
      <c r="N270" s="159" t="s">
        <v>8898</v>
      </c>
    </row>
    <row r="271" spans="1:14" ht="23.4" customHeight="1" x14ac:dyDescent="0.25">
      <c r="A271" s="180" t="s">
        <v>1739</v>
      </c>
      <c r="B271" s="170" t="s">
        <v>2078</v>
      </c>
      <c r="C271" s="16" t="s">
        <v>2078</v>
      </c>
      <c r="D271" s="6" t="s">
        <v>2081</v>
      </c>
      <c r="E271" s="167" t="s">
        <v>2081</v>
      </c>
      <c r="F271" s="12">
        <v>5</v>
      </c>
      <c r="G271" s="192">
        <f t="shared" si="7"/>
        <v>30</v>
      </c>
      <c r="H271" s="129" t="s">
        <v>3925</v>
      </c>
      <c r="I271" s="129" t="s">
        <v>5006</v>
      </c>
      <c r="J271" s="162" t="s">
        <v>3893</v>
      </c>
      <c r="K271" s="129" t="s">
        <v>5039</v>
      </c>
      <c r="L271" s="162" t="s">
        <v>2079</v>
      </c>
      <c r="M271" s="12">
        <v>125</v>
      </c>
      <c r="N271" s="159" t="s">
        <v>8899</v>
      </c>
    </row>
    <row r="272" spans="1:14" ht="23.4" customHeight="1" x14ac:dyDescent="0.25">
      <c r="A272" s="180" t="s">
        <v>1743</v>
      </c>
      <c r="B272" s="170" t="s">
        <v>2078</v>
      </c>
      <c r="C272" s="16" t="s">
        <v>2078</v>
      </c>
      <c r="D272" s="6" t="s">
        <v>2081</v>
      </c>
      <c r="E272" s="167" t="s">
        <v>2081</v>
      </c>
      <c r="F272" s="12">
        <v>5</v>
      </c>
      <c r="G272" s="192">
        <f t="shared" si="7"/>
        <v>30</v>
      </c>
      <c r="H272" s="129" t="s">
        <v>4794</v>
      </c>
      <c r="I272" s="129" t="s">
        <v>4262</v>
      </c>
      <c r="J272" s="162" t="s">
        <v>3951</v>
      </c>
      <c r="K272" s="129" t="s">
        <v>5049</v>
      </c>
      <c r="L272" s="162" t="s">
        <v>2079</v>
      </c>
      <c r="M272" s="12">
        <v>126</v>
      </c>
      <c r="N272" s="159" t="s">
        <v>8900</v>
      </c>
    </row>
    <row r="273" spans="1:14" ht="23.4" customHeight="1" x14ac:dyDescent="0.25">
      <c r="A273" s="180" t="s">
        <v>1744</v>
      </c>
      <c r="B273" s="170" t="s">
        <v>2078</v>
      </c>
      <c r="C273" s="16" t="s">
        <v>2078</v>
      </c>
      <c r="D273" s="6" t="s">
        <v>2081</v>
      </c>
      <c r="E273" s="167" t="s">
        <v>2081</v>
      </c>
      <c r="F273" s="12">
        <v>6</v>
      </c>
      <c r="G273" s="192">
        <f t="shared" ref="G273:G279" si="8">IF(OR(D273="Kiho",D273="Kata"),"---",5+F273*5)</f>
        <v>35</v>
      </c>
      <c r="H273" s="129" t="s">
        <v>3887</v>
      </c>
      <c r="I273" s="129" t="s">
        <v>4965</v>
      </c>
      <c r="J273" s="162" t="s">
        <v>3951</v>
      </c>
      <c r="K273" s="129" t="s">
        <v>5020</v>
      </c>
      <c r="L273" s="162" t="s">
        <v>2079</v>
      </c>
      <c r="M273" s="12">
        <v>126</v>
      </c>
      <c r="N273" s="159" t="s">
        <v>5042</v>
      </c>
    </row>
    <row r="274" spans="1:14" ht="23.4" customHeight="1" x14ac:dyDescent="0.25">
      <c r="A274" s="180" t="s">
        <v>1768</v>
      </c>
      <c r="B274" s="170" t="s">
        <v>2078</v>
      </c>
      <c r="C274" s="16" t="s">
        <v>2078</v>
      </c>
      <c r="D274" s="6" t="s">
        <v>2083</v>
      </c>
      <c r="E274" s="332" t="s">
        <v>100</v>
      </c>
      <c r="F274" s="12">
        <v>4</v>
      </c>
      <c r="G274" s="192">
        <f t="shared" si="8"/>
        <v>25</v>
      </c>
      <c r="H274" s="129" t="s">
        <v>3891</v>
      </c>
      <c r="I274" s="129" t="s">
        <v>4262</v>
      </c>
      <c r="J274" s="162" t="s">
        <v>3889</v>
      </c>
      <c r="K274" s="129" t="s">
        <v>3991</v>
      </c>
      <c r="L274" s="162" t="s">
        <v>2079</v>
      </c>
      <c r="M274" s="12">
        <v>87</v>
      </c>
      <c r="N274" s="159" t="s">
        <v>8901</v>
      </c>
    </row>
    <row r="275" spans="1:14" ht="23.4" customHeight="1" x14ac:dyDescent="0.25">
      <c r="A275" s="180" t="s">
        <v>1769</v>
      </c>
      <c r="B275" s="170" t="s">
        <v>2078</v>
      </c>
      <c r="C275" s="16" t="s">
        <v>2078</v>
      </c>
      <c r="D275" s="6" t="s">
        <v>2083</v>
      </c>
      <c r="E275" s="333" t="s">
        <v>578</v>
      </c>
      <c r="F275" s="12">
        <v>1</v>
      </c>
      <c r="G275" s="192">
        <f t="shared" si="8"/>
        <v>10</v>
      </c>
      <c r="H275" s="129" t="s">
        <v>3933</v>
      </c>
      <c r="I275" s="129" t="s">
        <v>4262</v>
      </c>
      <c r="J275" s="162" t="s">
        <v>3879</v>
      </c>
      <c r="K275" s="129" t="s">
        <v>4802</v>
      </c>
      <c r="L275" s="162" t="s">
        <v>2079</v>
      </c>
      <c r="M275" s="12">
        <v>87</v>
      </c>
      <c r="N275" s="159" t="s">
        <v>8902</v>
      </c>
    </row>
    <row r="276" spans="1:14" ht="23.4" customHeight="1" x14ac:dyDescent="0.25">
      <c r="A276" s="180" t="s">
        <v>1770</v>
      </c>
      <c r="B276" s="129" t="s">
        <v>231</v>
      </c>
      <c r="C276" s="16" t="s">
        <v>2078</v>
      </c>
      <c r="D276" s="6" t="s">
        <v>2083</v>
      </c>
      <c r="E276" s="334" t="s">
        <v>579</v>
      </c>
      <c r="F276" s="12">
        <v>3</v>
      </c>
      <c r="G276" s="192">
        <f t="shared" si="8"/>
        <v>20</v>
      </c>
      <c r="H276" s="129" t="s">
        <v>4804</v>
      </c>
      <c r="I276" s="129" t="s">
        <v>4803</v>
      </c>
      <c r="J276" s="162" t="s">
        <v>4154</v>
      </c>
      <c r="K276" s="129" t="s">
        <v>4805</v>
      </c>
      <c r="L276" s="162" t="s">
        <v>2079</v>
      </c>
      <c r="M276" s="12">
        <v>87</v>
      </c>
      <c r="N276" s="159" t="s">
        <v>8903</v>
      </c>
    </row>
    <row r="277" spans="1:14" ht="23.4" customHeight="1" x14ac:dyDescent="0.25">
      <c r="A277" s="180" t="s">
        <v>1766</v>
      </c>
      <c r="B277" s="129" t="s">
        <v>223</v>
      </c>
      <c r="C277" s="16" t="s">
        <v>2078</v>
      </c>
      <c r="D277" s="6" t="s">
        <v>2083</v>
      </c>
      <c r="E277" s="335" t="s">
        <v>577</v>
      </c>
      <c r="F277" s="12">
        <v>1</v>
      </c>
      <c r="G277" s="192">
        <f t="shared" si="8"/>
        <v>10</v>
      </c>
      <c r="H277" s="129" t="s">
        <v>4262</v>
      </c>
      <c r="I277" s="129" t="s">
        <v>3927</v>
      </c>
      <c r="J277" s="162" t="s">
        <v>4154</v>
      </c>
      <c r="K277" s="129" t="s">
        <v>4800</v>
      </c>
      <c r="L277" s="162" t="s">
        <v>2079</v>
      </c>
      <c r="M277" s="12">
        <v>86</v>
      </c>
      <c r="N277" s="159" t="s">
        <v>8904</v>
      </c>
    </row>
    <row r="278" spans="1:14" ht="23.4" customHeight="1" x14ac:dyDescent="0.25">
      <c r="A278" s="180" t="s">
        <v>1767</v>
      </c>
      <c r="B278" s="129" t="s">
        <v>228</v>
      </c>
      <c r="C278" s="16" t="s">
        <v>2078</v>
      </c>
      <c r="D278" s="6" t="s">
        <v>2083</v>
      </c>
      <c r="E278" s="335" t="s">
        <v>577</v>
      </c>
      <c r="F278" s="12">
        <v>2</v>
      </c>
      <c r="G278" s="192">
        <f t="shared" si="8"/>
        <v>15</v>
      </c>
      <c r="H278" s="129" t="s">
        <v>4801</v>
      </c>
      <c r="I278" s="129" t="s">
        <v>4262</v>
      </c>
      <c r="J278" s="162" t="s">
        <v>3934</v>
      </c>
      <c r="K278" s="129" t="s">
        <v>3931</v>
      </c>
      <c r="L278" s="162" t="s">
        <v>2079</v>
      </c>
      <c r="M278" s="12">
        <v>86</v>
      </c>
      <c r="N278" s="159" t="s">
        <v>8905</v>
      </c>
    </row>
    <row r="279" spans="1:14" ht="23.4" customHeight="1" x14ac:dyDescent="0.25">
      <c r="A279" s="180" t="s">
        <v>4280</v>
      </c>
      <c r="B279" s="170" t="s">
        <v>2078</v>
      </c>
      <c r="C279" s="16" t="s">
        <v>2078</v>
      </c>
      <c r="D279" s="6" t="s">
        <v>2083</v>
      </c>
      <c r="E279" s="167" t="s">
        <v>580</v>
      </c>
      <c r="F279" s="12">
        <v>5</v>
      </c>
      <c r="G279" s="192">
        <f t="shared" si="8"/>
        <v>30</v>
      </c>
      <c r="H279" s="129" t="s">
        <v>3891</v>
      </c>
      <c r="I279" s="129" t="s">
        <v>4262</v>
      </c>
      <c r="J279" s="162" t="s">
        <v>3951</v>
      </c>
      <c r="K279" s="129" t="s">
        <v>1284</v>
      </c>
      <c r="L279" s="162" t="s">
        <v>2079</v>
      </c>
      <c r="M279" s="12">
        <v>87</v>
      </c>
      <c r="N279" s="159" t="s">
        <v>4806</v>
      </c>
    </row>
    <row r="280" spans="1:14" ht="23.4" customHeight="1" x14ac:dyDescent="0.25">
      <c r="A280" s="180" t="str">
        <f>IF(Contexte_jeu="L'Empire Stellaire d'Emeraude","Ouvrir une Voie Spatiale","")</f>
        <v/>
      </c>
      <c r="B280" s="129" t="s">
        <v>7743</v>
      </c>
      <c r="C280" s="16" t="s">
        <v>2078</v>
      </c>
      <c r="D280" s="6" t="s">
        <v>4791</v>
      </c>
      <c r="E280" s="332" t="s">
        <v>100</v>
      </c>
      <c r="F280" s="199">
        <v>1</v>
      </c>
      <c r="G280" s="192">
        <v>10</v>
      </c>
      <c r="H280" s="129" t="s">
        <v>3891</v>
      </c>
      <c r="I280" s="129" t="s">
        <v>6637</v>
      </c>
      <c r="J280" s="162" t="s">
        <v>6638</v>
      </c>
      <c r="K280" s="129" t="s">
        <v>6640</v>
      </c>
      <c r="L280" s="162" t="s">
        <v>7453</v>
      </c>
      <c r="M280" s="16">
        <v>26</v>
      </c>
      <c r="N280" s="159" t="s">
        <v>6639</v>
      </c>
    </row>
    <row r="281" spans="1:14" ht="23.4" customHeight="1" x14ac:dyDescent="0.25">
      <c r="A281" s="180" t="s">
        <v>1462</v>
      </c>
      <c r="B281" s="129" t="s">
        <v>3686</v>
      </c>
      <c r="C281" s="16" t="s">
        <v>2078</v>
      </c>
      <c r="D281" s="6" t="s">
        <v>4791</v>
      </c>
      <c r="E281" s="332" t="s">
        <v>100</v>
      </c>
      <c r="F281" s="199">
        <v>1</v>
      </c>
      <c r="G281" s="192">
        <f t="shared" ref="G281:G344" si="9">IF(OR(D281="Kiho",D281="Kata"),"---",5+F281*5)</f>
        <v>10</v>
      </c>
      <c r="H281" s="129" t="s">
        <v>3875</v>
      </c>
      <c r="I281" s="129" t="s">
        <v>3876</v>
      </c>
      <c r="J281" s="162" t="s">
        <v>4156</v>
      </c>
      <c r="K281" s="129" t="s">
        <v>3877</v>
      </c>
      <c r="L281" s="162" t="s">
        <v>3</v>
      </c>
      <c r="M281" s="12">
        <v>167</v>
      </c>
      <c r="N281" s="159" t="s">
        <v>8906</v>
      </c>
    </row>
    <row r="282" spans="1:14" ht="23.4" customHeight="1" x14ac:dyDescent="0.25">
      <c r="A282" s="180" t="s">
        <v>1460</v>
      </c>
      <c r="B282" s="129" t="s">
        <v>223</v>
      </c>
      <c r="C282" s="16" t="s">
        <v>2078</v>
      </c>
      <c r="D282" s="6" t="s">
        <v>4791</v>
      </c>
      <c r="E282" s="332" t="s">
        <v>100</v>
      </c>
      <c r="F282" s="199">
        <v>1</v>
      </c>
      <c r="G282" s="192">
        <f t="shared" si="9"/>
        <v>10</v>
      </c>
      <c r="H282" s="129" t="s">
        <v>3878</v>
      </c>
      <c r="I282" s="129" t="s">
        <v>4262</v>
      </c>
      <c r="J282" s="162" t="s">
        <v>3879</v>
      </c>
      <c r="K282" s="129" t="s">
        <v>3880</v>
      </c>
      <c r="L282" s="162" t="s">
        <v>3</v>
      </c>
      <c r="M282" s="12">
        <v>167</v>
      </c>
      <c r="N282" s="159" t="s">
        <v>8907</v>
      </c>
    </row>
    <row r="283" spans="1:14" ht="23.4" customHeight="1" x14ac:dyDescent="0.25">
      <c r="A283" s="180" t="s">
        <v>1461</v>
      </c>
      <c r="B283" s="129" t="s">
        <v>2096</v>
      </c>
      <c r="C283" s="16" t="s">
        <v>2078</v>
      </c>
      <c r="D283" s="6" t="s">
        <v>4791</v>
      </c>
      <c r="E283" s="332" t="s">
        <v>100</v>
      </c>
      <c r="F283" s="199">
        <v>1</v>
      </c>
      <c r="G283" s="192">
        <f t="shared" si="9"/>
        <v>10</v>
      </c>
      <c r="H283" s="129" t="s">
        <v>3881</v>
      </c>
      <c r="I283" s="129" t="s">
        <v>4262</v>
      </c>
      <c r="J283" s="162" t="s">
        <v>627</v>
      </c>
      <c r="K283" s="129" t="s">
        <v>3882</v>
      </c>
      <c r="L283" s="162" t="s">
        <v>3</v>
      </c>
      <c r="M283" s="12">
        <v>167</v>
      </c>
      <c r="N283" s="159" t="s">
        <v>3883</v>
      </c>
    </row>
    <row r="284" spans="1:14" ht="23.4" customHeight="1" x14ac:dyDescent="0.25">
      <c r="A284" s="180" t="s">
        <v>1467</v>
      </c>
      <c r="B284" s="170" t="s">
        <v>2078</v>
      </c>
      <c r="C284" s="16" t="s">
        <v>2078</v>
      </c>
      <c r="D284" s="6" t="s">
        <v>4791</v>
      </c>
      <c r="E284" s="332" t="s">
        <v>100</v>
      </c>
      <c r="F284" s="199">
        <v>1</v>
      </c>
      <c r="G284" s="192">
        <f t="shared" si="9"/>
        <v>10</v>
      </c>
      <c r="H284" s="129" t="s">
        <v>3884</v>
      </c>
      <c r="I284" s="129" t="s">
        <v>4262</v>
      </c>
      <c r="J284" s="162" t="s">
        <v>627</v>
      </c>
      <c r="K284" s="129" t="s">
        <v>3886</v>
      </c>
      <c r="L284" s="162" t="s">
        <v>3</v>
      </c>
      <c r="M284" s="12">
        <v>167</v>
      </c>
      <c r="N284" s="159" t="s">
        <v>8908</v>
      </c>
    </row>
    <row r="285" spans="1:14" ht="23.4" customHeight="1" x14ac:dyDescent="0.25">
      <c r="A285" s="180" t="s">
        <v>1465</v>
      </c>
      <c r="B285" s="170" t="s">
        <v>3690</v>
      </c>
      <c r="C285" s="16" t="s">
        <v>2078</v>
      </c>
      <c r="D285" s="6" t="s">
        <v>4791</v>
      </c>
      <c r="E285" s="332" t="s">
        <v>100</v>
      </c>
      <c r="F285" s="199">
        <v>1</v>
      </c>
      <c r="G285" s="192">
        <f t="shared" si="9"/>
        <v>10</v>
      </c>
      <c r="H285" s="129" t="s">
        <v>3887</v>
      </c>
      <c r="I285" s="129" t="s">
        <v>3888</v>
      </c>
      <c r="J285" s="162" t="s">
        <v>3889</v>
      </c>
      <c r="K285" s="129" t="s">
        <v>3890</v>
      </c>
      <c r="L285" s="162" t="s">
        <v>3</v>
      </c>
      <c r="M285" s="12">
        <v>167</v>
      </c>
      <c r="N285" s="159" t="s">
        <v>8909</v>
      </c>
    </row>
    <row r="286" spans="1:14" s="196" customFormat="1" ht="23.4" customHeight="1" x14ac:dyDescent="0.25">
      <c r="A286" s="180" t="s">
        <v>1464</v>
      </c>
      <c r="B286" s="129" t="s">
        <v>3686</v>
      </c>
      <c r="C286" s="16" t="s">
        <v>2078</v>
      </c>
      <c r="D286" s="6" t="s">
        <v>4791</v>
      </c>
      <c r="E286" s="332" t="s">
        <v>100</v>
      </c>
      <c r="F286" s="199">
        <v>1</v>
      </c>
      <c r="G286" s="192">
        <f t="shared" si="9"/>
        <v>10</v>
      </c>
      <c r="H286" s="129" t="s">
        <v>3891</v>
      </c>
      <c r="I286" s="129" t="s">
        <v>3892</v>
      </c>
      <c r="J286" s="162" t="s">
        <v>3893</v>
      </c>
      <c r="K286" s="129" t="s">
        <v>3894</v>
      </c>
      <c r="L286" s="162" t="s">
        <v>3</v>
      </c>
      <c r="M286" s="12">
        <v>167</v>
      </c>
      <c r="N286" s="159" t="s">
        <v>3895</v>
      </c>
    </row>
    <row r="287" spans="1:14" ht="23.4" customHeight="1" x14ac:dyDescent="0.25">
      <c r="A287" s="180" t="s">
        <v>1412</v>
      </c>
      <c r="B287" s="170" t="s">
        <v>2078</v>
      </c>
      <c r="C287" s="16" t="s">
        <v>2078</v>
      </c>
      <c r="D287" s="6" t="s">
        <v>4791</v>
      </c>
      <c r="E287" s="332" t="s">
        <v>100</v>
      </c>
      <c r="F287" s="199">
        <v>1</v>
      </c>
      <c r="G287" s="192">
        <f t="shared" si="9"/>
        <v>10</v>
      </c>
      <c r="H287" s="129" t="s">
        <v>3887</v>
      </c>
      <c r="I287" s="129" t="s">
        <v>4657</v>
      </c>
      <c r="J287" s="162" t="s">
        <v>3912</v>
      </c>
      <c r="K287" s="129" t="s">
        <v>4658</v>
      </c>
      <c r="L287" s="162" t="s">
        <v>118</v>
      </c>
      <c r="M287" s="12">
        <v>185</v>
      </c>
      <c r="N287" s="159" t="s">
        <v>8910</v>
      </c>
    </row>
    <row r="288" spans="1:14" ht="23.4" customHeight="1" x14ac:dyDescent="0.25">
      <c r="A288" s="180" t="s">
        <v>1469</v>
      </c>
      <c r="B288" s="129" t="s">
        <v>2097</v>
      </c>
      <c r="C288" s="16" t="s">
        <v>2078</v>
      </c>
      <c r="D288" s="6" t="s">
        <v>4791</v>
      </c>
      <c r="E288" s="332" t="s">
        <v>100</v>
      </c>
      <c r="F288" s="199">
        <v>1</v>
      </c>
      <c r="G288" s="192">
        <f t="shared" si="9"/>
        <v>10</v>
      </c>
      <c r="H288" s="129" t="s">
        <v>3884</v>
      </c>
      <c r="I288" s="129" t="s">
        <v>3896</v>
      </c>
      <c r="J288" s="162" t="s">
        <v>3893</v>
      </c>
      <c r="K288" s="129" t="s">
        <v>3897</v>
      </c>
      <c r="L288" s="162" t="s">
        <v>3</v>
      </c>
      <c r="M288" s="12">
        <v>168</v>
      </c>
      <c r="N288" s="159" t="s">
        <v>8911</v>
      </c>
    </row>
    <row r="289" spans="1:14" ht="23.4" customHeight="1" x14ac:dyDescent="0.25">
      <c r="A289" s="180" t="s">
        <v>1468</v>
      </c>
      <c r="B289" s="129" t="s">
        <v>234</v>
      </c>
      <c r="C289" s="16" t="s">
        <v>2078</v>
      </c>
      <c r="D289" s="6" t="s">
        <v>4791</v>
      </c>
      <c r="E289" s="332" t="s">
        <v>100</v>
      </c>
      <c r="F289" s="199">
        <v>1</v>
      </c>
      <c r="G289" s="192">
        <f t="shared" si="9"/>
        <v>10</v>
      </c>
      <c r="H289" s="129" t="s">
        <v>3887</v>
      </c>
      <c r="I289" s="129" t="s">
        <v>3898</v>
      </c>
      <c r="J289" s="162" t="s">
        <v>3900</v>
      </c>
      <c r="K289" s="129" t="s">
        <v>3899</v>
      </c>
      <c r="L289" s="162" t="s">
        <v>3</v>
      </c>
      <c r="M289" s="12">
        <v>168</v>
      </c>
      <c r="N289" s="159" t="s">
        <v>8912</v>
      </c>
    </row>
    <row r="290" spans="1:14" ht="23.4" customHeight="1" x14ac:dyDescent="0.25">
      <c r="A290" s="180" t="s">
        <v>1466</v>
      </c>
      <c r="B290" s="129" t="s">
        <v>228</v>
      </c>
      <c r="C290" s="16" t="s">
        <v>2078</v>
      </c>
      <c r="D290" s="6" t="s">
        <v>4791</v>
      </c>
      <c r="E290" s="332" t="s">
        <v>100</v>
      </c>
      <c r="F290" s="199">
        <v>1</v>
      </c>
      <c r="G290" s="192">
        <f t="shared" si="9"/>
        <v>10</v>
      </c>
      <c r="H290" s="129" t="s">
        <v>3887</v>
      </c>
      <c r="I290" s="129" t="s">
        <v>3901</v>
      </c>
      <c r="J290" s="162" t="s">
        <v>4154</v>
      </c>
      <c r="K290" s="129" t="s">
        <v>3902</v>
      </c>
      <c r="L290" s="162" t="s">
        <v>3</v>
      </c>
      <c r="M290" s="12">
        <v>168</v>
      </c>
      <c r="N290" s="159" t="s">
        <v>8913</v>
      </c>
    </row>
    <row r="291" spans="1:14" ht="23.4" customHeight="1" x14ac:dyDescent="0.25">
      <c r="A291" s="180" t="s">
        <v>1420</v>
      </c>
      <c r="B291" s="170" t="s">
        <v>2078</v>
      </c>
      <c r="C291" s="16" t="s">
        <v>2078</v>
      </c>
      <c r="D291" s="6" t="s">
        <v>4791</v>
      </c>
      <c r="E291" s="332" t="s">
        <v>100</v>
      </c>
      <c r="F291" s="199">
        <v>1</v>
      </c>
      <c r="G291" s="192">
        <f t="shared" si="9"/>
        <v>10</v>
      </c>
      <c r="H291" s="129" t="s">
        <v>3891</v>
      </c>
      <c r="I291" s="129" t="s">
        <v>4715</v>
      </c>
      <c r="J291" s="162" t="s">
        <v>3917</v>
      </c>
      <c r="K291" s="129" t="s">
        <v>4684</v>
      </c>
      <c r="L291" s="162" t="s">
        <v>118</v>
      </c>
      <c r="M291" s="12">
        <v>188</v>
      </c>
      <c r="N291" s="159" t="s">
        <v>4685</v>
      </c>
    </row>
    <row r="292" spans="1:14" ht="23.4" customHeight="1" x14ac:dyDescent="0.25">
      <c r="A292" s="180" t="s">
        <v>1403</v>
      </c>
      <c r="B292" s="129" t="s">
        <v>231</v>
      </c>
      <c r="C292" s="16" t="s">
        <v>2078</v>
      </c>
      <c r="D292" s="6" t="s">
        <v>4791</v>
      </c>
      <c r="E292" s="332" t="s">
        <v>100</v>
      </c>
      <c r="F292" s="199">
        <v>1</v>
      </c>
      <c r="G292" s="192">
        <f t="shared" si="9"/>
        <v>10</v>
      </c>
      <c r="H292" s="129" t="s">
        <v>3891</v>
      </c>
      <c r="I292" s="129" t="s">
        <v>4307</v>
      </c>
      <c r="J292" s="162" t="s">
        <v>3930</v>
      </c>
      <c r="K292" s="129" t="s">
        <v>4308</v>
      </c>
      <c r="L292" s="162" t="s">
        <v>118</v>
      </c>
      <c r="M292" s="89">
        <v>182</v>
      </c>
      <c r="N292" s="159" t="s">
        <v>8914</v>
      </c>
    </row>
    <row r="293" spans="1:14" ht="23.4" customHeight="1" x14ac:dyDescent="0.25">
      <c r="A293" s="180" t="s">
        <v>1463</v>
      </c>
      <c r="B293" s="129" t="s">
        <v>2102</v>
      </c>
      <c r="C293" s="16" t="s">
        <v>2078</v>
      </c>
      <c r="D293" s="6" t="s">
        <v>4791</v>
      </c>
      <c r="E293" s="332" t="s">
        <v>100</v>
      </c>
      <c r="F293" s="199">
        <v>1</v>
      </c>
      <c r="G293" s="192">
        <f t="shared" si="9"/>
        <v>10</v>
      </c>
      <c r="H293" s="129" t="s">
        <v>3903</v>
      </c>
      <c r="I293" s="129" t="s">
        <v>3904</v>
      </c>
      <c r="J293" s="162" t="s">
        <v>3879</v>
      </c>
      <c r="K293" s="129" t="s">
        <v>3997</v>
      </c>
      <c r="L293" s="162" t="s">
        <v>3</v>
      </c>
      <c r="M293" s="12">
        <v>168</v>
      </c>
      <c r="N293" s="159" t="s">
        <v>3905</v>
      </c>
    </row>
    <row r="294" spans="1:14" ht="23.4" customHeight="1" x14ac:dyDescent="0.25">
      <c r="A294" s="180" t="s">
        <v>1472</v>
      </c>
      <c r="B294" s="129" t="s">
        <v>2097</v>
      </c>
      <c r="C294" s="16" t="s">
        <v>2078</v>
      </c>
      <c r="D294" s="6" t="s">
        <v>4791</v>
      </c>
      <c r="E294" s="332" t="s">
        <v>100</v>
      </c>
      <c r="F294" s="199">
        <v>2</v>
      </c>
      <c r="G294" s="192">
        <f t="shared" si="9"/>
        <v>15</v>
      </c>
      <c r="H294" s="129" t="s">
        <v>3875</v>
      </c>
      <c r="I294" s="129" t="s">
        <v>3906</v>
      </c>
      <c r="J294" s="162" t="s">
        <v>3889</v>
      </c>
      <c r="K294" s="129" t="s">
        <v>3907</v>
      </c>
      <c r="L294" s="162" t="s">
        <v>3</v>
      </c>
      <c r="M294" s="12">
        <v>168</v>
      </c>
      <c r="N294" s="159" t="s">
        <v>3908</v>
      </c>
    </row>
    <row r="295" spans="1:14" ht="23.4" customHeight="1" x14ac:dyDescent="0.25">
      <c r="A295" s="180" t="s">
        <v>1406</v>
      </c>
      <c r="B295" s="129" t="s">
        <v>101</v>
      </c>
      <c r="C295" s="16" t="s">
        <v>2078</v>
      </c>
      <c r="D295" s="6" t="s">
        <v>4791</v>
      </c>
      <c r="E295" s="332" t="s">
        <v>100</v>
      </c>
      <c r="F295" s="199">
        <v>2</v>
      </c>
      <c r="G295" s="192">
        <f t="shared" si="9"/>
        <v>15</v>
      </c>
      <c r="H295" s="129" t="s">
        <v>3891</v>
      </c>
      <c r="I295" s="129" t="s">
        <v>4313</v>
      </c>
      <c r="J295" s="162" t="s">
        <v>4314</v>
      </c>
      <c r="K295" s="129" t="s">
        <v>4315</v>
      </c>
      <c r="L295" s="162" t="s">
        <v>118</v>
      </c>
      <c r="M295" s="12">
        <v>184</v>
      </c>
      <c r="N295" s="159" t="s">
        <v>4316</v>
      </c>
    </row>
    <row r="296" spans="1:14" ht="23.4" customHeight="1" x14ac:dyDescent="0.25">
      <c r="A296" s="180" t="s">
        <v>1470</v>
      </c>
      <c r="B296" s="170" t="s">
        <v>223</v>
      </c>
      <c r="C296" s="16" t="s">
        <v>2078</v>
      </c>
      <c r="D296" s="6" t="s">
        <v>4791</v>
      </c>
      <c r="E296" s="332" t="s">
        <v>100</v>
      </c>
      <c r="F296" s="199">
        <v>2</v>
      </c>
      <c r="G296" s="192">
        <f t="shared" si="9"/>
        <v>15</v>
      </c>
      <c r="H296" s="129" t="s">
        <v>6277</v>
      </c>
      <c r="I296" s="129" t="s">
        <v>4719</v>
      </c>
      <c r="J296" s="162" t="s">
        <v>3893</v>
      </c>
      <c r="K296" s="129" t="s">
        <v>3909</v>
      </c>
      <c r="L296" s="162" t="s">
        <v>3</v>
      </c>
      <c r="M296" s="12">
        <v>168</v>
      </c>
      <c r="N296" s="159" t="str">
        <f>CONCATENATE("Les kamis de l'air murmurent à l'oreille d'autrui. La cible de ce sort bénéficie d'un bonus de +1g1 +",Air,"aux résultats de tous ses jets de Compétence Socials effectués tant que le sort fonctionne.")</f>
        <v>Les kamis de l'air murmurent à l'oreille d'autrui. La cible de ce sort bénéficie d'un bonus de +1g1 +2aux résultats de tous ses jets de Compétence Socials effectués tant que le sort fonctionne.</v>
      </c>
    </row>
    <row r="297" spans="1:14" ht="23.4" customHeight="1" x14ac:dyDescent="0.25">
      <c r="A297" s="180" t="s">
        <v>1761</v>
      </c>
      <c r="B297" s="129" t="s">
        <v>237</v>
      </c>
      <c r="C297" s="16" t="s">
        <v>2078</v>
      </c>
      <c r="D297" s="6" t="s">
        <v>4791</v>
      </c>
      <c r="E297" s="332" t="s">
        <v>100</v>
      </c>
      <c r="F297" s="199">
        <v>2</v>
      </c>
      <c r="G297" s="192">
        <f t="shared" si="9"/>
        <v>15</v>
      </c>
      <c r="H297" s="129" t="s">
        <v>3903</v>
      </c>
      <c r="I297" s="129" t="s">
        <v>4719</v>
      </c>
      <c r="J297" s="162" t="s">
        <v>3889</v>
      </c>
      <c r="K297" s="129" t="s">
        <v>3910</v>
      </c>
      <c r="L297" s="162" t="s">
        <v>3</v>
      </c>
      <c r="M297" s="12">
        <v>169</v>
      </c>
      <c r="N297" s="159" t="s">
        <v>3911</v>
      </c>
    </row>
    <row r="298" spans="1:14" ht="23.4" customHeight="1" x14ac:dyDescent="0.25">
      <c r="A298" s="180" t="s">
        <v>1749</v>
      </c>
      <c r="B298" s="170" t="s">
        <v>3684</v>
      </c>
      <c r="C298" s="16" t="s">
        <v>2078</v>
      </c>
      <c r="D298" s="6" t="s">
        <v>4791</v>
      </c>
      <c r="E298" s="332" t="s">
        <v>100</v>
      </c>
      <c r="F298" s="12">
        <v>2</v>
      </c>
      <c r="G298" s="192">
        <f t="shared" si="9"/>
        <v>15</v>
      </c>
      <c r="H298" s="129" t="s">
        <v>3925</v>
      </c>
      <c r="I298" s="129" t="s">
        <v>4262</v>
      </c>
      <c r="J298" s="162" t="s">
        <v>3930</v>
      </c>
      <c r="K298" s="129" t="s">
        <v>4162</v>
      </c>
      <c r="L298" s="162" t="s">
        <v>2076</v>
      </c>
      <c r="M298" s="12">
        <v>53</v>
      </c>
      <c r="N298" s="159" t="str">
        <f>CONCATENATE("Tant que ce sort est actif, la prochaine chose anormale ou extraordinaire que percevra la victime lui semblera parfaitement normale. Cela ne change pas ses réactions mais trouble sa vue. La cible peut effectuer un test d'opposition d'Enquête de ND ",Air*5,"pour remarquer de petites imperfections.")</f>
        <v>Tant que ce sort est actif, la prochaine chose anormale ou extraordinaire que percevra la victime lui semblera parfaitement normale. Cela ne change pas ses réactions mais trouble sa vue. La cible peut effectuer un test d'opposition d'Enquête de ND 10pour remarquer de petites imperfections.</v>
      </c>
    </row>
    <row r="299" spans="1:14" ht="23.4" customHeight="1" x14ac:dyDescent="0.25">
      <c r="A299" s="180" t="s">
        <v>1409</v>
      </c>
      <c r="B299" s="129" t="s">
        <v>223</v>
      </c>
      <c r="C299" s="16" t="s">
        <v>2078</v>
      </c>
      <c r="D299" s="6" t="s">
        <v>4791</v>
      </c>
      <c r="E299" s="332" t="s">
        <v>100</v>
      </c>
      <c r="F299" s="199">
        <v>2</v>
      </c>
      <c r="G299" s="192">
        <f t="shared" si="9"/>
        <v>15</v>
      </c>
      <c r="H299" s="129" t="s">
        <v>4081</v>
      </c>
      <c r="I299" s="129" t="s">
        <v>4319</v>
      </c>
      <c r="J299" s="162" t="s">
        <v>4320</v>
      </c>
      <c r="K299" s="129" t="s">
        <v>4321</v>
      </c>
      <c r="L299" s="162" t="s">
        <v>118</v>
      </c>
      <c r="M299" s="12">
        <v>184</v>
      </c>
      <c r="N299" s="159" t="s">
        <v>8915</v>
      </c>
    </row>
    <row r="300" spans="1:14" ht="23.4" customHeight="1" x14ac:dyDescent="0.25">
      <c r="A300" s="180" t="s">
        <v>1474</v>
      </c>
      <c r="B300" s="129" t="s">
        <v>101</v>
      </c>
      <c r="C300" s="16" t="s">
        <v>2078</v>
      </c>
      <c r="D300" s="6" t="s">
        <v>4791</v>
      </c>
      <c r="E300" s="332" t="s">
        <v>100</v>
      </c>
      <c r="F300" s="199">
        <v>2</v>
      </c>
      <c r="G300" s="192">
        <f t="shared" si="9"/>
        <v>15</v>
      </c>
      <c r="H300" s="129" t="s">
        <v>3913</v>
      </c>
      <c r="I300" s="129" t="s">
        <v>3906</v>
      </c>
      <c r="J300" s="129" t="s">
        <v>3912</v>
      </c>
      <c r="K300" s="129" t="s">
        <v>3914</v>
      </c>
      <c r="L300" s="162" t="s">
        <v>3</v>
      </c>
      <c r="M300" s="12">
        <v>169</v>
      </c>
      <c r="N300" s="159" t="s">
        <v>3915</v>
      </c>
    </row>
    <row r="301" spans="1:14" s="196" customFormat="1" ht="23.4" customHeight="1" x14ac:dyDescent="0.25">
      <c r="A301" s="180" t="s">
        <v>7682</v>
      </c>
      <c r="B301" s="129" t="s">
        <v>102</v>
      </c>
      <c r="C301" s="16" t="s">
        <v>2078</v>
      </c>
      <c r="D301" s="6" t="s">
        <v>4791</v>
      </c>
      <c r="E301" s="332" t="s">
        <v>100</v>
      </c>
      <c r="F301" s="199">
        <v>2</v>
      </c>
      <c r="G301" s="192">
        <f t="shared" si="9"/>
        <v>15</v>
      </c>
      <c r="H301" s="129" t="s">
        <v>7681</v>
      </c>
      <c r="I301" s="129" t="s">
        <v>3916</v>
      </c>
      <c r="J301" s="162" t="s">
        <v>3917</v>
      </c>
      <c r="K301" s="129" t="s">
        <v>7683</v>
      </c>
      <c r="L301" s="162">
        <v>26</v>
      </c>
      <c r="M301" s="12">
        <v>23</v>
      </c>
      <c r="N301" s="159" t="s">
        <v>8916</v>
      </c>
    </row>
    <row r="302" spans="1:14" ht="23.4" customHeight="1" x14ac:dyDescent="0.25">
      <c r="A302" s="180" t="s">
        <v>1476</v>
      </c>
      <c r="B302" s="129" t="s">
        <v>101</v>
      </c>
      <c r="C302" s="16" t="s">
        <v>2078</v>
      </c>
      <c r="D302" s="6" t="s">
        <v>4791</v>
      </c>
      <c r="E302" s="332" t="s">
        <v>100</v>
      </c>
      <c r="F302" s="199">
        <v>2</v>
      </c>
      <c r="G302" s="192">
        <f t="shared" si="9"/>
        <v>15</v>
      </c>
      <c r="H302" s="129" t="s">
        <v>3887</v>
      </c>
      <c r="I302" s="129" t="s">
        <v>3916</v>
      </c>
      <c r="J302" s="162" t="s">
        <v>3917</v>
      </c>
      <c r="K302" s="129" t="s">
        <v>3918</v>
      </c>
      <c r="L302" s="162" t="s">
        <v>3</v>
      </c>
      <c r="M302" s="12">
        <v>169</v>
      </c>
      <c r="N302" s="159" t="str">
        <f>CONCATENATE("Les kamis créent une subtile aura qui fait que vous interlocuteurs vous considèrent mieux. Pendant la durée de ce sort, votre Rg. d'Honneur est considéré comme étant de ",Honneur+3," à sa valeur réèle quand on tente de le découvrir au moyen d'un jet de Connaissance: Bushido.")</f>
        <v>Les kamis créent une subtile aura qui fait que vous interlocuteurs vous considèrent mieux. Pendant la durée de ce sort, votre Rg. d'Honneur est considéré comme étant de 3 à sa valeur réèle quand on tente de le découvrir au moyen d'un jet de Connaissance: Bushido.</v>
      </c>
    </row>
    <row r="303" spans="1:14" ht="23.4" customHeight="1" x14ac:dyDescent="0.25">
      <c r="A303" s="180" t="s">
        <v>1415</v>
      </c>
      <c r="B303" s="129" t="s">
        <v>4668</v>
      </c>
      <c r="C303" s="16" t="s">
        <v>2078</v>
      </c>
      <c r="D303" s="6" t="s">
        <v>4791</v>
      </c>
      <c r="E303" s="332" t="s">
        <v>100</v>
      </c>
      <c r="F303" s="199">
        <v>2</v>
      </c>
      <c r="G303" s="192">
        <f t="shared" si="9"/>
        <v>15</v>
      </c>
      <c r="H303" s="129" t="s">
        <v>3887</v>
      </c>
      <c r="I303" s="129" t="s">
        <v>4666</v>
      </c>
      <c r="J303" s="162" t="s">
        <v>4077</v>
      </c>
      <c r="K303" s="129" t="s">
        <v>4667</v>
      </c>
      <c r="L303" s="162" t="s">
        <v>118</v>
      </c>
      <c r="M303" s="12">
        <v>187</v>
      </c>
      <c r="N303" s="159" t="s">
        <v>8917</v>
      </c>
    </row>
    <row r="304" spans="1:14" ht="23.4" customHeight="1" x14ac:dyDescent="0.25">
      <c r="A304" s="180" t="s">
        <v>1416</v>
      </c>
      <c r="B304" s="129" t="s">
        <v>237</v>
      </c>
      <c r="C304" s="16" t="s">
        <v>2078</v>
      </c>
      <c r="D304" s="6" t="s">
        <v>4791</v>
      </c>
      <c r="E304" s="332" t="s">
        <v>100</v>
      </c>
      <c r="F304" s="199">
        <v>2</v>
      </c>
      <c r="G304" s="192">
        <f t="shared" si="9"/>
        <v>15</v>
      </c>
      <c r="H304" s="129" t="s">
        <v>4670</v>
      </c>
      <c r="I304" s="129" t="s">
        <v>4672</v>
      </c>
      <c r="J304" s="162" t="s">
        <v>3893</v>
      </c>
      <c r="K304" s="129" t="s">
        <v>4673</v>
      </c>
      <c r="L304" s="162" t="s">
        <v>118</v>
      </c>
      <c r="M304" s="12">
        <v>187</v>
      </c>
      <c r="N304" s="159" t="s">
        <v>4674</v>
      </c>
    </row>
    <row r="305" spans="1:14" ht="23.4" customHeight="1" x14ac:dyDescent="0.25">
      <c r="A305" s="180" t="s">
        <v>1473</v>
      </c>
      <c r="B305" s="170" t="s">
        <v>2078</v>
      </c>
      <c r="C305" s="16" t="s">
        <v>2078</v>
      </c>
      <c r="D305" s="6" t="s">
        <v>4791</v>
      </c>
      <c r="E305" s="332" t="s">
        <v>100</v>
      </c>
      <c r="F305" s="199">
        <v>2</v>
      </c>
      <c r="G305" s="192">
        <f t="shared" si="9"/>
        <v>15</v>
      </c>
      <c r="H305" s="129" t="s">
        <v>3920</v>
      </c>
      <c r="I305" s="129" t="s">
        <v>3919</v>
      </c>
      <c r="J305" s="162" t="s">
        <v>4154</v>
      </c>
      <c r="K305" s="129" t="s">
        <v>3921</v>
      </c>
      <c r="L305" s="162" t="s">
        <v>3</v>
      </c>
      <c r="M305" s="12">
        <v>169</v>
      </c>
      <c r="N305" s="159" t="s">
        <v>8918</v>
      </c>
    </row>
    <row r="306" spans="1:14" ht="23.4" customHeight="1" x14ac:dyDescent="0.25">
      <c r="A306" s="180" t="s">
        <v>1423</v>
      </c>
      <c r="B306" s="170" t="s">
        <v>2078</v>
      </c>
      <c r="C306" s="16" t="s">
        <v>2078</v>
      </c>
      <c r="D306" s="6" t="s">
        <v>4791</v>
      </c>
      <c r="E306" s="332" t="s">
        <v>100</v>
      </c>
      <c r="F306" s="199">
        <v>2</v>
      </c>
      <c r="G306" s="192">
        <f t="shared" si="9"/>
        <v>15</v>
      </c>
      <c r="H306" s="129" t="s">
        <v>3925</v>
      </c>
      <c r="I306" s="129" t="s">
        <v>4262</v>
      </c>
      <c r="J306" s="162" t="s">
        <v>3879</v>
      </c>
      <c r="K306" s="129" t="s">
        <v>4689</v>
      </c>
      <c r="L306" s="162" t="s">
        <v>118</v>
      </c>
      <c r="M306" s="12">
        <v>190</v>
      </c>
      <c r="N306" s="159" t="s">
        <v>8919</v>
      </c>
    </row>
    <row r="307" spans="1:14" ht="23.4" customHeight="1" x14ac:dyDescent="0.25">
      <c r="A307" s="180" t="s">
        <v>1748</v>
      </c>
      <c r="B307" s="129" t="s">
        <v>223</v>
      </c>
      <c r="C307" s="16" t="s">
        <v>2078</v>
      </c>
      <c r="D307" s="6" t="s">
        <v>4791</v>
      </c>
      <c r="E307" s="332" t="s">
        <v>100</v>
      </c>
      <c r="F307" s="199">
        <v>2</v>
      </c>
      <c r="G307" s="192">
        <f t="shared" si="9"/>
        <v>15</v>
      </c>
      <c r="H307" s="129" t="s">
        <v>4258</v>
      </c>
      <c r="I307" s="129" t="s">
        <v>4260</v>
      </c>
      <c r="J307" s="162" t="s">
        <v>4154</v>
      </c>
      <c r="K307" s="129" t="s">
        <v>4184</v>
      </c>
      <c r="L307" s="162" t="s">
        <v>2076</v>
      </c>
      <c r="M307" s="12">
        <v>52</v>
      </c>
      <c r="N307" s="159" t="s">
        <v>4261</v>
      </c>
    </row>
    <row r="308" spans="1:14" ht="23.4" customHeight="1" x14ac:dyDescent="0.25">
      <c r="A308" s="180" t="s">
        <v>1475</v>
      </c>
      <c r="B308" s="129" t="s">
        <v>102</v>
      </c>
      <c r="C308" s="16" t="s">
        <v>2078</v>
      </c>
      <c r="D308" s="6" t="s">
        <v>4791</v>
      </c>
      <c r="E308" s="332" t="s">
        <v>100</v>
      </c>
      <c r="F308" s="199">
        <v>2</v>
      </c>
      <c r="G308" s="192">
        <f t="shared" si="9"/>
        <v>15</v>
      </c>
      <c r="H308" s="129" t="s">
        <v>3875</v>
      </c>
      <c r="I308" s="129" t="s">
        <v>4262</v>
      </c>
      <c r="J308" s="162" t="s">
        <v>3900</v>
      </c>
      <c r="K308" s="129" t="s">
        <v>3922</v>
      </c>
      <c r="L308" s="162" t="s">
        <v>3</v>
      </c>
      <c r="M308" s="12">
        <v>169</v>
      </c>
      <c r="N308" s="159" t="s">
        <v>8920</v>
      </c>
    </row>
    <row r="309" spans="1:14" ht="23.4" customHeight="1" x14ac:dyDescent="0.25">
      <c r="A309" s="180" t="s">
        <v>1471</v>
      </c>
      <c r="B309" s="129" t="s">
        <v>3686</v>
      </c>
      <c r="C309" s="16" t="s">
        <v>2078</v>
      </c>
      <c r="D309" s="6" t="s">
        <v>4791</v>
      </c>
      <c r="E309" s="332" t="s">
        <v>100</v>
      </c>
      <c r="F309" s="199">
        <v>2</v>
      </c>
      <c r="G309" s="192">
        <f t="shared" si="9"/>
        <v>15</v>
      </c>
      <c r="H309" s="129" t="s">
        <v>3887</v>
      </c>
      <c r="I309" s="129" t="s">
        <v>3916</v>
      </c>
      <c r="J309" s="162" t="s">
        <v>3879</v>
      </c>
      <c r="K309" s="129" t="s">
        <v>3923</v>
      </c>
      <c r="L309" s="162" t="s">
        <v>3</v>
      </c>
      <c r="M309" s="12">
        <v>169</v>
      </c>
      <c r="N309" s="159" t="s">
        <v>3924</v>
      </c>
    </row>
    <row r="310" spans="1:14" ht="23.4" customHeight="1" x14ac:dyDescent="0.25">
      <c r="A310" s="180" t="s">
        <v>1408</v>
      </c>
      <c r="B310" s="129" t="s">
        <v>101</v>
      </c>
      <c r="C310" s="16" t="s">
        <v>2078</v>
      </c>
      <c r="D310" s="6" t="s">
        <v>4791</v>
      </c>
      <c r="E310" s="332" t="s">
        <v>100</v>
      </c>
      <c r="F310" s="199">
        <v>2</v>
      </c>
      <c r="G310" s="192">
        <f t="shared" si="9"/>
        <v>15</v>
      </c>
      <c r="H310" s="129" t="s">
        <v>3933</v>
      </c>
      <c r="I310" s="129" t="s">
        <v>4703</v>
      </c>
      <c r="J310" s="162" t="s">
        <v>3917</v>
      </c>
      <c r="K310" s="129" t="s">
        <v>4317</v>
      </c>
      <c r="L310" s="162" t="s">
        <v>118</v>
      </c>
      <c r="M310" s="12">
        <v>184</v>
      </c>
      <c r="N310" s="159" t="s">
        <v>4318</v>
      </c>
    </row>
    <row r="311" spans="1:14" ht="23.4" customHeight="1" x14ac:dyDescent="0.25">
      <c r="A311" s="180" t="str">
        <f>IF(Contexte_jeu="L'Empire Stellaire d'Emeraude","Esprit de la Foudre","")</f>
        <v/>
      </c>
      <c r="B311" s="170" t="s">
        <v>7738</v>
      </c>
      <c r="C311" s="16" t="s">
        <v>2078</v>
      </c>
      <c r="D311" s="6" t="s">
        <v>4791</v>
      </c>
      <c r="E311" s="332" t="s">
        <v>100</v>
      </c>
      <c r="F311" s="199">
        <v>3</v>
      </c>
      <c r="G311" s="192">
        <f t="shared" si="9"/>
        <v>20</v>
      </c>
      <c r="H311" s="129" t="s">
        <v>3891</v>
      </c>
      <c r="I311" s="129" t="s">
        <v>4065</v>
      </c>
      <c r="J311" s="162" t="s">
        <v>3912</v>
      </c>
      <c r="K311" s="129" t="s">
        <v>7655</v>
      </c>
      <c r="L311" s="162" t="s">
        <v>7453</v>
      </c>
      <c r="M311" s="12">
        <v>26</v>
      </c>
      <c r="N311" s="159" t="s">
        <v>7656</v>
      </c>
    </row>
    <row r="312" spans="1:14" ht="23.4" customHeight="1" x14ac:dyDescent="0.25">
      <c r="A312" s="180" t="str">
        <f>IF(Contexte_jeu="L'Empire Stellaire d'Emeraude","Route de Lumière","")</f>
        <v/>
      </c>
      <c r="B312" s="170" t="s">
        <v>7738</v>
      </c>
      <c r="C312" s="16" t="s">
        <v>2078</v>
      </c>
      <c r="D312" s="6" t="s">
        <v>4791</v>
      </c>
      <c r="E312" s="332" t="s">
        <v>100</v>
      </c>
      <c r="F312" s="199">
        <v>3</v>
      </c>
      <c r="G312" s="192">
        <f t="shared" si="9"/>
        <v>20</v>
      </c>
      <c r="H312" s="129" t="s">
        <v>3887</v>
      </c>
      <c r="I312" s="129" t="s">
        <v>7686</v>
      </c>
      <c r="J312" s="162" t="s">
        <v>3900</v>
      </c>
      <c r="K312" s="129" t="s">
        <v>7687</v>
      </c>
      <c r="L312" s="162" t="s">
        <v>7453</v>
      </c>
      <c r="M312" s="12">
        <v>26</v>
      </c>
      <c r="N312" s="159" t="s">
        <v>7688</v>
      </c>
    </row>
    <row r="313" spans="1:14" ht="23.4" customHeight="1" x14ac:dyDescent="0.25">
      <c r="A313" s="180" t="s">
        <v>1418</v>
      </c>
      <c r="B313" s="170" t="s">
        <v>2078</v>
      </c>
      <c r="C313" s="16" t="s">
        <v>2078</v>
      </c>
      <c r="D313" s="6" t="s">
        <v>4791</v>
      </c>
      <c r="E313" s="332" t="s">
        <v>100</v>
      </c>
      <c r="F313" s="199">
        <v>3</v>
      </c>
      <c r="G313" s="192">
        <f t="shared" si="9"/>
        <v>20</v>
      </c>
      <c r="H313" s="129" t="s">
        <v>3875</v>
      </c>
      <c r="I313" s="129" t="s">
        <v>4715</v>
      </c>
      <c r="J313" s="162" t="s">
        <v>3917</v>
      </c>
      <c r="K313" s="129" t="s">
        <v>4020</v>
      </c>
      <c r="L313" s="162" t="s">
        <v>118</v>
      </c>
      <c r="M313" s="12">
        <v>188</v>
      </c>
      <c r="N313" s="159" t="s">
        <v>4681</v>
      </c>
    </row>
    <row r="314" spans="1:14" ht="23.4" customHeight="1" x14ac:dyDescent="0.25">
      <c r="A314" s="180" t="s">
        <v>1479</v>
      </c>
      <c r="B314" s="129" t="s">
        <v>228</v>
      </c>
      <c r="C314" s="16" t="s">
        <v>2078</v>
      </c>
      <c r="D314" s="6" t="s">
        <v>4791</v>
      </c>
      <c r="E314" s="332" t="s">
        <v>100</v>
      </c>
      <c r="F314" s="199">
        <v>3</v>
      </c>
      <c r="G314" s="192">
        <f t="shared" si="9"/>
        <v>20</v>
      </c>
      <c r="H314" s="129" t="s">
        <v>3925</v>
      </c>
      <c r="I314" s="129" t="s">
        <v>4705</v>
      </c>
      <c r="J314" s="162" t="s">
        <v>4154</v>
      </c>
      <c r="K314" s="129" t="s">
        <v>3922</v>
      </c>
      <c r="L314" s="162" t="s">
        <v>3</v>
      </c>
      <c r="M314" s="12">
        <v>170</v>
      </c>
      <c r="N314" s="159" t="s">
        <v>8921</v>
      </c>
    </row>
    <row r="315" spans="1:14" ht="23.4" customHeight="1" x14ac:dyDescent="0.25">
      <c r="A315" s="180" t="s">
        <v>1480</v>
      </c>
      <c r="B315" s="170" t="s">
        <v>223</v>
      </c>
      <c r="C315" s="16" t="s">
        <v>2078</v>
      </c>
      <c r="D315" s="6" t="s">
        <v>4791</v>
      </c>
      <c r="E315" s="332" t="s">
        <v>100</v>
      </c>
      <c r="F315" s="199">
        <v>3</v>
      </c>
      <c r="G315" s="192">
        <f t="shared" si="9"/>
        <v>20</v>
      </c>
      <c r="H315" s="129" t="s">
        <v>3926</v>
      </c>
      <c r="I315" s="129" t="s">
        <v>3927</v>
      </c>
      <c r="J315" s="162" t="s">
        <v>3889</v>
      </c>
      <c r="K315" s="129" t="s">
        <v>3928</v>
      </c>
      <c r="L315" s="162" t="s">
        <v>3</v>
      </c>
      <c r="M315" s="12">
        <v>170</v>
      </c>
      <c r="N315" s="159" t="s">
        <v>3929</v>
      </c>
    </row>
    <row r="316" spans="1:14" ht="23.4" customHeight="1" x14ac:dyDescent="0.25">
      <c r="A316" s="180" t="s">
        <v>1402</v>
      </c>
      <c r="B316" s="170" t="s">
        <v>2078</v>
      </c>
      <c r="C316" s="16" t="s">
        <v>2078</v>
      </c>
      <c r="D316" s="6" t="s">
        <v>4791</v>
      </c>
      <c r="E316" s="332" t="s">
        <v>100</v>
      </c>
      <c r="F316" s="199">
        <v>3</v>
      </c>
      <c r="G316" s="192">
        <f t="shared" si="9"/>
        <v>20</v>
      </c>
      <c r="H316" s="129" t="s">
        <v>3887</v>
      </c>
      <c r="I316" s="129" t="s">
        <v>3916</v>
      </c>
      <c r="J316" s="162" t="s">
        <v>4305</v>
      </c>
      <c r="K316" s="129" t="s">
        <v>4306</v>
      </c>
      <c r="L316" s="162" t="s">
        <v>118</v>
      </c>
      <c r="M316" s="89">
        <v>182</v>
      </c>
      <c r="N316" s="159" t="str">
        <f>CONCATENATE("Tant que la bénédiction dure, le shugenja peut ajoute ",Air," total de tous les jets en relation avec Intuition, ainsi qu'a son ND d'Armure. En règle générale, ceux qui connaissent ce sort effectuent la bénédiction chaque matin pendant leurs méditations quotidiennes. Ces effets ne se cumulent pas.")</f>
        <v>Tant que la bénédiction dure, le shugenja peut ajoute 2 total de tous les jets en relation avec Intuition, ainsi qu'a son ND d'Armure. En règle générale, ceux qui connaissent ce sort effectuent la bénédiction chaque matin pendant leurs méditations quotidiennes. Ces effets ne se cumulent pas.</v>
      </c>
    </row>
    <row r="317" spans="1:14" s="196" customFormat="1" ht="23.4" customHeight="1" x14ac:dyDescent="0.25">
      <c r="A317" s="180" t="s">
        <v>1481</v>
      </c>
      <c r="B317" s="129" t="s">
        <v>228</v>
      </c>
      <c r="C317" s="16" t="s">
        <v>2078</v>
      </c>
      <c r="D317" s="6" t="s">
        <v>4791</v>
      </c>
      <c r="E317" s="332" t="s">
        <v>100</v>
      </c>
      <c r="F317" s="199">
        <v>3</v>
      </c>
      <c r="G317" s="192">
        <f t="shared" si="9"/>
        <v>20</v>
      </c>
      <c r="H317" s="129" t="s">
        <v>3887</v>
      </c>
      <c r="I317" s="129" t="s">
        <v>3916</v>
      </c>
      <c r="J317" s="162" t="s">
        <v>3930</v>
      </c>
      <c r="K317" s="129" t="s">
        <v>3931</v>
      </c>
      <c r="L317" s="162" t="s">
        <v>3</v>
      </c>
      <c r="M317" s="12">
        <v>170</v>
      </c>
      <c r="N317" s="159" t="s">
        <v>3932</v>
      </c>
    </row>
    <row r="318" spans="1:14" ht="23.4" customHeight="1" x14ac:dyDescent="0.25">
      <c r="A318" s="180" t="s">
        <v>1483</v>
      </c>
      <c r="B318" s="129" t="s">
        <v>101</v>
      </c>
      <c r="C318" s="16" t="s">
        <v>2078</v>
      </c>
      <c r="D318" s="6" t="s">
        <v>4791</v>
      </c>
      <c r="E318" s="332" t="s">
        <v>100</v>
      </c>
      <c r="F318" s="199">
        <v>3</v>
      </c>
      <c r="G318" s="192">
        <f t="shared" si="9"/>
        <v>20</v>
      </c>
      <c r="H318" s="129" t="s">
        <v>3933</v>
      </c>
      <c r="I318" s="129" t="s">
        <v>4262</v>
      </c>
      <c r="J318" s="162" t="s">
        <v>3934</v>
      </c>
      <c r="K318" s="129" t="s">
        <v>3935</v>
      </c>
      <c r="L318" s="162" t="s">
        <v>3</v>
      </c>
      <c r="M318" s="12">
        <v>170</v>
      </c>
      <c r="N318" s="159" t="s">
        <v>3936</v>
      </c>
    </row>
    <row r="319" spans="1:14" ht="23.4" customHeight="1" x14ac:dyDescent="0.25">
      <c r="A319" s="180" t="s">
        <v>1477</v>
      </c>
      <c r="B319" s="129" t="s">
        <v>228</v>
      </c>
      <c r="C319" s="16" t="s">
        <v>2078</v>
      </c>
      <c r="D319" s="6" t="s">
        <v>4791</v>
      </c>
      <c r="E319" s="332" t="s">
        <v>100</v>
      </c>
      <c r="F319" s="199">
        <v>3</v>
      </c>
      <c r="G319" s="192">
        <f t="shared" si="9"/>
        <v>20</v>
      </c>
      <c r="H319" s="129" t="s">
        <v>3887</v>
      </c>
      <c r="I319" s="129" t="s">
        <v>3916</v>
      </c>
      <c r="J319" s="162" t="s">
        <v>3934</v>
      </c>
      <c r="K319" s="129" t="s">
        <v>3931</v>
      </c>
      <c r="L319" s="162" t="s">
        <v>3</v>
      </c>
      <c r="M319" s="12">
        <v>170</v>
      </c>
      <c r="N319" s="159" t="s">
        <v>3937</v>
      </c>
    </row>
    <row r="320" spans="1:14" ht="23.4" customHeight="1" x14ac:dyDescent="0.25">
      <c r="A320" s="180" t="s">
        <v>1411</v>
      </c>
      <c r="B320" s="129" t="s">
        <v>101</v>
      </c>
      <c r="C320" s="16" t="s">
        <v>2078</v>
      </c>
      <c r="D320" s="6" t="s">
        <v>4791</v>
      </c>
      <c r="E320" s="332" t="s">
        <v>100</v>
      </c>
      <c r="F320" s="199">
        <v>3</v>
      </c>
      <c r="G320" s="192">
        <f t="shared" si="9"/>
        <v>20</v>
      </c>
      <c r="H320" s="129" t="s">
        <v>3952</v>
      </c>
      <c r="I320" s="129" t="s">
        <v>4659</v>
      </c>
      <c r="J320" s="162" t="s">
        <v>3879</v>
      </c>
      <c r="K320" s="129" t="s">
        <v>4660</v>
      </c>
      <c r="L320" s="162" t="s">
        <v>118</v>
      </c>
      <c r="M320" s="12">
        <v>185</v>
      </c>
      <c r="N320" s="159" t="s">
        <v>4661</v>
      </c>
    </row>
    <row r="321" spans="1:14" ht="23.4" customHeight="1" x14ac:dyDescent="0.25">
      <c r="A321" s="180" t="s">
        <v>1756</v>
      </c>
      <c r="B321" s="170" t="s">
        <v>2078</v>
      </c>
      <c r="C321" s="16" t="s">
        <v>2078</v>
      </c>
      <c r="D321" s="6" t="s">
        <v>4791</v>
      </c>
      <c r="E321" s="332" t="s">
        <v>100</v>
      </c>
      <c r="F321" s="199">
        <v>3</v>
      </c>
      <c r="G321" s="192">
        <f t="shared" si="9"/>
        <v>20</v>
      </c>
      <c r="H321" s="129" t="s">
        <v>4081</v>
      </c>
      <c r="I321" s="129" t="s">
        <v>4262</v>
      </c>
      <c r="J321" s="162" t="s">
        <v>4736</v>
      </c>
      <c r="K321" s="129" t="s">
        <v>3941</v>
      </c>
      <c r="L321" s="162" t="s">
        <v>2079</v>
      </c>
      <c r="M321" s="12">
        <v>50</v>
      </c>
      <c r="N321" s="159" t="s">
        <v>8922</v>
      </c>
    </row>
    <row r="322" spans="1:14" ht="23.4" customHeight="1" x14ac:dyDescent="0.25">
      <c r="A322" s="180" t="s">
        <v>1482</v>
      </c>
      <c r="B322" s="129" t="s">
        <v>3687</v>
      </c>
      <c r="C322" s="16" t="s">
        <v>2078</v>
      </c>
      <c r="D322" s="6" t="s">
        <v>4791</v>
      </c>
      <c r="E322" s="332" t="s">
        <v>100</v>
      </c>
      <c r="F322" s="199">
        <v>3</v>
      </c>
      <c r="G322" s="192">
        <f t="shared" si="9"/>
        <v>20</v>
      </c>
      <c r="H322" s="129" t="s">
        <v>6277</v>
      </c>
      <c r="I322" s="129" t="s">
        <v>4705</v>
      </c>
      <c r="J322" s="162" t="s">
        <v>4154</v>
      </c>
      <c r="K322" s="129" t="s">
        <v>1284</v>
      </c>
      <c r="L322" s="162" t="s">
        <v>3</v>
      </c>
      <c r="M322" s="12">
        <v>171</v>
      </c>
      <c r="N322" s="159" t="s">
        <v>8923</v>
      </c>
    </row>
    <row r="323" spans="1:14" ht="23.4" customHeight="1" x14ac:dyDescent="0.25">
      <c r="A323" s="180" t="s">
        <v>1478</v>
      </c>
      <c r="B323" s="129" t="s">
        <v>101</v>
      </c>
      <c r="C323" s="16" t="s">
        <v>2078</v>
      </c>
      <c r="D323" s="6" t="s">
        <v>4791</v>
      </c>
      <c r="E323" s="332" t="s">
        <v>100</v>
      </c>
      <c r="F323" s="199">
        <v>3</v>
      </c>
      <c r="G323" s="192">
        <f t="shared" si="9"/>
        <v>20</v>
      </c>
      <c r="H323" s="129" t="s">
        <v>3887</v>
      </c>
      <c r="I323" s="129" t="s">
        <v>3916</v>
      </c>
      <c r="J323" s="162" t="s">
        <v>3893</v>
      </c>
      <c r="K323" s="129" t="s">
        <v>3938</v>
      </c>
      <c r="L323" s="162" t="s">
        <v>3</v>
      </c>
      <c r="M323" s="12">
        <v>171</v>
      </c>
      <c r="N323" s="159" t="s">
        <v>3939</v>
      </c>
    </row>
    <row r="324" spans="1:14" ht="23.4" customHeight="1" x14ac:dyDescent="0.25">
      <c r="A324" s="180" t="s">
        <v>1458</v>
      </c>
      <c r="B324" s="129" t="s">
        <v>101</v>
      </c>
      <c r="C324" s="16" t="s">
        <v>2078</v>
      </c>
      <c r="D324" s="6" t="s">
        <v>4791</v>
      </c>
      <c r="E324" s="332" t="s">
        <v>100</v>
      </c>
      <c r="F324" s="199">
        <v>3</v>
      </c>
      <c r="G324" s="192">
        <f t="shared" si="9"/>
        <v>20</v>
      </c>
      <c r="H324" s="129" t="s">
        <v>3891</v>
      </c>
      <c r="I324" s="129" t="s">
        <v>4715</v>
      </c>
      <c r="J324" s="162" t="s">
        <v>3893</v>
      </c>
      <c r="K324" s="129" t="s">
        <v>3944</v>
      </c>
      <c r="L324" s="162" t="s">
        <v>118</v>
      </c>
      <c r="M324" s="12">
        <v>188</v>
      </c>
      <c r="N324" s="159" t="s">
        <v>8924</v>
      </c>
    </row>
    <row r="325" spans="1:14" ht="23.4" customHeight="1" x14ac:dyDescent="0.25">
      <c r="A325" s="180" t="s">
        <v>1484</v>
      </c>
      <c r="B325" s="170" t="s">
        <v>2078</v>
      </c>
      <c r="C325" s="16" t="s">
        <v>2078</v>
      </c>
      <c r="D325" s="6" t="s">
        <v>4791</v>
      </c>
      <c r="E325" s="332" t="s">
        <v>100</v>
      </c>
      <c r="F325" s="199">
        <v>4</v>
      </c>
      <c r="G325" s="192">
        <f t="shared" si="9"/>
        <v>25</v>
      </c>
      <c r="H325" s="129" t="s">
        <v>3940</v>
      </c>
      <c r="I325" s="129" t="s">
        <v>4704</v>
      </c>
      <c r="J325" s="162" t="s">
        <v>3879</v>
      </c>
      <c r="K325" s="129" t="s">
        <v>3941</v>
      </c>
      <c r="L325" s="162" t="s">
        <v>3</v>
      </c>
      <c r="M325" s="12">
        <v>171</v>
      </c>
      <c r="N325" s="159" t="s">
        <v>8925</v>
      </c>
    </row>
    <row r="326" spans="1:14" ht="23.4" customHeight="1" x14ac:dyDescent="0.25">
      <c r="A326" s="180" t="s">
        <v>1404</v>
      </c>
      <c r="B326" s="129" t="s">
        <v>226</v>
      </c>
      <c r="C326" s="16" t="s">
        <v>2078</v>
      </c>
      <c r="D326" s="6" t="s">
        <v>4791</v>
      </c>
      <c r="E326" s="332" t="s">
        <v>100</v>
      </c>
      <c r="F326" s="199">
        <v>4</v>
      </c>
      <c r="G326" s="192">
        <f t="shared" si="9"/>
        <v>25</v>
      </c>
      <c r="H326" s="129" t="s">
        <v>3887</v>
      </c>
      <c r="I326" s="129" t="s">
        <v>4310</v>
      </c>
      <c r="J326" s="162" t="s">
        <v>4077</v>
      </c>
      <c r="K326" s="129" t="s">
        <v>4309</v>
      </c>
      <c r="L326" s="162" t="s">
        <v>118</v>
      </c>
      <c r="M326" s="12">
        <v>183</v>
      </c>
      <c r="N326" s="159" t="s">
        <v>4311</v>
      </c>
    </row>
    <row r="327" spans="1:14" ht="23.4" customHeight="1" x14ac:dyDescent="0.25">
      <c r="A327" s="180" t="s">
        <v>1417</v>
      </c>
      <c r="B327" s="129" t="s">
        <v>101</v>
      </c>
      <c r="C327" s="16" t="s">
        <v>2078</v>
      </c>
      <c r="D327" s="6" t="s">
        <v>4791</v>
      </c>
      <c r="E327" s="332" t="s">
        <v>100</v>
      </c>
      <c r="F327" s="199">
        <v>4</v>
      </c>
      <c r="G327" s="192">
        <f t="shared" si="9"/>
        <v>25</v>
      </c>
      <c r="H327" s="129" t="s">
        <v>3891</v>
      </c>
      <c r="I327" s="129" t="s">
        <v>4677</v>
      </c>
      <c r="J327" s="162" t="s">
        <v>4675</v>
      </c>
      <c r="K327" s="129" t="s">
        <v>4676</v>
      </c>
      <c r="L327" s="162" t="s">
        <v>118</v>
      </c>
      <c r="M327" s="12">
        <v>187</v>
      </c>
      <c r="N327" s="159" t="s">
        <v>4678</v>
      </c>
    </row>
    <row r="328" spans="1:14" ht="23.4" customHeight="1" x14ac:dyDescent="0.25">
      <c r="A328" s="180" t="s">
        <v>1486</v>
      </c>
      <c r="B328" s="129" t="s">
        <v>3686</v>
      </c>
      <c r="C328" s="16" t="s">
        <v>2078</v>
      </c>
      <c r="D328" s="6" t="s">
        <v>4791</v>
      </c>
      <c r="E328" s="332" t="s">
        <v>100</v>
      </c>
      <c r="F328" s="199">
        <v>4</v>
      </c>
      <c r="G328" s="192">
        <f t="shared" si="9"/>
        <v>25</v>
      </c>
      <c r="H328" s="129" t="s">
        <v>3887</v>
      </c>
      <c r="I328" s="129" t="s">
        <v>3916</v>
      </c>
      <c r="J328" s="162" t="s">
        <v>3879</v>
      </c>
      <c r="K328" s="129" t="s">
        <v>3941</v>
      </c>
      <c r="L328" s="162" t="s">
        <v>3</v>
      </c>
      <c r="M328" s="12">
        <v>171</v>
      </c>
      <c r="N328" s="159" t="s">
        <v>3942</v>
      </c>
    </row>
    <row r="329" spans="1:14" ht="23.4" customHeight="1" x14ac:dyDescent="0.25">
      <c r="A329" s="180" t="s">
        <v>1413</v>
      </c>
      <c r="B329" s="129" t="s">
        <v>234</v>
      </c>
      <c r="C329" s="16" t="s">
        <v>2078</v>
      </c>
      <c r="D329" s="6" t="s">
        <v>4791</v>
      </c>
      <c r="E329" s="332" t="s">
        <v>100</v>
      </c>
      <c r="F329" s="199">
        <v>4</v>
      </c>
      <c r="G329" s="192">
        <f t="shared" si="9"/>
        <v>25</v>
      </c>
      <c r="H329" s="129" t="s">
        <v>3926</v>
      </c>
      <c r="I329" s="129" t="s">
        <v>4289</v>
      </c>
      <c r="J329" s="162" t="s">
        <v>3900</v>
      </c>
      <c r="K329" s="129" t="s">
        <v>4662</v>
      </c>
      <c r="L329" s="162" t="s">
        <v>118</v>
      </c>
      <c r="M329" s="12">
        <v>186</v>
      </c>
      <c r="N329" s="159" t="s">
        <v>4663</v>
      </c>
    </row>
    <row r="330" spans="1:14" ht="23.4" customHeight="1" x14ac:dyDescent="0.25">
      <c r="A330" s="180" t="s">
        <v>1421</v>
      </c>
      <c r="B330" s="170" t="s">
        <v>2078</v>
      </c>
      <c r="C330" s="16" t="s">
        <v>2078</v>
      </c>
      <c r="D330" s="6" t="s">
        <v>4791</v>
      </c>
      <c r="E330" s="332" t="s">
        <v>100</v>
      </c>
      <c r="F330" s="199">
        <v>4</v>
      </c>
      <c r="G330" s="192">
        <f t="shared" si="9"/>
        <v>25</v>
      </c>
      <c r="H330" s="129" t="s">
        <v>3925</v>
      </c>
      <c r="I330" s="129" t="s">
        <v>4715</v>
      </c>
      <c r="J330" s="162" t="s">
        <v>3879</v>
      </c>
      <c r="K330" s="129" t="s">
        <v>4686</v>
      </c>
      <c r="L330" s="162" t="s">
        <v>118</v>
      </c>
      <c r="M330" s="12">
        <v>188</v>
      </c>
      <c r="N330" s="159" t="s">
        <v>4687</v>
      </c>
    </row>
    <row r="331" spans="1:14" ht="23.4" customHeight="1" x14ac:dyDescent="0.25">
      <c r="A331" s="180" t="s">
        <v>1488</v>
      </c>
      <c r="B331" s="129" t="s">
        <v>2097</v>
      </c>
      <c r="C331" s="16" t="s">
        <v>2078</v>
      </c>
      <c r="D331" s="6" t="s">
        <v>4791</v>
      </c>
      <c r="E331" s="332" t="s">
        <v>100</v>
      </c>
      <c r="F331" s="199">
        <v>4</v>
      </c>
      <c r="G331" s="192">
        <f t="shared" si="9"/>
        <v>25</v>
      </c>
      <c r="H331" s="129" t="s">
        <v>3891</v>
      </c>
      <c r="I331" s="129" t="s">
        <v>3943</v>
      </c>
      <c r="J331" s="162" t="s">
        <v>3893</v>
      </c>
      <c r="K331" s="129" t="s">
        <v>3944</v>
      </c>
      <c r="L331" s="162" t="s">
        <v>3</v>
      </c>
      <c r="M331" s="12">
        <v>171</v>
      </c>
      <c r="N331" s="159" t="s">
        <v>3945</v>
      </c>
    </row>
    <row r="332" spans="1:14" ht="23.4" customHeight="1" x14ac:dyDescent="0.25">
      <c r="A332" s="180" t="s">
        <v>1419</v>
      </c>
      <c r="B332" s="129" t="s">
        <v>237</v>
      </c>
      <c r="C332" s="16" t="s">
        <v>2078</v>
      </c>
      <c r="D332" s="6" t="s">
        <v>4791</v>
      </c>
      <c r="E332" s="332" t="s">
        <v>100</v>
      </c>
      <c r="F332" s="199">
        <v>4</v>
      </c>
      <c r="G332" s="192">
        <f t="shared" si="9"/>
        <v>25</v>
      </c>
      <c r="H332" s="129" t="s">
        <v>3916</v>
      </c>
      <c r="I332" s="129" t="s">
        <v>4300</v>
      </c>
      <c r="J332" s="162" t="s">
        <v>3879</v>
      </c>
      <c r="K332" s="129" t="s">
        <v>4682</v>
      </c>
      <c r="L332" s="162" t="s">
        <v>118</v>
      </c>
      <c r="M332" s="12">
        <v>188</v>
      </c>
      <c r="N332" s="159" t="s">
        <v>4683</v>
      </c>
    </row>
    <row r="333" spans="1:14" ht="23.4" customHeight="1" x14ac:dyDescent="0.25">
      <c r="A333" s="180" t="s">
        <v>1487</v>
      </c>
      <c r="B333" s="170" t="s">
        <v>2078</v>
      </c>
      <c r="C333" s="16" t="s">
        <v>2078</v>
      </c>
      <c r="D333" s="6" t="s">
        <v>4791</v>
      </c>
      <c r="E333" s="332" t="s">
        <v>100</v>
      </c>
      <c r="F333" s="199">
        <v>4</v>
      </c>
      <c r="G333" s="192">
        <f t="shared" si="9"/>
        <v>25</v>
      </c>
      <c r="H333" s="129" t="s">
        <v>3884</v>
      </c>
      <c r="I333" s="129" t="s">
        <v>4262</v>
      </c>
      <c r="J333" s="162" t="s">
        <v>3930</v>
      </c>
      <c r="K333" s="129" t="s">
        <v>3935</v>
      </c>
      <c r="L333" s="162" t="s">
        <v>3</v>
      </c>
      <c r="M333" s="12">
        <v>171</v>
      </c>
      <c r="N333" s="159" t="s">
        <v>3946</v>
      </c>
    </row>
    <row r="334" spans="1:14" ht="23.4" customHeight="1" x14ac:dyDescent="0.25">
      <c r="A334" s="180" t="s">
        <v>1410</v>
      </c>
      <c r="B334" s="170" t="s">
        <v>2078</v>
      </c>
      <c r="C334" s="16" t="s">
        <v>2078</v>
      </c>
      <c r="D334" s="6" t="s">
        <v>4791</v>
      </c>
      <c r="E334" s="332" t="s">
        <v>100</v>
      </c>
      <c r="F334" s="199">
        <v>4</v>
      </c>
      <c r="G334" s="192">
        <f t="shared" si="9"/>
        <v>25</v>
      </c>
      <c r="H334" s="129" t="s">
        <v>4322</v>
      </c>
      <c r="I334" s="129" t="s">
        <v>4322</v>
      </c>
      <c r="J334" s="162" t="s">
        <v>3879</v>
      </c>
      <c r="K334" s="129" t="s">
        <v>1284</v>
      </c>
      <c r="L334" s="162" t="s">
        <v>118</v>
      </c>
      <c r="M334" s="12">
        <v>184</v>
      </c>
      <c r="N334" s="159" t="s">
        <v>4323</v>
      </c>
    </row>
    <row r="335" spans="1:14" ht="23.4" customHeight="1" x14ac:dyDescent="0.25">
      <c r="A335" s="180" t="s">
        <v>1485</v>
      </c>
      <c r="B335" s="129" t="s">
        <v>233</v>
      </c>
      <c r="C335" s="16" t="s">
        <v>2078</v>
      </c>
      <c r="D335" s="6" t="s">
        <v>4791</v>
      </c>
      <c r="E335" s="332" t="s">
        <v>100</v>
      </c>
      <c r="F335" s="199">
        <v>4</v>
      </c>
      <c r="G335" s="192">
        <f t="shared" si="9"/>
        <v>25</v>
      </c>
      <c r="H335" s="129" t="s">
        <v>3947</v>
      </c>
      <c r="I335" s="129" t="s">
        <v>3948</v>
      </c>
      <c r="J335" s="162" t="s">
        <v>3893</v>
      </c>
      <c r="K335" s="129" t="s">
        <v>3949</v>
      </c>
      <c r="L335" s="162" t="s">
        <v>3</v>
      </c>
      <c r="M335" s="12">
        <v>171</v>
      </c>
      <c r="N335" s="159" t="s">
        <v>3950</v>
      </c>
    </row>
    <row r="336" spans="1:14" ht="23.4" customHeight="1" x14ac:dyDescent="0.25">
      <c r="A336" s="180" t="s">
        <v>1424</v>
      </c>
      <c r="B336" s="170" t="s">
        <v>2078</v>
      </c>
      <c r="C336" s="16" t="s">
        <v>2078</v>
      </c>
      <c r="D336" s="6" t="s">
        <v>4791</v>
      </c>
      <c r="E336" s="332" t="s">
        <v>100</v>
      </c>
      <c r="F336" s="199">
        <v>4</v>
      </c>
      <c r="G336" s="192">
        <f t="shared" si="9"/>
        <v>25</v>
      </c>
      <c r="H336" s="129" t="s">
        <v>3891</v>
      </c>
      <c r="I336" s="129" t="s">
        <v>3916</v>
      </c>
      <c r="J336" s="162" t="s">
        <v>3889</v>
      </c>
      <c r="K336" s="129" t="s">
        <v>4690</v>
      </c>
      <c r="L336" s="162" t="s">
        <v>118</v>
      </c>
      <c r="M336" s="12">
        <v>190</v>
      </c>
      <c r="N336" s="159" t="s">
        <v>4691</v>
      </c>
    </row>
    <row r="337" spans="1:14" ht="23.4" customHeight="1" x14ac:dyDescent="0.25">
      <c r="A337" s="180" t="s">
        <v>4664</v>
      </c>
      <c r="B337" s="129" t="s">
        <v>102</v>
      </c>
      <c r="C337" s="16" t="s">
        <v>2078</v>
      </c>
      <c r="D337" s="6" t="s">
        <v>4791</v>
      </c>
      <c r="E337" s="332" t="s">
        <v>100</v>
      </c>
      <c r="F337" s="199">
        <v>4</v>
      </c>
      <c r="G337" s="192">
        <f t="shared" si="9"/>
        <v>25</v>
      </c>
      <c r="H337" s="129" t="s">
        <v>3925</v>
      </c>
      <c r="I337" s="129" t="s">
        <v>4262</v>
      </c>
      <c r="J337" s="162" t="s">
        <v>3912</v>
      </c>
      <c r="K337" s="129" t="s">
        <v>4665</v>
      </c>
      <c r="L337" s="162" t="s">
        <v>118</v>
      </c>
      <c r="M337" s="12">
        <v>186</v>
      </c>
      <c r="N337" s="159" t="s">
        <v>8926</v>
      </c>
    </row>
    <row r="338" spans="1:14" ht="23.4" customHeight="1" x14ac:dyDescent="0.25">
      <c r="A338" s="180" t="s">
        <v>1489</v>
      </c>
      <c r="B338" s="129" t="s">
        <v>223</v>
      </c>
      <c r="C338" s="16" t="s">
        <v>2078</v>
      </c>
      <c r="D338" s="6" t="s">
        <v>4791</v>
      </c>
      <c r="E338" s="332" t="s">
        <v>100</v>
      </c>
      <c r="F338" s="199">
        <v>4</v>
      </c>
      <c r="G338" s="192">
        <f t="shared" si="9"/>
        <v>25</v>
      </c>
      <c r="H338" s="129" t="s">
        <v>3891</v>
      </c>
      <c r="I338" s="129" t="s">
        <v>627</v>
      </c>
      <c r="J338" s="162" t="s">
        <v>3951</v>
      </c>
      <c r="K338" s="129" t="s">
        <v>1284</v>
      </c>
      <c r="L338" s="162" t="s">
        <v>3</v>
      </c>
      <c r="M338" s="12">
        <v>172</v>
      </c>
      <c r="N338" s="159" t="s">
        <v>8927</v>
      </c>
    </row>
    <row r="339" spans="1:14" ht="23.4" customHeight="1" x14ac:dyDescent="0.25">
      <c r="A339" s="180" t="s">
        <v>1494</v>
      </c>
      <c r="B339" s="129" t="s">
        <v>234</v>
      </c>
      <c r="C339" s="16" t="s">
        <v>2078</v>
      </c>
      <c r="D339" s="6" t="s">
        <v>4791</v>
      </c>
      <c r="E339" s="332" t="s">
        <v>100</v>
      </c>
      <c r="F339" s="199">
        <v>5</v>
      </c>
      <c r="G339" s="192">
        <f t="shared" si="9"/>
        <v>30</v>
      </c>
      <c r="H339" s="129" t="s">
        <v>3953</v>
      </c>
      <c r="I339" s="129" t="s">
        <v>3954</v>
      </c>
      <c r="J339" s="162" t="s">
        <v>3900</v>
      </c>
      <c r="K339" s="129" t="s">
        <v>3955</v>
      </c>
      <c r="L339" s="162" t="s">
        <v>3</v>
      </c>
      <c r="M339" s="12">
        <v>172</v>
      </c>
      <c r="N339" s="159" t="str">
        <f>CONCATENATE("Vous créez un couloir d'air qui inflige ",Air+2,"g",Air," dommages sur son passage. Le papier et les tissus légers sont détruits instantanément mais les étoffes plus lourdes sont seulement déchirées. Quiconque subit des dommages doit réussir une jet de Terre de ND 20 ou être mis Au Sol.")</f>
        <v>Vous créez un couloir d'air qui inflige 4g2 dommages sur son passage. Le papier et les tissus légers sont détruits instantanément mais les étoffes plus lourdes sont seulement déchirées. Quiconque subit des dommages doit réussir une jet de Terre de ND 20 ou être mis Au Sol.</v>
      </c>
    </row>
    <row r="340" spans="1:14" ht="23.4" customHeight="1" x14ac:dyDescent="0.25">
      <c r="A340" s="180" t="s">
        <v>1405</v>
      </c>
      <c r="B340" s="129" t="s">
        <v>231</v>
      </c>
      <c r="C340" s="16" t="s">
        <v>2078</v>
      </c>
      <c r="D340" s="6" t="s">
        <v>4791</v>
      </c>
      <c r="E340" s="332" t="s">
        <v>100</v>
      </c>
      <c r="F340" s="199">
        <v>5</v>
      </c>
      <c r="G340" s="192">
        <f t="shared" si="9"/>
        <v>30</v>
      </c>
      <c r="H340" s="129" t="s">
        <v>3952</v>
      </c>
      <c r="I340" s="129" t="s">
        <v>4704</v>
      </c>
      <c r="J340" s="162" t="s">
        <v>3879</v>
      </c>
      <c r="K340" s="129" t="s">
        <v>3941</v>
      </c>
      <c r="L340" s="162" t="s">
        <v>118</v>
      </c>
      <c r="M340" s="12">
        <v>183</v>
      </c>
      <c r="N340" s="159" t="s">
        <v>4312</v>
      </c>
    </row>
    <row r="341" spans="1:14" ht="23.4" customHeight="1" x14ac:dyDescent="0.25">
      <c r="A341" s="180" t="s">
        <v>1491</v>
      </c>
      <c r="B341" s="170" t="s">
        <v>2078</v>
      </c>
      <c r="C341" s="16" t="s">
        <v>2078</v>
      </c>
      <c r="D341" s="6" t="s">
        <v>4791</v>
      </c>
      <c r="E341" s="332" t="s">
        <v>100</v>
      </c>
      <c r="F341" s="199">
        <v>5</v>
      </c>
      <c r="G341" s="192">
        <f t="shared" si="9"/>
        <v>30</v>
      </c>
      <c r="H341" s="129" t="s">
        <v>3956</v>
      </c>
      <c r="I341" s="129" t="s">
        <v>3957</v>
      </c>
      <c r="J341" s="162" t="s">
        <v>3900</v>
      </c>
      <c r="K341" s="129" t="s">
        <v>3958</v>
      </c>
      <c r="L341" s="162" t="s">
        <v>3</v>
      </c>
      <c r="M341" s="12">
        <v>172</v>
      </c>
      <c r="N341" s="159" t="s">
        <v>8928</v>
      </c>
    </row>
    <row r="342" spans="1:14" ht="23.4" customHeight="1" x14ac:dyDescent="0.25">
      <c r="A342" s="180" t="s">
        <v>1492</v>
      </c>
      <c r="B342" s="170" t="s">
        <v>3684</v>
      </c>
      <c r="C342" s="16" t="s">
        <v>2078</v>
      </c>
      <c r="D342" s="6" t="s">
        <v>4791</v>
      </c>
      <c r="E342" s="332" t="s">
        <v>100</v>
      </c>
      <c r="F342" s="199">
        <v>5</v>
      </c>
      <c r="G342" s="192">
        <f t="shared" si="9"/>
        <v>30</v>
      </c>
      <c r="H342" s="129" t="s">
        <v>3887</v>
      </c>
      <c r="I342" s="129" t="s">
        <v>4262</v>
      </c>
      <c r="J342" s="162" t="s">
        <v>4154</v>
      </c>
      <c r="K342" s="129" t="s">
        <v>1284</v>
      </c>
      <c r="L342" s="162" t="s">
        <v>3</v>
      </c>
      <c r="M342" s="12">
        <v>172</v>
      </c>
      <c r="N342" s="159" t="s">
        <v>3959</v>
      </c>
    </row>
    <row r="343" spans="1:14" ht="23.4" customHeight="1" x14ac:dyDescent="0.25">
      <c r="A343" s="180" t="s">
        <v>1490</v>
      </c>
      <c r="B343" s="170" t="s">
        <v>3684</v>
      </c>
      <c r="C343" s="16" t="s">
        <v>2078</v>
      </c>
      <c r="D343" s="6" t="s">
        <v>4791</v>
      </c>
      <c r="E343" s="332" t="s">
        <v>100</v>
      </c>
      <c r="F343" s="199">
        <v>5</v>
      </c>
      <c r="G343" s="192">
        <f t="shared" si="9"/>
        <v>30</v>
      </c>
      <c r="H343" s="129" t="s">
        <v>3891</v>
      </c>
      <c r="I343" s="129" t="s">
        <v>4262</v>
      </c>
      <c r="J343" s="162" t="s">
        <v>3951</v>
      </c>
      <c r="K343" s="129" t="s">
        <v>3960</v>
      </c>
      <c r="L343" s="162" t="s">
        <v>3</v>
      </c>
      <c r="M343" s="12">
        <v>172</v>
      </c>
      <c r="N343" s="159" t="s">
        <v>3961</v>
      </c>
    </row>
    <row r="344" spans="1:14" ht="23.4" customHeight="1" x14ac:dyDescent="0.25">
      <c r="A344" s="180" t="s">
        <v>1407</v>
      </c>
      <c r="B344" s="170" t="s">
        <v>2078</v>
      </c>
      <c r="C344" s="16" t="s">
        <v>2078</v>
      </c>
      <c r="D344" s="6" t="s">
        <v>4791</v>
      </c>
      <c r="E344" s="332" t="s">
        <v>100</v>
      </c>
      <c r="F344" s="199">
        <v>5</v>
      </c>
      <c r="G344" s="192">
        <f t="shared" si="9"/>
        <v>30</v>
      </c>
      <c r="H344" s="129" t="s">
        <v>3952</v>
      </c>
      <c r="I344" s="129" t="s">
        <v>4262</v>
      </c>
      <c r="J344" s="162" t="s">
        <v>4077</v>
      </c>
      <c r="K344" s="129" t="s">
        <v>4324</v>
      </c>
      <c r="L344" s="162" t="s">
        <v>118</v>
      </c>
      <c r="M344" s="12">
        <v>185</v>
      </c>
      <c r="N344" s="159" t="s">
        <v>8929</v>
      </c>
    </row>
    <row r="345" spans="1:14" ht="23.4" customHeight="1" x14ac:dyDescent="0.25">
      <c r="A345" s="180" t="s">
        <v>1493</v>
      </c>
      <c r="B345" s="129" t="s">
        <v>101</v>
      </c>
      <c r="C345" s="16" t="s">
        <v>2078</v>
      </c>
      <c r="D345" s="6" t="s">
        <v>4791</v>
      </c>
      <c r="E345" s="332" t="s">
        <v>100</v>
      </c>
      <c r="F345" s="199">
        <v>5</v>
      </c>
      <c r="G345" s="192">
        <f t="shared" ref="G345:G408" si="10">IF(OR(D345="Kiho",D345="Kata"),"---",5+F345*5)</f>
        <v>30</v>
      </c>
      <c r="H345" s="129" t="s">
        <v>3887</v>
      </c>
      <c r="I345" s="129" t="s">
        <v>3901</v>
      </c>
      <c r="J345" s="162" t="s">
        <v>3879</v>
      </c>
      <c r="K345" s="129" t="s">
        <v>3962</v>
      </c>
      <c r="L345" s="162" t="s">
        <v>3</v>
      </c>
      <c r="M345" s="12">
        <v>173</v>
      </c>
      <c r="N345" s="159" t="s">
        <v>8930</v>
      </c>
    </row>
    <row r="346" spans="1:14" ht="23.4" customHeight="1" x14ac:dyDescent="0.25">
      <c r="A346" s="180" t="s">
        <v>6225</v>
      </c>
      <c r="B346" s="129" t="s">
        <v>15</v>
      </c>
      <c r="C346" s="16" t="s">
        <v>2078</v>
      </c>
      <c r="D346" s="6" t="s">
        <v>4791</v>
      </c>
      <c r="E346" s="332" t="s">
        <v>100</v>
      </c>
      <c r="F346" s="199">
        <v>6</v>
      </c>
      <c r="G346" s="193">
        <f t="shared" si="10"/>
        <v>35</v>
      </c>
      <c r="H346" s="129" t="s">
        <v>3887</v>
      </c>
      <c r="I346" s="129" t="s">
        <v>3916</v>
      </c>
      <c r="J346" s="162" t="s">
        <v>3893</v>
      </c>
      <c r="K346" s="129" t="s">
        <v>1284</v>
      </c>
      <c r="L346" s="162" t="s">
        <v>6192</v>
      </c>
      <c r="M346" s="12">
        <v>185</v>
      </c>
      <c r="N346" s="158" t="s">
        <v>6227</v>
      </c>
    </row>
    <row r="347" spans="1:14" ht="23.4" customHeight="1" x14ac:dyDescent="0.25">
      <c r="A347" s="180" t="s">
        <v>1495</v>
      </c>
      <c r="B347" s="170" t="s">
        <v>2078</v>
      </c>
      <c r="C347" s="16" t="s">
        <v>2078</v>
      </c>
      <c r="D347" s="6" t="s">
        <v>4791</v>
      </c>
      <c r="E347" s="332" t="s">
        <v>100</v>
      </c>
      <c r="F347" s="199">
        <v>6</v>
      </c>
      <c r="G347" s="192">
        <f t="shared" si="10"/>
        <v>35</v>
      </c>
      <c r="H347" s="129" t="s">
        <v>3952</v>
      </c>
      <c r="I347" s="129" t="s">
        <v>4704</v>
      </c>
      <c r="J347" s="162" t="s">
        <v>4154</v>
      </c>
      <c r="K347" s="129" t="s">
        <v>1284</v>
      </c>
      <c r="L347" s="162" t="s">
        <v>3</v>
      </c>
      <c r="M347" s="12">
        <v>173</v>
      </c>
      <c r="N347" s="159" t="s">
        <v>3963</v>
      </c>
    </row>
    <row r="348" spans="1:14" ht="23.4" customHeight="1" x14ac:dyDescent="0.25">
      <c r="A348" s="180" t="s">
        <v>1498</v>
      </c>
      <c r="B348" s="129" t="s">
        <v>234</v>
      </c>
      <c r="C348" s="16" t="s">
        <v>2078</v>
      </c>
      <c r="D348" s="6" t="s">
        <v>4791</v>
      </c>
      <c r="E348" s="332" t="s">
        <v>100</v>
      </c>
      <c r="F348" s="199">
        <v>6</v>
      </c>
      <c r="G348" s="192">
        <f t="shared" si="10"/>
        <v>35</v>
      </c>
      <c r="H348" s="129" t="s">
        <v>3887</v>
      </c>
      <c r="I348" s="129" t="s">
        <v>3966</v>
      </c>
      <c r="J348" s="162" t="s">
        <v>4155</v>
      </c>
      <c r="K348" s="129" t="s">
        <v>1284</v>
      </c>
      <c r="L348" s="162" t="s">
        <v>3</v>
      </c>
      <c r="M348" s="12">
        <v>173</v>
      </c>
      <c r="N348" s="159" t="s">
        <v>3965</v>
      </c>
    </row>
    <row r="349" spans="1:14" ht="23.4" customHeight="1" x14ac:dyDescent="0.25">
      <c r="A349" s="180" t="s">
        <v>1758</v>
      </c>
      <c r="B349" s="170" t="s">
        <v>2078</v>
      </c>
      <c r="C349" s="16" t="s">
        <v>2078</v>
      </c>
      <c r="D349" s="6" t="s">
        <v>4791</v>
      </c>
      <c r="E349" s="332" t="s">
        <v>100</v>
      </c>
      <c r="F349" s="199">
        <v>6</v>
      </c>
      <c r="G349" s="192">
        <f t="shared" si="10"/>
        <v>35</v>
      </c>
      <c r="H349" s="129" t="s">
        <v>3891</v>
      </c>
      <c r="I349" s="129" t="s">
        <v>4262</v>
      </c>
      <c r="J349" s="162" t="s">
        <v>4277</v>
      </c>
      <c r="K349" s="129" t="s">
        <v>4734</v>
      </c>
      <c r="L349" s="162" t="s">
        <v>2079</v>
      </c>
      <c r="M349" s="12">
        <v>51</v>
      </c>
      <c r="N349" s="159" t="s">
        <v>4735</v>
      </c>
    </row>
    <row r="350" spans="1:14" ht="23.4" customHeight="1" x14ac:dyDescent="0.25">
      <c r="A350" s="180" t="s">
        <v>1497</v>
      </c>
      <c r="B350" s="129" t="s">
        <v>233</v>
      </c>
      <c r="C350" s="16" t="s">
        <v>2078</v>
      </c>
      <c r="D350" s="6" t="s">
        <v>4791</v>
      </c>
      <c r="E350" s="332" t="s">
        <v>100</v>
      </c>
      <c r="F350" s="199">
        <v>6</v>
      </c>
      <c r="G350" s="192">
        <f t="shared" si="10"/>
        <v>35</v>
      </c>
      <c r="H350" s="129" t="s">
        <v>3887</v>
      </c>
      <c r="I350" s="129" t="s">
        <v>3964</v>
      </c>
      <c r="J350" s="162" t="s">
        <v>4154</v>
      </c>
      <c r="K350" s="129" t="s">
        <v>3967</v>
      </c>
      <c r="L350" s="162" t="s">
        <v>3</v>
      </c>
      <c r="M350" s="12">
        <v>173</v>
      </c>
      <c r="N350" s="159" t="str">
        <f>CONCATENATE("Vous pouvez créer jusqu'a ",Air*10," silhouettes illusoires. L'apparence que vous leur donnez peut être aussi détaillée que vous le souhaitez mais doit vous être famillière. Elles sont mobiles, on peut les voir et les sentir mais pas interagir physiquement avec elles.")</f>
        <v>Vous pouvez créer jusqu'a 20 silhouettes illusoires. L'apparence que vous leur donnez peut être aussi détaillée que vous le souhaitez mais doit vous être famillière. Elles sont mobiles, on peut les voir et les sentir mais pas interagir physiquement avec elles.</v>
      </c>
    </row>
    <row r="351" spans="1:14" ht="23.4" customHeight="1" x14ac:dyDescent="0.25">
      <c r="A351" s="180" t="s">
        <v>1414</v>
      </c>
      <c r="B351" s="170" t="s">
        <v>2078</v>
      </c>
      <c r="C351" s="16" t="s">
        <v>2078</v>
      </c>
      <c r="D351" s="6" t="s">
        <v>4791</v>
      </c>
      <c r="E351" s="332" t="s">
        <v>100</v>
      </c>
      <c r="F351" s="199">
        <v>6</v>
      </c>
      <c r="G351" s="192">
        <f t="shared" si="10"/>
        <v>35</v>
      </c>
      <c r="H351" s="129" t="s">
        <v>4322</v>
      </c>
      <c r="I351" s="129" t="s">
        <v>4322</v>
      </c>
      <c r="J351" s="162" t="s">
        <v>3934</v>
      </c>
      <c r="K351" s="129" t="s">
        <v>4114</v>
      </c>
      <c r="L351" s="162" t="s">
        <v>118</v>
      </c>
      <c r="M351" s="89">
        <v>187</v>
      </c>
      <c r="N351" s="159" t="s">
        <v>7684</v>
      </c>
    </row>
    <row r="352" spans="1:14" ht="23.4" customHeight="1" x14ac:dyDescent="0.25">
      <c r="A352" s="180" t="s">
        <v>1422</v>
      </c>
      <c r="B352" s="170" t="s">
        <v>2078</v>
      </c>
      <c r="C352" s="16" t="s">
        <v>2078</v>
      </c>
      <c r="D352" s="6" t="s">
        <v>4791</v>
      </c>
      <c r="E352" s="332" t="s">
        <v>100</v>
      </c>
      <c r="F352" s="199">
        <v>6</v>
      </c>
      <c r="G352" s="192">
        <f t="shared" si="10"/>
        <v>35</v>
      </c>
      <c r="H352" s="129" t="s">
        <v>3925</v>
      </c>
      <c r="I352" s="129" t="s">
        <v>4262</v>
      </c>
      <c r="J352" s="162" t="s">
        <v>3889</v>
      </c>
      <c r="K352" s="129" t="s">
        <v>4688</v>
      </c>
      <c r="L352" s="162" t="s">
        <v>118</v>
      </c>
      <c r="M352" s="12">
        <v>189</v>
      </c>
      <c r="N352" s="159" t="s">
        <v>7685</v>
      </c>
    </row>
    <row r="353" spans="1:14" ht="23.4" customHeight="1" x14ac:dyDescent="0.25">
      <c r="A353" s="180" t="s">
        <v>6247</v>
      </c>
      <c r="B353" s="129" t="s">
        <v>102</v>
      </c>
      <c r="C353" s="16" t="s">
        <v>2078</v>
      </c>
      <c r="D353" s="6" t="s">
        <v>4791</v>
      </c>
      <c r="E353" s="336" t="s">
        <v>6280</v>
      </c>
      <c r="F353" s="12">
        <v>2</v>
      </c>
      <c r="G353" s="193">
        <f t="shared" si="10"/>
        <v>15</v>
      </c>
      <c r="H353" s="129" t="s">
        <v>4112</v>
      </c>
      <c r="I353" s="129" t="s">
        <v>3916</v>
      </c>
      <c r="J353" s="162" t="s">
        <v>4154</v>
      </c>
      <c r="K353" s="129" t="s">
        <v>6248</v>
      </c>
      <c r="L353" s="162" t="s">
        <v>6192</v>
      </c>
      <c r="M353" s="12">
        <v>187</v>
      </c>
      <c r="N353" s="159" t="s">
        <v>8931</v>
      </c>
    </row>
    <row r="354" spans="1:14" ht="23.4" customHeight="1" x14ac:dyDescent="0.25">
      <c r="A354" s="180" t="s">
        <v>6272</v>
      </c>
      <c r="B354" s="129" t="s">
        <v>31</v>
      </c>
      <c r="C354" s="16" t="s">
        <v>2078</v>
      </c>
      <c r="D354" s="6" t="s">
        <v>4791</v>
      </c>
      <c r="E354" s="336" t="s">
        <v>6281</v>
      </c>
      <c r="F354" s="12">
        <v>4</v>
      </c>
      <c r="G354" s="193">
        <f t="shared" si="10"/>
        <v>25</v>
      </c>
      <c r="H354" s="129" t="s">
        <v>3952</v>
      </c>
      <c r="I354" s="129" t="s">
        <v>3885</v>
      </c>
      <c r="J354" s="162" t="s">
        <v>3930</v>
      </c>
      <c r="K354" s="129" t="s">
        <v>6278</v>
      </c>
      <c r="L354" s="162" t="s">
        <v>6192</v>
      </c>
      <c r="M354" s="12">
        <v>189</v>
      </c>
      <c r="N354" s="159" t="s">
        <v>6279</v>
      </c>
    </row>
    <row r="355" spans="1:14" ht="23.4" customHeight="1" x14ac:dyDescent="0.25">
      <c r="A355" s="180" t="s">
        <v>6271</v>
      </c>
      <c r="B355" s="129" t="s">
        <v>6273</v>
      </c>
      <c r="C355" s="16" t="s">
        <v>2078</v>
      </c>
      <c r="D355" s="6" t="s">
        <v>4791</v>
      </c>
      <c r="E355" s="336" t="s">
        <v>6274</v>
      </c>
      <c r="F355" s="12">
        <v>5</v>
      </c>
      <c r="G355" s="193">
        <f t="shared" si="10"/>
        <v>30</v>
      </c>
      <c r="H355" s="129" t="s">
        <v>3887</v>
      </c>
      <c r="I355" s="129" t="s">
        <v>3916</v>
      </c>
      <c r="J355" s="162" t="s">
        <v>4077</v>
      </c>
      <c r="K355" s="129" t="s">
        <v>6275</v>
      </c>
      <c r="L355" s="162" t="s">
        <v>6192</v>
      </c>
      <c r="M355" s="12">
        <v>189</v>
      </c>
      <c r="N355" s="159" t="s">
        <v>6276</v>
      </c>
    </row>
    <row r="356" spans="1:14" ht="23.4" customHeight="1" x14ac:dyDescent="0.25">
      <c r="A356" s="180" t="s">
        <v>6238</v>
      </c>
      <c r="B356" s="129" t="s">
        <v>237</v>
      </c>
      <c r="C356" s="16" t="s">
        <v>2078</v>
      </c>
      <c r="D356" s="6" t="s">
        <v>4791</v>
      </c>
      <c r="E356" s="336" t="s">
        <v>1167</v>
      </c>
      <c r="F356" s="12">
        <v>3</v>
      </c>
      <c r="G356" s="193">
        <f t="shared" si="10"/>
        <v>20</v>
      </c>
      <c r="H356" s="129" t="s">
        <v>3887</v>
      </c>
      <c r="I356" s="129" t="s">
        <v>3906</v>
      </c>
      <c r="J356" s="162" t="s">
        <v>3900</v>
      </c>
      <c r="K356" s="129" t="s">
        <v>6240</v>
      </c>
      <c r="L356" s="162" t="s">
        <v>6192</v>
      </c>
      <c r="M356" s="12">
        <v>187</v>
      </c>
      <c r="N356" s="159" t="str">
        <f>CONCATENATE("Toute autre personne que le shugenja dans la zone d'effet subit ",Feu,"g",Feu," dommages alors que celui-ci vole dans les airs jusqu'à une distance ",6*Air,"m au maximum. Les deux effets se produisent au même Round. L'aterrisage se fait toujours sans heurt ni dégât.")</f>
        <v>Toute autre personne que le shugenja dans la zone d'effet subit 2g2 dommages alors que celui-ci vole dans les airs jusqu'à une distance 12m au maximum. Les deux effets se produisent au même Round. L'aterrisage se fait toujours sans heurt ni dégât.</v>
      </c>
    </row>
    <row r="357" spans="1:14" ht="23.4" customHeight="1" x14ac:dyDescent="0.25">
      <c r="A357" s="180" t="s">
        <v>6268</v>
      </c>
      <c r="B357" s="129" t="s">
        <v>6264</v>
      </c>
      <c r="C357" s="16" t="s">
        <v>2078</v>
      </c>
      <c r="D357" s="6" t="s">
        <v>4791</v>
      </c>
      <c r="E357" s="336" t="s">
        <v>1167</v>
      </c>
      <c r="F357" s="12">
        <v>4</v>
      </c>
      <c r="G357" s="193">
        <f t="shared" si="10"/>
        <v>25</v>
      </c>
      <c r="H357" s="129" t="s">
        <v>3925</v>
      </c>
      <c r="I357" s="129" t="s">
        <v>6265</v>
      </c>
      <c r="J357" s="162" t="s">
        <v>4154</v>
      </c>
      <c r="K357" s="129" t="s">
        <v>6266</v>
      </c>
      <c r="L357" s="162" t="s">
        <v>6192</v>
      </c>
      <c r="M357" s="12">
        <v>188</v>
      </c>
      <c r="N357" s="159" t="s">
        <v>6267</v>
      </c>
    </row>
    <row r="358" spans="1:14" ht="23.4" customHeight="1" x14ac:dyDescent="0.25">
      <c r="A358" s="180" t="s">
        <v>6259</v>
      </c>
      <c r="B358" s="129" t="s">
        <v>6260</v>
      </c>
      <c r="C358" s="16" t="s">
        <v>2078</v>
      </c>
      <c r="D358" s="6" t="s">
        <v>4791</v>
      </c>
      <c r="E358" s="336" t="s">
        <v>1167</v>
      </c>
      <c r="F358" s="12">
        <v>5</v>
      </c>
      <c r="G358" s="193">
        <f t="shared" si="10"/>
        <v>30</v>
      </c>
      <c r="H358" s="129" t="s">
        <v>3926</v>
      </c>
      <c r="I358" s="129" t="s">
        <v>3952</v>
      </c>
      <c r="J358" s="162" t="s">
        <v>3900</v>
      </c>
      <c r="K358" s="129" t="s">
        <v>6262</v>
      </c>
      <c r="L358" s="162" t="s">
        <v>6192</v>
      </c>
      <c r="M358" s="12">
        <v>188</v>
      </c>
      <c r="N358" s="159" t="s">
        <v>6263</v>
      </c>
    </row>
    <row r="359" spans="1:14" ht="23.4" customHeight="1" x14ac:dyDescent="0.25">
      <c r="A359" s="180" t="s">
        <v>6219</v>
      </c>
      <c r="B359" s="129" t="s">
        <v>15</v>
      </c>
      <c r="C359" s="16" t="s">
        <v>2078</v>
      </c>
      <c r="D359" s="6" t="s">
        <v>4791</v>
      </c>
      <c r="E359" s="336" t="s">
        <v>1167</v>
      </c>
      <c r="F359" s="12">
        <v>6</v>
      </c>
      <c r="G359" s="193">
        <f t="shared" si="10"/>
        <v>35</v>
      </c>
      <c r="H359" s="129" t="s">
        <v>3887</v>
      </c>
      <c r="I359" s="129" t="s">
        <v>3916</v>
      </c>
      <c r="J359" s="162" t="s">
        <v>3893</v>
      </c>
      <c r="K359" s="129" t="s">
        <v>1284</v>
      </c>
      <c r="L359" s="162" t="s">
        <v>6192</v>
      </c>
      <c r="M359" s="12">
        <v>185</v>
      </c>
      <c r="N359" s="159" t="s">
        <v>6220</v>
      </c>
    </row>
    <row r="360" spans="1:14" ht="23.4" customHeight="1" x14ac:dyDescent="0.25">
      <c r="A360" s="180" t="s">
        <v>6234</v>
      </c>
      <c r="B360" s="129" t="s">
        <v>103</v>
      </c>
      <c r="C360" s="16" t="s">
        <v>2078</v>
      </c>
      <c r="D360" s="6" t="s">
        <v>4791</v>
      </c>
      <c r="E360" s="336" t="s">
        <v>6235</v>
      </c>
      <c r="F360" s="12">
        <v>3</v>
      </c>
      <c r="G360" s="193">
        <f t="shared" si="10"/>
        <v>20</v>
      </c>
      <c r="H360" s="129" t="s">
        <v>3887</v>
      </c>
      <c r="I360" s="129" t="s">
        <v>6236</v>
      </c>
      <c r="J360" s="162" t="s">
        <v>3900</v>
      </c>
      <c r="K360" s="129" t="s">
        <v>6237</v>
      </c>
      <c r="L360" s="162" t="s">
        <v>6192</v>
      </c>
      <c r="M360" s="12">
        <v>186</v>
      </c>
      <c r="N360" s="159" t="s">
        <v>8932</v>
      </c>
    </row>
    <row r="361" spans="1:14" ht="23.4" customHeight="1" x14ac:dyDescent="0.25">
      <c r="A361" s="180" t="s">
        <v>6269</v>
      </c>
      <c r="B361" s="129" t="s">
        <v>36</v>
      </c>
      <c r="C361" s="16" t="s">
        <v>2078</v>
      </c>
      <c r="D361" s="6" t="s">
        <v>4791</v>
      </c>
      <c r="E361" s="336" t="s">
        <v>6235</v>
      </c>
      <c r="F361" s="12">
        <v>3</v>
      </c>
      <c r="G361" s="193">
        <f t="shared" si="10"/>
        <v>20</v>
      </c>
      <c r="H361" s="129" t="s">
        <v>3926</v>
      </c>
      <c r="I361" s="129" t="s">
        <v>3919</v>
      </c>
      <c r="J361" s="162" t="s">
        <v>3934</v>
      </c>
      <c r="K361" s="129" t="s">
        <v>6270</v>
      </c>
      <c r="L361" s="162" t="s">
        <v>6192</v>
      </c>
      <c r="M361" s="12">
        <v>188</v>
      </c>
      <c r="N361" s="159" t="s">
        <v>8933</v>
      </c>
    </row>
    <row r="362" spans="1:14" ht="23.4" customHeight="1" x14ac:dyDescent="0.25">
      <c r="A362" s="180" t="s">
        <v>1499</v>
      </c>
      <c r="B362" s="129" t="s">
        <v>2096</v>
      </c>
      <c r="C362" s="16" t="s">
        <v>2078</v>
      </c>
      <c r="D362" s="6" t="s">
        <v>4791</v>
      </c>
      <c r="E362" s="333" t="s">
        <v>578</v>
      </c>
      <c r="F362" s="12">
        <v>1</v>
      </c>
      <c r="G362" s="192">
        <f t="shared" si="10"/>
        <v>10</v>
      </c>
      <c r="H362" s="129" t="s">
        <v>3903</v>
      </c>
      <c r="I362" s="129" t="s">
        <v>3904</v>
      </c>
      <c r="J362" s="162" t="s">
        <v>3879</v>
      </c>
      <c r="K362" s="129" t="s">
        <v>3997</v>
      </c>
      <c r="L362" s="162" t="s">
        <v>3</v>
      </c>
      <c r="M362" s="12">
        <v>173</v>
      </c>
      <c r="N362" s="159" t="s">
        <v>3968</v>
      </c>
    </row>
    <row r="363" spans="1:14" ht="23.4" customHeight="1" x14ac:dyDescent="0.25">
      <c r="A363" s="180" t="s">
        <v>1508</v>
      </c>
      <c r="B363" s="129" t="s">
        <v>237</v>
      </c>
      <c r="C363" s="16" t="s">
        <v>2078</v>
      </c>
      <c r="D363" s="6" t="s">
        <v>4791</v>
      </c>
      <c r="E363" s="333" t="s">
        <v>578</v>
      </c>
      <c r="F363" s="12">
        <v>1</v>
      </c>
      <c r="G363" s="192">
        <f t="shared" si="10"/>
        <v>10</v>
      </c>
      <c r="H363" s="129" t="s">
        <v>3884</v>
      </c>
      <c r="I363" s="129" t="s">
        <v>4262</v>
      </c>
      <c r="J363" s="162" t="s">
        <v>3912</v>
      </c>
      <c r="K363" s="129" t="s">
        <v>3935</v>
      </c>
      <c r="L363" s="162" t="s">
        <v>3</v>
      </c>
      <c r="M363" s="12">
        <v>174</v>
      </c>
      <c r="N363" s="159" t="s">
        <v>3969</v>
      </c>
    </row>
    <row r="364" spans="1:14" s="196" customFormat="1" ht="23.4" customHeight="1" x14ac:dyDescent="0.25">
      <c r="A364" s="180" t="s">
        <v>8818</v>
      </c>
      <c r="B364" s="170" t="s">
        <v>2078</v>
      </c>
      <c r="C364" s="16" t="s">
        <v>2078</v>
      </c>
      <c r="D364" s="6" t="s">
        <v>4791</v>
      </c>
      <c r="E364" s="333" t="s">
        <v>578</v>
      </c>
      <c r="F364" s="12">
        <v>1</v>
      </c>
      <c r="G364" s="192">
        <f t="shared" si="10"/>
        <v>10</v>
      </c>
      <c r="H364" s="129" t="s">
        <v>3887</v>
      </c>
      <c r="I364" s="129" t="s">
        <v>8819</v>
      </c>
      <c r="J364" s="162" t="s">
        <v>4154</v>
      </c>
      <c r="K364" s="129" t="s">
        <v>8820</v>
      </c>
      <c r="L364" s="162" t="s">
        <v>7759</v>
      </c>
      <c r="M364" s="12">
        <v>22</v>
      </c>
      <c r="N364" s="159" t="s">
        <v>8934</v>
      </c>
    </row>
    <row r="365" spans="1:14" ht="23.4" customHeight="1" x14ac:dyDescent="0.25">
      <c r="A365" s="180" t="s">
        <v>1500</v>
      </c>
      <c r="B365" s="129" t="s">
        <v>231</v>
      </c>
      <c r="C365" s="16" t="s">
        <v>2078</v>
      </c>
      <c r="D365" s="6" t="s">
        <v>4791</v>
      </c>
      <c r="E365" s="333" t="s">
        <v>578</v>
      </c>
      <c r="F365" s="12">
        <v>1</v>
      </c>
      <c r="G365" s="192">
        <f t="shared" si="10"/>
        <v>10</v>
      </c>
      <c r="H365" s="129" t="s">
        <v>3887</v>
      </c>
      <c r="I365" s="129" t="s">
        <v>3901</v>
      </c>
      <c r="J365" s="162" t="s">
        <v>3970</v>
      </c>
      <c r="K365" s="129" t="s">
        <v>3971</v>
      </c>
      <c r="L365" s="162" t="s">
        <v>3</v>
      </c>
      <c r="M365" s="12">
        <v>174</v>
      </c>
      <c r="N365" s="159" t="s">
        <v>3972</v>
      </c>
    </row>
    <row r="366" spans="1:14" ht="23.4" customHeight="1" x14ac:dyDescent="0.25">
      <c r="A366" s="180" t="s">
        <v>1506</v>
      </c>
      <c r="B366" s="129" t="s">
        <v>231</v>
      </c>
      <c r="C366" s="16" t="s">
        <v>2078</v>
      </c>
      <c r="D366" s="6" t="s">
        <v>4791</v>
      </c>
      <c r="E366" s="333" t="s">
        <v>578</v>
      </c>
      <c r="F366" s="12">
        <v>1</v>
      </c>
      <c r="G366" s="192">
        <f t="shared" si="10"/>
        <v>10</v>
      </c>
      <c r="H366" s="129" t="s">
        <v>3875</v>
      </c>
      <c r="I366" s="129" t="s">
        <v>4262</v>
      </c>
      <c r="J366" s="162" t="s">
        <v>3900</v>
      </c>
      <c r="K366" s="129" t="s">
        <v>3973</v>
      </c>
      <c r="L366" s="162" t="s">
        <v>3</v>
      </c>
      <c r="M366" s="12">
        <v>174</v>
      </c>
      <c r="N366" s="159" t="s">
        <v>8935</v>
      </c>
    </row>
    <row r="367" spans="1:14" ht="23.4" customHeight="1" x14ac:dyDescent="0.25">
      <c r="A367" s="180" t="s">
        <v>1501</v>
      </c>
      <c r="B367" s="129" t="s">
        <v>228</v>
      </c>
      <c r="C367" s="16" t="s">
        <v>2078</v>
      </c>
      <c r="D367" s="6" t="s">
        <v>4791</v>
      </c>
      <c r="E367" s="333" t="s">
        <v>578</v>
      </c>
      <c r="F367" s="12">
        <v>1</v>
      </c>
      <c r="G367" s="192">
        <f t="shared" si="10"/>
        <v>10</v>
      </c>
      <c r="H367" s="129" t="s">
        <v>3875</v>
      </c>
      <c r="I367" s="129" t="s">
        <v>4262</v>
      </c>
      <c r="J367" s="162" t="s">
        <v>3930</v>
      </c>
      <c r="K367" s="129" t="s">
        <v>3935</v>
      </c>
      <c r="L367" s="162" t="s">
        <v>3</v>
      </c>
      <c r="M367" s="12">
        <v>174</v>
      </c>
      <c r="N367" s="159" t="s">
        <v>8936</v>
      </c>
    </row>
    <row r="368" spans="1:14" ht="23.4" customHeight="1" x14ac:dyDescent="0.25">
      <c r="A368" s="180" t="s">
        <v>4417</v>
      </c>
      <c r="B368" s="170" t="s">
        <v>2078</v>
      </c>
      <c r="C368" s="16" t="s">
        <v>2078</v>
      </c>
      <c r="D368" s="6" t="s">
        <v>4791</v>
      </c>
      <c r="E368" s="333" t="s">
        <v>578</v>
      </c>
      <c r="F368" s="12">
        <v>1</v>
      </c>
      <c r="G368" s="192">
        <f t="shared" si="10"/>
        <v>10</v>
      </c>
      <c r="H368" s="129" t="s">
        <v>3875</v>
      </c>
      <c r="I368" s="129" t="s">
        <v>4262</v>
      </c>
      <c r="J368" s="162" t="s">
        <v>4077</v>
      </c>
      <c r="K368" s="129" t="s">
        <v>5905</v>
      </c>
      <c r="L368" s="162" t="s">
        <v>4403</v>
      </c>
      <c r="M368" s="199">
        <v>180</v>
      </c>
      <c r="N368" s="159" t="s">
        <v>5906</v>
      </c>
    </row>
    <row r="369" spans="1:14" ht="23.4" customHeight="1" x14ac:dyDescent="0.25">
      <c r="A369" s="180" t="s">
        <v>4416</v>
      </c>
      <c r="B369" s="170" t="s">
        <v>7064</v>
      </c>
      <c r="C369" s="16" t="s">
        <v>2078</v>
      </c>
      <c r="D369" s="6" t="s">
        <v>4791</v>
      </c>
      <c r="E369" s="333" t="s">
        <v>578</v>
      </c>
      <c r="F369" s="12">
        <v>1</v>
      </c>
      <c r="G369" s="192">
        <f t="shared" si="10"/>
        <v>10</v>
      </c>
      <c r="H369" s="129" t="s">
        <v>3891</v>
      </c>
      <c r="I369" s="129" t="s">
        <v>5901</v>
      </c>
      <c r="J369" s="162" t="s">
        <v>3951</v>
      </c>
      <c r="K369" s="129" t="s">
        <v>5902</v>
      </c>
      <c r="L369" s="162" t="s">
        <v>4403</v>
      </c>
      <c r="M369" s="199">
        <v>180</v>
      </c>
      <c r="N369" s="159" t="s">
        <v>5910</v>
      </c>
    </row>
    <row r="370" spans="1:14" ht="23.4" customHeight="1" x14ac:dyDescent="0.25">
      <c r="A370" s="180" t="s">
        <v>4420</v>
      </c>
      <c r="B370" s="170" t="s">
        <v>4413</v>
      </c>
      <c r="C370" s="16" t="s">
        <v>2078</v>
      </c>
      <c r="D370" s="6" t="s">
        <v>4791</v>
      </c>
      <c r="E370" s="333" t="s">
        <v>578</v>
      </c>
      <c r="F370" s="12">
        <v>1</v>
      </c>
      <c r="G370" s="192">
        <f t="shared" si="10"/>
        <v>10</v>
      </c>
      <c r="H370" s="129" t="s">
        <v>3933</v>
      </c>
      <c r="I370" s="129" t="s">
        <v>4262</v>
      </c>
      <c r="J370" s="162" t="s">
        <v>3900</v>
      </c>
      <c r="K370" s="129" t="s">
        <v>5903</v>
      </c>
      <c r="L370" s="162" t="s">
        <v>4403</v>
      </c>
      <c r="M370" s="199">
        <v>180</v>
      </c>
      <c r="N370" s="159" t="s">
        <v>5904</v>
      </c>
    </row>
    <row r="371" spans="1:14" ht="23.4" customHeight="1" x14ac:dyDescent="0.25">
      <c r="A371" s="180" t="s">
        <v>1503</v>
      </c>
      <c r="B371" s="129" t="s">
        <v>3688</v>
      </c>
      <c r="C371" s="16" t="s">
        <v>2078</v>
      </c>
      <c r="D371" s="6" t="s">
        <v>4791</v>
      </c>
      <c r="E371" s="333" t="s">
        <v>578</v>
      </c>
      <c r="F371" s="12">
        <v>1</v>
      </c>
      <c r="G371" s="192">
        <f t="shared" si="10"/>
        <v>10</v>
      </c>
      <c r="H371" s="129" t="s">
        <v>3891</v>
      </c>
      <c r="I371" s="129" t="s">
        <v>3892</v>
      </c>
      <c r="J371" s="162" t="s">
        <v>3900</v>
      </c>
      <c r="K371" s="129" t="s">
        <v>1284</v>
      </c>
      <c r="L371" s="162" t="s">
        <v>3</v>
      </c>
      <c r="M371" s="12">
        <v>174</v>
      </c>
      <c r="N371" s="159" t="s">
        <v>8937</v>
      </c>
    </row>
    <row r="372" spans="1:14" ht="23.4" customHeight="1" x14ac:dyDescent="0.25">
      <c r="A372" s="180" t="s">
        <v>1504</v>
      </c>
      <c r="B372" s="170" t="s">
        <v>223</v>
      </c>
      <c r="C372" s="16" t="s">
        <v>2078</v>
      </c>
      <c r="D372" s="6" t="s">
        <v>4791</v>
      </c>
      <c r="E372" s="333" t="s">
        <v>578</v>
      </c>
      <c r="F372" s="12">
        <v>1</v>
      </c>
      <c r="G372" s="192">
        <f t="shared" si="10"/>
        <v>10</v>
      </c>
      <c r="H372" s="129" t="s">
        <v>3884</v>
      </c>
      <c r="I372" s="129" t="s">
        <v>4262</v>
      </c>
      <c r="J372" s="162" t="s">
        <v>3930</v>
      </c>
      <c r="K372" s="129" t="s">
        <v>3935</v>
      </c>
      <c r="L372" s="162" t="s">
        <v>3</v>
      </c>
      <c r="M372" s="12">
        <v>174</v>
      </c>
      <c r="N372" s="159" t="s">
        <v>3974</v>
      </c>
    </row>
    <row r="373" spans="1:14" ht="23.4" customHeight="1" x14ac:dyDescent="0.25">
      <c r="A373" s="180" t="s">
        <v>1507</v>
      </c>
      <c r="B373" s="170" t="s">
        <v>2078</v>
      </c>
      <c r="C373" s="16" t="s">
        <v>2078</v>
      </c>
      <c r="D373" s="6" t="s">
        <v>4791</v>
      </c>
      <c r="E373" s="333" t="s">
        <v>578</v>
      </c>
      <c r="F373" s="12">
        <v>1</v>
      </c>
      <c r="G373" s="192">
        <f t="shared" si="10"/>
        <v>10</v>
      </c>
      <c r="H373" s="129" t="s">
        <v>3933</v>
      </c>
      <c r="I373" s="129" t="s">
        <v>4709</v>
      </c>
      <c r="J373" s="162" t="s">
        <v>3900</v>
      </c>
      <c r="K373" s="129" t="s">
        <v>3975</v>
      </c>
      <c r="L373" s="162" t="s">
        <v>3</v>
      </c>
      <c r="M373" s="12">
        <v>174</v>
      </c>
      <c r="N373" s="159" t="s">
        <v>3976</v>
      </c>
    </row>
    <row r="374" spans="1:14" ht="23.4" customHeight="1" x14ac:dyDescent="0.25">
      <c r="A374" s="180" t="s">
        <v>1505</v>
      </c>
      <c r="B374" s="129" t="s">
        <v>237</v>
      </c>
      <c r="C374" s="16" t="s">
        <v>2078</v>
      </c>
      <c r="D374" s="6" t="s">
        <v>4791</v>
      </c>
      <c r="E374" s="333" t="s">
        <v>578</v>
      </c>
      <c r="F374" s="12">
        <v>1</v>
      </c>
      <c r="G374" s="192">
        <f t="shared" si="10"/>
        <v>10</v>
      </c>
      <c r="H374" s="129" t="s">
        <v>3891</v>
      </c>
      <c r="I374" s="129" t="s">
        <v>4262</v>
      </c>
      <c r="J374" s="162" t="s">
        <v>3893</v>
      </c>
      <c r="K374" s="129" t="s">
        <v>3977</v>
      </c>
      <c r="L374" s="162" t="s">
        <v>3</v>
      </c>
      <c r="M374" s="12">
        <v>174</v>
      </c>
      <c r="N374" s="159" t="str">
        <f>CONCATENATE("La cible de ce sort peut se déplacer de par Round d'une distance totale égale à son Anneau d'Eau X6m +",Eau,"m. Ce sort ne donne pas de déplacement suppl. à la cible mais augmente simplement son maximum de déplacement pdt chaque Round.")</f>
        <v>La cible de ce sort peut se déplacer de par Round d'une distance totale égale à son Anneau d'Eau X6m +2m. Ce sort ne donne pas de déplacement suppl. à la cible mais augmente simplement son maximum de déplacement pdt chaque Round.</v>
      </c>
    </row>
    <row r="375" spans="1:14" ht="23.4" customHeight="1" x14ac:dyDescent="0.25">
      <c r="A375" s="180" t="s">
        <v>1502</v>
      </c>
      <c r="B375" s="170" t="s">
        <v>7064</v>
      </c>
      <c r="C375" s="16" t="s">
        <v>2078</v>
      </c>
      <c r="D375" s="6" t="s">
        <v>4791</v>
      </c>
      <c r="E375" s="333" t="s">
        <v>578</v>
      </c>
      <c r="F375" s="12">
        <v>1</v>
      </c>
      <c r="G375" s="192">
        <f t="shared" si="10"/>
        <v>10</v>
      </c>
      <c r="H375" s="129" t="s">
        <v>3891</v>
      </c>
      <c r="I375" s="129" t="s">
        <v>4709</v>
      </c>
      <c r="J375" s="162" t="s">
        <v>3900</v>
      </c>
      <c r="K375" s="129" t="s">
        <v>1284</v>
      </c>
      <c r="L375" s="162" t="s">
        <v>3</v>
      </c>
      <c r="M375" s="12">
        <v>175</v>
      </c>
      <c r="N375" s="159" t="str">
        <f>CONCATENATE("Vous pouvez utiliser ce sort pour guérir les Blesures subies par autrui. Ce Sort restaure chez la cible un nmbre de Blessures égal à  la différence entre le jet d'incantation et le ND du Sort. (minimum  ",Eau,")")</f>
        <v>Vous pouvez utiliser ce sort pour guérir les Blesures subies par autrui. Ce Sort restaure chez la cible un nmbre de Blessures égal à  la différence entre le jet d'incantation et le ND du Sort. (minimum  2)</v>
      </c>
    </row>
    <row r="376" spans="1:14" ht="23.4" customHeight="1" x14ac:dyDescent="0.25">
      <c r="A376" s="180" t="s">
        <v>4421</v>
      </c>
      <c r="B376" s="170" t="s">
        <v>228</v>
      </c>
      <c r="C376" s="16" t="s">
        <v>2078</v>
      </c>
      <c r="D376" s="6" t="s">
        <v>4791</v>
      </c>
      <c r="E376" s="333" t="s">
        <v>578</v>
      </c>
      <c r="F376" s="12">
        <v>2</v>
      </c>
      <c r="G376" s="192">
        <f t="shared" si="10"/>
        <v>15</v>
      </c>
      <c r="H376" s="129" t="s">
        <v>3884</v>
      </c>
      <c r="I376" s="129" t="s">
        <v>4857</v>
      </c>
      <c r="J376" s="162" t="s">
        <v>3930</v>
      </c>
      <c r="K376" s="129" t="s">
        <v>5908</v>
      </c>
      <c r="L376" s="162" t="s">
        <v>4403</v>
      </c>
      <c r="M376" s="12">
        <v>180</v>
      </c>
      <c r="N376" s="159" t="s">
        <v>5909</v>
      </c>
    </row>
    <row r="377" spans="1:14" ht="23.4" customHeight="1" x14ac:dyDescent="0.25">
      <c r="A377" s="180" t="s">
        <v>7073</v>
      </c>
      <c r="B377" s="170" t="s">
        <v>7064</v>
      </c>
      <c r="C377" s="16" t="s">
        <v>2078</v>
      </c>
      <c r="D377" s="6" t="s">
        <v>4791</v>
      </c>
      <c r="E377" s="333" t="s">
        <v>578</v>
      </c>
      <c r="F377" s="12">
        <v>2</v>
      </c>
      <c r="G377" s="192">
        <f t="shared" si="10"/>
        <v>15</v>
      </c>
      <c r="H377" s="129" t="s">
        <v>3887</v>
      </c>
      <c r="I377" s="129" t="s">
        <v>7074</v>
      </c>
      <c r="J377" s="162" t="s">
        <v>7075</v>
      </c>
      <c r="K377" s="129" t="s">
        <v>7076</v>
      </c>
      <c r="L377" s="162" t="s">
        <v>6831</v>
      </c>
      <c r="M377" s="12">
        <v>85</v>
      </c>
      <c r="N377" s="159" t="s">
        <v>7077</v>
      </c>
    </row>
    <row r="378" spans="1:14" ht="23.4" customHeight="1" x14ac:dyDescent="0.25">
      <c r="A378" s="180" t="s">
        <v>1510</v>
      </c>
      <c r="B378" s="129" t="s">
        <v>102</v>
      </c>
      <c r="C378" s="16" t="s">
        <v>2078</v>
      </c>
      <c r="D378" s="6" t="s">
        <v>4791</v>
      </c>
      <c r="E378" s="333" t="s">
        <v>578</v>
      </c>
      <c r="F378" s="12">
        <v>2</v>
      </c>
      <c r="G378" s="192">
        <f t="shared" si="10"/>
        <v>15</v>
      </c>
      <c r="H378" s="129" t="s">
        <v>3978</v>
      </c>
      <c r="I378" s="129" t="s">
        <v>4710</v>
      </c>
      <c r="J378" s="162" t="s">
        <v>3879</v>
      </c>
      <c r="K378" s="129" t="s">
        <v>3979</v>
      </c>
      <c r="L378" s="162" t="s">
        <v>3</v>
      </c>
      <c r="M378" s="12">
        <v>175</v>
      </c>
      <c r="N378" s="159" t="s">
        <v>3980</v>
      </c>
    </row>
    <row r="379" spans="1:14" ht="23.4" customHeight="1" x14ac:dyDescent="0.25">
      <c r="A379" s="180" t="s">
        <v>654</v>
      </c>
      <c r="B379" s="129" t="s">
        <v>2096</v>
      </c>
      <c r="C379" s="16" t="s">
        <v>2078</v>
      </c>
      <c r="D379" s="6" t="s">
        <v>4791</v>
      </c>
      <c r="E379" s="333" t="s">
        <v>578</v>
      </c>
      <c r="F379" s="12">
        <v>2</v>
      </c>
      <c r="G379" s="192">
        <f t="shared" si="10"/>
        <v>15</v>
      </c>
      <c r="H379" s="129" t="s">
        <v>3887</v>
      </c>
      <c r="I379" s="129" t="s">
        <v>3981</v>
      </c>
      <c r="J379" s="162" t="s">
        <v>3900</v>
      </c>
      <c r="K379" s="129" t="s">
        <v>3982</v>
      </c>
      <c r="L379" s="162" t="s">
        <v>3</v>
      </c>
      <c r="M379" s="12">
        <v>175</v>
      </c>
      <c r="N379" s="159" t="s">
        <v>8938</v>
      </c>
    </row>
    <row r="380" spans="1:14" ht="23.4" customHeight="1" x14ac:dyDescent="0.25">
      <c r="A380" s="180" t="s">
        <v>1511</v>
      </c>
      <c r="B380" s="170" t="s">
        <v>7068</v>
      </c>
      <c r="C380" s="16" t="s">
        <v>2078</v>
      </c>
      <c r="D380" s="6" t="s">
        <v>4791</v>
      </c>
      <c r="E380" s="333" t="s">
        <v>578</v>
      </c>
      <c r="F380" s="12">
        <v>2</v>
      </c>
      <c r="G380" s="192">
        <f t="shared" si="10"/>
        <v>15</v>
      </c>
      <c r="H380" s="129" t="s">
        <v>3891</v>
      </c>
      <c r="I380" s="129" t="s">
        <v>4709</v>
      </c>
      <c r="J380" s="162" t="s">
        <v>3900</v>
      </c>
      <c r="K380" s="129" t="s">
        <v>3983</v>
      </c>
      <c r="L380" s="162" t="s">
        <v>3</v>
      </c>
      <c r="M380" s="12">
        <v>175</v>
      </c>
      <c r="N380" s="159" t="s">
        <v>3984</v>
      </c>
    </row>
    <row r="381" spans="1:14" ht="23.4" customHeight="1" x14ac:dyDescent="0.25">
      <c r="A381" s="180" t="s">
        <v>1509</v>
      </c>
      <c r="B381" s="129" t="s">
        <v>228</v>
      </c>
      <c r="C381" s="16" t="s">
        <v>2078</v>
      </c>
      <c r="D381" s="6" t="s">
        <v>4791</v>
      </c>
      <c r="E381" s="333" t="s">
        <v>578</v>
      </c>
      <c r="F381" s="12">
        <v>2</v>
      </c>
      <c r="G381" s="192">
        <f t="shared" si="10"/>
        <v>15</v>
      </c>
      <c r="H381" s="129" t="s">
        <v>3887</v>
      </c>
      <c r="I381" s="129" t="s">
        <v>3916</v>
      </c>
      <c r="J381" s="162" t="s">
        <v>3934</v>
      </c>
      <c r="K381" s="129" t="s">
        <v>3931</v>
      </c>
      <c r="L381" s="162" t="s">
        <v>3</v>
      </c>
      <c r="M381" s="12">
        <v>175</v>
      </c>
      <c r="N381" s="159" t="str">
        <f>CONCATENATE("Vous vous drappez d'un voile d'eau protecteur. Ajoutez ",Eau," plus votre Rang de Maitrise à votre ND d'Armure  pendant toute la durée du Sort.")</f>
        <v>Vous vous drappez d'un voile d'eau protecteur. Ajoutez 2 plus votre Rang de Maitrise à votre ND d'Armure  pendant toute la durée du Sort.</v>
      </c>
    </row>
    <row r="382" spans="1:14" ht="23.4" customHeight="1" x14ac:dyDescent="0.25">
      <c r="A382" s="180" t="s">
        <v>4422</v>
      </c>
      <c r="B382" s="170" t="s">
        <v>237</v>
      </c>
      <c r="C382" s="16" t="s">
        <v>2078</v>
      </c>
      <c r="D382" s="6" t="s">
        <v>4791</v>
      </c>
      <c r="E382" s="333" t="s">
        <v>578</v>
      </c>
      <c r="F382" s="12">
        <v>2</v>
      </c>
      <c r="G382" s="192">
        <f t="shared" si="10"/>
        <v>15</v>
      </c>
      <c r="H382" s="129" t="s">
        <v>3891</v>
      </c>
      <c r="I382" s="129" t="s">
        <v>5911</v>
      </c>
      <c r="J382" s="162" t="s">
        <v>3900</v>
      </c>
      <c r="K382" s="129" t="s">
        <v>5912</v>
      </c>
      <c r="L382" s="162" t="s">
        <v>4403</v>
      </c>
      <c r="M382" s="12">
        <v>181</v>
      </c>
      <c r="N382" s="159" t="s">
        <v>8939</v>
      </c>
    </row>
    <row r="383" spans="1:14" ht="23.4" customHeight="1" x14ac:dyDescent="0.25">
      <c r="A383" s="180" t="s">
        <v>4419</v>
      </c>
      <c r="B383" s="170" t="s">
        <v>2078</v>
      </c>
      <c r="C383" s="16" t="s">
        <v>2078</v>
      </c>
      <c r="D383" s="6" t="s">
        <v>4791</v>
      </c>
      <c r="E383" s="333" t="s">
        <v>578</v>
      </c>
      <c r="F383" s="12">
        <v>2</v>
      </c>
      <c r="G383" s="192">
        <f t="shared" si="10"/>
        <v>15</v>
      </c>
      <c r="H383" s="129" t="s">
        <v>3891</v>
      </c>
      <c r="I383" s="129" t="s">
        <v>3916</v>
      </c>
      <c r="J383" s="162" t="s">
        <v>3930</v>
      </c>
      <c r="K383" s="129" t="s">
        <v>5907</v>
      </c>
      <c r="L383" s="162" t="s">
        <v>4403</v>
      </c>
      <c r="M383" s="12">
        <v>180</v>
      </c>
      <c r="N383" s="159" t="str">
        <f>CONCATENATE("Pour la durée du sort, augmentez de ",ROUNDDOWN(Eau/2,0)," la Force de la cible. Cela ne peut pas augmenter la Force au-delà de 9.")</f>
        <v>Pour la durée du sort, augmentez de 1 la Force de la cible. Cela ne peut pas augmenter la Force au-delà de 9.</v>
      </c>
    </row>
    <row r="384" spans="1:14" ht="23.4" customHeight="1" x14ac:dyDescent="0.25">
      <c r="A384" s="180" t="s">
        <v>1750</v>
      </c>
      <c r="B384" s="170" t="s">
        <v>2078</v>
      </c>
      <c r="C384" s="16" t="s">
        <v>2078</v>
      </c>
      <c r="D384" s="6" t="s">
        <v>4791</v>
      </c>
      <c r="E384" s="333" t="s">
        <v>578</v>
      </c>
      <c r="F384" s="12">
        <v>2</v>
      </c>
      <c r="G384" s="192">
        <f t="shared" si="10"/>
        <v>15</v>
      </c>
      <c r="H384" s="129" t="s">
        <v>3925</v>
      </c>
      <c r="I384" s="129" t="s">
        <v>4262</v>
      </c>
      <c r="J384" s="162" t="s">
        <v>4154</v>
      </c>
      <c r="K384" s="129" t="s">
        <v>4263</v>
      </c>
      <c r="L384" s="162" t="s">
        <v>2076</v>
      </c>
      <c r="M384" s="12">
        <v>53</v>
      </c>
      <c r="N384" s="159" t="s">
        <v>4264</v>
      </c>
    </row>
    <row r="385" spans="1:14" ht="23.4" customHeight="1" x14ac:dyDescent="0.25">
      <c r="A385" s="180" t="s">
        <v>4418</v>
      </c>
      <c r="B385" s="170" t="s">
        <v>4414</v>
      </c>
      <c r="C385" s="16" t="s">
        <v>2078</v>
      </c>
      <c r="D385" s="6" t="s">
        <v>4791</v>
      </c>
      <c r="E385" s="333" t="s">
        <v>578</v>
      </c>
      <c r="F385" s="12">
        <v>2</v>
      </c>
      <c r="G385" s="192">
        <f t="shared" si="10"/>
        <v>15</v>
      </c>
      <c r="H385" s="129" t="s">
        <v>3916</v>
      </c>
      <c r="I385" s="129" t="s">
        <v>4300</v>
      </c>
      <c r="J385" s="162" t="s">
        <v>3970</v>
      </c>
      <c r="K385" s="129" t="s">
        <v>5913</v>
      </c>
      <c r="L385" s="162" t="s">
        <v>4403</v>
      </c>
      <c r="M385" s="12">
        <v>181</v>
      </c>
      <c r="N385" s="159" t="str">
        <f>CONCATENATE("Ce sort invoque une pluie divine depuis les cieux et ne peut être utilisé qu'en extérieur. Tous ceux qui sont dépourvus de la Souillure, de la Corruption du Néant et ont un rang d'honneur &gt;4 sont soignés au début de chaque Round de ",Eau," blessures. Les autres subissent 1g1 blessures de la même façon.")</f>
        <v>Ce sort invoque une pluie divine depuis les cieux et ne peut être utilisé qu'en extérieur. Tous ceux qui sont dépourvus de la Souillure, de la Corruption du Néant et ont un rang d'honneur &gt;4 sont soignés au début de chaque Round de 2 blessures. Les autres subissent 1g1 blessures de la même façon.</v>
      </c>
    </row>
    <row r="386" spans="1:14" ht="23.4" customHeight="1" x14ac:dyDescent="0.25">
      <c r="A386" s="180" t="s">
        <v>1513</v>
      </c>
      <c r="B386" s="129" t="s">
        <v>102</v>
      </c>
      <c r="C386" s="16" t="s">
        <v>2078</v>
      </c>
      <c r="D386" s="6" t="s">
        <v>4791</v>
      </c>
      <c r="E386" s="333" t="s">
        <v>578</v>
      </c>
      <c r="F386" s="12">
        <v>2</v>
      </c>
      <c r="G386" s="192">
        <f t="shared" si="10"/>
        <v>15</v>
      </c>
      <c r="H386" s="129" t="s">
        <v>3978</v>
      </c>
      <c r="I386" s="129" t="s">
        <v>3916</v>
      </c>
      <c r="J386" s="162" t="s">
        <v>3900</v>
      </c>
      <c r="K386" s="129" t="s">
        <v>3985</v>
      </c>
      <c r="L386" s="162" t="s">
        <v>3</v>
      </c>
      <c r="M386" s="12">
        <v>176</v>
      </c>
      <c r="N386" s="159" t="s">
        <v>3986</v>
      </c>
    </row>
    <row r="387" spans="1:14" ht="23.4" customHeight="1" x14ac:dyDescent="0.25">
      <c r="A387" s="180" t="s">
        <v>1514</v>
      </c>
      <c r="B387" s="129" t="s">
        <v>3689</v>
      </c>
      <c r="C387" s="16" t="s">
        <v>2078</v>
      </c>
      <c r="D387" s="6" t="s">
        <v>4791</v>
      </c>
      <c r="E387" s="333" t="s">
        <v>578</v>
      </c>
      <c r="F387" s="12">
        <v>2</v>
      </c>
      <c r="G387" s="192">
        <f t="shared" si="10"/>
        <v>15</v>
      </c>
      <c r="H387" s="129" t="s">
        <v>3887</v>
      </c>
      <c r="I387" s="129" t="s">
        <v>3916</v>
      </c>
      <c r="J387" s="162" t="s">
        <v>3970</v>
      </c>
      <c r="K387" s="129" t="s">
        <v>1284</v>
      </c>
      <c r="L387" s="162" t="s">
        <v>3</v>
      </c>
      <c r="M387" s="12">
        <v>176</v>
      </c>
      <c r="N387" s="159" t="s">
        <v>8940</v>
      </c>
    </row>
    <row r="388" spans="1:14" s="196" customFormat="1" ht="23.4" customHeight="1" x14ac:dyDescent="0.25">
      <c r="A388" s="180" t="s">
        <v>1512</v>
      </c>
      <c r="B388" s="129" t="s">
        <v>231</v>
      </c>
      <c r="C388" s="16" t="s">
        <v>2078</v>
      </c>
      <c r="D388" s="6" t="s">
        <v>4791</v>
      </c>
      <c r="E388" s="333" t="s">
        <v>578</v>
      </c>
      <c r="F388" s="12">
        <v>2</v>
      </c>
      <c r="G388" s="192">
        <f t="shared" si="10"/>
        <v>15</v>
      </c>
      <c r="H388" s="129" t="s">
        <v>3884</v>
      </c>
      <c r="I388" s="129" t="s">
        <v>4709</v>
      </c>
      <c r="J388" s="162" t="s">
        <v>3900</v>
      </c>
      <c r="K388" s="129" t="s">
        <v>3987</v>
      </c>
      <c r="L388" s="162" t="s">
        <v>3</v>
      </c>
      <c r="M388" s="12">
        <v>176</v>
      </c>
      <c r="N388" s="159" t="s">
        <v>3988</v>
      </c>
    </row>
    <row r="389" spans="1:14" ht="23.4" customHeight="1" x14ac:dyDescent="0.25">
      <c r="A389" s="180" t="s">
        <v>1515</v>
      </c>
      <c r="B389" s="170" t="s">
        <v>223</v>
      </c>
      <c r="C389" s="16" t="s">
        <v>2078</v>
      </c>
      <c r="D389" s="6" t="s">
        <v>4791</v>
      </c>
      <c r="E389" s="333" t="s">
        <v>578</v>
      </c>
      <c r="F389" s="12">
        <v>2</v>
      </c>
      <c r="G389" s="192">
        <f t="shared" si="10"/>
        <v>15</v>
      </c>
      <c r="H389" s="129" t="s">
        <v>3887</v>
      </c>
      <c r="I389" s="129" t="s">
        <v>3916</v>
      </c>
      <c r="J389" s="162" t="s">
        <v>3893</v>
      </c>
      <c r="K389" s="129" t="s">
        <v>3989</v>
      </c>
      <c r="L389" s="162" t="s">
        <v>3</v>
      </c>
      <c r="M389" s="12">
        <v>176</v>
      </c>
      <c r="N389" s="159" t="s">
        <v>8941</v>
      </c>
    </row>
    <row r="390" spans="1:14" ht="23.4" customHeight="1" x14ac:dyDescent="0.25">
      <c r="A390" s="180" t="s">
        <v>1522</v>
      </c>
      <c r="B390" s="170" t="s">
        <v>2078</v>
      </c>
      <c r="C390" s="16" t="s">
        <v>2078</v>
      </c>
      <c r="D390" s="6" t="s">
        <v>4791</v>
      </c>
      <c r="E390" s="333" t="s">
        <v>578</v>
      </c>
      <c r="F390" s="12">
        <v>3</v>
      </c>
      <c r="G390" s="192">
        <f t="shared" si="10"/>
        <v>20</v>
      </c>
      <c r="H390" s="129" t="s">
        <v>3891</v>
      </c>
      <c r="I390" s="129" t="s">
        <v>4715</v>
      </c>
      <c r="J390" s="162" t="s">
        <v>3934</v>
      </c>
      <c r="K390" s="129" t="s">
        <v>3990</v>
      </c>
      <c r="L390" s="162" t="s">
        <v>3</v>
      </c>
      <c r="M390" s="12">
        <v>176</v>
      </c>
      <c r="N390" s="159" t="str">
        <f>CONCATENATE("La cible de ce sort reçoit un bonus de ",Eau," à tous ses jets basés sur la Perception (qu'il s'agisse de Traits, de Compétences, de techniques ou de quoi que ce soit d'autre)")</f>
        <v>La cible de ce sort reçoit un bonus de 2 à tous ses jets basés sur la Perception (qu'il s'agisse de Traits, de Compétences, de techniques ou de quoi que ce soit d'autre)</v>
      </c>
    </row>
    <row r="391" spans="1:14" ht="23.4" customHeight="1" x14ac:dyDescent="0.25">
      <c r="A391" s="180" t="s">
        <v>1521</v>
      </c>
      <c r="B391" s="129" t="s">
        <v>237</v>
      </c>
      <c r="C391" s="16" t="s">
        <v>2078</v>
      </c>
      <c r="D391" s="6" t="s">
        <v>4791</v>
      </c>
      <c r="E391" s="333" t="s">
        <v>578</v>
      </c>
      <c r="F391" s="12">
        <v>3</v>
      </c>
      <c r="G391" s="192">
        <f t="shared" si="10"/>
        <v>20</v>
      </c>
      <c r="H391" s="129" t="s">
        <v>3891</v>
      </c>
      <c r="I391" s="129" t="s">
        <v>4715</v>
      </c>
      <c r="J391" s="162" t="s">
        <v>3917</v>
      </c>
      <c r="K391" s="129" t="s">
        <v>3991</v>
      </c>
      <c r="L391" s="162" t="s">
        <v>3</v>
      </c>
      <c r="M391" s="12">
        <v>176</v>
      </c>
      <c r="N391" s="159" t="s">
        <v>8942</v>
      </c>
    </row>
    <row r="392" spans="1:14" ht="23.4" customHeight="1" x14ac:dyDescent="0.25">
      <c r="A392" s="180" t="s">
        <v>4423</v>
      </c>
      <c r="B392" s="170" t="s">
        <v>2078</v>
      </c>
      <c r="C392" s="16" t="s">
        <v>2078</v>
      </c>
      <c r="D392" s="6" t="s">
        <v>4791</v>
      </c>
      <c r="E392" s="333" t="s">
        <v>578</v>
      </c>
      <c r="F392" s="12">
        <v>3</v>
      </c>
      <c r="G392" s="192">
        <f t="shared" si="10"/>
        <v>20</v>
      </c>
      <c r="H392" s="129" t="s">
        <v>3916</v>
      </c>
      <c r="I392" s="129" t="s">
        <v>3964</v>
      </c>
      <c r="J392" s="162" t="s">
        <v>4158</v>
      </c>
      <c r="K392" s="129" t="s">
        <v>5914</v>
      </c>
      <c r="L392" s="162" t="s">
        <v>4403</v>
      </c>
      <c r="M392" s="199">
        <v>181</v>
      </c>
      <c r="N392" s="159" t="s">
        <v>8943</v>
      </c>
    </row>
    <row r="393" spans="1:14" ht="23.4" customHeight="1" x14ac:dyDescent="0.25">
      <c r="A393" s="180" t="s">
        <v>1516</v>
      </c>
      <c r="B393" s="170" t="s">
        <v>7068</v>
      </c>
      <c r="C393" s="16" t="s">
        <v>2078</v>
      </c>
      <c r="D393" s="6" t="s">
        <v>4791</v>
      </c>
      <c r="E393" s="333" t="s">
        <v>578</v>
      </c>
      <c r="F393" s="12">
        <v>3</v>
      </c>
      <c r="G393" s="192">
        <f t="shared" si="10"/>
        <v>20</v>
      </c>
      <c r="H393" s="129" t="s">
        <v>3891</v>
      </c>
      <c r="I393" s="129" t="s">
        <v>4709</v>
      </c>
      <c r="J393" s="162" t="s">
        <v>3934</v>
      </c>
      <c r="K393" s="129" t="s">
        <v>3992</v>
      </c>
      <c r="L393" s="162" t="s">
        <v>3</v>
      </c>
      <c r="M393" s="12">
        <v>176</v>
      </c>
      <c r="N393" s="159" t="s">
        <v>3993</v>
      </c>
    </row>
    <row r="394" spans="1:14" ht="23.4" customHeight="1" x14ac:dyDescent="0.25">
      <c r="A394" s="180" t="s">
        <v>1518</v>
      </c>
      <c r="B394" s="129" t="s">
        <v>228</v>
      </c>
      <c r="C394" s="16" t="s">
        <v>2078</v>
      </c>
      <c r="D394" s="6" t="s">
        <v>4791</v>
      </c>
      <c r="E394" s="333" t="s">
        <v>578</v>
      </c>
      <c r="F394" s="12">
        <v>3</v>
      </c>
      <c r="G394" s="192">
        <f t="shared" si="10"/>
        <v>20</v>
      </c>
      <c r="H394" s="129" t="s">
        <v>3887</v>
      </c>
      <c r="I394" s="129" t="s">
        <v>3916</v>
      </c>
      <c r="J394" s="162" t="s">
        <v>68</v>
      </c>
      <c r="K394" s="129" t="s">
        <v>1284</v>
      </c>
      <c r="L394" s="162" t="s">
        <v>3</v>
      </c>
      <c r="M394" s="12">
        <v>176</v>
      </c>
      <c r="N394" s="159" t="s">
        <v>3994</v>
      </c>
    </row>
    <row r="395" spans="1:14" ht="23.4" customHeight="1" x14ac:dyDescent="0.25">
      <c r="A395" s="180" t="s">
        <v>1519</v>
      </c>
      <c r="B395" s="129" t="s">
        <v>231</v>
      </c>
      <c r="C395" s="16" t="s">
        <v>2078</v>
      </c>
      <c r="D395" s="6" t="s">
        <v>4791</v>
      </c>
      <c r="E395" s="333" t="s">
        <v>578</v>
      </c>
      <c r="F395" s="12">
        <v>3</v>
      </c>
      <c r="G395" s="192">
        <f t="shared" si="10"/>
        <v>20</v>
      </c>
      <c r="H395" s="129" t="s">
        <v>3933</v>
      </c>
      <c r="I395" s="129" t="s">
        <v>3995</v>
      </c>
      <c r="J395" s="162" t="s">
        <v>3900</v>
      </c>
      <c r="K395" s="129" t="s">
        <v>3996</v>
      </c>
      <c r="L395" s="162" t="s">
        <v>3</v>
      </c>
      <c r="M395" s="12">
        <v>177</v>
      </c>
      <c r="N395" s="159" t="s">
        <v>8944</v>
      </c>
    </row>
    <row r="396" spans="1:14" ht="23.4" customHeight="1" x14ac:dyDescent="0.25">
      <c r="A396" s="180" t="s">
        <v>1517</v>
      </c>
      <c r="B396" s="170" t="s">
        <v>7064</v>
      </c>
      <c r="C396" s="16" t="s">
        <v>2078</v>
      </c>
      <c r="D396" s="6" t="s">
        <v>4791</v>
      </c>
      <c r="E396" s="333" t="s">
        <v>578</v>
      </c>
      <c r="F396" s="12">
        <v>3</v>
      </c>
      <c r="G396" s="192">
        <f t="shared" si="10"/>
        <v>20</v>
      </c>
      <c r="H396" s="129" t="s">
        <v>3891</v>
      </c>
      <c r="I396" s="129" t="s">
        <v>4709</v>
      </c>
      <c r="J396" s="162" t="s">
        <v>4154</v>
      </c>
      <c r="K396" s="129" t="s">
        <v>3998</v>
      </c>
      <c r="L396" s="162" t="s">
        <v>3</v>
      </c>
      <c r="M396" s="12">
        <v>177</v>
      </c>
      <c r="N396" s="159" t="str">
        <f>CONCATENATE("La cible de ce sort récupère ",Eau,"+ votre Rg. de maîtrise Blessures au début de chaque Round tant ce sort reste actif. Vous devez toucher la cible au moment où vous lancez ce sort mais vous pouvez prolonger les effets sans contact physique.")</f>
        <v>La cible de ce sort récupère 2+ votre Rg. de maîtrise Blessures au début de chaque Round tant ce sort reste actif. Vous devez toucher la cible au moment où vous lancez ce sort mais vous pouvez prolonger les effets sans contact physique.</v>
      </c>
    </row>
    <row r="397" spans="1:14" ht="23.4" customHeight="1" x14ac:dyDescent="0.25">
      <c r="A397" s="180" t="s">
        <v>4426</v>
      </c>
      <c r="B397" s="170" t="s">
        <v>2078</v>
      </c>
      <c r="C397" s="16" t="s">
        <v>2078</v>
      </c>
      <c r="D397" s="6" t="s">
        <v>4791</v>
      </c>
      <c r="E397" s="333" t="s">
        <v>578</v>
      </c>
      <c r="F397" s="12">
        <v>3</v>
      </c>
      <c r="G397" s="192">
        <f t="shared" si="10"/>
        <v>20</v>
      </c>
      <c r="H397" s="129" t="s">
        <v>3925</v>
      </c>
      <c r="I397" s="129" t="s">
        <v>5920</v>
      </c>
      <c r="J397" s="162" t="s">
        <v>3900</v>
      </c>
      <c r="K397" s="129" t="s">
        <v>5921</v>
      </c>
      <c r="L397" s="162" t="s">
        <v>4403</v>
      </c>
      <c r="M397" s="199">
        <v>182</v>
      </c>
      <c r="N397" s="159" t="str">
        <f>CONCATENATE("Toutes les cibles ressentent un soudain et puissant regain d'énergie alors que le sort qui les parcoure ravigore leur chi. Elles sont libérées des conditions Fatigué et Hébêté et sont soignées de ",Eau," blessures.")</f>
        <v>Toutes les cibles ressentent un soudain et puissant regain d'énergie alors que le sort qui les parcoure ravigore leur chi. Elles sont libérées des conditions Fatigué et Hébêté et sont soignées de 2 blessures.</v>
      </c>
    </row>
    <row r="398" spans="1:14" ht="23.4" customHeight="1" x14ac:dyDescent="0.25">
      <c r="A398" s="180" t="s">
        <v>4425</v>
      </c>
      <c r="B398" s="170" t="s">
        <v>2078</v>
      </c>
      <c r="C398" s="16" t="s">
        <v>2078</v>
      </c>
      <c r="D398" s="6" t="s">
        <v>4791</v>
      </c>
      <c r="E398" s="333" t="s">
        <v>578</v>
      </c>
      <c r="F398" s="12">
        <v>3</v>
      </c>
      <c r="G398" s="192">
        <f t="shared" si="10"/>
        <v>20</v>
      </c>
      <c r="H398" s="129" t="s">
        <v>3925</v>
      </c>
      <c r="I398" s="129" t="s">
        <v>5917</v>
      </c>
      <c r="J398" s="162" t="s">
        <v>3879</v>
      </c>
      <c r="K398" s="129" t="s">
        <v>5918</v>
      </c>
      <c r="L398" s="162" t="s">
        <v>4403</v>
      </c>
      <c r="M398" s="199">
        <v>182</v>
      </c>
      <c r="N398" s="159" t="s">
        <v>5919</v>
      </c>
    </row>
    <row r="399" spans="1:14" ht="23.4" customHeight="1" x14ac:dyDescent="0.25">
      <c r="A399" s="180" t="s">
        <v>4424</v>
      </c>
      <c r="B399" s="170" t="s">
        <v>4413</v>
      </c>
      <c r="C399" s="16" t="s">
        <v>2078</v>
      </c>
      <c r="D399" s="6" t="s">
        <v>4791</v>
      </c>
      <c r="E399" s="333" t="s">
        <v>578</v>
      </c>
      <c r="F399" s="12">
        <v>3</v>
      </c>
      <c r="G399" s="192">
        <f t="shared" si="10"/>
        <v>20</v>
      </c>
      <c r="H399" s="129" t="s">
        <v>3925</v>
      </c>
      <c r="I399" s="129" t="s">
        <v>4857</v>
      </c>
      <c r="J399" s="162" t="s">
        <v>4077</v>
      </c>
      <c r="K399" s="129" t="s">
        <v>5915</v>
      </c>
      <c r="L399" s="162" t="s">
        <v>4403</v>
      </c>
      <c r="M399" s="199">
        <v>182</v>
      </c>
      <c r="N399" s="159" t="s">
        <v>5916</v>
      </c>
    </row>
    <row r="400" spans="1:14" ht="23.4" customHeight="1" x14ac:dyDescent="0.25">
      <c r="A400" s="180" t="s">
        <v>1520</v>
      </c>
      <c r="B400" s="129" t="s">
        <v>102</v>
      </c>
      <c r="C400" s="16" t="s">
        <v>2078</v>
      </c>
      <c r="D400" s="6" t="s">
        <v>4791</v>
      </c>
      <c r="E400" s="333" t="s">
        <v>578</v>
      </c>
      <c r="F400" s="12">
        <v>3</v>
      </c>
      <c r="G400" s="192">
        <f t="shared" si="10"/>
        <v>20</v>
      </c>
      <c r="H400" s="129" t="s">
        <v>3887</v>
      </c>
      <c r="I400" s="129" t="s">
        <v>3916</v>
      </c>
      <c r="J400" s="162" t="s">
        <v>3889</v>
      </c>
      <c r="K400" s="129" t="s">
        <v>1284</v>
      </c>
      <c r="L400" s="162" t="s">
        <v>3</v>
      </c>
      <c r="M400" s="12">
        <v>177</v>
      </c>
      <c r="N400" s="159" t="s">
        <v>3999</v>
      </c>
    </row>
    <row r="401" spans="1:14" ht="23.4" customHeight="1" x14ac:dyDescent="0.25">
      <c r="A401" s="180" t="s">
        <v>4430</v>
      </c>
      <c r="B401" s="170" t="s">
        <v>237</v>
      </c>
      <c r="C401" s="16" t="s">
        <v>2078</v>
      </c>
      <c r="D401" s="6" t="s">
        <v>4791</v>
      </c>
      <c r="E401" s="333" t="s">
        <v>578</v>
      </c>
      <c r="F401" s="12">
        <v>4</v>
      </c>
      <c r="G401" s="192">
        <f t="shared" si="10"/>
        <v>25</v>
      </c>
      <c r="H401" s="129" t="s">
        <v>3887</v>
      </c>
      <c r="I401" s="129" t="s">
        <v>5931</v>
      </c>
      <c r="J401" s="162" t="s">
        <v>3893</v>
      </c>
      <c r="K401" s="129" t="s">
        <v>5932</v>
      </c>
      <c r="L401" s="162" t="s">
        <v>4403</v>
      </c>
      <c r="M401" s="12">
        <v>183</v>
      </c>
      <c r="N401" s="159" t="s">
        <v>5933</v>
      </c>
    </row>
    <row r="402" spans="1:14" ht="23.4" customHeight="1" x14ac:dyDescent="0.25">
      <c r="A402" s="180" t="s">
        <v>1525</v>
      </c>
      <c r="B402" s="170" t="s">
        <v>7064</v>
      </c>
      <c r="C402" s="16" t="s">
        <v>2078</v>
      </c>
      <c r="D402" s="6" t="s">
        <v>4791</v>
      </c>
      <c r="E402" s="333" t="s">
        <v>578</v>
      </c>
      <c r="F402" s="12">
        <v>4</v>
      </c>
      <c r="G402" s="192">
        <f t="shared" si="10"/>
        <v>25</v>
      </c>
      <c r="H402" s="129" t="s">
        <v>3933</v>
      </c>
      <c r="I402" s="129" t="s">
        <v>4000</v>
      </c>
      <c r="J402" s="129" t="s">
        <v>4001</v>
      </c>
      <c r="K402" s="129" t="s">
        <v>4002</v>
      </c>
      <c r="L402" s="162" t="s">
        <v>3</v>
      </c>
      <c r="M402" s="12">
        <v>177</v>
      </c>
      <c r="N402" s="159" t="s">
        <v>4003</v>
      </c>
    </row>
    <row r="403" spans="1:14" ht="23.4" customHeight="1" x14ac:dyDescent="0.25">
      <c r="A403" s="180" t="s">
        <v>1523</v>
      </c>
      <c r="B403" s="129" t="s">
        <v>102</v>
      </c>
      <c r="C403" s="16" t="s">
        <v>2078</v>
      </c>
      <c r="D403" s="6" t="s">
        <v>4791</v>
      </c>
      <c r="E403" s="333" t="s">
        <v>578</v>
      </c>
      <c r="F403" s="12">
        <v>4</v>
      </c>
      <c r="G403" s="192">
        <f t="shared" si="10"/>
        <v>25</v>
      </c>
      <c r="H403" s="129" t="s">
        <v>4004</v>
      </c>
      <c r="I403" s="129" t="s">
        <v>4005</v>
      </c>
      <c r="J403" s="162" t="s">
        <v>4154</v>
      </c>
      <c r="K403" s="129" t="s">
        <v>4006</v>
      </c>
      <c r="L403" s="162" t="s">
        <v>3</v>
      </c>
      <c r="M403" s="12">
        <v>177</v>
      </c>
      <c r="N403" s="159" t="s">
        <v>8945</v>
      </c>
    </row>
    <row r="404" spans="1:14" ht="23.4" customHeight="1" x14ac:dyDescent="0.25">
      <c r="A404" s="180" t="s">
        <v>1527</v>
      </c>
      <c r="B404" s="170" t="s">
        <v>2078</v>
      </c>
      <c r="C404" s="16" t="s">
        <v>2078</v>
      </c>
      <c r="D404" s="6" t="s">
        <v>4791</v>
      </c>
      <c r="E404" s="333" t="s">
        <v>578</v>
      </c>
      <c r="F404" s="12">
        <v>4</v>
      </c>
      <c r="G404" s="192">
        <f t="shared" si="10"/>
        <v>25</v>
      </c>
      <c r="H404" s="129" t="s">
        <v>3884</v>
      </c>
      <c r="I404" s="129" t="s">
        <v>4714</v>
      </c>
      <c r="J404" s="162" t="s">
        <v>3912</v>
      </c>
      <c r="K404" s="129" t="s">
        <v>3935</v>
      </c>
      <c r="L404" s="162" t="s">
        <v>3</v>
      </c>
      <c r="M404" s="12">
        <v>177</v>
      </c>
      <c r="N404" s="159" t="s">
        <v>8946</v>
      </c>
    </row>
    <row r="405" spans="1:14" ht="23.4" customHeight="1" x14ac:dyDescent="0.25">
      <c r="A405" s="180" t="s">
        <v>1524</v>
      </c>
      <c r="B405" s="129" t="s">
        <v>231</v>
      </c>
      <c r="C405" s="16" t="s">
        <v>2078</v>
      </c>
      <c r="D405" s="6" t="s">
        <v>4791</v>
      </c>
      <c r="E405" s="333" t="s">
        <v>578</v>
      </c>
      <c r="F405" s="12">
        <v>4</v>
      </c>
      <c r="G405" s="192">
        <f t="shared" si="10"/>
        <v>25</v>
      </c>
      <c r="H405" s="129" t="s">
        <v>3887</v>
      </c>
      <c r="I405" s="129" t="s">
        <v>4007</v>
      </c>
      <c r="J405" s="162" t="s">
        <v>3934</v>
      </c>
      <c r="K405" s="129" t="s">
        <v>4008</v>
      </c>
      <c r="L405" s="162" t="s">
        <v>3</v>
      </c>
      <c r="M405" s="12">
        <v>178</v>
      </c>
      <c r="N405" s="159" t="s">
        <v>4009</v>
      </c>
    </row>
    <row r="406" spans="1:14" ht="23.4" customHeight="1" x14ac:dyDescent="0.25">
      <c r="A406" s="180" t="s">
        <v>5927</v>
      </c>
      <c r="B406" s="170" t="s">
        <v>2078</v>
      </c>
      <c r="C406" s="16" t="s">
        <v>2078</v>
      </c>
      <c r="D406" s="6" t="s">
        <v>4791</v>
      </c>
      <c r="E406" s="333" t="s">
        <v>578</v>
      </c>
      <c r="F406" s="12">
        <v>4</v>
      </c>
      <c r="G406" s="192">
        <f t="shared" si="10"/>
        <v>25</v>
      </c>
      <c r="H406" s="129" t="s">
        <v>3891</v>
      </c>
      <c r="I406" s="129" t="s">
        <v>4702</v>
      </c>
      <c r="J406" s="162" t="s">
        <v>3934</v>
      </c>
      <c r="K406" s="129" t="s">
        <v>5926</v>
      </c>
      <c r="L406" s="162" t="s">
        <v>4403</v>
      </c>
      <c r="M406" s="12">
        <v>183</v>
      </c>
      <c r="N406" s="159" t="s">
        <v>8947</v>
      </c>
    </row>
    <row r="407" spans="1:14" ht="23.4" customHeight="1" x14ac:dyDescent="0.25">
      <c r="A407" s="180" t="s">
        <v>4429</v>
      </c>
      <c r="B407" s="170" t="s">
        <v>4415</v>
      </c>
      <c r="C407" s="16" t="s">
        <v>2078</v>
      </c>
      <c r="D407" s="6" t="s">
        <v>4791</v>
      </c>
      <c r="E407" s="333" t="s">
        <v>578</v>
      </c>
      <c r="F407" s="12">
        <v>4</v>
      </c>
      <c r="G407" s="192">
        <f t="shared" si="10"/>
        <v>25</v>
      </c>
      <c r="H407" s="129" t="s">
        <v>3891</v>
      </c>
      <c r="I407" s="129" t="s">
        <v>5928</v>
      </c>
      <c r="J407" s="162" t="s">
        <v>4305</v>
      </c>
      <c r="K407" s="129" t="s">
        <v>5929</v>
      </c>
      <c r="L407" s="162" t="s">
        <v>4403</v>
      </c>
      <c r="M407" s="12">
        <v>183</v>
      </c>
      <c r="N407" s="159" t="s">
        <v>5930</v>
      </c>
    </row>
    <row r="408" spans="1:14" ht="23.4" customHeight="1" x14ac:dyDescent="0.25">
      <c r="A408" s="180" t="s">
        <v>1757</v>
      </c>
      <c r="B408" s="170" t="s">
        <v>2078</v>
      </c>
      <c r="C408" s="16" t="s">
        <v>2078</v>
      </c>
      <c r="D408" s="6" t="s">
        <v>4791</v>
      </c>
      <c r="E408" s="333" t="s">
        <v>578</v>
      </c>
      <c r="F408" s="12">
        <v>4</v>
      </c>
      <c r="G408" s="192">
        <f t="shared" si="10"/>
        <v>25</v>
      </c>
      <c r="H408" s="129" t="s">
        <v>3891</v>
      </c>
      <c r="I408" s="129" t="s">
        <v>3887</v>
      </c>
      <c r="J408" s="162" t="s">
        <v>4010</v>
      </c>
      <c r="K408" s="129" t="s">
        <v>4732</v>
      </c>
      <c r="L408" s="162" t="s">
        <v>2079</v>
      </c>
      <c r="M408" s="12">
        <v>50</v>
      </c>
      <c r="N408" s="159" t="s">
        <v>4733</v>
      </c>
    </row>
    <row r="409" spans="1:14" ht="23.4" customHeight="1" x14ac:dyDescent="0.25">
      <c r="A409" s="180" t="s">
        <v>4427</v>
      </c>
      <c r="B409" s="129" t="s">
        <v>231</v>
      </c>
      <c r="C409" s="16" t="s">
        <v>2078</v>
      </c>
      <c r="D409" s="6" t="s">
        <v>4791</v>
      </c>
      <c r="E409" s="333" t="s">
        <v>578</v>
      </c>
      <c r="F409" s="12">
        <v>4</v>
      </c>
      <c r="G409" s="192">
        <f t="shared" ref="G409:G472" si="11">IF(OR(D409="Kiho",D409="Kata"),"---",5+F409*5)</f>
        <v>25</v>
      </c>
      <c r="H409" s="129" t="s">
        <v>3926</v>
      </c>
      <c r="I409" s="129" t="s">
        <v>5924</v>
      </c>
      <c r="J409" s="162" t="s">
        <v>3879</v>
      </c>
      <c r="K409" s="129" t="s">
        <v>5925</v>
      </c>
      <c r="L409" s="162" t="s">
        <v>4403</v>
      </c>
      <c r="M409" s="12">
        <v>183</v>
      </c>
      <c r="N409" s="159" t="str">
        <f>CONCATENATE("Toutes les troupes dans l'unité ciblée se déplacent comme si leur anneau d'Eau et leur Force était augmentés de 1 pendant la durée du sort. 2A permet d'affeter les humains non-samurai, 4A les alliés non-humains. Acorde aussi un bonus de ",Eau," sur la Table des Combats de masse au commandant de l'unité.")</f>
        <v>Toutes les troupes dans l'unité ciblée se déplacent comme si leur anneau d'Eau et leur Force était augmentés de 1 pendant la durée du sort. 2A permet d'affeter les humains non-samurai, 4A les alliés non-humains. Acorde aussi un bonus de 2 sur la Table des Combats de masse au commandant de l'unité.</v>
      </c>
    </row>
    <row r="410" spans="1:14" ht="23.4" customHeight="1" x14ac:dyDescent="0.25">
      <c r="A410" s="180" t="s">
        <v>4428</v>
      </c>
      <c r="B410" s="170" t="s">
        <v>237</v>
      </c>
      <c r="C410" s="16" t="s">
        <v>2078</v>
      </c>
      <c r="D410" s="6" t="s">
        <v>4791</v>
      </c>
      <c r="E410" s="333" t="s">
        <v>578</v>
      </c>
      <c r="F410" s="12">
        <v>4</v>
      </c>
      <c r="G410" s="192">
        <f t="shared" si="11"/>
        <v>25</v>
      </c>
      <c r="H410" s="129" t="s">
        <v>3933</v>
      </c>
      <c r="I410" s="129" t="s">
        <v>5922</v>
      </c>
      <c r="J410" s="162" t="s">
        <v>4877</v>
      </c>
      <c r="K410" s="129" t="s">
        <v>5923</v>
      </c>
      <c r="L410" s="162" t="s">
        <v>4403</v>
      </c>
      <c r="M410" s="12">
        <v>182</v>
      </c>
      <c r="N410" s="159" t="s">
        <v>8948</v>
      </c>
    </row>
    <row r="411" spans="1:14" ht="23.4" customHeight="1" x14ac:dyDescent="0.25">
      <c r="A411" s="180" t="s">
        <v>1526</v>
      </c>
      <c r="B411" s="129" t="s">
        <v>223</v>
      </c>
      <c r="C411" s="16" t="s">
        <v>2078</v>
      </c>
      <c r="D411" s="6" t="s">
        <v>4791</v>
      </c>
      <c r="E411" s="333" t="s">
        <v>578</v>
      </c>
      <c r="F411" s="12">
        <v>4</v>
      </c>
      <c r="G411" s="192">
        <f t="shared" si="11"/>
        <v>25</v>
      </c>
      <c r="H411" s="129" t="s">
        <v>3891</v>
      </c>
      <c r="I411" s="129" t="s">
        <v>627</v>
      </c>
      <c r="J411" s="162" t="s">
        <v>3951</v>
      </c>
      <c r="K411" s="129" t="s">
        <v>1284</v>
      </c>
      <c r="L411" s="162" t="s">
        <v>3</v>
      </c>
      <c r="M411" s="12">
        <v>178</v>
      </c>
      <c r="N411" s="159" t="s">
        <v>8949</v>
      </c>
    </row>
    <row r="412" spans="1:14" ht="23.4" customHeight="1" x14ac:dyDescent="0.25">
      <c r="A412" s="180" t="s">
        <v>1528</v>
      </c>
      <c r="B412" s="170" t="s">
        <v>2078</v>
      </c>
      <c r="C412" s="16" t="s">
        <v>2078</v>
      </c>
      <c r="D412" s="6" t="s">
        <v>4791</v>
      </c>
      <c r="E412" s="333" t="s">
        <v>578</v>
      </c>
      <c r="F412" s="12">
        <v>4</v>
      </c>
      <c r="G412" s="192">
        <f t="shared" si="11"/>
        <v>25</v>
      </c>
      <c r="H412" s="129" t="s">
        <v>3887</v>
      </c>
      <c r="I412" s="129" t="s">
        <v>3916</v>
      </c>
      <c r="J412" s="162" t="s">
        <v>4010</v>
      </c>
      <c r="K412" s="129" t="s">
        <v>4011</v>
      </c>
      <c r="L412" s="162" t="s">
        <v>3</v>
      </c>
      <c r="M412" s="12">
        <v>178</v>
      </c>
      <c r="N412" s="159" t="s">
        <v>8950</v>
      </c>
    </row>
    <row r="413" spans="1:14" s="196" customFormat="1" ht="23.4" customHeight="1" x14ac:dyDescent="0.25">
      <c r="A413" s="180" t="s">
        <v>1532</v>
      </c>
      <c r="B413" s="129" t="s">
        <v>234</v>
      </c>
      <c r="C413" s="16" t="s">
        <v>2078</v>
      </c>
      <c r="D413" s="6" t="s">
        <v>4791</v>
      </c>
      <c r="E413" s="333" t="s">
        <v>578</v>
      </c>
      <c r="F413" s="12">
        <v>5</v>
      </c>
      <c r="G413" s="192">
        <f t="shared" si="11"/>
        <v>30</v>
      </c>
      <c r="H413" s="129" t="s">
        <v>3933</v>
      </c>
      <c r="I413" s="129" t="s">
        <v>4709</v>
      </c>
      <c r="J413" s="162" t="s">
        <v>3900</v>
      </c>
      <c r="K413" s="129" t="s">
        <v>3922</v>
      </c>
      <c r="L413" s="162" t="s">
        <v>3</v>
      </c>
      <c r="M413" s="12">
        <v>178</v>
      </c>
      <c r="N413" s="159" t="s">
        <v>4012</v>
      </c>
    </row>
    <row r="414" spans="1:14" s="196" customFormat="1" ht="23.4" customHeight="1" x14ac:dyDescent="0.25">
      <c r="A414" s="180" t="s">
        <v>7664</v>
      </c>
      <c r="B414" s="129" t="s">
        <v>7064</v>
      </c>
      <c r="C414" s="16" t="s">
        <v>2078</v>
      </c>
      <c r="D414" s="6" t="s">
        <v>4791</v>
      </c>
      <c r="E414" s="333" t="s">
        <v>578</v>
      </c>
      <c r="F414" s="12">
        <v>5</v>
      </c>
      <c r="G414" s="192">
        <f t="shared" si="11"/>
        <v>30</v>
      </c>
      <c r="H414" s="129" t="s">
        <v>3891</v>
      </c>
      <c r="I414" s="129" t="s">
        <v>4065</v>
      </c>
      <c r="J414" s="162" t="s">
        <v>3900</v>
      </c>
      <c r="K414" s="129" t="s">
        <v>627</v>
      </c>
      <c r="L414" s="162" t="s">
        <v>7453</v>
      </c>
      <c r="M414" s="12">
        <v>28</v>
      </c>
      <c r="N414" s="159" t="s">
        <v>8951</v>
      </c>
    </row>
    <row r="415" spans="1:14" ht="23.4" customHeight="1" x14ac:dyDescent="0.25">
      <c r="A415" s="180" t="s">
        <v>1533</v>
      </c>
      <c r="B415" s="129" t="s">
        <v>102</v>
      </c>
      <c r="C415" s="16" t="s">
        <v>2078</v>
      </c>
      <c r="D415" s="6" t="s">
        <v>4791</v>
      </c>
      <c r="E415" s="333" t="s">
        <v>578</v>
      </c>
      <c r="F415" s="12">
        <v>5</v>
      </c>
      <c r="G415" s="192">
        <f t="shared" si="11"/>
        <v>30</v>
      </c>
      <c r="H415" s="129" t="s">
        <v>3940</v>
      </c>
      <c r="I415" s="129" t="s">
        <v>4711</v>
      </c>
      <c r="J415" s="162" t="s">
        <v>3900</v>
      </c>
      <c r="K415" s="129" t="s">
        <v>1284</v>
      </c>
      <c r="L415" s="162" t="s">
        <v>3</v>
      </c>
      <c r="M415" s="12">
        <v>178</v>
      </c>
      <c r="N415" s="159" t="s">
        <v>8952</v>
      </c>
    </row>
    <row r="416" spans="1:14" ht="23.4" customHeight="1" x14ac:dyDescent="0.25">
      <c r="A416" s="180" t="s">
        <v>1530</v>
      </c>
      <c r="B416" s="129" t="s">
        <v>238</v>
      </c>
      <c r="C416" s="16" t="s">
        <v>2078</v>
      </c>
      <c r="D416" s="6" t="s">
        <v>4791</v>
      </c>
      <c r="E416" s="333" t="s">
        <v>578</v>
      </c>
      <c r="F416" s="12">
        <v>5</v>
      </c>
      <c r="G416" s="192">
        <f t="shared" si="11"/>
        <v>30</v>
      </c>
      <c r="H416" s="129" t="s">
        <v>4013</v>
      </c>
      <c r="I416" s="129" t="s">
        <v>4014</v>
      </c>
      <c r="J416" s="162" t="s">
        <v>3900</v>
      </c>
      <c r="K416" s="129" t="s">
        <v>4015</v>
      </c>
      <c r="L416" s="162" t="s">
        <v>3</v>
      </c>
      <c r="M416" s="12">
        <v>178</v>
      </c>
      <c r="N416" s="159" t="s">
        <v>8953</v>
      </c>
    </row>
    <row r="417" spans="1:14" ht="23.4" customHeight="1" x14ac:dyDescent="0.25">
      <c r="A417" s="180" t="s">
        <v>4432</v>
      </c>
      <c r="B417" s="129" t="s">
        <v>231</v>
      </c>
      <c r="C417" s="16" t="s">
        <v>2078</v>
      </c>
      <c r="D417" s="6" t="s">
        <v>4791</v>
      </c>
      <c r="E417" s="333" t="s">
        <v>578</v>
      </c>
      <c r="F417" s="12">
        <v>5</v>
      </c>
      <c r="G417" s="192">
        <f t="shared" si="11"/>
        <v>30</v>
      </c>
      <c r="H417" s="129" t="s">
        <v>4073</v>
      </c>
      <c r="I417" s="129" t="s">
        <v>5935</v>
      </c>
      <c r="J417" s="162" t="s">
        <v>5936</v>
      </c>
      <c r="K417" s="129" t="s">
        <v>5937</v>
      </c>
      <c r="L417" s="162" t="s">
        <v>4403</v>
      </c>
      <c r="M417" s="12">
        <v>184</v>
      </c>
      <c r="N417" s="159" t="s">
        <v>5938</v>
      </c>
    </row>
    <row r="418" spans="1:14" ht="23.4" customHeight="1" x14ac:dyDescent="0.25">
      <c r="A418" s="180" t="s">
        <v>1531</v>
      </c>
      <c r="B418" s="129" t="s">
        <v>7067</v>
      </c>
      <c r="C418" s="16" t="s">
        <v>2078</v>
      </c>
      <c r="D418" s="6" t="s">
        <v>4791</v>
      </c>
      <c r="E418" s="333" t="s">
        <v>578</v>
      </c>
      <c r="F418" s="12">
        <v>5</v>
      </c>
      <c r="G418" s="192">
        <f t="shared" si="11"/>
        <v>30</v>
      </c>
      <c r="H418" s="129" t="s">
        <v>3891</v>
      </c>
      <c r="I418" s="129" t="s">
        <v>4709</v>
      </c>
      <c r="J418" s="129" t="s">
        <v>4016</v>
      </c>
      <c r="K418" s="129" t="s">
        <v>4017</v>
      </c>
      <c r="L418" s="162" t="s">
        <v>3</v>
      </c>
      <c r="M418" s="12">
        <v>179</v>
      </c>
      <c r="N418" s="159" t="str">
        <f>CONCATENATE("Nécéssite 1h de rituel. Ne peut être lancé que sur pers. consentante. La cible n'a besoin ni de sommeil, ni de nourriture, ni de boisson tant que dure le sort et peut restaurer ses Pvide au prix d'une AS. Elle récupère ",Eau," blessures par heure. A la fin du sort la cible est totalement épuisée.")</f>
        <v>Nécéssite 1h de rituel. Ne peut être lancé que sur pers. consentante. La cible n'a besoin ni de sommeil, ni de nourriture, ni de boisson tant que dure le sort et peut restaurer ses Pvide au prix d'une AS. Elle récupère 2 blessures par heure. A la fin du sort la cible est totalement épuisée.</v>
      </c>
    </row>
    <row r="419" spans="1:14" ht="23.4" customHeight="1" x14ac:dyDescent="0.25">
      <c r="A419" s="180" t="s">
        <v>4431</v>
      </c>
      <c r="B419" s="170" t="s">
        <v>2078</v>
      </c>
      <c r="C419" s="16" t="s">
        <v>2078</v>
      </c>
      <c r="D419" s="6" t="s">
        <v>4791</v>
      </c>
      <c r="E419" s="333" t="s">
        <v>578</v>
      </c>
      <c r="F419" s="12">
        <v>5</v>
      </c>
      <c r="G419" s="192">
        <f t="shared" si="11"/>
        <v>30</v>
      </c>
      <c r="H419" s="129" t="s">
        <v>3875</v>
      </c>
      <c r="I419" s="129" t="s">
        <v>4262</v>
      </c>
      <c r="J419" s="162" t="s">
        <v>3893</v>
      </c>
      <c r="K419" s="129" t="s">
        <v>5934</v>
      </c>
      <c r="L419" s="162" t="s">
        <v>4403</v>
      </c>
      <c r="M419" s="12">
        <v>184</v>
      </c>
      <c r="N419" s="159" t="s">
        <v>8954</v>
      </c>
    </row>
    <row r="420" spans="1:14" ht="23.4" customHeight="1" x14ac:dyDescent="0.25">
      <c r="A420" s="180" t="s">
        <v>4433</v>
      </c>
      <c r="B420" s="129" t="s">
        <v>234</v>
      </c>
      <c r="C420" s="16" t="s">
        <v>2078</v>
      </c>
      <c r="D420" s="6" t="s">
        <v>4791</v>
      </c>
      <c r="E420" s="333" t="s">
        <v>578</v>
      </c>
      <c r="F420" s="12">
        <v>5</v>
      </c>
      <c r="G420" s="192">
        <f t="shared" si="11"/>
        <v>30</v>
      </c>
      <c r="H420" s="129" t="s">
        <v>4112</v>
      </c>
      <c r="I420" s="129" t="s">
        <v>5939</v>
      </c>
      <c r="J420" s="162" t="s">
        <v>3917</v>
      </c>
      <c r="K420" s="129" t="s">
        <v>5940</v>
      </c>
      <c r="L420" s="162" t="s">
        <v>4403</v>
      </c>
      <c r="M420" s="12">
        <v>184</v>
      </c>
      <c r="N420" s="159" t="s">
        <v>5941</v>
      </c>
    </row>
    <row r="421" spans="1:14" ht="23.4" customHeight="1" x14ac:dyDescent="0.25">
      <c r="A421" s="180" t="s">
        <v>1529</v>
      </c>
      <c r="B421" s="129" t="s">
        <v>101</v>
      </c>
      <c r="C421" s="16" t="s">
        <v>2078</v>
      </c>
      <c r="D421" s="6" t="s">
        <v>4791</v>
      </c>
      <c r="E421" s="333" t="s">
        <v>578</v>
      </c>
      <c r="F421" s="12">
        <v>5</v>
      </c>
      <c r="G421" s="192">
        <f t="shared" si="11"/>
        <v>30</v>
      </c>
      <c r="H421" s="129" t="s">
        <v>3887</v>
      </c>
      <c r="I421" s="129" t="s">
        <v>3916</v>
      </c>
      <c r="J421" s="162" t="s">
        <v>3893</v>
      </c>
      <c r="K421" s="129" t="s">
        <v>3894</v>
      </c>
      <c r="L421" s="162" t="s">
        <v>3</v>
      </c>
      <c r="M421" s="12">
        <v>179</v>
      </c>
      <c r="N421" s="159" t="s">
        <v>8955</v>
      </c>
    </row>
    <row r="422" spans="1:14" ht="23.4" customHeight="1" x14ac:dyDescent="0.25">
      <c r="A422" s="180" t="s">
        <v>1535</v>
      </c>
      <c r="B422" s="170" t="s">
        <v>2078</v>
      </c>
      <c r="C422" s="16" t="s">
        <v>2078</v>
      </c>
      <c r="D422" s="6" t="s">
        <v>4791</v>
      </c>
      <c r="E422" s="333" t="s">
        <v>578</v>
      </c>
      <c r="F422" s="12">
        <v>6</v>
      </c>
      <c r="G422" s="192">
        <f t="shared" si="11"/>
        <v>35</v>
      </c>
      <c r="H422" s="129" t="s">
        <v>3952</v>
      </c>
      <c r="I422" s="129" t="s">
        <v>4704</v>
      </c>
      <c r="J422" s="162" t="s">
        <v>4154</v>
      </c>
      <c r="K422" s="129" t="s">
        <v>1284</v>
      </c>
      <c r="L422" s="162" t="s">
        <v>3</v>
      </c>
      <c r="M422" s="12">
        <v>173</v>
      </c>
      <c r="N422" s="159" t="s">
        <v>4167</v>
      </c>
    </row>
    <row r="423" spans="1:14" ht="23.4" customHeight="1" x14ac:dyDescent="0.25">
      <c r="A423" s="180" t="s">
        <v>1536</v>
      </c>
      <c r="B423" s="129" t="s">
        <v>102</v>
      </c>
      <c r="C423" s="16" t="s">
        <v>2078</v>
      </c>
      <c r="D423" s="6" t="s">
        <v>4791</v>
      </c>
      <c r="E423" s="333" t="s">
        <v>578</v>
      </c>
      <c r="F423" s="12">
        <v>6</v>
      </c>
      <c r="G423" s="192">
        <f t="shared" si="11"/>
        <v>35</v>
      </c>
      <c r="H423" s="129" t="s">
        <v>3887</v>
      </c>
      <c r="I423" s="129" t="s">
        <v>4706</v>
      </c>
      <c r="J423" s="162" t="s">
        <v>3930</v>
      </c>
      <c r="K423" s="129" t="s">
        <v>1284</v>
      </c>
      <c r="L423" s="162" t="s">
        <v>3</v>
      </c>
      <c r="M423" s="12">
        <v>179</v>
      </c>
      <c r="N423" s="159" t="s">
        <v>8956</v>
      </c>
    </row>
    <row r="424" spans="1:14" ht="23.4" customHeight="1" x14ac:dyDescent="0.25">
      <c r="A424" s="180" t="s">
        <v>4435</v>
      </c>
      <c r="B424" s="170" t="s">
        <v>237</v>
      </c>
      <c r="C424" s="16" t="s">
        <v>2078</v>
      </c>
      <c r="D424" s="6" t="s">
        <v>4791</v>
      </c>
      <c r="E424" s="333" t="s">
        <v>578</v>
      </c>
      <c r="F424" s="12">
        <v>6</v>
      </c>
      <c r="G424" s="192">
        <f t="shared" si="11"/>
        <v>35</v>
      </c>
      <c r="H424" s="129" t="s">
        <v>3884</v>
      </c>
      <c r="I424" s="129" t="s">
        <v>5942</v>
      </c>
      <c r="J424" s="162" t="s">
        <v>3893</v>
      </c>
      <c r="K424" s="129" t="s">
        <v>5943</v>
      </c>
      <c r="L424" s="162" t="s">
        <v>4403</v>
      </c>
      <c r="M424" s="12">
        <v>184</v>
      </c>
      <c r="N424" s="159" t="s">
        <v>5944</v>
      </c>
    </row>
    <row r="425" spans="1:14" ht="23.4" customHeight="1" x14ac:dyDescent="0.25">
      <c r="A425" s="180" t="s">
        <v>1534</v>
      </c>
      <c r="B425" s="170" t="s">
        <v>7064</v>
      </c>
      <c r="C425" s="16" t="s">
        <v>2078</v>
      </c>
      <c r="D425" s="6" t="s">
        <v>4791</v>
      </c>
      <c r="E425" s="333" t="s">
        <v>578</v>
      </c>
      <c r="F425" s="12">
        <v>6</v>
      </c>
      <c r="G425" s="192">
        <f t="shared" si="11"/>
        <v>35</v>
      </c>
      <c r="H425" s="129" t="s">
        <v>3891</v>
      </c>
      <c r="I425" s="129" t="s">
        <v>4709</v>
      </c>
      <c r="J425" s="162" t="s">
        <v>3900</v>
      </c>
      <c r="K425" s="129" t="s">
        <v>1284</v>
      </c>
      <c r="L425" s="162" t="s">
        <v>3</v>
      </c>
      <c r="M425" s="12">
        <v>179</v>
      </c>
      <c r="N425" s="159" t="s">
        <v>4018</v>
      </c>
    </row>
    <row r="426" spans="1:14" ht="23.4" customHeight="1" x14ac:dyDescent="0.25">
      <c r="A426" s="180" t="s">
        <v>4434</v>
      </c>
      <c r="B426" s="170" t="s">
        <v>4413</v>
      </c>
      <c r="C426" s="16" t="s">
        <v>2078</v>
      </c>
      <c r="D426" s="6" t="s">
        <v>4791</v>
      </c>
      <c r="E426" s="333" t="s">
        <v>578</v>
      </c>
      <c r="F426" s="12">
        <v>6</v>
      </c>
      <c r="G426" s="192">
        <f t="shared" si="11"/>
        <v>35</v>
      </c>
      <c r="H426" s="129" t="s">
        <v>5945</v>
      </c>
      <c r="I426" s="129" t="s">
        <v>5946</v>
      </c>
      <c r="J426" s="162" t="s">
        <v>4290</v>
      </c>
      <c r="K426" s="129" t="s">
        <v>5947</v>
      </c>
      <c r="L426" s="162" t="s">
        <v>4403</v>
      </c>
      <c r="M426" s="12">
        <v>184</v>
      </c>
      <c r="N426" s="159" t="s">
        <v>5948</v>
      </c>
    </row>
    <row r="427" spans="1:14" ht="23.4" customHeight="1" x14ac:dyDescent="0.25">
      <c r="A427" s="180" t="s">
        <v>6224</v>
      </c>
      <c r="B427" s="129" t="s">
        <v>7071</v>
      </c>
      <c r="C427" s="16" t="s">
        <v>2078</v>
      </c>
      <c r="D427" s="6" t="s">
        <v>4791</v>
      </c>
      <c r="E427" s="333" t="s">
        <v>578</v>
      </c>
      <c r="F427" s="12">
        <v>6</v>
      </c>
      <c r="G427" s="193">
        <f t="shared" si="11"/>
        <v>35</v>
      </c>
      <c r="H427" s="129" t="s">
        <v>3887</v>
      </c>
      <c r="I427" s="129" t="s">
        <v>3916</v>
      </c>
      <c r="J427" s="162" t="s">
        <v>3934</v>
      </c>
      <c r="K427" s="129" t="s">
        <v>1284</v>
      </c>
      <c r="L427" s="162" t="s">
        <v>6192</v>
      </c>
      <c r="M427" s="12">
        <v>185</v>
      </c>
      <c r="N427" s="159" t="s">
        <v>7070</v>
      </c>
    </row>
    <row r="428" spans="1:14" ht="23.4" customHeight="1" x14ac:dyDescent="0.25">
      <c r="A428" s="180" t="s">
        <v>6239</v>
      </c>
      <c r="B428" s="129" t="s">
        <v>231</v>
      </c>
      <c r="C428" s="16" t="s">
        <v>2078</v>
      </c>
      <c r="D428" s="6" t="s">
        <v>4791</v>
      </c>
      <c r="E428" s="336" t="s">
        <v>6249</v>
      </c>
      <c r="F428" s="12">
        <v>2</v>
      </c>
      <c r="G428" s="193">
        <f t="shared" si="11"/>
        <v>15</v>
      </c>
      <c r="H428" s="129" t="s">
        <v>3925</v>
      </c>
      <c r="I428" s="129" t="s">
        <v>3906</v>
      </c>
      <c r="J428" s="162" t="s">
        <v>3970</v>
      </c>
      <c r="K428" s="129" t="s">
        <v>6241</v>
      </c>
      <c r="L428" s="162" t="s">
        <v>6192</v>
      </c>
      <c r="M428" s="12">
        <v>187</v>
      </c>
      <c r="N428" s="159" t="s">
        <v>6242</v>
      </c>
    </row>
    <row r="429" spans="1:14" ht="23.4" customHeight="1" x14ac:dyDescent="0.25">
      <c r="A429" s="180" t="s">
        <v>6251</v>
      </c>
      <c r="B429" s="129" t="s">
        <v>231</v>
      </c>
      <c r="C429" s="16" t="s">
        <v>2078</v>
      </c>
      <c r="D429" s="6" t="s">
        <v>4791</v>
      </c>
      <c r="E429" s="336" t="s">
        <v>6252</v>
      </c>
      <c r="F429" s="12">
        <v>2</v>
      </c>
      <c r="G429" s="193">
        <f t="shared" si="11"/>
        <v>15</v>
      </c>
      <c r="H429" s="129" t="s">
        <v>3926</v>
      </c>
      <c r="I429" s="129" t="s">
        <v>3919</v>
      </c>
      <c r="J429" s="162" t="s">
        <v>3934</v>
      </c>
      <c r="K429" s="129" t="s">
        <v>6253</v>
      </c>
      <c r="L429" s="162" t="s">
        <v>6192</v>
      </c>
      <c r="M429" s="12">
        <v>187</v>
      </c>
      <c r="N429" s="159" t="s">
        <v>6254</v>
      </c>
    </row>
    <row r="430" spans="1:14" ht="23.4" customHeight="1" x14ac:dyDescent="0.25">
      <c r="A430" s="180" t="s">
        <v>6255</v>
      </c>
      <c r="B430" s="129" t="s">
        <v>7072</v>
      </c>
      <c r="C430" s="16" t="s">
        <v>2078</v>
      </c>
      <c r="D430" s="6" t="s">
        <v>4791</v>
      </c>
      <c r="E430" s="336" t="s">
        <v>6252</v>
      </c>
      <c r="F430" s="12">
        <v>2</v>
      </c>
      <c r="G430" s="193">
        <f t="shared" si="11"/>
        <v>15</v>
      </c>
      <c r="H430" s="129" t="s">
        <v>3891</v>
      </c>
      <c r="I430" s="129" t="s">
        <v>4714</v>
      </c>
      <c r="J430" s="162" t="s">
        <v>6261</v>
      </c>
      <c r="K430" s="129" t="s">
        <v>6256</v>
      </c>
      <c r="L430" s="162" t="s">
        <v>6192</v>
      </c>
      <c r="M430" s="12">
        <v>188</v>
      </c>
      <c r="N430" s="159" t="s">
        <v>8958</v>
      </c>
    </row>
    <row r="431" spans="1:14" ht="23.4" customHeight="1" x14ac:dyDescent="0.25">
      <c r="A431" s="180" t="s">
        <v>1537</v>
      </c>
      <c r="B431" s="129" t="s">
        <v>231</v>
      </c>
      <c r="C431" s="16" t="s">
        <v>2078</v>
      </c>
      <c r="D431" s="6" t="s">
        <v>4791</v>
      </c>
      <c r="E431" s="334" t="s">
        <v>579</v>
      </c>
      <c r="F431" s="12">
        <v>1</v>
      </c>
      <c r="G431" s="192">
        <f t="shared" si="11"/>
        <v>10</v>
      </c>
      <c r="H431" s="129" t="s">
        <v>3891</v>
      </c>
      <c r="I431" s="129" t="s">
        <v>4019</v>
      </c>
      <c r="J431" s="162" t="s">
        <v>3879</v>
      </c>
      <c r="K431" s="129" t="s">
        <v>4020</v>
      </c>
      <c r="L431" s="162" t="s">
        <v>3</v>
      </c>
      <c r="M431" s="12">
        <v>179</v>
      </c>
      <c r="N431" s="159" t="s">
        <v>4021</v>
      </c>
    </row>
    <row r="432" spans="1:14" ht="23.4" customHeight="1" x14ac:dyDescent="0.25">
      <c r="A432" s="180" t="s">
        <v>1451</v>
      </c>
      <c r="B432" s="170" t="s">
        <v>2078</v>
      </c>
      <c r="C432" s="16" t="s">
        <v>2078</v>
      </c>
      <c r="D432" s="6" t="s">
        <v>4791</v>
      </c>
      <c r="E432" s="334" t="s">
        <v>579</v>
      </c>
      <c r="F432" s="12">
        <v>1</v>
      </c>
      <c r="G432" s="192">
        <f t="shared" si="11"/>
        <v>10</v>
      </c>
      <c r="H432" s="129" t="s">
        <v>3926</v>
      </c>
      <c r="I432" s="129" t="s">
        <v>4289</v>
      </c>
      <c r="J432" s="162" t="s">
        <v>4290</v>
      </c>
      <c r="K432" s="129" t="s">
        <v>4293</v>
      </c>
      <c r="L432" s="162" t="s">
        <v>160</v>
      </c>
      <c r="M432" s="12">
        <v>189</v>
      </c>
      <c r="N432" s="159" t="s">
        <v>8959</v>
      </c>
    </row>
    <row r="433" spans="1:14" ht="23.4" customHeight="1" x14ac:dyDescent="0.25">
      <c r="A433" s="180" t="s">
        <v>1448</v>
      </c>
      <c r="B433" s="170" t="s">
        <v>2078</v>
      </c>
      <c r="C433" s="16" t="s">
        <v>2078</v>
      </c>
      <c r="D433" s="6" t="s">
        <v>4791</v>
      </c>
      <c r="E433" s="334" t="s">
        <v>579</v>
      </c>
      <c r="F433" s="12">
        <v>1</v>
      </c>
      <c r="G433" s="192">
        <f t="shared" si="11"/>
        <v>10</v>
      </c>
      <c r="H433" s="129" t="s">
        <v>3891</v>
      </c>
      <c r="I433" s="129" t="s">
        <v>4715</v>
      </c>
      <c r="J433" s="162" t="s">
        <v>3893</v>
      </c>
      <c r="K433" s="129" t="s">
        <v>4292</v>
      </c>
      <c r="L433" s="162" t="s">
        <v>160</v>
      </c>
      <c r="M433" s="12">
        <v>185</v>
      </c>
      <c r="N433" s="159" t="str">
        <f>CONCATENATE("Pendant la durée de ce sort, la cible gagne +",Feu,"g0 à tous les jets de compétences Noble ou de Marchand basés sur le Trait d'Intelligence")</f>
        <v>Pendant la durée de ce sort, la cible gagne +2g0 à tous les jets de compétences Noble ou de Marchand basés sur le Trait d'Intelligence</v>
      </c>
    </row>
    <row r="434" spans="1:14" ht="23.4" customHeight="1" x14ac:dyDescent="0.25">
      <c r="A434" s="180" t="s">
        <v>1544</v>
      </c>
      <c r="B434" s="170" t="s">
        <v>2078</v>
      </c>
      <c r="C434" s="16" t="s">
        <v>2078</v>
      </c>
      <c r="D434" s="6" t="s">
        <v>4791</v>
      </c>
      <c r="E434" s="334" t="s">
        <v>579</v>
      </c>
      <c r="F434" s="12">
        <v>1</v>
      </c>
      <c r="G434" s="192">
        <f t="shared" si="11"/>
        <v>10</v>
      </c>
      <c r="H434" s="129" t="s">
        <v>3952</v>
      </c>
      <c r="I434" s="129" t="s">
        <v>4065</v>
      </c>
      <c r="J434" s="162" t="s">
        <v>3900</v>
      </c>
      <c r="K434" s="129" t="s">
        <v>1284</v>
      </c>
      <c r="L434" s="162" t="s">
        <v>3</v>
      </c>
      <c r="M434" s="12">
        <v>180</v>
      </c>
      <c r="N434" s="159" t="s">
        <v>4066</v>
      </c>
    </row>
    <row r="435" spans="1:14" ht="23.4" customHeight="1" x14ac:dyDescent="0.25">
      <c r="A435" s="180" t="s">
        <v>1751</v>
      </c>
      <c r="B435" s="170" t="s">
        <v>2078</v>
      </c>
      <c r="C435" s="16" t="s">
        <v>2078</v>
      </c>
      <c r="D435" s="6" t="s">
        <v>4791</v>
      </c>
      <c r="E435" s="334" t="s">
        <v>579</v>
      </c>
      <c r="F435" s="12">
        <v>1</v>
      </c>
      <c r="G435" s="192">
        <f t="shared" si="11"/>
        <v>10</v>
      </c>
      <c r="H435" s="129" t="s">
        <v>3891</v>
      </c>
      <c r="I435" s="129" t="s">
        <v>4176</v>
      </c>
      <c r="J435" s="162" t="s">
        <v>3900</v>
      </c>
      <c r="K435" s="129" t="s">
        <v>4185</v>
      </c>
      <c r="L435" s="162" t="s">
        <v>2076</v>
      </c>
      <c r="M435" s="12">
        <v>52</v>
      </c>
      <c r="N435" s="159" t="s">
        <v>8960</v>
      </c>
    </row>
    <row r="436" spans="1:14" ht="23.4" customHeight="1" x14ac:dyDescent="0.25">
      <c r="A436" s="180" t="s">
        <v>1449</v>
      </c>
      <c r="B436" s="129" t="s">
        <v>228</v>
      </c>
      <c r="C436" s="16" t="s">
        <v>2078</v>
      </c>
      <c r="D436" s="6" t="s">
        <v>4791</v>
      </c>
      <c r="E436" s="334" t="s">
        <v>579</v>
      </c>
      <c r="F436" s="12">
        <v>1</v>
      </c>
      <c r="G436" s="192">
        <f t="shared" si="11"/>
        <v>10</v>
      </c>
      <c r="H436" s="129" t="s">
        <v>3925</v>
      </c>
      <c r="I436" s="129" t="s">
        <v>4284</v>
      </c>
      <c r="J436" s="162" t="s">
        <v>3917</v>
      </c>
      <c r="K436" s="129" t="s">
        <v>4285</v>
      </c>
      <c r="L436" s="162" t="s">
        <v>160</v>
      </c>
      <c r="M436" s="12">
        <v>185</v>
      </c>
      <c r="N436" s="159" t="s">
        <v>4286</v>
      </c>
    </row>
    <row r="437" spans="1:14" ht="23.4" customHeight="1" x14ac:dyDescent="0.25">
      <c r="A437" s="180" t="s">
        <v>1538</v>
      </c>
      <c r="B437" s="170" t="s">
        <v>3690</v>
      </c>
      <c r="C437" s="16" t="s">
        <v>2078</v>
      </c>
      <c r="D437" s="6" t="s">
        <v>4791</v>
      </c>
      <c r="E437" s="334" t="s">
        <v>579</v>
      </c>
      <c r="F437" s="12">
        <v>1</v>
      </c>
      <c r="G437" s="192">
        <f t="shared" si="11"/>
        <v>10</v>
      </c>
      <c r="H437" s="129" t="s">
        <v>3887</v>
      </c>
      <c r="I437" s="129" t="s">
        <v>3948</v>
      </c>
      <c r="J437" s="162" t="s">
        <v>3900</v>
      </c>
      <c r="K437" s="129" t="s">
        <v>4067</v>
      </c>
      <c r="L437" s="162" t="s">
        <v>3</v>
      </c>
      <c r="M437" s="12">
        <v>180</v>
      </c>
      <c r="N437" s="159" t="s">
        <v>4068</v>
      </c>
    </row>
    <row r="438" spans="1:14" ht="23.4" customHeight="1" x14ac:dyDescent="0.25">
      <c r="A438" s="180" t="s">
        <v>1455</v>
      </c>
      <c r="B438" s="129" t="s">
        <v>231</v>
      </c>
      <c r="C438" s="16" t="s">
        <v>2078</v>
      </c>
      <c r="D438" s="6" t="s">
        <v>4791</v>
      </c>
      <c r="E438" s="334" t="s">
        <v>579</v>
      </c>
      <c r="F438" s="12">
        <v>1</v>
      </c>
      <c r="G438" s="192">
        <f t="shared" si="11"/>
        <v>10</v>
      </c>
      <c r="H438" s="129" t="s">
        <v>3891</v>
      </c>
      <c r="I438" s="129" t="s">
        <v>4715</v>
      </c>
      <c r="J438" s="162" t="s">
        <v>4077</v>
      </c>
      <c r="K438" s="129" t="s">
        <v>4294</v>
      </c>
      <c r="L438" s="162" t="s">
        <v>160</v>
      </c>
      <c r="M438" s="12">
        <v>186</v>
      </c>
      <c r="N438" s="159" t="s">
        <v>4295</v>
      </c>
    </row>
    <row r="439" spans="1:14" ht="23.4" customHeight="1" x14ac:dyDescent="0.25">
      <c r="A439" s="180" t="s">
        <v>1546</v>
      </c>
      <c r="B439" s="170" t="s">
        <v>2078</v>
      </c>
      <c r="C439" s="16" t="s">
        <v>2078</v>
      </c>
      <c r="D439" s="6" t="s">
        <v>4791</v>
      </c>
      <c r="E439" s="334" t="s">
        <v>579</v>
      </c>
      <c r="F439" s="12">
        <v>1</v>
      </c>
      <c r="G439" s="192">
        <f t="shared" si="11"/>
        <v>10</v>
      </c>
      <c r="H439" s="129" t="s">
        <v>3916</v>
      </c>
      <c r="I439" s="129" t="s">
        <v>3957</v>
      </c>
      <c r="J439" s="162" t="s">
        <v>3900</v>
      </c>
      <c r="K439" s="129" t="s">
        <v>4069</v>
      </c>
      <c r="L439" s="162" t="s">
        <v>3</v>
      </c>
      <c r="M439" s="12">
        <v>180</v>
      </c>
      <c r="N439" s="159" t="str">
        <f>CONCATENATE("Tous ceux qui se trouvent dans la zone d'effet y compris le lanceur de sort subissent ",Feu,"g",Feu," dommages. Toutefois le lanceur du sort ne subit que la moitié des dommages.")</f>
        <v>Tous ceux qui se trouvent dans la zone d'effet y compris le lanceur de sort subissent 2g2 dommages. Toutefois le lanceur du sort ne subit que la moitié des dommages.</v>
      </c>
    </row>
    <row r="440" spans="1:14" ht="23.4" customHeight="1" x14ac:dyDescent="0.25">
      <c r="A440" s="180" t="s">
        <v>1539</v>
      </c>
      <c r="B440" s="129" t="s">
        <v>229</v>
      </c>
      <c r="C440" s="16" t="s">
        <v>2078</v>
      </c>
      <c r="D440" s="6" t="s">
        <v>4791</v>
      </c>
      <c r="E440" s="334" t="s">
        <v>579</v>
      </c>
      <c r="F440" s="12">
        <v>1</v>
      </c>
      <c r="G440" s="192">
        <f t="shared" si="11"/>
        <v>10</v>
      </c>
      <c r="H440" s="129" t="s">
        <v>3933</v>
      </c>
      <c r="I440" s="129" t="s">
        <v>4065</v>
      </c>
      <c r="J440" s="162" t="s">
        <v>3889</v>
      </c>
      <c r="K440" s="129" t="s">
        <v>4070</v>
      </c>
      <c r="L440" s="162" t="s">
        <v>3</v>
      </c>
      <c r="M440" s="12">
        <v>180</v>
      </c>
      <c r="N440" s="159" t="s">
        <v>4071</v>
      </c>
    </row>
    <row r="441" spans="1:14" ht="23.4" customHeight="1" x14ac:dyDescent="0.25">
      <c r="A441" s="180" t="s">
        <v>1542</v>
      </c>
      <c r="B441" s="129" t="s">
        <v>2096</v>
      </c>
      <c r="C441" s="16" t="s">
        <v>2078</v>
      </c>
      <c r="D441" s="6" t="s">
        <v>4791</v>
      </c>
      <c r="E441" s="334" t="s">
        <v>579</v>
      </c>
      <c r="F441" s="12">
        <v>1</v>
      </c>
      <c r="G441" s="192">
        <f t="shared" si="11"/>
        <v>10</v>
      </c>
      <c r="H441" s="129" t="s">
        <v>3891</v>
      </c>
      <c r="I441" s="129" t="s">
        <v>4072</v>
      </c>
      <c r="J441" s="162" t="s">
        <v>3900</v>
      </c>
      <c r="K441" s="129" t="s">
        <v>1284</v>
      </c>
      <c r="L441" s="162" t="s">
        <v>3</v>
      </c>
      <c r="M441" s="12">
        <v>180</v>
      </c>
      <c r="N441" s="159" t="s">
        <v>8961</v>
      </c>
    </row>
    <row r="442" spans="1:14" ht="23.4" customHeight="1" x14ac:dyDescent="0.25">
      <c r="A442" s="180" t="s">
        <v>1545</v>
      </c>
      <c r="B442" s="129" t="s">
        <v>234</v>
      </c>
      <c r="C442" s="16" t="s">
        <v>2078</v>
      </c>
      <c r="D442" s="6" t="s">
        <v>4791</v>
      </c>
      <c r="E442" s="334" t="s">
        <v>579</v>
      </c>
      <c r="F442" s="12">
        <v>1</v>
      </c>
      <c r="G442" s="192">
        <f t="shared" si="11"/>
        <v>10</v>
      </c>
      <c r="H442" s="129" t="s">
        <v>4073</v>
      </c>
      <c r="I442" s="129" t="s">
        <v>4065</v>
      </c>
      <c r="J442" s="162" t="s">
        <v>3900</v>
      </c>
      <c r="K442" s="129" t="s">
        <v>4070</v>
      </c>
      <c r="L442" s="162" t="s">
        <v>3</v>
      </c>
      <c r="M442" s="12">
        <v>180</v>
      </c>
      <c r="N442" s="159" t="s">
        <v>8962</v>
      </c>
    </row>
    <row r="443" spans="1:14" ht="23.4" customHeight="1" x14ac:dyDescent="0.25">
      <c r="A443" s="180" t="s">
        <v>1541</v>
      </c>
      <c r="B443" s="170" t="s">
        <v>2078</v>
      </c>
      <c r="C443" s="16" t="s">
        <v>2078</v>
      </c>
      <c r="D443" s="6" t="s">
        <v>4791</v>
      </c>
      <c r="E443" s="334" t="s">
        <v>579</v>
      </c>
      <c r="F443" s="12">
        <v>1</v>
      </c>
      <c r="G443" s="192">
        <f t="shared" si="11"/>
        <v>10</v>
      </c>
      <c r="H443" s="129" t="s">
        <v>3891</v>
      </c>
      <c r="I443" s="129" t="s">
        <v>4065</v>
      </c>
      <c r="J443" s="162" t="s">
        <v>3934</v>
      </c>
      <c r="K443" s="129" t="s">
        <v>4074</v>
      </c>
      <c r="L443" s="162" t="s">
        <v>3</v>
      </c>
      <c r="M443" s="12">
        <v>180</v>
      </c>
      <c r="N443" s="159" t="str">
        <f>CONCATENATE("Ajoute +",Feu," aux résultat de ses jets d'attaque, de compétence et de traits de la cible de ce sort. Cet effet s'arrête quand le sort s'achêve, quand la cible rate un jet d'attaque ou de compétence ou quand elle subit des blessures quelle qu'en soit leur l'origine")</f>
        <v>Ajoute +2 aux résultat de ses jets d'attaque, de compétence et de traits de la cible de ce sort. Cet effet s'arrête quand le sort s'achêve, quand la cible rate un jet d'attaque ou de compétence ou quand elle subit des blessures quelle qu'en soit leur l'origine</v>
      </c>
    </row>
    <row r="444" spans="1:14" ht="23.4" customHeight="1" x14ac:dyDescent="0.25">
      <c r="A444" s="180" t="s">
        <v>1540</v>
      </c>
      <c r="B444" s="129" t="s">
        <v>2099</v>
      </c>
      <c r="C444" s="16" t="s">
        <v>2078</v>
      </c>
      <c r="D444" s="6" t="s">
        <v>4791</v>
      </c>
      <c r="E444" s="334" t="s">
        <v>579</v>
      </c>
      <c r="F444" s="12">
        <v>1</v>
      </c>
      <c r="G444" s="192">
        <f t="shared" si="11"/>
        <v>10</v>
      </c>
      <c r="H444" s="129" t="s">
        <v>3903</v>
      </c>
      <c r="I444" s="129" t="s">
        <v>3904</v>
      </c>
      <c r="J444" s="162" t="s">
        <v>3879</v>
      </c>
      <c r="K444" s="129" t="s">
        <v>3997</v>
      </c>
      <c r="L444" s="162" t="s">
        <v>3</v>
      </c>
      <c r="M444" s="12">
        <v>181</v>
      </c>
      <c r="N444" s="159" t="str">
        <f>CONCATENATE("Vous invoquez une arme tourbillonante faite de Feu pur. Sa forme par défaut est celle d'un katana et a une VD de 1g2. Si vous ne disposez pas de la Compétence Kenjutsu, utilisez votre Rg. de Maitrise à la place. Si vous avez cette compétence, +",Honneur," au résultat de tout jet de Dommages avec cette arme.")</f>
        <v>Vous invoquez une arme tourbillonante faite de Feu pur. Sa forme par défaut est celle d'un katana et a une VD de 1g2. Si vous ne disposez pas de la Compétence Kenjutsu, utilisez votre Rg. de Maitrise à la place. Si vous avez cette compétence, +0 au résultat de tout jet de Dommages avec cette arme.</v>
      </c>
    </row>
    <row r="445" spans="1:14" ht="23.4" customHeight="1" x14ac:dyDescent="0.25">
      <c r="A445" s="180" t="s">
        <v>1543</v>
      </c>
      <c r="B445" s="129" t="s">
        <v>2096</v>
      </c>
      <c r="C445" s="16" t="s">
        <v>2078</v>
      </c>
      <c r="D445" s="6" t="s">
        <v>4791</v>
      </c>
      <c r="E445" s="334" t="s">
        <v>579</v>
      </c>
      <c r="F445" s="12">
        <v>1</v>
      </c>
      <c r="G445" s="192">
        <f t="shared" si="11"/>
        <v>10</v>
      </c>
      <c r="H445" s="129" t="s">
        <v>3891</v>
      </c>
      <c r="I445" s="129" t="s">
        <v>4075</v>
      </c>
      <c r="J445" s="162" t="s">
        <v>3889</v>
      </c>
      <c r="K445" s="129" t="s">
        <v>3941</v>
      </c>
      <c r="L445" s="162" t="s">
        <v>3</v>
      </c>
      <c r="M445" s="12">
        <v>181</v>
      </c>
      <c r="N445" s="159" t="s">
        <v>8963</v>
      </c>
    </row>
    <row r="446" spans="1:14" ht="23.4" customHeight="1" x14ac:dyDescent="0.25">
      <c r="A446" s="180" t="str">
        <f>IF(Contexte_jeu="L'Empire Stellaire d'Emeraude","Marteau des Traditions","")</f>
        <v/>
      </c>
      <c r="B446" s="129" t="s">
        <v>8342</v>
      </c>
      <c r="C446" s="16" t="s">
        <v>2078</v>
      </c>
      <c r="D446" s="6" t="s">
        <v>4791</v>
      </c>
      <c r="E446" s="334" t="s">
        <v>579</v>
      </c>
      <c r="F446" s="12">
        <v>2</v>
      </c>
      <c r="G446" s="192">
        <f t="shared" si="11"/>
        <v>15</v>
      </c>
      <c r="H446" s="129" t="s">
        <v>4081</v>
      </c>
      <c r="I446" s="129" t="s">
        <v>4065</v>
      </c>
      <c r="J446" s="162" t="s">
        <v>3934</v>
      </c>
      <c r="K446" s="129" t="s">
        <v>8343</v>
      </c>
      <c r="L446" s="162" t="s">
        <v>7453</v>
      </c>
      <c r="M446" s="12">
        <v>27</v>
      </c>
      <c r="N446" s="159" t="s">
        <v>8344</v>
      </c>
    </row>
    <row r="447" spans="1:14" ht="23.4" customHeight="1" x14ac:dyDescent="0.25">
      <c r="A447" s="180" t="s">
        <v>1457</v>
      </c>
      <c r="B447" s="129" t="s">
        <v>237</v>
      </c>
      <c r="C447" s="16" t="s">
        <v>2078</v>
      </c>
      <c r="D447" s="6" t="s">
        <v>4791</v>
      </c>
      <c r="E447" s="334" t="s">
        <v>579</v>
      </c>
      <c r="F447" s="12">
        <v>2</v>
      </c>
      <c r="G447" s="192">
        <f t="shared" si="11"/>
        <v>15</v>
      </c>
      <c r="H447" s="129" t="s">
        <v>3891</v>
      </c>
      <c r="I447" s="129" t="s">
        <v>3887</v>
      </c>
      <c r="J447" s="162" t="s">
        <v>3917</v>
      </c>
      <c r="K447" s="129" t="s">
        <v>4298</v>
      </c>
      <c r="L447" s="162" t="s">
        <v>160</v>
      </c>
      <c r="M447" s="12">
        <v>186</v>
      </c>
      <c r="N447" s="159" t="s">
        <v>8964</v>
      </c>
    </row>
    <row r="448" spans="1:14" ht="23.4" customHeight="1" x14ac:dyDescent="0.25">
      <c r="A448" s="180" t="s">
        <v>1548</v>
      </c>
      <c r="B448" s="129" t="s">
        <v>228</v>
      </c>
      <c r="C448" s="16" t="s">
        <v>2078</v>
      </c>
      <c r="D448" s="6" t="s">
        <v>4791</v>
      </c>
      <c r="E448" s="334" t="s">
        <v>579</v>
      </c>
      <c r="F448" s="12">
        <v>2</v>
      </c>
      <c r="G448" s="192">
        <f t="shared" si="11"/>
        <v>15</v>
      </c>
      <c r="H448" s="129" t="s">
        <v>3891</v>
      </c>
      <c r="I448" s="129" t="s">
        <v>4076</v>
      </c>
      <c r="J448" s="162" t="s">
        <v>4077</v>
      </c>
      <c r="K448" s="129" t="s">
        <v>3931</v>
      </c>
      <c r="L448" s="162" t="s">
        <v>3</v>
      </c>
      <c r="M448" s="12">
        <v>181</v>
      </c>
      <c r="N448" s="569" t="s">
        <v>8965</v>
      </c>
    </row>
    <row r="449" spans="1:14" ht="23.4" customHeight="1" x14ac:dyDescent="0.25">
      <c r="A449" s="180" t="s">
        <v>1547</v>
      </c>
      <c r="B449" s="170" t="s">
        <v>2078</v>
      </c>
      <c r="C449" s="16" t="s">
        <v>2078</v>
      </c>
      <c r="D449" s="6" t="s">
        <v>4791</v>
      </c>
      <c r="E449" s="334" t="s">
        <v>579</v>
      </c>
      <c r="F449" s="12">
        <v>2</v>
      </c>
      <c r="G449" s="192">
        <f t="shared" si="11"/>
        <v>15</v>
      </c>
      <c r="H449" s="129" t="s">
        <v>3925</v>
      </c>
      <c r="I449" s="129" t="s">
        <v>3919</v>
      </c>
      <c r="J449" s="162" t="s">
        <v>3970</v>
      </c>
      <c r="K449" s="129" t="s">
        <v>4078</v>
      </c>
      <c r="L449" s="162" t="s">
        <v>3</v>
      </c>
      <c r="M449" s="12">
        <v>181</v>
      </c>
      <c r="N449" s="159" t="s">
        <v>8966</v>
      </c>
    </row>
    <row r="450" spans="1:14" ht="23.4" customHeight="1" x14ac:dyDescent="0.25">
      <c r="A450" s="180" t="s">
        <v>1550</v>
      </c>
      <c r="B450" s="170" t="s">
        <v>2078</v>
      </c>
      <c r="C450" s="16" t="s">
        <v>2078</v>
      </c>
      <c r="D450" s="6" t="s">
        <v>4791</v>
      </c>
      <c r="E450" s="334" t="s">
        <v>579</v>
      </c>
      <c r="F450" s="12">
        <v>2</v>
      </c>
      <c r="G450" s="192">
        <f t="shared" si="11"/>
        <v>15</v>
      </c>
      <c r="H450" s="129" t="s">
        <v>3926</v>
      </c>
      <c r="I450" s="129" t="s">
        <v>4065</v>
      </c>
      <c r="J450" s="162" t="s">
        <v>3900</v>
      </c>
      <c r="K450" s="129" t="s">
        <v>4079</v>
      </c>
      <c r="L450" s="162" t="s">
        <v>3</v>
      </c>
      <c r="M450" s="12">
        <v>181</v>
      </c>
      <c r="N450" s="159" t="str">
        <f>CONCATENATE("Vous invoquez une orbre de feu qui reste en suspension au dessus de votre paume avant de s'envoler vers sa cible. La célérité et la taille de la sphère augmentent jusqu'à ce qu'elle touche, faisant",Feu, "dégâts.")</f>
        <v>Vous invoquez une orbre de feu qui reste en suspension au dessus de votre paume avant de s'envoler vers sa cible. La célérité et la taille de la sphère augmentent jusqu'à ce qu'elle touche, faisant2dégâts.</v>
      </c>
    </row>
    <row r="451" spans="1:14" ht="23.4" customHeight="1" x14ac:dyDescent="0.25">
      <c r="A451" s="180" t="s">
        <v>1551</v>
      </c>
      <c r="B451" s="129" t="s">
        <v>223</v>
      </c>
      <c r="C451" s="16" t="s">
        <v>2078</v>
      </c>
      <c r="D451" s="6" t="s">
        <v>4791</v>
      </c>
      <c r="E451" s="334" t="s">
        <v>579</v>
      </c>
      <c r="F451" s="12">
        <v>2</v>
      </c>
      <c r="G451" s="192">
        <f t="shared" si="11"/>
        <v>15</v>
      </c>
      <c r="H451" s="129" t="s">
        <v>3891</v>
      </c>
      <c r="I451" s="129" t="s">
        <v>4080</v>
      </c>
      <c r="J451" s="162" t="s">
        <v>4010</v>
      </c>
      <c r="K451" s="129" t="s">
        <v>1284</v>
      </c>
      <c r="L451" s="162" t="s">
        <v>3</v>
      </c>
      <c r="M451" s="12">
        <v>181</v>
      </c>
      <c r="N451" s="159" t="str">
        <f>CONCATENATE("Une créature de l'Outremonde, Souillée ou corrompue doit réussir un Test d'Opposition Volonté de ND ",Volonté+5," pour pénétrer un espace protégé par un Glyphe de Pureté. Les créatures qui perviennent à entrer subissent ",Réputation+Feu," Blessures. 1 Seul Glyphe à la fois.")</f>
        <v>Une créature de l'Outremonde, Souillée ou corrompue doit réussir un Test d'Opposition Volonté de ND 7 pour pénétrer un espace protégé par un Glyphe de Pureté. Les créatures qui perviennent à entrer subissent 3 Blessures. 1 Seul Glyphe à la fois.</v>
      </c>
    </row>
    <row r="452" spans="1:14" s="196" customFormat="1" ht="23.4" customHeight="1" x14ac:dyDescent="0.25">
      <c r="A452" s="180" t="s">
        <v>1762</v>
      </c>
      <c r="B452" s="170" t="s">
        <v>3684</v>
      </c>
      <c r="C452" s="16" t="s">
        <v>2078</v>
      </c>
      <c r="D452" s="6" t="s">
        <v>4791</v>
      </c>
      <c r="E452" s="334" t="s">
        <v>579</v>
      </c>
      <c r="F452" s="12">
        <v>2</v>
      </c>
      <c r="G452" s="192">
        <f t="shared" si="11"/>
        <v>15</v>
      </c>
      <c r="H452" s="129" t="s">
        <v>3887</v>
      </c>
      <c r="I452" s="129" t="s">
        <v>3916</v>
      </c>
      <c r="J452" s="162" t="s">
        <v>3970</v>
      </c>
      <c r="K452" s="129" t="s">
        <v>1284</v>
      </c>
      <c r="L452" s="162" t="s">
        <v>3</v>
      </c>
      <c r="M452" s="12">
        <v>182</v>
      </c>
      <c r="N452" s="159" t="s">
        <v>8967</v>
      </c>
    </row>
    <row r="453" spans="1:14" ht="23.4" customHeight="1" x14ac:dyDescent="0.25">
      <c r="A453" s="180" t="s">
        <v>1763</v>
      </c>
      <c r="B453" s="170" t="s">
        <v>223</v>
      </c>
      <c r="C453" s="16" t="s">
        <v>2078</v>
      </c>
      <c r="D453" s="6" t="s">
        <v>4791</v>
      </c>
      <c r="E453" s="334" t="s">
        <v>579</v>
      </c>
      <c r="F453" s="12">
        <v>2</v>
      </c>
      <c r="G453" s="192">
        <f t="shared" si="11"/>
        <v>15</v>
      </c>
      <c r="H453" s="129" t="s">
        <v>4081</v>
      </c>
      <c r="I453" s="129" t="s">
        <v>4709</v>
      </c>
      <c r="J453" s="162" t="s">
        <v>4082</v>
      </c>
      <c r="K453" s="129" t="s">
        <v>4083</v>
      </c>
      <c r="L453" s="162" t="s">
        <v>3</v>
      </c>
      <c r="M453" s="12">
        <v>182</v>
      </c>
      <c r="N453" s="159" t="s">
        <v>4084</v>
      </c>
    </row>
    <row r="454" spans="1:14" ht="23.4" customHeight="1" x14ac:dyDescent="0.25">
      <c r="A454" s="180" t="s">
        <v>1452</v>
      </c>
      <c r="B454" s="129" t="s">
        <v>228</v>
      </c>
      <c r="C454" s="16" t="s">
        <v>2078</v>
      </c>
      <c r="D454" s="6" t="s">
        <v>4791</v>
      </c>
      <c r="E454" s="334" t="s">
        <v>579</v>
      </c>
      <c r="F454" s="12">
        <v>2</v>
      </c>
      <c r="G454" s="192">
        <f t="shared" si="11"/>
        <v>15</v>
      </c>
      <c r="H454" s="129" t="s">
        <v>3925</v>
      </c>
      <c r="I454" s="129" t="s">
        <v>4296</v>
      </c>
      <c r="J454" s="162" t="s">
        <v>3900</v>
      </c>
      <c r="K454" s="129" t="s">
        <v>4297</v>
      </c>
      <c r="L454" s="162" t="s">
        <v>160</v>
      </c>
      <c r="M454" s="12">
        <v>185</v>
      </c>
      <c r="N454" s="159" t="s">
        <v>8968</v>
      </c>
    </row>
    <row r="455" spans="1:14" ht="23.4" customHeight="1" x14ac:dyDescent="0.25">
      <c r="A455" s="180" t="s">
        <v>1549</v>
      </c>
      <c r="B455" s="170" t="s">
        <v>2078</v>
      </c>
      <c r="C455" s="16" t="s">
        <v>2078</v>
      </c>
      <c r="D455" s="6" t="s">
        <v>4791</v>
      </c>
      <c r="E455" s="334" t="s">
        <v>579</v>
      </c>
      <c r="F455" s="12">
        <v>2</v>
      </c>
      <c r="G455" s="192">
        <f t="shared" si="11"/>
        <v>15</v>
      </c>
      <c r="H455" s="129" t="s">
        <v>3887</v>
      </c>
      <c r="I455" s="129" t="s">
        <v>3916</v>
      </c>
      <c r="J455" s="162" t="s">
        <v>4085</v>
      </c>
      <c r="K455" s="129" t="s">
        <v>3931</v>
      </c>
      <c r="L455" s="162" t="s">
        <v>3</v>
      </c>
      <c r="M455" s="12">
        <v>182</v>
      </c>
      <c r="N455" s="159" t="str">
        <f>CONCATENATE("Vous invoquez un fouet de feu qui ne vous brûle pas mais peut vous servir à frapper des ennemis dans un rayon de 9m. Votre jet d'attaque est égal à ",Agilité+2*Réputation,"g",Agilité,". La VD du fouet est égale à ",Feu)</f>
        <v>Vous invoquez un fouet de feu qui ne vous brûle pas mais peut vous servir à frapper des ennemis dans un rayon de 9m. Votre jet d'attaque est égal à 4g2. La VD du fouet est égale à 2</v>
      </c>
    </row>
    <row r="456" spans="1:14" ht="23.4" customHeight="1" x14ac:dyDescent="0.25">
      <c r="A456" s="180" t="s">
        <v>1764</v>
      </c>
      <c r="B456" s="170" t="s">
        <v>2078</v>
      </c>
      <c r="C456" s="16" t="s">
        <v>2078</v>
      </c>
      <c r="D456" s="6" t="s">
        <v>4791</v>
      </c>
      <c r="E456" s="334" t="s">
        <v>579</v>
      </c>
      <c r="F456" s="12">
        <v>2</v>
      </c>
      <c r="G456" s="192">
        <f t="shared" si="11"/>
        <v>15</v>
      </c>
      <c r="H456" s="129" t="s">
        <v>3891</v>
      </c>
      <c r="I456" s="129" t="s">
        <v>3892</v>
      </c>
      <c r="J456" s="162" t="s">
        <v>3917</v>
      </c>
      <c r="K456" s="129" t="s">
        <v>1284</v>
      </c>
      <c r="L456" s="162" t="s">
        <v>3</v>
      </c>
      <c r="M456" s="12">
        <v>182</v>
      </c>
      <c r="N456" s="159" t="s">
        <v>4086</v>
      </c>
    </row>
    <row r="457" spans="1:14" ht="23.4" customHeight="1" x14ac:dyDescent="0.25">
      <c r="A457" s="180" t="s">
        <v>1441</v>
      </c>
      <c r="B457" s="129" t="s">
        <v>229</v>
      </c>
      <c r="C457" s="16" t="s">
        <v>2078</v>
      </c>
      <c r="D457" s="6" t="s">
        <v>4791</v>
      </c>
      <c r="E457" s="334" t="s">
        <v>579</v>
      </c>
      <c r="F457" s="12">
        <v>3</v>
      </c>
      <c r="G457" s="192">
        <f t="shared" si="11"/>
        <v>20</v>
      </c>
      <c r="H457" s="129" t="s">
        <v>4299</v>
      </c>
      <c r="I457" s="129" t="s">
        <v>4300</v>
      </c>
      <c r="J457" s="162" t="s">
        <v>4129</v>
      </c>
      <c r="K457" s="129" t="s">
        <v>4301</v>
      </c>
      <c r="L457" s="162" t="s">
        <v>160</v>
      </c>
      <c r="M457" s="12">
        <v>186</v>
      </c>
      <c r="N457" s="159" t="s">
        <v>4302</v>
      </c>
    </row>
    <row r="458" spans="1:14" ht="23.4" customHeight="1" x14ac:dyDescent="0.25">
      <c r="A458" s="180" t="s">
        <v>1554</v>
      </c>
      <c r="B458" s="129" t="s">
        <v>231</v>
      </c>
      <c r="C458" s="16" t="s">
        <v>2078</v>
      </c>
      <c r="D458" s="6" t="s">
        <v>4791</v>
      </c>
      <c r="E458" s="334" t="s">
        <v>579</v>
      </c>
      <c r="F458" s="12">
        <v>3</v>
      </c>
      <c r="G458" s="192">
        <f t="shared" si="11"/>
        <v>20</v>
      </c>
      <c r="H458" s="129" t="s">
        <v>3884</v>
      </c>
      <c r="I458" s="129" t="s">
        <v>4065</v>
      </c>
      <c r="J458" s="162" t="s">
        <v>4087</v>
      </c>
      <c r="K458" s="129" t="s">
        <v>4088</v>
      </c>
      <c r="L458" s="162" t="s">
        <v>3</v>
      </c>
      <c r="M458" s="12">
        <v>182</v>
      </c>
      <c r="N458" s="159" t="s">
        <v>8969</v>
      </c>
    </row>
    <row r="459" spans="1:14" ht="23.4" customHeight="1" x14ac:dyDescent="0.25">
      <c r="A459" s="180" t="s">
        <v>1553</v>
      </c>
      <c r="B459" s="170" t="s">
        <v>2078</v>
      </c>
      <c r="C459" s="16" t="s">
        <v>2078</v>
      </c>
      <c r="D459" s="6" t="s">
        <v>4791</v>
      </c>
      <c r="E459" s="334" t="s">
        <v>579</v>
      </c>
      <c r="F459" s="12">
        <v>3</v>
      </c>
      <c r="G459" s="192">
        <f t="shared" si="11"/>
        <v>20</v>
      </c>
      <c r="H459" s="129" t="s">
        <v>3926</v>
      </c>
      <c r="I459" s="129" t="s">
        <v>4089</v>
      </c>
      <c r="J459" s="162" t="s">
        <v>3900</v>
      </c>
      <c r="K459" s="129" t="s">
        <v>1284</v>
      </c>
      <c r="L459" s="162" t="s">
        <v>3</v>
      </c>
      <c r="M459" s="12">
        <v>183</v>
      </c>
      <c r="N459" s="159" t="s">
        <v>8970</v>
      </c>
    </row>
    <row r="460" spans="1:14" ht="23.4" customHeight="1" x14ac:dyDescent="0.25">
      <c r="A460" s="180" t="s">
        <v>1456</v>
      </c>
      <c r="B460" s="129" t="s">
        <v>101</v>
      </c>
      <c r="C460" s="16" t="s">
        <v>2078</v>
      </c>
      <c r="D460" s="6" t="s">
        <v>4791</v>
      </c>
      <c r="E460" s="334" t="s">
        <v>579</v>
      </c>
      <c r="F460" s="12">
        <v>3</v>
      </c>
      <c r="G460" s="192">
        <f t="shared" si="11"/>
        <v>20</v>
      </c>
      <c r="H460" s="129" t="s">
        <v>3925</v>
      </c>
      <c r="I460" s="129" t="s">
        <v>4730</v>
      </c>
      <c r="J460" s="162" t="s">
        <v>3930</v>
      </c>
      <c r="K460" s="129" t="s">
        <v>4731</v>
      </c>
      <c r="L460" s="162" t="s">
        <v>160</v>
      </c>
      <c r="M460" s="12">
        <v>187</v>
      </c>
      <c r="N460" s="159" t="str">
        <f>CONCATENATE("Toutes les personnes dans la zone d'effet se trouvent envoûtées et sont considérés comme Hébétées pour la durée du sort. Les cibles peuvent tenter de se soustraire aux effets du sort lors de la phase de réactions de chaque round avec un jet de Volonté de ",Feu*10)</f>
        <v>Toutes les personnes dans la zone d'effet se trouvent envoûtées et sont considérés comme Hébétées pour la durée du sort. Les cibles peuvent tenter de se soustraire aux effets du sort lors de la phase de réactions de chaque round avec un jet de Volonté de 20</v>
      </c>
    </row>
    <row r="461" spans="1:14" ht="23.4" customHeight="1" x14ac:dyDescent="0.25">
      <c r="A461" s="180" t="s">
        <v>1555</v>
      </c>
      <c r="B461" s="129" t="s">
        <v>2096</v>
      </c>
      <c r="C461" s="16" t="s">
        <v>2078</v>
      </c>
      <c r="D461" s="6" t="s">
        <v>4791</v>
      </c>
      <c r="E461" s="334" t="s">
        <v>579</v>
      </c>
      <c r="F461" s="12">
        <v>3</v>
      </c>
      <c r="G461" s="192">
        <f t="shared" si="11"/>
        <v>20</v>
      </c>
      <c r="H461" s="129" t="s">
        <v>3925</v>
      </c>
      <c r="I461" s="129" t="s">
        <v>4090</v>
      </c>
      <c r="J461" s="162" t="s">
        <v>3934</v>
      </c>
      <c r="K461" s="129" t="s">
        <v>3931</v>
      </c>
      <c r="L461" s="162" t="s">
        <v>3</v>
      </c>
      <c r="M461" s="12">
        <v>183</v>
      </c>
      <c r="N461" s="159" t="s">
        <v>8971</v>
      </c>
    </row>
    <row r="462" spans="1:14" ht="23.4" customHeight="1" x14ac:dyDescent="0.25">
      <c r="A462" s="180" t="s">
        <v>1556</v>
      </c>
      <c r="B462" s="129" t="s">
        <v>228</v>
      </c>
      <c r="C462" s="16" t="s">
        <v>2078</v>
      </c>
      <c r="D462" s="6" t="s">
        <v>4791</v>
      </c>
      <c r="E462" s="334" t="s">
        <v>579</v>
      </c>
      <c r="F462" s="12">
        <v>3</v>
      </c>
      <c r="G462" s="192">
        <f t="shared" si="11"/>
        <v>20</v>
      </c>
      <c r="H462" s="129" t="s">
        <v>3952</v>
      </c>
      <c r="I462" s="129" t="s">
        <v>4093</v>
      </c>
      <c r="J462" s="162" t="s">
        <v>4077</v>
      </c>
      <c r="K462" s="129" t="s">
        <v>4094</v>
      </c>
      <c r="L462" s="162" t="s">
        <v>3</v>
      </c>
      <c r="M462" s="12">
        <v>183</v>
      </c>
      <c r="N462" s="159" t="s">
        <v>4095</v>
      </c>
    </row>
    <row r="463" spans="1:14" ht="23.4" customHeight="1" x14ac:dyDescent="0.25">
      <c r="A463" s="180" t="s">
        <v>1558</v>
      </c>
      <c r="B463" s="170" t="s">
        <v>2078</v>
      </c>
      <c r="C463" s="16" t="s">
        <v>2078</v>
      </c>
      <c r="D463" s="6" t="s">
        <v>4791</v>
      </c>
      <c r="E463" s="334" t="s">
        <v>579</v>
      </c>
      <c r="F463" s="12">
        <v>3</v>
      </c>
      <c r="G463" s="192">
        <f t="shared" si="11"/>
        <v>20</v>
      </c>
      <c r="H463" s="129" t="s">
        <v>3952</v>
      </c>
      <c r="I463" s="129" t="s">
        <v>4709</v>
      </c>
      <c r="J463" s="162" t="s">
        <v>3934</v>
      </c>
      <c r="K463" s="129" t="s">
        <v>3931</v>
      </c>
      <c r="L463" s="162" t="s">
        <v>3</v>
      </c>
      <c r="M463" s="12">
        <v>183</v>
      </c>
      <c r="N463" s="159" t="s">
        <v>8972</v>
      </c>
    </row>
    <row r="464" spans="1:14" ht="23.4" customHeight="1" x14ac:dyDescent="0.25">
      <c r="A464" s="180" t="s">
        <v>1557</v>
      </c>
      <c r="B464" s="129" t="s">
        <v>234</v>
      </c>
      <c r="C464" s="16" t="s">
        <v>2078</v>
      </c>
      <c r="D464" s="6" t="s">
        <v>4791</v>
      </c>
      <c r="E464" s="334" t="s">
        <v>579</v>
      </c>
      <c r="F464" s="12">
        <v>3</v>
      </c>
      <c r="G464" s="192">
        <f t="shared" si="11"/>
        <v>20</v>
      </c>
      <c r="H464" s="129" t="s">
        <v>3925</v>
      </c>
      <c r="I464" s="129" t="s">
        <v>3919</v>
      </c>
      <c r="J464" s="162" t="s">
        <v>3912</v>
      </c>
      <c r="K464" s="129" t="s">
        <v>4096</v>
      </c>
      <c r="L464" s="162" t="s">
        <v>3</v>
      </c>
      <c r="M464" s="12">
        <v>183</v>
      </c>
      <c r="N464" s="159" t="str">
        <f>CONCATENATE("Les constructions qui prennent facilement feu dans la zone s'embrasent et sont entièrement consumées. La VD du Sort est égale",Feu,". Utiliser ce sort dans une zone peuplée est considéré comme un acte criminel sauf si le shugenja peut justifier de circonstances extrêmes.")</f>
        <v>Les constructions qui prennent facilement feu dans la zone s'embrasent et sont entièrement consumées. La VD du Sort est égale2. Utiliser ce sort dans une zone peuplée est considéré comme un acte criminel sauf si le shugenja peut justifier de circonstances extrêmes.</v>
      </c>
    </row>
    <row r="465" spans="1:15" ht="23.4" customHeight="1" x14ac:dyDescent="0.25">
      <c r="A465" s="180" t="s">
        <v>1450</v>
      </c>
      <c r="B465" s="170" t="s">
        <v>2078</v>
      </c>
      <c r="C465" s="16" t="s">
        <v>2078</v>
      </c>
      <c r="D465" s="6" t="s">
        <v>4791</v>
      </c>
      <c r="E465" s="334" t="s">
        <v>579</v>
      </c>
      <c r="F465" s="12">
        <v>3</v>
      </c>
      <c r="G465" s="192">
        <f t="shared" si="11"/>
        <v>20</v>
      </c>
      <c r="H465" s="129" t="s">
        <v>3891</v>
      </c>
      <c r="I465" s="129" t="s">
        <v>4702</v>
      </c>
      <c r="J465" s="162" t="s">
        <v>3934</v>
      </c>
      <c r="K465" s="129" t="s">
        <v>4303</v>
      </c>
      <c r="L465" s="162" t="s">
        <v>160</v>
      </c>
      <c r="M465" s="12">
        <v>187</v>
      </c>
      <c r="N465" s="159" t="s">
        <v>8973</v>
      </c>
    </row>
    <row r="466" spans="1:15" ht="23.4" customHeight="1" x14ac:dyDescent="0.25">
      <c r="A466" s="180" t="s">
        <v>1559</v>
      </c>
      <c r="B466" s="129" t="s">
        <v>3693</v>
      </c>
      <c r="C466" s="16" t="s">
        <v>2078</v>
      </c>
      <c r="D466" s="6" t="s">
        <v>4791</v>
      </c>
      <c r="E466" s="334" t="s">
        <v>579</v>
      </c>
      <c r="F466" s="12">
        <v>3</v>
      </c>
      <c r="G466" s="192">
        <f t="shared" si="11"/>
        <v>20</v>
      </c>
      <c r="H466" s="129" t="s">
        <v>3952</v>
      </c>
      <c r="I466" s="129" t="s">
        <v>4701</v>
      </c>
      <c r="J466" s="162" t="s">
        <v>3934</v>
      </c>
      <c r="K466" s="129" t="s">
        <v>4304</v>
      </c>
      <c r="L466" s="162" t="s">
        <v>160</v>
      </c>
      <c r="M466" s="12">
        <v>187</v>
      </c>
      <c r="N466" s="159" t="s">
        <v>8974</v>
      </c>
    </row>
    <row r="467" spans="1:15" ht="23.4" customHeight="1" x14ac:dyDescent="0.25">
      <c r="A467" s="180" t="s">
        <v>1552</v>
      </c>
      <c r="B467" s="170" t="s">
        <v>2078</v>
      </c>
      <c r="C467" s="16" t="s">
        <v>2078</v>
      </c>
      <c r="D467" s="6" t="s">
        <v>4791</v>
      </c>
      <c r="E467" s="334" t="s">
        <v>579</v>
      </c>
      <c r="F467" s="12">
        <v>3</v>
      </c>
      <c r="G467" s="192">
        <f t="shared" si="11"/>
        <v>20</v>
      </c>
      <c r="H467" s="129" t="s">
        <v>3887</v>
      </c>
      <c r="I467" s="129" t="s">
        <v>4097</v>
      </c>
      <c r="J467" s="162" t="s">
        <v>4085</v>
      </c>
      <c r="K467" s="129" t="s">
        <v>1284</v>
      </c>
      <c r="L467" s="162" t="s">
        <v>3</v>
      </c>
      <c r="M467" s="12">
        <v>183</v>
      </c>
      <c r="N467" s="159" t="str">
        <f>CONCATENATE("Si le sort réussit, vous crachez du feu en ouvrant la bouche une fois par Round en AS. Ce feu à une VD égale ",Feu," et touche toute cible située dans la zone d'effet.  Vous ne pouvez ni parler ni lancer d'autre sort tant qu'il persiste mais vous pouvez y mettre fin durant l'étape de Réaction.")</f>
        <v>Si le sort réussit, vous crachez du feu en ouvrant la bouche une fois par Round en AS. Ce feu à une VD égale 2 et touche toute cible située dans la zone d'effet.  Vous ne pouvez ni parler ni lancer d'autre sort tant qu'il persiste mais vous pouvez y mettre fin durant l'étape de Réaction.</v>
      </c>
    </row>
    <row r="468" spans="1:15" ht="23.4" customHeight="1" x14ac:dyDescent="0.25">
      <c r="A468" s="180" t="str">
        <f>IF(Contexte_jeu="L'Empire Stellaire d'Emeraude","Charge Triomphante","")</f>
        <v/>
      </c>
      <c r="B468" s="170" t="s">
        <v>7738</v>
      </c>
      <c r="C468" s="16" t="s">
        <v>2078</v>
      </c>
      <c r="D468" s="6" t="s">
        <v>4791</v>
      </c>
      <c r="E468" s="334" t="s">
        <v>579</v>
      </c>
      <c r="F468" s="12">
        <v>4</v>
      </c>
      <c r="G468" s="192">
        <f t="shared" si="11"/>
        <v>25</v>
      </c>
      <c r="H468" s="129" t="s">
        <v>7661</v>
      </c>
      <c r="I468" s="129" t="s">
        <v>3916</v>
      </c>
      <c r="J468" s="162" t="s">
        <v>3900</v>
      </c>
      <c r="K468" s="129" t="s">
        <v>7662</v>
      </c>
      <c r="L468" s="162" t="s">
        <v>7453</v>
      </c>
      <c r="M468" s="12">
        <v>27</v>
      </c>
      <c r="N468" s="159" t="s">
        <v>7663</v>
      </c>
    </row>
    <row r="469" spans="1:15" ht="23.4" customHeight="1" x14ac:dyDescent="0.25">
      <c r="A469" s="180" t="s">
        <v>1442</v>
      </c>
      <c r="B469" s="170" t="s">
        <v>2078</v>
      </c>
      <c r="C469" s="16" t="s">
        <v>2078</v>
      </c>
      <c r="D469" s="6" t="s">
        <v>4791</v>
      </c>
      <c r="E469" s="334" t="s">
        <v>579</v>
      </c>
      <c r="F469" s="12">
        <v>4</v>
      </c>
      <c r="G469" s="192">
        <f t="shared" si="11"/>
        <v>25</v>
      </c>
      <c r="H469" s="129" t="s">
        <v>3891</v>
      </c>
      <c r="I469" s="129" t="s">
        <v>4715</v>
      </c>
      <c r="J469" s="162" t="s">
        <v>3930</v>
      </c>
      <c r="K469" s="129" t="s">
        <v>4695</v>
      </c>
      <c r="L469" s="162" t="s">
        <v>160</v>
      </c>
      <c r="M469" s="12">
        <v>187</v>
      </c>
      <c r="N469" s="159" t="s">
        <v>8975</v>
      </c>
    </row>
    <row r="470" spans="1:15" s="196" customFormat="1" ht="23.4" customHeight="1" x14ac:dyDescent="0.25">
      <c r="A470" s="180" t="s">
        <v>1564</v>
      </c>
      <c r="B470" s="129" t="s">
        <v>228</v>
      </c>
      <c r="C470" s="16" t="s">
        <v>2078</v>
      </c>
      <c r="D470" s="6" t="s">
        <v>4791</v>
      </c>
      <c r="E470" s="334" t="s">
        <v>579</v>
      </c>
      <c r="F470" s="12">
        <v>4</v>
      </c>
      <c r="G470" s="192">
        <f t="shared" si="11"/>
        <v>25</v>
      </c>
      <c r="H470" s="129" t="s">
        <v>3891</v>
      </c>
      <c r="I470" s="129" t="s">
        <v>4707</v>
      </c>
      <c r="J470" s="162" t="s">
        <v>3934</v>
      </c>
      <c r="K470" s="129" t="s">
        <v>3931</v>
      </c>
      <c r="L470" s="162" t="s">
        <v>3</v>
      </c>
      <c r="M470" s="12">
        <v>184</v>
      </c>
      <c r="N470" s="159" t="s">
        <v>4098</v>
      </c>
    </row>
    <row r="471" spans="1:15" ht="23.4" customHeight="1" x14ac:dyDescent="0.25">
      <c r="A471" s="180" t="s">
        <v>1446</v>
      </c>
      <c r="B471" s="129" t="s">
        <v>1459</v>
      </c>
      <c r="C471" s="16" t="s">
        <v>2078</v>
      </c>
      <c r="D471" s="6" t="s">
        <v>4791</v>
      </c>
      <c r="E471" s="334" t="s">
        <v>579</v>
      </c>
      <c r="F471" s="12">
        <v>4</v>
      </c>
      <c r="G471" s="192">
        <f t="shared" si="11"/>
        <v>25</v>
      </c>
      <c r="H471" s="129" t="s">
        <v>3884</v>
      </c>
      <c r="I471" s="129" t="s">
        <v>4696</v>
      </c>
      <c r="J471" s="162" t="s">
        <v>4697</v>
      </c>
      <c r="K471" s="129" t="s">
        <v>627</v>
      </c>
      <c r="L471" s="162" t="s">
        <v>160</v>
      </c>
      <c r="M471" s="12">
        <v>188</v>
      </c>
      <c r="N471" s="159" t="s">
        <v>4698</v>
      </c>
    </row>
    <row r="472" spans="1:15" ht="23.4" customHeight="1" x14ac:dyDescent="0.25">
      <c r="A472" s="180" t="s">
        <v>1560</v>
      </c>
      <c r="B472" s="170" t="s">
        <v>2078</v>
      </c>
      <c r="C472" s="16" t="s">
        <v>2078</v>
      </c>
      <c r="D472" s="6" t="s">
        <v>4791</v>
      </c>
      <c r="E472" s="334" t="s">
        <v>579</v>
      </c>
      <c r="F472" s="12">
        <v>4</v>
      </c>
      <c r="G472" s="192">
        <f t="shared" si="11"/>
        <v>25</v>
      </c>
      <c r="H472" s="129" t="s">
        <v>3926</v>
      </c>
      <c r="I472" s="129" t="s">
        <v>4709</v>
      </c>
      <c r="J472" s="162" t="s">
        <v>3934</v>
      </c>
      <c r="K472" s="129" t="s">
        <v>1284</v>
      </c>
      <c r="L472" s="162" t="s">
        <v>3</v>
      </c>
      <c r="M472" s="12">
        <v>184</v>
      </c>
      <c r="N472" s="159" t="str">
        <f>CONCATENATE("Réduit les Rangs d'Agilité et d'Intelligence de la cible de ",IF(Feu&lt;1,1,Feu),". Tant que vous maintenant votre Concentration sur ce sort, la cible ne peut échapper à cet effet. Dès que vous relachez votre attention, la cible peut tenter un test d'Opposition de Feu.")</f>
        <v>Réduit les Rangs d'Agilité et d'Intelligence de la cible de 2. Tant que vous maintenant votre Concentration sur ce sort, la cible ne peut échapper à cet effet. Dès que vous relachez votre attention, la cible peut tenter un test d'Opposition de Feu.</v>
      </c>
    </row>
    <row r="473" spans="1:15" ht="23.4" customHeight="1" x14ac:dyDescent="0.25">
      <c r="A473" s="180" t="s">
        <v>1563</v>
      </c>
      <c r="B473" s="129" t="s">
        <v>2096</v>
      </c>
      <c r="C473" s="16" t="s">
        <v>2078</v>
      </c>
      <c r="D473" s="6" t="s">
        <v>4791</v>
      </c>
      <c r="E473" s="334" t="s">
        <v>579</v>
      </c>
      <c r="F473" s="12">
        <v>4</v>
      </c>
      <c r="G473" s="192">
        <f t="shared" ref="G473:G536" si="12">IF(OR(D473="Kiho",D473="Kata"),"---",5+F473*5)</f>
        <v>25</v>
      </c>
      <c r="H473" s="129" t="s">
        <v>3891</v>
      </c>
      <c r="I473" s="129" t="s">
        <v>4712</v>
      </c>
      <c r="J473" s="162" t="s">
        <v>3900</v>
      </c>
      <c r="K473" s="129" t="s">
        <v>1284</v>
      </c>
      <c r="L473" s="162" t="s">
        <v>3</v>
      </c>
      <c r="M473" s="12">
        <v>184</v>
      </c>
      <c r="N473" s="159" t="s">
        <v>8976</v>
      </c>
    </row>
    <row r="474" spans="1:15" ht="23.4" customHeight="1" x14ac:dyDescent="0.25">
      <c r="A474" s="180" t="s">
        <v>1565</v>
      </c>
      <c r="B474" s="129" t="s">
        <v>2084</v>
      </c>
      <c r="C474" s="16" t="s">
        <v>2078</v>
      </c>
      <c r="D474" s="6" t="s">
        <v>4791</v>
      </c>
      <c r="E474" s="334" t="s">
        <v>579</v>
      </c>
      <c r="F474" s="12">
        <v>4</v>
      </c>
      <c r="G474" s="192">
        <f t="shared" si="12"/>
        <v>25</v>
      </c>
      <c r="H474" s="129" t="s">
        <v>3891</v>
      </c>
      <c r="I474" s="129" t="s">
        <v>4099</v>
      </c>
      <c r="J474" s="162" t="s">
        <v>3893</v>
      </c>
      <c r="K474" s="129" t="s">
        <v>1284</v>
      </c>
      <c r="L474" s="162" t="s">
        <v>3</v>
      </c>
      <c r="M474" s="12">
        <v>184</v>
      </c>
      <c r="N474" s="159" t="s">
        <v>4100</v>
      </c>
    </row>
    <row r="475" spans="1:15" ht="23.4" customHeight="1" x14ac:dyDescent="0.25">
      <c r="A475" s="180" t="s">
        <v>1561</v>
      </c>
      <c r="B475" s="170" t="s">
        <v>2078</v>
      </c>
      <c r="C475" s="16" t="s">
        <v>2078</v>
      </c>
      <c r="D475" s="6" t="s">
        <v>4791</v>
      </c>
      <c r="E475" s="334" t="s">
        <v>579</v>
      </c>
      <c r="F475" s="12">
        <v>4</v>
      </c>
      <c r="G475" s="192">
        <f t="shared" si="12"/>
        <v>25</v>
      </c>
      <c r="H475" s="129" t="s">
        <v>3926</v>
      </c>
      <c r="I475" s="129" t="s">
        <v>627</v>
      </c>
      <c r="J475" s="162" t="s">
        <v>3893</v>
      </c>
      <c r="K475" s="129" t="s">
        <v>4101</v>
      </c>
      <c r="L475" s="162" t="s">
        <v>3</v>
      </c>
      <c r="M475" s="12">
        <v>184</v>
      </c>
      <c r="N475" s="159" t="s">
        <v>8977</v>
      </c>
    </row>
    <row r="476" spans="1:15" ht="23.4" customHeight="1" x14ac:dyDescent="0.25">
      <c r="A476" s="180" t="s">
        <v>1562</v>
      </c>
      <c r="B476" s="129" t="s">
        <v>223</v>
      </c>
      <c r="C476" s="16" t="s">
        <v>2078</v>
      </c>
      <c r="D476" s="6" t="s">
        <v>4791</v>
      </c>
      <c r="E476" s="334" t="s">
        <v>579</v>
      </c>
      <c r="F476" s="199">
        <v>4</v>
      </c>
      <c r="G476" s="192">
        <f t="shared" si="12"/>
        <v>25</v>
      </c>
      <c r="H476" s="129" t="s">
        <v>3926</v>
      </c>
      <c r="I476" s="129" t="s">
        <v>3906</v>
      </c>
      <c r="J476" s="162" t="s">
        <v>3951</v>
      </c>
      <c r="K476" s="129" t="s">
        <v>1284</v>
      </c>
      <c r="L476" s="162" t="s">
        <v>3</v>
      </c>
      <c r="M476" s="12">
        <v>184</v>
      </c>
      <c r="N476" s="159" t="s">
        <v>8978</v>
      </c>
    </row>
    <row r="477" spans="1:15" ht="23.4" customHeight="1" x14ac:dyDescent="0.25">
      <c r="A477" s="180" t="s">
        <v>1447</v>
      </c>
      <c r="B477" s="129" t="s">
        <v>101</v>
      </c>
      <c r="C477" s="16" t="s">
        <v>2078</v>
      </c>
      <c r="D477" s="6" t="s">
        <v>4791</v>
      </c>
      <c r="E477" s="334" t="s">
        <v>579</v>
      </c>
      <c r="F477" s="12">
        <v>4</v>
      </c>
      <c r="G477" s="192">
        <f t="shared" si="12"/>
        <v>25</v>
      </c>
      <c r="H477" s="129" t="s">
        <v>3933</v>
      </c>
      <c r="I477" s="129" t="s">
        <v>4262</v>
      </c>
      <c r="J477" s="162" t="s">
        <v>3893</v>
      </c>
      <c r="K477" s="129" t="s">
        <v>4699</v>
      </c>
      <c r="L477" s="162" t="s">
        <v>160</v>
      </c>
      <c r="M477" s="12">
        <v>188</v>
      </c>
      <c r="N477" s="159" t="s">
        <v>8979</v>
      </c>
    </row>
    <row r="478" spans="1:15" ht="23.4" customHeight="1" x14ac:dyDescent="0.25">
      <c r="A478" s="180" t="s">
        <v>1570</v>
      </c>
      <c r="B478" s="129" t="s">
        <v>237</v>
      </c>
      <c r="C478" s="16" t="s">
        <v>2078</v>
      </c>
      <c r="D478" s="6" t="s">
        <v>4791</v>
      </c>
      <c r="E478" s="334" t="s">
        <v>579</v>
      </c>
      <c r="F478" s="12">
        <v>5</v>
      </c>
      <c r="G478" s="192">
        <f t="shared" si="12"/>
        <v>30</v>
      </c>
      <c r="H478" s="129" t="s">
        <v>3887</v>
      </c>
      <c r="I478" s="129" t="s">
        <v>3916</v>
      </c>
      <c r="J478" s="162" t="s">
        <v>4077</v>
      </c>
      <c r="K478" s="129" t="s">
        <v>1284</v>
      </c>
      <c r="L478" s="162" t="s">
        <v>3</v>
      </c>
      <c r="M478" s="12">
        <v>184</v>
      </c>
      <c r="N478" s="159" t="str">
        <f>CONCATENATE("Quand vous lancez ce sort vous gagnez des ailes de Feu qui vous permettent de voler de ",Eau*10,"m en ActG. ou de ",Eau*20,"m en AS. Si vous vous trouvez dans les airs au moment où ce sort s'arrête les kamis vous déposent au sol sans dommages avant de disparaitre.")</f>
        <v>Quand vous lancez ce sort vous gagnez des ailes de Feu qui vous permettent de voler de 20m en ActG. ou de 40m en AS. Si vous vous trouvez dans les airs au moment où ce sort s'arrête les kamis vous déposent au sol sans dommages avant de disparaitre.</v>
      </c>
    </row>
    <row r="479" spans="1:15" ht="23.4" customHeight="1" x14ac:dyDescent="0.25">
      <c r="A479" s="180" t="s">
        <v>1443</v>
      </c>
      <c r="B479" s="129" t="s">
        <v>232</v>
      </c>
      <c r="C479" s="16" t="s">
        <v>2078</v>
      </c>
      <c r="D479" s="6" t="s">
        <v>4791</v>
      </c>
      <c r="E479" s="334" t="s">
        <v>579</v>
      </c>
      <c r="F479" s="12">
        <v>5</v>
      </c>
      <c r="G479" s="192">
        <f t="shared" si="12"/>
        <v>30</v>
      </c>
      <c r="H479" s="129" t="s">
        <v>3916</v>
      </c>
      <c r="I479" s="129" t="s">
        <v>4723</v>
      </c>
      <c r="J479" s="162" t="s">
        <v>4077</v>
      </c>
      <c r="K479" s="129" t="s">
        <v>4720</v>
      </c>
      <c r="L479" s="162" t="s">
        <v>160</v>
      </c>
      <c r="M479" s="12">
        <v>188</v>
      </c>
      <c r="N479" s="159" t="s">
        <v>8980</v>
      </c>
    </row>
    <row r="480" spans="1:15" ht="23.4" customHeight="1" x14ac:dyDescent="0.25">
      <c r="A480" s="180" t="s">
        <v>1444</v>
      </c>
      <c r="B480" s="170" t="s">
        <v>2078</v>
      </c>
      <c r="C480" s="16" t="s">
        <v>2078</v>
      </c>
      <c r="D480" s="6" t="s">
        <v>4791</v>
      </c>
      <c r="E480" s="334" t="s">
        <v>579</v>
      </c>
      <c r="F480" s="12">
        <v>5</v>
      </c>
      <c r="G480" s="192">
        <f t="shared" si="12"/>
        <v>30</v>
      </c>
      <c r="H480" s="129" t="s">
        <v>3926</v>
      </c>
      <c r="I480" s="129" t="s">
        <v>4725</v>
      </c>
      <c r="J480" s="162" t="s">
        <v>3900</v>
      </c>
      <c r="K480" s="129" t="s">
        <v>4724</v>
      </c>
      <c r="L480" s="162" t="s">
        <v>160</v>
      </c>
      <c r="M480" s="12">
        <v>188</v>
      </c>
      <c r="N480" s="159" t="s">
        <v>4726</v>
      </c>
      <c r="O480" t="s">
        <v>4242</v>
      </c>
    </row>
    <row r="481" spans="1:14" ht="23.4" customHeight="1" x14ac:dyDescent="0.25">
      <c r="A481" s="180" t="s">
        <v>1567</v>
      </c>
      <c r="B481" s="170" t="s">
        <v>2078</v>
      </c>
      <c r="C481" s="16" t="s">
        <v>2078</v>
      </c>
      <c r="D481" s="6" t="s">
        <v>4791</v>
      </c>
      <c r="E481" s="334" t="s">
        <v>579</v>
      </c>
      <c r="F481" s="12">
        <v>5</v>
      </c>
      <c r="G481" s="192">
        <f t="shared" si="12"/>
        <v>30</v>
      </c>
      <c r="H481" s="129" t="s">
        <v>3933</v>
      </c>
      <c r="I481" s="129" t="s">
        <v>4709</v>
      </c>
      <c r="J481" s="162" t="s">
        <v>3912</v>
      </c>
      <c r="K481" s="129" t="s">
        <v>4102</v>
      </c>
      <c r="L481" s="162" t="s">
        <v>3</v>
      </c>
      <c r="M481" s="12">
        <v>185</v>
      </c>
      <c r="N481" s="159" t="s">
        <v>4103</v>
      </c>
    </row>
    <row r="482" spans="1:14" ht="23.4" customHeight="1" x14ac:dyDescent="0.25">
      <c r="A482" s="180" t="s">
        <v>1569</v>
      </c>
      <c r="B482" s="129" t="s">
        <v>103</v>
      </c>
      <c r="C482" s="16" t="s">
        <v>2078</v>
      </c>
      <c r="D482" s="6" t="s">
        <v>4791</v>
      </c>
      <c r="E482" s="334" t="s">
        <v>579</v>
      </c>
      <c r="F482" s="12">
        <v>5</v>
      </c>
      <c r="G482" s="192">
        <f t="shared" si="12"/>
        <v>30</v>
      </c>
      <c r="H482" s="129" t="s">
        <v>3926</v>
      </c>
      <c r="I482" s="129" t="s">
        <v>3957</v>
      </c>
      <c r="J482" s="162" t="s">
        <v>4077</v>
      </c>
      <c r="K482" s="129" t="s">
        <v>1284</v>
      </c>
      <c r="L482" s="162" t="s">
        <v>3</v>
      </c>
      <c r="M482" s="12">
        <v>185</v>
      </c>
      <c r="N482" s="159" t="s">
        <v>4104</v>
      </c>
    </row>
    <row r="483" spans="1:14" ht="23.4" customHeight="1" x14ac:dyDescent="0.25">
      <c r="A483" s="180" t="s">
        <v>1568</v>
      </c>
      <c r="B483" s="170" t="s">
        <v>2078</v>
      </c>
      <c r="C483" s="16" t="s">
        <v>2078</v>
      </c>
      <c r="D483" s="6" t="s">
        <v>4791</v>
      </c>
      <c r="E483" s="334" t="s">
        <v>579</v>
      </c>
      <c r="F483" s="12">
        <v>5</v>
      </c>
      <c r="G483" s="192">
        <f t="shared" si="12"/>
        <v>30</v>
      </c>
      <c r="H483" s="129" t="s">
        <v>3887</v>
      </c>
      <c r="I483" s="129" t="s">
        <v>4105</v>
      </c>
      <c r="J483" s="162" t="s">
        <v>3934</v>
      </c>
      <c r="K483" s="129" t="s">
        <v>4106</v>
      </c>
      <c r="L483" s="162" t="s">
        <v>3</v>
      </c>
      <c r="M483" s="12">
        <v>185</v>
      </c>
      <c r="N483" s="159" t="s">
        <v>4107</v>
      </c>
    </row>
    <row r="484" spans="1:14" ht="23.4" customHeight="1" x14ac:dyDescent="0.25">
      <c r="A484" s="180" t="s">
        <v>1453</v>
      </c>
      <c r="B484" s="129" t="s">
        <v>231</v>
      </c>
      <c r="C484" s="16" t="s">
        <v>2078</v>
      </c>
      <c r="D484" s="6" t="s">
        <v>4791</v>
      </c>
      <c r="E484" s="334" t="s">
        <v>579</v>
      </c>
      <c r="F484" s="12">
        <v>5</v>
      </c>
      <c r="G484" s="192">
        <f t="shared" si="12"/>
        <v>30</v>
      </c>
      <c r="H484" s="129" t="s">
        <v>3926</v>
      </c>
      <c r="I484" s="129" t="s">
        <v>4727</v>
      </c>
      <c r="J484" s="162" t="s">
        <v>3900</v>
      </c>
      <c r="K484" s="129" t="s">
        <v>4728</v>
      </c>
      <c r="L484" s="162" t="s">
        <v>160</v>
      </c>
      <c r="M484" s="12">
        <v>189</v>
      </c>
      <c r="N484" s="159" t="s">
        <v>8981</v>
      </c>
    </row>
    <row r="485" spans="1:14" ht="23.4" customHeight="1" x14ac:dyDescent="0.25">
      <c r="A485" s="180" t="s">
        <v>1566</v>
      </c>
      <c r="B485" s="170" t="s">
        <v>2078</v>
      </c>
      <c r="C485" s="16" t="s">
        <v>2078</v>
      </c>
      <c r="D485" s="6" t="s">
        <v>4791</v>
      </c>
      <c r="E485" s="334" t="s">
        <v>579</v>
      </c>
      <c r="F485" s="12">
        <v>5</v>
      </c>
      <c r="G485" s="192">
        <f t="shared" si="12"/>
        <v>30</v>
      </c>
      <c r="H485" s="129" t="s">
        <v>3887</v>
      </c>
      <c r="I485" s="129" t="s">
        <v>4108</v>
      </c>
      <c r="J485" s="162" t="s">
        <v>3900</v>
      </c>
      <c r="K485" s="129" t="s">
        <v>4109</v>
      </c>
      <c r="L485" s="162" t="s">
        <v>3</v>
      </c>
      <c r="M485" s="12">
        <v>185</v>
      </c>
      <c r="N485" s="159" t="s">
        <v>4110</v>
      </c>
    </row>
    <row r="486" spans="1:14" ht="23.4" customHeight="1" x14ac:dyDescent="0.25">
      <c r="A486" s="180" t="s">
        <v>1496</v>
      </c>
      <c r="B486" s="170" t="s">
        <v>2078</v>
      </c>
      <c r="C486" s="16" t="s">
        <v>2078</v>
      </c>
      <c r="D486" s="6" t="s">
        <v>4791</v>
      </c>
      <c r="E486" s="334" t="s">
        <v>579</v>
      </c>
      <c r="F486" s="12">
        <v>6</v>
      </c>
      <c r="G486" s="192">
        <f t="shared" si="12"/>
        <v>35</v>
      </c>
      <c r="H486" s="129" t="s">
        <v>3952</v>
      </c>
      <c r="I486" s="129" t="s">
        <v>4704</v>
      </c>
      <c r="J486" s="162" t="s">
        <v>4154</v>
      </c>
      <c r="K486" s="129" t="s">
        <v>1284</v>
      </c>
      <c r="L486" s="162" t="s">
        <v>160</v>
      </c>
      <c r="M486" s="12">
        <v>189</v>
      </c>
      <c r="N486" s="159" t="s">
        <v>4790</v>
      </c>
    </row>
    <row r="487" spans="1:14" ht="23.4" customHeight="1" x14ac:dyDescent="0.25">
      <c r="A487" s="180" t="s">
        <v>6221</v>
      </c>
      <c r="B487" s="129" t="s">
        <v>15</v>
      </c>
      <c r="C487" s="16" t="s">
        <v>2078</v>
      </c>
      <c r="D487" s="6" t="s">
        <v>4791</v>
      </c>
      <c r="E487" s="334" t="s">
        <v>579</v>
      </c>
      <c r="F487" s="12">
        <v>6</v>
      </c>
      <c r="G487" s="193">
        <f t="shared" si="12"/>
        <v>35</v>
      </c>
      <c r="H487" s="129" t="s">
        <v>3887</v>
      </c>
      <c r="I487" s="129" t="s">
        <v>3916</v>
      </c>
      <c r="J487" s="162" t="s">
        <v>3934</v>
      </c>
      <c r="K487" s="129" t="s">
        <v>1284</v>
      </c>
      <c r="L487" s="162" t="s">
        <v>6192</v>
      </c>
      <c r="M487" s="12">
        <v>185</v>
      </c>
      <c r="N487" s="159" t="str">
        <f>CONCATENATE("Tant que dure le sort, quiconque vous frappe ou que vous touchez par une attaque au CàC subit ",Feu,"g",Feu," points de Blessures supplémentaires")</f>
        <v>Tant que dure le sort, quiconque vous frappe ou que vous touchez par une attaque au CàC subit 2g2 points de Blessures supplémentaires</v>
      </c>
    </row>
    <row r="488" spans="1:14" ht="23.4" customHeight="1" x14ac:dyDescent="0.25">
      <c r="A488" s="180" t="s">
        <v>1454</v>
      </c>
      <c r="B488" s="170" t="s">
        <v>2078</v>
      </c>
      <c r="C488" s="16" t="s">
        <v>2078</v>
      </c>
      <c r="D488" s="6" t="s">
        <v>4791</v>
      </c>
      <c r="E488" s="334" t="s">
        <v>579</v>
      </c>
      <c r="F488" s="12">
        <v>6</v>
      </c>
      <c r="G488" s="192">
        <f t="shared" si="12"/>
        <v>35</v>
      </c>
      <c r="H488" s="129" t="s">
        <v>3887</v>
      </c>
      <c r="I488" s="129" t="s">
        <v>3916</v>
      </c>
      <c r="J488" s="162" t="s">
        <v>3900</v>
      </c>
      <c r="K488" s="129" t="s">
        <v>4729</v>
      </c>
      <c r="L488" s="162" t="s">
        <v>160</v>
      </c>
      <c r="M488" s="12">
        <v>189</v>
      </c>
      <c r="N488" s="159" t="str">
        <f>CONCATENATE("Une fois ce sort lancé avec succès, le shugenja peut lancer ",IF(Réputation&gt;5,5,Réputation)," sorts de Rg de Maîtrise &lt;5 en jetant chaque sort en ACtG, quel que soit le temps d'incantation normal. Les jets d'Incantations et Emplacement de sorts sont utilisés normalement , il ne faut pas prendre d'A pour raccourcir l'incantation.")</f>
        <v>Une fois ce sort lancé avec succès, le shugenja peut lancer 1 sorts de Rg de Maîtrise &lt;5 en jetant chaque sort en ACtG, quel que soit le temps d'incantation normal. Les jets d'Incantations et Emplacement de sorts sont utilisés normalement , il ne faut pas prendre d'A pour raccourcir l'incantation.</v>
      </c>
    </row>
    <row r="489" spans="1:14" ht="23.4" customHeight="1" x14ac:dyDescent="0.25">
      <c r="A489" s="180" t="s">
        <v>1571</v>
      </c>
      <c r="B489" s="129" t="s">
        <v>229</v>
      </c>
      <c r="C489" s="16" t="s">
        <v>2078</v>
      </c>
      <c r="D489" s="6" t="s">
        <v>4791</v>
      </c>
      <c r="E489" s="334" t="s">
        <v>579</v>
      </c>
      <c r="F489" s="12">
        <v>6</v>
      </c>
      <c r="G489" s="192">
        <f t="shared" si="12"/>
        <v>35</v>
      </c>
      <c r="H489" s="129" t="s">
        <v>4111</v>
      </c>
      <c r="I489" s="129" t="s">
        <v>4112</v>
      </c>
      <c r="J489" s="162" t="s">
        <v>4010</v>
      </c>
      <c r="K489" s="129" t="s">
        <v>1284</v>
      </c>
      <c r="L489" s="162" t="s">
        <v>3</v>
      </c>
      <c r="M489" s="12">
        <v>185</v>
      </c>
      <c r="N489" s="159" t="s">
        <v>4113</v>
      </c>
    </row>
    <row r="490" spans="1:14" ht="23.4" customHeight="1" x14ac:dyDescent="0.25">
      <c r="A490" s="180" t="s">
        <v>1572</v>
      </c>
      <c r="B490" s="129" t="s">
        <v>2096</v>
      </c>
      <c r="C490" s="16" t="s">
        <v>2078</v>
      </c>
      <c r="D490" s="6" t="s">
        <v>4791</v>
      </c>
      <c r="E490" s="334" t="s">
        <v>579</v>
      </c>
      <c r="F490" s="12">
        <v>6</v>
      </c>
      <c r="G490" s="192">
        <f t="shared" si="12"/>
        <v>35</v>
      </c>
      <c r="H490" s="129" t="s">
        <v>3891</v>
      </c>
      <c r="I490" s="129" t="s">
        <v>4708</v>
      </c>
      <c r="J490" s="162" t="s">
        <v>3934</v>
      </c>
      <c r="K490" s="129" t="s">
        <v>4114</v>
      </c>
      <c r="L490" s="162" t="s">
        <v>3</v>
      </c>
      <c r="M490" s="12">
        <v>185</v>
      </c>
      <c r="N490" s="159" t="s">
        <v>8982</v>
      </c>
    </row>
    <row r="491" spans="1:14" ht="23.4" customHeight="1" x14ac:dyDescent="0.25">
      <c r="A491" s="180" t="s">
        <v>1445</v>
      </c>
      <c r="B491" s="170" t="s">
        <v>2078</v>
      </c>
      <c r="C491" s="16" t="s">
        <v>2078</v>
      </c>
      <c r="D491" s="6" t="s">
        <v>4791</v>
      </c>
      <c r="E491" s="334" t="s">
        <v>579</v>
      </c>
      <c r="F491" s="12">
        <v>6</v>
      </c>
      <c r="G491" s="192">
        <f t="shared" si="12"/>
        <v>35</v>
      </c>
      <c r="H491" s="129" t="s">
        <v>3884</v>
      </c>
      <c r="I491" s="129" t="s">
        <v>4262</v>
      </c>
      <c r="J491" s="162" t="s">
        <v>3951</v>
      </c>
      <c r="K491" s="129" t="s">
        <v>3922</v>
      </c>
      <c r="L491" s="162" t="s">
        <v>160</v>
      </c>
      <c r="M491" s="12">
        <v>189</v>
      </c>
      <c r="N491" s="159" t="s">
        <v>8983</v>
      </c>
    </row>
    <row r="492" spans="1:14" ht="23.4" customHeight="1" x14ac:dyDescent="0.25">
      <c r="A492" s="180" t="s">
        <v>1573</v>
      </c>
      <c r="B492" s="170" t="s">
        <v>2078</v>
      </c>
      <c r="C492" s="16" t="s">
        <v>2078</v>
      </c>
      <c r="D492" s="6" t="s">
        <v>4791</v>
      </c>
      <c r="E492" s="334" t="s">
        <v>579</v>
      </c>
      <c r="F492" s="12">
        <v>6</v>
      </c>
      <c r="G492" s="192">
        <f t="shared" si="12"/>
        <v>35</v>
      </c>
      <c r="H492" s="129" t="s">
        <v>4115</v>
      </c>
      <c r="I492" s="129" t="s">
        <v>4709</v>
      </c>
      <c r="J492" s="162" t="s">
        <v>3900</v>
      </c>
      <c r="K492" s="129" t="s">
        <v>1284</v>
      </c>
      <c r="L492" s="162" t="s">
        <v>3</v>
      </c>
      <c r="M492" s="12">
        <v>186</v>
      </c>
      <c r="N492" s="159" t="s">
        <v>4116</v>
      </c>
    </row>
    <row r="493" spans="1:14" ht="23.4" customHeight="1" x14ac:dyDescent="0.25">
      <c r="A493" s="180" t="s">
        <v>6243</v>
      </c>
      <c r="B493" s="129" t="s">
        <v>103</v>
      </c>
      <c r="C493" s="16" t="s">
        <v>2078</v>
      </c>
      <c r="D493" s="6" t="s">
        <v>4791</v>
      </c>
      <c r="E493" s="336" t="s">
        <v>6250</v>
      </c>
      <c r="F493" s="12">
        <v>4</v>
      </c>
      <c r="G493" s="193">
        <f t="shared" si="12"/>
        <v>25</v>
      </c>
      <c r="H493" s="129" t="s">
        <v>3926</v>
      </c>
      <c r="I493" s="129" t="s">
        <v>6244</v>
      </c>
      <c r="J493" s="162" t="s">
        <v>3900</v>
      </c>
      <c r="K493" s="129" t="s">
        <v>6245</v>
      </c>
      <c r="L493" s="162" t="s">
        <v>6192</v>
      </c>
      <c r="M493" s="12">
        <v>187</v>
      </c>
      <c r="N493" s="159" t="s">
        <v>6246</v>
      </c>
    </row>
    <row r="494" spans="1:14" ht="23.4" customHeight="1" x14ac:dyDescent="0.25">
      <c r="A494" s="180" t="s">
        <v>1578</v>
      </c>
      <c r="B494" s="129" t="s">
        <v>228</v>
      </c>
      <c r="C494" s="16" t="s">
        <v>2078</v>
      </c>
      <c r="D494" s="6" t="s">
        <v>4791</v>
      </c>
      <c r="E494" s="335" t="s">
        <v>577</v>
      </c>
      <c r="F494" s="12">
        <v>1</v>
      </c>
      <c r="G494" s="192">
        <f t="shared" si="12"/>
        <v>10</v>
      </c>
      <c r="H494" s="129" t="s">
        <v>3891</v>
      </c>
      <c r="I494" s="129" t="s">
        <v>4262</v>
      </c>
      <c r="J494" s="162" t="s">
        <v>3893</v>
      </c>
      <c r="K494" s="129" t="s">
        <v>4117</v>
      </c>
      <c r="L494" s="162" t="s">
        <v>3</v>
      </c>
      <c r="M494" s="12">
        <v>186</v>
      </c>
      <c r="N494" s="159" t="s">
        <v>8984</v>
      </c>
    </row>
    <row r="495" spans="1:14" ht="23.4" customHeight="1" x14ac:dyDescent="0.25">
      <c r="A495" s="180" t="s">
        <v>1574</v>
      </c>
      <c r="B495" s="129" t="s">
        <v>3691</v>
      </c>
      <c r="C495" s="16" t="s">
        <v>2078</v>
      </c>
      <c r="D495" s="6" t="s">
        <v>4791</v>
      </c>
      <c r="E495" s="335" t="s">
        <v>577</v>
      </c>
      <c r="F495" s="12">
        <v>1</v>
      </c>
      <c r="G495" s="192">
        <f t="shared" si="12"/>
        <v>10</v>
      </c>
      <c r="H495" s="129" t="s">
        <v>3887</v>
      </c>
      <c r="I495" s="129" t="s">
        <v>3916</v>
      </c>
      <c r="J495" s="162" t="s">
        <v>4077</v>
      </c>
      <c r="K495" s="129" t="s">
        <v>4078</v>
      </c>
      <c r="L495" s="162" t="s">
        <v>3</v>
      </c>
      <c r="M495" s="12">
        <v>186</v>
      </c>
      <c r="N495" s="159" t="str">
        <f>CONCATENATE("Pendant toute la durée de ce sort, vous gagnez une Réduction égale à ",Terre," + votre Rang de Maîtrise. Toutefois cela ralentit vos mouvements et on considère que votre Anneau d'Eau est réduit de 1 pour le calcul de vos mouvements.")</f>
        <v>Pendant toute la durée de ce sort, vous gagnez une Réduction égale à 2 + votre Rang de Maîtrise. Toutefois cela ralentit vos mouvements et on considère que votre Anneau d'Eau est réduit de 1 pour le calcul de vos mouvements.</v>
      </c>
    </row>
    <row r="496" spans="1:14" ht="23.4" customHeight="1" x14ac:dyDescent="0.25">
      <c r="A496" s="180" t="s">
        <v>1580</v>
      </c>
      <c r="B496" s="170" t="s">
        <v>7064</v>
      </c>
      <c r="C496" s="16" t="s">
        <v>2078</v>
      </c>
      <c r="D496" s="6" t="s">
        <v>4791</v>
      </c>
      <c r="E496" s="335" t="s">
        <v>577</v>
      </c>
      <c r="F496" s="12">
        <v>1</v>
      </c>
      <c r="G496" s="192">
        <f t="shared" si="12"/>
        <v>10</v>
      </c>
      <c r="H496" s="129" t="s">
        <v>3891</v>
      </c>
      <c r="I496" s="129" t="s">
        <v>4262</v>
      </c>
      <c r="J496" s="162" t="s">
        <v>3893</v>
      </c>
      <c r="K496" s="129" t="s">
        <v>4118</v>
      </c>
      <c r="L496" s="162" t="s">
        <v>3</v>
      </c>
      <c r="M496" s="12">
        <v>186</v>
      </c>
      <c r="N496" s="159" t="s">
        <v>4119</v>
      </c>
    </row>
    <row r="497" spans="1:14" ht="23.4" customHeight="1" x14ac:dyDescent="0.25">
      <c r="A497" s="180" t="s">
        <v>1581</v>
      </c>
      <c r="B497" s="129" t="s">
        <v>2096</v>
      </c>
      <c r="C497" s="16" t="s">
        <v>2078</v>
      </c>
      <c r="D497" s="6" t="s">
        <v>4791</v>
      </c>
      <c r="E497" s="335" t="s">
        <v>577</v>
      </c>
      <c r="F497" s="12">
        <v>1</v>
      </c>
      <c r="G497" s="192">
        <f t="shared" si="12"/>
        <v>10</v>
      </c>
      <c r="H497" s="129" t="s">
        <v>4124</v>
      </c>
      <c r="I497" s="129" t="s">
        <v>4159</v>
      </c>
      <c r="J497" s="162" t="s">
        <v>4120</v>
      </c>
      <c r="K497" s="129" t="s">
        <v>4121</v>
      </c>
      <c r="L497" s="162" t="s">
        <v>3</v>
      </c>
      <c r="M497" s="12">
        <v>186</v>
      </c>
      <c r="N497" s="159" t="s">
        <v>8985</v>
      </c>
    </row>
    <row r="498" spans="1:14" ht="23.4" customHeight="1" x14ac:dyDescent="0.25">
      <c r="A498" s="180" t="s">
        <v>1575</v>
      </c>
      <c r="B498" s="129" t="s">
        <v>3692</v>
      </c>
      <c r="C498" s="16" t="s">
        <v>2078</v>
      </c>
      <c r="D498" s="6" t="s">
        <v>4791</v>
      </c>
      <c r="E498" s="335" t="s">
        <v>577</v>
      </c>
      <c r="F498" s="12">
        <v>1</v>
      </c>
      <c r="G498" s="192">
        <f t="shared" si="12"/>
        <v>10</v>
      </c>
      <c r="H498" s="129" t="s">
        <v>3952</v>
      </c>
      <c r="I498" s="129" t="s">
        <v>4122</v>
      </c>
      <c r="J498" s="162" t="s">
        <v>3917</v>
      </c>
      <c r="K498" s="129" t="s">
        <v>4123</v>
      </c>
      <c r="L498" s="162" t="s">
        <v>3</v>
      </c>
      <c r="M498" s="12">
        <v>186</v>
      </c>
      <c r="N498" s="159" t="s">
        <v>8986</v>
      </c>
    </row>
    <row r="499" spans="1:14" ht="23.4" customHeight="1" x14ac:dyDescent="0.25">
      <c r="A499" s="180" t="s">
        <v>7770</v>
      </c>
      <c r="B499" s="170" t="s">
        <v>2078</v>
      </c>
      <c r="C499" s="16" t="s">
        <v>2078</v>
      </c>
      <c r="D499" s="6" t="s">
        <v>4791</v>
      </c>
      <c r="E499" s="335" t="s">
        <v>577</v>
      </c>
      <c r="F499" s="12">
        <v>1</v>
      </c>
      <c r="G499" s="192">
        <f t="shared" si="12"/>
        <v>10</v>
      </c>
      <c r="H499" s="129" t="s">
        <v>3884</v>
      </c>
      <c r="I499" s="129" t="s">
        <v>7771</v>
      </c>
      <c r="J499" s="162" t="s">
        <v>3889</v>
      </c>
      <c r="K499" s="129" t="s">
        <v>7772</v>
      </c>
      <c r="L499" s="162" t="s">
        <v>7759</v>
      </c>
      <c r="M499" s="12">
        <v>17</v>
      </c>
      <c r="N499" s="159" t="s">
        <v>7773</v>
      </c>
    </row>
    <row r="500" spans="1:14" s="196" customFormat="1" ht="23.4" customHeight="1" x14ac:dyDescent="0.25">
      <c r="A500" s="180" t="s">
        <v>1436</v>
      </c>
      <c r="B500" s="129" t="s">
        <v>237</v>
      </c>
      <c r="C500" s="16" t="s">
        <v>2078</v>
      </c>
      <c r="D500" s="6" t="s">
        <v>4791</v>
      </c>
      <c r="E500" s="335" t="s">
        <v>577</v>
      </c>
      <c r="F500" s="12">
        <v>1</v>
      </c>
      <c r="G500" s="192">
        <f t="shared" si="12"/>
        <v>10</v>
      </c>
      <c r="H500" s="129" t="s">
        <v>3891</v>
      </c>
      <c r="I500" s="129" t="s">
        <v>4715</v>
      </c>
      <c r="J500" s="162" t="s">
        <v>4760</v>
      </c>
      <c r="K500" s="129" t="s">
        <v>4761</v>
      </c>
      <c r="L500" s="162" t="s">
        <v>158</v>
      </c>
      <c r="M500" s="89">
        <v>200</v>
      </c>
      <c r="N500" s="159" t="s">
        <v>4762</v>
      </c>
    </row>
    <row r="501" spans="1:14" ht="23.4" customHeight="1" x14ac:dyDescent="0.25">
      <c r="A501" s="180" t="s">
        <v>1583</v>
      </c>
      <c r="B501" s="129" t="s">
        <v>236</v>
      </c>
      <c r="C501" s="16" t="s">
        <v>2078</v>
      </c>
      <c r="D501" s="6" t="s">
        <v>4791</v>
      </c>
      <c r="E501" s="335" t="s">
        <v>577</v>
      </c>
      <c r="F501" s="12">
        <v>1</v>
      </c>
      <c r="G501" s="192">
        <f t="shared" si="12"/>
        <v>10</v>
      </c>
      <c r="H501" s="129" t="s">
        <v>3926</v>
      </c>
      <c r="I501" s="129" t="s">
        <v>4262</v>
      </c>
      <c r="J501" s="162" t="s">
        <v>3900</v>
      </c>
      <c r="K501" s="129" t="s">
        <v>4125</v>
      </c>
      <c r="L501" s="162" t="s">
        <v>3</v>
      </c>
      <c r="M501" s="12">
        <v>187</v>
      </c>
      <c r="N501" s="159" t="s">
        <v>8987</v>
      </c>
    </row>
    <row r="502" spans="1:14" ht="23.4" customHeight="1" x14ac:dyDescent="0.25">
      <c r="A502" s="180" t="s">
        <v>1577</v>
      </c>
      <c r="B502" s="129" t="s">
        <v>223</v>
      </c>
      <c r="C502" s="16" t="s">
        <v>2078</v>
      </c>
      <c r="D502" s="6" t="s">
        <v>4791</v>
      </c>
      <c r="E502" s="335" t="s">
        <v>577</v>
      </c>
      <c r="F502" s="12">
        <v>1</v>
      </c>
      <c r="G502" s="192">
        <f t="shared" si="12"/>
        <v>10</v>
      </c>
      <c r="H502" s="129" t="s">
        <v>3891</v>
      </c>
      <c r="I502" s="129" t="s">
        <v>4262</v>
      </c>
      <c r="J502" s="162" t="s">
        <v>3893</v>
      </c>
      <c r="K502" s="129" t="s">
        <v>4126</v>
      </c>
      <c r="L502" s="162" t="s">
        <v>3</v>
      </c>
      <c r="M502" s="12">
        <v>187</v>
      </c>
      <c r="N502" s="159" t="s">
        <v>8988</v>
      </c>
    </row>
    <row r="503" spans="1:14" ht="23.4" customHeight="1" x14ac:dyDescent="0.25">
      <c r="A503" s="180" t="s">
        <v>1584</v>
      </c>
      <c r="B503" s="129" t="s">
        <v>228</v>
      </c>
      <c r="C503" s="16" t="s">
        <v>2078</v>
      </c>
      <c r="D503" s="6" t="s">
        <v>4791</v>
      </c>
      <c r="E503" s="335" t="s">
        <v>577</v>
      </c>
      <c r="F503" s="12">
        <v>1</v>
      </c>
      <c r="G503" s="192">
        <f t="shared" si="12"/>
        <v>10</v>
      </c>
      <c r="H503" s="129" t="s">
        <v>3891</v>
      </c>
      <c r="I503" s="129" t="s">
        <v>4262</v>
      </c>
      <c r="J503" s="162" t="s">
        <v>3893</v>
      </c>
      <c r="K503" s="129" t="s">
        <v>4127</v>
      </c>
      <c r="L503" s="162" t="s">
        <v>3</v>
      </c>
      <c r="M503" s="12">
        <v>187</v>
      </c>
      <c r="N503" s="159" t="s">
        <v>4128</v>
      </c>
    </row>
    <row r="504" spans="1:14" ht="23.4" customHeight="1" x14ac:dyDescent="0.25">
      <c r="A504" s="180" t="s">
        <v>1576</v>
      </c>
      <c r="B504" s="170" t="s">
        <v>2078</v>
      </c>
      <c r="C504" s="16" t="s">
        <v>2078</v>
      </c>
      <c r="D504" s="6" t="s">
        <v>4791</v>
      </c>
      <c r="E504" s="335" t="s">
        <v>577</v>
      </c>
      <c r="F504" s="12">
        <v>1</v>
      </c>
      <c r="G504" s="192">
        <f t="shared" si="12"/>
        <v>10</v>
      </c>
      <c r="H504" s="129" t="s">
        <v>3925</v>
      </c>
      <c r="I504" s="129" t="s">
        <v>4262</v>
      </c>
      <c r="J504" s="162" t="s">
        <v>4129</v>
      </c>
      <c r="K504" s="129" t="s">
        <v>4130</v>
      </c>
      <c r="L504" s="162" t="s">
        <v>3</v>
      </c>
      <c r="M504" s="12">
        <v>187</v>
      </c>
      <c r="N504" s="159" t="s">
        <v>8989</v>
      </c>
    </row>
    <row r="505" spans="1:14" ht="23.4" customHeight="1" x14ac:dyDescent="0.25">
      <c r="A505" s="180" t="s">
        <v>1579</v>
      </c>
      <c r="B505" s="129" t="s">
        <v>2101</v>
      </c>
      <c r="C505" s="16" t="s">
        <v>2078</v>
      </c>
      <c r="D505" s="6" t="s">
        <v>4791</v>
      </c>
      <c r="E505" s="335" t="s">
        <v>577</v>
      </c>
      <c r="F505" s="12">
        <v>1</v>
      </c>
      <c r="G505" s="192">
        <f t="shared" si="12"/>
        <v>10</v>
      </c>
      <c r="H505" s="129" t="s">
        <v>3903</v>
      </c>
      <c r="I505" s="129" t="s">
        <v>3904</v>
      </c>
      <c r="J505" s="162" t="s">
        <v>3879</v>
      </c>
      <c r="K505" s="129" t="s">
        <v>3997</v>
      </c>
      <c r="L505" s="162" t="s">
        <v>3</v>
      </c>
      <c r="M505" s="12">
        <v>187</v>
      </c>
      <c r="N505" s="159" t="s">
        <v>4131</v>
      </c>
    </row>
    <row r="506" spans="1:14" ht="23.4" customHeight="1" x14ac:dyDescent="0.25">
      <c r="A506" s="180" t="s">
        <v>1582</v>
      </c>
      <c r="B506" s="129" t="s">
        <v>237</v>
      </c>
      <c r="C506" s="16" t="s">
        <v>2078</v>
      </c>
      <c r="D506" s="6" t="s">
        <v>4791</v>
      </c>
      <c r="E506" s="335" t="s">
        <v>577</v>
      </c>
      <c r="F506" s="12">
        <v>2</v>
      </c>
      <c r="G506" s="192">
        <f t="shared" si="12"/>
        <v>15</v>
      </c>
      <c r="H506" s="129" t="s">
        <v>4299</v>
      </c>
      <c r="I506" s="129" t="s">
        <v>4262</v>
      </c>
      <c r="J506" s="162" t="s">
        <v>3893</v>
      </c>
      <c r="K506" s="129" t="s">
        <v>4117</v>
      </c>
      <c r="L506" s="162" t="s">
        <v>3</v>
      </c>
      <c r="M506" s="12">
        <v>187</v>
      </c>
      <c r="N506" s="159" t="s">
        <v>8990</v>
      </c>
    </row>
    <row r="507" spans="1:14" ht="23.4" customHeight="1" x14ac:dyDescent="0.25">
      <c r="A507" s="180" t="s">
        <v>1439</v>
      </c>
      <c r="B507" s="170" t="s">
        <v>2078</v>
      </c>
      <c r="C507" s="16" t="s">
        <v>2078</v>
      </c>
      <c r="D507" s="6" t="s">
        <v>4791</v>
      </c>
      <c r="E507" s="335" t="s">
        <v>577</v>
      </c>
      <c r="F507" s="12">
        <v>2</v>
      </c>
      <c r="G507" s="192">
        <f t="shared" si="12"/>
        <v>15</v>
      </c>
      <c r="H507" s="129" t="s">
        <v>3916</v>
      </c>
      <c r="I507" s="129" t="s">
        <v>4782</v>
      </c>
      <c r="J507" s="162" t="s">
        <v>3917</v>
      </c>
      <c r="K507" s="129" t="s">
        <v>4783</v>
      </c>
      <c r="L507" s="162" t="s">
        <v>158</v>
      </c>
      <c r="M507" s="89">
        <v>201</v>
      </c>
      <c r="N507" s="159" t="s">
        <v>4784</v>
      </c>
    </row>
    <row r="508" spans="1:14" ht="23.4" customHeight="1" x14ac:dyDescent="0.25">
      <c r="A508" s="180" t="s">
        <v>1437</v>
      </c>
      <c r="B508" s="170" t="s">
        <v>2078</v>
      </c>
      <c r="C508" s="16" t="s">
        <v>2078</v>
      </c>
      <c r="D508" s="6" t="s">
        <v>4791</v>
      </c>
      <c r="E508" s="335" t="s">
        <v>577</v>
      </c>
      <c r="F508" s="12">
        <v>2</v>
      </c>
      <c r="G508" s="192">
        <f t="shared" si="12"/>
        <v>15</v>
      </c>
      <c r="H508" s="129" t="s">
        <v>3925</v>
      </c>
      <c r="I508" s="129" t="s">
        <v>4763</v>
      </c>
      <c r="J508" s="162" t="s">
        <v>4757</v>
      </c>
      <c r="K508" s="129" t="s">
        <v>4764</v>
      </c>
      <c r="L508" s="162" t="s">
        <v>158</v>
      </c>
      <c r="M508" s="89">
        <v>200</v>
      </c>
      <c r="N508" s="159" t="s">
        <v>8991</v>
      </c>
    </row>
    <row r="509" spans="1:14" ht="23.4" customHeight="1" x14ac:dyDescent="0.25">
      <c r="A509" s="180" t="s">
        <v>1588</v>
      </c>
      <c r="B509" s="170" t="s">
        <v>2078</v>
      </c>
      <c r="C509" s="16" t="s">
        <v>2078</v>
      </c>
      <c r="D509" s="6" t="s">
        <v>4791</v>
      </c>
      <c r="E509" s="335" t="s">
        <v>577</v>
      </c>
      <c r="F509" s="12">
        <v>2</v>
      </c>
      <c r="G509" s="192">
        <f t="shared" si="12"/>
        <v>15</v>
      </c>
      <c r="H509" s="129" t="s">
        <v>3925</v>
      </c>
      <c r="I509" s="129" t="s">
        <v>4262</v>
      </c>
      <c r="J509" s="162" t="s">
        <v>3934</v>
      </c>
      <c r="K509" s="129" t="s">
        <v>4132</v>
      </c>
      <c r="L509" s="162" t="s">
        <v>3</v>
      </c>
      <c r="M509" s="12">
        <v>188</v>
      </c>
      <c r="N509" s="159" t="str">
        <f>CONCATENATE("La cible ne peut se déplacer que de 1,5m par Round au pris d'une AS et ne peut plus se déplacer en ActG. La cible peut se libérer au moyen d'une AC et en effectuant un test d'Opposition de Terre contre un ND de ",Terre*5)</f>
        <v>La cible ne peut se déplacer que de 1,5m par Round au pris d'une AS et ne peut plus se déplacer en ActG. La cible peut se libérer au moyen d'une AC et en effectuant un test d'Opposition de Terre contre un ND de 10</v>
      </c>
    </row>
    <row r="510" spans="1:14" ht="23.4" customHeight="1" x14ac:dyDescent="0.25">
      <c r="A510" s="180" t="s">
        <v>1585</v>
      </c>
      <c r="B510" s="129" t="s">
        <v>228</v>
      </c>
      <c r="C510" s="16" t="s">
        <v>2078</v>
      </c>
      <c r="D510" s="6" t="s">
        <v>4791</v>
      </c>
      <c r="E510" s="335" t="s">
        <v>577</v>
      </c>
      <c r="F510" s="12">
        <v>2</v>
      </c>
      <c r="G510" s="192">
        <f t="shared" si="12"/>
        <v>15</v>
      </c>
      <c r="H510" s="129" t="s">
        <v>3952</v>
      </c>
      <c r="I510" s="129" t="s">
        <v>4709</v>
      </c>
      <c r="J510" s="162" t="s">
        <v>4085</v>
      </c>
      <c r="K510" s="129" t="s">
        <v>3931</v>
      </c>
      <c r="L510" s="162" t="s">
        <v>3</v>
      </c>
      <c r="M510" s="12">
        <v>188</v>
      </c>
      <c r="N510" s="159" t="s">
        <v>4133</v>
      </c>
    </row>
    <row r="511" spans="1:14" ht="23.4" customHeight="1" x14ac:dyDescent="0.25">
      <c r="A511" s="180" t="s">
        <v>1586</v>
      </c>
      <c r="B511" s="129" t="s">
        <v>236</v>
      </c>
      <c r="C511" s="16" t="s">
        <v>2078</v>
      </c>
      <c r="D511" s="6" t="s">
        <v>4791</v>
      </c>
      <c r="E511" s="335" t="s">
        <v>577</v>
      </c>
      <c r="F511" s="12">
        <v>2</v>
      </c>
      <c r="G511" s="192">
        <f t="shared" si="12"/>
        <v>15</v>
      </c>
      <c r="H511" s="129" t="s">
        <v>3926</v>
      </c>
      <c r="I511" s="129" t="s">
        <v>4709</v>
      </c>
      <c r="J511" s="162" t="s">
        <v>3900</v>
      </c>
      <c r="K511" s="129" t="s">
        <v>4134</v>
      </c>
      <c r="L511" s="162" t="s">
        <v>3</v>
      </c>
      <c r="M511" s="12">
        <v>188</v>
      </c>
      <c r="N511" s="159" t="str">
        <f>CONCATENATE("Ce sort crée des rochers qui peuvent être projetés contre une cible. Les rochers ont une VD de ",Terre,"g",Terre," réduite de 1g1 par cible supplémentaire (minimum de 1g1 par cible). Ces roches ne peuvent outrepasser la Rédution ou l'Invulnérabilité.")</f>
        <v>Ce sort crée des rochers qui peuvent être projetés contre une cible. Les rochers ont une VD de 2g2 réduite de 1g1 par cible supplémentaire (minimum de 1g1 par cible). Ces roches ne peuvent outrepasser la Rédution ou l'Invulnérabilité.</v>
      </c>
    </row>
    <row r="512" spans="1:14" ht="23.4" customHeight="1" x14ac:dyDescent="0.25">
      <c r="A512" s="180" t="s">
        <v>1589</v>
      </c>
      <c r="B512" s="129" t="s">
        <v>237</v>
      </c>
      <c r="C512" s="16" t="s">
        <v>2078</v>
      </c>
      <c r="D512" s="6" t="s">
        <v>4791</v>
      </c>
      <c r="E512" s="335" t="s">
        <v>577</v>
      </c>
      <c r="F512" s="12">
        <v>2</v>
      </c>
      <c r="G512" s="192">
        <f t="shared" si="12"/>
        <v>15</v>
      </c>
      <c r="H512" s="129" t="s">
        <v>3887</v>
      </c>
      <c r="I512" s="129" t="s">
        <v>3916</v>
      </c>
      <c r="J512" s="162" t="s">
        <v>3917</v>
      </c>
      <c r="K512" s="129" t="s">
        <v>4135</v>
      </c>
      <c r="L512" s="162" t="s">
        <v>3</v>
      </c>
      <c r="M512" s="12">
        <v>188</v>
      </c>
      <c r="N512" s="159" t="s">
        <v>8992</v>
      </c>
    </row>
    <row r="513" spans="1:14" ht="23.4" customHeight="1" x14ac:dyDescent="0.25">
      <c r="A513" s="180" t="s">
        <v>1430</v>
      </c>
      <c r="B513" s="170" t="s">
        <v>2078</v>
      </c>
      <c r="C513" s="16" t="s">
        <v>2078</v>
      </c>
      <c r="D513" s="6" t="s">
        <v>4791</v>
      </c>
      <c r="E513" s="335" t="s">
        <v>577</v>
      </c>
      <c r="F513" s="12">
        <v>2</v>
      </c>
      <c r="G513" s="192">
        <f t="shared" si="12"/>
        <v>15</v>
      </c>
      <c r="H513" s="129" t="s">
        <v>3952</v>
      </c>
      <c r="I513" s="129" t="s">
        <v>4262</v>
      </c>
      <c r="J513" s="162" t="s">
        <v>4010</v>
      </c>
      <c r="K513" s="129" t="s">
        <v>4748</v>
      </c>
      <c r="L513" s="162" t="s">
        <v>158</v>
      </c>
      <c r="M513" s="89">
        <v>198</v>
      </c>
      <c r="N513" s="159" t="s">
        <v>4749</v>
      </c>
    </row>
    <row r="514" spans="1:14" ht="23.4" customHeight="1" x14ac:dyDescent="0.25">
      <c r="A514" s="180" t="s">
        <v>1433</v>
      </c>
      <c r="B514" s="129" t="s">
        <v>396</v>
      </c>
      <c r="C514" s="16" t="s">
        <v>2078</v>
      </c>
      <c r="D514" s="6" t="s">
        <v>4791</v>
      </c>
      <c r="E514" s="335" t="s">
        <v>577</v>
      </c>
      <c r="F514" s="12">
        <v>2</v>
      </c>
      <c r="G514" s="192">
        <f t="shared" si="12"/>
        <v>15</v>
      </c>
      <c r="H514" s="129" t="s">
        <v>3884</v>
      </c>
      <c r="I514" s="129" t="s">
        <v>4718</v>
      </c>
      <c r="J514" s="162" t="s">
        <v>4010</v>
      </c>
      <c r="K514" s="129" t="s">
        <v>4753</v>
      </c>
      <c r="L514" s="162" t="s">
        <v>158</v>
      </c>
      <c r="M514" s="89">
        <v>199</v>
      </c>
      <c r="N514" s="159" t="s">
        <v>4754</v>
      </c>
    </row>
    <row r="515" spans="1:14" ht="23.4" customHeight="1" x14ac:dyDescent="0.25">
      <c r="A515" s="180" t="s">
        <v>1590</v>
      </c>
      <c r="B515" s="129" t="s">
        <v>228</v>
      </c>
      <c r="C515" s="16" t="s">
        <v>2078</v>
      </c>
      <c r="D515" s="6" t="s">
        <v>4791</v>
      </c>
      <c r="E515" s="335" t="s">
        <v>577</v>
      </c>
      <c r="F515" s="12">
        <v>2</v>
      </c>
      <c r="G515" s="192">
        <f t="shared" si="12"/>
        <v>15</v>
      </c>
      <c r="H515" s="129" t="s">
        <v>3903</v>
      </c>
      <c r="I515" s="129" t="s">
        <v>4262</v>
      </c>
      <c r="J515" s="162" t="s">
        <v>3893</v>
      </c>
      <c r="K515" s="129" t="s">
        <v>4136</v>
      </c>
      <c r="L515" s="162" t="s">
        <v>3</v>
      </c>
      <c r="M515" s="12">
        <v>188</v>
      </c>
      <c r="N515" s="159" t="s">
        <v>8993</v>
      </c>
    </row>
    <row r="516" spans="1:14" ht="23.4" customHeight="1" x14ac:dyDescent="0.25">
      <c r="A516" s="180" t="s">
        <v>1591</v>
      </c>
      <c r="B516" s="129" t="s">
        <v>7065</v>
      </c>
      <c r="C516" s="16" t="s">
        <v>2078</v>
      </c>
      <c r="D516" s="6" t="s">
        <v>4791</v>
      </c>
      <c r="E516" s="335" t="s">
        <v>577</v>
      </c>
      <c r="F516" s="12">
        <v>2</v>
      </c>
      <c r="G516" s="192">
        <f t="shared" si="12"/>
        <v>15</v>
      </c>
      <c r="H516" s="129" t="s">
        <v>3903</v>
      </c>
      <c r="I516" s="129" t="s">
        <v>4709</v>
      </c>
      <c r="J516" s="162" t="s">
        <v>3917</v>
      </c>
      <c r="K516" s="129" t="s">
        <v>4137</v>
      </c>
      <c r="L516" s="162" t="s">
        <v>3</v>
      </c>
      <c r="M516" s="12">
        <v>188</v>
      </c>
      <c r="N516" s="159" t="s">
        <v>8994</v>
      </c>
    </row>
    <row r="517" spans="1:14" ht="23.4" customHeight="1" x14ac:dyDescent="0.25">
      <c r="A517" s="180" t="s">
        <v>1587</v>
      </c>
      <c r="B517" s="129" t="s">
        <v>7069</v>
      </c>
      <c r="C517" s="16" t="s">
        <v>2078</v>
      </c>
      <c r="D517" s="6" t="s">
        <v>4791</v>
      </c>
      <c r="E517" s="335" t="s">
        <v>577</v>
      </c>
      <c r="F517" s="12">
        <v>2</v>
      </c>
      <c r="G517" s="192">
        <f t="shared" si="12"/>
        <v>15</v>
      </c>
      <c r="H517" s="129" t="s">
        <v>3925</v>
      </c>
      <c r="I517" s="129" t="s">
        <v>4262</v>
      </c>
      <c r="J517" s="162" t="s">
        <v>3970</v>
      </c>
      <c r="K517" s="129" t="s">
        <v>4138</v>
      </c>
      <c r="L517" s="162" t="s">
        <v>3</v>
      </c>
      <c r="M517" s="12">
        <v>188</v>
      </c>
      <c r="N517" s="159" t="s">
        <v>8995</v>
      </c>
    </row>
    <row r="518" spans="1:14" ht="23.4" customHeight="1" x14ac:dyDescent="0.25">
      <c r="A518" s="180" t="s">
        <v>1434</v>
      </c>
      <c r="B518" s="129" t="s">
        <v>2097</v>
      </c>
      <c r="C518" s="16" t="s">
        <v>2078</v>
      </c>
      <c r="D518" s="6" t="s">
        <v>4791</v>
      </c>
      <c r="E518" s="335" t="s">
        <v>577</v>
      </c>
      <c r="F518" s="12">
        <v>3</v>
      </c>
      <c r="G518" s="192">
        <f t="shared" si="12"/>
        <v>20</v>
      </c>
      <c r="H518" s="129" t="s">
        <v>3891</v>
      </c>
      <c r="I518" s="129" t="s">
        <v>4715</v>
      </c>
      <c r="J518" s="162" t="s">
        <v>4290</v>
      </c>
      <c r="K518" s="129" t="s">
        <v>3944</v>
      </c>
      <c r="L518" s="162" t="s">
        <v>158</v>
      </c>
      <c r="M518" s="89">
        <v>199</v>
      </c>
      <c r="N518" s="159" t="s">
        <v>8996</v>
      </c>
    </row>
    <row r="519" spans="1:14" ht="23.4" customHeight="1" x14ac:dyDescent="0.25">
      <c r="A519" s="180" t="s">
        <v>1593</v>
      </c>
      <c r="B519" s="129" t="s">
        <v>7066</v>
      </c>
      <c r="C519" s="16" t="s">
        <v>2078</v>
      </c>
      <c r="D519" s="6" t="s">
        <v>4791</v>
      </c>
      <c r="E519" s="335" t="s">
        <v>577</v>
      </c>
      <c r="F519" s="12">
        <v>3</v>
      </c>
      <c r="G519" s="192">
        <f t="shared" si="12"/>
        <v>20</v>
      </c>
      <c r="H519" s="129" t="s">
        <v>3903</v>
      </c>
      <c r="I519" s="129" t="s">
        <v>4715</v>
      </c>
      <c r="J519" s="162" t="s">
        <v>3917</v>
      </c>
      <c r="K519" s="129" t="s">
        <v>3941</v>
      </c>
      <c r="L519" s="162" t="s">
        <v>3</v>
      </c>
      <c r="M519" s="12">
        <v>189</v>
      </c>
      <c r="N519" s="159" t="s">
        <v>8997</v>
      </c>
    </row>
    <row r="520" spans="1:14" ht="23.4" customHeight="1" x14ac:dyDescent="0.25">
      <c r="A520" s="180" t="s">
        <v>1429</v>
      </c>
      <c r="B520" s="129" t="s">
        <v>2098</v>
      </c>
      <c r="C520" s="16" t="s">
        <v>2078</v>
      </c>
      <c r="D520" s="6" t="s">
        <v>4791</v>
      </c>
      <c r="E520" s="335" t="s">
        <v>577</v>
      </c>
      <c r="F520" s="12">
        <v>3</v>
      </c>
      <c r="G520" s="192">
        <f t="shared" si="12"/>
        <v>20</v>
      </c>
      <c r="H520" s="129" t="s">
        <v>3916</v>
      </c>
      <c r="I520" s="129" t="s">
        <v>4746</v>
      </c>
      <c r="J520" s="162" t="s">
        <v>4077</v>
      </c>
      <c r="K520" s="129" t="s">
        <v>4747</v>
      </c>
      <c r="L520" s="162" t="s">
        <v>158</v>
      </c>
      <c r="M520" s="89">
        <v>198</v>
      </c>
      <c r="N520" s="159" t="str">
        <f>CONCATENATE("Elève un mur cylindrique de pierres autour du lanceur de sort. Ce mur a 500 pts de blessures et une Réduction de 15 contre les engins de siège mais peut être franchi en AC par un test d'opposition d'Athlétisme /Force contre un ND de ",Terre*5)</f>
        <v>Elève un mur cylindrique de pierres autour du lanceur de sort. Ce mur a 500 pts de blessures et une Réduction de 15 contre les engins de siège mais peut être franchi en AC par un test d'opposition d'Athlétisme /Force contre un ND de 10</v>
      </c>
    </row>
    <row r="521" spans="1:14" ht="23.4" customHeight="1" x14ac:dyDescent="0.25">
      <c r="A521" s="180" t="s">
        <v>1594</v>
      </c>
      <c r="B521" s="129" t="s">
        <v>103</v>
      </c>
      <c r="C521" s="16" t="s">
        <v>2078</v>
      </c>
      <c r="D521" s="6" t="s">
        <v>4791</v>
      </c>
      <c r="E521" s="335" t="s">
        <v>577</v>
      </c>
      <c r="F521" s="12">
        <v>3</v>
      </c>
      <c r="G521" s="192">
        <f t="shared" si="12"/>
        <v>20</v>
      </c>
      <c r="H521" s="129" t="s">
        <v>3891</v>
      </c>
      <c r="I521" s="129" t="s">
        <v>4262</v>
      </c>
      <c r="J521" s="129" t="s">
        <v>4140</v>
      </c>
      <c r="K521" s="129" t="s">
        <v>4139</v>
      </c>
      <c r="L521" s="162" t="s">
        <v>3</v>
      </c>
      <c r="M521" s="12">
        <v>189</v>
      </c>
      <c r="N521" s="159" t="s">
        <v>8998</v>
      </c>
    </row>
    <row r="522" spans="1:14" ht="23.4" customHeight="1" x14ac:dyDescent="0.25">
      <c r="A522" s="180" t="s">
        <v>1169</v>
      </c>
      <c r="B522" s="129" t="s">
        <v>231</v>
      </c>
      <c r="C522" s="16" t="s">
        <v>2078</v>
      </c>
      <c r="D522" s="6" t="s">
        <v>4791</v>
      </c>
      <c r="E522" s="335" t="s">
        <v>577</v>
      </c>
      <c r="F522" s="12">
        <v>3</v>
      </c>
      <c r="G522" s="192">
        <f t="shared" si="12"/>
        <v>20</v>
      </c>
      <c r="H522" s="129" t="s">
        <v>3878</v>
      </c>
      <c r="I522" s="129" t="s">
        <v>4715</v>
      </c>
      <c r="J522" s="162" t="s">
        <v>3879</v>
      </c>
      <c r="K522" s="129" t="s">
        <v>3941</v>
      </c>
      <c r="L522" s="162" t="s">
        <v>158</v>
      </c>
      <c r="M522" s="89">
        <v>200</v>
      </c>
      <c r="N522" s="159" t="s">
        <v>4759</v>
      </c>
    </row>
    <row r="523" spans="1:14" ht="23.4" customHeight="1" x14ac:dyDescent="0.25">
      <c r="A523" s="180" t="s">
        <v>1592</v>
      </c>
      <c r="B523" s="129" t="s">
        <v>223</v>
      </c>
      <c r="C523" s="16" t="s">
        <v>2078</v>
      </c>
      <c r="D523" s="6" t="s">
        <v>4791</v>
      </c>
      <c r="E523" s="335" t="s">
        <v>577</v>
      </c>
      <c r="F523" s="12">
        <v>3</v>
      </c>
      <c r="G523" s="192">
        <f t="shared" si="12"/>
        <v>20</v>
      </c>
      <c r="H523" s="129" t="s">
        <v>4111</v>
      </c>
      <c r="I523" s="129" t="s">
        <v>4716</v>
      </c>
      <c r="J523" s="162" t="s">
        <v>4141</v>
      </c>
      <c r="K523" s="129" t="s">
        <v>4142</v>
      </c>
      <c r="L523" s="162" t="s">
        <v>3</v>
      </c>
      <c r="M523" s="12">
        <v>189</v>
      </c>
      <c r="N523" s="159" t="s">
        <v>4143</v>
      </c>
    </row>
    <row r="524" spans="1:14" ht="23.4" customHeight="1" x14ac:dyDescent="0.25">
      <c r="A524" s="180" t="s">
        <v>1438</v>
      </c>
      <c r="B524" s="170" t="s">
        <v>2078</v>
      </c>
      <c r="C524" s="16" t="s">
        <v>2078</v>
      </c>
      <c r="D524" s="6" t="s">
        <v>4791</v>
      </c>
      <c r="E524" s="335" t="s">
        <v>577</v>
      </c>
      <c r="F524" s="12">
        <v>3</v>
      </c>
      <c r="G524" s="192">
        <f t="shared" si="12"/>
        <v>20</v>
      </c>
      <c r="H524" s="129" t="s">
        <v>3891</v>
      </c>
      <c r="I524" s="129" t="s">
        <v>3892</v>
      </c>
      <c r="J524" s="162" t="s">
        <v>3951</v>
      </c>
      <c r="K524" s="129" t="s">
        <v>4780</v>
      </c>
      <c r="L524" s="162" t="s">
        <v>158</v>
      </c>
      <c r="M524" s="89">
        <v>201</v>
      </c>
      <c r="N524" s="159" t="s">
        <v>4781</v>
      </c>
    </row>
    <row r="525" spans="1:14" ht="23.4" customHeight="1" x14ac:dyDescent="0.25">
      <c r="A525" s="180" t="s">
        <v>1595</v>
      </c>
      <c r="B525" s="170" t="s">
        <v>2078</v>
      </c>
      <c r="C525" s="16" t="s">
        <v>2078</v>
      </c>
      <c r="D525" s="6" t="s">
        <v>4791</v>
      </c>
      <c r="E525" s="335" t="s">
        <v>577</v>
      </c>
      <c r="F525" s="12">
        <v>3</v>
      </c>
      <c r="G525" s="192">
        <f t="shared" si="12"/>
        <v>20</v>
      </c>
      <c r="H525" s="129" t="s">
        <v>3925</v>
      </c>
      <c r="I525" s="129" t="s">
        <v>4262</v>
      </c>
      <c r="J525" s="162" t="s">
        <v>4077</v>
      </c>
      <c r="K525" s="129" t="s">
        <v>4144</v>
      </c>
      <c r="L525" s="162" t="s">
        <v>3</v>
      </c>
      <c r="M525" s="12">
        <v>190</v>
      </c>
      <c r="N525" s="159" t="s">
        <v>4145</v>
      </c>
    </row>
    <row r="526" spans="1:14" ht="23.4" customHeight="1" x14ac:dyDescent="0.25">
      <c r="A526" s="180" t="s">
        <v>1432</v>
      </c>
      <c r="B526" s="170" t="s">
        <v>2078</v>
      </c>
      <c r="C526" s="16" t="s">
        <v>2078</v>
      </c>
      <c r="D526" s="6" t="s">
        <v>4791</v>
      </c>
      <c r="E526" s="335" t="s">
        <v>577</v>
      </c>
      <c r="F526" s="12">
        <v>3</v>
      </c>
      <c r="G526" s="192">
        <f t="shared" si="12"/>
        <v>20</v>
      </c>
      <c r="H526" s="129" t="s">
        <v>3891</v>
      </c>
      <c r="I526" s="129" t="s">
        <v>3966</v>
      </c>
      <c r="J526" s="162" t="s">
        <v>3912</v>
      </c>
      <c r="K526" s="129" t="s">
        <v>4752</v>
      </c>
      <c r="L526" s="162" t="s">
        <v>158</v>
      </c>
      <c r="M526" s="89">
        <v>199</v>
      </c>
      <c r="N526" s="159" t="s">
        <v>8999</v>
      </c>
    </row>
    <row r="527" spans="1:14" ht="23.4" customHeight="1" x14ac:dyDescent="0.25">
      <c r="A527" s="180" t="s">
        <v>1601</v>
      </c>
      <c r="B527" s="170" t="s">
        <v>2078</v>
      </c>
      <c r="C527" s="16" t="s">
        <v>2078</v>
      </c>
      <c r="D527" s="6" t="s">
        <v>4791</v>
      </c>
      <c r="E527" s="335" t="s">
        <v>577</v>
      </c>
      <c r="F527" s="12">
        <v>3</v>
      </c>
      <c r="G527" s="192">
        <f t="shared" si="12"/>
        <v>20</v>
      </c>
      <c r="H527" s="129" t="s">
        <v>3952</v>
      </c>
      <c r="I527" s="129" t="s">
        <v>4146</v>
      </c>
      <c r="J527" s="162" t="s">
        <v>3934</v>
      </c>
      <c r="K527" s="129" t="s">
        <v>3935</v>
      </c>
      <c r="L527" s="162" t="s">
        <v>3</v>
      </c>
      <c r="M527" s="12">
        <v>190</v>
      </c>
      <c r="N527" s="159" t="s">
        <v>9000</v>
      </c>
    </row>
    <row r="528" spans="1:14" ht="23.4" customHeight="1" x14ac:dyDescent="0.25">
      <c r="A528" s="180" t="s">
        <v>1440</v>
      </c>
      <c r="B528" s="129" t="s">
        <v>228</v>
      </c>
      <c r="C528" s="16" t="s">
        <v>2078</v>
      </c>
      <c r="D528" s="6" t="s">
        <v>4791</v>
      </c>
      <c r="E528" s="335" t="s">
        <v>577</v>
      </c>
      <c r="F528" s="12">
        <v>3</v>
      </c>
      <c r="G528" s="192">
        <f t="shared" si="12"/>
        <v>20</v>
      </c>
      <c r="H528" s="129" t="s">
        <v>3925</v>
      </c>
      <c r="I528" s="129" t="s">
        <v>4262</v>
      </c>
      <c r="J528" s="162" t="s">
        <v>3934</v>
      </c>
      <c r="K528" s="129" t="s">
        <v>4785</v>
      </c>
      <c r="L528" s="162" t="s">
        <v>158</v>
      </c>
      <c r="M528" s="89">
        <v>201</v>
      </c>
      <c r="N528" s="159" t="s">
        <v>4786</v>
      </c>
    </row>
    <row r="529" spans="1:14" ht="23.4" customHeight="1" x14ac:dyDescent="0.25">
      <c r="A529" s="180" t="s">
        <v>1603</v>
      </c>
      <c r="B529" s="129" t="s">
        <v>229</v>
      </c>
      <c r="C529" s="16" t="s">
        <v>2078</v>
      </c>
      <c r="D529" s="6" t="s">
        <v>4791</v>
      </c>
      <c r="E529" s="335" t="s">
        <v>577</v>
      </c>
      <c r="F529" s="12">
        <v>3</v>
      </c>
      <c r="G529" s="192">
        <f t="shared" si="12"/>
        <v>20</v>
      </c>
      <c r="H529" s="129" t="s">
        <v>3887</v>
      </c>
      <c r="I529" s="129" t="s">
        <v>4147</v>
      </c>
      <c r="J529" s="162" t="s">
        <v>4154</v>
      </c>
      <c r="K529" s="129" t="s">
        <v>4148</v>
      </c>
      <c r="L529" s="162" t="s">
        <v>3</v>
      </c>
      <c r="M529" s="12">
        <v>190</v>
      </c>
      <c r="N529" s="159" t="s">
        <v>9001</v>
      </c>
    </row>
    <row r="530" spans="1:14" ht="23.4" customHeight="1" x14ac:dyDescent="0.25">
      <c r="A530" s="180" t="s">
        <v>1602</v>
      </c>
      <c r="B530" s="129" t="s">
        <v>103</v>
      </c>
      <c r="C530" s="16" t="s">
        <v>2078</v>
      </c>
      <c r="D530" s="6" t="s">
        <v>4791</v>
      </c>
      <c r="E530" s="335" t="s">
        <v>577</v>
      </c>
      <c r="F530" s="12">
        <v>3</v>
      </c>
      <c r="G530" s="192">
        <f t="shared" si="12"/>
        <v>20</v>
      </c>
      <c r="H530" s="129" t="s">
        <v>3887</v>
      </c>
      <c r="I530" s="129" t="s">
        <v>4149</v>
      </c>
      <c r="J530" s="162" t="s">
        <v>3951</v>
      </c>
      <c r="K530" s="129" t="s">
        <v>4096</v>
      </c>
      <c r="L530" s="162" t="s">
        <v>3</v>
      </c>
      <c r="M530" s="12">
        <v>190</v>
      </c>
      <c r="N530" s="159" t="s">
        <v>9002</v>
      </c>
    </row>
    <row r="531" spans="1:14" ht="23.4" customHeight="1" x14ac:dyDescent="0.25">
      <c r="A531" s="180" t="s">
        <v>4255</v>
      </c>
      <c r="B531" s="170" t="s">
        <v>2078</v>
      </c>
      <c r="C531" s="16" t="s">
        <v>2078</v>
      </c>
      <c r="D531" s="6" t="s">
        <v>4791</v>
      </c>
      <c r="E531" s="335" t="s">
        <v>577</v>
      </c>
      <c r="F531" s="12">
        <v>3</v>
      </c>
      <c r="G531" s="192">
        <f t="shared" si="12"/>
        <v>20</v>
      </c>
      <c r="H531" s="129" t="s">
        <v>3887</v>
      </c>
      <c r="I531" s="129" t="s">
        <v>4256</v>
      </c>
      <c r="J531" s="162" t="s">
        <v>3900</v>
      </c>
      <c r="K531" s="129" t="s">
        <v>4257</v>
      </c>
      <c r="L531" s="162" t="s">
        <v>2076</v>
      </c>
      <c r="M531" s="89">
        <v>52</v>
      </c>
      <c r="N531" s="159" t="s">
        <v>9003</v>
      </c>
    </row>
    <row r="532" spans="1:14" ht="23.4" customHeight="1" x14ac:dyDescent="0.25">
      <c r="A532" s="180" t="str">
        <f>IF(Contexte_jeu="L'Empire Stellaire d'Emeraude","Cœur de la Machine","")</f>
        <v/>
      </c>
      <c r="B532" s="170" t="s">
        <v>7738</v>
      </c>
      <c r="C532" s="16" t="s">
        <v>2078</v>
      </c>
      <c r="D532" s="6" t="s">
        <v>4791</v>
      </c>
      <c r="E532" s="335" t="s">
        <v>577</v>
      </c>
      <c r="F532" s="12">
        <v>4</v>
      </c>
      <c r="G532" s="192">
        <f t="shared" si="12"/>
        <v>25</v>
      </c>
      <c r="H532" s="129" t="s">
        <v>3891</v>
      </c>
      <c r="I532" s="129" t="s">
        <v>4065</v>
      </c>
      <c r="J532" s="162" t="s">
        <v>4077</v>
      </c>
      <c r="K532" s="129" t="s">
        <v>7657</v>
      </c>
      <c r="L532" s="162" t="s">
        <v>7453</v>
      </c>
      <c r="M532" s="12">
        <v>26</v>
      </c>
      <c r="N532" s="159" t="s">
        <v>7658</v>
      </c>
    </row>
    <row r="533" spans="1:14" ht="23.4" customHeight="1" x14ac:dyDescent="0.25">
      <c r="A533" s="180" t="s">
        <v>1596</v>
      </c>
      <c r="B533" s="129" t="s">
        <v>228</v>
      </c>
      <c r="C533" s="16" t="s">
        <v>2078</v>
      </c>
      <c r="D533" s="6" t="s">
        <v>4791</v>
      </c>
      <c r="E533" s="335" t="s">
        <v>577</v>
      </c>
      <c r="F533" s="12">
        <v>4</v>
      </c>
      <c r="G533" s="192">
        <f t="shared" si="12"/>
        <v>25</v>
      </c>
      <c r="H533" s="129" t="s">
        <v>3887</v>
      </c>
      <c r="I533" s="129" t="s">
        <v>3916</v>
      </c>
      <c r="J533" s="162" t="s">
        <v>3934</v>
      </c>
      <c r="K533" s="129" t="s">
        <v>4078</v>
      </c>
      <c r="L533" s="162" t="s">
        <v>3</v>
      </c>
      <c r="M533" s="12">
        <v>190</v>
      </c>
      <c r="N533" s="159" t="s">
        <v>9004</v>
      </c>
    </row>
    <row r="534" spans="1:14" s="196" customFormat="1" ht="23.4" customHeight="1" x14ac:dyDescent="0.25">
      <c r="A534" s="180" t="s">
        <v>7659</v>
      </c>
      <c r="B534" s="170" t="s">
        <v>2078</v>
      </c>
      <c r="C534" s="16" t="s">
        <v>2078</v>
      </c>
      <c r="D534" s="6" t="s">
        <v>4791</v>
      </c>
      <c r="E534" s="335" t="s">
        <v>577</v>
      </c>
      <c r="F534" s="12">
        <v>4</v>
      </c>
      <c r="G534" s="192">
        <f t="shared" si="12"/>
        <v>25</v>
      </c>
      <c r="H534" s="129" t="s">
        <v>3891</v>
      </c>
      <c r="I534" s="129" t="s">
        <v>4065</v>
      </c>
      <c r="J534" s="162" t="s">
        <v>4077</v>
      </c>
      <c r="K534" s="129" t="s">
        <v>7660</v>
      </c>
      <c r="L534" s="162" t="s">
        <v>7453</v>
      </c>
      <c r="M534" s="12">
        <v>26</v>
      </c>
      <c r="N534" s="159" t="str">
        <f>CONCATENATE("La cible et tout son équipement se changent en pierre et ne peuvent plus bouger ni parler. Augmente son anneau de Terre d'un rang pour déterminer les blessures et son ND d'armure devient ",5+Terre*2," tant que dure le sort.")</f>
        <v>La cible et tout son équipement se changent en pierre et ne peuvent plus bouger ni parler. Augmente son anneau de Terre d'un rang pour déterminer les blessures et son ND d'armure devient 9 tant que dure le sort.</v>
      </c>
    </row>
    <row r="535" spans="1:14" s="196" customFormat="1" ht="23.4" customHeight="1" x14ac:dyDescent="0.25">
      <c r="A535" s="180" t="s">
        <v>1597</v>
      </c>
      <c r="B535" s="129" t="s">
        <v>7066</v>
      </c>
      <c r="C535" s="16" t="s">
        <v>2078</v>
      </c>
      <c r="D535" s="6" t="s">
        <v>4791</v>
      </c>
      <c r="E535" s="335" t="s">
        <v>577</v>
      </c>
      <c r="F535" s="12">
        <v>4</v>
      </c>
      <c r="G535" s="192">
        <f t="shared" si="12"/>
        <v>25</v>
      </c>
      <c r="H535" s="129" t="s">
        <v>3903</v>
      </c>
      <c r="I535" s="129" t="s">
        <v>4715</v>
      </c>
      <c r="J535" s="162" t="s">
        <v>4077</v>
      </c>
      <c r="K535" s="129" t="s">
        <v>4150</v>
      </c>
      <c r="L535" s="162" t="s">
        <v>3</v>
      </c>
      <c r="M535" s="12">
        <v>190</v>
      </c>
      <c r="N535" s="159" t="s">
        <v>4151</v>
      </c>
    </row>
    <row r="536" spans="1:14" ht="23.4" customHeight="1" x14ac:dyDescent="0.25">
      <c r="A536" s="180" t="s">
        <v>1427</v>
      </c>
      <c r="B536" s="129" t="s">
        <v>231</v>
      </c>
      <c r="C536" s="16" t="s">
        <v>2078</v>
      </c>
      <c r="D536" s="6" t="s">
        <v>4791</v>
      </c>
      <c r="E536" s="335" t="s">
        <v>577</v>
      </c>
      <c r="F536" s="12">
        <v>4</v>
      </c>
      <c r="G536" s="192">
        <f t="shared" si="12"/>
        <v>25</v>
      </c>
      <c r="H536" s="129" t="s">
        <v>3916</v>
      </c>
      <c r="I536" s="129" t="s">
        <v>4765</v>
      </c>
      <c r="J536" s="162" t="s">
        <v>4766</v>
      </c>
      <c r="K536" s="129" t="s">
        <v>4767</v>
      </c>
      <c r="L536" s="162" t="s">
        <v>158</v>
      </c>
      <c r="M536" s="89">
        <v>200</v>
      </c>
      <c r="N536" s="159" t="s">
        <v>4768</v>
      </c>
    </row>
    <row r="537" spans="1:14" ht="23.4" customHeight="1" x14ac:dyDescent="0.25">
      <c r="A537" s="180" t="s">
        <v>1771</v>
      </c>
      <c r="B537" s="129" t="s">
        <v>235</v>
      </c>
      <c r="C537" s="16" t="s">
        <v>2078</v>
      </c>
      <c r="D537" s="6" t="s">
        <v>4791</v>
      </c>
      <c r="E537" s="335" t="s">
        <v>577</v>
      </c>
      <c r="F537" s="12">
        <v>4</v>
      </c>
      <c r="G537" s="192">
        <f t="shared" ref="G537:G600" si="13">IF(OR(D537="Kiho",D537="Kata"),"---",5+F537*5)</f>
        <v>25</v>
      </c>
      <c r="H537" s="129" t="s">
        <v>3925</v>
      </c>
      <c r="I537" s="129" t="s">
        <v>3885</v>
      </c>
      <c r="J537" s="162" t="s">
        <v>3900</v>
      </c>
      <c r="K537" s="129" t="s">
        <v>4756</v>
      </c>
      <c r="L537" s="162" t="s">
        <v>158</v>
      </c>
      <c r="M537" s="89">
        <v>199</v>
      </c>
      <c r="N537" s="159" t="s">
        <v>9005</v>
      </c>
    </row>
    <row r="538" spans="1:14" ht="23.4" customHeight="1" x14ac:dyDescent="0.25">
      <c r="A538" s="180" t="s">
        <v>1426</v>
      </c>
      <c r="B538" s="129" t="s">
        <v>224</v>
      </c>
      <c r="C538" s="16" t="s">
        <v>2078</v>
      </c>
      <c r="D538" s="6" t="s">
        <v>4791</v>
      </c>
      <c r="E538" s="335" t="s">
        <v>577</v>
      </c>
      <c r="F538" s="12">
        <v>4</v>
      </c>
      <c r="G538" s="192">
        <f t="shared" si="13"/>
        <v>25</v>
      </c>
      <c r="H538" s="129" t="s">
        <v>3891</v>
      </c>
      <c r="I538" s="129" t="s">
        <v>3919</v>
      </c>
      <c r="J538" s="162" t="s">
        <v>3917</v>
      </c>
      <c r="K538" s="129" t="s">
        <v>4742</v>
      </c>
      <c r="L538" s="162" t="s">
        <v>158</v>
      </c>
      <c r="M538" s="89">
        <v>197</v>
      </c>
      <c r="N538" s="159" t="s">
        <v>4743</v>
      </c>
    </row>
    <row r="539" spans="1:14" ht="23.4" customHeight="1" x14ac:dyDescent="0.25">
      <c r="A539" s="180" t="s">
        <v>1431</v>
      </c>
      <c r="B539" s="129" t="s">
        <v>231</v>
      </c>
      <c r="C539" s="16" t="s">
        <v>2078</v>
      </c>
      <c r="D539" s="6" t="s">
        <v>4791</v>
      </c>
      <c r="E539" s="335" t="s">
        <v>577</v>
      </c>
      <c r="F539" s="12">
        <v>4</v>
      </c>
      <c r="G539" s="192">
        <f t="shared" si="13"/>
        <v>25</v>
      </c>
      <c r="H539" s="129" t="s">
        <v>4288</v>
      </c>
      <c r="I539" s="129" t="s">
        <v>3906</v>
      </c>
      <c r="J539" s="162" t="s">
        <v>3951</v>
      </c>
      <c r="K539" s="129" t="s">
        <v>4750</v>
      </c>
      <c r="L539" s="162" t="s">
        <v>158</v>
      </c>
      <c r="M539" s="89">
        <v>199</v>
      </c>
      <c r="N539" s="159" t="s">
        <v>4751</v>
      </c>
    </row>
    <row r="540" spans="1:14" ht="23.4" customHeight="1" x14ac:dyDescent="0.25">
      <c r="A540" s="180" t="s">
        <v>1600</v>
      </c>
      <c r="B540" s="129" t="s">
        <v>228</v>
      </c>
      <c r="C540" s="16" t="s">
        <v>2078</v>
      </c>
      <c r="D540" s="6" t="s">
        <v>4791</v>
      </c>
      <c r="E540" s="335" t="s">
        <v>577</v>
      </c>
      <c r="F540" s="12">
        <v>4</v>
      </c>
      <c r="G540" s="192">
        <f t="shared" si="13"/>
        <v>25</v>
      </c>
      <c r="H540" s="129" t="s">
        <v>3926</v>
      </c>
      <c r="I540" s="129" t="s">
        <v>4152</v>
      </c>
      <c r="J540" s="162" t="s">
        <v>3917</v>
      </c>
      <c r="K540" s="129" t="s">
        <v>4153</v>
      </c>
      <c r="L540" s="162" t="s">
        <v>3</v>
      </c>
      <c r="M540" s="12">
        <v>191</v>
      </c>
      <c r="N540" s="159" t="str">
        <f>CONCATENATE("Le mur de terre dur comme la roche peut prendre la forme que le shugenja désire et peut même être fermé. Il faut réussir un jet de Force égal à un ND de ",Terre+IF(Réputation*5&lt;25,Réputation*5,25)," pour le défoncer. Il est sufisament robuste pour soutenir la marée, une coulée de lave ou un ouragan tant que le sort persiste.")</f>
        <v>Le mur de terre dur comme la roche peut prendre la forme que le shugenja désire et peut même être fermé. Il faut réussir un jet de Force égal à un ND de 7 pour le défoncer. Il est sufisament robuste pour soutenir la marée, une coulée de lave ou un ouragan tant que le sort persiste.</v>
      </c>
    </row>
    <row r="541" spans="1:14" ht="23.4" customHeight="1" x14ac:dyDescent="0.25">
      <c r="A541" s="180" t="s">
        <v>1598</v>
      </c>
      <c r="B541" s="129" t="s">
        <v>223</v>
      </c>
      <c r="C541" s="16" t="s">
        <v>2078</v>
      </c>
      <c r="D541" s="6" t="s">
        <v>4791</v>
      </c>
      <c r="E541" s="335" t="s">
        <v>577</v>
      </c>
      <c r="F541" s="12">
        <v>4</v>
      </c>
      <c r="G541" s="192">
        <f t="shared" si="13"/>
        <v>25</v>
      </c>
      <c r="H541" s="129" t="s">
        <v>3891</v>
      </c>
      <c r="I541" s="129" t="s">
        <v>627</v>
      </c>
      <c r="J541" s="162" t="s">
        <v>3951</v>
      </c>
      <c r="K541" s="129" t="s">
        <v>4106</v>
      </c>
      <c r="L541" s="162" t="s">
        <v>3</v>
      </c>
      <c r="M541" s="12">
        <v>191</v>
      </c>
      <c r="N541" s="159" t="s">
        <v>9006</v>
      </c>
    </row>
    <row r="542" spans="1:14" ht="23.4" customHeight="1" x14ac:dyDescent="0.25">
      <c r="A542" s="180" t="s">
        <v>1599</v>
      </c>
      <c r="B542" s="129" t="s">
        <v>103</v>
      </c>
      <c r="C542" s="16" t="s">
        <v>2078</v>
      </c>
      <c r="D542" s="6" t="s">
        <v>4791</v>
      </c>
      <c r="E542" s="335" t="s">
        <v>577</v>
      </c>
      <c r="F542" s="12">
        <v>4</v>
      </c>
      <c r="G542" s="192">
        <f t="shared" si="13"/>
        <v>25</v>
      </c>
      <c r="H542" s="129" t="s">
        <v>3925</v>
      </c>
      <c r="I542" s="129" t="s">
        <v>3885</v>
      </c>
      <c r="J542" s="162" t="s">
        <v>4154</v>
      </c>
      <c r="K542" s="129" t="s">
        <v>4157</v>
      </c>
      <c r="L542" s="162" t="s">
        <v>3</v>
      </c>
      <c r="M542" s="12">
        <v>191</v>
      </c>
      <c r="N542" s="159" t="s">
        <v>9007</v>
      </c>
    </row>
    <row r="543" spans="1:14" ht="23.4" customHeight="1" x14ac:dyDescent="0.25">
      <c r="A543" s="180" t="s">
        <v>1605</v>
      </c>
      <c r="B543" s="129" t="s">
        <v>225</v>
      </c>
      <c r="C543" s="16" t="s">
        <v>2078</v>
      </c>
      <c r="D543" s="6" t="s">
        <v>4791</v>
      </c>
      <c r="E543" s="335" t="s">
        <v>577</v>
      </c>
      <c r="F543" s="12">
        <v>5</v>
      </c>
      <c r="G543" s="192">
        <f t="shared" si="13"/>
        <v>30</v>
      </c>
      <c r="H543" s="129" t="s">
        <v>3926</v>
      </c>
      <c r="I543" s="129" t="s">
        <v>4159</v>
      </c>
      <c r="J543" s="162" t="s">
        <v>4158</v>
      </c>
      <c r="K543" s="129" t="s">
        <v>4160</v>
      </c>
      <c r="L543" s="162" t="s">
        <v>3</v>
      </c>
      <c r="M543" s="12">
        <v>191</v>
      </c>
      <c r="N543" s="159" t="s">
        <v>4161</v>
      </c>
    </row>
    <row r="544" spans="1:14" ht="23.4" customHeight="1" x14ac:dyDescent="0.25">
      <c r="A544" s="180" t="s">
        <v>1428</v>
      </c>
      <c r="B544" s="129" t="s">
        <v>227</v>
      </c>
      <c r="C544" s="16" t="s">
        <v>2078</v>
      </c>
      <c r="D544" s="6" t="s">
        <v>4791</v>
      </c>
      <c r="E544" s="335" t="s">
        <v>577</v>
      </c>
      <c r="F544" s="12">
        <v>5</v>
      </c>
      <c r="G544" s="192">
        <f t="shared" si="13"/>
        <v>30</v>
      </c>
      <c r="H544" s="129" t="s">
        <v>3916</v>
      </c>
      <c r="I544" s="129" t="s">
        <v>4744</v>
      </c>
      <c r="J544" s="162" t="s">
        <v>3930</v>
      </c>
      <c r="K544" s="129" t="s">
        <v>4008</v>
      </c>
      <c r="L544" s="162" t="s">
        <v>158</v>
      </c>
      <c r="M544" s="89">
        <v>198</v>
      </c>
      <c r="N544" s="159" t="s">
        <v>4745</v>
      </c>
    </row>
    <row r="545" spans="1:14" ht="23.4" customHeight="1" x14ac:dyDescent="0.25">
      <c r="A545" s="180" t="s">
        <v>1606</v>
      </c>
      <c r="B545" s="129" t="s">
        <v>7066</v>
      </c>
      <c r="C545" s="16" t="s">
        <v>2078</v>
      </c>
      <c r="D545" s="6" t="s">
        <v>4791</v>
      </c>
      <c r="E545" s="335" t="s">
        <v>577</v>
      </c>
      <c r="F545" s="12">
        <v>5</v>
      </c>
      <c r="G545" s="192">
        <f t="shared" si="13"/>
        <v>30</v>
      </c>
      <c r="H545" s="129" t="s">
        <v>3952</v>
      </c>
      <c r="I545" s="129" t="s">
        <v>3885</v>
      </c>
      <c r="J545" s="162" t="s">
        <v>3934</v>
      </c>
      <c r="K545" s="129" t="s">
        <v>4162</v>
      </c>
      <c r="L545" s="162" t="s">
        <v>3</v>
      </c>
      <c r="M545" s="12">
        <v>191</v>
      </c>
      <c r="N545" s="159" t="str">
        <f>CONCATENATE("La cible de ce sort gagne une Réduction de 20. On ajoute ",Terre," à son Rang de Force et à celui d'un autre trait Physique. La cible se retrouve toutefois alourdie et ne peut plus entreprendre d'action de mouvement Simple (mais peut faire des actions de mouvement gratuites)")</f>
        <v>La cible de ce sort gagne une Réduction de 20. On ajoute 2 à son Rang de Force et à celui d'un autre trait Physique. La cible se retrouve toutefois alourdie et ne peut plus entreprendre d'action de mouvement Simple (mais peut faire des actions de mouvement gratuites)</v>
      </c>
    </row>
    <row r="546" spans="1:14" ht="23.4" customHeight="1" x14ac:dyDescent="0.25">
      <c r="A546" s="180" t="s">
        <v>1765</v>
      </c>
      <c r="B546" s="170" t="s">
        <v>2078</v>
      </c>
      <c r="C546" s="16" t="s">
        <v>2078</v>
      </c>
      <c r="D546" s="6" t="s">
        <v>4791</v>
      </c>
      <c r="E546" s="335" t="s">
        <v>577</v>
      </c>
      <c r="F546" s="12">
        <v>5</v>
      </c>
      <c r="G546" s="192">
        <f t="shared" si="13"/>
        <v>30</v>
      </c>
      <c r="H546" s="129" t="s">
        <v>3925</v>
      </c>
      <c r="I546" s="129" t="s">
        <v>4262</v>
      </c>
      <c r="J546" s="162" t="s">
        <v>3930</v>
      </c>
      <c r="K546" s="129" t="s">
        <v>4164</v>
      </c>
      <c r="L546" s="162" t="s">
        <v>4163</v>
      </c>
      <c r="M546" s="12">
        <v>179</v>
      </c>
      <c r="N546" s="159" t="s">
        <v>4165</v>
      </c>
    </row>
    <row r="547" spans="1:14" ht="23.4" customHeight="1" x14ac:dyDescent="0.25">
      <c r="A547" s="180" t="s">
        <v>7768</v>
      </c>
      <c r="B547" s="170" t="s">
        <v>2078</v>
      </c>
      <c r="C547" s="16" t="s">
        <v>2078</v>
      </c>
      <c r="D547" s="6" t="s">
        <v>4791</v>
      </c>
      <c r="E547" s="335" t="s">
        <v>577</v>
      </c>
      <c r="F547" s="12">
        <v>5</v>
      </c>
      <c r="G547" s="192">
        <f t="shared" si="13"/>
        <v>30</v>
      </c>
      <c r="H547" s="129" t="s">
        <v>3884</v>
      </c>
      <c r="I547" s="129" t="s">
        <v>7769</v>
      </c>
      <c r="J547" s="162" t="s">
        <v>3951</v>
      </c>
      <c r="K547" s="129" t="s">
        <v>1284</v>
      </c>
      <c r="L547" s="162" t="s">
        <v>7759</v>
      </c>
      <c r="M547" s="12">
        <v>22</v>
      </c>
      <c r="N547" s="159" t="s">
        <v>9008</v>
      </c>
    </row>
    <row r="548" spans="1:14" s="196" customFormat="1" ht="23.4" customHeight="1" x14ac:dyDescent="0.25">
      <c r="A548" s="180" t="s">
        <v>1425</v>
      </c>
      <c r="B548" s="129" t="s">
        <v>232</v>
      </c>
      <c r="C548" s="16" t="s">
        <v>2078</v>
      </c>
      <c r="D548" s="6" t="s">
        <v>4791</v>
      </c>
      <c r="E548" s="335" t="s">
        <v>577</v>
      </c>
      <c r="F548" s="12">
        <v>5</v>
      </c>
      <c r="G548" s="192">
        <f t="shared" si="13"/>
        <v>30</v>
      </c>
      <c r="H548" s="129" t="s">
        <v>4738</v>
      </c>
      <c r="I548" s="129" t="s">
        <v>4739</v>
      </c>
      <c r="J548" s="162" t="s">
        <v>4010</v>
      </c>
      <c r="K548" s="129" t="s">
        <v>4740</v>
      </c>
      <c r="L548" s="162" t="s">
        <v>158</v>
      </c>
      <c r="M548" s="89">
        <v>197</v>
      </c>
      <c r="N548" s="159" t="s">
        <v>4741</v>
      </c>
    </row>
    <row r="549" spans="1:14" ht="23.4" customHeight="1" x14ac:dyDescent="0.25">
      <c r="A549" s="180" t="s">
        <v>1604</v>
      </c>
      <c r="B549" s="170" t="s">
        <v>2078</v>
      </c>
      <c r="C549" s="16" t="s">
        <v>2078</v>
      </c>
      <c r="D549" s="6" t="s">
        <v>4791</v>
      </c>
      <c r="E549" s="335" t="s">
        <v>577</v>
      </c>
      <c r="F549" s="12">
        <v>5</v>
      </c>
      <c r="G549" s="192">
        <f t="shared" si="13"/>
        <v>30</v>
      </c>
      <c r="H549" s="129" t="s">
        <v>3887</v>
      </c>
      <c r="I549" s="129" t="s">
        <v>3964</v>
      </c>
      <c r="J549" s="162" t="s">
        <v>3889</v>
      </c>
      <c r="K549" s="129" t="s">
        <v>4166</v>
      </c>
      <c r="L549" s="162" t="s">
        <v>3</v>
      </c>
      <c r="M549" s="12">
        <v>192</v>
      </c>
      <c r="N549" s="159" t="s">
        <v>9009</v>
      </c>
    </row>
    <row r="550" spans="1:14" ht="23.4" customHeight="1" x14ac:dyDescent="0.25">
      <c r="A550" s="180" t="s">
        <v>1607</v>
      </c>
      <c r="B550" s="129" t="s">
        <v>228</v>
      </c>
      <c r="C550" s="16" t="s">
        <v>2078</v>
      </c>
      <c r="D550" s="6" t="s">
        <v>4791</v>
      </c>
      <c r="E550" s="335" t="s">
        <v>577</v>
      </c>
      <c r="F550" s="12">
        <v>5</v>
      </c>
      <c r="G550" s="192">
        <f t="shared" si="13"/>
        <v>30</v>
      </c>
      <c r="H550" s="129" t="s">
        <v>3952</v>
      </c>
      <c r="I550" s="129" t="s">
        <v>4262</v>
      </c>
      <c r="J550" s="162" t="s">
        <v>4077</v>
      </c>
      <c r="K550" s="129" t="s">
        <v>4162</v>
      </c>
      <c r="L550" s="162" t="s">
        <v>3</v>
      </c>
      <c r="M550" s="12">
        <v>192</v>
      </c>
      <c r="N550" s="159" t="str">
        <f>CONCATENATE("La cible de ce sort ajoute ",Terre," à sa Volonté. Tous les sorts (bénifiques et maléfiques) qui la ciblent subissent un malus de -",Terre,"g",Terre," à leur Incantation mais elle subit aussi un malus supplémentaire de -",Terre,"g",Terre," dans tous les jets de compétences sociales.")</f>
        <v>La cible de ce sort ajoute 2 à sa Volonté. Tous les sorts (bénifiques et maléfiques) qui la ciblent subissent un malus de -2g2 à leur Incantation mais elle subit aussi un malus supplémentaire de -2g2 dans tous les jets de compétences sociales.</v>
      </c>
    </row>
    <row r="551" spans="1:14" ht="23.4" customHeight="1" x14ac:dyDescent="0.25">
      <c r="A551" s="180" t="s">
        <v>1610</v>
      </c>
      <c r="B551" s="170" t="s">
        <v>2078</v>
      </c>
      <c r="C551" s="16" t="s">
        <v>2078</v>
      </c>
      <c r="D551" s="6" t="s">
        <v>4791</v>
      </c>
      <c r="E551" s="335" t="s">
        <v>577</v>
      </c>
      <c r="F551" s="12">
        <v>6</v>
      </c>
      <c r="G551" s="192">
        <f t="shared" si="13"/>
        <v>35</v>
      </c>
      <c r="H551" s="129" t="s">
        <v>3952</v>
      </c>
      <c r="I551" s="129" t="s">
        <v>4704</v>
      </c>
      <c r="J551" s="162" t="s">
        <v>4154</v>
      </c>
      <c r="K551" s="129" t="s">
        <v>1284</v>
      </c>
      <c r="L551" s="162" t="s">
        <v>3</v>
      </c>
      <c r="M551" s="12">
        <v>173</v>
      </c>
      <c r="N551" s="159" t="s">
        <v>4168</v>
      </c>
    </row>
    <row r="552" spans="1:14" ht="23.4" customHeight="1" x14ac:dyDescent="0.25">
      <c r="A552" s="180" t="s">
        <v>4169</v>
      </c>
      <c r="B552" s="129" t="s">
        <v>230</v>
      </c>
      <c r="C552" s="16" t="s">
        <v>2078</v>
      </c>
      <c r="D552" s="6" t="s">
        <v>4791</v>
      </c>
      <c r="E552" s="335" t="s">
        <v>577</v>
      </c>
      <c r="F552" s="12">
        <v>6</v>
      </c>
      <c r="G552" s="192">
        <f t="shared" si="13"/>
        <v>35</v>
      </c>
      <c r="H552" s="129" t="s">
        <v>3952</v>
      </c>
      <c r="I552" s="129" t="s">
        <v>4262</v>
      </c>
      <c r="J552" s="162" t="s">
        <v>4077</v>
      </c>
      <c r="K552" s="129" t="s">
        <v>4171</v>
      </c>
      <c r="L552" s="162" t="s">
        <v>3</v>
      </c>
      <c r="M552" s="12">
        <v>192</v>
      </c>
      <c r="N552" s="159" t="s">
        <v>9010</v>
      </c>
    </row>
    <row r="553" spans="1:14" ht="23.4" customHeight="1" x14ac:dyDescent="0.25">
      <c r="A553" s="180" t="s">
        <v>1608</v>
      </c>
      <c r="B553" s="129" t="s">
        <v>7067</v>
      </c>
      <c r="C553" s="16" t="s">
        <v>2078</v>
      </c>
      <c r="D553" s="6" t="s">
        <v>4791</v>
      </c>
      <c r="E553" s="335" t="s">
        <v>577</v>
      </c>
      <c r="F553" s="12">
        <v>6</v>
      </c>
      <c r="G553" s="192">
        <f t="shared" si="13"/>
        <v>35</v>
      </c>
      <c r="H553" s="129" t="s">
        <v>3925</v>
      </c>
      <c r="I553" s="129" t="s">
        <v>4262</v>
      </c>
      <c r="J553" s="162" t="s">
        <v>3917</v>
      </c>
      <c r="K553" s="129" t="s">
        <v>4170</v>
      </c>
      <c r="L553" s="162" t="s">
        <v>3</v>
      </c>
      <c r="M553" s="12">
        <v>192</v>
      </c>
      <c r="N553" s="159" t="s">
        <v>4172</v>
      </c>
    </row>
    <row r="554" spans="1:14" ht="23.4" customHeight="1" x14ac:dyDescent="0.25">
      <c r="A554" s="180" t="s">
        <v>1609</v>
      </c>
      <c r="B554" s="129" t="s">
        <v>223</v>
      </c>
      <c r="C554" s="16" t="s">
        <v>2078</v>
      </c>
      <c r="D554" s="6" t="s">
        <v>4791</v>
      </c>
      <c r="E554" s="335" t="s">
        <v>577</v>
      </c>
      <c r="F554" s="12">
        <v>6</v>
      </c>
      <c r="G554" s="192">
        <f t="shared" si="13"/>
        <v>35</v>
      </c>
      <c r="H554" s="129" t="s">
        <v>3952</v>
      </c>
      <c r="I554" s="129" t="s">
        <v>4262</v>
      </c>
      <c r="J554" s="162" t="s">
        <v>3951</v>
      </c>
      <c r="K554" s="129" t="s">
        <v>4173</v>
      </c>
      <c r="L554" s="162" t="s">
        <v>3</v>
      </c>
      <c r="M554" s="12">
        <v>193</v>
      </c>
      <c r="N554" s="159" t="s">
        <v>9011</v>
      </c>
    </row>
    <row r="555" spans="1:14" ht="23.4" customHeight="1" x14ac:dyDescent="0.25">
      <c r="A555" s="180" t="s">
        <v>6223</v>
      </c>
      <c r="B555" s="129" t="s">
        <v>15</v>
      </c>
      <c r="C555" s="16" t="s">
        <v>2078</v>
      </c>
      <c r="D555" s="6" t="s">
        <v>4791</v>
      </c>
      <c r="E555" s="335" t="s">
        <v>577</v>
      </c>
      <c r="F555" s="12">
        <v>6</v>
      </c>
      <c r="G555" s="193">
        <f t="shared" si="13"/>
        <v>35</v>
      </c>
      <c r="H555" s="129" t="s">
        <v>3887</v>
      </c>
      <c r="I555" s="129" t="s">
        <v>3916</v>
      </c>
      <c r="J555" s="162" t="s">
        <v>4077</v>
      </c>
      <c r="K555" s="129" t="s">
        <v>1284</v>
      </c>
      <c r="L555" s="162" t="s">
        <v>6192</v>
      </c>
      <c r="M555" s="12">
        <v>185</v>
      </c>
      <c r="N555" s="159" t="s">
        <v>6226</v>
      </c>
    </row>
    <row r="556" spans="1:14" ht="23.4" customHeight="1" x14ac:dyDescent="0.25">
      <c r="A556" s="180" t="s">
        <v>6228</v>
      </c>
      <c r="B556" s="129" t="s">
        <v>15</v>
      </c>
      <c r="C556" s="16" t="s">
        <v>2078</v>
      </c>
      <c r="D556" s="6" t="s">
        <v>4791</v>
      </c>
      <c r="E556" s="335" t="s">
        <v>577</v>
      </c>
      <c r="F556" s="12">
        <v>6</v>
      </c>
      <c r="G556" s="193">
        <f t="shared" si="13"/>
        <v>35</v>
      </c>
      <c r="H556" s="129" t="s">
        <v>3887</v>
      </c>
      <c r="I556" s="129" t="s">
        <v>3916</v>
      </c>
      <c r="J556" s="162" t="s">
        <v>4077</v>
      </c>
      <c r="K556" s="129" t="s">
        <v>1284</v>
      </c>
      <c r="L556" s="162" t="s">
        <v>6192</v>
      </c>
      <c r="M556" s="12">
        <v>185</v>
      </c>
      <c r="N556" s="159" t="s">
        <v>6229</v>
      </c>
    </row>
    <row r="557" spans="1:14" ht="23.4" customHeight="1" x14ac:dyDescent="0.25">
      <c r="A557" s="180" t="s">
        <v>1435</v>
      </c>
      <c r="B557" s="129" t="s">
        <v>2100</v>
      </c>
      <c r="C557" s="16" t="s">
        <v>2078</v>
      </c>
      <c r="D557" s="6" t="s">
        <v>4791</v>
      </c>
      <c r="E557" s="335" t="s">
        <v>577</v>
      </c>
      <c r="F557" s="12">
        <v>6</v>
      </c>
      <c r="G557" s="192">
        <f t="shared" si="13"/>
        <v>35</v>
      </c>
      <c r="H557" s="129" t="s">
        <v>3926</v>
      </c>
      <c r="I557" s="129" t="s">
        <v>4322</v>
      </c>
      <c r="J557" s="162" t="s">
        <v>4757</v>
      </c>
      <c r="K557" s="129" t="s">
        <v>4758</v>
      </c>
      <c r="L557" s="162" t="s">
        <v>158</v>
      </c>
      <c r="M557" s="89">
        <v>200</v>
      </c>
      <c r="N557" s="159" t="str">
        <f>CONCATENATE("Ce sort crée 10 guerriers d'argile et de terre animés par les kamis de la terre. Ils ont des Traits et Anneaux égaux à ",Terre,", une Réduction de ",Terre*2," sont pourvus de lames considérées comme en jade, avec un Rang de Kenjutsu de 4.")</f>
        <v>Ce sort crée 10 guerriers d'argile et de terre animés par les kamis de la terre. Ils ont des Traits et Anneaux égaux à 2, une Réduction de 4 sont pourvus de lames considérées comme en jade, avec un Rang de Kenjutsu de 4.</v>
      </c>
    </row>
    <row r="558" spans="1:14" ht="23.4" customHeight="1" x14ac:dyDescent="0.25">
      <c r="A558" s="180" t="s">
        <v>6230</v>
      </c>
      <c r="B558" s="129" t="s">
        <v>15</v>
      </c>
      <c r="C558" s="16" t="s">
        <v>2078</v>
      </c>
      <c r="D558" s="6" t="s">
        <v>4791</v>
      </c>
      <c r="E558" s="335" t="s">
        <v>577</v>
      </c>
      <c r="F558" s="12">
        <v>6</v>
      </c>
      <c r="G558" s="193">
        <f t="shared" si="13"/>
        <v>35</v>
      </c>
      <c r="H558" s="129" t="s">
        <v>3887</v>
      </c>
      <c r="I558" s="129" t="s">
        <v>3916</v>
      </c>
      <c r="J558" s="162" t="s">
        <v>3893</v>
      </c>
      <c r="K558" s="129" t="s">
        <v>1284</v>
      </c>
      <c r="L558" s="162" t="s">
        <v>6192</v>
      </c>
      <c r="M558" s="12">
        <v>185</v>
      </c>
      <c r="N558" s="158" t="s">
        <v>6231</v>
      </c>
    </row>
    <row r="559" spans="1:14" ht="23.4" customHeight="1" x14ac:dyDescent="0.25">
      <c r="A559" s="180" t="s">
        <v>6257</v>
      </c>
      <c r="B559" s="129" t="s">
        <v>6258</v>
      </c>
      <c r="C559" s="16" t="s">
        <v>2078</v>
      </c>
      <c r="D559" s="6" t="s">
        <v>4791</v>
      </c>
      <c r="E559" s="336" t="s">
        <v>8957</v>
      </c>
      <c r="F559" s="12">
        <v>4</v>
      </c>
      <c r="G559" s="193">
        <f t="shared" si="13"/>
        <v>25</v>
      </c>
      <c r="H559" s="129" t="s">
        <v>4322</v>
      </c>
      <c r="I559" s="129" t="s">
        <v>3916</v>
      </c>
      <c r="J559" s="162" t="s">
        <v>4085</v>
      </c>
      <c r="K559" s="129" t="s">
        <v>3931</v>
      </c>
      <c r="L559" s="162" t="s">
        <v>6192</v>
      </c>
      <c r="M559" s="12">
        <v>188</v>
      </c>
      <c r="N559" s="159" t="str">
        <f>CONCATENATE("La peau du lanceur se recouvre d'une gaine de pierre couronnée dans une couche extérieure de flammes vacillantes rouges. Cela confère une Réduction de",Terre*3," et enflame toute arme en bois qui le touche. Tout attaquant au CàC qui touche subit ",Feu,"g1 Blessures. Le ND des coups portés à Mains Nues du shugenja diminuent de ",Feu)</f>
        <v>La peau du lanceur se recouvre d'une gaine de pierre couronnée dans une couche extérieure de flammes vacillantes rouges. Cela confère une Réduction de6 et enflame toute arme en bois qui le touche. Tout attaquant au CàC qui touche subit 2g1 Blessures. Le ND des coups portés à Mains Nues du shugenja diminuent de 2</v>
      </c>
    </row>
    <row r="560" spans="1:14" ht="23.4" customHeight="1" x14ac:dyDescent="0.25">
      <c r="A560" s="180" t="s">
        <v>4755</v>
      </c>
      <c r="B560" s="170" t="s">
        <v>2078</v>
      </c>
      <c r="C560" s="16" t="s">
        <v>2078</v>
      </c>
      <c r="D560" s="341" t="s">
        <v>4791</v>
      </c>
      <c r="E560" s="342" t="s">
        <v>580</v>
      </c>
      <c r="F560" s="199">
        <v>1</v>
      </c>
      <c r="G560" s="192">
        <f t="shared" si="13"/>
        <v>10</v>
      </c>
      <c r="H560" s="129" t="s">
        <v>3952</v>
      </c>
      <c r="I560" s="129" t="s">
        <v>4176</v>
      </c>
      <c r="J560" s="162" t="s">
        <v>3951</v>
      </c>
      <c r="K560" s="129" t="s">
        <v>4265</v>
      </c>
      <c r="L560" s="162" t="s">
        <v>2076</v>
      </c>
      <c r="M560" s="12">
        <v>53</v>
      </c>
      <c r="N560" s="159" t="s">
        <v>4266</v>
      </c>
    </row>
    <row r="561" spans="1:14" ht="23.4" customHeight="1" x14ac:dyDescent="0.25">
      <c r="A561" s="180" t="s">
        <v>1611</v>
      </c>
      <c r="B561" s="170" t="s">
        <v>2078</v>
      </c>
      <c r="C561" s="16" t="s">
        <v>2078</v>
      </c>
      <c r="D561" s="341" t="s">
        <v>4791</v>
      </c>
      <c r="E561" s="342" t="s">
        <v>580</v>
      </c>
      <c r="F561" s="12">
        <v>1</v>
      </c>
      <c r="G561" s="192">
        <f t="shared" si="13"/>
        <v>10</v>
      </c>
      <c r="H561" s="129" t="s">
        <v>3875</v>
      </c>
      <c r="I561" s="129" t="s">
        <v>3916</v>
      </c>
      <c r="J561" s="162" t="s">
        <v>4154</v>
      </c>
      <c r="K561" s="129" t="s">
        <v>4174</v>
      </c>
      <c r="L561" s="162" t="s">
        <v>3</v>
      </c>
      <c r="M561" s="12">
        <v>164</v>
      </c>
      <c r="N561" s="159" t="s">
        <v>4175</v>
      </c>
    </row>
    <row r="562" spans="1:14" ht="23.4" customHeight="1" x14ac:dyDescent="0.25">
      <c r="A562" s="180" t="s">
        <v>1612</v>
      </c>
      <c r="B562" s="170" t="s">
        <v>2078</v>
      </c>
      <c r="C562" s="16" t="s">
        <v>2078</v>
      </c>
      <c r="D562" s="341" t="s">
        <v>4791</v>
      </c>
      <c r="E562" s="342" t="s">
        <v>580</v>
      </c>
      <c r="F562" s="12">
        <v>1</v>
      </c>
      <c r="G562" s="192">
        <f t="shared" si="13"/>
        <v>10</v>
      </c>
      <c r="H562" s="129" t="s">
        <v>3952</v>
      </c>
      <c r="I562" s="129" t="s">
        <v>4176</v>
      </c>
      <c r="J562" s="162" t="s">
        <v>3951</v>
      </c>
      <c r="K562" s="129" t="s">
        <v>4177</v>
      </c>
      <c r="L562" s="162" t="s">
        <v>3</v>
      </c>
      <c r="M562" s="12">
        <v>165</v>
      </c>
      <c r="N562" s="159" t="s">
        <v>9012</v>
      </c>
    </row>
    <row r="563" spans="1:14" ht="23.4" customHeight="1" x14ac:dyDescent="0.25">
      <c r="A563" s="180" t="s">
        <v>87</v>
      </c>
      <c r="B563" s="170" t="s">
        <v>2078</v>
      </c>
      <c r="C563" s="16" t="s">
        <v>2078</v>
      </c>
      <c r="D563" s="341" t="s">
        <v>4791</v>
      </c>
      <c r="E563" s="342" t="s">
        <v>580</v>
      </c>
      <c r="F563" s="12">
        <v>1</v>
      </c>
      <c r="G563" s="192">
        <f t="shared" si="13"/>
        <v>10</v>
      </c>
      <c r="H563" s="129" t="s">
        <v>3887</v>
      </c>
      <c r="I563" s="129" t="s">
        <v>4149</v>
      </c>
      <c r="J563" s="162" t="s">
        <v>3900</v>
      </c>
      <c r="K563" s="129" t="s">
        <v>3886</v>
      </c>
      <c r="L563" s="162" t="s">
        <v>3</v>
      </c>
      <c r="M563" s="12">
        <v>165</v>
      </c>
      <c r="N563" s="159" t="s">
        <v>9013</v>
      </c>
    </row>
    <row r="564" spans="1:14" ht="23.4" customHeight="1" x14ac:dyDescent="0.25">
      <c r="A564" s="180" t="s">
        <v>1834</v>
      </c>
      <c r="B564" s="170" t="s">
        <v>2078</v>
      </c>
      <c r="C564" s="16" t="s">
        <v>2078</v>
      </c>
      <c r="D564" s="341" t="s">
        <v>4791</v>
      </c>
      <c r="E564" s="342" t="s">
        <v>580</v>
      </c>
      <c r="F564" s="199">
        <v>2</v>
      </c>
      <c r="G564" s="192">
        <f t="shared" si="13"/>
        <v>15</v>
      </c>
      <c r="H564" s="129" t="s">
        <v>3884</v>
      </c>
      <c r="I564" s="129" t="s">
        <v>4267</v>
      </c>
      <c r="J564" s="162" t="s">
        <v>3900</v>
      </c>
      <c r="K564" s="129" t="s">
        <v>4268</v>
      </c>
      <c r="L564" s="162" t="s">
        <v>6061</v>
      </c>
      <c r="M564" s="12">
        <v>104</v>
      </c>
      <c r="N564" s="159" t="s">
        <v>4269</v>
      </c>
    </row>
    <row r="565" spans="1:14" ht="23.4" customHeight="1" x14ac:dyDescent="0.25">
      <c r="A565" s="180" t="s">
        <v>6222</v>
      </c>
      <c r="B565" s="129" t="s">
        <v>15</v>
      </c>
      <c r="C565" s="16" t="s">
        <v>2078</v>
      </c>
      <c r="D565" s="341" t="s">
        <v>4791</v>
      </c>
      <c r="E565" s="342" t="s">
        <v>580</v>
      </c>
      <c r="F565" s="12">
        <v>6</v>
      </c>
      <c r="G565" s="193">
        <f t="shared" si="13"/>
        <v>35</v>
      </c>
      <c r="H565" s="129" t="s">
        <v>3887</v>
      </c>
      <c r="I565" s="129" t="s">
        <v>3916</v>
      </c>
      <c r="J565" s="162" t="s">
        <v>3893</v>
      </c>
      <c r="K565" s="129" t="s">
        <v>1284</v>
      </c>
      <c r="L565" s="162" t="s">
        <v>6192</v>
      </c>
      <c r="M565" s="12">
        <v>185</v>
      </c>
      <c r="N565" s="159" t="str">
        <f>CONCATENATE("Un nombre de fois égal à votre Anneau le plus bas + ",Réputation," , vs. Pouvez réussir automatiquement tout jet de Compétence ou d'Incantation avec le maximum d'A que vous pourriez prendre (incluant les AG que vous avez) tant que dure le sort.")</f>
        <v>Un nombre de fois égal à votre Anneau le plus bas + 1 , vs. Pouvez réussir automatiquement tout jet de Compétence ou d'Incantation avec le maximum d'A que vous pourriez prendre (incluant les AG que vous avez) tant que dure le sort.</v>
      </c>
    </row>
    <row r="566" spans="1:14" ht="23.4" customHeight="1" x14ac:dyDescent="0.25">
      <c r="A566" s="180" t="s">
        <v>859</v>
      </c>
      <c r="B566" s="170" t="s">
        <v>2078</v>
      </c>
      <c r="C566" s="16" t="s">
        <v>2078</v>
      </c>
      <c r="D566" s="6" t="s">
        <v>4791</v>
      </c>
      <c r="E566" s="337" t="s">
        <v>328</v>
      </c>
      <c r="F566" s="12">
        <v>1</v>
      </c>
      <c r="G566" s="192">
        <f t="shared" si="13"/>
        <v>10</v>
      </c>
      <c r="H566" s="129" t="s">
        <v>3891</v>
      </c>
      <c r="I566" s="129" t="s">
        <v>4709</v>
      </c>
      <c r="J566" s="162" t="s">
        <v>3889</v>
      </c>
      <c r="K566" s="129" t="s">
        <v>4179</v>
      </c>
      <c r="L566" s="162" t="s">
        <v>3</v>
      </c>
      <c r="M566" s="12">
        <v>193</v>
      </c>
      <c r="N566" s="159" t="s">
        <v>9014</v>
      </c>
    </row>
    <row r="567" spans="1:14" ht="23.4" customHeight="1" x14ac:dyDescent="0.25">
      <c r="A567" s="180" t="s">
        <v>1613</v>
      </c>
      <c r="B567" s="129" t="s">
        <v>102</v>
      </c>
      <c r="C567" s="16" t="s">
        <v>2078</v>
      </c>
      <c r="D567" s="6" t="s">
        <v>4791</v>
      </c>
      <c r="E567" s="337" t="s">
        <v>328</v>
      </c>
      <c r="F567" s="12">
        <v>1</v>
      </c>
      <c r="G567" s="192">
        <f t="shared" si="13"/>
        <v>10</v>
      </c>
      <c r="H567" s="129" t="s">
        <v>4178</v>
      </c>
      <c r="I567" s="129" t="s">
        <v>4709</v>
      </c>
      <c r="J567" s="162" t="s">
        <v>3930</v>
      </c>
      <c r="K567" s="129" t="s">
        <v>3922</v>
      </c>
      <c r="L567" s="162" t="s">
        <v>3</v>
      </c>
      <c r="M567" s="12">
        <v>193</v>
      </c>
      <c r="N567" s="159" t="s">
        <v>9015</v>
      </c>
    </row>
    <row r="568" spans="1:14" ht="23.4" customHeight="1" x14ac:dyDescent="0.25">
      <c r="A568" s="180" t="s">
        <v>1616</v>
      </c>
      <c r="B568" s="170" t="s">
        <v>2078</v>
      </c>
      <c r="C568" s="16" t="s">
        <v>2078</v>
      </c>
      <c r="D568" s="6" t="s">
        <v>4791</v>
      </c>
      <c r="E568" s="337" t="s">
        <v>328</v>
      </c>
      <c r="F568" s="12">
        <v>1</v>
      </c>
      <c r="G568" s="192">
        <f t="shared" si="13"/>
        <v>10</v>
      </c>
      <c r="H568" s="129" t="s">
        <v>3887</v>
      </c>
      <c r="I568" s="129" t="s">
        <v>3916</v>
      </c>
      <c r="J568" s="162" t="s">
        <v>3900</v>
      </c>
      <c r="K568" s="129" t="s">
        <v>4180</v>
      </c>
      <c r="L568" s="162" t="s">
        <v>3</v>
      </c>
      <c r="M568" s="12">
        <v>193</v>
      </c>
      <c r="N568" s="159" t="s">
        <v>9016</v>
      </c>
    </row>
    <row r="569" spans="1:14" ht="23.4" customHeight="1" x14ac:dyDescent="0.25">
      <c r="A569" s="180" t="s">
        <v>1617</v>
      </c>
      <c r="B569" s="170" t="s">
        <v>2078</v>
      </c>
      <c r="C569" s="16" t="s">
        <v>2078</v>
      </c>
      <c r="D569" s="6" t="s">
        <v>4791</v>
      </c>
      <c r="E569" s="337" t="s">
        <v>328</v>
      </c>
      <c r="F569" s="12">
        <v>1</v>
      </c>
      <c r="G569" s="192">
        <f t="shared" si="13"/>
        <v>10</v>
      </c>
      <c r="H569" s="129" t="s">
        <v>3952</v>
      </c>
      <c r="I569" s="129" t="s">
        <v>4709</v>
      </c>
      <c r="J569" s="162" t="s">
        <v>3900</v>
      </c>
      <c r="K569" s="129" t="s">
        <v>3922</v>
      </c>
      <c r="L569" s="162" t="s">
        <v>3</v>
      </c>
      <c r="M569" s="12">
        <v>193</v>
      </c>
      <c r="N569" s="159" t="s">
        <v>9017</v>
      </c>
    </row>
    <row r="570" spans="1:14" ht="23.4" customHeight="1" x14ac:dyDescent="0.25">
      <c r="A570" s="180" t="s">
        <v>1614</v>
      </c>
      <c r="B570" s="170" t="s">
        <v>2078</v>
      </c>
      <c r="C570" s="16" t="s">
        <v>2078</v>
      </c>
      <c r="D570" s="6" t="s">
        <v>4791</v>
      </c>
      <c r="E570" s="337" t="s">
        <v>328</v>
      </c>
      <c r="F570" s="12">
        <v>1</v>
      </c>
      <c r="G570" s="192">
        <f t="shared" si="13"/>
        <v>10</v>
      </c>
      <c r="H570" s="129" t="s">
        <v>3933</v>
      </c>
      <c r="I570" s="129" t="s">
        <v>4709</v>
      </c>
      <c r="J570" s="162" t="s">
        <v>3900</v>
      </c>
      <c r="K570" s="129" t="s">
        <v>4181</v>
      </c>
      <c r="L570" s="162" t="s">
        <v>3</v>
      </c>
      <c r="M570" s="12">
        <v>193</v>
      </c>
      <c r="N570" s="159" t="s">
        <v>4182</v>
      </c>
    </row>
    <row r="571" spans="1:14" ht="23.4" customHeight="1" x14ac:dyDescent="0.25">
      <c r="A571" s="180" t="s">
        <v>1615</v>
      </c>
      <c r="B571" s="170" t="s">
        <v>2078</v>
      </c>
      <c r="C571" s="16" t="s">
        <v>2078</v>
      </c>
      <c r="D571" s="6" t="s">
        <v>4791</v>
      </c>
      <c r="E571" s="337" t="s">
        <v>328</v>
      </c>
      <c r="F571" s="12">
        <v>1</v>
      </c>
      <c r="G571" s="192">
        <f t="shared" si="13"/>
        <v>10</v>
      </c>
      <c r="H571" s="129" t="s">
        <v>3887</v>
      </c>
      <c r="I571" s="129" t="s">
        <v>4183</v>
      </c>
      <c r="J571" s="162" t="s">
        <v>4154</v>
      </c>
      <c r="K571" s="129" t="s">
        <v>4184</v>
      </c>
      <c r="L571" s="162" t="s">
        <v>3</v>
      </c>
      <c r="M571" s="12">
        <v>193</v>
      </c>
      <c r="N571" s="159" t="s">
        <v>9018</v>
      </c>
    </row>
    <row r="572" spans="1:14" ht="23.4" customHeight="1" x14ac:dyDescent="0.25">
      <c r="A572" s="180" t="s">
        <v>1618</v>
      </c>
      <c r="B572" s="170" t="s">
        <v>2078</v>
      </c>
      <c r="C572" s="16" t="s">
        <v>2078</v>
      </c>
      <c r="D572" s="6" t="s">
        <v>4791</v>
      </c>
      <c r="E572" s="337" t="s">
        <v>328</v>
      </c>
      <c r="F572" s="12">
        <v>1</v>
      </c>
      <c r="G572" s="192">
        <f t="shared" si="13"/>
        <v>10</v>
      </c>
      <c r="H572" s="129" t="s">
        <v>3891</v>
      </c>
      <c r="I572" s="129" t="s">
        <v>4176</v>
      </c>
      <c r="J572" s="162" t="s">
        <v>3951</v>
      </c>
      <c r="K572" s="129" t="s">
        <v>4185</v>
      </c>
      <c r="L572" s="162" t="s">
        <v>3</v>
      </c>
      <c r="M572" s="12">
        <v>194</v>
      </c>
      <c r="N572" s="159" t="s">
        <v>9019</v>
      </c>
    </row>
    <row r="573" spans="1:14" ht="23.4" customHeight="1" x14ac:dyDescent="0.25">
      <c r="A573" s="180" t="s">
        <v>1619</v>
      </c>
      <c r="B573" s="170" t="s">
        <v>2078</v>
      </c>
      <c r="C573" s="16" t="s">
        <v>2078</v>
      </c>
      <c r="D573" s="6" t="s">
        <v>4791</v>
      </c>
      <c r="E573" s="337" t="s">
        <v>328</v>
      </c>
      <c r="F573" s="12">
        <v>1</v>
      </c>
      <c r="G573" s="192">
        <f t="shared" si="13"/>
        <v>10</v>
      </c>
      <c r="H573" s="129" t="s">
        <v>4186</v>
      </c>
      <c r="I573" s="129" t="s">
        <v>3916</v>
      </c>
      <c r="J573" s="162" t="s">
        <v>4085</v>
      </c>
      <c r="K573" s="129" t="s">
        <v>4187</v>
      </c>
      <c r="L573" s="162" t="s">
        <v>3</v>
      </c>
      <c r="M573" s="12">
        <v>194</v>
      </c>
      <c r="N573" s="159" t="s">
        <v>9020</v>
      </c>
    </row>
    <row r="574" spans="1:14" ht="23.4" customHeight="1" x14ac:dyDescent="0.25">
      <c r="A574" s="180" t="s">
        <v>1620</v>
      </c>
      <c r="B574" s="170" t="s">
        <v>2078</v>
      </c>
      <c r="C574" s="16" t="s">
        <v>2078</v>
      </c>
      <c r="D574" s="6" t="s">
        <v>4791</v>
      </c>
      <c r="E574" s="337" t="s">
        <v>328</v>
      </c>
      <c r="F574" s="12">
        <v>2</v>
      </c>
      <c r="G574" s="192">
        <f t="shared" si="13"/>
        <v>15</v>
      </c>
      <c r="H574" s="129" t="s">
        <v>3887</v>
      </c>
      <c r="I574" s="129" t="s">
        <v>3916</v>
      </c>
      <c r="J574" s="162" t="s">
        <v>3889</v>
      </c>
      <c r="K574" s="129" t="s">
        <v>3880</v>
      </c>
      <c r="L574" s="162" t="s">
        <v>3</v>
      </c>
      <c r="M574" s="12">
        <v>194</v>
      </c>
      <c r="N574" s="159" t="s">
        <v>9021</v>
      </c>
    </row>
    <row r="575" spans="1:14" ht="23.4" customHeight="1" x14ac:dyDescent="0.25">
      <c r="A575" s="180" t="s">
        <v>1621</v>
      </c>
      <c r="B575" s="170" t="s">
        <v>2078</v>
      </c>
      <c r="C575" s="16" t="s">
        <v>2078</v>
      </c>
      <c r="D575" s="6" t="s">
        <v>4791</v>
      </c>
      <c r="E575" s="337" t="s">
        <v>328</v>
      </c>
      <c r="F575" s="12">
        <v>2</v>
      </c>
      <c r="G575" s="192">
        <f t="shared" si="13"/>
        <v>15</v>
      </c>
      <c r="H575" s="129" t="s">
        <v>3952</v>
      </c>
      <c r="I575" s="129" t="s">
        <v>4709</v>
      </c>
      <c r="J575" s="162" t="s">
        <v>3900</v>
      </c>
      <c r="K575" s="129" t="s">
        <v>3922</v>
      </c>
      <c r="L575" s="162" t="s">
        <v>3</v>
      </c>
      <c r="M575" s="12">
        <v>194</v>
      </c>
      <c r="N575" s="159" t="s">
        <v>4188</v>
      </c>
    </row>
    <row r="576" spans="1:14" ht="23.4" customHeight="1" x14ac:dyDescent="0.25">
      <c r="A576" s="180" t="s">
        <v>6282</v>
      </c>
      <c r="B576" s="170" t="s">
        <v>2078</v>
      </c>
      <c r="C576" s="16" t="s">
        <v>2078</v>
      </c>
      <c r="D576" s="6" t="s">
        <v>4791</v>
      </c>
      <c r="E576" s="337" t="s">
        <v>328</v>
      </c>
      <c r="F576" s="12">
        <v>2</v>
      </c>
      <c r="G576" s="193">
        <f t="shared" si="13"/>
        <v>15</v>
      </c>
      <c r="H576" s="129" t="s">
        <v>4322</v>
      </c>
      <c r="I576" s="129" t="s">
        <v>3916</v>
      </c>
      <c r="J576" s="162" t="s">
        <v>6283</v>
      </c>
      <c r="K576" s="129" t="s">
        <v>4949</v>
      </c>
      <c r="L576" s="162" t="s">
        <v>6192</v>
      </c>
      <c r="M576" s="12">
        <v>190</v>
      </c>
      <c r="N576" s="159" t="s">
        <v>6284</v>
      </c>
    </row>
    <row r="577" spans="1:14" ht="23.4" customHeight="1" x14ac:dyDescent="0.25">
      <c r="A577" s="180" t="s">
        <v>1691</v>
      </c>
      <c r="B577" s="170" t="s">
        <v>2078</v>
      </c>
      <c r="C577" s="16" t="s">
        <v>2078</v>
      </c>
      <c r="D577" s="6" t="s">
        <v>4791</v>
      </c>
      <c r="E577" s="337" t="s">
        <v>328</v>
      </c>
      <c r="F577" s="12">
        <v>2</v>
      </c>
      <c r="G577" s="192">
        <f t="shared" si="13"/>
        <v>15</v>
      </c>
      <c r="H577" s="129" t="s">
        <v>3887</v>
      </c>
      <c r="I577" s="129" t="s">
        <v>3916</v>
      </c>
      <c r="J577" s="162" t="s">
        <v>3912</v>
      </c>
      <c r="K577" s="129" t="s">
        <v>3931</v>
      </c>
      <c r="L577" s="162" t="s">
        <v>2076</v>
      </c>
      <c r="M577" s="12">
        <v>53</v>
      </c>
      <c r="N577" s="159" t="s">
        <v>9022</v>
      </c>
    </row>
    <row r="578" spans="1:14" ht="23.4" customHeight="1" x14ac:dyDescent="0.25">
      <c r="A578" s="180" t="s">
        <v>1623</v>
      </c>
      <c r="B578" s="170" t="s">
        <v>2078</v>
      </c>
      <c r="C578" s="16" t="s">
        <v>2078</v>
      </c>
      <c r="D578" s="6" t="s">
        <v>4791</v>
      </c>
      <c r="E578" s="337" t="s">
        <v>328</v>
      </c>
      <c r="F578" s="12">
        <v>2</v>
      </c>
      <c r="G578" s="192">
        <f t="shared" si="13"/>
        <v>15</v>
      </c>
      <c r="H578" s="129" t="s">
        <v>3933</v>
      </c>
      <c r="I578" s="129" t="s">
        <v>4709</v>
      </c>
      <c r="J578" s="162" t="s">
        <v>3934</v>
      </c>
      <c r="K578" s="129" t="s">
        <v>3935</v>
      </c>
      <c r="L578" s="162" t="s">
        <v>3</v>
      </c>
      <c r="M578" s="12">
        <v>194</v>
      </c>
      <c r="N578" s="159" t="s">
        <v>9023</v>
      </c>
    </row>
    <row r="579" spans="1:14" ht="23.4" customHeight="1" x14ac:dyDescent="0.25">
      <c r="A579" s="180" t="s">
        <v>1624</v>
      </c>
      <c r="B579" s="170" t="s">
        <v>2078</v>
      </c>
      <c r="C579" s="16" t="s">
        <v>2078</v>
      </c>
      <c r="D579" s="6" t="s">
        <v>4791</v>
      </c>
      <c r="E579" s="337" t="s">
        <v>328</v>
      </c>
      <c r="F579" s="12">
        <v>2</v>
      </c>
      <c r="G579" s="192">
        <f t="shared" si="13"/>
        <v>15</v>
      </c>
      <c r="H579" s="129" t="s">
        <v>3925</v>
      </c>
      <c r="I579" s="129" t="s">
        <v>4717</v>
      </c>
      <c r="J579" s="162" t="s">
        <v>3900</v>
      </c>
      <c r="K579" s="129" t="s">
        <v>4189</v>
      </c>
      <c r="L579" s="162" t="s">
        <v>3</v>
      </c>
      <c r="M579" s="12">
        <v>194</v>
      </c>
      <c r="N579" s="159" t="s">
        <v>4190</v>
      </c>
    </row>
    <row r="580" spans="1:14" ht="23.4" customHeight="1" x14ac:dyDescent="0.25">
      <c r="A580" s="180" t="s">
        <v>1622</v>
      </c>
      <c r="B580" s="170" t="s">
        <v>2078</v>
      </c>
      <c r="C580" s="16" t="s">
        <v>2078</v>
      </c>
      <c r="D580" s="6" t="s">
        <v>4791</v>
      </c>
      <c r="E580" s="337" t="s">
        <v>328</v>
      </c>
      <c r="F580" s="12">
        <v>2</v>
      </c>
      <c r="G580" s="192">
        <f t="shared" si="13"/>
        <v>15</v>
      </c>
      <c r="H580" s="129" t="s">
        <v>3952</v>
      </c>
      <c r="I580" s="129" t="s">
        <v>4709</v>
      </c>
      <c r="J580" s="162" t="s">
        <v>3889</v>
      </c>
      <c r="K580" s="129" t="s">
        <v>1284</v>
      </c>
      <c r="L580" s="162" t="s">
        <v>3</v>
      </c>
      <c r="M580" s="12">
        <v>194</v>
      </c>
      <c r="N580" s="159" t="s">
        <v>4191</v>
      </c>
    </row>
    <row r="581" spans="1:14" ht="23.4" customHeight="1" x14ac:dyDescent="0.25">
      <c r="A581" s="180" t="s">
        <v>6285</v>
      </c>
      <c r="B581" s="170" t="s">
        <v>2078</v>
      </c>
      <c r="C581" s="16" t="s">
        <v>2078</v>
      </c>
      <c r="D581" s="6" t="s">
        <v>4791</v>
      </c>
      <c r="E581" s="337" t="s">
        <v>328</v>
      </c>
      <c r="F581" s="12">
        <v>2</v>
      </c>
      <c r="G581" s="193">
        <f t="shared" si="13"/>
        <v>15</v>
      </c>
      <c r="H581" s="129" t="s">
        <v>4322</v>
      </c>
      <c r="I581" s="129" t="s">
        <v>3888</v>
      </c>
      <c r="J581" s="162" t="s">
        <v>3934</v>
      </c>
      <c r="K581" s="129" t="s">
        <v>6287</v>
      </c>
      <c r="L581" s="162" t="s">
        <v>6192</v>
      </c>
      <c r="M581" s="12">
        <v>190</v>
      </c>
      <c r="N581" s="159" t="s">
        <v>9024</v>
      </c>
    </row>
    <row r="582" spans="1:14" ht="23.4" customHeight="1" x14ac:dyDescent="0.25">
      <c r="A582" s="180" t="s">
        <v>1625</v>
      </c>
      <c r="B582" s="170" t="s">
        <v>2078</v>
      </c>
      <c r="C582" s="16" t="s">
        <v>2078</v>
      </c>
      <c r="D582" s="6" t="s">
        <v>4791</v>
      </c>
      <c r="E582" s="337" t="s">
        <v>328</v>
      </c>
      <c r="F582" s="12">
        <v>2</v>
      </c>
      <c r="G582" s="192">
        <f t="shared" si="13"/>
        <v>15</v>
      </c>
      <c r="H582" s="129" t="s">
        <v>3887</v>
      </c>
      <c r="I582" s="129" t="s">
        <v>3916</v>
      </c>
      <c r="J582" s="162" t="s">
        <v>3879</v>
      </c>
      <c r="K582" s="129" t="s">
        <v>1284</v>
      </c>
      <c r="L582" s="162" t="s">
        <v>3</v>
      </c>
      <c r="M582" s="12">
        <v>195</v>
      </c>
      <c r="N582" s="159" t="s">
        <v>4192</v>
      </c>
    </row>
    <row r="583" spans="1:14" ht="23.4" customHeight="1" x14ac:dyDescent="0.25">
      <c r="A583" s="180" t="s">
        <v>6286</v>
      </c>
      <c r="B583" s="170" t="s">
        <v>2078</v>
      </c>
      <c r="C583" s="16" t="s">
        <v>2078</v>
      </c>
      <c r="D583" s="6" t="s">
        <v>4791</v>
      </c>
      <c r="E583" s="337" t="s">
        <v>328</v>
      </c>
      <c r="F583" s="12">
        <v>3</v>
      </c>
      <c r="G583" s="193">
        <f t="shared" si="13"/>
        <v>20</v>
      </c>
      <c r="H583" s="129" t="s">
        <v>4322</v>
      </c>
      <c r="I583" s="129" t="s">
        <v>3888</v>
      </c>
      <c r="J583" s="162" t="s">
        <v>3934</v>
      </c>
      <c r="K583" s="129" t="s">
        <v>6287</v>
      </c>
      <c r="L583" s="162" t="s">
        <v>6192</v>
      </c>
      <c r="M583" s="12">
        <v>190</v>
      </c>
      <c r="N583" s="159" t="s">
        <v>9025</v>
      </c>
    </row>
    <row r="584" spans="1:14" ht="23.4" customHeight="1" x14ac:dyDescent="0.25">
      <c r="A584" s="180" t="s">
        <v>1627</v>
      </c>
      <c r="B584" s="170" t="s">
        <v>2078</v>
      </c>
      <c r="C584" s="16" t="s">
        <v>2078</v>
      </c>
      <c r="D584" s="6" t="s">
        <v>4791</v>
      </c>
      <c r="E584" s="337" t="s">
        <v>328</v>
      </c>
      <c r="F584" s="12">
        <v>3</v>
      </c>
      <c r="G584" s="192">
        <f t="shared" si="13"/>
        <v>20</v>
      </c>
      <c r="H584" s="129" t="s">
        <v>3875</v>
      </c>
      <c r="I584" s="129" t="s">
        <v>4709</v>
      </c>
      <c r="J584" s="162" t="s">
        <v>3917</v>
      </c>
      <c r="K584" s="129" t="s">
        <v>3910</v>
      </c>
      <c r="L584" s="162" t="s">
        <v>3</v>
      </c>
      <c r="M584" s="12">
        <v>195</v>
      </c>
      <c r="N584" s="159" t="s">
        <v>9026</v>
      </c>
    </row>
    <row r="585" spans="1:14" ht="23.4" customHeight="1" x14ac:dyDescent="0.25">
      <c r="A585" s="180" t="s">
        <v>1626</v>
      </c>
      <c r="B585" s="170" t="s">
        <v>2078</v>
      </c>
      <c r="C585" s="16" t="s">
        <v>2078</v>
      </c>
      <c r="D585" s="6" t="s">
        <v>4791</v>
      </c>
      <c r="E585" s="337" t="s">
        <v>328</v>
      </c>
      <c r="F585" s="12">
        <v>3</v>
      </c>
      <c r="G585" s="192">
        <f t="shared" si="13"/>
        <v>20</v>
      </c>
      <c r="H585" s="129" t="s">
        <v>3933</v>
      </c>
      <c r="I585" s="129" t="s">
        <v>4709</v>
      </c>
      <c r="J585" s="162" t="s">
        <v>4154</v>
      </c>
      <c r="K585" s="129" t="s">
        <v>3922</v>
      </c>
      <c r="L585" s="162" t="s">
        <v>3</v>
      </c>
      <c r="M585" s="12">
        <v>195</v>
      </c>
      <c r="N585" s="159" t="s">
        <v>9027</v>
      </c>
    </row>
    <row r="586" spans="1:14" ht="23.4" customHeight="1" x14ac:dyDescent="0.25">
      <c r="A586" s="180" t="s">
        <v>1628</v>
      </c>
      <c r="B586" s="129" t="s">
        <v>102</v>
      </c>
      <c r="C586" s="16" t="s">
        <v>2078</v>
      </c>
      <c r="D586" s="6" t="s">
        <v>4791</v>
      </c>
      <c r="E586" s="337" t="s">
        <v>328</v>
      </c>
      <c r="F586" s="12">
        <v>3</v>
      </c>
      <c r="G586" s="192">
        <f t="shared" si="13"/>
        <v>20</v>
      </c>
      <c r="H586" s="129" t="s">
        <v>3887</v>
      </c>
      <c r="I586" s="129" t="s">
        <v>4712</v>
      </c>
      <c r="J586" s="162" t="s">
        <v>3900</v>
      </c>
      <c r="K586" s="129" t="s">
        <v>1284</v>
      </c>
      <c r="L586" s="162" t="s">
        <v>3</v>
      </c>
      <c r="M586" s="12">
        <v>195</v>
      </c>
      <c r="N586" s="159" t="s">
        <v>4193</v>
      </c>
    </row>
    <row r="587" spans="1:14" ht="23.4" customHeight="1" x14ac:dyDescent="0.25">
      <c r="A587" s="180" t="s">
        <v>1629</v>
      </c>
      <c r="B587" s="170" t="s">
        <v>2078</v>
      </c>
      <c r="C587" s="16" t="s">
        <v>2078</v>
      </c>
      <c r="D587" s="6" t="s">
        <v>4791</v>
      </c>
      <c r="E587" s="337" t="s">
        <v>328</v>
      </c>
      <c r="F587" s="12">
        <v>3</v>
      </c>
      <c r="G587" s="192">
        <f t="shared" si="13"/>
        <v>20</v>
      </c>
      <c r="H587" s="129" t="s">
        <v>3933</v>
      </c>
      <c r="I587" s="129" t="s">
        <v>4709</v>
      </c>
      <c r="J587" s="162" t="s">
        <v>3900</v>
      </c>
      <c r="K587" s="129" t="s">
        <v>4194</v>
      </c>
      <c r="L587" s="162" t="s">
        <v>3</v>
      </c>
      <c r="M587" s="12">
        <v>196</v>
      </c>
      <c r="N587" s="159" t="s">
        <v>9028</v>
      </c>
    </row>
    <row r="588" spans="1:14" ht="23.4" customHeight="1" x14ac:dyDescent="0.25">
      <c r="A588" s="180" t="s">
        <v>1630</v>
      </c>
      <c r="B588" s="170" t="s">
        <v>2078</v>
      </c>
      <c r="C588" s="16" t="s">
        <v>2078</v>
      </c>
      <c r="D588" s="6" t="s">
        <v>4791</v>
      </c>
      <c r="E588" s="337" t="s">
        <v>328</v>
      </c>
      <c r="F588" s="12">
        <v>3</v>
      </c>
      <c r="G588" s="192">
        <f t="shared" si="13"/>
        <v>20</v>
      </c>
      <c r="H588" s="129" t="s">
        <v>3887</v>
      </c>
      <c r="I588" s="129" t="s">
        <v>3916</v>
      </c>
      <c r="J588" s="162" t="s">
        <v>3970</v>
      </c>
      <c r="K588" s="129" t="s">
        <v>3931</v>
      </c>
      <c r="L588" s="162" t="s">
        <v>3</v>
      </c>
      <c r="M588" s="12">
        <v>196</v>
      </c>
      <c r="N588" s="159" t="str">
        <f>CONCATENATE("Vous pouvez choisir une compétence dans laquelle vous bénéficiez temporairement de ",Vide," rangs. Si vous possédez déjà des Rangs dans cette compétence, ce nouveau rang remplace l'ancien pour la durée du sort, les deux ne se cumulent pas.")</f>
        <v>Vous pouvez choisir une compétence dans laquelle vous bénéficiez temporairement de 2 rangs. Si vous possédez déjà des Rangs dans cette compétence, ce nouveau rang remplace l'ancien pour la durée du sort, les deux ne se cumulent pas.</v>
      </c>
    </row>
    <row r="589" spans="1:14" ht="23.4" customHeight="1" x14ac:dyDescent="0.25">
      <c r="A589" s="180" t="s">
        <v>1631</v>
      </c>
      <c r="B589" s="170" t="s">
        <v>7064</v>
      </c>
      <c r="C589" s="16" t="s">
        <v>2078</v>
      </c>
      <c r="D589" s="6" t="s">
        <v>4791</v>
      </c>
      <c r="E589" s="337" t="s">
        <v>328</v>
      </c>
      <c r="F589" s="12">
        <v>4</v>
      </c>
      <c r="G589" s="192">
        <f t="shared" si="13"/>
        <v>25</v>
      </c>
      <c r="H589" s="129" t="s">
        <v>3891</v>
      </c>
      <c r="I589" s="129" t="s">
        <v>4714</v>
      </c>
      <c r="J589" s="129" t="s">
        <v>4886</v>
      </c>
      <c r="K589" s="129" t="s">
        <v>4195</v>
      </c>
      <c r="L589" s="162" t="s">
        <v>3</v>
      </c>
      <c r="M589" s="12">
        <v>196</v>
      </c>
      <c r="N589" s="159" t="s">
        <v>9029</v>
      </c>
    </row>
    <row r="590" spans="1:14" ht="23.4" customHeight="1" x14ac:dyDescent="0.25">
      <c r="A590" s="180" t="s">
        <v>6288</v>
      </c>
      <c r="B590" s="170" t="s">
        <v>2078</v>
      </c>
      <c r="C590" s="16" t="s">
        <v>2078</v>
      </c>
      <c r="D590" s="6" t="s">
        <v>4791</v>
      </c>
      <c r="E590" s="337" t="s">
        <v>328</v>
      </c>
      <c r="F590" s="12">
        <v>4</v>
      </c>
      <c r="G590" s="193">
        <f t="shared" si="13"/>
        <v>25</v>
      </c>
      <c r="H590" s="129" t="s">
        <v>3925</v>
      </c>
      <c r="I590" s="129" t="s">
        <v>3885</v>
      </c>
      <c r="J590" s="162" t="s">
        <v>4154</v>
      </c>
      <c r="K590" s="129" t="s">
        <v>6289</v>
      </c>
      <c r="L590" s="162" t="s">
        <v>6192</v>
      </c>
      <c r="M590" s="12">
        <v>191</v>
      </c>
      <c r="N590" s="159" t="s">
        <v>6290</v>
      </c>
    </row>
    <row r="591" spans="1:14" ht="23.4" customHeight="1" x14ac:dyDescent="0.25">
      <c r="A591" s="180" t="s">
        <v>1752</v>
      </c>
      <c r="B591" s="170" t="s">
        <v>2078</v>
      </c>
      <c r="C591" s="16" t="s">
        <v>2078</v>
      </c>
      <c r="D591" s="6" t="s">
        <v>4791</v>
      </c>
      <c r="E591" s="337" t="s">
        <v>328</v>
      </c>
      <c r="F591" s="12">
        <v>4</v>
      </c>
      <c r="G591" s="192">
        <f t="shared" si="13"/>
        <v>25</v>
      </c>
      <c r="H591" s="129" t="s">
        <v>3926</v>
      </c>
      <c r="I591" s="129" t="s">
        <v>4262</v>
      </c>
      <c r="J591" s="162" t="s">
        <v>3900</v>
      </c>
      <c r="K591" s="129" t="s">
        <v>4248</v>
      </c>
      <c r="L591" s="162" t="s">
        <v>2080</v>
      </c>
      <c r="M591" s="12">
        <v>235</v>
      </c>
      <c r="N591" s="159" t="str">
        <f>CONCATENATE("Dépensez un Pvide pour invoquer une fléchette de vide pur qui touche immancablement sa cible et lui cause ",Vide,"g",Vide," dégats. Ces dégâts ignorent totalement l'Invulnérabilité et les Réductions de quelque source qu'elles proviennent.")</f>
        <v>Dépensez un Pvide pour invoquer une fléchette de vide pur qui touche immancablement sa cible et lui cause 2g2 dégats. Ces dégâts ignorent totalement l'Invulnérabilité et les Réductions de quelque source qu'elles proviennent.</v>
      </c>
    </row>
    <row r="592" spans="1:14" ht="23.4" customHeight="1" x14ac:dyDescent="0.25">
      <c r="A592" s="180" t="s">
        <v>1632</v>
      </c>
      <c r="B592" s="170" t="s">
        <v>2078</v>
      </c>
      <c r="C592" s="16" t="s">
        <v>2078</v>
      </c>
      <c r="D592" s="6" t="s">
        <v>4791</v>
      </c>
      <c r="E592" s="337" t="s">
        <v>328</v>
      </c>
      <c r="F592" s="12">
        <v>4</v>
      </c>
      <c r="G592" s="192">
        <f t="shared" si="13"/>
        <v>25</v>
      </c>
      <c r="H592" s="129" t="s">
        <v>4081</v>
      </c>
      <c r="I592" s="129" t="s">
        <v>4709</v>
      </c>
      <c r="J592" s="162" t="s">
        <v>3900</v>
      </c>
      <c r="K592" s="129" t="s">
        <v>4196</v>
      </c>
      <c r="L592" s="162" t="s">
        <v>3</v>
      </c>
      <c r="M592" s="12">
        <v>196</v>
      </c>
      <c r="N592" s="159" t="str">
        <f>CONCATENATE("L'enveloppe physique ne peut supporter le contact physique direct avec le Vide que jusqu'à un certain point, au-delà la chair peut être détruite par exposition. Ce sort inflige ",Vide,"g",Vide," dégats.")</f>
        <v>L'enveloppe physique ne peut supporter le contact physique direct avec le Vide que jusqu'à un certain point, au-delà la chair peut être détruite par exposition. Ce sort inflige 2g2 dégats.</v>
      </c>
    </row>
    <row r="593" spans="1:14" ht="23.4" customHeight="1" x14ac:dyDescent="0.25">
      <c r="A593" s="180" t="s">
        <v>1634</v>
      </c>
      <c r="B593" s="170" t="s">
        <v>2078</v>
      </c>
      <c r="C593" s="16" t="s">
        <v>2078</v>
      </c>
      <c r="D593" s="6" t="s">
        <v>4791</v>
      </c>
      <c r="E593" s="337" t="s">
        <v>328</v>
      </c>
      <c r="F593" s="12">
        <v>4</v>
      </c>
      <c r="G593" s="192">
        <f t="shared" si="13"/>
        <v>25</v>
      </c>
      <c r="H593" s="129" t="s">
        <v>3925</v>
      </c>
      <c r="I593" s="129" t="s">
        <v>4713</v>
      </c>
      <c r="J593" s="162" t="s">
        <v>3900</v>
      </c>
      <c r="K593" s="129" t="s">
        <v>4197</v>
      </c>
      <c r="L593" s="162" t="s">
        <v>3</v>
      </c>
      <c r="M593" s="12">
        <v>196</v>
      </c>
      <c r="N593" s="159" t="str">
        <f>CONCATENATE("Vous pouvez bannir un esprit n'appartenant pas à Nigen-Do pendant ",Vide," mois. Les esprits qui disposent d'un corps physique (comme les onis) ne peuvent êtres bannis de la sorte qu'en réussissant un jet d'oppostion de Volonté. Les esprits beaucoup plus puissants peuvent êtres immunisés à la discrétion du MJ")</f>
        <v>Vous pouvez bannir un esprit n'appartenant pas à Nigen-Do pendant 2 mois. Les esprits qui disposent d'un corps physique (comme les onis) ne peuvent êtres bannis de la sorte qu'en réussissant un jet d'oppostion de Volonté. Les esprits beaucoup plus puissants peuvent êtres immunisés à la discrétion du MJ</v>
      </c>
    </row>
    <row r="594" spans="1:14" ht="23.4" customHeight="1" x14ac:dyDescent="0.25">
      <c r="A594" s="180" t="s">
        <v>1633</v>
      </c>
      <c r="B594" s="170" t="s">
        <v>2078</v>
      </c>
      <c r="C594" s="16" t="s">
        <v>2078</v>
      </c>
      <c r="D594" s="6" t="s">
        <v>4791</v>
      </c>
      <c r="E594" s="337" t="s">
        <v>328</v>
      </c>
      <c r="F594" s="12">
        <v>4</v>
      </c>
      <c r="G594" s="192">
        <f t="shared" si="13"/>
        <v>25</v>
      </c>
      <c r="H594" s="129" t="s">
        <v>3891</v>
      </c>
      <c r="I594" s="129" t="s">
        <v>4709</v>
      </c>
      <c r="J594" s="162" t="s">
        <v>3900</v>
      </c>
      <c r="K594" s="129" t="s">
        <v>3886</v>
      </c>
      <c r="L594" s="162" t="s">
        <v>3</v>
      </c>
      <c r="M594" s="12">
        <v>196</v>
      </c>
      <c r="N594" s="159" t="s">
        <v>4198</v>
      </c>
    </row>
    <row r="595" spans="1:14" ht="23.4" customHeight="1" x14ac:dyDescent="0.25">
      <c r="A595" s="180" t="s">
        <v>4199</v>
      </c>
      <c r="B595" s="170" t="s">
        <v>2078</v>
      </c>
      <c r="C595" s="16" t="s">
        <v>2078</v>
      </c>
      <c r="D595" s="6" t="s">
        <v>4791</v>
      </c>
      <c r="E595" s="337" t="s">
        <v>328</v>
      </c>
      <c r="F595" s="12">
        <v>5</v>
      </c>
      <c r="G595" s="192">
        <f t="shared" si="13"/>
        <v>30</v>
      </c>
      <c r="H595" s="129" t="s">
        <v>3887</v>
      </c>
      <c r="I595" s="129" t="s">
        <v>3916</v>
      </c>
      <c r="J595" s="162" t="s">
        <v>3889</v>
      </c>
      <c r="K595" s="129" t="s">
        <v>3941</v>
      </c>
      <c r="L595" s="162" t="s">
        <v>3</v>
      </c>
      <c r="M595" s="12">
        <v>197</v>
      </c>
      <c r="N595" s="159" t="s">
        <v>9030</v>
      </c>
    </row>
    <row r="596" spans="1:14" ht="23.4" customHeight="1" x14ac:dyDescent="0.25">
      <c r="A596" s="180" t="s">
        <v>1636</v>
      </c>
      <c r="B596" s="170" t="s">
        <v>2078</v>
      </c>
      <c r="C596" s="16" t="s">
        <v>2078</v>
      </c>
      <c r="D596" s="6" t="s">
        <v>4791</v>
      </c>
      <c r="E596" s="337" t="s">
        <v>328</v>
      </c>
      <c r="F596" s="12">
        <v>5</v>
      </c>
      <c r="G596" s="192">
        <f t="shared" si="13"/>
        <v>30</v>
      </c>
      <c r="H596" s="129" t="s">
        <v>3933</v>
      </c>
      <c r="I596" s="129" t="s">
        <v>4709</v>
      </c>
      <c r="J596" s="162" t="s">
        <v>3893</v>
      </c>
      <c r="K596" s="129" t="s">
        <v>4200</v>
      </c>
      <c r="L596" s="162" t="s">
        <v>3</v>
      </c>
      <c r="M596" s="12">
        <v>196</v>
      </c>
      <c r="N596" s="159" t="s">
        <v>9031</v>
      </c>
    </row>
    <row r="597" spans="1:14" ht="23.4" customHeight="1" x14ac:dyDescent="0.25">
      <c r="A597" s="180" t="s">
        <v>1635</v>
      </c>
      <c r="B597" s="170" t="s">
        <v>2078</v>
      </c>
      <c r="C597" s="16" t="s">
        <v>2078</v>
      </c>
      <c r="D597" s="6" t="s">
        <v>4791</v>
      </c>
      <c r="E597" s="337" t="s">
        <v>328</v>
      </c>
      <c r="F597" s="12">
        <v>5</v>
      </c>
      <c r="G597" s="192">
        <f t="shared" si="13"/>
        <v>30</v>
      </c>
      <c r="H597" s="129" t="s">
        <v>3891</v>
      </c>
      <c r="I597" s="129" t="s">
        <v>4712</v>
      </c>
      <c r="J597" s="162" t="s">
        <v>3951</v>
      </c>
      <c r="K597" s="129" t="s">
        <v>1284</v>
      </c>
      <c r="L597" s="162" t="s">
        <v>3</v>
      </c>
      <c r="M597" s="12">
        <v>197</v>
      </c>
      <c r="N597" s="159" t="s">
        <v>4201</v>
      </c>
    </row>
    <row r="598" spans="1:14" ht="23.4" customHeight="1" x14ac:dyDescent="0.25">
      <c r="A598" s="180" t="s">
        <v>1637</v>
      </c>
      <c r="B598" s="170" t="s">
        <v>2078</v>
      </c>
      <c r="C598" s="16" t="s">
        <v>2078</v>
      </c>
      <c r="D598" s="6" t="s">
        <v>4791</v>
      </c>
      <c r="E598" s="337" t="s">
        <v>328</v>
      </c>
      <c r="F598" s="12">
        <v>6</v>
      </c>
      <c r="G598" s="192">
        <f t="shared" si="13"/>
        <v>35</v>
      </c>
      <c r="H598" s="129" t="s">
        <v>3887</v>
      </c>
      <c r="I598" s="129" t="s">
        <v>3916</v>
      </c>
      <c r="J598" s="162" t="s">
        <v>4154</v>
      </c>
      <c r="K598" s="129" t="s">
        <v>4202</v>
      </c>
      <c r="L598" s="162" t="s">
        <v>3</v>
      </c>
      <c r="M598" s="12">
        <v>197</v>
      </c>
      <c r="N598" s="159" t="s">
        <v>4203</v>
      </c>
    </row>
    <row r="599" spans="1:14" ht="23.4" customHeight="1" x14ac:dyDescent="0.25">
      <c r="A599" s="180" t="s">
        <v>1639</v>
      </c>
      <c r="B599" s="170" t="s">
        <v>2078</v>
      </c>
      <c r="C599" s="16" t="s">
        <v>2078</v>
      </c>
      <c r="D599" s="6" t="s">
        <v>4791</v>
      </c>
      <c r="E599" s="337" t="s">
        <v>328</v>
      </c>
      <c r="F599" s="12">
        <v>6</v>
      </c>
      <c r="G599" s="192">
        <f t="shared" si="13"/>
        <v>35</v>
      </c>
      <c r="H599" s="129" t="s">
        <v>3925</v>
      </c>
      <c r="I599" s="129" t="s">
        <v>4204</v>
      </c>
      <c r="J599" s="162" t="s">
        <v>3900</v>
      </c>
      <c r="K599" s="129" t="s">
        <v>3886</v>
      </c>
      <c r="L599" s="162" t="s">
        <v>3</v>
      </c>
      <c r="M599" s="12">
        <v>197</v>
      </c>
      <c r="N599" s="159" t="s">
        <v>9032</v>
      </c>
    </row>
    <row r="600" spans="1:14" ht="23.4" customHeight="1" x14ac:dyDescent="0.25">
      <c r="A600" s="180" t="s">
        <v>6232</v>
      </c>
      <c r="B600" s="129" t="s">
        <v>15</v>
      </c>
      <c r="C600" s="16" t="s">
        <v>2078</v>
      </c>
      <c r="D600" s="6" t="s">
        <v>4791</v>
      </c>
      <c r="E600" s="337" t="s">
        <v>328</v>
      </c>
      <c r="F600" s="12">
        <v>6</v>
      </c>
      <c r="G600" s="193">
        <f t="shared" si="13"/>
        <v>35</v>
      </c>
      <c r="H600" s="129" t="s">
        <v>3887</v>
      </c>
      <c r="I600" s="129" t="s">
        <v>3916</v>
      </c>
      <c r="J600" s="162" t="s">
        <v>3893</v>
      </c>
      <c r="K600" s="129" t="s">
        <v>1284</v>
      </c>
      <c r="L600" s="162" t="s">
        <v>6192</v>
      </c>
      <c r="M600" s="12">
        <v>185</v>
      </c>
      <c r="N600" s="158" t="s">
        <v>9033</v>
      </c>
    </row>
    <row r="601" spans="1:14" ht="23.4" customHeight="1" x14ac:dyDescent="0.25">
      <c r="A601" s="180" t="s">
        <v>6233</v>
      </c>
      <c r="B601" s="129" t="s">
        <v>15</v>
      </c>
      <c r="C601" s="16" t="s">
        <v>2078</v>
      </c>
      <c r="D601" s="6" t="s">
        <v>4791</v>
      </c>
      <c r="E601" s="337" t="s">
        <v>328</v>
      </c>
      <c r="F601" s="12">
        <v>6</v>
      </c>
      <c r="G601" s="193">
        <f t="shared" ref="G601:G603" si="14">IF(OR(D601="Kiho",D601="Kata"),"---",5+F601*5)</f>
        <v>35</v>
      </c>
      <c r="H601" s="129" t="s">
        <v>3887</v>
      </c>
      <c r="I601" s="129" t="s">
        <v>3916</v>
      </c>
      <c r="J601" s="162" t="s">
        <v>3893</v>
      </c>
      <c r="K601" s="129" t="s">
        <v>1284</v>
      </c>
      <c r="L601" s="162" t="s">
        <v>6192</v>
      </c>
      <c r="M601" s="12">
        <v>185</v>
      </c>
      <c r="N601" s="159" t="s">
        <v>9034</v>
      </c>
    </row>
    <row r="602" spans="1:14" ht="23.4" customHeight="1" x14ac:dyDescent="0.25">
      <c r="A602" s="180" t="s">
        <v>6291</v>
      </c>
      <c r="B602" s="129" t="s">
        <v>15</v>
      </c>
      <c r="C602" s="16" t="s">
        <v>2078</v>
      </c>
      <c r="D602" s="6" t="s">
        <v>4791</v>
      </c>
      <c r="E602" s="337" t="s">
        <v>328</v>
      </c>
      <c r="F602" s="12">
        <v>6</v>
      </c>
      <c r="G602" s="193">
        <f t="shared" si="14"/>
        <v>35</v>
      </c>
      <c r="H602" s="129" t="s">
        <v>3887</v>
      </c>
      <c r="I602" s="129" t="s">
        <v>3916</v>
      </c>
      <c r="J602" s="162" t="s">
        <v>4077</v>
      </c>
      <c r="K602" s="129" t="s">
        <v>1284</v>
      </c>
      <c r="L602" s="162" t="s">
        <v>6192</v>
      </c>
      <c r="M602" s="12">
        <v>185</v>
      </c>
      <c r="N602" s="159" t="str">
        <f>CONCATENATE("Vous dégagez une aura qui déclenche un effet de Peur 5 (Peur 10 contre l'Ombre Rampante) contre tous ceux qui vous voient. Vous gagnez ",Vide," Pvides et vos attaques sont considérées comme de Cristal contre toutes les créatures de l'Ombre tant que dure le sort.")</f>
        <v>Vous dégagez une aura qui déclenche un effet de Peur 5 (Peur 10 contre l'Ombre Rampante) contre tous ceux qui vous voient. Vous gagnez 2 Pvides et vos attaques sont considérées comme de Cristal contre toutes les créatures de l'Ombre tant que dure le sort.</v>
      </c>
    </row>
    <row r="603" spans="1:14" ht="23.4" customHeight="1" x14ac:dyDescent="0.25">
      <c r="A603" s="180" t="s">
        <v>1638</v>
      </c>
      <c r="B603" s="170" t="s">
        <v>7064</v>
      </c>
      <c r="C603" s="16" t="s">
        <v>2078</v>
      </c>
      <c r="D603" s="6" t="s">
        <v>4791</v>
      </c>
      <c r="E603" s="337" t="s">
        <v>328</v>
      </c>
      <c r="F603" s="12">
        <v>6</v>
      </c>
      <c r="G603" s="192">
        <f t="shared" si="14"/>
        <v>35</v>
      </c>
      <c r="H603" s="129" t="s">
        <v>3891</v>
      </c>
      <c r="I603" s="129" t="s">
        <v>4709</v>
      </c>
      <c r="J603" s="162" t="s">
        <v>3900</v>
      </c>
      <c r="K603" s="129" t="s">
        <v>4205</v>
      </c>
      <c r="L603" s="162" t="s">
        <v>3</v>
      </c>
      <c r="M603" s="12">
        <v>197</v>
      </c>
      <c r="N603" s="159" t="s">
        <v>9035</v>
      </c>
    </row>
  </sheetData>
  <sheetProtection selectLockedCells="1" selectUnlockedCells="1"/>
  <sortState xmlns:xlrd2="http://schemas.microsoft.com/office/spreadsheetml/2017/richdata2" ref="A2:O603">
    <sortCondition ref="D2:D603"/>
    <sortCondition ref="E2:E603"/>
    <sortCondition ref="F2:F603"/>
    <sortCondition ref="A2:A603"/>
  </sortState>
  <pageMargins left="0.78740157480314965" right="0.78740157480314965" top="1.0236220472440944" bottom="1.0236220472440944" header="0.78740157480314965" footer="0.78740157480314965"/>
  <pageSetup firstPageNumber="0" orientation="landscape" horizontalDpi="300" verticalDpi="300" r:id="rId1"/>
  <headerFooter alignWithMargins="0">
    <oddHeader>&amp;C&amp;A</oddHeader>
    <oddFooter>&amp;CPage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63"/>
  <sheetViews>
    <sheetView zoomScale="130" zoomScaleNormal="130" workbookViewId="0"/>
  </sheetViews>
  <sheetFormatPr baseColWidth="10" defaultRowHeight="13.2" x14ac:dyDescent="0.25"/>
  <cols>
    <col min="1" max="1" width="22.109375" style="5" customWidth="1"/>
    <col min="2" max="2" width="77" style="196" customWidth="1"/>
    <col min="3" max="3" width="8" style="258" customWidth="1"/>
    <col min="4" max="4" width="7" style="196" customWidth="1"/>
    <col min="5" max="5" width="5.6640625" style="196" customWidth="1"/>
  </cols>
  <sheetData>
    <row r="1" spans="1:6" s="10" customFormat="1" x14ac:dyDescent="0.25">
      <c r="A1" s="375" t="s">
        <v>379</v>
      </c>
      <c r="B1" s="25" t="s">
        <v>3415</v>
      </c>
      <c r="C1" s="375" t="s">
        <v>57</v>
      </c>
      <c r="D1" s="375" t="s">
        <v>0</v>
      </c>
      <c r="E1" s="375" t="s">
        <v>1</v>
      </c>
      <c r="F1" s="25"/>
    </row>
    <row r="2" spans="1:6" ht="16.2" customHeight="1" x14ac:dyDescent="0.25">
      <c r="A2" s="5" t="s">
        <v>5603</v>
      </c>
      <c r="B2" s="159" t="s">
        <v>9036</v>
      </c>
      <c r="C2" s="5" t="s">
        <v>5617</v>
      </c>
      <c r="D2" s="5" t="s">
        <v>3</v>
      </c>
      <c r="E2" s="5">
        <v>279</v>
      </c>
    </row>
    <row r="3" spans="1:6" ht="16.2" customHeight="1" x14ac:dyDescent="0.25">
      <c r="A3" s="5" t="s">
        <v>5643</v>
      </c>
      <c r="B3" s="159" t="str">
        <f>CONCATENATE("De grandes ailes ont poussé qui vous permettent de voler. Elles peuvent être repliées et dissimulées avec une jet de Comédie/Intuition contre un ND de 25 en AS. Lorsqu'elle sont dépliées elles vous permettent de voler d'une vitesse égale à ",Eau +2)</f>
        <v>De grandes ailes ont poussé qui vous permettent de voler. Elles peuvent être repliées et dissimulées avec une jet de Comédie/Intuition contre un ND de 25 en AS. Lorsqu'elle sont dépliées elles vous permettent de voler d'une vitesse égale à 4</v>
      </c>
      <c r="C3" s="133" t="s">
        <v>5618</v>
      </c>
      <c r="D3" s="5" t="s">
        <v>2075</v>
      </c>
      <c r="E3" s="5">
        <v>60</v>
      </c>
    </row>
    <row r="4" spans="1:6" ht="16.2" customHeight="1" x14ac:dyDescent="0.25">
      <c r="A4" s="5" t="s">
        <v>5644</v>
      </c>
      <c r="B4" s="159" t="s">
        <v>5693</v>
      </c>
      <c r="C4" s="133" t="s">
        <v>5618</v>
      </c>
      <c r="D4" s="5" t="s">
        <v>2075</v>
      </c>
      <c r="E4" s="5">
        <v>60</v>
      </c>
    </row>
    <row r="5" spans="1:6" ht="16.2" customHeight="1" x14ac:dyDescent="0.25">
      <c r="A5" s="5" t="s">
        <v>5649</v>
      </c>
      <c r="B5" s="159" t="s">
        <v>9037</v>
      </c>
      <c r="C5" s="5" t="s">
        <v>5642</v>
      </c>
      <c r="D5" s="5" t="s">
        <v>2075</v>
      </c>
      <c r="E5" s="5">
        <v>61</v>
      </c>
    </row>
    <row r="6" spans="1:6" ht="16.2" customHeight="1" x14ac:dyDescent="0.25">
      <c r="A6" s="5" t="s">
        <v>5657</v>
      </c>
      <c r="B6" s="159" t="str">
        <f>CONCATENATE("Un akutenshi se déplace à une vitesse inhumaine et surnaturelle au point qu'il semble se téléporter ou tomber d'un point à un autre. Vous pouvez vous déplacer d'une vitesse allant de votre  en ActG à ",Eau*50,"en AS.")</f>
        <v>Un akutenshi se déplace à une vitesse inhumaine et surnaturelle au point qu'il semble se téléporter ou tomber d'un point à un autre. Vous pouvez vous déplacer d'une vitesse allant de votre  en ActG à 100en AS.</v>
      </c>
      <c r="C6" s="5" t="s">
        <v>5656</v>
      </c>
      <c r="D6" s="5" t="s">
        <v>2075</v>
      </c>
      <c r="E6" s="5">
        <v>62</v>
      </c>
    </row>
    <row r="7" spans="1:6" ht="16.2" customHeight="1" x14ac:dyDescent="0.25">
      <c r="A7" s="5" t="s">
        <v>5650</v>
      </c>
      <c r="B7" s="159" t="s">
        <v>5700</v>
      </c>
      <c r="C7" s="5" t="s">
        <v>5642</v>
      </c>
      <c r="D7" s="5" t="s">
        <v>2075</v>
      </c>
      <c r="E7" s="5">
        <v>61</v>
      </c>
    </row>
    <row r="8" spans="1:6" ht="16.2" customHeight="1" x14ac:dyDescent="0.25">
      <c r="A8" s="5" t="s">
        <v>5619</v>
      </c>
      <c r="B8" s="159" t="s">
        <v>9038</v>
      </c>
      <c r="C8" s="133" t="s">
        <v>5618</v>
      </c>
      <c r="D8" s="5" t="s">
        <v>3</v>
      </c>
      <c r="E8" s="5">
        <v>280</v>
      </c>
    </row>
    <row r="9" spans="1:6" ht="16.2" customHeight="1" x14ac:dyDescent="0.25">
      <c r="A9" s="5" t="s">
        <v>5658</v>
      </c>
      <c r="B9" s="159" t="str">
        <f>CONCATENATE("Vous pouvez employer votre volonté contre les créatures de l'Outremonde à faire ce que vous désirez sans faire de jet. Cela ne fonctionne pas contre les Damnés ayant une Volonté supérieure à ",Volonté," ni contre les humains Souillés non-Damnés, ni les Seigneurs Oni ou les autres akutenshi.")</f>
        <v>Vous pouvez employer votre volonté contre les créatures de l'Outremonde à faire ce que vous désirez sans faire de jet. Cela ne fonctionne pas contre les Damnés ayant une Volonté supérieure à 2 ni contre les humains Souillés non-Damnés, ni les Seigneurs Oni ou les autres akutenshi.</v>
      </c>
      <c r="C9" s="5" t="s">
        <v>5656</v>
      </c>
      <c r="D9" s="5" t="s">
        <v>2075</v>
      </c>
      <c r="E9" s="5">
        <v>62</v>
      </c>
    </row>
    <row r="10" spans="1:6" ht="16.2" customHeight="1" x14ac:dyDescent="0.25">
      <c r="A10" s="5" t="s">
        <v>5631</v>
      </c>
      <c r="B10" s="159" t="s">
        <v>9039</v>
      </c>
      <c r="C10" s="5" t="s">
        <v>5642</v>
      </c>
      <c r="D10" s="5" t="s">
        <v>3</v>
      </c>
      <c r="E10" s="5">
        <v>281</v>
      </c>
    </row>
    <row r="11" spans="1:6" ht="16.2" customHeight="1" x14ac:dyDescent="0.25">
      <c r="A11" s="5" t="s">
        <v>5632</v>
      </c>
      <c r="B11" s="159" t="s">
        <v>9040</v>
      </c>
      <c r="C11" s="5" t="s">
        <v>5642</v>
      </c>
      <c r="D11" s="5" t="s">
        <v>3</v>
      </c>
      <c r="E11" s="5">
        <v>281</v>
      </c>
    </row>
    <row r="12" spans="1:6" ht="16.2" customHeight="1" x14ac:dyDescent="0.25">
      <c r="A12" s="5" t="s">
        <v>5620</v>
      </c>
      <c r="B12" s="159" t="s">
        <v>5684</v>
      </c>
      <c r="C12" s="133" t="s">
        <v>5618</v>
      </c>
      <c r="D12" s="5" t="s">
        <v>3</v>
      </c>
      <c r="E12" s="5">
        <v>280</v>
      </c>
    </row>
    <row r="13" spans="1:6" ht="16.2" customHeight="1" x14ac:dyDescent="0.25">
      <c r="A13" s="5" t="s">
        <v>5659</v>
      </c>
      <c r="B13" s="159" t="s">
        <v>5702</v>
      </c>
      <c r="C13" s="5" t="s">
        <v>5656</v>
      </c>
      <c r="D13" s="5" t="s">
        <v>2075</v>
      </c>
      <c r="E13" s="5">
        <v>62</v>
      </c>
    </row>
    <row r="14" spans="1:6" ht="16.2" customHeight="1" x14ac:dyDescent="0.25">
      <c r="A14" s="5" t="s">
        <v>5645</v>
      </c>
      <c r="B14" s="159" t="s">
        <v>5694</v>
      </c>
      <c r="C14" s="133" t="s">
        <v>5618</v>
      </c>
      <c r="D14" s="5" t="s">
        <v>2075</v>
      </c>
      <c r="E14" s="5">
        <v>60</v>
      </c>
    </row>
    <row r="15" spans="1:6" ht="16.2" customHeight="1" x14ac:dyDescent="0.25">
      <c r="A15" s="5" t="s">
        <v>5660</v>
      </c>
      <c r="B15" s="159" t="str">
        <f>CONCATENATE("En AS, contre ",Souillure," adversaires capables de vous voir, vous pouvez vous soustraire à leur vision. A la place ils voienle néant au sein duquel ils contemplent leur propre mort. Test d'opposition de Souillure vs. Vide des cibles. Quiconque rate vieillit de 1d10 ans.")</f>
        <v>En AS, contre 0 adversaires capables de vous voir, vous pouvez vous soustraire à leur vision. A la place ils voienle néant au sein duquel ils contemplent leur propre mort. Test d'opposition de Souillure vs. Vide des cibles. Quiconque rate vieillit de 1d10 ans.</v>
      </c>
      <c r="C15" s="5" t="s">
        <v>5656</v>
      </c>
      <c r="D15" s="5" t="s">
        <v>2075</v>
      </c>
      <c r="E15" s="5">
        <v>62</v>
      </c>
    </row>
    <row r="16" spans="1:6" ht="16.2" customHeight="1" x14ac:dyDescent="0.25">
      <c r="A16" s="5" t="s">
        <v>5604</v>
      </c>
      <c r="B16" s="159" t="s">
        <v>5672</v>
      </c>
      <c r="C16" s="5" t="s">
        <v>5617</v>
      </c>
      <c r="D16" s="5" t="s">
        <v>3</v>
      </c>
      <c r="E16" s="5">
        <v>279</v>
      </c>
    </row>
    <row r="17" spans="1:5" ht="16.2" customHeight="1" x14ac:dyDescent="0.25">
      <c r="A17" s="5" t="s">
        <v>5651</v>
      </c>
      <c r="B17" s="159" t="s">
        <v>5697</v>
      </c>
      <c r="C17" s="5" t="s">
        <v>5642</v>
      </c>
      <c r="D17" s="5" t="s">
        <v>2075</v>
      </c>
      <c r="E17" s="5">
        <v>61</v>
      </c>
    </row>
    <row r="18" spans="1:5" ht="16.2" customHeight="1" x14ac:dyDescent="0.25">
      <c r="A18" s="5" t="s">
        <v>5605</v>
      </c>
      <c r="B18" s="159" t="s">
        <v>5673</v>
      </c>
      <c r="C18" s="5" t="s">
        <v>5617</v>
      </c>
      <c r="D18" s="5" t="s">
        <v>3</v>
      </c>
      <c r="E18" s="5">
        <v>279</v>
      </c>
    </row>
    <row r="19" spans="1:5" ht="16.2" customHeight="1" x14ac:dyDescent="0.25">
      <c r="A19" s="5" t="s">
        <v>5606</v>
      </c>
      <c r="B19" s="159" t="s">
        <v>5674</v>
      </c>
      <c r="C19" s="5" t="s">
        <v>5617</v>
      </c>
      <c r="D19" s="5" t="s">
        <v>3</v>
      </c>
      <c r="E19" s="5">
        <v>279</v>
      </c>
    </row>
    <row r="20" spans="1:5" ht="16.2" customHeight="1" x14ac:dyDescent="0.25">
      <c r="A20" s="5" t="s">
        <v>5633</v>
      </c>
      <c r="B20" s="159" t="str">
        <f>CONCATENATE("Votre sang véhicule votre Volonté et tte créature en ayant bu vous obéira. Jet d'opposition de Volonté contre votre cible pour la forcer à vous obéir pdt ",Souillure,"h. Si vous ratez le jet d'opp. , vs ne pouvez pas le refaire pdt une journée contre la même cible.")</f>
        <v>Votre sang véhicule votre Volonté et tte créature en ayant bu vous obéira. Jet d'opposition de Volonté contre votre cible pour la forcer à vous obéir pdt 0h. Si vous ratez le jet d'opp. , vs ne pouvez pas le refaire pdt une journée contre la même cible.</v>
      </c>
      <c r="C20" s="5" t="s">
        <v>5642</v>
      </c>
      <c r="D20" s="5" t="s">
        <v>3</v>
      </c>
      <c r="E20" s="5">
        <v>281</v>
      </c>
    </row>
    <row r="21" spans="1:5" ht="16.2" customHeight="1" x14ac:dyDescent="0.25">
      <c r="A21" s="5" t="s">
        <v>5652</v>
      </c>
      <c r="B21" s="159" t="s">
        <v>5698</v>
      </c>
      <c r="C21" s="5" t="s">
        <v>5642</v>
      </c>
      <c r="D21" s="5" t="s">
        <v>2075</v>
      </c>
      <c r="E21" s="5">
        <v>61</v>
      </c>
    </row>
    <row r="22" spans="1:5" ht="16.2" customHeight="1" x14ac:dyDescent="0.25">
      <c r="A22" s="5" t="s">
        <v>5634</v>
      </c>
      <c r="B22" s="159" t="s">
        <v>9041</v>
      </c>
      <c r="C22" s="5" t="s">
        <v>5642</v>
      </c>
      <c r="D22" s="5" t="s">
        <v>3</v>
      </c>
      <c r="E22" s="5">
        <v>281</v>
      </c>
    </row>
    <row r="23" spans="1:5" ht="16.2" customHeight="1" x14ac:dyDescent="0.25">
      <c r="A23" s="5" t="s">
        <v>5621</v>
      </c>
      <c r="B23" s="159" t="s">
        <v>9042</v>
      </c>
      <c r="C23" s="133" t="s">
        <v>5618</v>
      </c>
      <c r="D23" s="5" t="s">
        <v>3</v>
      </c>
      <c r="E23" s="5">
        <v>280</v>
      </c>
    </row>
    <row r="24" spans="1:5" ht="16.2" customHeight="1" x14ac:dyDescent="0.25">
      <c r="A24" s="5" t="s">
        <v>5622</v>
      </c>
      <c r="B24" s="159" t="str">
        <f>CONCATENATE("Vous pouvez étreindre la Souillure pour augmenter vos jets liés à des Traits Mentaux comme vous le faites pour vos Traits Physiques. Si vous rejoignez les Damnés, vous pouvez ajouter ",Souillure," au total des jets faits avec des Traits Mentaux ou Physiques.")</f>
        <v>Vous pouvez étreindre la Souillure pour augmenter vos jets liés à des Traits Mentaux comme vous le faites pour vos Traits Physiques. Si vous rejoignez les Damnés, vous pouvez ajouter 0 au total des jets faits avec des Traits Mentaux ou Physiques.</v>
      </c>
      <c r="C24" s="133" t="s">
        <v>5618</v>
      </c>
      <c r="D24" s="5" t="s">
        <v>3</v>
      </c>
      <c r="E24" s="5">
        <v>280</v>
      </c>
    </row>
    <row r="25" spans="1:5" ht="16.2" customHeight="1" x14ac:dyDescent="0.25">
      <c r="A25" s="5" t="s">
        <v>9043</v>
      </c>
      <c r="B25" s="159" t="str">
        <f>CONCATENATE("Si vous restez en contact physique avec une autre créature pdt. au moins 1 min. vous pouvez faire un jet d'Opposition de Volonté. Si vous le remportez, la victime gagne ",Souillure," pts de Souillure. En cas d'échec il ne se passe rien, la victime est mal à l'aise.")</f>
        <v>Si vous restez en contact physique avec une autre créature pdt. au moins 1 min. vous pouvez faire un jet d'Opposition de Volonté. Si vous le remportez, la victime gagne 0 pts de Souillure. En cas d'échec il ne se passe rien, la victime est mal à l'aise.</v>
      </c>
      <c r="C25" s="5" t="s">
        <v>5642</v>
      </c>
      <c r="D25" s="5" t="s">
        <v>3</v>
      </c>
      <c r="E25" s="5">
        <v>281</v>
      </c>
    </row>
    <row r="26" spans="1:5" ht="16.2" customHeight="1" x14ac:dyDescent="0.25">
      <c r="A26" s="5" t="s">
        <v>5636</v>
      </c>
      <c r="B26" s="159" t="str">
        <f>CONCATENATE(Terre," fois par jour, vous pouvez subir ",Terre," blessures pour reproduir les effets de la dépense d'un PVide. Ce pouvoir ne permet pas de réduire les dommages mais n'importe quel effet de dépense de Pvide peut être dupliqué.")</f>
        <v>2 fois par jour, vous pouvez subir 2 blessures pour reproduir les effets de la dépense d'un PVide. Ce pouvoir ne permet pas de réduire les dommages mais n'importe quel effet de dépense de Pvide peut être dupliqué.</v>
      </c>
      <c r="C26" s="5" t="s">
        <v>5642</v>
      </c>
      <c r="D26" s="5" t="s">
        <v>3</v>
      </c>
      <c r="E26" s="5">
        <v>281</v>
      </c>
    </row>
    <row r="27" spans="1:5" ht="16.2" customHeight="1" x14ac:dyDescent="0.25">
      <c r="A27" s="5" t="s">
        <v>5653</v>
      </c>
      <c r="B27" s="159" t="s">
        <v>5699</v>
      </c>
      <c r="C27" s="5" t="s">
        <v>5642</v>
      </c>
      <c r="D27" s="5" t="s">
        <v>2075</v>
      </c>
      <c r="E27" s="5">
        <v>61</v>
      </c>
    </row>
    <row r="28" spans="1:5" ht="16.2" customHeight="1" x14ac:dyDescent="0.25">
      <c r="A28" s="5" t="s">
        <v>5637</v>
      </c>
      <c r="B28" s="159" t="s">
        <v>5690</v>
      </c>
      <c r="C28" s="5" t="s">
        <v>5642</v>
      </c>
      <c r="D28" s="5" t="s">
        <v>3</v>
      </c>
      <c r="E28" s="5">
        <v>281</v>
      </c>
    </row>
    <row r="29" spans="1:5" ht="16.2" customHeight="1" x14ac:dyDescent="0.25">
      <c r="A29" s="5" t="s">
        <v>5623</v>
      </c>
      <c r="B29" s="159" t="str">
        <f>CONCATENATE("Vous subissez un malus de -1g0 à vous Compétences Sociales de par votre apparence impressionante. En échange vous gagnez +",Souillure,"g0 aux Jets de Force, jets liés à la Force et jets de Dommages.")</f>
        <v>Vous subissez un malus de -1g0 à vous Compétences Sociales de par votre apparence impressionante. En échange vous gagnez +0g0 aux Jets de Force, jets liés à la Force et jets de Dommages.</v>
      </c>
      <c r="C29" s="133" t="s">
        <v>5618</v>
      </c>
      <c r="D29" s="5" t="s">
        <v>3</v>
      </c>
      <c r="E29" s="5">
        <v>280</v>
      </c>
    </row>
    <row r="30" spans="1:5" ht="16.2" customHeight="1" x14ac:dyDescent="0.25">
      <c r="A30" s="5" t="s">
        <v>5624</v>
      </c>
      <c r="B30" s="159" t="s">
        <v>5685</v>
      </c>
      <c r="C30" s="133" t="s">
        <v>5618</v>
      </c>
      <c r="D30" s="5" t="s">
        <v>3</v>
      </c>
      <c r="E30" s="5">
        <v>280</v>
      </c>
    </row>
    <row r="31" spans="1:5" ht="16.2" customHeight="1" x14ac:dyDescent="0.25">
      <c r="A31" s="5" t="s">
        <v>5675</v>
      </c>
      <c r="B31" s="159" t="s">
        <v>5676</v>
      </c>
      <c r="C31" s="5" t="s">
        <v>5617</v>
      </c>
      <c r="D31" s="5" t="s">
        <v>3</v>
      </c>
      <c r="E31" s="5">
        <v>279</v>
      </c>
    </row>
    <row r="32" spans="1:5" ht="16.2" customHeight="1" x14ac:dyDescent="0.25">
      <c r="A32" s="5" t="s">
        <v>5607</v>
      </c>
      <c r="B32" s="159" t="s">
        <v>9044</v>
      </c>
      <c r="C32" s="5" t="s">
        <v>5617</v>
      </c>
      <c r="D32" s="5" t="s">
        <v>3</v>
      </c>
      <c r="E32" s="5">
        <v>279</v>
      </c>
    </row>
    <row r="33" spans="1:5" ht="16.2" customHeight="1" x14ac:dyDescent="0.25">
      <c r="A33" s="5" t="s">
        <v>5628</v>
      </c>
      <c r="B33" s="159" t="s">
        <v>9045</v>
      </c>
      <c r="C33" s="133" t="s">
        <v>5618</v>
      </c>
      <c r="D33" s="5" t="s">
        <v>3</v>
      </c>
      <c r="E33" s="5">
        <v>280</v>
      </c>
    </row>
    <row r="34" spans="1:5" ht="16.2" customHeight="1" x14ac:dyDescent="0.25">
      <c r="A34" s="5" t="s">
        <v>5635</v>
      </c>
      <c r="B34" s="159" t="str">
        <f>CONCATENATE("Vous pouvez entreprendre une AS pour vous nourrir de la chair d'une personne ou créature morte ou incapable de vous résister (Epuisée, Hors Combat, Ligotée,…). Cela lui inflige 1g1 blessures (si elle vit encore) et vous soigne de ",Souillure*5," blessures.")</f>
        <v>Vous pouvez entreprendre une AS pour vous nourrir de la chair d'une personne ou créature morte ou incapable de vous résister (Epuisée, Hors Combat, Ligotée,…). Cela lui inflige 1g1 blessures (si elle vit encore) et vous soigne de 0 blessures.</v>
      </c>
      <c r="C34" s="5" t="s">
        <v>5642</v>
      </c>
      <c r="D34" s="5" t="s">
        <v>3</v>
      </c>
      <c r="E34" s="5">
        <v>281</v>
      </c>
    </row>
    <row r="35" spans="1:5" ht="16.2" customHeight="1" x14ac:dyDescent="0.25">
      <c r="A35" s="5" t="s">
        <v>5641</v>
      </c>
      <c r="B35" s="159" t="s">
        <v>5692</v>
      </c>
      <c r="C35" s="5" t="s">
        <v>5642</v>
      </c>
      <c r="D35" s="5" t="s">
        <v>3</v>
      </c>
      <c r="E35" s="5">
        <v>281</v>
      </c>
    </row>
    <row r="36" spans="1:5" ht="16.2" customHeight="1" x14ac:dyDescent="0.25">
      <c r="A36" s="5" t="s">
        <v>5646</v>
      </c>
      <c r="B36" s="159" t="s">
        <v>5695</v>
      </c>
      <c r="C36" s="133" t="s">
        <v>5618</v>
      </c>
      <c r="D36" s="5" t="s">
        <v>2075</v>
      </c>
      <c r="E36" s="5">
        <v>60</v>
      </c>
    </row>
    <row r="37" spans="1:5" ht="16.2" customHeight="1" x14ac:dyDescent="0.25">
      <c r="A37" s="5" t="s">
        <v>5626</v>
      </c>
      <c r="B37" s="159" t="str">
        <f>CONCATENATE("Vous pouvez lancer des sorts de maho pour une blessure de moins que la normale et la Souillure que vous gagnez en se faisant est réduite de ",IF(Terre&lt;1,1,Terre)," (min.1). Tous les autres sorts que vous lancez ont un malus de +10 au ND d'Incantation.")</f>
        <v>Vous pouvez lancer des sorts de maho pour une blessure de moins que la normale et la Souillure que vous gagnez en se faisant est réduite de 2 (min.1). Tous les autres sorts que vous lancez ont un malus de +10 au ND d'Incantation.</v>
      </c>
      <c r="C37" s="133" t="s">
        <v>5618</v>
      </c>
      <c r="D37" s="5" t="s">
        <v>3</v>
      </c>
      <c r="E37" s="5">
        <v>280</v>
      </c>
    </row>
    <row r="38" spans="1:5" ht="16.2" customHeight="1" x14ac:dyDescent="0.25">
      <c r="A38" s="5" t="s">
        <v>5625</v>
      </c>
      <c r="B38" s="159" t="str">
        <f>CONCATENATE("Vous gagnez +",Souillure,"g0 aux jets de Discrétion. Vous gagnez la Mutation Dépigmentation si vous ne l'avez pas déjà car votre épiderme prends une teinte très sombre.")</f>
        <v>Vous gagnez +0g0 aux jets de Discrétion. Vous gagnez la Mutation Dépigmentation si vous ne l'avez pas déjà car votre épiderme prends une teinte très sombre.</v>
      </c>
      <c r="C38" s="133" t="s">
        <v>5618</v>
      </c>
      <c r="D38" s="5" t="s">
        <v>3</v>
      </c>
      <c r="E38" s="5">
        <v>280</v>
      </c>
    </row>
    <row r="39" spans="1:5" ht="16.2" customHeight="1" x14ac:dyDescent="0.25">
      <c r="A39" s="5" t="s">
        <v>5661</v>
      </c>
      <c r="B39" s="159" t="s">
        <v>5703</v>
      </c>
      <c r="C39" s="5" t="s">
        <v>5656</v>
      </c>
      <c r="D39" s="5" t="s">
        <v>2075</v>
      </c>
      <c r="E39" s="5">
        <v>62</v>
      </c>
    </row>
    <row r="40" spans="1:5" ht="16.2" customHeight="1" x14ac:dyDescent="0.25">
      <c r="A40" s="5" t="s">
        <v>5609</v>
      </c>
      <c r="B40" s="159" t="s">
        <v>5677</v>
      </c>
      <c r="C40" s="5" t="s">
        <v>5617</v>
      </c>
      <c r="D40" s="5" t="s">
        <v>3</v>
      </c>
      <c r="E40" s="5">
        <v>280</v>
      </c>
    </row>
    <row r="41" spans="1:5" ht="16.2" customHeight="1" x14ac:dyDescent="0.25">
      <c r="A41" s="5" t="s">
        <v>5608</v>
      </c>
      <c r="B41" s="159" t="s">
        <v>9046</v>
      </c>
      <c r="C41" s="5" t="s">
        <v>5617</v>
      </c>
      <c r="D41" s="5" t="s">
        <v>3</v>
      </c>
      <c r="E41" s="5">
        <v>280</v>
      </c>
    </row>
    <row r="42" spans="1:5" ht="16.2" customHeight="1" x14ac:dyDescent="0.25">
      <c r="A42" s="5" t="s">
        <v>5662</v>
      </c>
      <c r="B42" s="159" t="s">
        <v>5704</v>
      </c>
      <c r="C42" s="5" t="s">
        <v>5656</v>
      </c>
      <c r="D42" s="5" t="s">
        <v>2075</v>
      </c>
      <c r="E42" s="5">
        <v>62</v>
      </c>
    </row>
    <row r="43" spans="1:5" ht="16.2" customHeight="1" x14ac:dyDescent="0.25">
      <c r="A43" s="5" t="s">
        <v>5610</v>
      </c>
      <c r="B43" s="159" t="s">
        <v>5678</v>
      </c>
      <c r="C43" s="5" t="s">
        <v>5617</v>
      </c>
      <c r="D43" s="5" t="s">
        <v>3</v>
      </c>
      <c r="E43" s="5">
        <v>280</v>
      </c>
    </row>
    <row r="44" spans="1:5" ht="16.2" customHeight="1" x14ac:dyDescent="0.25">
      <c r="A44" s="5" t="s">
        <v>5611</v>
      </c>
      <c r="B44" s="159" t="s">
        <v>5679</v>
      </c>
      <c r="C44" s="5" t="s">
        <v>5617</v>
      </c>
      <c r="D44" s="5" t="s">
        <v>3</v>
      </c>
      <c r="E44" s="5">
        <v>280</v>
      </c>
    </row>
    <row r="45" spans="1:5" ht="16.2" customHeight="1" x14ac:dyDescent="0.25">
      <c r="A45" s="5" t="s">
        <v>5612</v>
      </c>
      <c r="B45" s="159" t="s">
        <v>5680</v>
      </c>
      <c r="C45" s="5" t="s">
        <v>5617</v>
      </c>
      <c r="D45" s="5" t="s">
        <v>3</v>
      </c>
      <c r="E45" s="5">
        <v>280</v>
      </c>
    </row>
    <row r="46" spans="1:5" ht="16.2" customHeight="1" x14ac:dyDescent="0.25">
      <c r="A46" s="5" t="s">
        <v>5638</v>
      </c>
      <c r="B46" s="159" t="str">
        <f>CONCATENATE("Vous gagnez +",Souillure,"g0 aux jets de Tentation, d'Intimidation ou de Sincérité/Tromperie.")</f>
        <v>Vous gagnez +0g0 aux jets de Tentation, d'Intimidation ou de Sincérité/Tromperie.</v>
      </c>
      <c r="C46" s="5" t="s">
        <v>5642</v>
      </c>
      <c r="D46" s="5" t="s">
        <v>3</v>
      </c>
      <c r="E46" s="5">
        <v>281</v>
      </c>
    </row>
    <row r="47" spans="1:5" ht="16.2" customHeight="1" x14ac:dyDescent="0.25">
      <c r="A47" s="5" t="s">
        <v>5654</v>
      </c>
      <c r="B47" s="159" t="str">
        <f>CONCATENATE("En AS, ciblez un opposant se trouvant dans votre champ de vision: Jet d'Opposition de Volonté + ",Souillure," contre Volonté+ Rg. d'Honneur de la cible. Si vous réussissez, la cible doit utiliser son Trait le plus bas pour tous les tests de Compétence pdt les 10 prochains Rounds.")</f>
        <v>En AS, ciblez un opposant se trouvant dans votre champ de vision: Jet d'Opposition de Volonté + 0 contre Volonté+ Rg. d'Honneur de la cible. Si vous réussissez, la cible doit utiliser son Trait le plus bas pour tous les tests de Compétence pdt les 10 prochains Rounds.</v>
      </c>
      <c r="C47" s="5" t="s">
        <v>5642</v>
      </c>
      <c r="D47" s="5" t="s">
        <v>2075</v>
      </c>
      <c r="E47" s="5">
        <v>62</v>
      </c>
    </row>
    <row r="48" spans="1:5" ht="16.2" customHeight="1" x14ac:dyDescent="0.25">
      <c r="A48" s="5" t="s">
        <v>5647</v>
      </c>
      <c r="B48" s="159" t="s">
        <v>5708</v>
      </c>
      <c r="C48" s="133" t="s">
        <v>5618</v>
      </c>
      <c r="D48" s="5" t="s">
        <v>2075</v>
      </c>
      <c r="E48" s="5">
        <v>61</v>
      </c>
    </row>
    <row r="49" spans="1:5" ht="16.2" customHeight="1" x14ac:dyDescent="0.25">
      <c r="A49" s="5" t="s">
        <v>107</v>
      </c>
      <c r="B49" s="159" t="s">
        <v>5705</v>
      </c>
      <c r="C49" s="5" t="s">
        <v>5656</v>
      </c>
      <c r="D49" s="5" t="s">
        <v>2075</v>
      </c>
      <c r="E49" s="5">
        <v>62</v>
      </c>
    </row>
    <row r="50" spans="1:5" ht="16.2" customHeight="1" x14ac:dyDescent="0.25">
      <c r="A50" s="5" t="s">
        <v>5639</v>
      </c>
      <c r="B50" s="159" t="s">
        <v>5691</v>
      </c>
      <c r="C50" s="5" t="s">
        <v>5642</v>
      </c>
      <c r="D50" s="5" t="s">
        <v>3</v>
      </c>
      <c r="E50" s="5">
        <v>281</v>
      </c>
    </row>
    <row r="51" spans="1:5" ht="16.2" customHeight="1" x14ac:dyDescent="0.25">
      <c r="A51" s="5" t="s">
        <v>5613</v>
      </c>
      <c r="B51" s="159" t="s">
        <v>5681</v>
      </c>
      <c r="C51" s="5" t="s">
        <v>5617</v>
      </c>
      <c r="D51" s="5" t="s">
        <v>3</v>
      </c>
      <c r="E51" s="5">
        <v>280</v>
      </c>
    </row>
    <row r="52" spans="1:5" ht="16.2" customHeight="1" x14ac:dyDescent="0.25">
      <c r="A52" s="5" t="s">
        <v>5640</v>
      </c>
      <c r="B52" s="159" t="str">
        <f>CONCATENATE("A chaque Round, au début de votre tour, vous vouss soignez de ",Souillure," Blessures qui ne laissent aucune cicatrice derrière elles. Si les membres tranchés ne repoussent pas spontanément, ils se ressoudent si on les maintient en place qques min.")</f>
        <v>A chaque Round, au début de votre tour, vous vouss soignez de 0 Blessures qui ne laissent aucune cicatrice derrière elles. Si les membres tranchés ne repoussent pas spontanément, ils se ressoudent si on les maintient en place qques min.</v>
      </c>
      <c r="C52" s="5" t="s">
        <v>5642</v>
      </c>
      <c r="D52" s="5" t="s">
        <v>3</v>
      </c>
      <c r="E52" s="5">
        <v>281</v>
      </c>
    </row>
    <row r="53" spans="1:5" ht="16.2" customHeight="1" x14ac:dyDescent="0.25">
      <c r="A53" s="5" t="s">
        <v>5627</v>
      </c>
      <c r="B53" s="159" t="s">
        <v>5686</v>
      </c>
      <c r="C53" s="133" t="s">
        <v>5618</v>
      </c>
      <c r="D53" s="5" t="s">
        <v>3</v>
      </c>
      <c r="E53" s="5">
        <v>280</v>
      </c>
    </row>
    <row r="54" spans="1:5" ht="16.2" customHeight="1" x14ac:dyDescent="0.25">
      <c r="A54" s="5" t="s">
        <v>5648</v>
      </c>
      <c r="B54" s="159" t="s">
        <v>5696</v>
      </c>
      <c r="C54" s="133" t="s">
        <v>5618</v>
      </c>
      <c r="D54" s="5" t="s">
        <v>2075</v>
      </c>
      <c r="E54" s="5">
        <v>61</v>
      </c>
    </row>
    <row r="55" spans="1:5" ht="16.2" customHeight="1" x14ac:dyDescent="0.25">
      <c r="A55" s="5" t="s">
        <v>5614</v>
      </c>
      <c r="B55" s="159" t="s">
        <v>5682</v>
      </c>
      <c r="C55" s="5" t="s">
        <v>5617</v>
      </c>
      <c r="D55" s="5" t="s">
        <v>3</v>
      </c>
      <c r="E55" s="5">
        <v>280</v>
      </c>
    </row>
    <row r="56" spans="1:5" ht="16.2" customHeight="1" x14ac:dyDescent="0.25">
      <c r="A56" s="5" t="s">
        <v>5629</v>
      </c>
      <c r="B56" s="159" t="str">
        <f>CONCATENATE("Vous sentez la présence du jade, du cristal et de l'obsidienne dans un rayon de ",3*Terre,"m. Une magie de Dissimulation peut contrer ce sens. Vous ne pouvez pas détecter le Thé de pétales de Jade de cette façon")</f>
        <v>Vous sentez la présence du jade, du cristal et de l'obsidienne dans un rayon de 6m. Une magie de Dissimulation peut contrer ce sens. Vous ne pouvez pas détecter le Thé de pétales de Jade de cette façon</v>
      </c>
      <c r="C56" s="133" t="s">
        <v>5618</v>
      </c>
      <c r="D56" s="5" t="s">
        <v>3</v>
      </c>
      <c r="E56" s="5">
        <v>280</v>
      </c>
    </row>
    <row r="57" spans="1:5" ht="16.2" customHeight="1" x14ac:dyDescent="0.25">
      <c r="A57" s="5" t="s">
        <v>5663</v>
      </c>
      <c r="B57" s="159" t="s">
        <v>5706</v>
      </c>
      <c r="C57" s="5" t="s">
        <v>5656</v>
      </c>
      <c r="D57" s="5" t="s">
        <v>2075</v>
      </c>
      <c r="E57" s="5">
        <v>63</v>
      </c>
    </row>
    <row r="58" spans="1:5" ht="16.2" customHeight="1" x14ac:dyDescent="0.25">
      <c r="A58" s="5" t="s">
        <v>5615</v>
      </c>
      <c r="B58" s="159" t="s">
        <v>9047</v>
      </c>
      <c r="C58" s="5" t="s">
        <v>5617</v>
      </c>
      <c r="D58" s="5" t="s">
        <v>3</v>
      </c>
      <c r="E58" s="5">
        <v>280</v>
      </c>
    </row>
    <row r="59" spans="1:5" ht="16.2" customHeight="1" x14ac:dyDescent="0.25">
      <c r="A59" s="5" t="s">
        <v>5664</v>
      </c>
      <c r="B59" s="159" t="s">
        <v>5707</v>
      </c>
      <c r="C59" s="5" t="s">
        <v>5656</v>
      </c>
      <c r="D59" s="5" t="s">
        <v>2075</v>
      </c>
      <c r="E59" s="5">
        <v>63</v>
      </c>
    </row>
    <row r="60" spans="1:5" ht="16.2" customHeight="1" x14ac:dyDescent="0.25">
      <c r="A60" s="5" t="s">
        <v>5616</v>
      </c>
      <c r="B60" s="159" t="s">
        <v>5683</v>
      </c>
      <c r="C60" s="5" t="s">
        <v>5617</v>
      </c>
      <c r="D60" s="5" t="s">
        <v>3</v>
      </c>
      <c r="E60" s="5">
        <v>280</v>
      </c>
    </row>
    <row r="61" spans="1:5" ht="16.2" customHeight="1" x14ac:dyDescent="0.25">
      <c r="A61" s="5" t="s">
        <v>5630</v>
      </c>
      <c r="B61" s="159" t="s">
        <v>5689</v>
      </c>
      <c r="C61" s="133" t="s">
        <v>5618</v>
      </c>
      <c r="D61" s="5" t="s">
        <v>3</v>
      </c>
      <c r="E61" s="5">
        <v>280</v>
      </c>
    </row>
    <row r="62" spans="1:5" ht="16.2" customHeight="1" x14ac:dyDescent="0.25">
      <c r="A62" s="5" t="s">
        <v>5655</v>
      </c>
      <c r="B62" s="159" t="s">
        <v>5701</v>
      </c>
      <c r="C62" s="5" t="s">
        <v>5642</v>
      </c>
      <c r="D62" s="5" t="s">
        <v>2075</v>
      </c>
      <c r="E62" s="5">
        <v>62</v>
      </c>
    </row>
    <row r="63" spans="1:5" ht="16.2" customHeight="1" x14ac:dyDescent="0.25"/>
  </sheetData>
  <sortState xmlns:xlrd2="http://schemas.microsoft.com/office/spreadsheetml/2017/richdata2" ref="A3:E62">
    <sortCondition ref="A3:A62"/>
  </sortState>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9"/>
  <sheetViews>
    <sheetView topLeftCell="B1" workbookViewId="0">
      <pane ySplit="1" topLeftCell="A2" activePane="bottomLeft" state="frozen"/>
      <selection activeCell="B1" sqref="B1"/>
      <selection pane="bottomLeft" activeCell="B1" sqref="B1"/>
    </sheetView>
  </sheetViews>
  <sheetFormatPr baseColWidth="10" defaultRowHeight="13.2" x14ac:dyDescent="0.25"/>
  <cols>
    <col min="1" max="1" width="18.44140625" hidden="1" customWidth="1"/>
    <col min="2" max="2" width="12.5546875" style="5" customWidth="1"/>
    <col min="3" max="3" width="8.44140625" style="15" customWidth="1"/>
    <col min="4" max="4" width="4.33203125" style="4" customWidth="1"/>
    <col min="5" max="5" width="48.6640625" style="570" customWidth="1"/>
    <col min="6" max="6" width="48.6640625" style="223" customWidth="1"/>
    <col min="7" max="7" width="8" style="6" customWidth="1"/>
    <col min="8" max="8" width="6.109375" style="6" customWidth="1"/>
    <col min="9" max="11" width="12.44140625" hidden="1" customWidth="1"/>
    <col min="12" max="260" width="12.44140625" customWidth="1"/>
  </cols>
  <sheetData>
    <row r="1" spans="1:12" s="10" customFormat="1" x14ac:dyDescent="0.25">
      <c r="A1" s="26" t="s">
        <v>333</v>
      </c>
      <c r="B1" s="376" t="s">
        <v>333</v>
      </c>
      <c r="C1" s="345" t="s">
        <v>105</v>
      </c>
      <c r="D1" s="377" t="s">
        <v>334</v>
      </c>
      <c r="E1" s="571" t="s">
        <v>3415</v>
      </c>
      <c r="F1" s="222" t="s">
        <v>5050</v>
      </c>
      <c r="G1" s="117" t="s">
        <v>0</v>
      </c>
      <c r="H1" s="117" t="s">
        <v>1</v>
      </c>
      <c r="I1" s="937" t="s">
        <v>9132</v>
      </c>
      <c r="J1" s="937"/>
      <c r="K1" s="937"/>
    </row>
    <row r="2" spans="1:12" s="381" customFormat="1" ht="23.4" x14ac:dyDescent="0.25">
      <c r="A2" s="378" t="str">
        <f t="shared" ref="A2:A35" si="0">IF(MauditYomi&gt;0,"",IF(Clan=C2,B2,""))</f>
        <v/>
      </c>
      <c r="B2" s="180" t="s">
        <v>29</v>
      </c>
      <c r="C2" s="379" t="s">
        <v>15</v>
      </c>
      <c r="D2" s="380">
        <v>6</v>
      </c>
      <c r="E2" s="570" t="s">
        <v>5094</v>
      </c>
      <c r="F2" s="223" t="s">
        <v>5093</v>
      </c>
      <c r="G2" s="167" t="s">
        <v>6061</v>
      </c>
      <c r="H2" s="167">
        <v>104</v>
      </c>
      <c r="I2" s="196" t="str">
        <f>IF(A2="","",ROW())</f>
        <v/>
      </c>
      <c r="J2" s="196" t="str">
        <f>IFERROR(SMALL(I:I,ROW()-1),"")</f>
        <v/>
      </c>
      <c r="K2" s="578" t="str">
        <f>IFERROR(INDEX(B:B,J2),"")</f>
        <v/>
      </c>
      <c r="L2" s="196"/>
    </row>
    <row r="3" spans="1:12" s="381" customFormat="1" ht="23.4" x14ac:dyDescent="0.25">
      <c r="A3" s="378" t="str">
        <f t="shared" si="0"/>
        <v/>
      </c>
      <c r="B3" s="180" t="s">
        <v>6431</v>
      </c>
      <c r="C3" s="379" t="s">
        <v>15</v>
      </c>
      <c r="D3" s="380">
        <v>10</v>
      </c>
      <c r="E3" s="570" t="s">
        <v>5095</v>
      </c>
      <c r="F3" s="223" t="s">
        <v>5093</v>
      </c>
      <c r="G3" s="167" t="s">
        <v>6061</v>
      </c>
      <c r="H3" s="167">
        <v>104</v>
      </c>
      <c r="I3" s="196" t="str">
        <f t="shared" ref="I3:I66" si="1">IF(A3="","",ROW())</f>
        <v/>
      </c>
      <c r="J3" s="196" t="str">
        <f t="shared" ref="J3:J66" si="2">IFERROR(SMALL(I:I,ROW()-1),"")</f>
        <v/>
      </c>
      <c r="K3" s="578" t="str">
        <f t="shared" ref="K3:K66" si="3">IFERROR(INDEX(B:B,J3),"")</f>
        <v/>
      </c>
    </row>
    <row r="4" spans="1:12" s="381" customFormat="1" ht="29.4" customHeight="1" x14ac:dyDescent="0.25">
      <c r="A4" s="378" t="str">
        <f t="shared" si="0"/>
        <v/>
      </c>
      <c r="B4" s="180" t="s">
        <v>6432</v>
      </c>
      <c r="C4" s="162" t="s">
        <v>340</v>
      </c>
      <c r="D4" s="380">
        <v>5</v>
      </c>
      <c r="E4" s="570" t="s">
        <v>9048</v>
      </c>
      <c r="F4" s="223" t="s">
        <v>5138</v>
      </c>
      <c r="G4" s="167" t="s">
        <v>2080</v>
      </c>
      <c r="H4" s="167">
        <v>244</v>
      </c>
      <c r="I4" s="196" t="str">
        <f t="shared" si="1"/>
        <v/>
      </c>
      <c r="J4" s="196" t="str">
        <f t="shared" si="2"/>
        <v/>
      </c>
      <c r="K4" s="578" t="str">
        <f t="shared" si="3"/>
        <v/>
      </c>
    </row>
    <row r="5" spans="1:12" s="381" customFormat="1" ht="31.2" x14ac:dyDescent="0.25">
      <c r="A5" s="378" t="str">
        <f t="shared" si="0"/>
        <v/>
      </c>
      <c r="B5" s="180" t="s">
        <v>6433</v>
      </c>
      <c r="C5" s="379" t="s">
        <v>15</v>
      </c>
      <c r="D5" s="382">
        <v>11</v>
      </c>
      <c r="E5" s="570" t="s">
        <v>5158</v>
      </c>
      <c r="F5" s="223" t="s">
        <v>5159</v>
      </c>
      <c r="G5" s="167" t="s">
        <v>3</v>
      </c>
      <c r="H5" s="167">
        <v>242</v>
      </c>
      <c r="I5" s="196" t="str">
        <f t="shared" si="1"/>
        <v/>
      </c>
      <c r="J5" s="196" t="str">
        <f t="shared" si="2"/>
        <v/>
      </c>
      <c r="K5" s="578" t="str">
        <f t="shared" si="3"/>
        <v/>
      </c>
    </row>
    <row r="6" spans="1:12" s="378" customFormat="1" ht="39" x14ac:dyDescent="0.25">
      <c r="A6" s="378" t="str">
        <f t="shared" si="0"/>
        <v/>
      </c>
      <c r="B6" s="180" t="s">
        <v>21</v>
      </c>
      <c r="C6" s="383" t="s">
        <v>20</v>
      </c>
      <c r="D6" s="382">
        <v>12</v>
      </c>
      <c r="E6" s="570" t="s">
        <v>5163</v>
      </c>
      <c r="F6" s="223" t="s">
        <v>5162</v>
      </c>
      <c r="G6" s="167" t="s">
        <v>3</v>
      </c>
      <c r="H6" s="167">
        <v>242</v>
      </c>
      <c r="I6" s="196" t="str">
        <f t="shared" si="1"/>
        <v/>
      </c>
      <c r="J6" s="196" t="str">
        <f t="shared" si="2"/>
        <v/>
      </c>
      <c r="K6" s="578" t="str">
        <f t="shared" si="3"/>
        <v/>
      </c>
    </row>
    <row r="7" spans="1:12" s="378" customFormat="1" ht="23.4" x14ac:dyDescent="0.25">
      <c r="A7" s="378" t="str">
        <f t="shared" si="0"/>
        <v/>
      </c>
      <c r="B7" s="180" t="s">
        <v>11</v>
      </c>
      <c r="C7" s="384" t="s">
        <v>176</v>
      </c>
      <c r="D7" s="382">
        <v>9</v>
      </c>
      <c r="E7" s="570" t="s">
        <v>5089</v>
      </c>
      <c r="F7" s="223" t="s">
        <v>5088</v>
      </c>
      <c r="G7" s="167" t="s">
        <v>6061</v>
      </c>
      <c r="H7" s="167">
        <v>74</v>
      </c>
      <c r="I7" s="196" t="str">
        <f t="shared" si="1"/>
        <v/>
      </c>
      <c r="J7" s="196" t="str">
        <f t="shared" si="2"/>
        <v/>
      </c>
      <c r="K7" s="578" t="str">
        <f t="shared" si="3"/>
        <v/>
      </c>
    </row>
    <row r="8" spans="1:12" s="381" customFormat="1" ht="31.2" x14ac:dyDescent="0.25">
      <c r="A8" s="378" t="str">
        <f t="shared" si="0"/>
        <v/>
      </c>
      <c r="B8" s="180" t="s">
        <v>6434</v>
      </c>
      <c r="C8" s="384" t="s">
        <v>176</v>
      </c>
      <c r="D8" s="380">
        <v>5</v>
      </c>
      <c r="E8" s="570" t="s">
        <v>5187</v>
      </c>
      <c r="F8" s="223" t="s">
        <v>5188</v>
      </c>
      <c r="G8" s="167" t="s">
        <v>2077</v>
      </c>
      <c r="H8" s="167">
        <v>122</v>
      </c>
      <c r="I8" s="196" t="str">
        <f t="shared" si="1"/>
        <v/>
      </c>
      <c r="J8" s="196" t="str">
        <f t="shared" si="2"/>
        <v/>
      </c>
      <c r="K8" s="578" t="str">
        <f t="shared" si="3"/>
        <v/>
      </c>
    </row>
    <row r="9" spans="1:12" s="381" customFormat="1" ht="39" x14ac:dyDescent="0.25">
      <c r="A9" s="378" t="str">
        <f t="shared" si="0"/>
        <v/>
      </c>
      <c r="B9" s="180" t="s">
        <v>30</v>
      </c>
      <c r="C9" s="507" t="s">
        <v>177</v>
      </c>
      <c r="D9" s="382">
        <v>5</v>
      </c>
      <c r="E9" s="570" t="s">
        <v>9049</v>
      </c>
      <c r="F9" s="223" t="s">
        <v>5170</v>
      </c>
      <c r="G9" s="167" t="s">
        <v>3</v>
      </c>
      <c r="H9" s="167">
        <v>243</v>
      </c>
      <c r="I9" s="196" t="str">
        <f t="shared" si="1"/>
        <v/>
      </c>
      <c r="J9" s="196" t="str">
        <f t="shared" si="2"/>
        <v/>
      </c>
      <c r="K9" s="578" t="str">
        <f t="shared" si="3"/>
        <v/>
      </c>
    </row>
    <row r="10" spans="1:12" s="381" customFormat="1" ht="39" x14ac:dyDescent="0.25">
      <c r="A10" s="378" t="str">
        <f t="shared" si="0"/>
        <v/>
      </c>
      <c r="B10" s="180" t="s">
        <v>6435</v>
      </c>
      <c r="C10" s="162" t="s">
        <v>341</v>
      </c>
      <c r="D10" s="380">
        <v>9</v>
      </c>
      <c r="E10" s="570" t="s">
        <v>5143</v>
      </c>
      <c r="F10" s="223" t="s">
        <v>5144</v>
      </c>
      <c r="G10" s="167" t="s">
        <v>2080</v>
      </c>
      <c r="H10" s="167">
        <v>246</v>
      </c>
      <c r="I10" s="196" t="str">
        <f t="shared" si="1"/>
        <v/>
      </c>
      <c r="J10" s="196" t="str">
        <f t="shared" si="2"/>
        <v/>
      </c>
      <c r="K10" s="578" t="str">
        <f t="shared" si="3"/>
        <v/>
      </c>
    </row>
    <row r="11" spans="1:12" s="378" customFormat="1" ht="39" x14ac:dyDescent="0.25">
      <c r="A11" s="378" t="str">
        <f t="shared" si="0"/>
        <v/>
      </c>
      <c r="B11" s="180" t="s">
        <v>34</v>
      </c>
      <c r="C11" s="508" t="s">
        <v>33</v>
      </c>
      <c r="D11" s="382">
        <v>12</v>
      </c>
      <c r="E11" s="570" t="s">
        <v>5172</v>
      </c>
      <c r="F11" s="223" t="s">
        <v>5173</v>
      </c>
      <c r="G11" s="167" t="s">
        <v>3</v>
      </c>
      <c r="H11" s="167">
        <v>244</v>
      </c>
      <c r="I11" s="196" t="str">
        <f t="shared" si="1"/>
        <v/>
      </c>
      <c r="J11" s="196" t="str">
        <f t="shared" si="2"/>
        <v/>
      </c>
      <c r="K11" s="578" t="str">
        <f t="shared" si="3"/>
        <v/>
      </c>
    </row>
    <row r="12" spans="1:12" s="378" customFormat="1" ht="39" x14ac:dyDescent="0.25">
      <c r="A12" s="378" t="str">
        <f t="shared" si="0"/>
        <v/>
      </c>
      <c r="B12" s="180" t="s">
        <v>6436</v>
      </c>
      <c r="C12" s="162" t="s">
        <v>61</v>
      </c>
      <c r="D12" s="380">
        <v>8</v>
      </c>
      <c r="E12" s="570" t="s">
        <v>9050</v>
      </c>
      <c r="F12" s="223" t="s">
        <v>5141</v>
      </c>
      <c r="G12" s="167" t="s">
        <v>2080</v>
      </c>
      <c r="H12" s="167">
        <v>246</v>
      </c>
      <c r="I12" s="196" t="str">
        <f t="shared" si="1"/>
        <v/>
      </c>
      <c r="J12" s="196" t="str">
        <f t="shared" si="2"/>
        <v/>
      </c>
      <c r="K12" s="578" t="str">
        <f t="shared" si="3"/>
        <v/>
      </c>
    </row>
    <row r="13" spans="1:12" s="381" customFormat="1" ht="23.4" x14ac:dyDescent="0.25">
      <c r="A13" s="378" t="str">
        <f t="shared" si="0"/>
        <v/>
      </c>
      <c r="B13" s="180" t="s">
        <v>6437</v>
      </c>
      <c r="C13" s="509" t="s">
        <v>181</v>
      </c>
      <c r="D13" s="380">
        <v>3</v>
      </c>
      <c r="E13" s="570" t="s">
        <v>5116</v>
      </c>
      <c r="F13" s="223" t="s">
        <v>5115</v>
      </c>
      <c r="G13" s="167" t="s">
        <v>6061</v>
      </c>
      <c r="H13" s="167">
        <v>283</v>
      </c>
      <c r="I13" s="196" t="str">
        <f t="shared" si="1"/>
        <v/>
      </c>
      <c r="J13" s="196" t="str">
        <f t="shared" si="2"/>
        <v/>
      </c>
      <c r="K13" s="578" t="str">
        <f t="shared" si="3"/>
        <v/>
      </c>
    </row>
    <row r="14" spans="1:12" s="381" customFormat="1" ht="23.4" x14ac:dyDescent="0.25">
      <c r="A14" s="378" t="str">
        <f t="shared" si="0"/>
        <v/>
      </c>
      <c r="B14" s="180" t="s">
        <v>13</v>
      </c>
      <c r="C14" s="384" t="s">
        <v>176</v>
      </c>
      <c r="D14" s="382">
        <v>8</v>
      </c>
      <c r="E14" s="570" t="s">
        <v>5154</v>
      </c>
      <c r="F14" s="223" t="s">
        <v>5155</v>
      </c>
      <c r="G14" s="167" t="s">
        <v>3</v>
      </c>
      <c r="H14" s="167">
        <v>242</v>
      </c>
      <c r="I14" s="196" t="str">
        <f t="shared" si="1"/>
        <v/>
      </c>
      <c r="J14" s="196" t="str">
        <f t="shared" si="2"/>
        <v/>
      </c>
      <c r="K14" s="578" t="str">
        <f t="shared" si="3"/>
        <v/>
      </c>
    </row>
    <row r="15" spans="1:12" s="381" customFormat="1" ht="23.4" x14ac:dyDescent="0.25">
      <c r="A15" s="378" t="str">
        <f t="shared" si="0"/>
        <v/>
      </c>
      <c r="B15" s="180" t="s">
        <v>6438</v>
      </c>
      <c r="C15" s="384" t="s">
        <v>176</v>
      </c>
      <c r="D15" s="382">
        <v>7</v>
      </c>
      <c r="E15" s="570" t="s">
        <v>5092</v>
      </c>
      <c r="F15" s="223" t="s">
        <v>5090</v>
      </c>
      <c r="G15" s="167" t="s">
        <v>6061</v>
      </c>
      <c r="H15" s="167">
        <v>74</v>
      </c>
      <c r="I15" s="196" t="str">
        <f t="shared" si="1"/>
        <v/>
      </c>
      <c r="J15" s="196" t="str">
        <f t="shared" si="2"/>
        <v/>
      </c>
      <c r="K15" s="578" t="str">
        <f t="shared" si="3"/>
        <v/>
      </c>
    </row>
    <row r="16" spans="1:12" s="381" customFormat="1" ht="31.2" x14ac:dyDescent="0.25">
      <c r="A16" s="378" t="str">
        <f t="shared" si="0"/>
        <v/>
      </c>
      <c r="B16" s="180" t="s">
        <v>6439</v>
      </c>
      <c r="C16" s="162" t="s">
        <v>339</v>
      </c>
      <c r="D16" s="380">
        <v>4</v>
      </c>
      <c r="E16" s="570" t="s">
        <v>5136</v>
      </c>
      <c r="F16" s="223" t="s">
        <v>5137</v>
      </c>
      <c r="G16" s="167" t="s">
        <v>2080</v>
      </c>
      <c r="H16" s="167">
        <v>244</v>
      </c>
      <c r="I16" s="196" t="str">
        <f t="shared" si="1"/>
        <v/>
      </c>
      <c r="J16" s="196" t="str">
        <f t="shared" si="2"/>
        <v/>
      </c>
      <c r="K16" s="578" t="str">
        <f t="shared" si="3"/>
        <v/>
      </c>
    </row>
    <row r="17" spans="1:11" s="381" customFormat="1" ht="15.6" x14ac:dyDescent="0.25">
      <c r="A17" s="378" t="str">
        <f t="shared" si="0"/>
        <v/>
      </c>
      <c r="B17" s="180" t="s">
        <v>6440</v>
      </c>
      <c r="C17" s="510" t="s">
        <v>178</v>
      </c>
      <c r="D17" s="382">
        <v>5</v>
      </c>
      <c r="E17" s="570" t="s">
        <v>5168</v>
      </c>
      <c r="F17" s="223" t="s">
        <v>5169</v>
      </c>
      <c r="G17" s="167" t="s">
        <v>3</v>
      </c>
      <c r="H17" s="167">
        <v>243</v>
      </c>
      <c r="I17" s="196" t="str">
        <f t="shared" si="1"/>
        <v/>
      </c>
      <c r="J17" s="196" t="str">
        <f t="shared" si="2"/>
        <v/>
      </c>
      <c r="K17" s="578" t="str">
        <f t="shared" si="3"/>
        <v/>
      </c>
    </row>
    <row r="18" spans="1:11" s="381" customFormat="1" ht="31.2" x14ac:dyDescent="0.25">
      <c r="A18" s="378"/>
      <c r="B18" s="180" t="s">
        <v>8323</v>
      </c>
      <c r="C18" s="162" t="s">
        <v>8259</v>
      </c>
      <c r="D18" s="382" t="s">
        <v>8324</v>
      </c>
      <c r="E18" s="570" t="s">
        <v>8325</v>
      </c>
      <c r="F18" s="223" t="s">
        <v>8326</v>
      </c>
      <c r="G18" s="167" t="s">
        <v>6831</v>
      </c>
      <c r="H18" s="167">
        <v>52</v>
      </c>
      <c r="I18" s="196" t="str">
        <f t="shared" si="1"/>
        <v/>
      </c>
      <c r="J18" s="196" t="str">
        <f t="shared" si="2"/>
        <v/>
      </c>
      <c r="K18" s="578" t="str">
        <f t="shared" si="3"/>
        <v/>
      </c>
    </row>
    <row r="19" spans="1:11" s="381" customFormat="1" ht="39" x14ac:dyDescent="0.25">
      <c r="A19" s="378" t="str">
        <f t="shared" si="0"/>
        <v/>
      </c>
      <c r="B19" s="180" t="s">
        <v>2</v>
      </c>
      <c r="C19" s="385" t="s">
        <v>175</v>
      </c>
      <c r="D19" s="382">
        <v>14</v>
      </c>
      <c r="E19" s="570" t="s">
        <v>5151</v>
      </c>
      <c r="F19" s="223" t="s">
        <v>5152</v>
      </c>
      <c r="G19" s="167" t="s">
        <v>3</v>
      </c>
      <c r="H19" s="167">
        <v>242</v>
      </c>
      <c r="I19" s="196" t="str">
        <f t="shared" si="1"/>
        <v/>
      </c>
      <c r="J19" s="196" t="str">
        <f t="shared" si="2"/>
        <v/>
      </c>
      <c r="K19" s="578" t="str">
        <f t="shared" si="3"/>
        <v/>
      </c>
    </row>
    <row r="20" spans="1:11" s="381" customFormat="1" ht="23.4" x14ac:dyDescent="0.25">
      <c r="A20" s="378" t="str">
        <f t="shared" si="0"/>
        <v/>
      </c>
      <c r="B20" s="180" t="s">
        <v>6441</v>
      </c>
      <c r="C20" s="509" t="s">
        <v>181</v>
      </c>
      <c r="D20" s="382">
        <v>7</v>
      </c>
      <c r="E20" s="570" t="str">
        <f>CONCATENATE("Alors qu'Atarasi veille sur vous, au cours de chaque tour d'un combat, vous pouvez choisir de dépenser un point de Vide ou de gagner un point de Souillure de l'Outremonde (à votre choix) afin d'ajouter ",IF(Terre&gt;Souillure,Terre,Souillure),"g0 à tous vos jets d'attaque et de dommages jusqu'à la fin du tour.")</f>
        <v>Alors qu'Atarasi veille sur vous, au cours de chaque tour d'un combat, vous pouvez choisir de dépenser un point de Vide ou de gagner un point de Souillure de l'Outremonde (à votre choix) afin d'ajouter 2g0 à tous vos jets d'attaque et de dommages jusqu'à la fin du tour.</v>
      </c>
      <c r="F20" s="223" t="s">
        <v>5176</v>
      </c>
      <c r="G20" s="167" t="s">
        <v>3</v>
      </c>
      <c r="H20" s="167">
        <v>244</v>
      </c>
      <c r="I20" s="196" t="str">
        <f t="shared" si="1"/>
        <v/>
      </c>
      <c r="J20" s="196" t="str">
        <f t="shared" si="2"/>
        <v/>
      </c>
      <c r="K20" s="578" t="str">
        <f t="shared" si="3"/>
        <v/>
      </c>
    </row>
    <row r="21" spans="1:11" s="381" customFormat="1" ht="15.6" x14ac:dyDescent="0.25">
      <c r="A21" s="378" t="str">
        <f t="shared" si="0"/>
        <v/>
      </c>
      <c r="B21" s="180" t="s">
        <v>6442</v>
      </c>
      <c r="C21" s="162" t="s">
        <v>180</v>
      </c>
      <c r="D21" s="380">
        <v>4</v>
      </c>
      <c r="E21" s="570" t="s">
        <v>5125</v>
      </c>
      <c r="F21" s="223" t="s">
        <v>5126</v>
      </c>
      <c r="G21" s="167" t="s">
        <v>2080</v>
      </c>
      <c r="H21" s="167">
        <v>244</v>
      </c>
      <c r="I21" s="196" t="str">
        <f t="shared" si="1"/>
        <v/>
      </c>
      <c r="J21" s="196" t="str">
        <f t="shared" si="2"/>
        <v/>
      </c>
      <c r="K21" s="578" t="str">
        <f t="shared" si="3"/>
        <v/>
      </c>
    </row>
    <row r="22" spans="1:11" s="381" customFormat="1" ht="15.6" x14ac:dyDescent="0.25">
      <c r="A22" s="378" t="str">
        <f t="shared" si="0"/>
        <v/>
      </c>
      <c r="B22" s="180" t="s">
        <v>6442</v>
      </c>
      <c r="C22" s="162" t="s">
        <v>336</v>
      </c>
      <c r="D22" s="380">
        <v>4</v>
      </c>
      <c r="E22" s="570" t="s">
        <v>5125</v>
      </c>
      <c r="F22" s="223" t="s">
        <v>5126</v>
      </c>
      <c r="G22" s="167" t="s">
        <v>2080</v>
      </c>
      <c r="H22" s="167">
        <v>244</v>
      </c>
      <c r="I22" s="196" t="str">
        <f t="shared" si="1"/>
        <v/>
      </c>
      <c r="J22" s="196" t="str">
        <f t="shared" si="2"/>
        <v/>
      </c>
      <c r="K22" s="578" t="str">
        <f t="shared" si="3"/>
        <v/>
      </c>
    </row>
    <row r="23" spans="1:11" s="381" customFormat="1" ht="31.2" x14ac:dyDescent="0.25">
      <c r="A23" s="378"/>
      <c r="B23" s="180" t="s">
        <v>8320</v>
      </c>
      <c r="C23" s="162" t="s">
        <v>8259</v>
      </c>
      <c r="D23" s="380">
        <v>5</v>
      </c>
      <c r="E23" s="570" t="s">
        <v>8321</v>
      </c>
      <c r="F23" s="223" t="s">
        <v>8322</v>
      </c>
      <c r="G23" s="167" t="s">
        <v>6831</v>
      </c>
      <c r="H23" s="167">
        <v>52</v>
      </c>
      <c r="I23" s="196" t="str">
        <f t="shared" si="1"/>
        <v/>
      </c>
      <c r="J23" s="196" t="str">
        <f t="shared" si="2"/>
        <v/>
      </c>
      <c r="K23" s="578" t="str">
        <f t="shared" si="3"/>
        <v/>
      </c>
    </row>
    <row r="24" spans="1:11" s="381" customFormat="1" ht="21" x14ac:dyDescent="0.25">
      <c r="A24" s="378" t="str">
        <f t="shared" si="0"/>
        <v/>
      </c>
      <c r="B24" s="180" t="s">
        <v>4</v>
      </c>
      <c r="C24" s="385" t="s">
        <v>175</v>
      </c>
      <c r="D24" s="382">
        <v>11</v>
      </c>
      <c r="E24" s="570" t="s">
        <v>5091</v>
      </c>
      <c r="F24" s="223" t="s">
        <v>5106</v>
      </c>
      <c r="G24" s="167" t="s">
        <v>6061</v>
      </c>
      <c r="H24" s="167">
        <v>42</v>
      </c>
      <c r="I24" s="196" t="str">
        <f t="shared" si="1"/>
        <v/>
      </c>
      <c r="J24" s="196" t="str">
        <f t="shared" si="2"/>
        <v/>
      </c>
      <c r="K24" s="578" t="str">
        <f t="shared" si="3"/>
        <v/>
      </c>
    </row>
    <row r="25" spans="1:11" s="381" customFormat="1" ht="23.4" x14ac:dyDescent="0.25">
      <c r="A25" s="378" t="str">
        <f t="shared" si="0"/>
        <v/>
      </c>
      <c r="B25" s="180" t="s">
        <v>6443</v>
      </c>
      <c r="C25" s="162" t="s">
        <v>180</v>
      </c>
      <c r="D25" s="380">
        <v>9</v>
      </c>
      <c r="E25" s="570" t="s">
        <v>9051</v>
      </c>
      <c r="F25" s="223" t="s">
        <v>5122</v>
      </c>
      <c r="G25" s="167" t="s">
        <v>2080</v>
      </c>
      <c r="H25" s="167">
        <v>244</v>
      </c>
      <c r="I25" s="196" t="str">
        <f t="shared" si="1"/>
        <v/>
      </c>
      <c r="J25" s="196" t="str">
        <f t="shared" si="2"/>
        <v/>
      </c>
      <c r="K25" s="578" t="str">
        <f t="shared" si="3"/>
        <v/>
      </c>
    </row>
    <row r="26" spans="1:11" s="381" customFormat="1" ht="31.2" x14ac:dyDescent="0.25">
      <c r="A26" s="378" t="str">
        <f t="shared" si="0"/>
        <v/>
      </c>
      <c r="B26" s="180" t="s">
        <v>22</v>
      </c>
      <c r="C26" s="383" t="s">
        <v>20</v>
      </c>
      <c r="D26" s="382">
        <v>9</v>
      </c>
      <c r="E26" s="570" t="s">
        <v>5164</v>
      </c>
      <c r="F26" s="223" t="s">
        <v>5165</v>
      </c>
      <c r="G26" s="167" t="s">
        <v>3</v>
      </c>
      <c r="H26" s="167">
        <v>243</v>
      </c>
      <c r="I26" s="196" t="str">
        <f t="shared" si="1"/>
        <v/>
      </c>
      <c r="J26" s="196" t="str">
        <f t="shared" si="2"/>
        <v/>
      </c>
      <c r="K26" s="578" t="str">
        <f t="shared" si="3"/>
        <v/>
      </c>
    </row>
    <row r="27" spans="1:11" s="381" customFormat="1" ht="23.4" x14ac:dyDescent="0.25">
      <c r="A27" s="378" t="str">
        <f t="shared" si="0"/>
        <v/>
      </c>
      <c r="B27" s="180" t="s">
        <v>31</v>
      </c>
      <c r="C27" s="507" t="s">
        <v>177</v>
      </c>
      <c r="D27" s="380">
        <v>12</v>
      </c>
      <c r="E27" s="570" t="s">
        <v>9058</v>
      </c>
      <c r="F27" s="223" t="s">
        <v>5103</v>
      </c>
      <c r="G27" s="167" t="s">
        <v>6061</v>
      </c>
      <c r="H27" s="167">
        <v>202</v>
      </c>
      <c r="I27" s="196" t="str">
        <f t="shared" si="1"/>
        <v/>
      </c>
      <c r="J27" s="196" t="str">
        <f t="shared" si="2"/>
        <v/>
      </c>
      <c r="K27" s="578" t="str">
        <f t="shared" si="3"/>
        <v/>
      </c>
    </row>
    <row r="28" spans="1:11" s="381" customFormat="1" ht="31.2" x14ac:dyDescent="0.25">
      <c r="A28" s="378" t="str">
        <f t="shared" si="0"/>
        <v/>
      </c>
      <c r="B28" s="180" t="s">
        <v>40</v>
      </c>
      <c r="C28" s="511" t="s">
        <v>179</v>
      </c>
      <c r="D28" s="380">
        <v>8</v>
      </c>
      <c r="E28" s="570" t="s">
        <v>5114</v>
      </c>
      <c r="F28" s="223" t="s">
        <v>5113</v>
      </c>
      <c r="G28" s="167" t="s">
        <v>6061</v>
      </c>
      <c r="H28" s="167">
        <v>260</v>
      </c>
      <c r="I28" s="196" t="str">
        <f t="shared" si="1"/>
        <v/>
      </c>
      <c r="J28" s="196" t="str">
        <f t="shared" si="2"/>
        <v/>
      </c>
      <c r="K28" s="578" t="str">
        <f t="shared" si="3"/>
        <v/>
      </c>
    </row>
    <row r="29" spans="1:11" s="381" customFormat="1" ht="31.2" x14ac:dyDescent="0.25">
      <c r="A29" s="378" t="str">
        <f t="shared" si="0"/>
        <v/>
      </c>
      <c r="B29" s="180" t="s">
        <v>6444</v>
      </c>
      <c r="C29" s="510" t="s">
        <v>178</v>
      </c>
      <c r="D29" s="382">
        <v>9</v>
      </c>
      <c r="E29" s="570" t="s">
        <v>5166</v>
      </c>
      <c r="F29" s="223" t="s">
        <v>5167</v>
      </c>
      <c r="G29" s="167" t="s">
        <v>3</v>
      </c>
      <c r="H29" s="167">
        <v>243</v>
      </c>
      <c r="I29" s="196" t="str">
        <f t="shared" si="1"/>
        <v/>
      </c>
      <c r="J29" s="196" t="str">
        <f t="shared" si="2"/>
        <v/>
      </c>
      <c r="K29" s="578" t="str">
        <f t="shared" si="3"/>
        <v/>
      </c>
    </row>
    <row r="30" spans="1:11" s="381" customFormat="1" ht="31.2" x14ac:dyDescent="0.25">
      <c r="A30" s="378" t="str">
        <f t="shared" si="0"/>
        <v/>
      </c>
      <c r="B30" s="180" t="s">
        <v>5</v>
      </c>
      <c r="C30" s="385" t="s">
        <v>175</v>
      </c>
      <c r="D30" s="382">
        <v>9</v>
      </c>
      <c r="E30" s="570" t="s">
        <v>9052</v>
      </c>
      <c r="F30" s="223" t="s">
        <v>5087</v>
      </c>
      <c r="G30" s="167" t="s">
        <v>6061</v>
      </c>
      <c r="H30" s="167">
        <v>42</v>
      </c>
      <c r="I30" s="196" t="str">
        <f t="shared" si="1"/>
        <v/>
      </c>
      <c r="J30" s="196" t="str">
        <f t="shared" si="2"/>
        <v/>
      </c>
      <c r="K30" s="578" t="str">
        <f t="shared" si="3"/>
        <v/>
      </c>
    </row>
    <row r="31" spans="1:11" s="381" customFormat="1" ht="39" x14ac:dyDescent="0.25">
      <c r="A31" s="378" t="str">
        <f t="shared" si="0"/>
        <v/>
      </c>
      <c r="B31" s="180" t="s">
        <v>14</v>
      </c>
      <c r="C31" s="384" t="s">
        <v>176</v>
      </c>
      <c r="D31" s="382">
        <v>12</v>
      </c>
      <c r="E31" s="570" t="s">
        <v>5156</v>
      </c>
      <c r="F31" s="223" t="s">
        <v>5157</v>
      </c>
      <c r="G31" s="167" t="s">
        <v>3</v>
      </c>
      <c r="H31" s="167">
        <v>242</v>
      </c>
      <c r="I31" s="196" t="str">
        <f t="shared" si="1"/>
        <v/>
      </c>
      <c r="J31" s="196" t="str">
        <f t="shared" si="2"/>
        <v/>
      </c>
      <c r="K31" s="578" t="str">
        <f t="shared" si="3"/>
        <v/>
      </c>
    </row>
    <row r="32" spans="1:11" s="381" customFormat="1" ht="31.2" x14ac:dyDescent="0.25">
      <c r="A32" s="378" t="str">
        <f t="shared" si="0"/>
        <v/>
      </c>
      <c r="B32" s="180" t="s">
        <v>6778</v>
      </c>
      <c r="C32" s="444" t="s">
        <v>6779</v>
      </c>
      <c r="D32" s="382" t="s">
        <v>5724</v>
      </c>
      <c r="E32" s="570" t="s">
        <v>9053</v>
      </c>
      <c r="F32" s="223" t="s">
        <v>6901</v>
      </c>
      <c r="G32" s="167" t="s">
        <v>6831</v>
      </c>
      <c r="H32" s="167">
        <v>85</v>
      </c>
      <c r="I32" s="196" t="str">
        <f t="shared" si="1"/>
        <v/>
      </c>
      <c r="J32" s="196" t="str">
        <f t="shared" si="2"/>
        <v/>
      </c>
      <c r="K32" s="578" t="str">
        <f t="shared" si="3"/>
        <v/>
      </c>
    </row>
    <row r="33" spans="1:11" s="381" customFormat="1" ht="39" x14ac:dyDescent="0.25">
      <c r="A33" s="378" t="str">
        <f t="shared" si="0"/>
        <v/>
      </c>
      <c r="B33" s="180" t="s">
        <v>23</v>
      </c>
      <c r="C33" s="383" t="s">
        <v>20</v>
      </c>
      <c r="D33" s="380">
        <v>6</v>
      </c>
      <c r="E33" s="570" t="s">
        <v>5182</v>
      </c>
      <c r="F33" s="223" t="s">
        <v>5183</v>
      </c>
      <c r="G33" s="167" t="s">
        <v>6061</v>
      </c>
      <c r="H33" s="167">
        <v>140</v>
      </c>
      <c r="I33" s="196" t="str">
        <f t="shared" si="1"/>
        <v/>
      </c>
      <c r="J33" s="196" t="str">
        <f t="shared" si="2"/>
        <v/>
      </c>
      <c r="K33" s="578" t="str">
        <f t="shared" si="3"/>
        <v/>
      </c>
    </row>
    <row r="34" spans="1:11" s="381" customFormat="1" ht="31.2" x14ac:dyDescent="0.25">
      <c r="A34" s="378" t="str">
        <f t="shared" si="0"/>
        <v/>
      </c>
      <c r="B34" s="180" t="s">
        <v>6752</v>
      </c>
      <c r="C34" s="443" t="s">
        <v>6809</v>
      </c>
      <c r="D34" s="380">
        <v>5</v>
      </c>
      <c r="E34" s="570" t="s">
        <v>6829</v>
      </c>
      <c r="F34" s="223" t="s">
        <v>6830</v>
      </c>
      <c r="G34" s="167" t="s">
        <v>6831</v>
      </c>
      <c r="H34" s="167">
        <v>7</v>
      </c>
      <c r="I34" s="196" t="str">
        <f t="shared" si="1"/>
        <v/>
      </c>
      <c r="J34" s="196" t="str">
        <f t="shared" si="2"/>
        <v/>
      </c>
      <c r="K34" s="578" t="str">
        <f t="shared" si="3"/>
        <v/>
      </c>
    </row>
    <row r="35" spans="1:11" s="381" customFormat="1" ht="23.4" x14ac:dyDescent="0.25">
      <c r="A35" s="378" t="str">
        <f t="shared" si="0"/>
        <v/>
      </c>
      <c r="B35" s="180" t="s">
        <v>6445</v>
      </c>
      <c r="C35" s="162" t="s">
        <v>180</v>
      </c>
      <c r="D35" s="380">
        <v>5</v>
      </c>
      <c r="E35" s="570" t="s">
        <v>5123</v>
      </c>
      <c r="F35" s="223" t="s">
        <v>5124</v>
      </c>
      <c r="G35" s="167" t="s">
        <v>2080</v>
      </c>
      <c r="H35" s="167">
        <v>244</v>
      </c>
      <c r="I35" s="196" t="str">
        <f t="shared" si="1"/>
        <v/>
      </c>
      <c r="J35" s="196" t="str">
        <f t="shared" si="2"/>
        <v/>
      </c>
      <c r="K35" s="578" t="str">
        <f t="shared" si="3"/>
        <v/>
      </c>
    </row>
    <row r="36" spans="1:11" s="381" customFormat="1" ht="23.4" x14ac:dyDescent="0.25">
      <c r="A36" s="378" t="str">
        <f t="shared" ref="A36:A67" si="4">IF(MauditYomi&gt;0,"",IF(Clan=C36,B36,""))</f>
        <v/>
      </c>
      <c r="B36" s="180" t="s">
        <v>6445</v>
      </c>
      <c r="C36" s="162" t="s">
        <v>183</v>
      </c>
      <c r="D36" s="380">
        <v>5</v>
      </c>
      <c r="E36" s="570" t="s">
        <v>5123</v>
      </c>
      <c r="F36" s="223" t="s">
        <v>5124</v>
      </c>
      <c r="G36" s="167" t="s">
        <v>2080</v>
      </c>
      <c r="H36" s="167">
        <v>244</v>
      </c>
      <c r="I36" s="196" t="str">
        <f t="shared" si="1"/>
        <v/>
      </c>
      <c r="J36" s="196" t="str">
        <f t="shared" si="2"/>
        <v/>
      </c>
      <c r="K36" s="578" t="str">
        <f t="shared" si="3"/>
        <v/>
      </c>
    </row>
    <row r="37" spans="1:11" s="381" customFormat="1" ht="23.4" x14ac:dyDescent="0.25">
      <c r="A37" s="378" t="str">
        <f t="shared" si="4"/>
        <v/>
      </c>
      <c r="B37" s="180" t="s">
        <v>7</v>
      </c>
      <c r="C37" s="385" t="s">
        <v>175</v>
      </c>
      <c r="D37" s="382">
        <v>8</v>
      </c>
      <c r="E37" s="570" t="str">
        <f>CONCATENATE("Une fois par session, vous pouvez dépenser un point de vide pour gagner un bonus de 0g",Terre,"à votre jet d'Incantation. En outre, vous tentez de résister au gain de Souillure de l'Outremonde, vous pouvez lancer deux fois les dés et garder le meilleur résultat.")</f>
        <v>Une fois par session, vous pouvez dépenser un point de vide pour gagner un bonus de 0g2à votre jet d'Incantation. En outre, vous tentez de résister au gain de Souillure de l'Outremonde, vous pouvez lancer deux fois les dés et garder le meilleur résultat.</v>
      </c>
      <c r="F37" s="223" t="s">
        <v>5153</v>
      </c>
      <c r="G37" s="167" t="s">
        <v>3</v>
      </c>
      <c r="H37" s="167">
        <v>242</v>
      </c>
      <c r="I37" s="196" t="str">
        <f t="shared" si="1"/>
        <v/>
      </c>
      <c r="J37" s="196" t="str">
        <f t="shared" si="2"/>
        <v/>
      </c>
      <c r="K37" s="578" t="str">
        <f t="shared" si="3"/>
        <v/>
      </c>
    </row>
    <row r="38" spans="1:11" s="381" customFormat="1" ht="39" x14ac:dyDescent="0.25">
      <c r="A38" s="378" t="str">
        <f t="shared" si="4"/>
        <v/>
      </c>
      <c r="B38" s="180" t="s">
        <v>6446</v>
      </c>
      <c r="C38" s="509" t="s">
        <v>181</v>
      </c>
      <c r="D38" s="382">
        <v>5</v>
      </c>
      <c r="E38" s="570" t="s">
        <v>5177</v>
      </c>
      <c r="F38" s="223" t="s">
        <v>5178</v>
      </c>
      <c r="G38" s="167" t="s">
        <v>3</v>
      </c>
      <c r="H38" s="167">
        <v>244</v>
      </c>
      <c r="I38" s="196" t="str">
        <f t="shared" si="1"/>
        <v/>
      </c>
      <c r="J38" s="196" t="str">
        <f t="shared" si="2"/>
        <v/>
      </c>
      <c r="K38" s="578" t="str">
        <f t="shared" si="3"/>
        <v/>
      </c>
    </row>
    <row r="39" spans="1:11" s="381" customFormat="1" ht="23.4" x14ac:dyDescent="0.25">
      <c r="A39" s="378" t="str">
        <f t="shared" si="4"/>
        <v/>
      </c>
      <c r="B39" s="180" t="s">
        <v>6447</v>
      </c>
      <c r="C39" s="383" t="s">
        <v>20</v>
      </c>
      <c r="D39" s="380">
        <v>7</v>
      </c>
      <c r="E39" s="570" t="s">
        <v>5184</v>
      </c>
      <c r="F39" s="223" t="s">
        <v>5185</v>
      </c>
      <c r="G39" s="167" t="s">
        <v>6061</v>
      </c>
      <c r="H39" s="167">
        <v>140</v>
      </c>
      <c r="I39" s="196" t="str">
        <f t="shared" si="1"/>
        <v/>
      </c>
      <c r="J39" s="196" t="str">
        <f t="shared" si="2"/>
        <v/>
      </c>
      <c r="K39" s="578" t="str">
        <f t="shared" si="3"/>
        <v/>
      </c>
    </row>
    <row r="40" spans="1:11" s="381" customFormat="1" ht="39" x14ac:dyDescent="0.25">
      <c r="A40" s="378" t="str">
        <f t="shared" si="4"/>
        <v/>
      </c>
      <c r="B40" s="180" t="s">
        <v>17</v>
      </c>
      <c r="C40" s="379" t="s">
        <v>15</v>
      </c>
      <c r="D40" s="382">
        <v>9</v>
      </c>
      <c r="E40" s="570" t="s">
        <v>5160</v>
      </c>
      <c r="F40" s="223" t="s">
        <v>5161</v>
      </c>
      <c r="G40" s="167" t="s">
        <v>3</v>
      </c>
      <c r="H40" s="167">
        <v>242</v>
      </c>
      <c r="I40" s="196" t="str">
        <f t="shared" si="1"/>
        <v/>
      </c>
      <c r="J40" s="196" t="str">
        <f t="shared" si="2"/>
        <v/>
      </c>
      <c r="K40" s="578" t="str">
        <f t="shared" si="3"/>
        <v/>
      </c>
    </row>
    <row r="41" spans="1:11" s="378" customFormat="1" ht="23.4" x14ac:dyDescent="0.25">
      <c r="A41" s="378" t="str">
        <f t="shared" si="4"/>
        <v/>
      </c>
      <c r="B41" s="180" t="s">
        <v>48</v>
      </c>
      <c r="C41" s="162" t="s">
        <v>47</v>
      </c>
      <c r="D41" s="380">
        <v>5</v>
      </c>
      <c r="E41" s="570" t="str">
        <f>CONCATENATE("Aussi longtemps que vous êtes en activité pour la maison impériale, la direction de Miya vous permet d'ignorer les effets de manque de repos /sommeil pendant ",Honneur," jours.")</f>
        <v>Aussi longtemps que vous êtes en activité pour la maison impériale, la direction de Miya vous permet d'ignorer les effets de manque de repos /sommeil pendant 0 jours.</v>
      </c>
      <c r="F41" s="223" t="s">
        <v>5121</v>
      </c>
      <c r="G41" s="167" t="s">
        <v>2080</v>
      </c>
      <c r="H41" s="167">
        <v>244</v>
      </c>
      <c r="I41" s="196" t="str">
        <f t="shared" si="1"/>
        <v/>
      </c>
      <c r="J41" s="196" t="str">
        <f t="shared" si="2"/>
        <v/>
      </c>
      <c r="K41" s="578" t="str">
        <f t="shared" si="3"/>
        <v/>
      </c>
    </row>
    <row r="42" spans="1:11" s="381" customFormat="1" ht="39" x14ac:dyDescent="0.25">
      <c r="A42" s="378" t="str">
        <f t="shared" si="4"/>
        <v/>
      </c>
      <c r="B42" s="180" t="s">
        <v>6448</v>
      </c>
      <c r="C42" s="162" t="s">
        <v>61</v>
      </c>
      <c r="D42" s="380">
        <v>12</v>
      </c>
      <c r="E42" s="570" t="s">
        <v>9054</v>
      </c>
      <c r="F42" s="223" t="s">
        <v>5142</v>
      </c>
      <c r="G42" s="167" t="s">
        <v>2080</v>
      </c>
      <c r="H42" s="167">
        <v>246</v>
      </c>
      <c r="I42" s="196" t="str">
        <f t="shared" si="1"/>
        <v/>
      </c>
      <c r="J42" s="196" t="str">
        <f t="shared" si="2"/>
        <v/>
      </c>
      <c r="K42" s="578" t="str">
        <f t="shared" si="3"/>
        <v/>
      </c>
    </row>
    <row r="43" spans="1:11" s="381" customFormat="1" ht="31.2" x14ac:dyDescent="0.25">
      <c r="A43" s="378" t="str">
        <f t="shared" si="4"/>
        <v/>
      </c>
      <c r="B43" s="180" t="s">
        <v>6449</v>
      </c>
      <c r="C43" s="162" t="s">
        <v>341</v>
      </c>
      <c r="D43" s="380">
        <v>7</v>
      </c>
      <c r="E43" s="570" t="s">
        <v>5147</v>
      </c>
      <c r="F43" s="223" t="s">
        <v>5148</v>
      </c>
      <c r="G43" s="167" t="s">
        <v>2080</v>
      </c>
      <c r="H43" s="167">
        <v>246</v>
      </c>
      <c r="I43" s="196" t="str">
        <f t="shared" si="1"/>
        <v/>
      </c>
      <c r="J43" s="196" t="str">
        <f t="shared" si="2"/>
        <v/>
      </c>
      <c r="K43" s="578" t="str">
        <f t="shared" si="3"/>
        <v/>
      </c>
    </row>
    <row r="44" spans="1:11" s="381" customFormat="1" ht="23.4" x14ac:dyDescent="0.25">
      <c r="A44" s="378" t="str">
        <f t="shared" si="4"/>
        <v/>
      </c>
      <c r="B44" s="180" t="s">
        <v>6450</v>
      </c>
      <c r="C44" s="162" t="s">
        <v>338</v>
      </c>
      <c r="D44" s="380">
        <v>5</v>
      </c>
      <c r="E44" s="570" t="s">
        <v>5134</v>
      </c>
      <c r="F44" s="223" t="s">
        <v>5135</v>
      </c>
      <c r="G44" s="167" t="s">
        <v>2080</v>
      </c>
      <c r="H44" s="167">
        <v>244</v>
      </c>
      <c r="I44" s="196" t="str">
        <f t="shared" si="1"/>
        <v/>
      </c>
      <c r="J44" s="196" t="str">
        <f t="shared" si="2"/>
        <v/>
      </c>
      <c r="K44" s="578" t="str">
        <f t="shared" si="3"/>
        <v/>
      </c>
    </row>
    <row r="45" spans="1:11" s="378" customFormat="1" ht="23.4" x14ac:dyDescent="0.25">
      <c r="A45" s="378" t="str">
        <f t="shared" si="4"/>
        <v/>
      </c>
      <c r="B45" s="180" t="s">
        <v>6451</v>
      </c>
      <c r="C45" s="510" t="s">
        <v>178</v>
      </c>
      <c r="D45" s="380">
        <v>6</v>
      </c>
      <c r="E45" s="570" t="s">
        <v>5099</v>
      </c>
      <c r="F45" s="223" t="s">
        <v>5098</v>
      </c>
      <c r="G45" s="167" t="s">
        <v>6061</v>
      </c>
      <c r="H45" s="167">
        <v>170</v>
      </c>
      <c r="I45" s="196" t="str">
        <f t="shared" si="1"/>
        <v/>
      </c>
      <c r="J45" s="196" t="str">
        <f t="shared" si="2"/>
        <v/>
      </c>
      <c r="K45" s="578" t="str">
        <f t="shared" si="3"/>
        <v/>
      </c>
    </row>
    <row r="46" spans="1:11" s="381" customFormat="1" ht="23.4" x14ac:dyDescent="0.25">
      <c r="A46" s="378" t="str">
        <f t="shared" si="4"/>
        <v/>
      </c>
      <c r="B46" s="180" t="s">
        <v>6451</v>
      </c>
      <c r="C46" s="276" t="s">
        <v>5100</v>
      </c>
      <c r="D46" s="380">
        <v>6</v>
      </c>
      <c r="E46" s="570" t="s">
        <v>5099</v>
      </c>
      <c r="F46" s="223" t="s">
        <v>5098</v>
      </c>
      <c r="G46" s="167" t="s">
        <v>6061</v>
      </c>
      <c r="H46" s="167">
        <v>170</v>
      </c>
      <c r="I46" s="196" t="str">
        <f t="shared" si="1"/>
        <v/>
      </c>
      <c r="J46" s="196" t="str">
        <f t="shared" si="2"/>
        <v/>
      </c>
      <c r="K46" s="578" t="str">
        <f t="shared" si="3"/>
        <v/>
      </c>
    </row>
    <row r="47" spans="1:11" s="381" customFormat="1" ht="39" x14ac:dyDescent="0.25">
      <c r="A47" s="378" t="str">
        <f t="shared" si="4"/>
        <v/>
      </c>
      <c r="B47" s="180" t="s">
        <v>41</v>
      </c>
      <c r="C47" s="511" t="s">
        <v>179</v>
      </c>
      <c r="D47" s="382">
        <v>10</v>
      </c>
      <c r="E47" s="570" t="str">
        <f>CONCATENATE("Qd. vous résistez à une tentative visant à vous restreindre physiquement ou à vous influencer mentalement, vous gagnez un bonus de +2g2 à ce test. De même, un sort qui tente de réduire votre capacité de mouvement voit son ND d'Incantation augmentéde ",Volonté*5)</f>
        <v>Qd. vous résistez à une tentative visant à vous restreindre physiquement ou à vous influencer mentalement, vous gagnez un bonus de +2g2 à ce test. De même, un sort qui tente de réduire votre capacité de mouvement voit son ND d'Incantation augmentéde 10</v>
      </c>
      <c r="F47" s="223" t="s">
        <v>5179</v>
      </c>
      <c r="G47" s="167" t="s">
        <v>3</v>
      </c>
      <c r="H47" s="167">
        <v>242</v>
      </c>
      <c r="I47" s="196" t="str">
        <f t="shared" si="1"/>
        <v/>
      </c>
      <c r="J47" s="196" t="str">
        <f t="shared" si="2"/>
        <v/>
      </c>
      <c r="K47" s="578" t="str">
        <f t="shared" si="3"/>
        <v/>
      </c>
    </row>
    <row r="48" spans="1:11" s="381" customFormat="1" ht="31.2" x14ac:dyDescent="0.25">
      <c r="A48" s="378" t="str">
        <f t="shared" si="4"/>
        <v/>
      </c>
      <c r="B48" s="180" t="s">
        <v>6452</v>
      </c>
      <c r="C48" s="507" t="s">
        <v>177</v>
      </c>
      <c r="D48" s="380">
        <v>10</v>
      </c>
      <c r="E48" s="570" t="s">
        <v>5105</v>
      </c>
      <c r="F48" s="223" t="s">
        <v>5104</v>
      </c>
      <c r="G48" s="167" t="s">
        <v>6061</v>
      </c>
      <c r="H48" s="167">
        <v>202</v>
      </c>
      <c r="I48" s="196" t="str">
        <f t="shared" si="1"/>
        <v/>
      </c>
      <c r="J48" s="196" t="str">
        <f t="shared" si="2"/>
        <v/>
      </c>
      <c r="K48" s="578" t="str">
        <f t="shared" si="3"/>
        <v/>
      </c>
    </row>
    <row r="49" spans="1:11" s="381" customFormat="1" ht="23.4" x14ac:dyDescent="0.25">
      <c r="A49" s="378" t="str">
        <f t="shared" si="4"/>
        <v/>
      </c>
      <c r="B49" s="180" t="s">
        <v>6453</v>
      </c>
      <c r="C49" s="510" t="s">
        <v>178</v>
      </c>
      <c r="D49" s="380">
        <v>5</v>
      </c>
      <c r="E49" s="570" t="s">
        <v>5102</v>
      </c>
      <c r="F49" s="223" t="s">
        <v>5101</v>
      </c>
      <c r="G49" s="167" t="s">
        <v>6061</v>
      </c>
      <c r="H49" s="167">
        <v>170</v>
      </c>
      <c r="I49" s="196" t="str">
        <f t="shared" si="1"/>
        <v/>
      </c>
      <c r="J49" s="196" t="str">
        <f t="shared" si="2"/>
        <v/>
      </c>
      <c r="K49" s="578" t="str">
        <f t="shared" si="3"/>
        <v/>
      </c>
    </row>
    <row r="50" spans="1:11" s="381" customFormat="1" ht="23.4" x14ac:dyDescent="0.25">
      <c r="A50" s="378" t="str">
        <f t="shared" si="4"/>
        <v/>
      </c>
      <c r="B50" s="180" t="s">
        <v>6453</v>
      </c>
      <c r="C50" s="276" t="s">
        <v>182</v>
      </c>
      <c r="D50" s="380">
        <v>5</v>
      </c>
      <c r="E50" s="570" t="s">
        <v>5102</v>
      </c>
      <c r="F50" s="223" t="s">
        <v>5101</v>
      </c>
      <c r="G50" s="167" t="s">
        <v>6061</v>
      </c>
      <c r="H50" s="167">
        <v>170</v>
      </c>
      <c r="I50" s="196" t="str">
        <f t="shared" si="1"/>
        <v/>
      </c>
      <c r="J50" s="196" t="str">
        <f t="shared" si="2"/>
        <v/>
      </c>
      <c r="K50" s="578" t="str">
        <f t="shared" si="3"/>
        <v/>
      </c>
    </row>
    <row r="51" spans="1:11" s="381" customFormat="1" ht="31.2" x14ac:dyDescent="0.25">
      <c r="A51" s="378" t="str">
        <f t="shared" si="4"/>
        <v/>
      </c>
      <c r="B51" s="180" t="s">
        <v>6454</v>
      </c>
      <c r="C51" s="511" t="s">
        <v>179</v>
      </c>
      <c r="D51" s="380">
        <v>7</v>
      </c>
      <c r="E51" s="570" t="s">
        <v>5112</v>
      </c>
      <c r="F51" s="223" t="s">
        <v>5111</v>
      </c>
      <c r="G51" s="167" t="s">
        <v>6061</v>
      </c>
      <c r="H51" s="167">
        <v>260</v>
      </c>
      <c r="I51" s="196" t="str">
        <f t="shared" si="1"/>
        <v/>
      </c>
      <c r="J51" s="196" t="str">
        <f t="shared" si="2"/>
        <v/>
      </c>
      <c r="K51" s="578" t="str">
        <f t="shared" si="3"/>
        <v/>
      </c>
    </row>
    <row r="52" spans="1:11" s="381" customFormat="1" ht="23.4" x14ac:dyDescent="0.25">
      <c r="A52" s="378" t="str">
        <f t="shared" si="4"/>
        <v/>
      </c>
      <c r="B52" s="180" t="s">
        <v>49</v>
      </c>
      <c r="C52" s="162" t="s">
        <v>47</v>
      </c>
      <c r="D52" s="380">
        <v>6</v>
      </c>
      <c r="E52" s="570" t="s">
        <v>5118</v>
      </c>
      <c r="F52" s="223" t="s">
        <v>5119</v>
      </c>
      <c r="G52" s="167" t="s">
        <v>2080</v>
      </c>
      <c r="H52" s="167">
        <v>243</v>
      </c>
      <c r="I52" s="196" t="str">
        <f t="shared" si="1"/>
        <v/>
      </c>
      <c r="J52" s="196" t="str">
        <f t="shared" si="2"/>
        <v/>
      </c>
      <c r="K52" s="578" t="str">
        <f t="shared" si="3"/>
        <v/>
      </c>
    </row>
    <row r="53" spans="1:11" s="381" customFormat="1" ht="23.4" x14ac:dyDescent="0.25">
      <c r="A53" s="378" t="str">
        <f t="shared" si="4"/>
        <v/>
      </c>
      <c r="B53" s="180" t="s">
        <v>167</v>
      </c>
      <c r="C53" s="162" t="s">
        <v>341</v>
      </c>
      <c r="D53" s="380">
        <v>10</v>
      </c>
      <c r="E53" s="570" t="s">
        <v>5145</v>
      </c>
      <c r="F53" s="223" t="s">
        <v>5146</v>
      </c>
      <c r="G53" s="167" t="s">
        <v>2080</v>
      </c>
      <c r="H53" s="167">
        <v>246</v>
      </c>
      <c r="I53" s="196" t="str">
        <f t="shared" si="1"/>
        <v/>
      </c>
      <c r="J53" s="196" t="str">
        <f t="shared" si="2"/>
        <v/>
      </c>
      <c r="K53" s="578" t="str">
        <f t="shared" si="3"/>
        <v/>
      </c>
    </row>
    <row r="54" spans="1:11" s="381" customFormat="1" ht="31.2" x14ac:dyDescent="0.25">
      <c r="A54" s="378" t="str">
        <f t="shared" si="4"/>
        <v/>
      </c>
      <c r="B54" s="180" t="s">
        <v>50</v>
      </c>
      <c r="C54" s="162" t="s">
        <v>47</v>
      </c>
      <c r="D54" s="380">
        <v>10</v>
      </c>
      <c r="E54" s="570" t="s">
        <v>6455</v>
      </c>
      <c r="F54" s="223" t="s">
        <v>5120</v>
      </c>
      <c r="G54" s="167" t="s">
        <v>2080</v>
      </c>
      <c r="H54" s="167">
        <v>243</v>
      </c>
      <c r="I54" s="196" t="str">
        <f t="shared" si="1"/>
        <v/>
      </c>
      <c r="J54" s="196" t="str">
        <f t="shared" si="2"/>
        <v/>
      </c>
      <c r="K54" s="578" t="str">
        <f t="shared" si="3"/>
        <v/>
      </c>
    </row>
    <row r="55" spans="1:11" s="381" customFormat="1" ht="39" x14ac:dyDescent="0.25">
      <c r="A55" s="378" t="str">
        <f t="shared" si="4"/>
        <v/>
      </c>
      <c r="B55" s="180" t="s">
        <v>32</v>
      </c>
      <c r="C55" s="507" t="s">
        <v>177</v>
      </c>
      <c r="D55" s="382">
        <v>9</v>
      </c>
      <c r="E55" s="570" t="str">
        <f>CONCATENATE("Ceux qui sont sous la surveillance de Shiba gagnent +1g1 à tous les jets de Compétence ou de Traits basés sur l'Intelligence et +",Intelligence," à leur ND d'Armure. Si vous entrez dans une escarmouche aux côté d'un membre de la famille Isawa, vous gagnez 1 point de Vide (ce point de Vide doit être utilisé avant la fin de l'escarmouche ou il est perdu)")</f>
        <v>Ceux qui sont sous la surveillance de Shiba gagnent +1g1 à tous les jets de Compétence ou de Traits basés sur l'Intelligence et +2 à leur ND d'Armure. Si vous entrez dans une escarmouche aux côté d'un membre de la famille Isawa, vous gagnez 1 point de Vide (ce point de Vide doit être utilisé avant la fin de l'escarmouche ou il est perdu)</v>
      </c>
      <c r="F55" s="223" t="s">
        <v>5171</v>
      </c>
      <c r="G55" s="167" t="s">
        <v>3</v>
      </c>
      <c r="H55" s="167">
        <v>244</v>
      </c>
      <c r="I55" s="196" t="str">
        <f t="shared" si="1"/>
        <v/>
      </c>
      <c r="J55" s="196" t="str">
        <f t="shared" si="2"/>
        <v/>
      </c>
      <c r="K55" s="578" t="str">
        <f t="shared" si="3"/>
        <v/>
      </c>
    </row>
    <row r="56" spans="1:11" s="381" customFormat="1" ht="39" x14ac:dyDescent="0.25">
      <c r="A56" s="378" t="str">
        <f t="shared" si="4"/>
        <v/>
      </c>
      <c r="B56" s="180" t="s">
        <v>42</v>
      </c>
      <c r="C56" s="511" t="s">
        <v>179</v>
      </c>
      <c r="D56" s="382">
        <v>8</v>
      </c>
      <c r="E56" s="570" t="s">
        <v>5180</v>
      </c>
      <c r="F56" s="223" t="s">
        <v>5181</v>
      </c>
      <c r="G56" s="167" t="s">
        <v>3</v>
      </c>
      <c r="H56" s="167">
        <v>243</v>
      </c>
      <c r="I56" s="196" t="str">
        <f t="shared" si="1"/>
        <v/>
      </c>
      <c r="J56" s="196" t="str">
        <f t="shared" si="2"/>
        <v/>
      </c>
      <c r="K56" s="578" t="str">
        <f t="shared" si="3"/>
        <v/>
      </c>
    </row>
    <row r="57" spans="1:11" s="381" customFormat="1" ht="31.2" x14ac:dyDescent="0.25">
      <c r="A57" s="378" t="str">
        <f t="shared" si="4"/>
        <v/>
      </c>
      <c r="B57" s="180" t="s">
        <v>35</v>
      </c>
      <c r="C57" s="508" t="s">
        <v>33</v>
      </c>
      <c r="D57" s="382">
        <v>8</v>
      </c>
      <c r="E57" s="570" t="s">
        <v>5174</v>
      </c>
      <c r="F57" s="223" t="s">
        <v>5175</v>
      </c>
      <c r="G57" s="167" t="s">
        <v>3</v>
      </c>
      <c r="H57" s="167">
        <v>244</v>
      </c>
      <c r="I57" s="196" t="str">
        <f t="shared" si="1"/>
        <v/>
      </c>
      <c r="J57" s="196" t="str">
        <f t="shared" si="2"/>
        <v/>
      </c>
      <c r="K57" s="578" t="str">
        <f t="shared" si="3"/>
        <v/>
      </c>
    </row>
    <row r="58" spans="1:11" s="381" customFormat="1" ht="31.2" x14ac:dyDescent="0.25">
      <c r="A58" s="378" t="str">
        <f t="shared" si="4"/>
        <v/>
      </c>
      <c r="B58" s="180" t="s">
        <v>6456</v>
      </c>
      <c r="C58" s="508" t="s">
        <v>33</v>
      </c>
      <c r="D58" s="380">
        <v>5</v>
      </c>
      <c r="E58" s="570" t="s">
        <v>5110</v>
      </c>
      <c r="F58" s="223" t="s">
        <v>5109</v>
      </c>
      <c r="G58" s="167" t="s">
        <v>6061</v>
      </c>
      <c r="H58" s="167">
        <v>230</v>
      </c>
      <c r="I58" s="196" t="str">
        <f t="shared" si="1"/>
        <v/>
      </c>
      <c r="J58" s="196" t="str">
        <f t="shared" si="2"/>
        <v/>
      </c>
      <c r="K58" s="578" t="str">
        <f t="shared" si="3"/>
        <v/>
      </c>
    </row>
    <row r="59" spans="1:11" s="381" customFormat="1" ht="31.2" x14ac:dyDescent="0.25">
      <c r="A59" s="378" t="str">
        <f t="shared" si="4"/>
        <v/>
      </c>
      <c r="B59" s="180" t="s">
        <v>6457</v>
      </c>
      <c r="C59" s="162" t="s">
        <v>61</v>
      </c>
      <c r="D59" s="380">
        <v>10</v>
      </c>
      <c r="E59" s="570" t="s">
        <v>5139</v>
      </c>
      <c r="F59" s="223" t="s">
        <v>5140</v>
      </c>
      <c r="G59" s="167" t="s">
        <v>2080</v>
      </c>
      <c r="H59" s="167">
        <v>246</v>
      </c>
      <c r="I59" s="196" t="str">
        <f t="shared" si="1"/>
        <v/>
      </c>
      <c r="J59" s="196" t="str">
        <f t="shared" si="2"/>
        <v/>
      </c>
      <c r="K59" s="578" t="str">
        <f t="shared" si="3"/>
        <v/>
      </c>
    </row>
    <row r="60" spans="1:11" s="381" customFormat="1" ht="31.2" x14ac:dyDescent="0.25">
      <c r="A60" s="378" t="str">
        <f t="shared" si="4"/>
        <v/>
      </c>
      <c r="B60" s="180" t="s">
        <v>7847</v>
      </c>
      <c r="C60" s="445" t="s">
        <v>6787</v>
      </c>
      <c r="D60" s="380">
        <v>5</v>
      </c>
      <c r="E60" s="570" t="s">
        <v>9055</v>
      </c>
      <c r="F60" s="223" t="s">
        <v>9065</v>
      </c>
      <c r="G60" s="167" t="s">
        <v>6831</v>
      </c>
      <c r="H60" s="167">
        <v>85</v>
      </c>
      <c r="I60" s="196" t="str">
        <f t="shared" si="1"/>
        <v/>
      </c>
      <c r="J60" s="196" t="str">
        <f t="shared" si="2"/>
        <v/>
      </c>
      <c r="K60" s="578" t="str">
        <f t="shared" si="3"/>
        <v/>
      </c>
    </row>
    <row r="61" spans="1:11" s="381" customFormat="1" ht="15.6" x14ac:dyDescent="0.25">
      <c r="A61" s="378" t="str">
        <f t="shared" si="4"/>
        <v/>
      </c>
      <c r="B61" s="180" t="s">
        <v>6458</v>
      </c>
      <c r="C61" s="510" t="s">
        <v>178</v>
      </c>
      <c r="D61" s="380">
        <v>6</v>
      </c>
      <c r="E61" s="570" t="str">
        <f>CONCATENATE("Alors que Tetsuken vous guide, vous pouvez remplacer votre Rang d'Honneur par ",Gloire*2," pour résister aux Effets de Peur, d'Intimidation ou de Tentation.")</f>
        <v>Alors que Tetsuken vous guide, vous pouvez remplacer votre Rang d'Honneur par 2 pour résister aux Effets de Peur, d'Intimidation ou de Tentation.</v>
      </c>
      <c r="F61" s="223" t="s">
        <v>5186</v>
      </c>
      <c r="G61" s="167" t="s">
        <v>2077</v>
      </c>
      <c r="H61" s="167">
        <v>122</v>
      </c>
      <c r="I61" s="196" t="str">
        <f t="shared" si="1"/>
        <v/>
      </c>
      <c r="J61" s="196" t="str">
        <f t="shared" si="2"/>
        <v/>
      </c>
      <c r="K61" s="578" t="str">
        <f t="shared" si="3"/>
        <v/>
      </c>
    </row>
    <row r="62" spans="1:11" s="381" customFormat="1" ht="23.4" x14ac:dyDescent="0.25">
      <c r="A62" s="378" t="str">
        <f t="shared" si="4"/>
        <v/>
      </c>
      <c r="B62" s="180" t="s">
        <v>6459</v>
      </c>
      <c r="C62" s="162" t="s">
        <v>341</v>
      </c>
      <c r="D62" s="380">
        <v>5</v>
      </c>
      <c r="E62" s="570" t="s">
        <v>5149</v>
      </c>
      <c r="F62" s="223" t="s">
        <v>5150</v>
      </c>
      <c r="G62" s="167" t="s">
        <v>2080</v>
      </c>
      <c r="H62" s="167">
        <v>246</v>
      </c>
      <c r="I62" s="196" t="str">
        <f t="shared" si="1"/>
        <v/>
      </c>
      <c r="J62" s="196" t="str">
        <f t="shared" si="2"/>
        <v/>
      </c>
      <c r="K62" s="578" t="str">
        <f t="shared" si="3"/>
        <v/>
      </c>
    </row>
    <row r="63" spans="1:11" s="381" customFormat="1" ht="23.4" x14ac:dyDescent="0.25">
      <c r="A63" s="378" t="str">
        <f t="shared" si="4"/>
        <v/>
      </c>
      <c r="B63" s="180" t="s">
        <v>6460</v>
      </c>
      <c r="C63" s="379" t="s">
        <v>15</v>
      </c>
      <c r="D63" s="380">
        <v>7</v>
      </c>
      <c r="E63" s="570" t="s">
        <v>5097</v>
      </c>
      <c r="F63" s="223" t="s">
        <v>5096</v>
      </c>
      <c r="G63" s="167" t="s">
        <v>6061</v>
      </c>
      <c r="H63" s="167">
        <v>104</v>
      </c>
      <c r="I63" s="196" t="str">
        <f t="shared" si="1"/>
        <v/>
      </c>
      <c r="J63" s="196" t="str">
        <f t="shared" si="2"/>
        <v/>
      </c>
      <c r="K63" s="578" t="str">
        <f t="shared" si="3"/>
        <v/>
      </c>
    </row>
    <row r="64" spans="1:11" s="381" customFormat="1" ht="23.4" x14ac:dyDescent="0.25">
      <c r="A64" s="378" t="str">
        <f t="shared" si="4"/>
        <v/>
      </c>
      <c r="B64" s="180" t="s">
        <v>166</v>
      </c>
      <c r="C64" s="162" t="s">
        <v>185</v>
      </c>
      <c r="D64" s="380">
        <v>3</v>
      </c>
      <c r="E64" s="570" t="s">
        <v>9056</v>
      </c>
      <c r="F64" s="223" t="s">
        <v>5131</v>
      </c>
      <c r="G64" s="167" t="s">
        <v>2080</v>
      </c>
      <c r="H64" s="167">
        <v>244</v>
      </c>
      <c r="I64" s="196" t="str">
        <f t="shared" si="1"/>
        <v/>
      </c>
      <c r="J64" s="196" t="str">
        <f t="shared" si="2"/>
        <v/>
      </c>
      <c r="K64" s="578" t="str">
        <f t="shared" si="3"/>
        <v/>
      </c>
    </row>
    <row r="65" spans="1:11" s="381" customFormat="1" ht="23.4" x14ac:dyDescent="0.25">
      <c r="A65" s="378" t="str">
        <f t="shared" si="4"/>
        <v/>
      </c>
      <c r="B65" s="180" t="s">
        <v>6461</v>
      </c>
      <c r="C65" s="162" t="s">
        <v>335</v>
      </c>
      <c r="D65" s="380">
        <v>3</v>
      </c>
      <c r="E65" s="570" t="s">
        <v>5127</v>
      </c>
      <c r="F65" s="223" t="s">
        <v>5128</v>
      </c>
      <c r="G65" s="167" t="s">
        <v>2080</v>
      </c>
      <c r="H65" s="167">
        <v>244</v>
      </c>
      <c r="I65" s="196" t="str">
        <f t="shared" si="1"/>
        <v/>
      </c>
      <c r="J65" s="196" t="str">
        <f t="shared" si="2"/>
        <v/>
      </c>
      <c r="K65" s="578" t="str">
        <f t="shared" si="3"/>
        <v/>
      </c>
    </row>
    <row r="66" spans="1:11" s="381" customFormat="1" ht="23.4" x14ac:dyDescent="0.25">
      <c r="A66" s="378" t="str">
        <f t="shared" si="4"/>
        <v/>
      </c>
      <c r="B66" s="180" t="s">
        <v>155</v>
      </c>
      <c r="C66" s="162" t="s">
        <v>337</v>
      </c>
      <c r="D66" s="380">
        <v>6</v>
      </c>
      <c r="E66" s="570" t="s">
        <v>5132</v>
      </c>
      <c r="F66" s="223" t="s">
        <v>5133</v>
      </c>
      <c r="G66" s="167" t="s">
        <v>2080</v>
      </c>
      <c r="H66" s="167">
        <v>244</v>
      </c>
      <c r="I66" s="196" t="str">
        <f t="shared" si="1"/>
        <v/>
      </c>
      <c r="J66" s="196" t="str">
        <f t="shared" si="2"/>
        <v/>
      </c>
      <c r="K66" s="578" t="str">
        <f t="shared" si="3"/>
        <v/>
      </c>
    </row>
    <row r="67" spans="1:11" s="381" customFormat="1" ht="31.2" x14ac:dyDescent="0.25">
      <c r="A67" s="378" t="str">
        <f t="shared" si="4"/>
        <v/>
      </c>
      <c r="B67" s="180" t="s">
        <v>6462</v>
      </c>
      <c r="C67" s="162" t="s">
        <v>184</v>
      </c>
      <c r="D67" s="380">
        <v>7</v>
      </c>
      <c r="E67" s="570" t="s">
        <v>5129</v>
      </c>
      <c r="F67" s="223" t="s">
        <v>5130</v>
      </c>
      <c r="G67" s="167" t="s">
        <v>2080</v>
      </c>
      <c r="H67" s="167">
        <v>244</v>
      </c>
      <c r="I67" s="196" t="str">
        <f t="shared" ref="I67:I69" si="5">IF(A67="","",ROW())</f>
        <v/>
      </c>
      <c r="J67" s="196" t="str">
        <f t="shared" ref="J67:J69" si="6">IFERROR(SMALL(I:I,ROW()-1),"")</f>
        <v/>
      </c>
      <c r="K67" s="578" t="str">
        <f t="shared" ref="K67:K69" si="7">IFERROR(INDEX(B:B,J67),"")</f>
        <v/>
      </c>
    </row>
    <row r="68" spans="1:11" s="381" customFormat="1" ht="23.4" x14ac:dyDescent="0.25">
      <c r="A68" s="378" t="str">
        <f t="shared" ref="A68:A69" si="8">IF(MauditYomi&gt;0,"",IF(Clan=C68,B68,""))</f>
        <v/>
      </c>
      <c r="B68" s="180" t="s">
        <v>37</v>
      </c>
      <c r="C68" s="508" t="s">
        <v>33</v>
      </c>
      <c r="D68" s="380">
        <v>6</v>
      </c>
      <c r="E68" s="570" t="s">
        <v>5108</v>
      </c>
      <c r="F68" s="223" t="s">
        <v>5107</v>
      </c>
      <c r="G68" s="167" t="s">
        <v>6061</v>
      </c>
      <c r="H68" s="167">
        <v>230</v>
      </c>
      <c r="I68" s="196" t="str">
        <f t="shared" si="5"/>
        <v/>
      </c>
      <c r="J68" s="196" t="str">
        <f t="shared" si="6"/>
        <v/>
      </c>
      <c r="K68" s="578" t="str">
        <f t="shared" si="7"/>
        <v/>
      </c>
    </row>
    <row r="69" spans="1:11" s="381" customFormat="1" ht="31.2" x14ac:dyDescent="0.25">
      <c r="A69" s="378" t="str">
        <f t="shared" si="8"/>
        <v/>
      </c>
      <c r="B69" s="180" t="s">
        <v>6463</v>
      </c>
      <c r="C69" s="509" t="s">
        <v>181</v>
      </c>
      <c r="D69" s="380">
        <v>6</v>
      </c>
      <c r="E69" s="570" t="str">
        <f>CONCATENATE("Pour chaque avantage de Savoir Interdit vous possédez, vous bénéficiez d'un bonus de +",Souillure+2," au total de tous les jets d'Incantation,+",Souillure+4," à la place si le test vise à lancer un sort de Maho.")</f>
        <v>Pour chaque avantage de Savoir Interdit vous possédez, vous bénéficiez d'un bonus de +2 au total de tous les jets d'Incantation,+4 à la place si le test vise à lancer un sort de Maho.</v>
      </c>
      <c r="F69" s="223" t="s">
        <v>5117</v>
      </c>
      <c r="G69" s="167" t="s">
        <v>6061</v>
      </c>
      <c r="H69" s="167">
        <v>283</v>
      </c>
      <c r="I69" s="196" t="str">
        <f t="shared" si="5"/>
        <v/>
      </c>
      <c r="J69" s="196" t="str">
        <f t="shared" si="6"/>
        <v/>
      </c>
      <c r="K69" s="578" t="str">
        <f t="shared" si="7"/>
        <v/>
      </c>
    </row>
  </sheetData>
  <sheetProtection selectLockedCells="1" selectUnlockedCells="1"/>
  <sortState xmlns:xlrd2="http://schemas.microsoft.com/office/spreadsheetml/2017/richdata2" ref="A2:H62">
    <sortCondition ref="A2:A62"/>
    <sortCondition ref="C2:C62"/>
  </sortState>
  <mergeCells count="1">
    <mergeCell ref="I1:K1"/>
  </mergeCells>
  <pageMargins left="0.15748031496062992" right="0.15748031496062992" top="0.15748031496062992" bottom="0.15748031496062992" header="0.31496062992125984" footer="0.31496062992125984"/>
  <pageSetup firstPageNumber="0" orientation="landscape" horizontalDpi="300" verticalDpi="300" r:id="rId1"/>
  <headerFooter alignWithMargins="0">
    <oddHeader>&amp;C&amp;A</oddHeader>
    <oddFooter>&amp;CPage &amp;P</oddFooter>
  </headerFooter>
  <ignoredErrors>
    <ignoredError sqref="D3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85"/>
  <sheetViews>
    <sheetView workbookViewId="0">
      <pane ySplit="1" topLeftCell="A2" activePane="bottomLeft" state="frozen"/>
      <selection pane="bottomLeft"/>
    </sheetView>
  </sheetViews>
  <sheetFormatPr baseColWidth="10" defaultRowHeight="13.2" x14ac:dyDescent="0.25"/>
  <cols>
    <col min="1" max="1" width="14.33203125" customWidth="1"/>
    <col min="2" max="2" width="72.44140625" customWidth="1"/>
    <col min="3" max="3" width="18.109375" style="180" customWidth="1"/>
    <col min="4" max="4" width="5.6640625" customWidth="1"/>
    <col min="5" max="256" width="12.44140625" customWidth="1"/>
  </cols>
  <sheetData>
    <row r="1" spans="1:5" s="10" customFormat="1" x14ac:dyDescent="0.25">
      <c r="A1" s="25" t="s">
        <v>379</v>
      </c>
      <c r="B1" s="25" t="s">
        <v>3415</v>
      </c>
      <c r="C1" s="563" t="s">
        <v>0</v>
      </c>
      <c r="D1" s="25" t="s">
        <v>1</v>
      </c>
      <c r="E1" s="25"/>
    </row>
    <row r="2" spans="1:5" ht="15" customHeight="1" x14ac:dyDescent="0.25">
      <c r="A2" t="s">
        <v>324</v>
      </c>
      <c r="B2" s="159" t="str">
        <f>CONCATENATE("Au prix d'une AC vous pouvez sauter d'une distance égale ou inférieure à ",Eau*7.5,"m")</f>
        <v>Au prix d'une AC vous pouvez sauter d'une distance égale ou inférieure à 15m</v>
      </c>
      <c r="C2" s="180" t="s">
        <v>3</v>
      </c>
      <c r="D2">
        <v>112</v>
      </c>
    </row>
    <row r="3" spans="1:5" s="196" customFormat="1" ht="15" customHeight="1" x14ac:dyDescent="0.25">
      <c r="A3" s="196" t="s">
        <v>8384</v>
      </c>
      <c r="B3" s="159" t="str">
        <f>CONCATENATE("Tant que ce tatouage est actif, vous pouvez déclarer une jusqu'à ",Vide+1, " augmentations au lieu de ",Vide)</f>
        <v>Tant que ce tatouage est actif, vous pouvez déclarer une jusqu'à 3 augmentations au lieu de 2</v>
      </c>
      <c r="C3" s="180" t="s">
        <v>7759</v>
      </c>
      <c r="D3" s="196">
        <v>17</v>
      </c>
    </row>
    <row r="4" spans="1:5" ht="15" customHeight="1" x14ac:dyDescent="0.25">
      <c r="A4" t="s">
        <v>181</v>
      </c>
      <c r="B4" s="159" t="s">
        <v>5665</v>
      </c>
      <c r="C4" s="180" t="s">
        <v>3</v>
      </c>
      <c r="D4">
        <v>112</v>
      </c>
    </row>
    <row r="5" spans="1:5" ht="15" customHeight="1" x14ac:dyDescent="0.25">
      <c r="A5" t="s">
        <v>7335</v>
      </c>
      <c r="B5" s="159" t="s">
        <v>7363</v>
      </c>
      <c r="C5" s="180" t="s">
        <v>7226</v>
      </c>
      <c r="D5">
        <v>29</v>
      </c>
    </row>
    <row r="6" spans="1:5" ht="15" customHeight="1" x14ac:dyDescent="0.25">
      <c r="A6" t="s">
        <v>1867</v>
      </c>
      <c r="B6" s="159" t="str">
        <f>CONCATENATE("En activant ce tatouage, votre ND d'armure est augmenté de ",(Recto!F5*2)+5," (soit Votre Rang d'EcoleX2)+5.")</f>
        <v>En activant ce tatouage, votre ND d'armure est augmenté de 5 (soit Votre Rang d'EcoleX2)+5.</v>
      </c>
      <c r="C6" s="180" t="s">
        <v>3</v>
      </c>
      <c r="D6">
        <v>112</v>
      </c>
    </row>
    <row r="7" spans="1:5" ht="24" customHeight="1" x14ac:dyDescent="0.25">
      <c r="A7" t="s">
        <v>433</v>
      </c>
      <c r="B7" s="159" t="s">
        <v>8379</v>
      </c>
      <c r="C7" s="180" t="s">
        <v>8381</v>
      </c>
      <c r="D7" t="s">
        <v>8380</v>
      </c>
    </row>
    <row r="8" spans="1:5" ht="15" customHeight="1" x14ac:dyDescent="0.25">
      <c r="A8" t="s">
        <v>7338</v>
      </c>
      <c r="B8" s="159" t="str">
        <f>CONCATENATE("Si vous activez ce tatouage avant de faire une test de compétence, vous pouvez utiliser ",Vide," au lieu de la valeur du Trait correspondant. Vous pouvez dépenser un Pvide supplémentaire pour ce test.")</f>
        <v>Si vous activez ce tatouage avant de faire une test de compétence, vous pouvez utiliser 2 au lieu de la valeur du Trait correspondant. Vous pouvez dépenser un Pvide supplémentaire pour ce test.</v>
      </c>
      <c r="C8" s="180" t="s">
        <v>7226</v>
      </c>
      <c r="D8">
        <v>29</v>
      </c>
    </row>
    <row r="9" spans="1:5" ht="15" customHeight="1" x14ac:dyDescent="0.25">
      <c r="A9" t="s">
        <v>7340</v>
      </c>
      <c r="B9" s="159" t="s">
        <v>7341</v>
      </c>
      <c r="C9" s="180" t="s">
        <v>7226</v>
      </c>
      <c r="D9">
        <v>29</v>
      </c>
    </row>
    <row r="10" spans="1:5" ht="15" customHeight="1" x14ac:dyDescent="0.25">
      <c r="A10" t="s">
        <v>6758</v>
      </c>
      <c r="B10" s="159" t="s">
        <v>9057</v>
      </c>
      <c r="C10" s="180" t="s">
        <v>7226</v>
      </c>
      <c r="D10">
        <v>2</v>
      </c>
    </row>
    <row r="11" spans="1:5" s="196" customFormat="1" ht="15" customHeight="1" x14ac:dyDescent="0.25">
      <c r="A11" s="196" t="s">
        <v>183</v>
      </c>
      <c r="B11" s="159" t="s">
        <v>8378</v>
      </c>
      <c r="C11" s="180" t="s">
        <v>7759</v>
      </c>
      <c r="D11" s="196">
        <v>16</v>
      </c>
    </row>
    <row r="12" spans="1:5" ht="15" customHeight="1" x14ac:dyDescent="0.25">
      <c r="A12" t="s">
        <v>6762</v>
      </c>
      <c r="B12" s="159" t="str">
        <f>CONCATENATE("Lorsque vous effectuez la manœuvre de garde, votre cible gagne aussi ",Recto!F5," points de Réduction")</f>
        <v>Lorsque vous effectuez la manœuvre de garde, votre cible gagne aussi  points de Réduction</v>
      </c>
      <c r="C12" s="180" t="s">
        <v>7226</v>
      </c>
      <c r="D12">
        <v>28</v>
      </c>
    </row>
    <row r="13" spans="1:5" ht="15" customHeight="1" x14ac:dyDescent="0.25">
      <c r="A13" t="s">
        <v>7343</v>
      </c>
      <c r="B13" s="159" t="str">
        <f>CONCATENATE("Permet de se soigner de ",Recto!F5^2," blessures (Rang de maitrise au carré)")</f>
        <v>Permet de se soigner de 0 blessures (Rang de maitrise au carré)</v>
      </c>
      <c r="C13" s="180" t="s">
        <v>7226</v>
      </c>
      <c r="D13" s="196">
        <v>29</v>
      </c>
    </row>
    <row r="14" spans="1:5" ht="15" customHeight="1" x14ac:dyDescent="0.25">
      <c r="A14" t="s">
        <v>7367</v>
      </c>
      <c r="B14" s="159" t="s">
        <v>7368</v>
      </c>
      <c r="C14" s="180" t="s">
        <v>7226</v>
      </c>
      <c r="D14">
        <v>30</v>
      </c>
    </row>
    <row r="15" spans="1:5" ht="15" customHeight="1" x14ac:dyDescent="0.25">
      <c r="A15" t="s">
        <v>6770</v>
      </c>
      <c r="B15" s="159" t="str">
        <f>CONCATENATE("Tant que ce tatouage est actif, le ND  de toute manoeuvre de désarmement, feinte, étourdissement, attaque supplémentaire ou tir ciblé qui vous cible est augmenté de ",Recto!F5," (Votre Rang d'EcoleX5).")</f>
        <v>Tant que ce tatouage est actif, le ND  de toute manoeuvre de désarmement, feinte, étourdissement, attaque supplémentaire ou tir ciblé qui vous cible est augmenté de  (Votre Rang d'EcoleX5).</v>
      </c>
      <c r="C15" s="180" t="s">
        <v>7226</v>
      </c>
      <c r="D15">
        <v>30</v>
      </c>
    </row>
    <row r="16" spans="1:5" ht="23.25" customHeight="1" x14ac:dyDescent="0.25">
      <c r="A16" t="s">
        <v>7345</v>
      </c>
      <c r="B16" s="159" t="str">
        <f>CONCATENATE("[Continu] A chaque fois que vous faites un test de Terre pour résister à la Souillure (tant que vous ne la contractez pas volontairement comme par exemple en usant de maho), lancez ",Recto!F5*2," dé(s) supplémentaires sans les garder.")</f>
        <v>[Continu] A chaque fois que vous faites un test de Terre pour résister à la Souillure (tant que vous ne la contractez pas volontairement comme par exemple en usant de maho), lancez 0 dé(s) supplémentaires sans les garder.</v>
      </c>
      <c r="C16" s="180" t="s">
        <v>8381</v>
      </c>
      <c r="D16" t="s">
        <v>8380</v>
      </c>
    </row>
    <row r="17" spans="1:4" ht="15" customHeight="1" x14ac:dyDescent="0.25">
      <c r="A17" t="s">
        <v>175</v>
      </c>
      <c r="B17" s="159" t="str">
        <f>CONCATENATE("En activant ce tatouage, vous gagnez ",Terre," pts de réduction (égaux à votre Anneau de Terre).")</f>
        <v>En activant ce tatouage, vous gagnez 2 pts de réduction (égaux à votre Anneau de Terre).</v>
      </c>
      <c r="C17" s="180" t="s">
        <v>3</v>
      </c>
      <c r="D17">
        <v>112</v>
      </c>
    </row>
    <row r="18" spans="1:4" ht="15" customHeight="1" x14ac:dyDescent="0.25">
      <c r="A18" t="s">
        <v>7344</v>
      </c>
      <c r="B18" s="159" t="s">
        <v>7352</v>
      </c>
      <c r="C18" s="180" t="s">
        <v>7226</v>
      </c>
      <c r="D18">
        <v>29</v>
      </c>
    </row>
    <row r="19" spans="1:4" ht="21.6" customHeight="1" x14ac:dyDescent="0.25">
      <c r="A19" t="s">
        <v>15</v>
      </c>
      <c r="B19" s="159" t="str">
        <f>CONCATENATE("Au prix d'une AC vous pouvez cracher des flammes sous la forme d'un cône long de ",Recto!F5+3," m et large de 1,5m. Ces flammes infligent ",Feu, " dommages à tous ceux qui sont dans la zone d'effet, vous y compris.")</f>
        <v>Au prix d'une AC vous pouvez cracher des flammes sous la forme d'un cône long de 3 m et large de 1,5m. Ces flammes infligent 2 dommages à tous ceux qui sont dans la zone d'effet, vous y compris.</v>
      </c>
      <c r="C19" s="180" t="s">
        <v>3</v>
      </c>
      <c r="D19">
        <v>112</v>
      </c>
    </row>
    <row r="20" spans="1:4" ht="15" customHeight="1" x14ac:dyDescent="0.25">
      <c r="A20" t="s">
        <v>7355</v>
      </c>
      <c r="B20" s="159" t="str">
        <f>CONCATENATE("Au prix d'une AC vous pouvez cracher du froid sous la forme d'un cône long de ",Recto!F5+3," m et large de 1,5m. Ce givre inflige ",Eau, " dommages à tous ceux qui sont dans la zone d'effet, vous y compris.")</f>
        <v>Au prix d'une AC vous pouvez cracher du froid sous la forme d'un cône long de 3 m et large de 1,5m. Ce givre inflige 2 dommages à tous ceux qui sont dans la zone d'effet, vous y compris.</v>
      </c>
      <c r="C20" s="180" t="s">
        <v>7226</v>
      </c>
      <c r="D20" s="196">
        <v>31</v>
      </c>
    </row>
    <row r="21" spans="1:4" ht="15" customHeight="1" x14ac:dyDescent="0.25">
      <c r="A21" t="s">
        <v>7285</v>
      </c>
      <c r="B21" s="159" t="s">
        <v>7353</v>
      </c>
      <c r="C21" s="180" t="s">
        <v>7226</v>
      </c>
      <c r="D21">
        <v>29</v>
      </c>
    </row>
    <row r="22" spans="1:4" ht="15" customHeight="1" x14ac:dyDescent="0.25">
      <c r="A22" t="s">
        <v>321</v>
      </c>
      <c r="B22" s="159" t="str">
        <f>CONCATENATE("Tant que ce tatouage est actif, vos attaques à Mains Nues qui touchent s'accompagnent de flammes qui font ",Feu+Recto!F5," dégats supplémentaires de Feu (soit votre Anneau de Feu + Votre Rang d'Ecole)")</f>
        <v>Tant que ce tatouage est actif, vos attaques à Mains Nues qui touchent s'accompagnent de flammes qui font 2 dégats supplémentaires de Feu (soit votre Anneau de Feu + Votre Rang d'Ecole)</v>
      </c>
      <c r="C22" s="180" t="s">
        <v>3</v>
      </c>
      <c r="D22" s="196">
        <v>112</v>
      </c>
    </row>
    <row r="23" spans="1:4" ht="15" customHeight="1" x14ac:dyDescent="0.25">
      <c r="A23" t="s">
        <v>319</v>
      </c>
      <c r="B23" s="159" t="str">
        <f>CONCATENATE("Tant que ce tatouage est actif, le ND d'incantation de tout sort qui vous cible est augmenté (ou diminué à votre choix lors de l'activation) de ",(Recto!F5*2)+5," (soit votre Rang d'EcoleX2)+5.")</f>
        <v>Tant que ce tatouage est actif, le ND d'incantation de tout sort qui vous cible est augmenté (ou diminué à votre choix lors de l'activation) de 5 (soit votre Rang d'EcoleX2)+5.</v>
      </c>
      <c r="C23" s="180" t="s">
        <v>3</v>
      </c>
      <c r="D23">
        <v>112</v>
      </c>
    </row>
    <row r="24" spans="1:4" ht="15" customHeight="1" x14ac:dyDescent="0.25">
      <c r="A24" t="s">
        <v>8382</v>
      </c>
      <c r="B24" s="159" t="str">
        <f>CONCATENATE("Quand vous activez ce tatouage vous pouvez dépenser un Pvide pour donner un Pvide à un personnage situé dans un rayon de ",15*Recto!F5," m. Vous pouvez choisir une seconde cible au rang d'école 3 de l'Ordre Tatoué, une troisième cible au rang 5.")</f>
        <v>Quand vous activez ce tatouage vous pouvez dépenser un Pvide pour donner un Pvide à un personnage situé dans un rayon de 0 m. Vous pouvez choisir une seconde cible au rang d'école 3 de l'Ordre Tatoué, une troisième cible au rang 5.</v>
      </c>
      <c r="C24" s="180" t="s">
        <v>7226</v>
      </c>
      <c r="D24">
        <v>31</v>
      </c>
    </row>
    <row r="25" spans="1:4" ht="15.6" x14ac:dyDescent="0.25">
      <c r="A25" t="s">
        <v>8383</v>
      </c>
      <c r="B25" s="159" t="str">
        <f>CONCATENATE("Vous pouvez activer ce tatouage lorsque quelqu'un tente un jet d'opposition social basé sur l'Intuition contre vous. Lancez sans les garder ",Maitrise," dés supplémantaires.")</f>
        <v>Vous pouvez activer ce tatouage lorsque quelqu'un tente un jet d'opposition social basé sur l'Intuition contre vous. Lancez sans les garder  dés supplémantaires.</v>
      </c>
      <c r="C25" s="180" t="s">
        <v>7226</v>
      </c>
      <c r="D25" s="196">
        <v>29</v>
      </c>
    </row>
    <row r="26" spans="1:4" ht="22.95" customHeight="1" x14ac:dyDescent="0.25">
      <c r="A26" t="s">
        <v>384</v>
      </c>
      <c r="B26" s="159" t="str">
        <f>CONCATENATE("[Continu] Ajoutez ",Recto!F5," dé(s) non gardés à chacun de vos tests d'Honneur")</f>
        <v>[Continu] Ajoutez  dé(s) non gardés à chacun de vos tests d'Honneur</v>
      </c>
      <c r="C26" s="180" t="s">
        <v>7226</v>
      </c>
      <c r="D26">
        <v>29</v>
      </c>
    </row>
    <row r="27" spans="1:4" s="196" customFormat="1" ht="22.95" customHeight="1" x14ac:dyDescent="0.25">
      <c r="A27" s="196" t="s">
        <v>7342</v>
      </c>
      <c r="B27" s="159" t="str">
        <f>CONCATENATE("Tant que ce tatouage est actif, vous pouvez lancer ",Réputation, " dés supplémentaires à vos jets d'honneur")</f>
        <v>Tant que ce tatouage est actif, vous pouvez lancer 1 dés supplémentaires à vos jets d'honneur</v>
      </c>
      <c r="C27" s="180" t="s">
        <v>7759</v>
      </c>
      <c r="D27" s="196">
        <v>16</v>
      </c>
    </row>
    <row r="28" spans="1:4" s="196" customFormat="1" ht="22.95" customHeight="1" x14ac:dyDescent="0.25">
      <c r="A28" s="196" t="s">
        <v>8385</v>
      </c>
      <c r="B28" s="159" t="str">
        <f>CONCATENATE("Tant que ce tatouage est actif, vous gagnez un bonus de +",Réputation+Terre, "  à tous vos jets de Méditation")</f>
        <v>Tant que ce tatouage est actif, vous gagnez un bonus de +3  à tous vos jets de Méditation</v>
      </c>
      <c r="C28" s="180" t="s">
        <v>7759</v>
      </c>
      <c r="D28" s="196">
        <v>16</v>
      </c>
    </row>
    <row r="29" spans="1:4" ht="15" customHeight="1" x14ac:dyDescent="0.25">
      <c r="A29" t="s">
        <v>176</v>
      </c>
      <c r="B29" s="159" t="str">
        <f>CONCATENATE("Qd. Vous activez ce tatouage vous gagnez ",Recto!F5+Air," dés qui peuvent servir à vous donner un bonus de +1g0 dans vos compétences Sociales. Si vous ne les utilisez pas dans l'heure, ils sont perdus. Bonus Max=votre Anneau de Vide. Vous ne pouvez pas porter le tatouage de la Grue des Neiges")</f>
        <v>Qd. Vous activez ce tatouage vous gagnez 2 dés qui peuvent servir à vous donner un bonus de +1g0 dans vos compétences Sociales. Si vous ne les utilisez pas dans l'heure, ils sont perdus. Bonus Max=votre Anneau de Vide. Vous ne pouvez pas porter le tatouage de la Grue des Neiges</v>
      </c>
      <c r="C29" s="180" t="s">
        <v>3</v>
      </c>
      <c r="D29" s="196">
        <v>112</v>
      </c>
    </row>
    <row r="30" spans="1:4" ht="15" customHeight="1" x14ac:dyDescent="0.25">
      <c r="A30" t="s">
        <v>7374</v>
      </c>
      <c r="B30" s="159" t="str">
        <f>CONCATENATE("Vous gagnez un Pvide que vous ne pouvez utiliser que pendant un duel. Tous vos jets en duels sont augmentés de ",Maitrise," Vous ne pouvez avoir de tatouage de la Grue")</f>
        <v>Vous gagnez un Pvide que vous ne pouvez utiliser que pendant un duel. Tous vos jets en duels sont augmentés de  Vous ne pouvez avoir de tatouage de la Grue</v>
      </c>
      <c r="C30" s="180" t="s">
        <v>7226</v>
      </c>
      <c r="D30" s="196">
        <v>31</v>
      </c>
    </row>
    <row r="31" spans="1:4" ht="15" customHeight="1" x14ac:dyDescent="0.25">
      <c r="A31" t="s">
        <v>2103</v>
      </c>
      <c r="B31" s="159" t="str">
        <f>CONCATENATE("Tant que ce tatouage est actif, ajoutez ",Recto!F11," dé(s) non gardés à un test de compétence Sociale de votre choix")</f>
        <v>Tant que ce tatouage est actif, ajoutez  dé(s) non gardés à un test de compétence Sociale de votre choix</v>
      </c>
      <c r="C31" s="180" t="s">
        <v>7226</v>
      </c>
      <c r="D31" s="196">
        <v>31</v>
      </c>
    </row>
    <row r="32" spans="1:4" ht="15" customHeight="1" x14ac:dyDescent="0.25">
      <c r="A32" t="s">
        <v>4444</v>
      </c>
      <c r="B32" s="159" t="s">
        <v>5591</v>
      </c>
      <c r="C32" s="564" t="s">
        <v>6061</v>
      </c>
      <c r="D32" s="195">
        <v>89</v>
      </c>
    </row>
    <row r="33" spans="1:4" x14ac:dyDescent="0.25">
      <c r="A33" t="s">
        <v>109</v>
      </c>
      <c r="B33" s="159" t="s">
        <v>5666</v>
      </c>
      <c r="C33" s="180" t="s">
        <v>3</v>
      </c>
      <c r="D33">
        <v>112</v>
      </c>
    </row>
    <row r="34" spans="1:4" ht="15.6" x14ac:dyDescent="0.25">
      <c r="A34" t="s">
        <v>23</v>
      </c>
      <c r="B34" s="159" t="s">
        <v>7378</v>
      </c>
      <c r="C34" s="180" t="s">
        <v>7226</v>
      </c>
      <c r="D34" s="196">
        <v>30</v>
      </c>
    </row>
    <row r="35" spans="1:4" ht="15.6" x14ac:dyDescent="0.25">
      <c r="A35" t="s">
        <v>4445</v>
      </c>
      <c r="B35" s="159" t="s">
        <v>5670</v>
      </c>
      <c r="C35" s="564" t="s">
        <v>6061</v>
      </c>
      <c r="D35" s="195">
        <v>97</v>
      </c>
    </row>
    <row r="36" spans="1:4" ht="23.4" x14ac:dyDescent="0.25">
      <c r="A36" t="s">
        <v>335</v>
      </c>
      <c r="B36" s="159" t="s">
        <v>7346</v>
      </c>
      <c r="C36" s="180" t="s">
        <v>7226</v>
      </c>
      <c r="D36" s="196">
        <v>29</v>
      </c>
    </row>
    <row r="37" spans="1:4" ht="15.6" x14ac:dyDescent="0.25">
      <c r="A37" t="s">
        <v>184</v>
      </c>
      <c r="B37" s="159" t="str">
        <f>CONCATENATE("Ajoutez deux fois votre Rg. D'école à votre Anneau d'Eau pour calculer votre mouvement tant que ce tatouage est actif. Votre score d'Anneau d'Eau est donc égal à ",Recto!F5*2+Eau," tant que ce tatouage est actif.")</f>
        <v>Ajoutez deux fois votre Rg. D'école à votre Anneau d'Eau pour calculer votre mouvement tant que ce tatouage est actif. Votre score d'Anneau d'Eau est donc égal à 2 tant que ce tatouage est actif.</v>
      </c>
      <c r="C37" s="180" t="s">
        <v>7226</v>
      </c>
      <c r="D37" s="196">
        <v>30</v>
      </c>
    </row>
    <row r="38" spans="1:4" ht="17.25" customHeight="1" x14ac:dyDescent="0.25">
      <c r="A38" t="s">
        <v>20</v>
      </c>
      <c r="B38" s="159" t="str">
        <f>CONCATENATE("En activant ce tatouage vous gagnez ",Recto!F5," Rangs (votre Rang de Maîtrise) dans la compétence de Bugei de votre choix. Ces rangs ne s'ajoutent pas à vos rangs de compétences actuels, ils les remplacent si votre rang d'Ecole est plus haut.")</f>
        <v>En activant ce tatouage vous gagnez  Rangs (votre Rang de Maîtrise) dans la compétence de Bugei de votre choix. Ces rangs ne s'ajoutent pas à vos rangs de compétences actuels, ils les remplacent si votre rang d'Ecole est plus haut.</v>
      </c>
      <c r="C38" s="180" t="s">
        <v>3</v>
      </c>
      <c r="D38" s="196">
        <v>112</v>
      </c>
    </row>
    <row r="39" spans="1:4" ht="15.6" x14ac:dyDescent="0.25">
      <c r="A39" t="s">
        <v>332</v>
      </c>
      <c r="B39" s="159" t="str">
        <f>CONCATENATE("En activant ce tatouage vous gagnez ",Recto!F5," Rangs (votre Rang de Maîtrise) dans la compétence de Chasse (Pistage). Cet effet dure ",Recto!F5," h (égal à votre Rang de Maîtrise.")</f>
        <v>En activant ce tatouage vous gagnez  Rangs (votre Rang de Maîtrise) dans la compétence de Chasse (Pistage). Cet effet dure  h (égal à votre Rang de Maîtrise.</v>
      </c>
      <c r="C39" s="180" t="s">
        <v>3</v>
      </c>
      <c r="D39" s="196">
        <v>112</v>
      </c>
    </row>
    <row r="40" spans="1:4" ht="23.4" x14ac:dyDescent="0.25">
      <c r="A40" t="s">
        <v>7359</v>
      </c>
      <c r="B40" s="159" t="str">
        <f>CONCATENATE("Tant que ce tatouage est actif, le porteur devient une ombre intangible pendant au maximum ",Recto!F5*10," minutes. Il ne peut toufefois pas traverser les objets et les effets magiques le touchent normalement. Subit un rang de blessure complet pour chaque heure passée sous cette forme, ne peut utiliser aucune compétence, technique ni parler.")</f>
        <v>Tant que ce tatouage est actif, le porteur devient une ombre intangible pendant au maximum 0 minutes. Il ne peut toufefois pas traverser les objets et les effets magiques le touchent normalement. Subit un rang de blessure complet pour chaque heure passée sous cette forme, ne peut utiliser aucune compétence, technique ni parler.</v>
      </c>
      <c r="C40" s="180" t="s">
        <v>7226</v>
      </c>
      <c r="D40" s="196">
        <v>30</v>
      </c>
    </row>
    <row r="41" spans="1:4" ht="15.6" x14ac:dyDescent="0.25">
      <c r="A41" t="s">
        <v>7360</v>
      </c>
      <c r="B41" s="159" t="s">
        <v>7361</v>
      </c>
      <c r="C41" s="180" t="s">
        <v>7226</v>
      </c>
      <c r="D41" s="196">
        <v>30</v>
      </c>
    </row>
    <row r="42" spans="1:4" ht="15.6" x14ac:dyDescent="0.25">
      <c r="A42" t="s">
        <v>7302</v>
      </c>
      <c r="B42" s="159" t="str">
        <f>CONCATENATE("Tant que ce tatouage est actif vous gagnez ",Maitrise," AG qui ne peuvent être utilisées que pour entreprendre la maneuvre d'attaque supplémentaire. Toutes ses attaques doivent être à mains nues.")</f>
        <v>Tant que ce tatouage est actif vous gagnez  AG qui ne peuvent être utilisées que pour entreprendre la maneuvre d'attaque supplémentaire. Toutes ses attaques doivent être à mains nues.</v>
      </c>
      <c r="C42" s="180" t="s">
        <v>7226</v>
      </c>
      <c r="D42" s="196">
        <v>30</v>
      </c>
    </row>
    <row r="43" spans="1:4" x14ac:dyDescent="0.25">
      <c r="A43" t="s">
        <v>178</v>
      </c>
      <c r="B43" s="159" t="s">
        <v>7364</v>
      </c>
      <c r="C43" s="180" t="s">
        <v>3</v>
      </c>
      <c r="D43" s="196">
        <v>112</v>
      </c>
    </row>
    <row r="44" spans="1:4" s="196" customFormat="1" x14ac:dyDescent="0.25">
      <c r="A44" s="196" t="s">
        <v>7336</v>
      </c>
      <c r="B44" s="159" t="str">
        <f>CONCATENATE("Permet de se soigner ou de soigner un autre personnage de ",Recto!F5*10," blessures (rang d'école X5)")</f>
        <v>Permet de se soigner ou de soigner un autre personnage de 0 blessures (rang d'école X5)</v>
      </c>
      <c r="C44" s="180" t="s">
        <v>7759</v>
      </c>
      <c r="D44" s="196">
        <v>16</v>
      </c>
    </row>
    <row r="45" spans="1:4" ht="15.6" x14ac:dyDescent="0.25">
      <c r="A45" t="s">
        <v>7381</v>
      </c>
      <c r="B45" s="159" t="str">
        <f>CONCATENATE("Tant que ce tatouage est actif, vous êtes immunisé à toute tentative visant à lire vos pensées par magie et le ND de tout test visant à mesurer votre honnêteté ou lire vos émotions est augmenté de ",Maitrise+Vide)</f>
        <v>Tant que ce tatouage est actif, vous êtes immunisé à toute tentative visant à lire vos pensées par magie et le ND de tout test visant à mesurer votre honnêteté ou lire vos émotions est augmenté de 2</v>
      </c>
      <c r="C45" s="180" t="s">
        <v>7759</v>
      </c>
      <c r="D45" s="196">
        <v>17</v>
      </c>
    </row>
    <row r="46" spans="1:4" ht="15.6" x14ac:dyDescent="0.25">
      <c r="A46" t="s">
        <v>322</v>
      </c>
      <c r="B46" s="159" t="str">
        <f>CONCATENATE("Tant que ce tatouage est actif, vous pouvez en AC de Mvmt vous déplacer de ",Eau*30," m. Cet effet peut durer jusqu'à une journée entière et vous permettre de traverser l'Empire. Une fois ce tatouage désactivé, vous êtes Fatigué, pas d'action physique pdt. 12h.")</f>
        <v>Tant que ce tatouage est actif, vous pouvez en AC de Mvmt vous déplacer de 60 m. Cet effet peut durer jusqu'à une journée entière et vous permettre de traverser l'Empire. Une fois ce tatouage désactivé, vous êtes Fatigué, pas d'action physique pdt. 12h.</v>
      </c>
      <c r="C46" s="180" t="s">
        <v>3</v>
      </c>
      <c r="D46" s="196">
        <v>112</v>
      </c>
    </row>
    <row r="47" spans="1:4" ht="23.4" x14ac:dyDescent="0.25">
      <c r="A47" t="s">
        <v>6773</v>
      </c>
      <c r="B47" s="159" t="s">
        <v>7362</v>
      </c>
      <c r="C47" s="180" t="s">
        <v>7226</v>
      </c>
      <c r="D47" s="196">
        <v>30</v>
      </c>
    </row>
    <row r="48" spans="1:4" x14ac:dyDescent="0.25">
      <c r="A48" t="s">
        <v>325</v>
      </c>
      <c r="B48" s="159" t="str">
        <f>CONCATENATE("Quand vous recevez ce tatouage, tous vos malus de Blessures se réduisent de ",Recto!F5+2,".")</f>
        <v>Quand vous recevez ce tatouage, tous vos malus de Blessures se réduisent de 2.</v>
      </c>
      <c r="C48" s="180" t="s">
        <v>3</v>
      </c>
      <c r="D48" s="196">
        <v>112</v>
      </c>
    </row>
    <row r="49" spans="1:4" ht="15.6" x14ac:dyDescent="0.25">
      <c r="A49" t="s">
        <v>330</v>
      </c>
      <c r="B49" s="159" t="str">
        <f>CONCATENATE("En activant ce tatouage, vous ne pouvez au prix d'une Action Complexe envoyer un bref message murmuré à une personne située dans un rayon de ",16*Recto!F5," km. Vous ne pouvez recevoir de réponse à moins que votre cible ait un moyen propre de communiquer.")</f>
        <v>En activant ce tatouage, vous ne pouvez au prix d'une Action Complexe envoyer un bref message murmuré à une personne située dans un rayon de 0 km. Vous ne pouvez recevoir de réponse à moins que votre cible ait un moyen propre de communiquer.</v>
      </c>
      <c r="C49" s="180" t="s">
        <v>118</v>
      </c>
      <c r="D49">
        <v>195</v>
      </c>
    </row>
    <row r="50" spans="1:4" x14ac:dyDescent="0.25">
      <c r="A50" t="s">
        <v>53</v>
      </c>
      <c r="B50" s="159" t="str">
        <f>CONCATENATE("Vous confère l'Avantage Grand Voyageur pour la région où vous vous trouvez pendant ",Recto!F5," h")</f>
        <v>Vous confère l'Avantage Grand Voyageur pour la région où vous vous trouvez pendant  h</v>
      </c>
      <c r="C50" s="180" t="s">
        <v>7226</v>
      </c>
      <c r="D50" s="196">
        <v>30</v>
      </c>
    </row>
    <row r="51" spans="1:4" ht="15.6" x14ac:dyDescent="0.25">
      <c r="A51" t="s">
        <v>323</v>
      </c>
      <c r="B51" s="159" t="s">
        <v>7365</v>
      </c>
      <c r="C51" s="180" t="s">
        <v>118</v>
      </c>
      <c r="D51" s="196">
        <v>195</v>
      </c>
    </row>
    <row r="52" spans="1:4" ht="15.6" x14ac:dyDescent="0.25">
      <c r="A52" s="196" t="s">
        <v>7384</v>
      </c>
      <c r="B52" s="159" t="str">
        <f>CONCATENATE("[Kokujin] toutes vos attaques à mains nues sont considérées comme portées avec de l'Obsidienne et vos dégâts avec de telles attaques sont augmentés de ",Recto!H8," (votre rang de Souillure)")</f>
        <v>[Kokujin] toutes vos attaques à mains nues sont considérées comme portées avec de l'Obsidienne et vos dégâts avec de telles attaques sont augmentés de 0 (votre rang de Souillure)</v>
      </c>
      <c r="C52" s="180" t="s">
        <v>7226</v>
      </c>
      <c r="D52" s="196">
        <v>31</v>
      </c>
    </row>
    <row r="53" spans="1:4" ht="23.4" x14ac:dyDescent="0.25">
      <c r="A53" s="196" t="s">
        <v>326</v>
      </c>
      <c r="B53" s="159" t="s">
        <v>5667</v>
      </c>
      <c r="C53" s="180" t="s">
        <v>3</v>
      </c>
      <c r="D53" s="196">
        <v>112</v>
      </c>
    </row>
    <row r="54" spans="1:4" ht="15.6" x14ac:dyDescent="0.25">
      <c r="A54" s="196" t="s">
        <v>7347</v>
      </c>
      <c r="B54" s="159" t="s">
        <v>7348</v>
      </c>
      <c r="C54" s="180" t="s">
        <v>7226</v>
      </c>
      <c r="D54" s="196">
        <v>29</v>
      </c>
    </row>
    <row r="55" spans="1:4" x14ac:dyDescent="0.25">
      <c r="A55" s="196" t="s">
        <v>327</v>
      </c>
      <c r="B55" s="159" t="s">
        <v>5668</v>
      </c>
      <c r="C55" s="180" t="s">
        <v>3</v>
      </c>
      <c r="D55" s="196">
        <v>112</v>
      </c>
    </row>
    <row r="56" spans="1:4" ht="15.6" x14ac:dyDescent="0.25">
      <c r="A56" s="196" t="s">
        <v>7369</v>
      </c>
      <c r="B56" s="159" t="str">
        <f>CONCATENATE("Tant que ce tatouage est actif et que vous êtes aggripé, augmente votre ND d'armure de ",Maitrise*2," pour être touché. Vous bénéficiez d'un dé supplémentaire gardé dans toute tentative pour vous libérer d'une entrave")</f>
        <v>Tant que ce tatouage est actif et que vous êtes aggripé, augmente votre ND d'armure de 0 pour être touché. Vous bénéficiez d'un dé supplémentaire gardé dans toute tentative pour vous libérer d'une entrave</v>
      </c>
      <c r="C56" s="180" t="s">
        <v>7226</v>
      </c>
      <c r="D56" s="196">
        <v>30</v>
      </c>
    </row>
    <row r="57" spans="1:4" ht="15.6" x14ac:dyDescent="0.25">
      <c r="A57" t="s">
        <v>7339</v>
      </c>
      <c r="B57" s="159" t="s">
        <v>7366</v>
      </c>
      <c r="C57" s="180" t="s">
        <v>7226</v>
      </c>
      <c r="D57" s="196">
        <v>29</v>
      </c>
    </row>
    <row r="58" spans="1:4" ht="23.4" x14ac:dyDescent="0.25">
      <c r="A58" t="s">
        <v>7349</v>
      </c>
      <c r="B58" s="159" t="s">
        <v>7350</v>
      </c>
      <c r="C58" s="180" t="s">
        <v>7226</v>
      </c>
      <c r="D58" s="196">
        <v>30</v>
      </c>
    </row>
    <row r="59" spans="1:4" ht="15.6" x14ac:dyDescent="0.25">
      <c r="A59" t="s">
        <v>320</v>
      </c>
      <c r="B59" s="159" t="str">
        <f>CONCATENATE("Tant que ce tatouage est actif, vous pouvez choisir d'augmenter votre Endurance de ",Recto!F5," . Alternativement, vous pouvez à la place choisir d'augmenter votre Force de ",ROUNDUP(Recto!F5/2,0))</f>
        <v>Tant que ce tatouage est actif, vous pouvez choisir d'augmenter votre Endurance de  . Alternativement, vous pouvez à la place choisir d'augmenter votre Force de 0</v>
      </c>
      <c r="C59" s="180" t="s">
        <v>158</v>
      </c>
      <c r="D59" s="196">
        <v>207</v>
      </c>
    </row>
    <row r="60" spans="1:4" ht="15.6" x14ac:dyDescent="0.25">
      <c r="A60" t="s">
        <v>7370</v>
      </c>
      <c r="B60" s="159" t="str">
        <f>CONCATENATE("En activant ce tatouage vous gagnez ",Recto!F5*2," Rangs (votre Rang de MaîtriseX2) dans la compétence de Discrétion. Cet effet dure ",Recto!F5," h (égal à votre Rang de Maîtrise.")</f>
        <v>En activant ce tatouage vous gagnez 0 Rangs (votre Rang de MaîtriseX2) dans la compétence de Discrétion. Cet effet dure  h (égal à votre Rang de Maîtrise.</v>
      </c>
      <c r="C60" s="180" t="s">
        <v>7226</v>
      </c>
      <c r="D60" s="196">
        <v>30</v>
      </c>
    </row>
    <row r="61" spans="1:4" ht="24.6" customHeight="1" x14ac:dyDescent="0.25">
      <c r="A61" t="s">
        <v>6755</v>
      </c>
      <c r="B61" s="159" t="s">
        <v>7351</v>
      </c>
      <c r="C61" s="180" t="s">
        <v>7226</v>
      </c>
      <c r="D61" s="196">
        <v>29</v>
      </c>
    </row>
    <row r="62" spans="1:4" ht="15.6" x14ac:dyDescent="0.25">
      <c r="A62" t="s">
        <v>177</v>
      </c>
      <c r="B62" s="159" t="str">
        <f>CONCATENATE("Vous devez avoir au moins 1 Pvide pr activer ce tatouage. Si vous tombez au niveau de blessure épuisé ou en-dessous, ce tatouage s'active automatiquement. Tous les Pvides inutilisés sont perdus et vous êtes soigné de ", Recto!F5*10," blessures. Max 1X/Sem.")</f>
        <v>Vous devez avoir au moins 1 Pvide pr activer ce tatouage. Si vous tombez au niveau de blessure épuisé ou en-dessous, ce tatouage s'active automatiquement. Tous les Pvides inutilisés sont perdus et vous êtes soigné de 0 blessures. Max 1X/Sem.</v>
      </c>
      <c r="C62" s="180" t="s">
        <v>3</v>
      </c>
      <c r="D62" s="196">
        <v>112</v>
      </c>
    </row>
    <row r="63" spans="1:4" ht="15.6" x14ac:dyDescent="0.25">
      <c r="A63" t="s">
        <v>7371</v>
      </c>
      <c r="B63" s="159" t="s">
        <v>7372</v>
      </c>
      <c r="C63" s="180" t="s">
        <v>7226</v>
      </c>
      <c r="D63" s="196">
        <v>30</v>
      </c>
    </row>
    <row r="64" spans="1:4" ht="15.6" x14ac:dyDescent="0.25">
      <c r="A64" t="s">
        <v>7383</v>
      </c>
      <c r="B64" s="159" t="str">
        <f>CONCATENATE("[Kokujin] [Continu] Vous gagnez ",Maitrise," points de Réduction contre tout sort, kiho ou effet d'Eau ou de Feu. Vous gagnez 1pt de Souillure chaque semaine.")</f>
        <v>[Kokujin] [Continu] Vous gagnez  points de Réduction contre tout sort, kiho ou effet d'Eau ou de Feu. Vous gagnez 1pt de Souillure chaque semaine.</v>
      </c>
      <c r="C64" s="180" t="s">
        <v>7226</v>
      </c>
      <c r="D64" s="196">
        <v>31</v>
      </c>
    </row>
    <row r="65" spans="1:4" x14ac:dyDescent="0.25">
      <c r="A65" t="s">
        <v>7299</v>
      </c>
      <c r="B65" s="159" t="s">
        <v>7356</v>
      </c>
      <c r="C65" s="180" t="s">
        <v>7226</v>
      </c>
      <c r="D65" s="196">
        <v>30</v>
      </c>
    </row>
    <row r="66" spans="1:4" ht="23.4" x14ac:dyDescent="0.25">
      <c r="A66" t="s">
        <v>6801</v>
      </c>
      <c r="B66" s="159" t="s">
        <v>7354</v>
      </c>
      <c r="C66" s="180" t="s">
        <v>7226</v>
      </c>
      <c r="D66" s="196">
        <v>30</v>
      </c>
    </row>
    <row r="67" spans="1:4" x14ac:dyDescent="0.25">
      <c r="A67" t="s">
        <v>6810</v>
      </c>
      <c r="B67" s="159" t="str">
        <f>CONCATENATE("[Continu] Tout dommage subit par du feu ou de la chaleur qu'il soit naturel ou magique est réduit de ",Maitrise,".")</f>
        <v>[Continu] Tout dommage subit par du feu ou de la chaleur qu'il soit naturel ou magique est réduit de .</v>
      </c>
      <c r="C67" s="180" t="s">
        <v>7226</v>
      </c>
      <c r="D67" s="196">
        <v>30</v>
      </c>
    </row>
    <row r="68" spans="1:4" ht="15.6" x14ac:dyDescent="0.25">
      <c r="A68" t="s">
        <v>33</v>
      </c>
      <c r="B68" s="159" t="str">
        <f>CONCATENATE("Lorsque ce tatouage est actif, vous lancez ",Recto!F5," dés suppl. à vos jets de Discrétion (votre Rg. de Maîtrise). Par ailleurs, vos attaques à Mains Nues Hébètent automatiquement votre adversaire si vous avez obtenu au moins un dé ouvert aux dommages.")</f>
        <v>Lorsque ce tatouage est actif, vous lancez  dés suppl. à vos jets de Discrétion (votre Rg. de Maîtrise). Par ailleurs, vos attaques à Mains Nues Hébètent automatiquement votre adversaire si vous avez obtenu au moins un dé ouvert aux dommages.</v>
      </c>
      <c r="C68" s="180" t="s">
        <v>3</v>
      </c>
      <c r="D68" s="196">
        <v>112</v>
      </c>
    </row>
    <row r="69" spans="1:4" ht="15.6" x14ac:dyDescent="0.25">
      <c r="A69" t="s">
        <v>390</v>
      </c>
      <c r="B69" s="159" t="s">
        <v>7373</v>
      </c>
      <c r="C69" s="180" t="s">
        <v>7226</v>
      </c>
      <c r="D69" s="196">
        <v>30</v>
      </c>
    </row>
    <row r="70" spans="1:4" ht="15.6" x14ac:dyDescent="0.25">
      <c r="A70" t="s">
        <v>7385</v>
      </c>
      <c r="B70" s="159" t="str">
        <f>CONCATENATE("[Kokujin] [Continu] Tant que ce tatouage est actif, vous récupérez ",Maitrise," blessures au début de chaque phase de réaction à chaque round. L'usage de ce tatouage n'empêche pas d'en utiliser un autre. Vous gagnez 1pt de Souillure chaque semaine.")</f>
        <v>[Kokujin] [Continu] Tant que ce tatouage est actif, vous récupérez  blessures au début de chaque phase de réaction à chaque round. L'usage de ce tatouage n'empêche pas d'en utiliser un autre. Vous gagnez 1pt de Souillure chaque semaine.</v>
      </c>
      <c r="C70" s="180" t="s">
        <v>7226</v>
      </c>
      <c r="D70" s="196">
        <v>31</v>
      </c>
    </row>
    <row r="71" spans="1:4" x14ac:dyDescent="0.25">
      <c r="A71" t="s">
        <v>185</v>
      </c>
      <c r="B71" s="159" t="str">
        <f>CONCATENATE("Tant que ce tatouage est actif, ajoutez ",Recto!F11*2," dé(s) non gardés à chacun de vos tests d'Athlétisme")</f>
        <v>Tant que ce tatouage est actif, ajoutez 0 dé(s) non gardés à chacun de vos tests d'Athlétisme</v>
      </c>
      <c r="C71" s="180" t="s">
        <v>7226</v>
      </c>
      <c r="D71" s="196">
        <v>30</v>
      </c>
    </row>
    <row r="72" spans="1:4" x14ac:dyDescent="0.25">
      <c r="A72" t="s">
        <v>7375</v>
      </c>
      <c r="B72" s="159" t="s">
        <v>7376</v>
      </c>
      <c r="C72" s="180" t="s">
        <v>7226</v>
      </c>
      <c r="D72" s="196">
        <v>31</v>
      </c>
    </row>
    <row r="73" spans="1:4" x14ac:dyDescent="0.25">
      <c r="A73" t="s">
        <v>7357</v>
      </c>
      <c r="B73" s="159" t="s">
        <v>7358</v>
      </c>
      <c r="C73" s="180" t="s">
        <v>7226</v>
      </c>
      <c r="D73" s="196">
        <v>31</v>
      </c>
    </row>
    <row r="74" spans="1:4" ht="15" customHeight="1" x14ac:dyDescent="0.25">
      <c r="A74" t="s">
        <v>7287</v>
      </c>
      <c r="B74" s="159" t="str">
        <f>CONCATENATE("Tant que ce tatouage est actif, diminue instantanément l'Initiative de vos adversaires de ",Maitrise," au début de chaque round")</f>
        <v>Tant que ce tatouage est actif, diminue instantanément l'Initiative de vos adversaires de  au début de chaque round</v>
      </c>
      <c r="C74" s="180" t="s">
        <v>7226</v>
      </c>
      <c r="D74" s="196">
        <v>31</v>
      </c>
    </row>
    <row r="75" spans="1:4" s="196" customFormat="1" ht="15" customHeight="1" x14ac:dyDescent="0.25">
      <c r="A75" s="196" t="s">
        <v>6804</v>
      </c>
      <c r="B75" s="159" t="s">
        <v>7337</v>
      </c>
      <c r="C75" s="180" t="s">
        <v>7226</v>
      </c>
      <c r="D75" s="196">
        <v>31</v>
      </c>
    </row>
    <row r="76" spans="1:4" x14ac:dyDescent="0.25">
      <c r="A76" t="s">
        <v>393</v>
      </c>
      <c r="B76" s="159" t="str">
        <f>CONCATENATE("Tant que ce tatouage est actif, vos attaques à Mains Nues qui touchent ignorent ",Réputation," points de Réduction de votre ennemi")</f>
        <v>Tant que ce tatouage est actif, vos attaques à Mains Nues qui touchent ignorent 1 points de Réduction de votre ennemi</v>
      </c>
      <c r="C76" s="180" t="s">
        <v>7759</v>
      </c>
      <c r="D76" s="196">
        <v>17</v>
      </c>
    </row>
    <row r="77" spans="1:4" x14ac:dyDescent="0.25">
      <c r="A77" t="s">
        <v>7377</v>
      </c>
      <c r="B77" s="159" t="str">
        <f>CONCATENATE("[Continu] Tant que ce tatouage est actif augmente le ND d'Intuition de votre advesaire de ",Maitrise," lors des duels")</f>
        <v>[Continu] Tant que ce tatouage est actif augmente le ND d'Intuition de votre advesaire de  lors des duels</v>
      </c>
      <c r="C77" s="180" t="s">
        <v>7226</v>
      </c>
      <c r="D77" s="196">
        <v>31</v>
      </c>
    </row>
    <row r="78" spans="1:4" s="196" customFormat="1" ht="15.6" x14ac:dyDescent="0.25">
      <c r="A78" s="196" t="s">
        <v>340</v>
      </c>
      <c r="B78" s="159" t="str">
        <f>CONCATENATE("Tant que ce tatouage est actif vous gagnez ",Réputation, " rangs dans une compétence Noble, Marchande ou Dégradante de votre choix. Ces rangs ne s'ajoutent pas à vos rangs de compétences actuels, ils les remplacent si votre rang d'Ecole est plus haut.")</f>
        <v>Tant que ce tatouage est actif vous gagnez 1 rangs dans une compétence Noble, Marchande ou Dégradante de votre choix. Ces rangs ne s'ajoutent pas à vos rangs de compétences actuels, ils les remplacent si votre rang d'Ecole est plus haut.</v>
      </c>
      <c r="C78" s="180" t="s">
        <v>7759</v>
      </c>
      <c r="D78" s="196">
        <v>17</v>
      </c>
    </row>
    <row r="79" spans="1:4" ht="15.6" x14ac:dyDescent="0.25">
      <c r="A79" t="s">
        <v>7386</v>
      </c>
      <c r="B79" s="159" t="str">
        <f>CONCATENATE("[Kokujin] Au prix d'une AC vous pouvez cracher un vent de corruption ou d'acide noir sous la forme d'un cône long de ",Recto!F5+3," m et large de 1,5m. Ce liquide infect inflige ",Recto!H8," ou ",Terre, " dommages aux choix à tous ceux qui sont dans la zone d'effet, vous y compris.")</f>
        <v>[Kokujin] Au prix d'une AC vous pouvez cracher un vent de corruption ou d'acide noir sous la forme d'un cône long de 3 m et large de 1,5m. Ce liquide infect inflige 0 ou 2 dommages aux choix à tous ceux qui sont dans la zone d'effet, vous y compris.</v>
      </c>
      <c r="C79" s="180" t="s">
        <v>7226</v>
      </c>
      <c r="D79" s="196">
        <v>31</v>
      </c>
    </row>
    <row r="80" spans="1:4" ht="15.6" x14ac:dyDescent="0.25">
      <c r="A80" t="s">
        <v>4443</v>
      </c>
      <c r="B80" s="159" t="str">
        <f>CONCATENATE("Tant que ce tatouage est actif, +",Recto!F5,"g0 à tout jet d'opposition de Force réalisé pour effectuer une manœuvre de Renversement avec une attaque à mains nues. Vous bénéficiez de ce même bonus pour résister aux manoeuvres de Renversement.")</f>
        <v>Tant que ce tatouage est actif, +g0 à tout jet d'opposition de Force réalisé pour effectuer une manœuvre de Renversement avec une attaque à mains nues. Vous bénéficiez de ce même bonus pour résister aux manoeuvres de Renversement.</v>
      </c>
      <c r="C80" s="180" t="s">
        <v>4403</v>
      </c>
      <c r="D80" s="195">
        <v>189</v>
      </c>
    </row>
    <row r="81" spans="1:4" ht="15.6" x14ac:dyDescent="0.25">
      <c r="A81" t="s">
        <v>331</v>
      </c>
      <c r="B81" s="159" t="s">
        <v>5669</v>
      </c>
      <c r="C81" s="180" t="s">
        <v>3</v>
      </c>
      <c r="D81" s="196">
        <v>112</v>
      </c>
    </row>
    <row r="82" spans="1:4" ht="15.6" x14ac:dyDescent="0.25">
      <c r="A82" t="s">
        <v>328</v>
      </c>
      <c r="B82" s="159" t="str">
        <f>CONCATENATE("Si vous activez ce tatouage, vous connaissez la localisation et le type de toutes les créatures vivantes situées dans un rayon de ", Maitrise*3," m même si vous ne les voyez pas. Vous n'avez accès qu'aux grandes lignes, jamais aux identités ni aux détails.")</f>
        <v>Si vous activez ce tatouage, vous connaissez la localisation et le type de toutes les créatures vivantes situées dans un rayon de 0 m même si vous ne les voyez pas. Vous n'avez accès qu'aux grandes lignes, jamais aux identités ni aux détails.</v>
      </c>
      <c r="C82" s="180" t="s">
        <v>3</v>
      </c>
      <c r="D82" s="196">
        <v>112</v>
      </c>
    </row>
    <row r="83" spans="1:4" ht="15.6" x14ac:dyDescent="0.25">
      <c r="A83" t="s">
        <v>7379</v>
      </c>
      <c r="B83" s="159" t="str">
        <f>CONCATENATE("Tant que ce tatouage est actif, vous récupérez ",Maitrise," blessures au début de chaque round. L'usage de ce tatouage n'empêche pas d'en utiliser un autre")</f>
        <v>Tant que ce tatouage est actif, vous récupérez  blessures au début de chaque round. L'usage de ce tatouage n'empêche pas d'en utiliser un autre</v>
      </c>
      <c r="C83" s="180" t="s">
        <v>7226</v>
      </c>
      <c r="D83" s="196">
        <v>31</v>
      </c>
    </row>
    <row r="84" spans="1:4" ht="15.6" x14ac:dyDescent="0.25">
      <c r="A84" t="s">
        <v>7380</v>
      </c>
      <c r="B84" s="159" t="s">
        <v>7382</v>
      </c>
      <c r="C84" s="180" t="s">
        <v>7226</v>
      </c>
      <c r="D84" s="196">
        <v>31</v>
      </c>
    </row>
    <row r="85" spans="1:4" ht="23.4" x14ac:dyDescent="0.25">
      <c r="A85" t="s">
        <v>329</v>
      </c>
      <c r="B85" s="159" t="s">
        <v>5671</v>
      </c>
      <c r="C85" s="180" t="s">
        <v>160</v>
      </c>
      <c r="D85" s="196">
        <v>192</v>
      </c>
    </row>
  </sheetData>
  <sheetProtection selectLockedCells="1" selectUnlockedCells="1"/>
  <sortState xmlns:xlrd2="http://schemas.microsoft.com/office/spreadsheetml/2017/richdata2" ref="A2:D85">
    <sortCondition ref="A2:A85"/>
  </sortState>
  <pageMargins left="0.78749999999999998" right="0.78749999999999998" top="1.0249999999999999" bottom="1.0249999999999999" header="0.78749999999999998" footer="0.78749999999999998"/>
  <pageSetup firstPageNumber="0" orientation="landscape" horizontalDpi="300" verticalDpi="300" r:id="rId1"/>
  <headerFooter alignWithMargins="0">
    <oddHeader>&amp;C&amp;A</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62"/>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RowHeight="13.8" x14ac:dyDescent="0.25"/>
  <cols>
    <col min="1" max="1" width="26.33203125" style="494" customWidth="1"/>
    <col min="2" max="2" width="3" style="196" customWidth="1"/>
    <col min="3" max="3" width="10.88671875" customWidth="1"/>
    <col min="4" max="4" width="12.44140625" style="70" customWidth="1"/>
    <col min="5" max="5" width="13.33203125" style="133" customWidth="1"/>
    <col min="6" max="20" width="13.33203125" style="8" customWidth="1"/>
    <col min="22" max="22" width="8.44140625" style="21" customWidth="1"/>
    <col min="23" max="23" width="29.88671875" style="23" customWidth="1"/>
    <col min="24" max="24" width="33.44140625" style="23" customWidth="1"/>
    <col min="25" max="25" width="84.44140625" style="23" customWidth="1"/>
  </cols>
  <sheetData>
    <row r="1" spans="1:25" s="26" customFormat="1" x14ac:dyDescent="0.25">
      <c r="A1" s="483" t="s">
        <v>379</v>
      </c>
      <c r="C1" s="26" t="s">
        <v>792</v>
      </c>
      <c r="D1" s="119" t="s">
        <v>57</v>
      </c>
      <c r="E1" s="131" t="s">
        <v>1285</v>
      </c>
      <c r="F1" s="131" t="s">
        <v>1286</v>
      </c>
      <c r="G1" s="131" t="s">
        <v>1287</v>
      </c>
      <c r="H1" s="131" t="s">
        <v>1292</v>
      </c>
      <c r="I1" s="131" t="s">
        <v>1293</v>
      </c>
      <c r="J1" s="131" t="s">
        <v>1390</v>
      </c>
      <c r="K1" s="131" t="s">
        <v>3173</v>
      </c>
      <c r="L1" s="131" t="s">
        <v>3180</v>
      </c>
      <c r="M1" s="131" t="s">
        <v>3194</v>
      </c>
      <c r="N1" s="132" t="s">
        <v>3195</v>
      </c>
      <c r="O1" s="132" t="s">
        <v>3196</v>
      </c>
      <c r="P1" s="132" t="s">
        <v>3206</v>
      </c>
      <c r="Q1" s="132" t="s">
        <v>3207</v>
      </c>
      <c r="R1" s="132" t="s">
        <v>3208</v>
      </c>
      <c r="S1" s="132" t="s">
        <v>3209</v>
      </c>
      <c r="T1" s="132" t="s">
        <v>3210</v>
      </c>
      <c r="U1" s="26" t="s">
        <v>1245</v>
      </c>
      <c r="V1" s="120" t="s">
        <v>1246</v>
      </c>
      <c r="W1" s="121" t="s">
        <v>1395</v>
      </c>
      <c r="X1" s="121" t="s">
        <v>1396</v>
      </c>
      <c r="Y1" s="121" t="s">
        <v>1397</v>
      </c>
    </row>
    <row r="2" spans="1:25" ht="13.2" customHeight="1" x14ac:dyDescent="0.3">
      <c r="A2" s="484" t="s">
        <v>1270</v>
      </c>
      <c r="B2" s="196">
        <v>2</v>
      </c>
      <c r="C2" s="18" t="s">
        <v>1216</v>
      </c>
      <c r="D2" s="68" t="s">
        <v>1392</v>
      </c>
      <c r="E2" s="136" t="s">
        <v>1387</v>
      </c>
      <c r="F2" s="136" t="s">
        <v>1388</v>
      </c>
      <c r="G2" s="136" t="s">
        <v>1953</v>
      </c>
      <c r="H2" s="136" t="s">
        <v>1389</v>
      </c>
      <c r="I2" s="136" t="s">
        <v>6517</v>
      </c>
      <c r="J2" s="136" t="s">
        <v>7714</v>
      </c>
      <c r="K2" s="136"/>
      <c r="L2" s="136"/>
      <c r="M2" s="136"/>
      <c r="N2" s="136"/>
      <c r="O2" s="136"/>
      <c r="P2" s="136"/>
      <c r="Q2" s="136"/>
      <c r="R2" s="136"/>
      <c r="S2" s="136"/>
      <c r="T2" s="136"/>
      <c r="U2" s="18" t="s">
        <v>1258</v>
      </c>
      <c r="V2" s="20" t="s">
        <v>1225</v>
      </c>
      <c r="W2" s="20" t="s">
        <v>1284</v>
      </c>
      <c r="X2" s="20" t="s">
        <v>1284</v>
      </c>
      <c r="Y2" s="20" t="s">
        <v>1284</v>
      </c>
    </row>
    <row r="3" spans="1:25" ht="13.2" customHeight="1" x14ac:dyDescent="0.3">
      <c r="A3" s="485" t="s">
        <v>1271</v>
      </c>
      <c r="B3" s="196">
        <v>3</v>
      </c>
      <c r="C3" s="288" t="s">
        <v>1216</v>
      </c>
      <c r="D3" s="68" t="s">
        <v>1392</v>
      </c>
      <c r="E3" s="136" t="s">
        <v>1304</v>
      </c>
      <c r="F3" s="136" t="s">
        <v>1305</v>
      </c>
      <c r="G3" s="136" t="s">
        <v>1306</v>
      </c>
      <c r="H3" s="136" t="s">
        <v>4576</v>
      </c>
      <c r="I3" s="136" t="s">
        <v>4575</v>
      </c>
      <c r="J3" s="136" t="s">
        <v>7774</v>
      </c>
      <c r="K3" s="136" t="s">
        <v>8412</v>
      </c>
      <c r="L3" s="136"/>
      <c r="M3" s="136"/>
      <c r="N3" s="136"/>
      <c r="O3" s="136"/>
      <c r="P3" s="136"/>
      <c r="Q3" s="136"/>
      <c r="R3" s="136"/>
      <c r="S3" s="136"/>
      <c r="T3" s="136"/>
      <c r="U3" s="18" t="s">
        <v>1258</v>
      </c>
      <c r="V3" s="20" t="s">
        <v>6064</v>
      </c>
      <c r="W3" s="20" t="s">
        <v>1954</v>
      </c>
      <c r="X3" s="74" t="s">
        <v>1955</v>
      </c>
      <c r="Y3" s="74" t="s">
        <v>1958</v>
      </c>
    </row>
    <row r="4" spans="1:25" s="196" customFormat="1" ht="13.2" customHeight="1" x14ac:dyDescent="0.3">
      <c r="A4" s="486" t="s">
        <v>5826</v>
      </c>
      <c r="B4" s="196">
        <v>4</v>
      </c>
      <c r="C4" s="481" t="str">
        <f>IF(Contexte_jeu="L'Empire Stellaire d'Emeraude","Noble",IF(Contexte_jeu="Rokugan de Fer","Bugei","Bugei, Dégrad."))</f>
        <v>Bugei, Dégrad.</v>
      </c>
      <c r="D4" s="68" t="s">
        <v>1392</v>
      </c>
      <c r="E4" s="136" t="s">
        <v>7432</v>
      </c>
      <c r="F4" s="136" t="s">
        <v>7433</v>
      </c>
      <c r="G4" s="136" t="s">
        <v>7431</v>
      </c>
      <c r="H4" s="136" t="s">
        <v>5738</v>
      </c>
      <c r="I4" s="136"/>
      <c r="J4" s="136"/>
      <c r="K4" s="136"/>
      <c r="L4" s="136"/>
      <c r="M4" s="136"/>
      <c r="N4" s="136"/>
      <c r="O4" s="136"/>
      <c r="P4" s="136"/>
      <c r="Q4" s="136"/>
      <c r="R4" s="136"/>
      <c r="S4" s="136"/>
      <c r="T4" s="136"/>
      <c r="U4" s="288" t="s">
        <v>1205</v>
      </c>
      <c r="V4" s="20" t="s">
        <v>5827</v>
      </c>
      <c r="W4" s="20" t="s">
        <v>7434</v>
      </c>
      <c r="X4" s="74" t="s">
        <v>7435</v>
      </c>
      <c r="Y4" s="74" t="s">
        <v>7436</v>
      </c>
    </row>
    <row r="5" spans="1:25" ht="13.2" customHeight="1" x14ac:dyDescent="0.3">
      <c r="A5" s="485" t="s">
        <v>1274</v>
      </c>
      <c r="B5" s="196">
        <v>5</v>
      </c>
      <c r="C5" s="18" t="s">
        <v>1216</v>
      </c>
      <c r="D5" s="68" t="s">
        <v>1392</v>
      </c>
      <c r="E5" s="136" t="s">
        <v>1307</v>
      </c>
      <c r="F5" s="136" t="s">
        <v>1308</v>
      </c>
      <c r="G5" s="136" t="s">
        <v>1309</v>
      </c>
      <c r="H5" s="136" t="s">
        <v>1310</v>
      </c>
      <c r="I5" s="136" t="s">
        <v>1311</v>
      </c>
      <c r="J5" s="136" t="s">
        <v>7782</v>
      </c>
      <c r="K5" s="136"/>
      <c r="L5" s="136"/>
      <c r="M5" s="136"/>
      <c r="N5" s="136"/>
      <c r="O5" s="136"/>
      <c r="P5" s="136"/>
      <c r="Q5" s="136"/>
      <c r="R5" s="136"/>
      <c r="S5" s="136"/>
      <c r="T5" s="136"/>
      <c r="U5" s="18" t="s">
        <v>1258</v>
      </c>
      <c r="V5" s="20" t="s">
        <v>1232</v>
      </c>
      <c r="W5" s="75" t="s">
        <v>1956</v>
      </c>
      <c r="X5" s="76" t="s">
        <v>1957</v>
      </c>
      <c r="Y5" s="76" t="s">
        <v>1983</v>
      </c>
    </row>
    <row r="6" spans="1:25" ht="13.2" customHeight="1" x14ac:dyDescent="0.3">
      <c r="A6" s="485" t="s">
        <v>1272</v>
      </c>
      <c r="B6" s="196">
        <v>6</v>
      </c>
      <c r="C6" s="18" t="s">
        <v>1216</v>
      </c>
      <c r="D6" s="68" t="s">
        <v>1392</v>
      </c>
      <c r="E6" s="136" t="s">
        <v>1312</v>
      </c>
      <c r="F6" s="136" t="s">
        <v>1313</v>
      </c>
      <c r="G6" s="136" t="s">
        <v>1314</v>
      </c>
      <c r="H6" s="136" t="s">
        <v>1315</v>
      </c>
      <c r="I6" s="136" t="s">
        <v>3069</v>
      </c>
      <c r="J6" s="136" t="s">
        <v>7710</v>
      </c>
      <c r="K6" s="136" t="s">
        <v>7876</v>
      </c>
      <c r="L6" s="136"/>
      <c r="M6" s="136"/>
      <c r="N6" s="136"/>
      <c r="O6" s="136"/>
      <c r="P6" s="136"/>
      <c r="Q6" s="136"/>
      <c r="R6" s="136"/>
      <c r="S6" s="136"/>
      <c r="T6" s="136"/>
      <c r="U6" s="18" t="s">
        <v>1258</v>
      </c>
      <c r="V6" s="20" t="s">
        <v>6065</v>
      </c>
      <c r="W6" s="20" t="s">
        <v>1959</v>
      </c>
      <c r="X6" s="23" t="s">
        <v>1960</v>
      </c>
      <c r="Y6" s="23" t="s">
        <v>1961</v>
      </c>
    </row>
    <row r="7" spans="1:25" ht="13.2" customHeight="1" x14ac:dyDescent="0.3">
      <c r="A7" s="485" t="s">
        <v>231</v>
      </c>
      <c r="B7" s="196">
        <v>7</v>
      </c>
      <c r="C7" s="18" t="s">
        <v>1216</v>
      </c>
      <c r="D7" s="68"/>
      <c r="E7" s="136" t="s">
        <v>1316</v>
      </c>
      <c r="F7" s="136" t="s">
        <v>1317</v>
      </c>
      <c r="G7" s="136"/>
      <c r="H7" s="136"/>
      <c r="I7" s="136"/>
      <c r="J7" s="136"/>
      <c r="K7" s="136"/>
      <c r="L7" s="136"/>
      <c r="M7" s="136"/>
      <c r="N7" s="136"/>
      <c r="O7" s="136"/>
      <c r="P7" s="136"/>
      <c r="Q7" s="136"/>
      <c r="R7" s="136"/>
      <c r="S7" s="136"/>
      <c r="T7" s="136"/>
      <c r="U7" s="18" t="s">
        <v>1210</v>
      </c>
      <c r="V7" s="20" t="s">
        <v>1218</v>
      </c>
      <c r="W7" s="20" t="s">
        <v>1284</v>
      </c>
      <c r="X7" s="23" t="s">
        <v>1962</v>
      </c>
      <c r="Y7" s="23" t="s">
        <v>1962</v>
      </c>
    </row>
    <row r="8" spans="1:25" ht="13.2" customHeight="1" x14ac:dyDescent="0.3">
      <c r="A8" s="485" t="s">
        <v>1267</v>
      </c>
      <c r="B8" s="196">
        <v>8</v>
      </c>
      <c r="C8" s="18" t="s">
        <v>1216</v>
      </c>
      <c r="D8" s="68"/>
      <c r="E8" s="136" t="s">
        <v>1383</v>
      </c>
      <c r="F8" s="136" t="s">
        <v>1384</v>
      </c>
      <c r="G8" s="136" t="s">
        <v>1385</v>
      </c>
      <c r="H8" s="136" t="s">
        <v>1386</v>
      </c>
      <c r="I8" s="136"/>
      <c r="J8" s="136"/>
      <c r="K8" s="136"/>
      <c r="L8" s="136"/>
      <c r="M8" s="136"/>
      <c r="N8" s="136"/>
      <c r="O8" s="136"/>
      <c r="P8" s="136"/>
      <c r="Q8" s="136"/>
      <c r="R8" s="136"/>
      <c r="S8" s="136"/>
      <c r="T8" s="136"/>
      <c r="U8" s="18" t="s">
        <v>1257</v>
      </c>
      <c r="V8" s="20" t="s">
        <v>1217</v>
      </c>
      <c r="W8" s="20" t="s">
        <v>1963</v>
      </c>
      <c r="X8" s="23" t="s">
        <v>1964</v>
      </c>
      <c r="Y8" s="74" t="s">
        <v>1984</v>
      </c>
    </row>
    <row r="9" spans="1:25" ht="13.2" customHeight="1" x14ac:dyDescent="0.3">
      <c r="A9" s="485" t="s">
        <v>1277</v>
      </c>
      <c r="B9" s="196">
        <v>9</v>
      </c>
      <c r="C9" s="18" t="s">
        <v>1216</v>
      </c>
      <c r="D9" s="68" t="s">
        <v>1392</v>
      </c>
      <c r="E9" s="136" t="s">
        <v>1377</v>
      </c>
      <c r="F9" s="136" t="s">
        <v>1378</v>
      </c>
      <c r="G9" s="136" t="s">
        <v>1379</v>
      </c>
      <c r="H9" s="136" t="s">
        <v>1380</v>
      </c>
      <c r="I9" s="136" t="s">
        <v>1381</v>
      </c>
      <c r="J9" s="136" t="s">
        <v>1382</v>
      </c>
      <c r="K9" s="136" t="s">
        <v>4549</v>
      </c>
      <c r="L9" s="136" t="s">
        <v>5987</v>
      </c>
      <c r="M9" s="136" t="s">
        <v>7775</v>
      </c>
      <c r="N9" s="136" t="s">
        <v>7778</v>
      </c>
      <c r="O9" s="136" t="s">
        <v>8403</v>
      </c>
      <c r="P9" s="136" t="s">
        <v>8404</v>
      </c>
      <c r="Q9" s="136"/>
      <c r="R9" s="136"/>
      <c r="S9" s="136"/>
      <c r="T9" s="136"/>
      <c r="U9" s="18" t="s">
        <v>1258</v>
      </c>
      <c r="V9" s="20" t="s">
        <v>1234</v>
      </c>
      <c r="W9" s="20" t="s">
        <v>1965</v>
      </c>
      <c r="X9" s="22" t="s">
        <v>1966</v>
      </c>
      <c r="Y9" s="22" t="s">
        <v>1968</v>
      </c>
    </row>
    <row r="10" spans="1:25" ht="13.2" customHeight="1" x14ac:dyDescent="0.3">
      <c r="A10" s="485" t="s">
        <v>1269</v>
      </c>
      <c r="B10" s="196">
        <v>10</v>
      </c>
      <c r="C10" s="18" t="s">
        <v>1216</v>
      </c>
      <c r="D10" s="68"/>
      <c r="E10" s="136" t="s">
        <v>1374</v>
      </c>
      <c r="F10" s="136" t="s">
        <v>1375</v>
      </c>
      <c r="G10" s="136" t="s">
        <v>1376</v>
      </c>
      <c r="H10" s="136" t="s">
        <v>2829</v>
      </c>
      <c r="I10" s="136"/>
      <c r="J10" s="136"/>
      <c r="K10" s="136"/>
      <c r="L10" s="136"/>
      <c r="M10" s="136"/>
      <c r="N10" s="136"/>
      <c r="O10" s="136"/>
      <c r="P10" s="136"/>
      <c r="Q10" s="136"/>
      <c r="R10" s="136"/>
      <c r="S10" s="136"/>
      <c r="T10" s="136"/>
      <c r="U10" s="18" t="s">
        <v>1210</v>
      </c>
      <c r="V10" s="20" t="s">
        <v>1220</v>
      </c>
      <c r="W10" s="20" t="s">
        <v>1284</v>
      </c>
      <c r="X10" s="74" t="s">
        <v>1969</v>
      </c>
      <c r="Y10" s="75" t="s">
        <v>1969</v>
      </c>
    </row>
    <row r="11" spans="1:25" ht="13.2" customHeight="1" x14ac:dyDescent="0.3">
      <c r="A11" s="485" t="s">
        <v>1273</v>
      </c>
      <c r="B11" s="196">
        <v>11</v>
      </c>
      <c r="C11" s="18" t="s">
        <v>1216</v>
      </c>
      <c r="D11" s="68" t="s">
        <v>1392</v>
      </c>
      <c r="E11" s="136" t="s">
        <v>1371</v>
      </c>
      <c r="F11" s="136" t="s">
        <v>4466</v>
      </c>
      <c r="G11" s="136" t="s">
        <v>1372</v>
      </c>
      <c r="H11" s="136" t="s">
        <v>1373</v>
      </c>
      <c r="I11" s="136" t="s">
        <v>3215</v>
      </c>
      <c r="J11" s="136" t="s">
        <v>4577</v>
      </c>
      <c r="K11" s="136"/>
      <c r="L11" s="136"/>
      <c r="M11" s="136"/>
      <c r="N11" s="136"/>
      <c r="O11" s="136"/>
      <c r="P11" s="136"/>
      <c r="Q11" s="136"/>
      <c r="R11" s="136"/>
      <c r="S11" s="136"/>
      <c r="T11" s="136"/>
      <c r="U11" s="18" t="s">
        <v>1258</v>
      </c>
      <c r="V11" s="20" t="s">
        <v>1227</v>
      </c>
      <c r="W11" s="20" t="s">
        <v>1970</v>
      </c>
      <c r="X11" s="23" t="s">
        <v>1971</v>
      </c>
      <c r="Y11" s="23" t="s">
        <v>1972</v>
      </c>
    </row>
    <row r="12" spans="1:25" ht="13.2" customHeight="1" x14ac:dyDescent="0.3">
      <c r="A12" s="485" t="s">
        <v>228</v>
      </c>
      <c r="B12" s="196">
        <v>12</v>
      </c>
      <c r="C12" s="18" t="s">
        <v>1216</v>
      </c>
      <c r="D12" s="68"/>
      <c r="E12" s="136" t="s">
        <v>228</v>
      </c>
      <c r="F12" s="136"/>
      <c r="G12" s="136"/>
      <c r="H12" s="136"/>
      <c r="I12" s="136"/>
      <c r="J12" s="136"/>
      <c r="K12" s="136"/>
      <c r="L12" s="136"/>
      <c r="M12" s="136"/>
      <c r="N12" s="136"/>
      <c r="O12" s="136"/>
      <c r="P12" s="136"/>
      <c r="Q12" s="136"/>
      <c r="R12" s="136"/>
      <c r="S12" s="136"/>
      <c r="T12" s="136"/>
      <c r="U12" s="18" t="s">
        <v>1931</v>
      </c>
      <c r="V12" s="20" t="s">
        <v>1219</v>
      </c>
      <c r="W12" s="20" t="s">
        <v>1975</v>
      </c>
      <c r="X12" s="23" t="s">
        <v>1976</v>
      </c>
      <c r="Y12" s="23" t="s">
        <v>8015</v>
      </c>
    </row>
    <row r="13" spans="1:25" ht="13.2" customHeight="1" x14ac:dyDescent="0.3">
      <c r="A13" s="512" t="s">
        <v>1268</v>
      </c>
      <c r="B13" s="196">
        <v>13</v>
      </c>
      <c r="C13" s="18" t="s">
        <v>1216</v>
      </c>
      <c r="D13" s="68"/>
      <c r="E13" s="136" t="s">
        <v>5988</v>
      </c>
      <c r="F13" s="136" t="s">
        <v>1369</v>
      </c>
      <c r="G13" s="136" t="s">
        <v>1370</v>
      </c>
      <c r="H13" s="136"/>
      <c r="I13" s="136"/>
      <c r="J13" s="136"/>
      <c r="K13" s="136"/>
      <c r="L13" s="136"/>
      <c r="M13" s="136"/>
      <c r="N13" s="136"/>
      <c r="O13" s="136"/>
      <c r="P13" s="136"/>
      <c r="Q13" s="136"/>
      <c r="R13" s="136"/>
      <c r="S13" s="136"/>
      <c r="T13" s="136"/>
      <c r="U13" s="18" t="s">
        <v>1258</v>
      </c>
      <c r="V13" s="20" t="s">
        <v>1254</v>
      </c>
      <c r="W13" s="20" t="s">
        <v>1977</v>
      </c>
      <c r="X13" s="23" t="s">
        <v>1978</v>
      </c>
      <c r="Y13" s="23" t="s">
        <v>1979</v>
      </c>
    </row>
    <row r="14" spans="1:25" ht="13.2" customHeight="1" x14ac:dyDescent="0.3">
      <c r="A14" s="487" t="s">
        <v>1276</v>
      </c>
      <c r="B14" s="196">
        <v>14</v>
      </c>
      <c r="C14" s="18" t="s">
        <v>1216</v>
      </c>
      <c r="D14" s="68" t="s">
        <v>1392</v>
      </c>
      <c r="E14" s="136" t="s">
        <v>291</v>
      </c>
      <c r="F14" s="136"/>
      <c r="G14" s="136"/>
      <c r="H14" s="136"/>
      <c r="I14" s="136"/>
      <c r="J14" s="136"/>
      <c r="K14" s="136"/>
      <c r="L14" s="136"/>
      <c r="M14" s="136"/>
      <c r="N14" s="136"/>
      <c r="O14" s="136"/>
      <c r="P14" s="136"/>
      <c r="Q14" s="136"/>
      <c r="R14" s="136"/>
      <c r="S14" s="136"/>
      <c r="T14" s="136"/>
      <c r="U14" s="18" t="s">
        <v>1258</v>
      </c>
      <c r="V14" s="20" t="s">
        <v>1235</v>
      </c>
      <c r="W14" s="20" t="s">
        <v>1970</v>
      </c>
      <c r="X14" s="20" t="s">
        <v>1980</v>
      </c>
      <c r="Y14" s="23" t="s">
        <v>1981</v>
      </c>
    </row>
    <row r="15" spans="1:25" ht="13.2" customHeight="1" x14ac:dyDescent="0.3">
      <c r="A15" s="485" t="s">
        <v>1221</v>
      </c>
      <c r="B15" s="196">
        <v>15</v>
      </c>
      <c r="C15" s="18" t="s">
        <v>1216</v>
      </c>
      <c r="D15" s="68"/>
      <c r="E15" s="136" t="s">
        <v>1367</v>
      </c>
      <c r="F15" s="136" t="s">
        <v>1368</v>
      </c>
      <c r="G15" s="136"/>
      <c r="H15" s="136"/>
      <c r="I15" s="136"/>
      <c r="J15" s="136"/>
      <c r="K15" s="136"/>
      <c r="L15" s="136"/>
      <c r="M15" s="136"/>
      <c r="N15" s="136"/>
      <c r="O15" s="136"/>
      <c r="P15" s="136"/>
      <c r="Q15" s="136"/>
      <c r="R15" s="136"/>
      <c r="S15" s="136"/>
      <c r="T15" s="136"/>
      <c r="U15" s="18" t="s">
        <v>1931</v>
      </c>
      <c r="V15" s="20" t="s">
        <v>1222</v>
      </c>
      <c r="W15" s="20" t="s">
        <v>1982</v>
      </c>
      <c r="X15" s="23" t="s">
        <v>1985</v>
      </c>
      <c r="Y15" s="23" t="s">
        <v>1986</v>
      </c>
    </row>
    <row r="16" spans="1:25" ht="13.2" customHeight="1" x14ac:dyDescent="0.3">
      <c r="A16" s="485" t="s">
        <v>1223</v>
      </c>
      <c r="B16" s="196">
        <v>16</v>
      </c>
      <c r="C16" s="18" t="s">
        <v>1216</v>
      </c>
      <c r="D16" s="68"/>
      <c r="E16" s="136" t="s">
        <v>1364</v>
      </c>
      <c r="F16" s="136" t="s">
        <v>1365</v>
      </c>
      <c r="G16" s="136" t="s">
        <v>1366</v>
      </c>
      <c r="H16" s="136" t="s">
        <v>3398</v>
      </c>
      <c r="I16" s="136" t="s">
        <v>3436</v>
      </c>
      <c r="J16" s="136" t="s">
        <v>7697</v>
      </c>
      <c r="K16" s="136" t="s">
        <v>7698</v>
      </c>
      <c r="L16" s="136" t="s">
        <v>6361</v>
      </c>
      <c r="M16" s="136" t="s">
        <v>7699</v>
      </c>
      <c r="N16" s="136" t="s">
        <v>7690</v>
      </c>
      <c r="O16" s="136" t="s">
        <v>7691</v>
      </c>
      <c r="P16" s="136" t="s">
        <v>7692</v>
      </c>
      <c r="Q16" s="136" t="s">
        <v>7693</v>
      </c>
      <c r="R16" s="136" t="s">
        <v>7694</v>
      </c>
      <c r="S16" s="136" t="s">
        <v>7695</v>
      </c>
      <c r="T16" s="136" t="s">
        <v>7696</v>
      </c>
      <c r="U16" s="18" t="s">
        <v>1258</v>
      </c>
      <c r="V16" s="20" t="s">
        <v>1224</v>
      </c>
      <c r="W16" s="20" t="s">
        <v>2015</v>
      </c>
      <c r="X16" s="23" t="s">
        <v>2016</v>
      </c>
      <c r="Y16" s="23" t="s">
        <v>2017</v>
      </c>
    </row>
    <row r="17" spans="1:25" ht="13.2" customHeight="1" x14ac:dyDescent="0.3">
      <c r="A17" s="488" t="s">
        <v>351</v>
      </c>
      <c r="B17" s="196">
        <v>17</v>
      </c>
      <c r="C17" s="18" t="s">
        <v>1216</v>
      </c>
      <c r="D17" s="68" t="s">
        <v>1392</v>
      </c>
      <c r="E17" s="136" t="s">
        <v>1358</v>
      </c>
      <c r="F17" s="136" t="s">
        <v>1359</v>
      </c>
      <c r="G17" s="136" t="s">
        <v>1360</v>
      </c>
      <c r="H17" s="136" t="s">
        <v>1361</v>
      </c>
      <c r="I17" s="136" t="s">
        <v>1362</v>
      </c>
      <c r="J17" s="136" t="s">
        <v>1363</v>
      </c>
      <c r="K17" s="136" t="s">
        <v>4471</v>
      </c>
      <c r="L17" s="136" t="s">
        <v>4475</v>
      </c>
      <c r="M17" s="136" t="s">
        <v>4799</v>
      </c>
      <c r="N17" s="136" t="s">
        <v>7784</v>
      </c>
      <c r="O17" s="136" t="s">
        <v>8404</v>
      </c>
      <c r="P17" s="136"/>
      <c r="Q17" s="136"/>
      <c r="R17" s="136"/>
      <c r="S17" s="136"/>
      <c r="T17" s="136"/>
      <c r="U17" s="18" t="s">
        <v>1258</v>
      </c>
      <c r="V17" s="20" t="s">
        <v>1226</v>
      </c>
      <c r="W17" s="75" t="s">
        <v>1987</v>
      </c>
      <c r="X17" s="76" t="s">
        <v>1988</v>
      </c>
      <c r="Y17" s="76" t="s">
        <v>1989</v>
      </c>
    </row>
    <row r="18" spans="1:25" ht="13.2" customHeight="1" x14ac:dyDescent="0.3">
      <c r="A18" s="485" t="s">
        <v>1228</v>
      </c>
      <c r="B18" s="196">
        <v>18</v>
      </c>
      <c r="C18" s="18" t="s">
        <v>1216</v>
      </c>
      <c r="D18" s="68" t="s">
        <v>1392</v>
      </c>
      <c r="E18" s="136" t="s">
        <v>1355</v>
      </c>
      <c r="F18" s="136" t="s">
        <v>1356</v>
      </c>
      <c r="G18" s="136" t="s">
        <v>1357</v>
      </c>
      <c r="H18" s="136" t="s">
        <v>6518</v>
      </c>
      <c r="I18" s="136" t="s">
        <v>7704</v>
      </c>
      <c r="J18" s="136" t="s">
        <v>7705</v>
      </c>
      <c r="K18" s="8" t="s">
        <v>8402</v>
      </c>
      <c r="L18" s="136"/>
      <c r="M18" s="136"/>
      <c r="N18" s="136"/>
      <c r="O18" s="136"/>
      <c r="P18" s="136"/>
      <c r="Q18" s="136"/>
      <c r="R18" s="136"/>
      <c r="S18" s="136"/>
      <c r="T18" s="136"/>
      <c r="U18" s="18" t="s">
        <v>1931</v>
      </c>
      <c r="V18" s="20" t="s">
        <v>1229</v>
      </c>
      <c r="W18" s="20" t="s">
        <v>1992</v>
      </c>
      <c r="X18" s="23" t="s">
        <v>1991</v>
      </c>
      <c r="Y18" s="23" t="s">
        <v>1990</v>
      </c>
    </row>
    <row r="19" spans="1:25" ht="13.2" customHeight="1" x14ac:dyDescent="0.3">
      <c r="A19" s="485" t="s">
        <v>1275</v>
      </c>
      <c r="B19" s="196">
        <v>19</v>
      </c>
      <c r="C19" s="18" t="s">
        <v>1216</v>
      </c>
      <c r="D19" s="68" t="s">
        <v>1392</v>
      </c>
      <c r="E19" s="136" t="s">
        <v>1351</v>
      </c>
      <c r="F19" s="136" t="s">
        <v>1352</v>
      </c>
      <c r="G19" s="136" t="s">
        <v>4652</v>
      </c>
      <c r="H19" s="136" t="s">
        <v>1354</v>
      </c>
      <c r="I19" s="136" t="s">
        <v>3308</v>
      </c>
      <c r="J19" s="136" t="s">
        <v>3053</v>
      </c>
      <c r="K19" s="136" t="s">
        <v>4468</v>
      </c>
      <c r="L19" s="136"/>
      <c r="M19" s="136"/>
      <c r="N19" s="136"/>
      <c r="O19" s="136"/>
      <c r="P19" s="136"/>
      <c r="Q19" s="136"/>
      <c r="R19" s="136"/>
      <c r="S19" s="136"/>
      <c r="T19" s="136"/>
      <c r="U19" s="18" t="s">
        <v>1258</v>
      </c>
      <c r="V19" s="20" t="s">
        <v>1233</v>
      </c>
      <c r="W19" s="20" t="s">
        <v>1993</v>
      </c>
      <c r="X19" s="20" t="s">
        <v>1994</v>
      </c>
      <c r="Y19" s="23" t="s">
        <v>1995</v>
      </c>
    </row>
    <row r="20" spans="1:25" ht="13.2" customHeight="1" x14ac:dyDescent="0.3">
      <c r="A20" s="489" t="s">
        <v>5737</v>
      </c>
      <c r="B20" s="196">
        <v>20</v>
      </c>
      <c r="C20" s="18" t="s">
        <v>1216</v>
      </c>
      <c r="D20" s="68" t="s">
        <v>1392</v>
      </c>
      <c r="E20" s="136" t="s">
        <v>4446</v>
      </c>
      <c r="F20" s="136" t="s">
        <v>4447</v>
      </c>
      <c r="G20" s="136" t="s">
        <v>4553</v>
      </c>
      <c r="H20" s="136" t="s">
        <v>5738</v>
      </c>
      <c r="I20" s="136"/>
      <c r="J20" s="136"/>
      <c r="K20" s="136"/>
      <c r="L20" s="136"/>
      <c r="M20" s="136"/>
      <c r="N20" s="136"/>
      <c r="O20" s="136"/>
      <c r="P20" s="136"/>
      <c r="Q20" s="136"/>
      <c r="R20" s="136"/>
      <c r="S20" s="136"/>
      <c r="T20" s="136"/>
      <c r="U20" s="259" t="s">
        <v>1205</v>
      </c>
      <c r="V20" s="20" t="s">
        <v>5739</v>
      </c>
      <c r="W20" s="23" t="s">
        <v>5740</v>
      </c>
      <c r="X20" s="23" t="s">
        <v>5767</v>
      </c>
      <c r="Y20" s="23" t="s">
        <v>5768</v>
      </c>
    </row>
    <row r="21" spans="1:25" ht="13.2" customHeight="1" x14ac:dyDescent="0.3">
      <c r="A21" s="490" t="s">
        <v>3664</v>
      </c>
      <c r="B21" s="196">
        <v>21</v>
      </c>
      <c r="C21" s="481" t="str">
        <f>IF(Contexte_jeu="L'Empire Stellaire d'Emeraude","Noble",IF(Contexte_jeu="Rokugan de Fer","Bugei","Bugei, Dégrad."))</f>
        <v>Bugei, Dégrad.</v>
      </c>
      <c r="D21" s="68" t="s">
        <v>1392</v>
      </c>
      <c r="E21" s="136" t="s">
        <v>3664</v>
      </c>
      <c r="F21" s="136"/>
      <c r="G21" s="136"/>
      <c r="H21" s="136"/>
      <c r="I21" s="136"/>
      <c r="J21" s="136"/>
      <c r="K21" s="136"/>
      <c r="L21" s="136"/>
      <c r="M21" s="136"/>
      <c r="N21" s="136"/>
      <c r="O21" s="136"/>
      <c r="P21" s="136"/>
      <c r="Q21" s="136"/>
      <c r="R21" s="136"/>
      <c r="S21" s="136"/>
      <c r="T21" s="136"/>
      <c r="U21" s="166" t="s">
        <v>1205</v>
      </c>
      <c r="V21" s="20" t="s">
        <v>3665</v>
      </c>
      <c r="W21" s="20" t="s">
        <v>1284</v>
      </c>
      <c r="X21" s="74" t="s">
        <v>3666</v>
      </c>
      <c r="Y21" s="74" t="s">
        <v>3666</v>
      </c>
    </row>
    <row r="22" spans="1:25" ht="13.2" customHeight="1" x14ac:dyDescent="0.3">
      <c r="A22" s="485" t="s">
        <v>1230</v>
      </c>
      <c r="B22" s="196">
        <v>22</v>
      </c>
      <c r="C22" s="19" t="s">
        <v>2029</v>
      </c>
      <c r="D22" s="68" t="s">
        <v>1392</v>
      </c>
      <c r="E22" s="136" t="s">
        <v>1350</v>
      </c>
      <c r="F22" s="136" t="s">
        <v>1348</v>
      </c>
      <c r="G22" s="136" t="s">
        <v>3290</v>
      </c>
      <c r="H22" s="136" t="s">
        <v>1349</v>
      </c>
      <c r="I22" s="136" t="s">
        <v>7712</v>
      </c>
      <c r="J22" s="136"/>
      <c r="K22" s="136"/>
      <c r="L22" s="136"/>
      <c r="M22" s="136"/>
      <c r="N22" s="136"/>
      <c r="O22" s="136"/>
      <c r="P22" s="136"/>
      <c r="Q22" s="136"/>
      <c r="R22" s="136"/>
      <c r="S22" s="136"/>
      <c r="T22" s="136"/>
      <c r="U22" s="18" t="s">
        <v>1931</v>
      </c>
      <c r="V22" s="20" t="s">
        <v>1231</v>
      </c>
      <c r="W22" s="20" t="s">
        <v>2012</v>
      </c>
      <c r="X22" s="23" t="s">
        <v>2013</v>
      </c>
      <c r="Y22" s="23" t="s">
        <v>2014</v>
      </c>
    </row>
    <row r="23" spans="1:25" ht="13.2" customHeight="1" x14ac:dyDescent="0.3">
      <c r="A23" s="575" t="s">
        <v>3326</v>
      </c>
      <c r="B23" s="196">
        <v>23</v>
      </c>
      <c r="C23" s="18" t="s">
        <v>2030</v>
      </c>
      <c r="D23" s="68"/>
      <c r="E23" s="136" t="s">
        <v>3289</v>
      </c>
      <c r="F23" s="136" t="s">
        <v>3291</v>
      </c>
      <c r="G23" s="136" t="s">
        <v>2977</v>
      </c>
      <c r="H23" s="136" t="s">
        <v>6003</v>
      </c>
      <c r="I23" s="136" t="s">
        <v>5826</v>
      </c>
      <c r="J23" s="136" t="s">
        <v>3278</v>
      </c>
      <c r="K23" s="136" t="s">
        <v>9103</v>
      </c>
      <c r="L23" s="136"/>
      <c r="M23" s="136"/>
      <c r="N23" s="136"/>
      <c r="O23" s="136"/>
      <c r="P23" s="136"/>
      <c r="Q23" s="136"/>
      <c r="R23" s="136"/>
      <c r="S23" s="136"/>
      <c r="T23" s="136"/>
      <c r="U23" s="135" t="s">
        <v>68</v>
      </c>
      <c r="V23" s="20" t="s">
        <v>1237</v>
      </c>
      <c r="W23" s="20" t="s">
        <v>1284</v>
      </c>
      <c r="X23" s="23" t="s">
        <v>1284</v>
      </c>
      <c r="Y23" s="20" t="s">
        <v>1284</v>
      </c>
    </row>
    <row r="24" spans="1:25" ht="13.2" customHeight="1" x14ac:dyDescent="0.3">
      <c r="A24" s="565" t="s">
        <v>3323</v>
      </c>
      <c r="B24" s="196">
        <v>24</v>
      </c>
      <c r="C24" s="18" t="s">
        <v>2030</v>
      </c>
      <c r="D24" s="68"/>
      <c r="E24" s="136" t="s">
        <v>3169</v>
      </c>
      <c r="F24" s="136" t="s">
        <v>3170</v>
      </c>
      <c r="G24" s="136" t="s">
        <v>3171</v>
      </c>
      <c r="H24" s="136" t="s">
        <v>64</v>
      </c>
      <c r="I24" s="136" t="s">
        <v>159</v>
      </c>
      <c r="J24" s="136" t="s">
        <v>3172</v>
      </c>
      <c r="K24" s="136" t="s">
        <v>3174</v>
      </c>
      <c r="L24" s="136"/>
      <c r="M24" s="136"/>
      <c r="N24" s="136"/>
      <c r="O24" s="136"/>
      <c r="P24" s="136"/>
      <c r="Q24" s="136"/>
      <c r="R24" s="136"/>
      <c r="S24" s="136"/>
      <c r="T24" s="136"/>
      <c r="U24" s="18" t="s">
        <v>1205</v>
      </c>
      <c r="V24" s="20" t="s">
        <v>1212</v>
      </c>
      <c r="W24" s="20" t="s">
        <v>1284</v>
      </c>
      <c r="X24" s="23" t="s">
        <v>1284</v>
      </c>
      <c r="Y24" s="23" t="s">
        <v>1284</v>
      </c>
    </row>
    <row r="25" spans="1:25" ht="13.2" customHeight="1" x14ac:dyDescent="0.3">
      <c r="A25" s="491" t="s">
        <v>1280</v>
      </c>
      <c r="B25" s="196">
        <v>25</v>
      </c>
      <c r="C25" s="18" t="s">
        <v>2030</v>
      </c>
      <c r="D25" s="68" t="s">
        <v>1393</v>
      </c>
      <c r="E25" s="136" t="s">
        <v>1346</v>
      </c>
      <c r="F25" s="136" t="s">
        <v>1344</v>
      </c>
      <c r="G25" s="136" t="s">
        <v>1345</v>
      </c>
      <c r="H25" s="136" t="s">
        <v>1347</v>
      </c>
      <c r="I25" s="136"/>
      <c r="J25" s="136"/>
      <c r="K25" s="136"/>
      <c r="L25" s="136"/>
      <c r="M25" s="136"/>
      <c r="N25" s="136"/>
      <c r="O25" s="136"/>
      <c r="P25" s="136"/>
      <c r="Q25" s="136"/>
      <c r="R25" s="136"/>
      <c r="S25" s="136"/>
      <c r="T25" s="136"/>
      <c r="U25" s="18" t="s">
        <v>1258</v>
      </c>
      <c r="V25" s="20" t="s">
        <v>1240</v>
      </c>
      <c r="W25" s="75" t="s">
        <v>8011</v>
      </c>
      <c r="X25" s="74" t="s">
        <v>1997</v>
      </c>
      <c r="Y25" s="74" t="s">
        <v>1996</v>
      </c>
    </row>
    <row r="26" spans="1:25" ht="13.2" customHeight="1" x14ac:dyDescent="0.3">
      <c r="A26" s="485" t="s">
        <v>1282</v>
      </c>
      <c r="B26" s="196">
        <v>26</v>
      </c>
      <c r="C26" s="18" t="s">
        <v>2030</v>
      </c>
      <c r="D26" s="68"/>
      <c r="E26" s="136" t="s">
        <v>1340</v>
      </c>
      <c r="F26" s="136" t="s">
        <v>1341</v>
      </c>
      <c r="G26" s="136" t="s">
        <v>1342</v>
      </c>
      <c r="H26" s="136" t="s">
        <v>1343</v>
      </c>
      <c r="I26" s="136"/>
      <c r="J26" s="136"/>
      <c r="K26" s="136"/>
      <c r="L26" s="136"/>
      <c r="M26" s="136"/>
      <c r="N26" s="136"/>
      <c r="O26" s="136"/>
      <c r="P26" s="136"/>
      <c r="Q26" s="136"/>
      <c r="R26" s="136"/>
      <c r="S26" s="136"/>
      <c r="T26" s="136"/>
      <c r="U26" s="18" t="s">
        <v>1258</v>
      </c>
      <c r="V26" s="20" t="s">
        <v>1242</v>
      </c>
      <c r="W26" s="20" t="s">
        <v>1998</v>
      </c>
      <c r="X26" s="23" t="s">
        <v>1999</v>
      </c>
      <c r="Y26" s="23" t="s">
        <v>2000</v>
      </c>
    </row>
    <row r="27" spans="1:25" ht="13.2" customHeight="1" x14ac:dyDescent="0.3">
      <c r="A27" s="485" t="s">
        <v>376</v>
      </c>
      <c r="B27" s="196">
        <v>27</v>
      </c>
      <c r="C27" s="18" t="s">
        <v>2030</v>
      </c>
      <c r="D27" s="68" t="s">
        <v>1391</v>
      </c>
      <c r="E27" s="136" t="s">
        <v>354</v>
      </c>
      <c r="F27" s="136" t="s">
        <v>1338</v>
      </c>
      <c r="G27" s="136" t="s">
        <v>1339</v>
      </c>
      <c r="H27" s="136"/>
      <c r="I27" s="136"/>
      <c r="J27" s="136"/>
      <c r="K27" s="136"/>
      <c r="L27" s="136"/>
      <c r="M27" s="136"/>
      <c r="N27" s="136"/>
      <c r="O27" s="136"/>
      <c r="P27" s="136"/>
      <c r="Q27" s="136"/>
      <c r="R27" s="136"/>
      <c r="S27" s="136"/>
      <c r="T27" s="136"/>
      <c r="U27" s="18" t="s">
        <v>1249</v>
      </c>
      <c r="V27" s="20" t="s">
        <v>1241</v>
      </c>
      <c r="W27" s="20" t="s">
        <v>1284</v>
      </c>
      <c r="X27" s="20" t="s">
        <v>2001</v>
      </c>
      <c r="Y27" s="20" t="s">
        <v>2001</v>
      </c>
    </row>
    <row r="28" spans="1:25" ht="13.2" customHeight="1" x14ac:dyDescent="0.3">
      <c r="A28" s="491" t="s">
        <v>1281</v>
      </c>
      <c r="B28" s="196">
        <v>28</v>
      </c>
      <c r="C28" s="18" t="s">
        <v>2030</v>
      </c>
      <c r="D28" s="68"/>
      <c r="E28" s="136" t="s">
        <v>1334</v>
      </c>
      <c r="F28" s="136" t="s">
        <v>1335</v>
      </c>
      <c r="G28" s="136" t="s">
        <v>1336</v>
      </c>
      <c r="H28" s="136" t="s">
        <v>1337</v>
      </c>
      <c r="I28" s="136"/>
      <c r="J28" s="136"/>
      <c r="K28" s="136"/>
      <c r="L28" s="136"/>
      <c r="M28" s="136"/>
      <c r="N28" s="136"/>
      <c r="O28" s="136"/>
      <c r="P28" s="136"/>
      <c r="Q28" s="136"/>
      <c r="R28" s="136"/>
      <c r="S28" s="136"/>
      <c r="T28" s="136"/>
      <c r="U28" s="18" t="s">
        <v>1258</v>
      </c>
      <c r="V28" s="20" t="s">
        <v>1256</v>
      </c>
      <c r="W28" s="20" t="s">
        <v>1284</v>
      </c>
      <c r="X28" s="20" t="s">
        <v>2002</v>
      </c>
      <c r="Y28" s="20" t="s">
        <v>2002</v>
      </c>
    </row>
    <row r="29" spans="1:25" ht="13.2" customHeight="1" x14ac:dyDescent="0.3">
      <c r="A29" s="485" t="s">
        <v>1283</v>
      </c>
      <c r="B29" s="196">
        <v>29</v>
      </c>
      <c r="C29" s="18" t="s">
        <v>2030</v>
      </c>
      <c r="D29" s="68" t="s">
        <v>1391</v>
      </c>
      <c r="E29" s="136" t="s">
        <v>1332</v>
      </c>
      <c r="F29" s="136" t="s">
        <v>1333</v>
      </c>
      <c r="G29" s="136"/>
      <c r="H29" s="136"/>
      <c r="I29" s="136"/>
      <c r="J29" s="136"/>
      <c r="K29" s="136"/>
      <c r="L29" s="136"/>
      <c r="M29" s="136"/>
      <c r="N29" s="136"/>
      <c r="O29" s="136"/>
      <c r="P29" s="136"/>
      <c r="Q29" s="136"/>
      <c r="R29" s="136"/>
      <c r="S29" s="136"/>
      <c r="T29" s="136"/>
      <c r="U29" s="18" t="s">
        <v>1249</v>
      </c>
      <c r="V29" s="20" t="s">
        <v>1243</v>
      </c>
      <c r="W29" s="20" t="s">
        <v>1284</v>
      </c>
      <c r="X29" s="20" t="s">
        <v>2003</v>
      </c>
      <c r="Y29" s="20" t="s">
        <v>2003</v>
      </c>
    </row>
    <row r="30" spans="1:25" ht="13.2" customHeight="1" x14ac:dyDescent="0.3">
      <c r="A30" s="489" t="s">
        <v>3327</v>
      </c>
      <c r="B30" s="196">
        <v>30</v>
      </c>
      <c r="C30" s="18" t="s">
        <v>1248</v>
      </c>
      <c r="D30" s="68"/>
      <c r="E30" s="136" t="s">
        <v>3282</v>
      </c>
      <c r="F30" s="136" t="s">
        <v>3281</v>
      </c>
      <c r="G30" s="136" t="s">
        <v>3280</v>
      </c>
      <c r="H30" s="136" t="s">
        <v>3279</v>
      </c>
      <c r="I30" s="136" t="s">
        <v>3278</v>
      </c>
      <c r="J30" s="136" t="s">
        <v>3277</v>
      </c>
      <c r="K30" s="136" t="s">
        <v>3276</v>
      </c>
      <c r="L30" s="136" t="s">
        <v>3283</v>
      </c>
      <c r="M30" s="136" t="s">
        <v>3296</v>
      </c>
      <c r="N30" s="136" t="s">
        <v>3285</v>
      </c>
      <c r="O30" s="136" t="s">
        <v>3286</v>
      </c>
      <c r="P30" s="136" t="s">
        <v>3287</v>
      </c>
      <c r="T30" s="136"/>
      <c r="U30" s="135" t="s">
        <v>68</v>
      </c>
      <c r="V30" s="20" t="s">
        <v>1237</v>
      </c>
      <c r="W30" s="20" t="s">
        <v>1284</v>
      </c>
      <c r="X30" s="23" t="s">
        <v>1284</v>
      </c>
      <c r="Y30" s="20" t="s">
        <v>1284</v>
      </c>
    </row>
    <row r="31" spans="1:25" ht="13.2" customHeight="1" x14ac:dyDescent="0.3">
      <c r="A31" s="485" t="s">
        <v>311</v>
      </c>
      <c r="B31" s="196">
        <v>31</v>
      </c>
      <c r="C31" s="18" t="s">
        <v>1248</v>
      </c>
      <c r="D31" s="68"/>
      <c r="E31" s="136" t="s">
        <v>1331</v>
      </c>
      <c r="F31" s="136" t="s">
        <v>3295</v>
      </c>
      <c r="G31" s="136"/>
      <c r="H31" s="136"/>
      <c r="I31" s="136"/>
      <c r="J31" s="136"/>
      <c r="K31" s="136"/>
      <c r="L31" s="136"/>
      <c r="M31" s="136"/>
      <c r="N31" s="136"/>
      <c r="O31" s="136"/>
      <c r="P31" s="136"/>
      <c r="Q31" s="136"/>
      <c r="R31" s="136"/>
      <c r="S31" s="136"/>
      <c r="T31" s="136"/>
      <c r="U31" s="18" t="s">
        <v>1205</v>
      </c>
      <c r="V31" s="20" t="s">
        <v>1236</v>
      </c>
      <c r="W31" s="20" t="s">
        <v>1284</v>
      </c>
      <c r="X31" s="20" t="s">
        <v>2004</v>
      </c>
      <c r="Y31" s="20" t="s">
        <v>2004</v>
      </c>
    </row>
    <row r="32" spans="1:25" s="196" customFormat="1" ht="13.2" customHeight="1" x14ac:dyDescent="0.3">
      <c r="A32" s="482" t="str">
        <f>IF(Contexte_jeu&lt;&gt;"L'Empire Stellaire d'Emeraude","","Conduite")</f>
        <v/>
      </c>
      <c r="B32" s="196">
        <v>32</v>
      </c>
      <c r="C32" s="18" t="s">
        <v>1248</v>
      </c>
      <c r="D32" s="68"/>
      <c r="E32" s="136" t="s">
        <v>7422</v>
      </c>
      <c r="F32" s="136" t="s">
        <v>7423</v>
      </c>
      <c r="G32" s="136" t="s">
        <v>7424</v>
      </c>
      <c r="H32" s="136" t="s">
        <v>7437</v>
      </c>
      <c r="I32" s="136"/>
      <c r="J32" s="136"/>
      <c r="K32" s="136"/>
      <c r="L32" s="136"/>
      <c r="M32" s="136"/>
      <c r="N32" s="136"/>
      <c r="O32" s="136"/>
      <c r="P32" s="136"/>
      <c r="Q32" s="136"/>
      <c r="R32" s="136"/>
      <c r="S32" s="136"/>
      <c r="T32" s="136"/>
      <c r="U32" s="18" t="s">
        <v>1205</v>
      </c>
      <c r="V32" s="20" t="s">
        <v>7438</v>
      </c>
      <c r="W32" s="20" t="s">
        <v>1284</v>
      </c>
      <c r="X32" s="20" t="s">
        <v>7425</v>
      </c>
      <c r="Y32" s="20" t="s">
        <v>7425</v>
      </c>
    </row>
    <row r="33" spans="1:25" ht="13.2" customHeight="1" x14ac:dyDescent="0.3">
      <c r="A33" s="485" t="s">
        <v>1278</v>
      </c>
      <c r="B33" s="196">
        <v>33</v>
      </c>
      <c r="C33" s="18" t="s">
        <v>1248</v>
      </c>
      <c r="D33" s="68"/>
      <c r="E33" s="136" t="s">
        <v>1328</v>
      </c>
      <c r="F33" s="136" t="s">
        <v>1329</v>
      </c>
      <c r="G33" s="136" t="s">
        <v>1330</v>
      </c>
      <c r="H33" s="136" t="s">
        <v>6482</v>
      </c>
      <c r="I33" s="136" t="s">
        <v>6483</v>
      </c>
      <c r="J33" s="136" t="s">
        <v>6484</v>
      </c>
      <c r="K33" s="136" t="s">
        <v>6485</v>
      </c>
      <c r="L33" s="136" t="s">
        <v>6486</v>
      </c>
      <c r="M33" s="136" t="s">
        <v>7103</v>
      </c>
      <c r="N33" s="136" t="s">
        <v>7152</v>
      </c>
      <c r="O33" s="136" t="s">
        <v>7411</v>
      </c>
      <c r="P33" s="136" t="s">
        <v>3288</v>
      </c>
      <c r="Q33" s="136" t="s">
        <v>8808</v>
      </c>
      <c r="R33" s="136"/>
      <c r="S33" s="136"/>
      <c r="T33" s="136"/>
      <c r="U33" s="18" t="s">
        <v>1249</v>
      </c>
      <c r="V33" s="20" t="s">
        <v>1255</v>
      </c>
      <c r="W33" s="20" t="s">
        <v>8012</v>
      </c>
      <c r="X33" s="23" t="s">
        <v>8013</v>
      </c>
      <c r="Y33" s="23" t="s">
        <v>8014</v>
      </c>
    </row>
    <row r="34" spans="1:25" ht="13.2" customHeight="1" x14ac:dyDescent="0.3">
      <c r="A34" s="492" t="s">
        <v>1279</v>
      </c>
      <c r="B34" s="196">
        <v>34</v>
      </c>
      <c r="C34" s="18" t="s">
        <v>1248</v>
      </c>
      <c r="D34" s="68" t="s">
        <v>1393</v>
      </c>
      <c r="E34" s="136" t="s">
        <v>1324</v>
      </c>
      <c r="F34" s="136" t="s">
        <v>1325</v>
      </c>
      <c r="G34" s="136" t="s">
        <v>7426</v>
      </c>
      <c r="H34" s="136" t="s">
        <v>7427</v>
      </c>
      <c r="I34" s="8" t="s">
        <v>7430</v>
      </c>
      <c r="J34" s="495" t="str">
        <f>IF(Contexte_jeu&lt;&gt;"L'Empire Stellaire d'Emeraude","","Moteurs")</f>
        <v/>
      </c>
      <c r="K34" s="495" t="str">
        <f>IF(Contexte_jeu&lt;&gt;"L'Empire Stellaire d'Emeraude","","Electronique")</f>
        <v/>
      </c>
      <c r="L34" s="136"/>
      <c r="M34" s="136"/>
      <c r="N34" s="136"/>
      <c r="O34" s="136"/>
      <c r="P34" s="136"/>
      <c r="Q34" s="136"/>
      <c r="R34" s="136"/>
      <c r="S34" s="136"/>
      <c r="T34" s="136"/>
      <c r="U34" s="18" t="s">
        <v>1205</v>
      </c>
      <c r="V34" s="20" t="s">
        <v>1238</v>
      </c>
      <c r="W34" s="23" t="s">
        <v>1284</v>
      </c>
      <c r="X34" s="20" t="s">
        <v>7722</v>
      </c>
      <c r="Y34" s="20" t="s">
        <v>7722</v>
      </c>
    </row>
    <row r="35" spans="1:25" s="196" customFormat="1" ht="13.2" customHeight="1" x14ac:dyDescent="0.3">
      <c r="A35" s="492" t="str">
        <f>IF(Contexte_jeu&lt;&gt;"L'Empire Stellaire d'Emeraude","","Ingénierie Spatiale")</f>
        <v/>
      </c>
      <c r="B35" s="196">
        <v>35</v>
      </c>
      <c r="C35" s="18" t="s">
        <v>1248</v>
      </c>
      <c r="D35" s="68"/>
      <c r="E35" s="136" t="s">
        <v>7719</v>
      </c>
      <c r="F35" s="136" t="s">
        <v>7720</v>
      </c>
      <c r="G35" s="136"/>
      <c r="H35" s="136"/>
      <c r="I35" s="8"/>
      <c r="J35" s="495"/>
      <c r="K35" s="495"/>
      <c r="L35" s="136"/>
      <c r="M35" s="136"/>
      <c r="N35" s="136"/>
      <c r="O35" s="136"/>
      <c r="P35" s="136"/>
      <c r="Q35" s="136"/>
      <c r="R35" s="136"/>
      <c r="S35" s="136"/>
      <c r="T35" s="136"/>
      <c r="U35" s="18" t="s">
        <v>1205</v>
      </c>
      <c r="V35" s="20" t="s">
        <v>7721</v>
      </c>
      <c r="W35" s="23" t="s">
        <v>1284</v>
      </c>
      <c r="X35" s="20" t="s">
        <v>7724</v>
      </c>
      <c r="Y35" s="20" t="s">
        <v>7723</v>
      </c>
    </row>
    <row r="36" spans="1:25" ht="13.2" customHeight="1" x14ac:dyDescent="0.3">
      <c r="A36" s="489" t="s">
        <v>3324</v>
      </c>
      <c r="B36" s="196">
        <v>36</v>
      </c>
      <c r="C36" s="18" t="s">
        <v>1248</v>
      </c>
      <c r="D36" s="68" t="s">
        <v>1393</v>
      </c>
      <c r="E36" s="136" t="s">
        <v>3275</v>
      </c>
      <c r="F36" s="136" t="s">
        <v>3294</v>
      </c>
      <c r="G36" s="136" t="s">
        <v>6862</v>
      </c>
      <c r="H36" s="136"/>
      <c r="I36" s="136"/>
      <c r="J36" s="136"/>
      <c r="K36" s="136"/>
      <c r="L36" s="136"/>
      <c r="M36" s="136"/>
      <c r="N36" s="136"/>
      <c r="O36" s="136"/>
      <c r="P36" s="136"/>
      <c r="Q36" s="136"/>
      <c r="R36" s="136"/>
      <c r="S36" s="136"/>
      <c r="T36" s="136"/>
      <c r="U36" s="135" t="s">
        <v>68</v>
      </c>
      <c r="V36" s="20" t="s">
        <v>1239</v>
      </c>
      <c r="W36" s="23" t="s">
        <v>1284</v>
      </c>
      <c r="X36" s="20" t="s">
        <v>2005</v>
      </c>
      <c r="Y36" s="23" t="s">
        <v>2005</v>
      </c>
    </row>
    <row r="37" spans="1:25" s="196" customFormat="1" ht="13.2" customHeight="1" x14ac:dyDescent="0.3">
      <c r="A37" s="482" t="str">
        <f>IF(Contexte_jeu&lt;&gt;"L'Empire Stellaire d'Emeraude","","Pilotage Atmosphèrique")</f>
        <v/>
      </c>
      <c r="B37" s="196">
        <v>37</v>
      </c>
      <c r="C37" s="18" t="s">
        <v>1248</v>
      </c>
      <c r="D37" s="68"/>
      <c r="E37" s="136" t="s">
        <v>7439</v>
      </c>
      <c r="F37" s="136" t="s">
        <v>7440</v>
      </c>
      <c r="G37" s="136"/>
      <c r="H37" s="136"/>
      <c r="I37" s="136"/>
      <c r="J37" s="136"/>
      <c r="K37" s="136"/>
      <c r="L37" s="136"/>
      <c r="M37" s="136"/>
      <c r="N37" s="136"/>
      <c r="O37" s="136"/>
      <c r="P37" s="136"/>
      <c r="Q37" s="136"/>
      <c r="R37" s="136"/>
      <c r="S37" s="136"/>
      <c r="T37" s="136"/>
      <c r="U37" s="18" t="s">
        <v>1205</v>
      </c>
      <c r="V37" s="20" t="s">
        <v>7443</v>
      </c>
      <c r="W37" s="20" t="s">
        <v>1284</v>
      </c>
      <c r="X37" s="20" t="s">
        <v>7444</v>
      </c>
      <c r="Y37" s="20" t="s">
        <v>7444</v>
      </c>
    </row>
    <row r="38" spans="1:25" s="196" customFormat="1" ht="13.2" customHeight="1" x14ac:dyDescent="0.3">
      <c r="A38" s="482" t="str">
        <f>IF(Contexte_jeu&lt;&gt;"L'Empire Stellaire d'Emeraude","","Pilotage Spatial")</f>
        <v/>
      </c>
      <c r="B38" s="196">
        <v>38</v>
      </c>
      <c r="C38" s="18" t="s">
        <v>1248</v>
      </c>
      <c r="D38" s="68"/>
      <c r="E38" s="136" t="s">
        <v>7441</v>
      </c>
      <c r="F38" s="136" t="s">
        <v>7442</v>
      </c>
      <c r="G38" s="136"/>
      <c r="H38" s="136"/>
      <c r="I38" s="136"/>
      <c r="J38" s="136"/>
      <c r="K38" s="136"/>
      <c r="L38" s="136"/>
      <c r="M38" s="136"/>
      <c r="N38" s="136"/>
      <c r="O38" s="136"/>
      <c r="P38" s="136"/>
      <c r="Q38" s="136"/>
      <c r="R38" s="136"/>
      <c r="S38" s="136"/>
      <c r="T38" s="136"/>
      <c r="U38" s="18" t="s">
        <v>1205</v>
      </c>
      <c r="V38" s="20" t="s">
        <v>7445</v>
      </c>
      <c r="W38" s="20" t="s">
        <v>1284</v>
      </c>
      <c r="X38" s="20" t="s">
        <v>7446</v>
      </c>
      <c r="Y38" s="20" t="s">
        <v>7446</v>
      </c>
    </row>
    <row r="39" spans="1:25" ht="13.2" customHeight="1" x14ac:dyDescent="0.3">
      <c r="A39" s="493" t="s">
        <v>1262</v>
      </c>
      <c r="B39" s="196">
        <v>39</v>
      </c>
      <c r="C39" s="18" t="s">
        <v>1247</v>
      </c>
      <c r="D39" s="68"/>
      <c r="E39" s="136" t="s">
        <v>3175</v>
      </c>
      <c r="F39" s="136" t="s">
        <v>3176</v>
      </c>
      <c r="G39" s="136" t="s">
        <v>3312</v>
      </c>
      <c r="H39" s="136" t="s">
        <v>3177</v>
      </c>
      <c r="I39" s="136" t="s">
        <v>3178</v>
      </c>
      <c r="J39" s="136" t="s">
        <v>3179</v>
      </c>
      <c r="K39" s="136" t="s">
        <v>6420</v>
      </c>
      <c r="L39" s="136" t="s">
        <v>3181</v>
      </c>
      <c r="M39" s="136"/>
      <c r="N39" s="136"/>
      <c r="O39" s="136"/>
      <c r="P39" s="136"/>
      <c r="Q39" s="136"/>
      <c r="R39" s="136"/>
      <c r="S39" s="136"/>
      <c r="T39" s="136"/>
      <c r="U39" s="18" t="s">
        <v>1249</v>
      </c>
      <c r="V39" s="20" t="s">
        <v>1204</v>
      </c>
      <c r="W39" s="20" t="s">
        <v>1284</v>
      </c>
      <c r="X39" s="23" t="s">
        <v>1284</v>
      </c>
      <c r="Y39" s="23" t="s">
        <v>1284</v>
      </c>
    </row>
    <row r="40" spans="1:25" ht="13.2" customHeight="1" x14ac:dyDescent="0.3">
      <c r="A40" s="485" t="s">
        <v>1260</v>
      </c>
      <c r="B40" s="196">
        <v>40</v>
      </c>
      <c r="C40" s="18" t="s">
        <v>1247</v>
      </c>
      <c r="D40" s="68" t="s">
        <v>1391</v>
      </c>
      <c r="E40" s="136" t="s">
        <v>1326</v>
      </c>
      <c r="F40" s="136" t="s">
        <v>1327</v>
      </c>
      <c r="G40" s="136"/>
      <c r="H40" s="136"/>
      <c r="I40" s="136"/>
      <c r="J40" s="136"/>
      <c r="K40" s="136"/>
      <c r="L40" s="136"/>
      <c r="M40" s="136"/>
      <c r="N40" s="136"/>
      <c r="O40" s="136"/>
      <c r="P40" s="136"/>
      <c r="Q40" s="136"/>
      <c r="R40" s="136"/>
      <c r="S40" s="136"/>
      <c r="T40" s="136"/>
      <c r="U40" s="18" t="s">
        <v>1205</v>
      </c>
      <c r="V40" s="20" t="s">
        <v>1215</v>
      </c>
      <c r="W40" s="23" t="s">
        <v>1284</v>
      </c>
      <c r="X40" s="20" t="s">
        <v>2006</v>
      </c>
      <c r="Y40" s="20" t="s">
        <v>2006</v>
      </c>
    </row>
    <row r="41" spans="1:25" ht="13.2" customHeight="1" x14ac:dyDescent="0.3">
      <c r="A41" s="504" t="s">
        <v>3328</v>
      </c>
      <c r="B41" s="196">
        <v>41</v>
      </c>
      <c r="C41" s="18" t="s">
        <v>1247</v>
      </c>
      <c r="D41" s="68"/>
      <c r="E41" s="574" t="s">
        <v>3182</v>
      </c>
      <c r="F41" s="574" t="s">
        <v>7417</v>
      </c>
      <c r="G41" s="574" t="s">
        <v>7418</v>
      </c>
      <c r="H41" s="574" t="s">
        <v>3394</v>
      </c>
      <c r="I41" s="574" t="s">
        <v>6502</v>
      </c>
      <c r="J41" s="574" t="s">
        <v>7874</v>
      </c>
      <c r="K41" s="574" t="s">
        <v>7875</v>
      </c>
      <c r="L41" s="136" t="s">
        <v>7421</v>
      </c>
      <c r="M41" s="136" t="s">
        <v>3284</v>
      </c>
      <c r="N41" s="136"/>
      <c r="O41" s="136"/>
      <c r="P41" s="136"/>
      <c r="Q41" s="136"/>
      <c r="R41" s="136"/>
      <c r="S41" s="136"/>
      <c r="T41" s="136"/>
      <c r="U41" s="18" t="s">
        <v>1257</v>
      </c>
      <c r="V41" s="20" t="s">
        <v>1237</v>
      </c>
      <c r="W41" s="20" t="s">
        <v>1284</v>
      </c>
      <c r="X41" s="23" t="s">
        <v>1284</v>
      </c>
      <c r="Y41" s="20" t="s">
        <v>1284</v>
      </c>
    </row>
    <row r="42" spans="1:25" ht="13.2" customHeight="1" x14ac:dyDescent="0.3">
      <c r="A42" s="512" t="s">
        <v>1261</v>
      </c>
      <c r="B42" s="196">
        <v>42</v>
      </c>
      <c r="C42" s="18" t="s">
        <v>1247</v>
      </c>
      <c r="D42" s="68" t="s">
        <v>1262</v>
      </c>
      <c r="E42" s="136" t="s">
        <v>1290</v>
      </c>
      <c r="F42" s="136" t="s">
        <v>1291</v>
      </c>
      <c r="G42" s="136" t="s">
        <v>7716</v>
      </c>
      <c r="H42" s="136" t="s">
        <v>7717</v>
      </c>
      <c r="I42" s="136" t="s">
        <v>7718</v>
      </c>
      <c r="J42" s="136"/>
      <c r="K42" s="136"/>
      <c r="L42" s="136"/>
      <c r="M42" s="136"/>
      <c r="N42" s="136"/>
      <c r="O42" s="136"/>
      <c r="P42" s="136"/>
      <c r="Q42" s="136"/>
      <c r="R42" s="136"/>
      <c r="S42" s="136"/>
      <c r="T42" s="136"/>
      <c r="U42" s="18" t="s">
        <v>1205</v>
      </c>
      <c r="V42" s="20" t="s">
        <v>1206</v>
      </c>
      <c r="W42" s="20" t="s">
        <v>1284</v>
      </c>
      <c r="X42" s="20" t="s">
        <v>2007</v>
      </c>
      <c r="Y42" s="20" t="s">
        <v>2007</v>
      </c>
    </row>
    <row r="43" spans="1:25" ht="13.2" customHeight="1" x14ac:dyDescent="0.3">
      <c r="A43" s="489" t="s">
        <v>1259</v>
      </c>
      <c r="B43" s="196">
        <v>43</v>
      </c>
      <c r="C43" s="18" t="s">
        <v>1247</v>
      </c>
      <c r="D43" s="68"/>
      <c r="E43" s="136" t="s">
        <v>1259</v>
      </c>
      <c r="F43" s="136"/>
      <c r="G43" s="136"/>
      <c r="H43" s="136"/>
      <c r="I43" s="136"/>
      <c r="J43" s="136"/>
      <c r="K43" s="136"/>
      <c r="L43" s="136"/>
      <c r="M43" s="136"/>
      <c r="N43" s="136"/>
      <c r="O43" s="136"/>
      <c r="P43" s="136"/>
      <c r="Q43" s="136"/>
      <c r="R43" s="136"/>
      <c r="S43" s="136"/>
      <c r="T43" s="136"/>
      <c r="U43" s="18" t="s">
        <v>328</v>
      </c>
      <c r="V43" s="20" t="s">
        <v>1253</v>
      </c>
      <c r="W43" s="20" t="s">
        <v>1284</v>
      </c>
      <c r="X43" s="20" t="s">
        <v>3321</v>
      </c>
      <c r="Y43" s="20" t="s">
        <v>3322</v>
      </c>
    </row>
    <row r="44" spans="1:25" ht="13.2" customHeight="1" x14ac:dyDescent="0.3">
      <c r="A44" s="485" t="s">
        <v>1244</v>
      </c>
      <c r="B44" s="196">
        <v>44</v>
      </c>
      <c r="C44" s="18" t="s">
        <v>1247</v>
      </c>
      <c r="D44" s="69" t="s">
        <v>1394</v>
      </c>
      <c r="E44" s="133" t="s">
        <v>7407</v>
      </c>
      <c r="F44" s="8" t="s">
        <v>7408</v>
      </c>
      <c r="G44" s="136" t="s">
        <v>6857</v>
      </c>
      <c r="H44" s="136" t="s">
        <v>1289</v>
      </c>
      <c r="I44" s="136" t="s">
        <v>7406</v>
      </c>
      <c r="J44" s="136" t="s">
        <v>7405</v>
      </c>
      <c r="K44" s="136" t="s">
        <v>7403</v>
      </c>
      <c r="L44" s="136" t="s">
        <v>7404</v>
      </c>
      <c r="M44" s="136" t="s">
        <v>7410</v>
      </c>
      <c r="N44" s="136" t="s">
        <v>1244</v>
      </c>
      <c r="O44" s="136" t="s">
        <v>7409</v>
      </c>
      <c r="P44" s="136"/>
      <c r="Q44" s="136"/>
      <c r="R44" s="136"/>
      <c r="S44" s="136"/>
      <c r="T44" s="136"/>
      <c r="U44" s="18" t="s">
        <v>1249</v>
      </c>
      <c r="V44" s="20" t="s">
        <v>1203</v>
      </c>
      <c r="W44" s="20" t="s">
        <v>2009</v>
      </c>
      <c r="X44" s="20" t="s">
        <v>2008</v>
      </c>
      <c r="Y44" s="23" t="s">
        <v>2010</v>
      </c>
    </row>
    <row r="45" spans="1:25" ht="13.2" customHeight="1" x14ac:dyDescent="0.3">
      <c r="A45" s="487" t="s">
        <v>6367</v>
      </c>
      <c r="B45" s="196">
        <v>45</v>
      </c>
      <c r="C45" s="18" t="s">
        <v>1247</v>
      </c>
      <c r="D45" s="68"/>
      <c r="E45" s="136" t="s">
        <v>53</v>
      </c>
      <c r="F45" s="136" t="s">
        <v>56</v>
      </c>
      <c r="G45" s="136" t="s">
        <v>3728</v>
      </c>
      <c r="H45" s="136" t="s">
        <v>310</v>
      </c>
      <c r="I45" s="136" t="s">
        <v>3764</v>
      </c>
      <c r="J45" s="136" t="s">
        <v>3765</v>
      </c>
      <c r="K45" s="136" t="s">
        <v>5984</v>
      </c>
      <c r="L45" s="136" t="s">
        <v>1940</v>
      </c>
      <c r="M45" s="136" t="s">
        <v>23</v>
      </c>
      <c r="N45" s="136" t="s">
        <v>4928</v>
      </c>
      <c r="O45" s="136" t="s">
        <v>4929</v>
      </c>
      <c r="P45" s="136" t="s">
        <v>4930</v>
      </c>
      <c r="Q45" s="136" t="s">
        <v>6000</v>
      </c>
      <c r="R45" s="136" t="s">
        <v>6851</v>
      </c>
      <c r="S45" s="136" t="s">
        <v>3728</v>
      </c>
      <c r="T45" s="136" t="s">
        <v>6852</v>
      </c>
      <c r="U45" s="18" t="s">
        <v>1205</v>
      </c>
      <c r="V45" s="20" t="s">
        <v>1212</v>
      </c>
      <c r="W45" s="20" t="s">
        <v>1284</v>
      </c>
      <c r="X45" s="23" t="s">
        <v>1284</v>
      </c>
      <c r="Y45" s="23" t="s">
        <v>1284</v>
      </c>
    </row>
    <row r="46" spans="1:25" ht="13.2" customHeight="1" x14ac:dyDescent="0.3">
      <c r="A46" s="505" t="s">
        <v>1922</v>
      </c>
      <c r="B46" s="196">
        <v>46</v>
      </c>
      <c r="C46" s="18" t="s">
        <v>1247</v>
      </c>
      <c r="D46" s="68"/>
      <c r="E46" s="136" t="s">
        <v>115</v>
      </c>
      <c r="F46" s="136" t="s">
        <v>3220</v>
      </c>
      <c r="G46" s="136" t="s">
        <v>3221</v>
      </c>
      <c r="H46" s="136" t="s">
        <v>3222</v>
      </c>
      <c r="I46" s="136" t="s">
        <v>114</v>
      </c>
      <c r="J46" s="136" t="s">
        <v>116</v>
      </c>
      <c r="K46" s="136" t="s">
        <v>110</v>
      </c>
      <c r="L46" s="136" t="s">
        <v>111</v>
      </c>
      <c r="M46" s="136" t="s">
        <v>117</v>
      </c>
      <c r="N46" s="136" t="s">
        <v>3223</v>
      </c>
      <c r="O46" s="136" t="s">
        <v>7097</v>
      </c>
      <c r="P46" s="136"/>
      <c r="Q46" s="136"/>
      <c r="R46" s="136"/>
      <c r="S46" s="136"/>
      <c r="T46" s="136"/>
      <c r="U46" s="18" t="s">
        <v>1205</v>
      </c>
      <c r="V46" s="20" t="s">
        <v>1212</v>
      </c>
      <c r="W46" s="20" t="s">
        <v>1284</v>
      </c>
      <c r="X46" s="23" t="s">
        <v>1284</v>
      </c>
      <c r="Y46" s="23" t="s">
        <v>1284</v>
      </c>
    </row>
    <row r="47" spans="1:25" ht="13.2" customHeight="1" x14ac:dyDescent="0.3">
      <c r="A47" s="489" t="s">
        <v>3325</v>
      </c>
      <c r="B47" s="196">
        <v>47</v>
      </c>
      <c r="C47" s="18" t="s">
        <v>1247</v>
      </c>
      <c r="D47" s="68"/>
      <c r="E47" s="136" t="s">
        <v>3185</v>
      </c>
      <c r="F47" s="136" t="s">
        <v>3186</v>
      </c>
      <c r="G47" s="136" t="s">
        <v>3187</v>
      </c>
      <c r="H47" s="136" t="s">
        <v>3188</v>
      </c>
      <c r="I47" s="136" t="s">
        <v>3189</v>
      </c>
      <c r="J47" s="136" t="s">
        <v>3190</v>
      </c>
      <c r="K47" s="136" t="s">
        <v>3191</v>
      </c>
      <c r="L47" s="136" t="s">
        <v>3192</v>
      </c>
      <c r="M47" s="136" t="s">
        <v>3193</v>
      </c>
      <c r="N47" s="136" t="s">
        <v>3211</v>
      </c>
      <c r="O47" s="136" t="s">
        <v>3212</v>
      </c>
      <c r="P47" s="136" t="s">
        <v>3213</v>
      </c>
      <c r="Q47" s="136" t="s">
        <v>3214</v>
      </c>
      <c r="R47" s="136" t="s">
        <v>3284</v>
      </c>
      <c r="S47" s="136" t="s">
        <v>4927</v>
      </c>
      <c r="T47" s="136" t="s">
        <v>3170</v>
      </c>
      <c r="U47" s="18" t="s">
        <v>1205</v>
      </c>
      <c r="V47" s="20" t="s">
        <v>1212</v>
      </c>
      <c r="W47" s="20" t="s">
        <v>1284</v>
      </c>
      <c r="X47" s="23" t="s">
        <v>1284</v>
      </c>
      <c r="Y47" s="23" t="s">
        <v>1284</v>
      </c>
    </row>
    <row r="48" spans="1:25" ht="13.2" customHeight="1" x14ac:dyDescent="0.3">
      <c r="A48" s="493" t="s">
        <v>3218</v>
      </c>
      <c r="B48" s="196">
        <v>48</v>
      </c>
      <c r="C48" s="18" t="s">
        <v>1247</v>
      </c>
      <c r="D48" s="68"/>
      <c r="E48" s="495" t="str">
        <f>IF(Contexte_jeu="L'Aube de l'Empire","","Sanglier")</f>
        <v>Sanglier</v>
      </c>
      <c r="F48" s="495" t="str">
        <f>IF(Contexte_jeu="L'Aube de l'Empire","","Serpent")</f>
        <v>Serpent</v>
      </c>
      <c r="G48" s="495" t="str">
        <f>IF(Contexte_jeu="L'Aube de l'Empire","","Mille-Pattes")</f>
        <v>Mille-Pattes</v>
      </c>
      <c r="H48" s="495" t="str">
        <f>IF(Contexte_jeu="L'Aube de l'Empire","","Faucon")</f>
        <v>Faucon</v>
      </c>
      <c r="I48" s="495" t="str">
        <f>IF(Contexte_jeu="L'Aube de l'Empire","","Guêpe")</f>
        <v>Guêpe</v>
      </c>
      <c r="J48" s="495" t="str">
        <f>IF(Contexte_jeu="L'Aube de l'Empire","","Renard")</f>
        <v>Renard</v>
      </c>
      <c r="K48" s="495" t="str">
        <f>IF(Contexte_jeu="L'Empire Stellaire d'Emeraude","Anguille","")</f>
        <v/>
      </c>
      <c r="L48" s="495" t="str">
        <f>IF(Contexte_jeu="L'Empire Stellaire d'Emeraude","Sauterelle","")</f>
        <v/>
      </c>
      <c r="M48" s="136"/>
      <c r="N48" s="136"/>
      <c r="O48" s="136"/>
      <c r="P48" s="136"/>
      <c r="Q48" s="136"/>
      <c r="R48" s="136"/>
      <c r="S48" s="136"/>
      <c r="T48" s="136"/>
      <c r="U48" s="18" t="s">
        <v>1205</v>
      </c>
      <c r="V48" s="20" t="s">
        <v>1212</v>
      </c>
      <c r="W48" s="20" t="s">
        <v>1284</v>
      </c>
      <c r="X48" s="23" t="s">
        <v>1284</v>
      </c>
      <c r="Y48" s="23" t="s">
        <v>1284</v>
      </c>
    </row>
    <row r="49" spans="1:25" ht="13.2" customHeight="1" x14ac:dyDescent="0.3">
      <c r="A49" s="493" t="s">
        <v>3216</v>
      </c>
      <c r="B49" s="196">
        <v>49</v>
      </c>
      <c r="C49" s="18" t="s">
        <v>1247</v>
      </c>
      <c r="D49" s="68"/>
      <c r="E49" s="136" t="s">
        <v>176</v>
      </c>
      <c r="F49" s="495" t="str">
        <f>IF(Contexte_jeu="L'Aube de l'Empire","Ki-Rin","Licorne")</f>
        <v>Licorne</v>
      </c>
      <c r="G49" s="136" t="s">
        <v>178</v>
      </c>
      <c r="H49" s="136" t="s">
        <v>181</v>
      </c>
      <c r="I49" s="136" t="s">
        <v>175</v>
      </c>
      <c r="J49" s="136" t="s">
        <v>15</v>
      </c>
      <c r="K49" s="136" t="s">
        <v>20</v>
      </c>
      <c r="L49" s="136" t="s">
        <v>177</v>
      </c>
      <c r="M49" s="136" t="s">
        <v>33</v>
      </c>
      <c r="N49" s="136" t="s">
        <v>341</v>
      </c>
      <c r="O49" s="136" t="s">
        <v>53</v>
      </c>
      <c r="P49" s="136" t="s">
        <v>56</v>
      </c>
      <c r="Q49" s="8" t="str">
        <f>IF(Contexte_jeu="L'Empire Stellaire d'Emeraude","Blaireau","")</f>
        <v/>
      </c>
      <c r="R49" s="495" t="str">
        <f>IF(Contexte_jeu="L'Empire Stellaire d'Emeraude","Chouette","")</f>
        <v/>
      </c>
      <c r="S49" s="136"/>
      <c r="T49" s="136"/>
      <c r="U49" s="18" t="s">
        <v>1205</v>
      </c>
      <c r="V49" s="20" t="s">
        <v>1212</v>
      </c>
      <c r="W49" s="20" t="s">
        <v>1284</v>
      </c>
      <c r="X49" s="23" t="s">
        <v>1284</v>
      </c>
      <c r="Y49" s="23" t="s">
        <v>1284</v>
      </c>
    </row>
    <row r="50" spans="1:25" ht="13.2" customHeight="1" x14ac:dyDescent="0.3">
      <c r="A50" s="493" t="s">
        <v>3217</v>
      </c>
      <c r="B50" s="196">
        <v>50</v>
      </c>
      <c r="C50" s="18" t="s">
        <v>1247</v>
      </c>
      <c r="D50" s="68"/>
      <c r="E50" s="136" t="s">
        <v>339</v>
      </c>
      <c r="F50" s="136" t="s">
        <v>180</v>
      </c>
      <c r="G50" s="136" t="s">
        <v>184</v>
      </c>
      <c r="H50" s="136" t="s">
        <v>393</v>
      </c>
      <c r="I50" s="136" t="s">
        <v>340</v>
      </c>
      <c r="J50" s="136" t="s">
        <v>335</v>
      </c>
      <c r="K50" s="136" t="s">
        <v>185</v>
      </c>
      <c r="L50" s="136" t="s">
        <v>338</v>
      </c>
      <c r="M50" s="136" t="s">
        <v>400</v>
      </c>
      <c r="N50" s="136" t="s">
        <v>337</v>
      </c>
      <c r="O50" s="136" t="s">
        <v>6799</v>
      </c>
      <c r="P50" s="136" t="s">
        <v>6801</v>
      </c>
      <c r="Q50" s="136" t="s">
        <v>6804</v>
      </c>
      <c r="R50" s="136" t="s">
        <v>6803</v>
      </c>
      <c r="S50" s="136"/>
      <c r="T50" s="136"/>
      <c r="U50" s="18" t="s">
        <v>1205</v>
      </c>
      <c r="V50" s="20" t="s">
        <v>1212</v>
      </c>
      <c r="W50" s="20" t="s">
        <v>1284</v>
      </c>
      <c r="X50" s="23" t="s">
        <v>1284</v>
      </c>
      <c r="Y50" s="23" t="s">
        <v>1284</v>
      </c>
    </row>
    <row r="51" spans="1:25" ht="13.2" customHeight="1" x14ac:dyDescent="0.3">
      <c r="A51" s="485" t="s">
        <v>1301</v>
      </c>
      <c r="B51" s="196">
        <v>51</v>
      </c>
      <c r="C51" s="18" t="s">
        <v>1247</v>
      </c>
      <c r="D51" s="68"/>
      <c r="E51" s="136" t="s">
        <v>7689</v>
      </c>
      <c r="F51" s="495" t="str">
        <f>IF(Contexte_jeu="L'Aube de l'Empire","Hist. Ki-Rin","Hist. Licorne")</f>
        <v>Hist. Licorne</v>
      </c>
      <c r="G51" s="136" t="s">
        <v>6321</v>
      </c>
      <c r="H51" s="136" t="s">
        <v>6322</v>
      </c>
      <c r="I51" s="136" t="s">
        <v>6323</v>
      </c>
      <c r="J51" s="136" t="s">
        <v>6324</v>
      </c>
      <c r="K51" s="136" t="s">
        <v>6325</v>
      </c>
      <c r="L51" s="136" t="s">
        <v>6326</v>
      </c>
      <c r="M51" s="136" t="s">
        <v>6327</v>
      </c>
      <c r="N51" s="136" t="s">
        <v>6328</v>
      </c>
      <c r="O51" s="136" t="s">
        <v>6329</v>
      </c>
      <c r="P51" s="136" t="s">
        <v>6330</v>
      </c>
      <c r="Q51" s="136" t="s">
        <v>3293</v>
      </c>
      <c r="R51" s="136" t="s">
        <v>5989</v>
      </c>
      <c r="S51" s="136" t="s">
        <v>6331</v>
      </c>
      <c r="T51" s="136"/>
      <c r="U51" s="18" t="s">
        <v>1205</v>
      </c>
      <c r="V51" s="20" t="s">
        <v>1212</v>
      </c>
      <c r="W51" s="20" t="s">
        <v>1284</v>
      </c>
      <c r="X51" s="23" t="s">
        <v>1284</v>
      </c>
      <c r="Y51" s="23" t="s">
        <v>1284</v>
      </c>
    </row>
    <row r="52" spans="1:25" ht="13.2" customHeight="1" x14ac:dyDescent="0.3">
      <c r="A52" s="485" t="s">
        <v>189</v>
      </c>
      <c r="B52" s="196">
        <v>52</v>
      </c>
      <c r="C52" s="18" t="s">
        <v>1247</v>
      </c>
      <c r="D52" s="68" t="s">
        <v>1391</v>
      </c>
      <c r="E52" s="136" t="s">
        <v>1296</v>
      </c>
      <c r="F52" s="136" t="s">
        <v>1294</v>
      </c>
      <c r="G52" s="136" t="s">
        <v>1295</v>
      </c>
      <c r="H52" s="136"/>
      <c r="I52" s="136"/>
      <c r="J52" s="136"/>
      <c r="K52" s="136"/>
      <c r="L52" s="136"/>
      <c r="M52" s="136"/>
      <c r="N52" s="136"/>
      <c r="O52" s="136"/>
      <c r="P52" s="136"/>
      <c r="Q52" s="136"/>
      <c r="R52" s="136"/>
      <c r="S52" s="136"/>
      <c r="T52" s="136"/>
      <c r="U52" s="18" t="s">
        <v>1249</v>
      </c>
      <c r="V52" s="20" t="s">
        <v>1207</v>
      </c>
      <c r="W52" s="20" t="s">
        <v>2011</v>
      </c>
      <c r="X52" s="23" t="s">
        <v>2018</v>
      </c>
      <c r="Y52" s="23" t="s">
        <v>2019</v>
      </c>
    </row>
    <row r="53" spans="1:25" ht="13.2" customHeight="1" x14ac:dyDescent="0.3">
      <c r="A53" s="485" t="s">
        <v>102</v>
      </c>
      <c r="B53" s="196">
        <v>53</v>
      </c>
      <c r="C53" s="18" t="s">
        <v>1247</v>
      </c>
      <c r="D53" s="68"/>
      <c r="E53" s="136" t="s">
        <v>1298</v>
      </c>
      <c r="F53" s="136" t="s">
        <v>1297</v>
      </c>
      <c r="G53" s="136" t="s">
        <v>5851</v>
      </c>
      <c r="H53" s="136"/>
      <c r="I53" s="136"/>
      <c r="J53" s="136"/>
      <c r="K53" s="136"/>
      <c r="L53" s="136"/>
      <c r="M53" s="136"/>
      <c r="N53" s="136"/>
      <c r="O53" s="136"/>
      <c r="P53" s="136"/>
      <c r="Q53" s="136"/>
      <c r="R53" s="136"/>
      <c r="S53" s="136"/>
      <c r="T53" s="136"/>
      <c r="U53" s="18" t="s">
        <v>1205</v>
      </c>
      <c r="V53" s="20" t="s">
        <v>1250</v>
      </c>
      <c r="W53" s="23" t="s">
        <v>1284</v>
      </c>
      <c r="X53" s="20" t="s">
        <v>2020</v>
      </c>
      <c r="Y53" s="20" t="s">
        <v>2020</v>
      </c>
    </row>
    <row r="54" spans="1:25" ht="13.2" customHeight="1" x14ac:dyDescent="0.3">
      <c r="A54" s="485" t="s">
        <v>1263</v>
      </c>
      <c r="B54" s="196">
        <v>54</v>
      </c>
      <c r="C54" s="18" t="s">
        <v>1247</v>
      </c>
      <c r="D54" s="68"/>
      <c r="E54" s="136" t="s">
        <v>1302</v>
      </c>
      <c r="F54" s="136" t="s">
        <v>1303</v>
      </c>
      <c r="G54" s="136" t="s">
        <v>5990</v>
      </c>
      <c r="H54" s="136" t="s">
        <v>7447</v>
      </c>
      <c r="I54" s="136"/>
      <c r="J54" s="136"/>
      <c r="K54" s="136"/>
      <c r="L54" s="136"/>
      <c r="M54" s="136"/>
      <c r="N54" s="136"/>
      <c r="O54" s="136"/>
      <c r="P54" s="136"/>
      <c r="Q54" s="136"/>
      <c r="R54" s="136"/>
      <c r="S54" s="136"/>
      <c r="T54" s="136"/>
      <c r="U54" s="18" t="s">
        <v>1210</v>
      </c>
      <c r="V54" s="20" t="s">
        <v>1211</v>
      </c>
      <c r="W54" s="20" t="s">
        <v>2021</v>
      </c>
      <c r="X54" s="23" t="s">
        <v>2022</v>
      </c>
      <c r="Y54" s="23" t="s">
        <v>2023</v>
      </c>
    </row>
    <row r="55" spans="1:25" ht="13.2" customHeight="1" x14ac:dyDescent="0.3">
      <c r="A55" s="485" t="s">
        <v>1208</v>
      </c>
      <c r="B55" s="196">
        <v>55</v>
      </c>
      <c r="C55" s="18" t="s">
        <v>1247</v>
      </c>
      <c r="D55" s="68" t="s">
        <v>1391</v>
      </c>
      <c r="E55" s="136" t="s">
        <v>3298</v>
      </c>
      <c r="F55" s="136" t="s">
        <v>1299</v>
      </c>
      <c r="G55" s="136" t="s">
        <v>1300</v>
      </c>
      <c r="H55" s="136" t="s">
        <v>311</v>
      </c>
      <c r="I55" s="136"/>
      <c r="J55" s="136"/>
      <c r="K55" s="136"/>
      <c r="L55" s="136"/>
      <c r="M55" s="136"/>
      <c r="N55" s="136"/>
      <c r="O55" s="136"/>
      <c r="P55" s="136"/>
      <c r="Q55" s="136"/>
      <c r="R55" s="136"/>
      <c r="S55" s="136"/>
      <c r="T55" s="136"/>
      <c r="U55" s="18" t="s">
        <v>1249</v>
      </c>
      <c r="V55" s="20" t="s">
        <v>6066</v>
      </c>
      <c r="W55" s="20" t="s">
        <v>2011</v>
      </c>
      <c r="X55" s="23" t="s">
        <v>2025</v>
      </c>
      <c r="Y55" s="23" t="s">
        <v>2026</v>
      </c>
    </row>
    <row r="56" spans="1:25" s="196" customFormat="1" ht="13.2" customHeight="1" x14ac:dyDescent="0.3">
      <c r="A56" s="482" t="str">
        <f>IF(Contexte_jeu&lt;&gt;"L'Empire Stellaire d'Emeraude","","Informatique")</f>
        <v/>
      </c>
      <c r="B56" s="196">
        <v>56</v>
      </c>
      <c r="C56" s="18" t="s">
        <v>1247</v>
      </c>
      <c r="D56" s="68"/>
      <c r="E56" s="136" t="s">
        <v>7412</v>
      </c>
      <c r="F56" s="136" t="s">
        <v>7413</v>
      </c>
      <c r="G56" s="136" t="s">
        <v>7414</v>
      </c>
      <c r="H56" s="136" t="s">
        <v>7415</v>
      </c>
      <c r="I56" s="136"/>
      <c r="J56" s="136"/>
      <c r="K56" s="136"/>
      <c r="L56" s="136"/>
      <c r="M56" s="136"/>
      <c r="N56" s="136"/>
      <c r="O56" s="136"/>
      <c r="P56" s="136"/>
      <c r="Q56" s="136"/>
      <c r="R56" s="136"/>
      <c r="S56" s="136"/>
      <c r="T56" s="136"/>
      <c r="U56" s="480" t="s">
        <v>1249</v>
      </c>
      <c r="V56" s="20" t="s">
        <v>7416</v>
      </c>
      <c r="W56" s="20" t="s">
        <v>1284</v>
      </c>
      <c r="X56" s="23" t="s">
        <v>1284</v>
      </c>
      <c r="Y56" s="23" t="s">
        <v>1284</v>
      </c>
    </row>
    <row r="57" spans="1:25" ht="13.2" customHeight="1" x14ac:dyDescent="0.3">
      <c r="A57" s="489" t="s">
        <v>3274</v>
      </c>
      <c r="B57" s="196">
        <v>57</v>
      </c>
      <c r="C57" s="18" t="s">
        <v>1247</v>
      </c>
      <c r="D57" s="68"/>
      <c r="E57" s="136" t="s">
        <v>3269</v>
      </c>
      <c r="F57" s="495" t="str">
        <f>IF(Contexte_jeu&lt;&gt;"L'Empire Stellaire d'Emeraude","Go","3D-Go")</f>
        <v>Go</v>
      </c>
      <c r="G57" s="136" t="s">
        <v>3273</v>
      </c>
      <c r="H57" s="136" t="s">
        <v>3272</v>
      </c>
      <c r="I57" s="136" t="s">
        <v>3271</v>
      </c>
      <c r="J57" s="136" t="s">
        <v>3270</v>
      </c>
      <c r="K57" s="495" t="str">
        <f>IF(Contexte_jeu&lt;&gt;"L'Empire Stellaire d'Emeraude","","Jeux Vidéos")</f>
        <v/>
      </c>
      <c r="L57" s="136"/>
      <c r="M57" s="136"/>
      <c r="N57" s="136"/>
      <c r="O57" s="136"/>
      <c r="P57" s="136"/>
      <c r="Q57" s="136"/>
      <c r="R57" s="136"/>
      <c r="S57" s="136"/>
      <c r="T57" s="136"/>
      <c r="U57" s="135" t="s">
        <v>68</v>
      </c>
      <c r="V57" s="20" t="s">
        <v>1209</v>
      </c>
      <c r="W57" s="20" t="s">
        <v>1284</v>
      </c>
      <c r="X57" s="23" t="s">
        <v>1284</v>
      </c>
      <c r="Y57" s="23" t="s">
        <v>1284</v>
      </c>
    </row>
    <row r="58" spans="1:25" ht="13.2" customHeight="1" x14ac:dyDescent="0.3">
      <c r="A58" s="485" t="s">
        <v>1264</v>
      </c>
      <c r="B58" s="196">
        <v>58</v>
      </c>
      <c r="C58" s="18" t="s">
        <v>1247</v>
      </c>
      <c r="D58" s="68"/>
      <c r="E58" s="136" t="s">
        <v>1321</v>
      </c>
      <c r="F58" s="136" t="s">
        <v>1322</v>
      </c>
      <c r="G58" s="136" t="s">
        <v>5991</v>
      </c>
      <c r="H58" s="136" t="s">
        <v>1323</v>
      </c>
      <c r="I58" s="136" t="s">
        <v>5992</v>
      </c>
      <c r="J58" s="136" t="s">
        <v>7448</v>
      </c>
      <c r="K58" s="136" t="s">
        <v>7450</v>
      </c>
      <c r="L58" s="495" t="str">
        <f>IF(Contexte_jeu&lt;&gt;"L'Empire Stellaire d'Emeraude","","Génétique et Clonage")</f>
        <v/>
      </c>
      <c r="M58" s="136"/>
      <c r="N58" s="136"/>
      <c r="O58" s="136"/>
      <c r="P58" s="136"/>
      <c r="Q58" s="136"/>
      <c r="R58" s="136"/>
      <c r="S58" s="136"/>
      <c r="T58" s="136"/>
      <c r="U58" s="18" t="s">
        <v>1205</v>
      </c>
      <c r="V58" s="20" t="s">
        <v>1213</v>
      </c>
      <c r="W58" s="20" t="s">
        <v>1284</v>
      </c>
      <c r="X58" s="20" t="s">
        <v>2024</v>
      </c>
      <c r="Y58" s="23" t="s">
        <v>1284</v>
      </c>
    </row>
    <row r="59" spans="1:25" ht="13.2" customHeight="1" x14ac:dyDescent="0.3">
      <c r="A59" s="485" t="s">
        <v>1265</v>
      </c>
      <c r="B59" s="196">
        <v>59</v>
      </c>
      <c r="C59" s="18" t="s">
        <v>1247</v>
      </c>
      <c r="D59" s="68"/>
      <c r="E59" s="136" t="s">
        <v>1318</v>
      </c>
      <c r="F59" s="136" t="s">
        <v>5985</v>
      </c>
      <c r="G59" s="136" t="s">
        <v>5986</v>
      </c>
      <c r="H59" s="136"/>
      <c r="I59" s="136"/>
      <c r="J59" s="136"/>
      <c r="K59" s="136"/>
      <c r="L59" s="136"/>
      <c r="M59" s="136"/>
      <c r="N59" s="136"/>
      <c r="O59" s="136"/>
      <c r="P59" s="136"/>
      <c r="Q59" s="136"/>
      <c r="R59" s="136"/>
      <c r="S59" s="136"/>
      <c r="T59" s="136"/>
      <c r="U59" s="18" t="s">
        <v>328</v>
      </c>
      <c r="V59" s="20" t="s">
        <v>1251</v>
      </c>
      <c r="W59" s="20" t="s">
        <v>2027</v>
      </c>
      <c r="X59" s="23" t="s">
        <v>2028</v>
      </c>
      <c r="Y59" s="23" t="s">
        <v>8016</v>
      </c>
    </row>
    <row r="60" spans="1:25" ht="13.2" customHeight="1" x14ac:dyDescent="0.3">
      <c r="A60" s="485" t="s">
        <v>1266</v>
      </c>
      <c r="B60" s="196">
        <v>60</v>
      </c>
      <c r="C60" s="18" t="s">
        <v>1247</v>
      </c>
      <c r="D60" s="68" t="s">
        <v>1391</v>
      </c>
      <c r="E60" s="136" t="s">
        <v>1319</v>
      </c>
      <c r="F60" s="136" t="s">
        <v>1320</v>
      </c>
      <c r="G60" s="136"/>
      <c r="H60" s="136"/>
      <c r="I60" s="136"/>
      <c r="J60" s="136"/>
      <c r="K60" s="136"/>
      <c r="L60" s="136"/>
      <c r="M60" s="136"/>
      <c r="N60" s="136"/>
      <c r="O60" s="136"/>
      <c r="P60" s="136"/>
      <c r="Q60" s="136"/>
      <c r="R60" s="136"/>
      <c r="S60" s="136"/>
      <c r="T60" s="136"/>
      <c r="U60" s="18" t="s">
        <v>1249</v>
      </c>
      <c r="V60" s="20" t="s">
        <v>1252</v>
      </c>
      <c r="W60" s="20" t="s">
        <v>1284</v>
      </c>
      <c r="X60" s="20" t="s">
        <v>2031</v>
      </c>
      <c r="Y60" s="20" t="s">
        <v>2031</v>
      </c>
    </row>
    <row r="61" spans="1:25" ht="13.2" customHeight="1" x14ac:dyDescent="0.3">
      <c r="A61" s="489" t="s">
        <v>3268</v>
      </c>
      <c r="B61" s="196">
        <v>61</v>
      </c>
      <c r="C61" s="18" t="s">
        <v>1247</v>
      </c>
      <c r="D61" s="68" t="s">
        <v>1391</v>
      </c>
      <c r="E61" s="136" t="s">
        <v>3259</v>
      </c>
      <c r="F61" s="136" t="s">
        <v>3261</v>
      </c>
      <c r="G61" s="136" t="s">
        <v>3260</v>
      </c>
      <c r="H61" s="136" t="s">
        <v>3267</v>
      </c>
      <c r="I61" s="136" t="s">
        <v>3266</v>
      </c>
      <c r="J61" s="136" t="s">
        <v>3299</v>
      </c>
      <c r="K61" s="136" t="s">
        <v>3265</v>
      </c>
      <c r="L61" s="136" t="s">
        <v>3264</v>
      </c>
      <c r="M61" s="136" t="s">
        <v>3263</v>
      </c>
      <c r="N61" s="136" t="s">
        <v>3262</v>
      </c>
      <c r="O61" s="495" t="str">
        <f>IF(Contexte_jeu&lt;&gt;"L'Empire Stellaire d'Emeraude","","Karaoké")</f>
        <v/>
      </c>
      <c r="P61" s="136"/>
      <c r="Q61" s="136"/>
      <c r="R61" s="136"/>
      <c r="S61" s="136"/>
      <c r="T61" s="136"/>
      <c r="U61" s="135" t="s">
        <v>68</v>
      </c>
      <c r="V61" s="20" t="s">
        <v>1214</v>
      </c>
      <c r="W61" s="20" t="s">
        <v>1284</v>
      </c>
      <c r="X61" s="23" t="s">
        <v>1284</v>
      </c>
      <c r="Y61" s="23" t="s">
        <v>1284</v>
      </c>
    </row>
    <row r="62" spans="1:25" x14ac:dyDescent="0.25">
      <c r="I62" s="133"/>
      <c r="M62" s="133"/>
      <c r="Q62" s="133"/>
    </row>
  </sheetData>
  <sortState xmlns:xlrd2="http://schemas.microsoft.com/office/spreadsheetml/2017/richdata2" ref="A2:Z55">
    <sortCondition ref="C2:C55"/>
    <sortCondition ref="A2:A55"/>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299"/>
  <sheetViews>
    <sheetView workbookViewId="0">
      <pane ySplit="2" topLeftCell="A3" activePane="bottomLeft" state="frozen"/>
      <selection pane="bottomLeft" sqref="A1:A2"/>
    </sheetView>
  </sheetViews>
  <sheetFormatPr baseColWidth="10" defaultRowHeight="13.2" x14ac:dyDescent="0.25"/>
  <cols>
    <col min="1" max="1" width="31.88671875" style="7" customWidth="1"/>
    <col min="2" max="2" width="11.33203125" style="15" customWidth="1"/>
    <col min="3" max="3" width="3.88671875" style="206" customWidth="1"/>
    <col min="4" max="4" width="3.88671875" style="207" customWidth="1"/>
    <col min="5" max="5" width="3.88671875" style="208" customWidth="1"/>
    <col min="6" max="6" width="2.6640625" style="527" customWidth="1"/>
    <col min="7" max="7" width="18.88671875" style="197" customWidth="1"/>
    <col min="8" max="8" width="6.6640625" style="197" customWidth="1"/>
    <col min="9" max="9" width="2.33203125" style="163" customWidth="1"/>
    <col min="10" max="10" width="1.6640625" style="163" customWidth="1"/>
    <col min="11" max="11" width="2.33203125" style="163" customWidth="1"/>
    <col min="12" max="14" width="3.33203125" style="163" customWidth="1"/>
    <col min="15" max="15" width="19.6640625" style="5" customWidth="1"/>
    <col min="16" max="16" width="42.88671875" style="163" customWidth="1"/>
    <col min="17" max="17" width="8.33203125" customWidth="1"/>
  </cols>
  <sheetData>
    <row r="1" spans="1:17" s="26" customFormat="1" ht="13.2" customHeight="1" x14ac:dyDescent="0.25">
      <c r="A1" s="963" t="s">
        <v>4574</v>
      </c>
      <c r="B1" s="964" t="s">
        <v>57</v>
      </c>
      <c r="C1" s="964" t="s">
        <v>1881</v>
      </c>
      <c r="D1" s="964"/>
      <c r="E1" s="964"/>
      <c r="F1" s="965" t="s">
        <v>5079</v>
      </c>
      <c r="G1" s="947" t="s">
        <v>0</v>
      </c>
      <c r="H1" s="947" t="s">
        <v>1</v>
      </c>
      <c r="I1" s="964" t="s">
        <v>5194</v>
      </c>
      <c r="J1" s="964"/>
      <c r="K1" s="964"/>
      <c r="L1" s="966" t="s">
        <v>5195</v>
      </c>
      <c r="M1" s="966" t="s">
        <v>1257</v>
      </c>
      <c r="N1" s="966" t="s">
        <v>5825</v>
      </c>
      <c r="O1" s="947" t="s">
        <v>5588</v>
      </c>
      <c r="P1" s="947" t="s">
        <v>5712</v>
      </c>
      <c r="Q1" s="947" t="s">
        <v>5741</v>
      </c>
    </row>
    <row r="2" spans="1:17" s="10" customFormat="1" ht="32.4" customHeight="1" x14ac:dyDescent="0.25">
      <c r="A2" s="963"/>
      <c r="B2" s="964"/>
      <c r="C2" s="261" t="s">
        <v>4653</v>
      </c>
      <c r="D2" s="261" t="s">
        <v>4572</v>
      </c>
      <c r="E2" s="261" t="s">
        <v>4573</v>
      </c>
      <c r="F2" s="965"/>
      <c r="G2" s="947"/>
      <c r="H2" s="947"/>
      <c r="I2" s="964"/>
      <c r="J2" s="964"/>
      <c r="K2" s="964"/>
      <c r="L2" s="966"/>
      <c r="M2" s="966"/>
      <c r="N2" s="966"/>
      <c r="O2" s="947"/>
      <c r="P2" s="947"/>
      <c r="Q2" s="947"/>
    </row>
    <row r="3" spans="1:17" s="196" customFormat="1" x14ac:dyDescent="0.25">
      <c r="A3" s="7" t="s">
        <v>8116</v>
      </c>
      <c r="B3" s="15" t="s">
        <v>5222</v>
      </c>
      <c r="C3" s="206"/>
      <c r="D3" s="207"/>
      <c r="E3" s="208"/>
      <c r="F3" s="151" t="s">
        <v>5080</v>
      </c>
      <c r="G3" s="198" t="s">
        <v>7453</v>
      </c>
      <c r="H3" s="198">
        <v>92</v>
      </c>
      <c r="L3" s="163">
        <v>0</v>
      </c>
      <c r="M3" s="163">
        <f>IF(Calculs!S412&gt;6,5,4)</f>
        <v>4</v>
      </c>
      <c r="N3" s="163">
        <f>IF(Calculs!S412&gt;4,225,150)</f>
        <v>150</v>
      </c>
      <c r="O3" s="5" t="s">
        <v>8186</v>
      </c>
      <c r="P3" s="270" t="s">
        <v>8228</v>
      </c>
      <c r="Q3" s="196" t="s">
        <v>5968</v>
      </c>
    </row>
    <row r="4" spans="1:17" s="196" customFormat="1" x14ac:dyDescent="0.25">
      <c r="A4" s="7" t="s">
        <v>8402</v>
      </c>
      <c r="B4" s="15" t="s">
        <v>5222</v>
      </c>
      <c r="C4" s="206">
        <v>40</v>
      </c>
      <c r="D4" s="207"/>
      <c r="E4" s="208"/>
      <c r="F4" s="151" t="s">
        <v>5080</v>
      </c>
      <c r="G4" s="198" t="s">
        <v>7759</v>
      </c>
      <c r="H4" s="198">
        <v>23</v>
      </c>
      <c r="L4" s="163">
        <v>0</v>
      </c>
      <c r="M4" s="163">
        <f>IF(Calculs!S413&gt;6,6,5)</f>
        <v>5</v>
      </c>
      <c r="N4" s="163">
        <f>IF(Calculs!S412&gt;4,225,150)</f>
        <v>150</v>
      </c>
      <c r="O4" s="5" t="s">
        <v>8188</v>
      </c>
      <c r="P4" s="270" t="s">
        <v>8410</v>
      </c>
      <c r="Q4" s="196" t="str">
        <f>CONCATENATE(IF(C4="",CONCATENATE(""),CONCATENATE(C4," koku")),IF(D4="",CONCATENATE(""),CONCATENATE(D4," bu")),IF(E4="",CONCATENATE(""),CONCATENATE(E4," zeni")))</f>
        <v>40 koku</v>
      </c>
    </row>
    <row r="5" spans="1:17" x14ac:dyDescent="0.25">
      <c r="A5" s="7" t="s">
        <v>1355</v>
      </c>
      <c r="B5" s="15" t="s">
        <v>5222</v>
      </c>
      <c r="C5" s="206">
        <v>25</v>
      </c>
      <c r="F5" s="527" t="s">
        <v>2050</v>
      </c>
      <c r="G5" s="198" t="s">
        <v>3</v>
      </c>
      <c r="H5" s="198">
        <v>200</v>
      </c>
      <c r="L5" s="163">
        <v>0</v>
      </c>
      <c r="M5" s="163">
        <f>IF(Calculs!S412&gt;6,5,4)</f>
        <v>4</v>
      </c>
      <c r="N5" s="163">
        <f>IF(Calculs!S412&gt;4,225,150)</f>
        <v>150</v>
      </c>
      <c r="O5" s="5" t="s">
        <v>5709</v>
      </c>
      <c r="P5" s="163" t="s">
        <v>5962</v>
      </c>
      <c r="Q5" s="196" t="str">
        <f>CONCATENATE(IF(C5="",CONCATENATE(""),CONCATENATE(C5," koku")),IF(D5="",CONCATENATE(""),CONCATENATE(D5," bu")),IF(E5="",CONCATENATE(""),CONCATENATE(E5," zeni")))</f>
        <v>25 koku</v>
      </c>
    </row>
    <row r="6" spans="1:17" x14ac:dyDescent="0.25">
      <c r="A6" s="7" t="s">
        <v>1356</v>
      </c>
      <c r="B6" s="15" t="s">
        <v>5222</v>
      </c>
      <c r="C6" s="206">
        <v>6</v>
      </c>
      <c r="F6" s="527" t="s">
        <v>2050</v>
      </c>
      <c r="G6" s="198" t="s">
        <v>3</v>
      </c>
      <c r="H6" s="198">
        <v>200</v>
      </c>
      <c r="L6" s="163">
        <v>0</v>
      </c>
      <c r="M6" s="163">
        <f>IF(Calculs!S412&gt;6,2,1)</f>
        <v>1</v>
      </c>
      <c r="N6" s="163">
        <f>IF(Calculs!S412&gt;4,45,30)</f>
        <v>30</v>
      </c>
      <c r="O6" s="5" t="s">
        <v>5719</v>
      </c>
      <c r="P6" s="163" t="s">
        <v>5961</v>
      </c>
      <c r="Q6" s="196" t="str">
        <f t="shared" ref="Q6:Q102" si="0">CONCATENATE(IF(C6="",CONCATENATE(""),CONCATENATE(C6," koku")),IF(D6="",CONCATENATE(""),CONCATENATE(D6," bu")),IF(E6="",CONCATENATE(""),CONCATENATE(E6," zeni")))</f>
        <v>6 koku</v>
      </c>
    </row>
    <row r="7" spans="1:17" s="196" customFormat="1" x14ac:dyDescent="0.25">
      <c r="A7" s="7" t="s">
        <v>8126</v>
      </c>
      <c r="B7" s="15" t="s">
        <v>5222</v>
      </c>
      <c r="C7" s="206"/>
      <c r="D7" s="207"/>
      <c r="E7" s="208"/>
      <c r="F7" s="151" t="s">
        <v>5080</v>
      </c>
      <c r="G7" s="198" t="s">
        <v>7453</v>
      </c>
      <c r="H7" s="198">
        <v>92</v>
      </c>
      <c r="L7" s="163">
        <v>0</v>
      </c>
      <c r="M7" s="163">
        <f>IF(Calculs!S412&gt;6,4,3)</f>
        <v>3</v>
      </c>
      <c r="N7" s="163">
        <f>IF(Calculs!S412&gt;4,112.5,75)</f>
        <v>75</v>
      </c>
      <c r="O7" s="5" t="s">
        <v>8187</v>
      </c>
      <c r="P7" s="270" t="s">
        <v>8157</v>
      </c>
      <c r="Q7" s="196" t="s">
        <v>5968</v>
      </c>
    </row>
    <row r="8" spans="1:17" s="196" customFormat="1" x14ac:dyDescent="0.25">
      <c r="A8" s="7" t="s">
        <v>7704</v>
      </c>
      <c r="B8" s="15" t="s">
        <v>5222</v>
      </c>
      <c r="C8" s="206">
        <v>25</v>
      </c>
      <c r="D8" s="207"/>
      <c r="E8" s="208"/>
      <c r="F8" s="527" t="s">
        <v>5080</v>
      </c>
      <c r="G8" s="198" t="s">
        <v>7706</v>
      </c>
      <c r="H8" s="198">
        <v>13</v>
      </c>
      <c r="I8" s="163"/>
      <c r="J8" s="163"/>
      <c r="K8" s="163"/>
      <c r="L8" s="163">
        <v>0</v>
      </c>
      <c r="M8" s="163">
        <f>IF(Calculs!S412&gt;6,4,3)</f>
        <v>3</v>
      </c>
      <c r="N8" s="163">
        <f>IF(Calculs!S412&gt;4,112.5,75)</f>
        <v>75</v>
      </c>
      <c r="O8" s="5" t="s">
        <v>5709</v>
      </c>
      <c r="P8" s="163"/>
      <c r="Q8" s="196" t="str">
        <f t="shared" si="0"/>
        <v>25 koku</v>
      </c>
    </row>
    <row r="9" spans="1:17" s="196" customFormat="1" x14ac:dyDescent="0.25">
      <c r="A9" s="7" t="s">
        <v>6518</v>
      </c>
      <c r="B9" s="15" t="s">
        <v>5222</v>
      </c>
      <c r="C9" s="206">
        <v>5</v>
      </c>
      <c r="D9" s="207"/>
      <c r="E9" s="208"/>
      <c r="F9" s="527" t="s">
        <v>5080</v>
      </c>
      <c r="G9" s="198" t="s">
        <v>6494</v>
      </c>
      <c r="H9" s="198">
        <v>99</v>
      </c>
      <c r="I9" s="163"/>
      <c r="J9" s="163"/>
      <c r="K9" s="163"/>
      <c r="L9" s="163">
        <v>0</v>
      </c>
      <c r="M9" s="163">
        <f>IF(Calculs!S412&gt;6,5,4)</f>
        <v>4</v>
      </c>
      <c r="N9" s="163">
        <f>IF(Calculs!S412&gt;4,225,150)</f>
        <v>150</v>
      </c>
      <c r="O9" s="5" t="s">
        <v>5725</v>
      </c>
      <c r="P9" s="163" t="s">
        <v>6519</v>
      </c>
      <c r="Q9" s="196" t="str">
        <f t="shared" si="0"/>
        <v>5 koku</v>
      </c>
    </row>
    <row r="10" spans="1:17" s="196" customFormat="1" x14ac:dyDescent="0.25">
      <c r="A10" s="7" t="s">
        <v>7705</v>
      </c>
      <c r="B10" s="15" t="s">
        <v>5222</v>
      </c>
      <c r="C10" s="206">
        <v>50</v>
      </c>
      <c r="D10" s="207"/>
      <c r="E10" s="208"/>
      <c r="F10" s="527" t="s">
        <v>5080</v>
      </c>
      <c r="G10" s="198" t="s">
        <v>7706</v>
      </c>
      <c r="H10" s="198">
        <v>13</v>
      </c>
      <c r="I10" s="163"/>
      <c r="J10" s="163"/>
      <c r="K10" s="163"/>
      <c r="L10" s="163">
        <v>0</v>
      </c>
      <c r="M10" s="163">
        <f>IF(Calculs!S412&gt;6,4,3)</f>
        <v>3</v>
      </c>
      <c r="N10" s="163">
        <f>IF(Calculs!S412&gt;4,112.5,75)</f>
        <v>75</v>
      </c>
      <c r="O10" s="5" t="s">
        <v>5709</v>
      </c>
      <c r="P10" s="163" t="s">
        <v>5201</v>
      </c>
      <c r="Q10" s="196" t="str">
        <f t="shared" si="0"/>
        <v>50 koku</v>
      </c>
    </row>
    <row r="11" spans="1:17" x14ac:dyDescent="0.25">
      <c r="A11" s="7" t="s">
        <v>1357</v>
      </c>
      <c r="B11" s="15" t="s">
        <v>5222</v>
      </c>
      <c r="C11" s="206">
        <v>20</v>
      </c>
      <c r="F11" s="527" t="s">
        <v>2052</v>
      </c>
      <c r="G11" s="198" t="s">
        <v>3</v>
      </c>
      <c r="H11" s="198">
        <v>200</v>
      </c>
      <c r="L11" s="163">
        <v>0</v>
      </c>
      <c r="M11" s="163">
        <f>IF(Calculs!S412&gt;6,4,3)</f>
        <v>3</v>
      </c>
      <c r="N11" s="163">
        <f>IF(Calculs!S412&gt;4,112.5,75)</f>
        <v>75</v>
      </c>
      <c r="O11" s="5" t="s">
        <v>5709</v>
      </c>
      <c r="P11" s="163" t="s">
        <v>5961</v>
      </c>
      <c r="Q11" s="196" t="str">
        <f t="shared" si="0"/>
        <v>20 koku</v>
      </c>
    </row>
    <row r="12" spans="1:17" s="196" customFormat="1" x14ac:dyDescent="0.25">
      <c r="A12" s="7" t="s">
        <v>8146</v>
      </c>
      <c r="B12" s="15" t="s">
        <v>5222</v>
      </c>
      <c r="C12" s="206"/>
      <c r="D12" s="207"/>
      <c r="E12" s="208"/>
      <c r="F12" s="151" t="s">
        <v>5080</v>
      </c>
      <c r="G12" s="198" t="s">
        <v>7453</v>
      </c>
      <c r="H12" s="198">
        <v>92</v>
      </c>
      <c r="L12" s="163">
        <v>0</v>
      </c>
      <c r="M12" s="163">
        <f>IF(Calculs!S412&gt;6,5,4)</f>
        <v>4</v>
      </c>
      <c r="N12" s="163">
        <v>150</v>
      </c>
      <c r="O12" s="5" t="s">
        <v>8188</v>
      </c>
      <c r="P12" s="270" t="s">
        <v>8185</v>
      </c>
      <c r="Q12" s="196" t="s">
        <v>5968</v>
      </c>
    </row>
    <row r="13" spans="1:17" s="196" customFormat="1" x14ac:dyDescent="0.25">
      <c r="A13" s="7" t="s">
        <v>7774</v>
      </c>
      <c r="B13" s="285" t="s">
        <v>1271</v>
      </c>
      <c r="C13" s="206">
        <v>3</v>
      </c>
      <c r="D13" s="207"/>
      <c r="E13" s="208"/>
      <c r="F13" s="527" t="s">
        <v>5080</v>
      </c>
      <c r="G13" s="198" t="s">
        <v>7759</v>
      </c>
      <c r="H13" s="198">
        <v>23</v>
      </c>
      <c r="I13" s="163">
        <f>1+Force</f>
        <v>3</v>
      </c>
      <c r="J13" s="163" t="s">
        <v>1880</v>
      </c>
      <c r="K13" s="163">
        <v>1</v>
      </c>
      <c r="L13" s="163">
        <v>0</v>
      </c>
      <c r="M13" s="163">
        <v>0</v>
      </c>
      <c r="N13" s="163">
        <v>0</v>
      </c>
      <c r="O13" s="5" t="s">
        <v>5709</v>
      </c>
      <c r="P13" s="163"/>
      <c r="Q13" s="196" t="str">
        <f t="shared" si="0"/>
        <v>3 koku</v>
      </c>
    </row>
    <row r="14" spans="1:17" x14ac:dyDescent="0.25">
      <c r="A14" s="200" t="s">
        <v>5583</v>
      </c>
      <c r="B14" s="285" t="s">
        <v>1271</v>
      </c>
      <c r="C14" s="209" t="s">
        <v>2846</v>
      </c>
      <c r="D14" s="210"/>
      <c r="E14" s="211"/>
      <c r="F14" s="286" t="s">
        <v>2052</v>
      </c>
      <c r="G14" s="201" t="s">
        <v>4403</v>
      </c>
      <c r="H14" s="201">
        <v>175</v>
      </c>
      <c r="I14" s="163">
        <f>0+Force</f>
        <v>2</v>
      </c>
      <c r="J14" s="163" t="s">
        <v>1880</v>
      </c>
      <c r="K14" s="163">
        <v>2</v>
      </c>
      <c r="L14" s="163">
        <v>0</v>
      </c>
      <c r="M14" s="163">
        <v>0</v>
      </c>
      <c r="N14" s="163">
        <v>0</v>
      </c>
      <c r="O14" s="5" t="s">
        <v>5709</v>
      </c>
      <c r="P14" s="163" t="s">
        <v>5859</v>
      </c>
      <c r="Q14" s="196" t="str">
        <f t="shared" si="0"/>
        <v>4 koku</v>
      </c>
    </row>
    <row r="15" spans="1:17" x14ac:dyDescent="0.25">
      <c r="A15" s="7" t="s">
        <v>4576</v>
      </c>
      <c r="B15" s="285" t="s">
        <v>1271</v>
      </c>
      <c r="C15" s="209"/>
      <c r="D15" s="210" t="s">
        <v>2844</v>
      </c>
      <c r="E15" s="211"/>
      <c r="F15" s="286" t="s">
        <v>2052</v>
      </c>
      <c r="G15" s="198" t="s">
        <v>2080</v>
      </c>
      <c r="H15" s="198">
        <v>239</v>
      </c>
      <c r="I15" s="163">
        <f>1+Force</f>
        <v>3</v>
      </c>
      <c r="J15" s="163" t="s">
        <v>1880</v>
      </c>
      <c r="K15" s="163">
        <v>2</v>
      </c>
      <c r="L15" s="163">
        <v>0</v>
      </c>
      <c r="M15" s="163">
        <v>0</v>
      </c>
      <c r="N15" s="163">
        <v>0</v>
      </c>
      <c r="O15" s="5" t="s">
        <v>5726</v>
      </c>
      <c r="P15" s="163" t="s">
        <v>8780</v>
      </c>
      <c r="Q15" s="196" t="str">
        <f t="shared" si="0"/>
        <v>1 bu</v>
      </c>
    </row>
    <row r="16" spans="1:17" x14ac:dyDescent="0.25">
      <c r="A16" s="7" t="s">
        <v>5710</v>
      </c>
      <c r="B16" s="285" t="s">
        <v>1271</v>
      </c>
      <c r="C16" s="212">
        <v>5</v>
      </c>
      <c r="D16" s="210"/>
      <c r="E16" s="211"/>
      <c r="F16" s="286" t="s">
        <v>2052</v>
      </c>
      <c r="G16" s="198" t="s">
        <v>3</v>
      </c>
      <c r="H16" s="198">
        <v>200</v>
      </c>
      <c r="I16" s="163">
        <f>Force</f>
        <v>2</v>
      </c>
      <c r="J16" s="163" t="s">
        <v>1880</v>
      </c>
      <c r="K16" s="163">
        <v>2</v>
      </c>
      <c r="L16" s="163">
        <v>0</v>
      </c>
      <c r="M16" s="163">
        <v>0</v>
      </c>
      <c r="N16" s="163">
        <v>0</v>
      </c>
      <c r="O16" s="5" t="s">
        <v>5709</v>
      </c>
      <c r="P16" s="270" t="s">
        <v>2078</v>
      </c>
      <c r="Q16" s="196" t="str">
        <f t="shared" si="0"/>
        <v>5 koku</v>
      </c>
    </row>
    <row r="17" spans="1:17" s="196" customFormat="1" x14ac:dyDescent="0.25">
      <c r="A17" s="7" t="s">
        <v>5711</v>
      </c>
      <c r="B17" s="285" t="s">
        <v>1271</v>
      </c>
      <c r="C17" s="212">
        <v>5</v>
      </c>
      <c r="D17" s="210"/>
      <c r="E17" s="211"/>
      <c r="F17" s="286" t="s">
        <v>2052</v>
      </c>
      <c r="G17" s="198" t="s">
        <v>3</v>
      </c>
      <c r="H17" s="198">
        <v>200</v>
      </c>
      <c r="I17" s="163">
        <f>Force</f>
        <v>2</v>
      </c>
      <c r="J17" s="163" t="s">
        <v>1880</v>
      </c>
      <c r="K17" s="163">
        <v>1</v>
      </c>
      <c r="L17" s="163">
        <v>0</v>
      </c>
      <c r="M17" s="163">
        <v>0</v>
      </c>
      <c r="N17" s="163">
        <v>0</v>
      </c>
      <c r="O17" s="5" t="s">
        <v>5709</v>
      </c>
      <c r="P17" s="270" t="s">
        <v>2078</v>
      </c>
      <c r="Q17" s="196" t="str">
        <f t="shared" si="0"/>
        <v>5 koku</v>
      </c>
    </row>
    <row r="18" spans="1:17" x14ac:dyDescent="0.25">
      <c r="A18" s="7" t="s">
        <v>1305</v>
      </c>
      <c r="B18" s="285" t="s">
        <v>1271</v>
      </c>
      <c r="C18" s="209"/>
      <c r="D18" s="213">
        <v>9</v>
      </c>
      <c r="E18" s="211"/>
      <c r="F18" s="286" t="s">
        <v>2052</v>
      </c>
      <c r="G18" s="198" t="s">
        <v>3</v>
      </c>
      <c r="H18" s="198">
        <v>200</v>
      </c>
      <c r="I18" s="163">
        <f>Force</f>
        <v>2</v>
      </c>
      <c r="J18" s="163" t="s">
        <v>1880</v>
      </c>
      <c r="K18" s="163">
        <v>1</v>
      </c>
      <c r="L18" s="163">
        <v>0</v>
      </c>
      <c r="M18" s="163">
        <v>0</v>
      </c>
      <c r="N18" s="163">
        <v>0</v>
      </c>
      <c r="O18" s="9" t="s">
        <v>5709</v>
      </c>
      <c r="P18" s="163" t="s">
        <v>5716</v>
      </c>
      <c r="Q18" s="196" t="str">
        <f t="shared" si="0"/>
        <v>9 bu</v>
      </c>
    </row>
    <row r="19" spans="1:17" s="196" customFormat="1" x14ac:dyDescent="0.25">
      <c r="A19" s="7" t="s">
        <v>8411</v>
      </c>
      <c r="B19" s="285" t="s">
        <v>1271</v>
      </c>
      <c r="C19" s="209"/>
      <c r="D19" s="213">
        <v>5</v>
      </c>
      <c r="E19" s="211"/>
      <c r="F19" s="286"/>
      <c r="G19" s="198" t="s">
        <v>7759</v>
      </c>
      <c r="H19" s="198">
        <v>23</v>
      </c>
      <c r="I19" s="163">
        <f>Force+1</f>
        <v>3</v>
      </c>
      <c r="J19" s="163" t="s">
        <v>1880</v>
      </c>
      <c r="K19" s="163">
        <v>1</v>
      </c>
      <c r="L19" s="163">
        <v>0</v>
      </c>
      <c r="M19" s="163">
        <v>0</v>
      </c>
      <c r="N19" s="163"/>
      <c r="O19" s="9" t="s">
        <v>5857</v>
      </c>
      <c r="P19" s="163" t="s">
        <v>5859</v>
      </c>
      <c r="Q19" s="196" t="str">
        <f t="shared" si="0"/>
        <v>5 bu</v>
      </c>
    </row>
    <row r="20" spans="1:17" x14ac:dyDescent="0.25">
      <c r="A20" s="7" t="s">
        <v>1306</v>
      </c>
      <c r="B20" s="285" t="s">
        <v>1271</v>
      </c>
      <c r="C20" s="212">
        <v>3</v>
      </c>
      <c r="D20" s="210"/>
      <c r="E20" s="211"/>
      <c r="F20" s="286" t="s">
        <v>2052</v>
      </c>
      <c r="G20" s="198" t="s">
        <v>3</v>
      </c>
      <c r="H20" s="198">
        <v>200</v>
      </c>
      <c r="I20" s="163">
        <f>Force+1</f>
        <v>3</v>
      </c>
      <c r="J20" s="163" t="s">
        <v>1880</v>
      </c>
      <c r="K20" s="163">
        <v>1</v>
      </c>
      <c r="L20" s="163">
        <v>0</v>
      </c>
      <c r="M20" s="163">
        <v>0</v>
      </c>
      <c r="N20" s="163">
        <v>0</v>
      </c>
      <c r="O20" s="5" t="s">
        <v>5709</v>
      </c>
      <c r="P20" s="270" t="s">
        <v>2078</v>
      </c>
      <c r="Q20" s="196" t="str">
        <f t="shared" si="0"/>
        <v>3 koku</v>
      </c>
    </row>
    <row r="21" spans="1:17" s="196" customFormat="1" x14ac:dyDescent="0.25">
      <c r="A21" s="7" t="str">
        <f>IF(Contexte_jeu&lt;&gt;"L'Empire Stellaire d'Emeraude","","Arme à feu de classe Khol")</f>
        <v/>
      </c>
      <c r="B21" s="15" t="s">
        <v>4550</v>
      </c>
      <c r="C21" s="206"/>
      <c r="D21" s="207"/>
      <c r="E21" s="208"/>
      <c r="F21" s="151" t="s">
        <v>5080</v>
      </c>
      <c r="G21" s="198" t="s">
        <v>7453</v>
      </c>
      <c r="H21" s="198">
        <v>92</v>
      </c>
      <c r="I21" s="163">
        <f>IF(Calculs!S425&gt;2,4,3)</f>
        <v>3</v>
      </c>
      <c r="J21" s="163" t="s">
        <v>1880</v>
      </c>
      <c r="K21" s="163">
        <v>3</v>
      </c>
      <c r="L21" s="163">
        <v>0</v>
      </c>
      <c r="M21" s="163">
        <v>0</v>
      </c>
      <c r="N21" s="163">
        <v>120</v>
      </c>
      <c r="O21" s="5" t="s">
        <v>8195</v>
      </c>
      <c r="P21" s="270" t="s">
        <v>8148</v>
      </c>
      <c r="Q21" s="196" t="s">
        <v>5968</v>
      </c>
    </row>
    <row r="22" spans="1:17" s="196" customFormat="1" x14ac:dyDescent="0.25">
      <c r="A22" s="7" t="str">
        <f>IF(Contexte_jeu&lt;&gt;"L'Empire Stellaire d'Emeraude","","Arme de poing")</f>
        <v/>
      </c>
      <c r="B22" s="15" t="s">
        <v>4550</v>
      </c>
      <c r="C22" s="212">
        <v>5</v>
      </c>
      <c r="D22" s="210"/>
      <c r="E22" s="211"/>
      <c r="F22" s="286" t="s">
        <v>2052</v>
      </c>
      <c r="G22" s="198" t="s">
        <v>162</v>
      </c>
      <c r="H22" s="198">
        <v>307</v>
      </c>
      <c r="I22" s="163">
        <f>IF(Calculs!S425&gt;2,4,3)</f>
        <v>3</v>
      </c>
      <c r="J22" s="163" t="s">
        <v>1880</v>
      </c>
      <c r="K22" s="163">
        <f>IF(Calculs!S425&gt;6,4,3)</f>
        <v>3</v>
      </c>
      <c r="L22" s="163">
        <v>0</v>
      </c>
      <c r="M22" s="163">
        <v>0</v>
      </c>
      <c r="N22" s="163">
        <v>30</v>
      </c>
      <c r="O22" s="5" t="s">
        <v>7670</v>
      </c>
      <c r="P22" s="270" t="s">
        <v>2078</v>
      </c>
      <c r="Q22" s="196" t="str">
        <f t="shared" si="0"/>
        <v>5 koku</v>
      </c>
    </row>
    <row r="23" spans="1:17" x14ac:dyDescent="0.25">
      <c r="A23" s="202" t="s">
        <v>4446</v>
      </c>
      <c r="B23" s="15" t="s">
        <v>4550</v>
      </c>
      <c r="C23" s="206">
        <v>0</v>
      </c>
      <c r="F23" s="527" t="s">
        <v>5080</v>
      </c>
      <c r="G23" s="198" t="s">
        <v>162</v>
      </c>
      <c r="H23" s="198">
        <v>80</v>
      </c>
      <c r="I23" s="163">
        <f>IF(Calculs!S425&gt;2,4,3)</f>
        <v>3</v>
      </c>
      <c r="J23" s="163" t="s">
        <v>1880</v>
      </c>
      <c r="K23" s="163">
        <f>IF(Calculs!S425&gt;6,3,2)</f>
        <v>2</v>
      </c>
      <c r="L23" s="163">
        <v>0</v>
      </c>
      <c r="M23" s="163">
        <v>0</v>
      </c>
      <c r="N23" s="163">
        <v>6</v>
      </c>
      <c r="O23" s="5" t="s">
        <v>5815</v>
      </c>
      <c r="P23" s="163" t="s">
        <v>5818</v>
      </c>
      <c r="Q23" s="196" t="s">
        <v>5968</v>
      </c>
    </row>
    <row r="24" spans="1:17" x14ac:dyDescent="0.25">
      <c r="A24" s="7" t="s">
        <v>4553</v>
      </c>
      <c r="B24" s="15" t="s">
        <v>4550</v>
      </c>
      <c r="C24" s="206">
        <v>25</v>
      </c>
      <c r="F24" s="527" t="s">
        <v>5080</v>
      </c>
      <c r="G24" s="198" t="s">
        <v>162</v>
      </c>
      <c r="H24" s="198">
        <v>80</v>
      </c>
      <c r="I24" s="163">
        <f>IF(Calculs!S425&gt;2,5,4)</f>
        <v>4</v>
      </c>
      <c r="J24" s="163" t="s">
        <v>1880</v>
      </c>
      <c r="K24" s="163">
        <f>IF(Calculs!S425&gt;6,4,3)</f>
        <v>3</v>
      </c>
      <c r="L24" s="163">
        <v>0</v>
      </c>
      <c r="M24" s="163">
        <v>0</v>
      </c>
      <c r="N24" s="163">
        <v>6</v>
      </c>
      <c r="O24" s="5" t="s">
        <v>5814</v>
      </c>
      <c r="P24" s="163" t="s">
        <v>5817</v>
      </c>
      <c r="Q24" s="196" t="str">
        <f t="shared" si="0"/>
        <v>25 koku</v>
      </c>
    </row>
    <row r="25" spans="1:17" s="196" customFormat="1" x14ac:dyDescent="0.25">
      <c r="A25" s="7" t="str">
        <f>IF(Contexte_jeu&lt;&gt;"L'Empire Stellaire d'Emeraude","","Fusil d'Assaut")</f>
        <v/>
      </c>
      <c r="B25" s="15" t="s">
        <v>4550</v>
      </c>
      <c r="C25" s="212">
        <v>10</v>
      </c>
      <c r="D25" s="210"/>
      <c r="E25" s="211"/>
      <c r="F25" s="286" t="s">
        <v>2052</v>
      </c>
      <c r="G25" s="198" t="s">
        <v>162</v>
      </c>
      <c r="H25" s="198">
        <v>307</v>
      </c>
      <c r="I25" s="163">
        <f>IF(Calculs!S425&gt;2,5,4)</f>
        <v>4</v>
      </c>
      <c r="J25" s="163" t="s">
        <v>1880</v>
      </c>
      <c r="K25" s="163">
        <f>IF(Calculs!S425&gt;6,5,4)</f>
        <v>4</v>
      </c>
      <c r="L25" s="163">
        <v>0</v>
      </c>
      <c r="M25" s="163">
        <v>0</v>
      </c>
      <c r="N25" s="163">
        <v>150</v>
      </c>
      <c r="O25" s="5" t="s">
        <v>7671</v>
      </c>
      <c r="P25" s="270" t="s">
        <v>2078</v>
      </c>
      <c r="Q25" s="196" t="str">
        <f>CONCATENATE(IF(C25="",CONCATENATE(""),CONCATENATE(C25," koku")),IF(D25="",CONCATENATE(""),CONCATENATE(D25," bu")),IF(E25="",CONCATENATE(""),CONCATENATE(E25," zeni")))</f>
        <v>10 koku</v>
      </c>
    </row>
    <row r="26" spans="1:17" s="196" customFormat="1" x14ac:dyDescent="0.25">
      <c r="A26" s="7" t="str">
        <f>IF(Contexte_jeu&lt;&gt;"L'Empire Stellaire d'Emeraude","",IF(Force&lt;4,"","Fusil d'Assaut Lourd"))</f>
        <v/>
      </c>
      <c r="B26" s="15" t="s">
        <v>4550</v>
      </c>
      <c r="C26" s="212">
        <v>15</v>
      </c>
      <c r="D26" s="210"/>
      <c r="E26" s="211"/>
      <c r="F26" s="286" t="s">
        <v>2052</v>
      </c>
      <c r="G26" s="198" t="s">
        <v>162</v>
      </c>
      <c r="H26" s="198">
        <v>307</v>
      </c>
      <c r="I26" s="163">
        <f>IF(Calculs!S425&gt;2,7,6)</f>
        <v>6</v>
      </c>
      <c r="J26" s="163" t="s">
        <v>1880</v>
      </c>
      <c r="K26" s="163">
        <f>IF(Calculs!S425&gt;6,6,5)</f>
        <v>5</v>
      </c>
      <c r="L26" s="163">
        <v>0</v>
      </c>
      <c r="M26" s="163">
        <v>0</v>
      </c>
      <c r="N26" s="163">
        <v>120</v>
      </c>
      <c r="O26" s="5" t="s">
        <v>8198</v>
      </c>
      <c r="P26" s="270" t="s">
        <v>7672</v>
      </c>
      <c r="Q26" s="196" t="str">
        <f>CONCATENATE(IF(C26="",CONCATENATE(""),CONCATENATE(C26," koku")),IF(D26="",CONCATENATE(""),CONCATENATE(D26," bu")),IF(E26="",CONCATENATE(""),CONCATENATE(E26," zeni")))</f>
        <v>15 koku</v>
      </c>
    </row>
    <row r="27" spans="1:17" s="196" customFormat="1" x14ac:dyDescent="0.25">
      <c r="A27" s="7" t="str">
        <f>IF(Contexte_jeu&lt;&gt;"L'Empire Stellaire d'Emeraude","","Fusil de Sniper")</f>
        <v/>
      </c>
      <c r="B27" s="15" t="s">
        <v>4550</v>
      </c>
      <c r="C27" s="212">
        <v>15</v>
      </c>
      <c r="D27" s="210"/>
      <c r="E27" s="211"/>
      <c r="F27" s="286" t="s">
        <v>2052</v>
      </c>
      <c r="G27" s="198" t="s">
        <v>162</v>
      </c>
      <c r="H27" s="198">
        <v>307</v>
      </c>
      <c r="I27" s="163">
        <f>IF(Calculs!S425&gt;2,7,6)</f>
        <v>6</v>
      </c>
      <c r="J27" s="163" t="s">
        <v>1880</v>
      </c>
      <c r="K27" s="163">
        <f>IF(Calculs!S425&gt;6,4,3)</f>
        <v>3</v>
      </c>
      <c r="L27" s="163">
        <v>0</v>
      </c>
      <c r="M27" s="163">
        <v>0</v>
      </c>
      <c r="N27" s="163">
        <v>300</v>
      </c>
      <c r="O27" s="5" t="s">
        <v>8198</v>
      </c>
      <c r="P27" s="270" t="s">
        <v>2078</v>
      </c>
      <c r="Q27" s="196" t="str">
        <f>CONCATENATE(IF(C27="",CONCATENATE(""),CONCATENATE(C27," koku")),IF(D27="",CONCATENATE(""),CONCATENATE(D27," bu")),IF(E27="",CONCATENATE(""),CONCATENATE(E27," zeni")))</f>
        <v>15 koku</v>
      </c>
    </row>
    <row r="28" spans="1:17" s="196" customFormat="1" x14ac:dyDescent="0.25">
      <c r="A28" s="7" t="str">
        <f>IF(Contexte_jeu&lt;&gt;"L'Empire Stellaire d'Emeraude","","Gardien")</f>
        <v/>
      </c>
      <c r="B28" s="15" t="s">
        <v>4550</v>
      </c>
      <c r="C28" s="206"/>
      <c r="D28" s="207"/>
      <c r="E28" s="208"/>
      <c r="F28" s="151" t="s">
        <v>5080</v>
      </c>
      <c r="G28" s="198" t="s">
        <v>7453</v>
      </c>
      <c r="H28" s="198">
        <v>92</v>
      </c>
      <c r="I28" s="163">
        <f>IF(Calculs!S425&gt;2,4,3)</f>
        <v>3</v>
      </c>
      <c r="J28" s="163" t="s">
        <v>1880</v>
      </c>
      <c r="K28" s="163">
        <v>2</v>
      </c>
      <c r="L28" s="163">
        <v>0</v>
      </c>
      <c r="M28" s="163">
        <v>0</v>
      </c>
      <c r="N28" s="163">
        <v>150</v>
      </c>
      <c r="O28" s="5" t="s">
        <v>8194</v>
      </c>
      <c r="P28" s="270" t="s">
        <v>8153</v>
      </c>
      <c r="Q28" s="196" t="s">
        <v>5968</v>
      </c>
    </row>
    <row r="29" spans="1:17" s="196" customFormat="1" x14ac:dyDescent="0.25">
      <c r="A29" s="7" t="str">
        <f>IF(Contexte_jeu&lt;&gt;"L'Empire Stellaire d'Emeraude","","Indomptable X32")</f>
        <v/>
      </c>
      <c r="B29" s="15" t="s">
        <v>4550</v>
      </c>
      <c r="C29" s="206"/>
      <c r="D29" s="207"/>
      <c r="E29" s="208"/>
      <c r="F29" s="151" t="s">
        <v>5080</v>
      </c>
      <c r="G29" s="198" t="s">
        <v>7453</v>
      </c>
      <c r="H29" s="198">
        <v>92</v>
      </c>
      <c r="I29" s="163">
        <f>IF(Calculs!S425&gt;2,5,4)</f>
        <v>4</v>
      </c>
      <c r="J29" s="163" t="s">
        <v>1880</v>
      </c>
      <c r="K29" s="163">
        <v>2</v>
      </c>
      <c r="L29" s="163">
        <v>0</v>
      </c>
      <c r="M29" s="163">
        <v>0</v>
      </c>
      <c r="N29" s="163">
        <v>150</v>
      </c>
      <c r="O29" s="5" t="s">
        <v>8196</v>
      </c>
      <c r="P29" s="270" t="s">
        <v>8156</v>
      </c>
      <c r="Q29" s="196" t="s">
        <v>5968</v>
      </c>
    </row>
    <row r="30" spans="1:17" x14ac:dyDescent="0.25">
      <c r="A30" s="7" t="s">
        <v>4651</v>
      </c>
      <c r="B30" s="15" t="s">
        <v>4550</v>
      </c>
      <c r="C30" s="206">
        <v>15</v>
      </c>
      <c r="F30" s="527" t="s">
        <v>5080</v>
      </c>
      <c r="G30" s="198" t="s">
        <v>162</v>
      </c>
      <c r="H30" s="198">
        <v>81</v>
      </c>
      <c r="I30" s="163">
        <f>IF(Calculs!S425&gt;2,4,3)</f>
        <v>3</v>
      </c>
      <c r="J30" s="163" t="s">
        <v>1880</v>
      </c>
      <c r="K30" s="163">
        <f>IF(Calculs!S425&gt;6,3,2)</f>
        <v>2</v>
      </c>
      <c r="L30" s="163">
        <v>0</v>
      </c>
      <c r="M30" s="163">
        <v>0</v>
      </c>
      <c r="N30" s="163">
        <v>24</v>
      </c>
      <c r="O30" s="5" t="s">
        <v>5813</v>
      </c>
      <c r="P30" s="163" t="s">
        <v>5822</v>
      </c>
      <c r="Q30" s="196" t="str">
        <f t="shared" si="0"/>
        <v>15 koku</v>
      </c>
    </row>
    <row r="31" spans="1:17" x14ac:dyDescent="0.25">
      <c r="A31" s="7" t="s">
        <v>4551</v>
      </c>
      <c r="B31" s="15" t="s">
        <v>4550</v>
      </c>
      <c r="C31" s="206">
        <v>8</v>
      </c>
      <c r="F31" s="527" t="s">
        <v>5080</v>
      </c>
      <c r="G31" s="198" t="s">
        <v>162</v>
      </c>
      <c r="H31" s="198">
        <v>80</v>
      </c>
      <c r="I31" s="163">
        <f>IF(Calculs!S425&gt;2,4,3)</f>
        <v>3</v>
      </c>
      <c r="J31" s="163" t="s">
        <v>1880</v>
      </c>
      <c r="K31" s="163">
        <f>IF(Calculs!S425&gt;6,3,2)</f>
        <v>2</v>
      </c>
      <c r="L31" s="163">
        <v>0</v>
      </c>
      <c r="M31" s="163">
        <v>0</v>
      </c>
      <c r="N31" s="163">
        <v>15</v>
      </c>
      <c r="O31" s="5" t="s">
        <v>5813</v>
      </c>
      <c r="P31" s="163" t="s">
        <v>5821</v>
      </c>
      <c r="Q31" s="196" t="str">
        <f t="shared" si="0"/>
        <v>8 koku</v>
      </c>
    </row>
    <row r="32" spans="1:17" s="196" customFormat="1" x14ac:dyDescent="0.25">
      <c r="A32" s="7" t="str">
        <f>IF(Contexte_jeu&lt;&gt;"L'Empire Stellaire d'Emeraude","","Médiateur")</f>
        <v/>
      </c>
      <c r="B32" s="15" t="s">
        <v>4550</v>
      </c>
      <c r="C32" s="206"/>
      <c r="D32" s="207"/>
      <c r="E32" s="208"/>
      <c r="F32" s="151" t="s">
        <v>5080</v>
      </c>
      <c r="G32" s="198" t="s">
        <v>7453</v>
      </c>
      <c r="H32" s="198">
        <v>92</v>
      </c>
      <c r="I32" s="163">
        <f>IF(Calculs!S425&gt;2,5,4)</f>
        <v>4</v>
      </c>
      <c r="J32" s="163" t="s">
        <v>1880</v>
      </c>
      <c r="K32" s="163">
        <v>2</v>
      </c>
      <c r="L32" s="163">
        <v>0</v>
      </c>
      <c r="M32" s="163">
        <v>0</v>
      </c>
      <c r="N32" s="163">
        <v>300</v>
      </c>
      <c r="O32" s="5" t="s">
        <v>8197</v>
      </c>
      <c r="P32" s="270" t="s">
        <v>8175</v>
      </c>
      <c r="Q32" s="196" t="s">
        <v>5968</v>
      </c>
    </row>
    <row r="33" spans="1:17" x14ac:dyDescent="0.25">
      <c r="A33" s="7" t="str">
        <f>IF(Contexte_jeu&lt;&gt;"L'Empire Stellaire d'Emeraude","Mousquet","Mousquet antique")</f>
        <v>Mousquet</v>
      </c>
      <c r="B33" s="15" t="s">
        <v>4550</v>
      </c>
      <c r="C33" s="206">
        <v>80</v>
      </c>
      <c r="F33" s="527" t="s">
        <v>5080</v>
      </c>
      <c r="G33" s="198" t="s">
        <v>150</v>
      </c>
      <c r="H33" s="198">
        <v>97</v>
      </c>
      <c r="I33" s="163">
        <f>IF(Calculs!S425&gt;2,5,4)</f>
        <v>4</v>
      </c>
      <c r="J33" s="163" t="s">
        <v>1880</v>
      </c>
      <c r="K33" s="163">
        <f>IF(Calculs!S425&gt;6,4,3)</f>
        <v>3</v>
      </c>
      <c r="L33" s="163">
        <v>0</v>
      </c>
      <c r="M33" s="163">
        <v>0</v>
      </c>
      <c r="N33" s="163">
        <v>45</v>
      </c>
      <c r="O33" s="5" t="s">
        <v>5709</v>
      </c>
      <c r="P33" s="163" t="s">
        <v>5829</v>
      </c>
      <c r="Q33" s="196" t="str">
        <f t="shared" si="0"/>
        <v>80 koku</v>
      </c>
    </row>
    <row r="34" spans="1:17" x14ac:dyDescent="0.25">
      <c r="A34" s="7" t="str">
        <f>IF(Contexte_jeu&lt;&gt;"L'Empire Stellaire d'Emeraude","Pistolet","Pistolet antique")</f>
        <v>Pistolet</v>
      </c>
      <c r="B34" s="15" t="s">
        <v>4550</v>
      </c>
      <c r="C34" s="206">
        <v>80</v>
      </c>
      <c r="F34" s="527" t="s">
        <v>5080</v>
      </c>
      <c r="G34" s="198" t="s">
        <v>150</v>
      </c>
      <c r="H34" s="198">
        <v>97</v>
      </c>
      <c r="I34" s="163">
        <f>IF(Calculs!S425&gt;2,4,3)</f>
        <v>3</v>
      </c>
      <c r="J34" s="163" t="s">
        <v>1880</v>
      </c>
      <c r="K34" s="163">
        <f>IF(Calculs!S425&gt;6,3,2)</f>
        <v>2</v>
      </c>
      <c r="L34" s="163">
        <v>0</v>
      </c>
      <c r="M34" s="163">
        <v>0</v>
      </c>
      <c r="N34" s="163">
        <v>6</v>
      </c>
      <c r="O34" s="5" t="s">
        <v>5830</v>
      </c>
      <c r="P34" s="163" t="s">
        <v>5828</v>
      </c>
      <c r="Q34" s="196" t="str">
        <f t="shared" si="0"/>
        <v>80 koku</v>
      </c>
    </row>
    <row r="35" spans="1:17" s="196" customFormat="1" x14ac:dyDescent="0.25">
      <c r="A35" s="7" t="str">
        <f>IF(Contexte_jeu&lt;&gt;"L'Empire Stellaire d'Emeraude","","Pistolet Démontable")</f>
        <v/>
      </c>
      <c r="B35" s="15" t="s">
        <v>4550</v>
      </c>
      <c r="C35" s="206"/>
      <c r="D35" s="207"/>
      <c r="E35" s="208"/>
      <c r="F35" s="151" t="s">
        <v>5080</v>
      </c>
      <c r="G35" s="198" t="s">
        <v>7453</v>
      </c>
      <c r="H35" s="198">
        <v>92</v>
      </c>
      <c r="I35" s="163">
        <f>IF(Calculs!S425&gt;2,5,4)</f>
        <v>4</v>
      </c>
      <c r="J35" s="163" t="s">
        <v>1880</v>
      </c>
      <c r="K35" s="163">
        <v>2</v>
      </c>
      <c r="L35" s="163">
        <v>0</v>
      </c>
      <c r="M35" s="163">
        <v>0</v>
      </c>
      <c r="N35" s="163">
        <v>120</v>
      </c>
      <c r="O35" s="5" t="s">
        <v>8202</v>
      </c>
      <c r="P35" s="270" t="s">
        <v>8177</v>
      </c>
      <c r="Q35" s="196" t="s">
        <v>5968</v>
      </c>
    </row>
    <row r="36" spans="1:17" s="196" customFormat="1" x14ac:dyDescent="0.25">
      <c r="A36" s="7" t="str">
        <f>IF(Contexte_jeu&lt;&gt;"L'Empire Stellaire d'Emeraude","","Radiances jumelles")</f>
        <v/>
      </c>
      <c r="B36" s="15" t="s">
        <v>4550</v>
      </c>
      <c r="C36" s="206"/>
      <c r="D36" s="207"/>
      <c r="E36" s="208"/>
      <c r="F36" s="151" t="s">
        <v>5080</v>
      </c>
      <c r="G36" s="198" t="s">
        <v>7453</v>
      </c>
      <c r="H36" s="198">
        <v>92</v>
      </c>
      <c r="I36" s="163">
        <f>IF(Calculs!S425&gt;2,4,3)</f>
        <v>3</v>
      </c>
      <c r="J36" s="163" t="s">
        <v>1880</v>
      </c>
      <c r="K36" s="163">
        <v>3</v>
      </c>
      <c r="L36" s="163">
        <v>0</v>
      </c>
      <c r="M36" s="163">
        <v>0</v>
      </c>
      <c r="N36" s="163">
        <v>120</v>
      </c>
      <c r="O36" s="5" t="s">
        <v>7670</v>
      </c>
      <c r="P36" s="270" t="s">
        <v>8179</v>
      </c>
      <c r="Q36" s="196" t="s">
        <v>5968</v>
      </c>
    </row>
    <row r="37" spans="1:17" s="196" customFormat="1" x14ac:dyDescent="0.25">
      <c r="A37" s="7" t="str">
        <f>IF(Contexte_jeu&lt;&gt;"L'Empire Stellaire d'Emeraude","","Sombre Radiance")</f>
        <v/>
      </c>
      <c r="B37" s="15" t="s">
        <v>4550</v>
      </c>
      <c r="C37" s="206"/>
      <c r="D37" s="207"/>
      <c r="E37" s="208"/>
      <c r="F37" s="151" t="s">
        <v>5080</v>
      </c>
      <c r="G37" s="198" t="s">
        <v>7453</v>
      </c>
      <c r="H37" s="198">
        <v>92</v>
      </c>
      <c r="I37" s="163">
        <f>IF(Calculs!S425&gt;2,5,4)</f>
        <v>4</v>
      </c>
      <c r="J37" s="163" t="s">
        <v>1880</v>
      </c>
      <c r="K37" s="163">
        <v>2</v>
      </c>
      <c r="L37" s="163">
        <v>0</v>
      </c>
      <c r="M37" s="163">
        <v>0</v>
      </c>
      <c r="N37" s="163">
        <v>150</v>
      </c>
      <c r="O37" s="5" t="s">
        <v>8203</v>
      </c>
      <c r="P37" s="270" t="s">
        <v>8180</v>
      </c>
      <c r="Q37" s="196" t="s">
        <v>5968</v>
      </c>
    </row>
    <row r="38" spans="1:17" x14ac:dyDescent="0.25">
      <c r="A38" s="7" t="s">
        <v>4447</v>
      </c>
      <c r="B38" s="15" t="s">
        <v>4550</v>
      </c>
      <c r="C38" s="206">
        <v>30</v>
      </c>
      <c r="F38" s="527" t="s">
        <v>5080</v>
      </c>
      <c r="G38" s="198" t="s">
        <v>162</v>
      </c>
      <c r="H38" s="198">
        <v>80</v>
      </c>
      <c r="I38" s="163">
        <f>IF(Calculs!S425&gt;2,4,3)</f>
        <v>3</v>
      </c>
      <c r="J38" s="163" t="s">
        <v>1880</v>
      </c>
      <c r="K38" s="163">
        <f>IF(Calculs!S425&gt;6,4,3)</f>
        <v>3</v>
      </c>
      <c r="L38" s="163">
        <v>0</v>
      </c>
      <c r="M38" s="163">
        <v>0</v>
      </c>
      <c r="N38" s="163">
        <v>45</v>
      </c>
      <c r="O38" s="5" t="s">
        <v>5717</v>
      </c>
      <c r="P38" s="163" t="s">
        <v>5819</v>
      </c>
      <c r="Q38" s="196" t="str">
        <f t="shared" si="0"/>
        <v>30 koku</v>
      </c>
    </row>
    <row r="39" spans="1:17" x14ac:dyDescent="0.25">
      <c r="A39" s="7" t="s">
        <v>4655</v>
      </c>
      <c r="B39" s="15" t="s">
        <v>4550</v>
      </c>
      <c r="C39" s="206">
        <v>0</v>
      </c>
      <c r="F39" s="527" t="s">
        <v>5080</v>
      </c>
      <c r="G39" s="198" t="s">
        <v>162</v>
      </c>
      <c r="H39" s="198">
        <v>91</v>
      </c>
      <c r="I39" s="163">
        <f>IF(Calculs!S425&gt;2,3,2)</f>
        <v>2</v>
      </c>
      <c r="J39" s="163" t="s">
        <v>1880</v>
      </c>
      <c r="K39" s="163">
        <f>IF(Calculs!S425&gt;6,3,2)</f>
        <v>2</v>
      </c>
      <c r="L39" s="163">
        <v>0</v>
      </c>
      <c r="M39" s="163">
        <v>0</v>
      </c>
      <c r="N39" s="163">
        <v>6</v>
      </c>
      <c r="O39" s="5" t="s">
        <v>5732</v>
      </c>
      <c r="P39" s="163" t="s">
        <v>5820</v>
      </c>
      <c r="Q39" s="196" t="s">
        <v>5968</v>
      </c>
    </row>
    <row r="40" spans="1:17" s="196" customFormat="1" ht="13.95" customHeight="1" x14ac:dyDescent="0.25">
      <c r="A40" s="7" t="str">
        <f>IF(Contexte_jeu&lt;&gt;"L'Empire Stellaire d'Emeraude","","Tonnerre Distant")</f>
        <v/>
      </c>
      <c r="B40" s="15" t="s">
        <v>4550</v>
      </c>
      <c r="C40" s="206"/>
      <c r="D40" s="207"/>
      <c r="E40" s="208"/>
      <c r="F40" s="151" t="s">
        <v>5080</v>
      </c>
      <c r="G40" s="198" t="s">
        <v>7453</v>
      </c>
      <c r="H40" s="198">
        <v>92</v>
      </c>
      <c r="I40" s="163">
        <f>IF(Calculs!S425&gt;2,4,3)</f>
        <v>3</v>
      </c>
      <c r="J40" s="163" t="s">
        <v>1880</v>
      </c>
      <c r="K40" s="163">
        <v>2</v>
      </c>
      <c r="L40" s="163">
        <v>0</v>
      </c>
      <c r="M40" s="163">
        <v>0</v>
      </c>
      <c r="N40" s="163">
        <v>1200</v>
      </c>
      <c r="O40" s="5" t="s">
        <v>8204</v>
      </c>
      <c r="P40" s="270" t="s">
        <v>8183</v>
      </c>
      <c r="Q40" s="196" t="s">
        <v>5968</v>
      </c>
    </row>
    <row r="41" spans="1:17" x14ac:dyDescent="0.25">
      <c r="A41" s="7" t="s">
        <v>1307</v>
      </c>
      <c r="B41" s="285" t="s">
        <v>1274</v>
      </c>
      <c r="C41" s="212">
        <v>12</v>
      </c>
      <c r="D41" s="210"/>
      <c r="E41" s="211"/>
      <c r="F41" s="286" t="s">
        <v>2050</v>
      </c>
      <c r="G41" s="198" t="s">
        <v>3</v>
      </c>
      <c r="H41" s="198">
        <v>201</v>
      </c>
      <c r="I41" s="163">
        <v>3</v>
      </c>
      <c r="J41" s="163" t="s">
        <v>1880</v>
      </c>
      <c r="K41" s="163">
        <v>3</v>
      </c>
      <c r="L41" s="163">
        <v>0</v>
      </c>
      <c r="M41" s="163">
        <v>0</v>
      </c>
      <c r="N41" s="163">
        <v>0</v>
      </c>
      <c r="O41" s="5" t="s">
        <v>5952</v>
      </c>
      <c r="P41" s="270" t="s">
        <v>2078</v>
      </c>
      <c r="Q41" s="196" t="str">
        <f t="shared" si="0"/>
        <v>12 koku</v>
      </c>
    </row>
    <row r="42" spans="1:17" s="196" customFormat="1" x14ac:dyDescent="0.25">
      <c r="A42" s="7" t="s">
        <v>8118</v>
      </c>
      <c r="B42" s="285" t="s">
        <v>1274</v>
      </c>
      <c r="C42" s="206"/>
      <c r="D42" s="207"/>
      <c r="E42" s="208"/>
      <c r="F42" s="151" t="s">
        <v>5080</v>
      </c>
      <c r="G42" s="198" t="s">
        <v>7453</v>
      </c>
      <c r="H42" s="198">
        <v>92</v>
      </c>
      <c r="I42" s="163">
        <v>6</v>
      </c>
      <c r="J42" s="163" t="s">
        <v>1880</v>
      </c>
      <c r="K42" s="163">
        <v>3</v>
      </c>
      <c r="L42" s="163">
        <v>0</v>
      </c>
      <c r="M42" s="163">
        <v>0</v>
      </c>
      <c r="N42" s="163">
        <v>0</v>
      </c>
      <c r="O42" s="5" t="s">
        <v>8187</v>
      </c>
      <c r="P42" s="270" t="s">
        <v>2078</v>
      </c>
      <c r="Q42" s="196" t="s">
        <v>5968</v>
      </c>
    </row>
    <row r="43" spans="1:17" s="196" customFormat="1" x14ac:dyDescent="0.25">
      <c r="A43" s="7" t="s">
        <v>8122</v>
      </c>
      <c r="B43" s="285" t="s">
        <v>1274</v>
      </c>
      <c r="C43" s="206"/>
      <c r="D43" s="207"/>
      <c r="E43" s="208"/>
      <c r="F43" s="151" t="s">
        <v>5080</v>
      </c>
      <c r="G43" s="198" t="s">
        <v>7453</v>
      </c>
      <c r="H43" s="198">
        <v>92</v>
      </c>
      <c r="I43" s="163">
        <v>3</v>
      </c>
      <c r="J43" s="163" t="s">
        <v>1880</v>
      </c>
      <c r="K43" s="163">
        <v>3</v>
      </c>
      <c r="L43" s="163">
        <v>0</v>
      </c>
      <c r="M43" s="163">
        <v>0</v>
      </c>
      <c r="N43" s="163">
        <v>0</v>
      </c>
      <c r="O43" s="5" t="s">
        <v>8186</v>
      </c>
      <c r="P43" s="270" t="s">
        <v>8152</v>
      </c>
      <c r="Q43" s="196" t="s">
        <v>5968</v>
      </c>
    </row>
    <row r="44" spans="1:17" s="196" customFormat="1" x14ac:dyDescent="0.25">
      <c r="A44" s="7" t="s">
        <v>7782</v>
      </c>
      <c r="B44" s="285" t="s">
        <v>1274</v>
      </c>
      <c r="C44" s="212">
        <v>10</v>
      </c>
      <c r="D44" s="210"/>
      <c r="E44" s="211"/>
      <c r="F44" s="286" t="s">
        <v>5080</v>
      </c>
      <c r="G44" s="198" t="s">
        <v>7759</v>
      </c>
      <c r="H44" s="198">
        <v>24</v>
      </c>
      <c r="I44" s="163">
        <v>0</v>
      </c>
      <c r="J44" s="163" t="s">
        <v>1880</v>
      </c>
      <c r="K44" s="163">
        <v>2</v>
      </c>
      <c r="L44" s="163">
        <v>0</v>
      </c>
      <c r="M44" s="163">
        <v>0</v>
      </c>
      <c r="N44" s="163">
        <v>0</v>
      </c>
      <c r="O44" s="5" t="s">
        <v>5709</v>
      </c>
      <c r="P44" s="163" t="s">
        <v>5718</v>
      </c>
      <c r="Q44" s="196" t="str">
        <f>CONCATENATE(IF(C44="",CONCATENATE(""),CONCATENATE(C44," koku")),IF(D44="",CONCATENATE(""),CONCATENATE(D44," bu")),IF(E44="",CONCATENATE(""),CONCATENATE(E44," zeni")))</f>
        <v>10 koku</v>
      </c>
    </row>
    <row r="45" spans="1:17" x14ac:dyDescent="0.25">
      <c r="A45" s="7" t="s">
        <v>1308</v>
      </c>
      <c r="B45" s="285" t="s">
        <v>1274</v>
      </c>
      <c r="C45" s="212">
        <v>8</v>
      </c>
      <c r="D45" s="210"/>
      <c r="E45" s="211"/>
      <c r="F45" s="286" t="s">
        <v>2050</v>
      </c>
      <c r="G45" s="198" t="s">
        <v>3</v>
      </c>
      <c r="H45" s="198">
        <v>201</v>
      </c>
      <c r="I45" s="163">
        <v>2</v>
      </c>
      <c r="J45" s="163" t="s">
        <v>1880</v>
      </c>
      <c r="K45" s="163">
        <v>3</v>
      </c>
      <c r="L45" s="163">
        <v>0</v>
      </c>
      <c r="M45" s="163">
        <v>0</v>
      </c>
      <c r="N45" s="163">
        <v>0</v>
      </c>
      <c r="O45" s="5" t="s">
        <v>5717</v>
      </c>
      <c r="P45" s="270" t="s">
        <v>2078</v>
      </c>
      <c r="Q45" s="196" t="str">
        <f t="shared" si="0"/>
        <v>8 koku</v>
      </c>
    </row>
    <row r="46" spans="1:17" x14ac:dyDescent="0.25">
      <c r="A46" s="7" t="s">
        <v>1309</v>
      </c>
      <c r="B46" s="285" t="s">
        <v>1274</v>
      </c>
      <c r="C46" s="212">
        <v>10</v>
      </c>
      <c r="D46" s="210"/>
      <c r="E46" s="211"/>
      <c r="F46" s="286" t="s">
        <v>2050</v>
      </c>
      <c r="G46" s="198" t="s">
        <v>3</v>
      </c>
      <c r="H46" s="198">
        <v>201</v>
      </c>
      <c r="I46" s="163">
        <v>3</v>
      </c>
      <c r="J46" s="163" t="s">
        <v>1880</v>
      </c>
      <c r="K46" s="163">
        <v>2</v>
      </c>
      <c r="L46" s="163">
        <v>0</v>
      </c>
      <c r="M46" s="163">
        <v>0</v>
      </c>
      <c r="N46" s="163">
        <v>0</v>
      </c>
      <c r="O46" s="5" t="s">
        <v>5709</v>
      </c>
      <c r="P46" s="270" t="s">
        <v>2078</v>
      </c>
      <c r="Q46" s="196" t="str">
        <f t="shared" si="0"/>
        <v>10 koku</v>
      </c>
    </row>
    <row r="47" spans="1:17" s="196" customFormat="1" x14ac:dyDescent="0.25">
      <c r="A47" s="7" t="s">
        <v>8143</v>
      </c>
      <c r="B47" s="285" t="s">
        <v>1274</v>
      </c>
      <c r="C47" s="206"/>
      <c r="D47" s="207"/>
      <c r="E47" s="208"/>
      <c r="F47" s="151" t="s">
        <v>5080</v>
      </c>
      <c r="G47" s="198" t="s">
        <v>7453</v>
      </c>
      <c r="H47" s="198">
        <v>92</v>
      </c>
      <c r="I47" s="163">
        <v>2</v>
      </c>
      <c r="J47" s="163" t="s">
        <v>1880</v>
      </c>
      <c r="K47" s="163">
        <v>4</v>
      </c>
      <c r="L47" s="163">
        <v>0</v>
      </c>
      <c r="M47" s="163">
        <v>0</v>
      </c>
      <c r="N47" s="163">
        <v>0</v>
      </c>
      <c r="O47" s="5" t="s">
        <v>8209</v>
      </c>
      <c r="P47" s="270" t="s">
        <v>8176</v>
      </c>
      <c r="Q47" s="196" t="s">
        <v>5968</v>
      </c>
    </row>
    <row r="48" spans="1:17" x14ac:dyDescent="0.25">
      <c r="A48" s="7" t="s">
        <v>1310</v>
      </c>
      <c r="B48" s="285" t="s">
        <v>1274</v>
      </c>
      <c r="C48" s="212">
        <v>6</v>
      </c>
      <c r="D48" s="210"/>
      <c r="E48" s="211"/>
      <c r="F48" s="286" t="s">
        <v>5080</v>
      </c>
      <c r="G48" s="198" t="s">
        <v>3</v>
      </c>
      <c r="H48" s="198">
        <v>201</v>
      </c>
      <c r="I48" s="163">
        <v>0</v>
      </c>
      <c r="J48" s="163" t="s">
        <v>1880</v>
      </c>
      <c r="K48" s="163">
        <v>2</v>
      </c>
      <c r="L48" s="163">
        <v>0</v>
      </c>
      <c r="M48" s="163">
        <v>0</v>
      </c>
      <c r="N48" s="163">
        <v>0</v>
      </c>
      <c r="O48" s="5" t="s">
        <v>5709</v>
      </c>
      <c r="P48" s="163" t="s">
        <v>5718</v>
      </c>
      <c r="Q48" s="196" t="str">
        <f t="shared" si="0"/>
        <v>6 koku</v>
      </c>
    </row>
    <row r="49" spans="1:20" x14ac:dyDescent="0.25">
      <c r="A49" s="7" t="s">
        <v>1311</v>
      </c>
      <c r="B49" s="285" t="s">
        <v>1274</v>
      </c>
      <c r="C49" s="212">
        <v>6</v>
      </c>
      <c r="D49" s="210"/>
      <c r="E49" s="211"/>
      <c r="F49" s="286" t="s">
        <v>2050</v>
      </c>
      <c r="G49" s="198" t="s">
        <v>3</v>
      </c>
      <c r="H49" s="198">
        <v>201</v>
      </c>
      <c r="I49" s="163">
        <v>1</v>
      </c>
      <c r="J49" s="163" t="s">
        <v>1880</v>
      </c>
      <c r="K49" s="163">
        <v>1</v>
      </c>
      <c r="L49" s="163">
        <v>0</v>
      </c>
      <c r="M49" s="163">
        <v>0</v>
      </c>
      <c r="N49" s="163">
        <v>0</v>
      </c>
      <c r="O49" s="5" t="s">
        <v>5709</v>
      </c>
      <c r="P49" s="163" t="s">
        <v>5718</v>
      </c>
      <c r="Q49" s="196" t="str">
        <f t="shared" si="0"/>
        <v>6 koku</v>
      </c>
    </row>
    <row r="50" spans="1:20" s="196" customFormat="1" x14ac:dyDescent="0.25">
      <c r="A50" s="7" t="s">
        <v>8117</v>
      </c>
      <c r="B50" s="285" t="s">
        <v>1272</v>
      </c>
      <c r="C50" s="206"/>
      <c r="D50" s="207"/>
      <c r="E50" s="208"/>
      <c r="F50" s="151" t="s">
        <v>5080</v>
      </c>
      <c r="G50" s="198" t="s">
        <v>7453</v>
      </c>
      <c r="H50" s="198">
        <v>92</v>
      </c>
      <c r="I50" s="163">
        <f>3+Force</f>
        <v>5</v>
      </c>
      <c r="J50" s="163" t="s">
        <v>1880</v>
      </c>
      <c r="K50" s="163">
        <v>3</v>
      </c>
      <c r="L50" s="163">
        <v>0</v>
      </c>
      <c r="M50" s="163">
        <v>0</v>
      </c>
      <c r="N50" s="163">
        <v>0</v>
      </c>
      <c r="O50" s="5" t="s">
        <v>8208</v>
      </c>
      <c r="P50" s="270" t="s">
        <v>8149</v>
      </c>
      <c r="Q50" s="196" t="s">
        <v>5968</v>
      </c>
    </row>
    <row r="51" spans="1:20" x14ac:dyDescent="0.25">
      <c r="A51" s="7" t="s">
        <v>1312</v>
      </c>
      <c r="B51" s="285" t="s">
        <v>1272</v>
      </c>
      <c r="C51" s="212">
        <v>15</v>
      </c>
      <c r="D51" s="210"/>
      <c r="E51" s="211"/>
      <c r="F51" s="286" t="s">
        <v>2050</v>
      </c>
      <c r="G51" s="198" t="s">
        <v>3</v>
      </c>
      <c r="H51" s="198">
        <v>201</v>
      </c>
      <c r="I51" s="163">
        <f>5+Force</f>
        <v>7</v>
      </c>
      <c r="J51" s="163" t="s">
        <v>1880</v>
      </c>
      <c r="K51" s="163">
        <v>2</v>
      </c>
      <c r="L51" s="163">
        <v>0</v>
      </c>
      <c r="M51" s="163">
        <v>0</v>
      </c>
      <c r="N51" s="163">
        <v>0</v>
      </c>
      <c r="O51" s="5" t="s">
        <v>5709</v>
      </c>
      <c r="P51" s="270" t="s">
        <v>2078</v>
      </c>
      <c r="Q51" s="196" t="str">
        <f t="shared" si="0"/>
        <v>15 koku</v>
      </c>
    </row>
    <row r="52" spans="1:20" s="196" customFormat="1" x14ac:dyDescent="0.25">
      <c r="A52" s="7" t="s">
        <v>3069</v>
      </c>
      <c r="B52" s="285" t="s">
        <v>1272</v>
      </c>
      <c r="C52" s="212">
        <v>55</v>
      </c>
      <c r="D52" s="210"/>
      <c r="E52" s="211"/>
      <c r="F52" s="286" t="s">
        <v>5080</v>
      </c>
      <c r="G52" s="198" t="s">
        <v>7706</v>
      </c>
      <c r="H52" s="198">
        <v>92</v>
      </c>
      <c r="I52" s="163">
        <f>3+Force</f>
        <v>5</v>
      </c>
      <c r="J52" s="163" t="s">
        <v>1880</v>
      </c>
      <c r="K52" s="163">
        <v>3</v>
      </c>
      <c r="L52" s="163">
        <v>0</v>
      </c>
      <c r="M52" s="163">
        <v>0</v>
      </c>
      <c r="N52" s="163">
        <v>0</v>
      </c>
      <c r="O52" s="5" t="s">
        <v>5709</v>
      </c>
      <c r="P52" s="270" t="s">
        <v>2078</v>
      </c>
      <c r="Q52" s="196" t="str">
        <f t="shared" si="0"/>
        <v>55 koku</v>
      </c>
    </row>
    <row r="53" spans="1:20" s="196" customFormat="1" x14ac:dyDescent="0.25">
      <c r="A53" s="7" t="s">
        <v>8141</v>
      </c>
      <c r="B53" s="285" t="s">
        <v>1272</v>
      </c>
      <c r="C53" s="206"/>
      <c r="D53" s="207"/>
      <c r="E53" s="208"/>
      <c r="F53" s="151" t="s">
        <v>5080</v>
      </c>
      <c r="G53" s="198" t="s">
        <v>7453</v>
      </c>
      <c r="H53" s="198">
        <v>92</v>
      </c>
      <c r="I53" s="163">
        <f>4+Force</f>
        <v>6</v>
      </c>
      <c r="J53" s="163" t="s">
        <v>1880</v>
      </c>
      <c r="K53" s="163">
        <v>3</v>
      </c>
      <c r="L53" s="163">
        <v>0</v>
      </c>
      <c r="M53" s="163">
        <v>0</v>
      </c>
      <c r="N53" s="163">
        <v>0</v>
      </c>
      <c r="O53" s="5" t="s">
        <v>8199</v>
      </c>
      <c r="P53" s="270" t="s">
        <v>8174</v>
      </c>
      <c r="Q53" s="196" t="s">
        <v>5968</v>
      </c>
    </row>
    <row r="54" spans="1:20" s="196" customFormat="1" x14ac:dyDescent="0.25">
      <c r="A54" s="7" t="s">
        <v>8142</v>
      </c>
      <c r="B54" s="285" t="s">
        <v>1272</v>
      </c>
      <c r="C54" s="206"/>
      <c r="D54" s="207"/>
      <c r="E54" s="208"/>
      <c r="F54" s="151" t="s">
        <v>5080</v>
      </c>
      <c r="G54" s="198" t="s">
        <v>7453</v>
      </c>
      <c r="H54" s="198">
        <v>92</v>
      </c>
      <c r="I54" s="163">
        <f>5+Force</f>
        <v>7</v>
      </c>
      <c r="J54" s="163" t="s">
        <v>1880</v>
      </c>
      <c r="K54" s="163">
        <v>3</v>
      </c>
      <c r="L54" s="163">
        <v>0</v>
      </c>
      <c r="M54" s="163">
        <v>0</v>
      </c>
      <c r="N54" s="163">
        <v>0</v>
      </c>
      <c r="O54" s="5" t="s">
        <v>8199</v>
      </c>
      <c r="P54" s="270" t="s">
        <v>8163</v>
      </c>
      <c r="Q54" s="196" t="s">
        <v>5968</v>
      </c>
    </row>
    <row r="55" spans="1:20" s="196" customFormat="1" x14ac:dyDescent="0.25">
      <c r="A55" s="7" t="s">
        <v>1313</v>
      </c>
      <c r="B55" s="285" t="s">
        <v>1272</v>
      </c>
      <c r="C55" s="212">
        <v>8</v>
      </c>
      <c r="D55" s="210"/>
      <c r="E55" s="211"/>
      <c r="F55" s="286" t="s">
        <v>2052</v>
      </c>
      <c r="G55" s="198" t="s">
        <v>3</v>
      </c>
      <c r="H55" s="198">
        <v>201</v>
      </c>
      <c r="I55" s="163">
        <f>2+Force</f>
        <v>4</v>
      </c>
      <c r="J55" s="163" t="s">
        <v>1880</v>
      </c>
      <c r="K55" s="163">
        <v>3</v>
      </c>
      <c r="L55" s="163">
        <v>0</v>
      </c>
      <c r="M55" s="163">
        <v>0</v>
      </c>
      <c r="N55" s="163">
        <v>0</v>
      </c>
      <c r="O55" s="5" t="s">
        <v>5715</v>
      </c>
      <c r="P55" s="270" t="s">
        <v>2078</v>
      </c>
      <c r="Q55" s="196" t="str">
        <f t="shared" si="0"/>
        <v>8 koku</v>
      </c>
    </row>
    <row r="56" spans="1:20" s="196" customFormat="1" x14ac:dyDescent="0.25">
      <c r="A56" s="7" t="str">
        <f>IF(Force&lt;5,"","Massue d'Ogre")</f>
        <v/>
      </c>
      <c r="B56" s="285" t="s">
        <v>1272</v>
      </c>
      <c r="C56" s="212">
        <v>0</v>
      </c>
      <c r="D56" s="210"/>
      <c r="E56" s="211"/>
      <c r="F56" s="286"/>
      <c r="G56" s="198" t="s">
        <v>7759</v>
      </c>
      <c r="H56" s="198">
        <v>23</v>
      </c>
      <c r="I56" s="163">
        <f>2+Force</f>
        <v>4</v>
      </c>
      <c r="J56" s="163" t="s">
        <v>1880</v>
      </c>
      <c r="K56" s="163">
        <v>4</v>
      </c>
      <c r="L56" s="163">
        <v>0</v>
      </c>
      <c r="M56" s="163">
        <v>0</v>
      </c>
      <c r="N56" s="163">
        <v>0</v>
      </c>
      <c r="O56" s="5" t="s">
        <v>5709</v>
      </c>
      <c r="P56" s="270" t="s">
        <v>7781</v>
      </c>
      <c r="Q56" s="196" t="str">
        <f t="shared" si="0"/>
        <v>0 koku</v>
      </c>
    </row>
    <row r="57" spans="1:20" s="196" customFormat="1" x14ac:dyDescent="0.25">
      <c r="A57" s="7" t="s">
        <v>7711</v>
      </c>
      <c r="B57" s="285" t="s">
        <v>1272</v>
      </c>
      <c r="C57" s="212">
        <v>60</v>
      </c>
      <c r="D57" s="210"/>
      <c r="E57" s="211"/>
      <c r="F57" s="286" t="s">
        <v>5080</v>
      </c>
      <c r="G57" s="198" t="s">
        <v>7706</v>
      </c>
      <c r="H57" s="198">
        <v>69</v>
      </c>
      <c r="I57" s="163">
        <f>3+Force</f>
        <v>5</v>
      </c>
      <c r="J57" s="163" t="s">
        <v>1880</v>
      </c>
      <c r="K57" s="163">
        <v>4</v>
      </c>
      <c r="L57" s="163">
        <v>0</v>
      </c>
      <c r="M57" s="163">
        <v>0</v>
      </c>
      <c r="N57" s="163">
        <v>0</v>
      </c>
      <c r="O57" s="5" t="s">
        <v>5715</v>
      </c>
      <c r="P57" s="270" t="s">
        <v>2078</v>
      </c>
      <c r="Q57" s="196" t="str">
        <f t="shared" si="0"/>
        <v>60 koku</v>
      </c>
    </row>
    <row r="58" spans="1:20" x14ac:dyDescent="0.25">
      <c r="A58" s="7" t="s">
        <v>1314</v>
      </c>
      <c r="B58" s="285" t="s">
        <v>1272</v>
      </c>
      <c r="C58" s="212">
        <v>20</v>
      </c>
      <c r="D58" s="210"/>
      <c r="E58" s="211"/>
      <c r="F58" s="286" t="s">
        <v>2050</v>
      </c>
      <c r="G58" s="198" t="s">
        <v>3</v>
      </c>
      <c r="H58" s="198">
        <v>201</v>
      </c>
      <c r="I58" s="163">
        <f>Force</f>
        <v>2</v>
      </c>
      <c r="J58" s="163" t="s">
        <v>1880</v>
      </c>
      <c r="K58" s="163">
        <v>4</v>
      </c>
      <c r="L58" s="163">
        <v>0</v>
      </c>
      <c r="M58" s="163">
        <v>0</v>
      </c>
      <c r="N58" s="163">
        <v>0</v>
      </c>
      <c r="O58" s="5" t="s">
        <v>5709</v>
      </c>
      <c r="P58" s="270" t="s">
        <v>2078</v>
      </c>
      <c r="Q58" s="196" t="str">
        <f t="shared" si="0"/>
        <v>20 koku</v>
      </c>
    </row>
    <row r="59" spans="1:20" x14ac:dyDescent="0.25">
      <c r="A59" s="7" t="s">
        <v>1315</v>
      </c>
      <c r="B59" s="285" t="s">
        <v>1272</v>
      </c>
      <c r="C59" s="212">
        <v>20</v>
      </c>
      <c r="D59" s="210"/>
      <c r="E59" s="211"/>
      <c r="F59" s="286" t="s">
        <v>2050</v>
      </c>
      <c r="G59" s="198" t="s">
        <v>3</v>
      </c>
      <c r="H59" s="198">
        <v>201</v>
      </c>
      <c r="I59" s="163">
        <f>3+Force</f>
        <v>5</v>
      </c>
      <c r="J59" s="163" t="s">
        <v>1880</v>
      </c>
      <c r="K59" s="163">
        <v>3</v>
      </c>
      <c r="L59" s="163">
        <v>0</v>
      </c>
      <c r="M59" s="163">
        <v>0</v>
      </c>
      <c r="N59" s="163">
        <v>0</v>
      </c>
      <c r="O59" s="5" t="s">
        <v>5709</v>
      </c>
      <c r="P59" s="270" t="s">
        <v>2078</v>
      </c>
      <c r="Q59" s="196" t="str">
        <f t="shared" si="0"/>
        <v>20 koku</v>
      </c>
    </row>
    <row r="60" spans="1:20" x14ac:dyDescent="0.25">
      <c r="A60" s="7" t="s">
        <v>5199</v>
      </c>
      <c r="B60" s="15" t="s">
        <v>5221</v>
      </c>
      <c r="C60" s="206">
        <v>25</v>
      </c>
      <c r="F60" s="527" t="s">
        <v>2050</v>
      </c>
      <c r="G60" s="198" t="s">
        <v>158</v>
      </c>
      <c r="H60" s="198">
        <v>27</v>
      </c>
      <c r="I60" s="967">
        <v>7</v>
      </c>
      <c r="J60" s="967"/>
      <c r="K60" s="967"/>
      <c r="L60" s="163">
        <v>3</v>
      </c>
      <c r="M60" s="163">
        <v>0</v>
      </c>
      <c r="N60" s="163">
        <v>0</v>
      </c>
      <c r="O60" s="5" t="s">
        <v>5714</v>
      </c>
      <c r="P60" s="163" t="s">
        <v>5200</v>
      </c>
      <c r="Q60" s="196" t="str">
        <f t="shared" si="0"/>
        <v>25 koku</v>
      </c>
    </row>
    <row r="61" spans="1:20" x14ac:dyDescent="0.25">
      <c r="A61" s="7" t="s">
        <v>4643</v>
      </c>
      <c r="B61" s="15" t="s">
        <v>5221</v>
      </c>
      <c r="C61" s="206">
        <v>1</v>
      </c>
      <c r="F61" s="527" t="s">
        <v>2050</v>
      </c>
      <c r="G61" s="198" t="s">
        <v>158</v>
      </c>
      <c r="H61" s="198">
        <v>26</v>
      </c>
      <c r="I61" s="967">
        <v>0</v>
      </c>
      <c r="J61" s="967"/>
      <c r="K61" s="967"/>
      <c r="L61" s="163">
        <v>1</v>
      </c>
      <c r="M61" s="163">
        <v>0</v>
      </c>
      <c r="N61" s="163">
        <v>0</v>
      </c>
      <c r="O61" s="5" t="s">
        <v>5713</v>
      </c>
      <c r="P61" s="163" t="s">
        <v>5198</v>
      </c>
      <c r="Q61" s="196" t="str">
        <f t="shared" si="0"/>
        <v>1 koku</v>
      </c>
    </row>
    <row r="62" spans="1:20" x14ac:dyDescent="0.25">
      <c r="A62" s="7" t="s">
        <v>4646</v>
      </c>
      <c r="B62" s="15" t="s">
        <v>5221</v>
      </c>
      <c r="C62" s="206">
        <v>90</v>
      </c>
      <c r="F62" s="527" t="s">
        <v>5080</v>
      </c>
      <c r="G62" s="198" t="s">
        <v>158</v>
      </c>
      <c r="H62" s="198">
        <v>27</v>
      </c>
      <c r="I62" s="967">
        <v>3</v>
      </c>
      <c r="J62" s="967"/>
      <c r="K62" s="967"/>
      <c r="L62" s="163">
        <v>1</v>
      </c>
      <c r="M62" s="163">
        <v>0</v>
      </c>
      <c r="N62" s="163">
        <v>0</v>
      </c>
      <c r="O62" s="5" t="s">
        <v>5713</v>
      </c>
      <c r="P62" s="163" t="s">
        <v>5201</v>
      </c>
      <c r="Q62" s="196" t="str">
        <f t="shared" si="0"/>
        <v>90 koku</v>
      </c>
      <c r="R62" s="196"/>
      <c r="S62" s="196"/>
      <c r="T62" s="196"/>
    </row>
    <row r="63" spans="1:20" x14ac:dyDescent="0.25">
      <c r="A63" s="7" t="s">
        <v>4642</v>
      </c>
      <c r="B63" s="15" t="s">
        <v>5221</v>
      </c>
      <c r="C63" s="206">
        <v>5</v>
      </c>
      <c r="F63" s="527" t="s">
        <v>2050</v>
      </c>
      <c r="G63" s="198" t="s">
        <v>3</v>
      </c>
      <c r="H63" s="198">
        <v>198</v>
      </c>
      <c r="I63" s="967">
        <v>3</v>
      </c>
      <c r="J63" s="967"/>
      <c r="K63" s="967"/>
      <c r="L63" s="163">
        <v>1</v>
      </c>
      <c r="M63" s="163">
        <v>0</v>
      </c>
      <c r="N63" s="163">
        <v>0</v>
      </c>
      <c r="O63" s="5" t="s">
        <v>5713</v>
      </c>
      <c r="P63" s="163" t="s">
        <v>5198</v>
      </c>
      <c r="Q63" s="196" t="str">
        <f t="shared" si="0"/>
        <v>5 koku</v>
      </c>
      <c r="R63" s="196"/>
      <c r="S63" s="196"/>
      <c r="T63" s="196"/>
    </row>
    <row r="64" spans="1:20" s="196" customFormat="1" x14ac:dyDescent="0.25">
      <c r="A64" s="7" t="s">
        <v>8217</v>
      </c>
      <c r="B64" s="15" t="s">
        <v>5221</v>
      </c>
      <c r="C64" s="206"/>
      <c r="D64" s="207"/>
      <c r="E64" s="208"/>
      <c r="G64" s="198" t="s">
        <v>2074</v>
      </c>
      <c r="H64" s="198">
        <v>107</v>
      </c>
      <c r="I64" s="967">
        <v>3</v>
      </c>
      <c r="J64" s="967"/>
      <c r="K64" s="967"/>
      <c r="L64" s="163">
        <v>3</v>
      </c>
      <c r="M64" s="163">
        <v>0</v>
      </c>
      <c r="N64" s="163">
        <v>0</v>
      </c>
      <c r="O64" s="5" t="s">
        <v>8224</v>
      </c>
      <c r="P64" s="163" t="s">
        <v>8227</v>
      </c>
      <c r="Q64" s="196" t="s">
        <v>5968</v>
      </c>
    </row>
    <row r="65" spans="1:20" x14ac:dyDescent="0.25">
      <c r="A65" s="7" t="s">
        <v>4654</v>
      </c>
      <c r="B65" s="15" t="s">
        <v>5221</v>
      </c>
      <c r="C65" s="206">
        <v>55</v>
      </c>
      <c r="F65" s="527" t="s">
        <v>2050</v>
      </c>
      <c r="G65" s="198" t="s">
        <v>3</v>
      </c>
      <c r="H65" s="198">
        <v>198</v>
      </c>
      <c r="I65" s="967">
        <v>4</v>
      </c>
      <c r="J65" s="967"/>
      <c r="K65" s="967"/>
      <c r="L65" s="163">
        <v>4</v>
      </c>
      <c r="M65" s="163">
        <v>0</v>
      </c>
      <c r="N65" s="163">
        <v>0</v>
      </c>
      <c r="O65" s="5" t="s">
        <v>5714</v>
      </c>
      <c r="P65" s="163" t="s">
        <v>7745</v>
      </c>
      <c r="Q65" s="196" t="str">
        <f t="shared" si="0"/>
        <v>55 koku</v>
      </c>
      <c r="R65" s="196"/>
      <c r="S65" s="196"/>
      <c r="T65" s="196"/>
    </row>
    <row r="66" spans="1:20" s="196" customFormat="1" x14ac:dyDescent="0.25">
      <c r="A66" s="7" t="s">
        <v>8218</v>
      </c>
      <c r="B66" s="15" t="s">
        <v>5221</v>
      </c>
      <c r="C66" s="206"/>
      <c r="D66" s="207"/>
      <c r="E66" s="208"/>
      <c r="G66" s="198" t="s">
        <v>2074</v>
      </c>
      <c r="H66" s="198">
        <v>107</v>
      </c>
      <c r="I66" s="967">
        <v>4</v>
      </c>
      <c r="J66" s="967"/>
      <c r="K66" s="967"/>
      <c r="L66" s="163">
        <v>6</v>
      </c>
      <c r="M66" s="163">
        <v>0</v>
      </c>
      <c r="N66" s="163">
        <v>0</v>
      </c>
      <c r="O66" s="5" t="s">
        <v>8225</v>
      </c>
      <c r="P66" s="163" t="s">
        <v>8227</v>
      </c>
      <c r="Q66" s="196" t="s">
        <v>5968</v>
      </c>
    </row>
    <row r="67" spans="1:20" x14ac:dyDescent="0.25">
      <c r="A67" s="7" t="s">
        <v>8221</v>
      </c>
      <c r="B67" s="15" t="s">
        <v>5221</v>
      </c>
      <c r="C67" s="206">
        <v>25</v>
      </c>
      <c r="F67" s="527" t="s">
        <v>2050</v>
      </c>
      <c r="G67" s="198" t="s">
        <v>3</v>
      </c>
      <c r="H67" s="198">
        <v>198</v>
      </c>
      <c r="I67" s="967">
        <v>5</v>
      </c>
      <c r="J67" s="967"/>
      <c r="K67" s="967"/>
      <c r="L67" s="163">
        <v>3</v>
      </c>
      <c r="M67" s="163">
        <v>0</v>
      </c>
      <c r="N67" s="163">
        <v>0</v>
      </c>
      <c r="O67" s="5" t="s">
        <v>5715</v>
      </c>
      <c r="P67" s="163" t="s">
        <v>5196</v>
      </c>
      <c r="Q67" s="196" t="str">
        <f>CONCATENATE(IF(C67="",CONCATENATE(""),CONCATENATE(C67," koku")),IF(D67="",CONCATENATE(""),CONCATENATE(D67," bu")),IF(E67="",CONCATENATE(""),CONCATENATE(E67," zeni")))</f>
        <v>25 koku</v>
      </c>
    </row>
    <row r="68" spans="1:20" s="196" customFormat="1" x14ac:dyDescent="0.25">
      <c r="A68" s="7" t="s">
        <v>8219</v>
      </c>
      <c r="B68" s="15" t="s">
        <v>5221</v>
      </c>
      <c r="C68" s="206"/>
      <c r="D68" s="207"/>
      <c r="E68" s="208"/>
      <c r="G68" s="198" t="s">
        <v>2074</v>
      </c>
      <c r="H68" s="198">
        <v>107</v>
      </c>
      <c r="I68" s="967">
        <v>5</v>
      </c>
      <c r="J68" s="967"/>
      <c r="K68" s="967"/>
      <c r="L68" s="163">
        <v>5</v>
      </c>
      <c r="M68" s="163">
        <v>0</v>
      </c>
      <c r="N68" s="163">
        <v>0</v>
      </c>
      <c r="O68" s="5" t="s">
        <v>8226</v>
      </c>
      <c r="P68" s="163" t="s">
        <v>8227</v>
      </c>
      <c r="Q68" s="196" t="s">
        <v>5968</v>
      </c>
    </row>
    <row r="69" spans="1:20" x14ac:dyDescent="0.25">
      <c r="A69" s="7" t="s">
        <v>8223</v>
      </c>
      <c r="B69" s="15" t="s">
        <v>5221</v>
      </c>
      <c r="C69" s="206">
        <v>40</v>
      </c>
      <c r="F69" s="527" t="s">
        <v>2050</v>
      </c>
      <c r="G69" s="198" t="s">
        <v>3</v>
      </c>
      <c r="H69" s="198">
        <v>198</v>
      </c>
      <c r="I69" s="967">
        <v>10</v>
      </c>
      <c r="J69" s="967"/>
      <c r="K69" s="967"/>
      <c r="L69" s="163">
        <v>5</v>
      </c>
      <c r="M69" s="163">
        <v>0</v>
      </c>
      <c r="N69" s="163">
        <v>0</v>
      </c>
      <c r="O69" s="5" t="s">
        <v>5714</v>
      </c>
      <c r="P69" s="163" t="s">
        <v>5197</v>
      </c>
      <c r="Q69" s="196" t="str">
        <f>CONCATENATE(IF(C69="",CONCATENATE(""),CONCATENATE(C69," koku")),IF(D69="",CONCATENATE(""),CONCATENATE(D69," bu")),IF(E69="",CONCATENATE(""),CONCATENATE(E69," zeni")))</f>
        <v>40 koku</v>
      </c>
      <c r="R69" s="196"/>
      <c r="S69" s="196"/>
      <c r="T69" s="196"/>
    </row>
    <row r="70" spans="1:20" s="196" customFormat="1" x14ac:dyDescent="0.25">
      <c r="A70" s="7" t="s">
        <v>8220</v>
      </c>
      <c r="B70" s="15" t="s">
        <v>5221</v>
      </c>
      <c r="C70" s="206"/>
      <c r="D70" s="207"/>
      <c r="E70" s="208"/>
      <c r="G70" s="198" t="s">
        <v>2074</v>
      </c>
      <c r="H70" s="198">
        <v>107</v>
      </c>
      <c r="I70" s="967">
        <v>10</v>
      </c>
      <c r="J70" s="967"/>
      <c r="K70" s="967"/>
      <c r="L70" s="163">
        <v>7</v>
      </c>
      <c r="M70" s="163">
        <v>0</v>
      </c>
      <c r="N70" s="163">
        <v>0</v>
      </c>
      <c r="O70" s="5" t="s">
        <v>8225</v>
      </c>
      <c r="P70" s="163" t="s">
        <v>8227</v>
      </c>
      <c r="Q70" s="196" t="s">
        <v>5968</v>
      </c>
    </row>
    <row r="71" spans="1:20" x14ac:dyDescent="0.25">
      <c r="A71" s="7" t="s">
        <v>4645</v>
      </c>
      <c r="B71" s="15" t="s">
        <v>5221</v>
      </c>
      <c r="C71" s="206">
        <v>75</v>
      </c>
      <c r="F71" s="527" t="s">
        <v>5080</v>
      </c>
      <c r="G71" s="198" t="s">
        <v>158</v>
      </c>
      <c r="H71" s="198">
        <v>27</v>
      </c>
      <c r="I71" s="967">
        <v>4</v>
      </c>
      <c r="J71" s="967"/>
      <c r="K71" s="967"/>
      <c r="L71" s="163">
        <v>4</v>
      </c>
      <c r="M71" s="163">
        <v>0</v>
      </c>
      <c r="N71" s="163">
        <v>0</v>
      </c>
      <c r="O71" s="5" t="s">
        <v>5714</v>
      </c>
      <c r="P71" s="163" t="s">
        <v>5807</v>
      </c>
      <c r="Q71" s="196" t="str">
        <f t="shared" si="0"/>
        <v>75 koku</v>
      </c>
      <c r="R71" s="196"/>
      <c r="S71" s="196"/>
      <c r="T71" s="196"/>
    </row>
    <row r="72" spans="1:20" x14ac:dyDescent="0.25">
      <c r="A72" s="7" t="s">
        <v>4644</v>
      </c>
      <c r="B72" s="15" t="s">
        <v>5221</v>
      </c>
      <c r="C72" s="206">
        <v>10</v>
      </c>
      <c r="F72" s="527" t="s">
        <v>2050</v>
      </c>
      <c r="G72" s="198" t="s">
        <v>158</v>
      </c>
      <c r="H72" s="198">
        <v>26</v>
      </c>
      <c r="I72" s="967">
        <v>4</v>
      </c>
      <c r="J72" s="967"/>
      <c r="K72" s="967"/>
      <c r="L72" s="163">
        <v>1</v>
      </c>
      <c r="M72" s="163">
        <v>0</v>
      </c>
      <c r="N72" s="163">
        <v>0</v>
      </c>
      <c r="O72" s="5" t="s">
        <v>5713</v>
      </c>
      <c r="P72" s="163" t="s">
        <v>5198</v>
      </c>
      <c r="Q72" s="196" t="str">
        <f t="shared" si="0"/>
        <v>10 koku</v>
      </c>
      <c r="R72" s="196"/>
      <c r="S72" s="196"/>
      <c r="T72" s="196"/>
    </row>
    <row r="73" spans="1:20" x14ac:dyDescent="0.25">
      <c r="A73" s="7" t="s">
        <v>8222</v>
      </c>
      <c r="B73" s="15" t="s">
        <v>5221</v>
      </c>
      <c r="C73" s="206">
        <v>100</v>
      </c>
      <c r="F73" s="527" t="s">
        <v>5080</v>
      </c>
      <c r="G73" s="198" t="s">
        <v>158</v>
      </c>
      <c r="H73" s="198">
        <v>26</v>
      </c>
      <c r="I73" s="967">
        <v>13</v>
      </c>
      <c r="J73" s="967"/>
      <c r="K73" s="967"/>
      <c r="L73" s="163">
        <v>8</v>
      </c>
      <c r="M73" s="163">
        <v>0</v>
      </c>
      <c r="N73" s="163">
        <v>0</v>
      </c>
      <c r="O73" s="5" t="s">
        <v>5714</v>
      </c>
      <c r="P73" s="163" t="s">
        <v>5806</v>
      </c>
      <c r="Q73" s="196" t="str">
        <f t="shared" si="0"/>
        <v>100 koku</v>
      </c>
      <c r="R73" s="196"/>
      <c r="S73" s="196"/>
      <c r="T73" s="196"/>
    </row>
    <row r="74" spans="1:20" x14ac:dyDescent="0.25">
      <c r="A74" s="7" t="s">
        <v>7783</v>
      </c>
      <c r="B74" s="285" t="s">
        <v>1277</v>
      </c>
      <c r="C74" s="209" t="s">
        <v>2844</v>
      </c>
      <c r="D74" s="210"/>
      <c r="E74" s="211"/>
      <c r="F74" s="286" t="s">
        <v>2050</v>
      </c>
      <c r="G74" s="198" t="s">
        <v>4403</v>
      </c>
      <c r="H74" s="198">
        <v>175</v>
      </c>
      <c r="I74" s="163">
        <f>2+Force</f>
        <v>4</v>
      </c>
      <c r="J74" s="163" t="s">
        <v>1880</v>
      </c>
      <c r="K74" s="163">
        <v>2</v>
      </c>
      <c r="L74" s="163">
        <v>0</v>
      </c>
      <c r="M74" s="163">
        <v>0</v>
      </c>
      <c r="N74" s="163">
        <v>0</v>
      </c>
      <c r="O74" s="5" t="s">
        <v>5860</v>
      </c>
      <c r="P74" s="270" t="s">
        <v>2078</v>
      </c>
      <c r="Q74" s="196" t="str">
        <f t="shared" si="0"/>
        <v>1 koku</v>
      </c>
    </row>
    <row r="75" spans="1:20" x14ac:dyDescent="0.25">
      <c r="A75" s="7" t="s">
        <v>1377</v>
      </c>
      <c r="B75" s="285" t="s">
        <v>1277</v>
      </c>
      <c r="C75" s="209"/>
      <c r="D75" s="213">
        <v>2</v>
      </c>
      <c r="E75" s="211"/>
      <c r="F75" s="286" t="s">
        <v>2052</v>
      </c>
      <c r="G75" s="198" t="s">
        <v>3</v>
      </c>
      <c r="H75" s="198">
        <v>204</v>
      </c>
      <c r="I75" s="163">
        <f>1+Force</f>
        <v>3</v>
      </c>
      <c r="J75" s="163" t="s">
        <v>1880</v>
      </c>
      <c r="K75" s="163">
        <v>2</v>
      </c>
      <c r="L75" s="163">
        <v>0</v>
      </c>
      <c r="M75" s="163">
        <v>0</v>
      </c>
      <c r="N75" s="163">
        <v>0</v>
      </c>
      <c r="O75" s="5" t="s">
        <v>5952</v>
      </c>
      <c r="P75" s="270" t="s">
        <v>2078</v>
      </c>
      <c r="Q75" s="196" t="str">
        <f t="shared" si="0"/>
        <v>2 bu</v>
      </c>
    </row>
    <row r="76" spans="1:20" x14ac:dyDescent="0.25">
      <c r="A76" s="7" t="s">
        <v>4549</v>
      </c>
      <c r="B76" s="285" t="s">
        <v>1277</v>
      </c>
      <c r="C76" s="209"/>
      <c r="D76" s="210" t="s">
        <v>2845</v>
      </c>
      <c r="E76" s="211"/>
      <c r="F76" s="286" t="s">
        <v>2052</v>
      </c>
      <c r="G76" s="198" t="s">
        <v>4403</v>
      </c>
      <c r="H76" s="198">
        <v>175</v>
      </c>
      <c r="I76" s="163">
        <f>1+Force</f>
        <v>3</v>
      </c>
      <c r="J76" s="163" t="s">
        <v>1880</v>
      </c>
      <c r="K76" s="163">
        <v>2</v>
      </c>
      <c r="L76" s="163">
        <v>0</v>
      </c>
      <c r="M76" s="163">
        <v>0</v>
      </c>
      <c r="N76" s="163">
        <v>0</v>
      </c>
      <c r="O76" s="5" t="s">
        <v>5727</v>
      </c>
      <c r="P76" s="163" t="s">
        <v>5856</v>
      </c>
      <c r="Q76" s="196" t="str">
        <f t="shared" si="0"/>
        <v>3 bu</v>
      </c>
    </row>
    <row r="77" spans="1:20" x14ac:dyDescent="0.25">
      <c r="A77" s="7" t="s">
        <v>1378</v>
      </c>
      <c r="B77" s="285" t="s">
        <v>1277</v>
      </c>
      <c r="C77" s="209"/>
      <c r="D77" s="213">
        <v>1</v>
      </c>
      <c r="E77" s="211"/>
      <c r="F77" s="286" t="s">
        <v>2052</v>
      </c>
      <c r="G77" s="198" t="s">
        <v>3</v>
      </c>
      <c r="H77" s="198">
        <v>204</v>
      </c>
      <c r="I77" s="163">
        <f>Force</f>
        <v>2</v>
      </c>
      <c r="J77" s="163" t="s">
        <v>1880</v>
      </c>
      <c r="K77" s="163">
        <v>2</v>
      </c>
      <c r="L77" s="163">
        <v>0</v>
      </c>
      <c r="M77" s="163">
        <v>0</v>
      </c>
      <c r="N77" s="163">
        <v>0</v>
      </c>
      <c r="O77" s="5" t="s">
        <v>5953</v>
      </c>
      <c r="P77" s="270" t="s">
        <v>2078</v>
      </c>
      <c r="Q77" s="196" t="str">
        <f t="shared" si="0"/>
        <v>1 bu</v>
      </c>
    </row>
    <row r="78" spans="1:20" x14ac:dyDescent="0.25">
      <c r="A78" s="7" t="s">
        <v>108</v>
      </c>
      <c r="B78" s="285" t="s">
        <v>1277</v>
      </c>
      <c r="C78" s="212">
        <v>20</v>
      </c>
      <c r="D78" s="210"/>
      <c r="E78" s="211"/>
      <c r="F78" s="286" t="s">
        <v>2052</v>
      </c>
      <c r="G78" s="198" t="s">
        <v>3</v>
      </c>
      <c r="H78" s="198">
        <v>204</v>
      </c>
      <c r="I78" s="163">
        <f>Force</f>
        <v>2</v>
      </c>
      <c r="J78" s="163" t="s">
        <v>1880</v>
      </c>
      <c r="K78" s="163">
        <v>2</v>
      </c>
      <c r="L78" s="163">
        <v>0</v>
      </c>
      <c r="M78" s="163">
        <v>0</v>
      </c>
      <c r="N78" s="163">
        <v>0</v>
      </c>
      <c r="O78" s="5" t="s">
        <v>5715</v>
      </c>
      <c r="P78" s="270" t="s">
        <v>2078</v>
      </c>
      <c r="Q78" s="196" t="str">
        <f t="shared" si="0"/>
        <v>20 koku</v>
      </c>
    </row>
    <row r="79" spans="1:20" x14ac:dyDescent="0.25">
      <c r="A79" s="7" t="s">
        <v>1380</v>
      </c>
      <c r="B79" s="285" t="s">
        <v>1277</v>
      </c>
      <c r="C79" s="209"/>
      <c r="D79" s="213">
        <v>3</v>
      </c>
      <c r="E79" s="211"/>
      <c r="F79" s="286" t="s">
        <v>2052</v>
      </c>
      <c r="G79" s="198" t="s">
        <v>3</v>
      </c>
      <c r="H79" s="198">
        <v>204</v>
      </c>
      <c r="I79" s="163">
        <f>1+Force</f>
        <v>3</v>
      </c>
      <c r="J79" s="163" t="s">
        <v>1880</v>
      </c>
      <c r="K79" s="163">
        <v>2</v>
      </c>
      <c r="L79" s="163">
        <v>0</v>
      </c>
      <c r="M79" s="163">
        <v>0</v>
      </c>
      <c r="N79" s="163">
        <v>0</v>
      </c>
      <c r="O79" s="5" t="s">
        <v>5955</v>
      </c>
      <c r="P79" s="270" t="s">
        <v>2078</v>
      </c>
      <c r="Q79" s="196" t="str">
        <f t="shared" si="0"/>
        <v>3 bu</v>
      </c>
    </row>
    <row r="80" spans="1:20" s="196" customFormat="1" x14ac:dyDescent="0.25">
      <c r="A80" s="7" t="s">
        <v>5722</v>
      </c>
      <c r="B80" s="285" t="s">
        <v>1277</v>
      </c>
      <c r="C80" s="212">
        <v>10</v>
      </c>
      <c r="D80" s="210"/>
      <c r="E80" s="211"/>
      <c r="F80" s="286" t="s">
        <v>2052</v>
      </c>
      <c r="G80" s="198" t="s">
        <v>3</v>
      </c>
      <c r="H80" s="198">
        <v>204</v>
      </c>
      <c r="I80" s="163">
        <f>1+Force</f>
        <v>3</v>
      </c>
      <c r="J80" s="163" t="s">
        <v>1880</v>
      </c>
      <c r="K80" s="163">
        <v>2</v>
      </c>
      <c r="L80" s="163">
        <v>0</v>
      </c>
      <c r="M80" s="163">
        <v>0</v>
      </c>
      <c r="N80" s="163">
        <v>0</v>
      </c>
      <c r="O80" s="5" t="s">
        <v>5953</v>
      </c>
      <c r="P80" s="270" t="s">
        <v>2078</v>
      </c>
      <c r="Q80" s="196" t="str">
        <f t="shared" si="0"/>
        <v>10 koku</v>
      </c>
    </row>
    <row r="81" spans="1:17" x14ac:dyDescent="0.25">
      <c r="A81" s="7" t="s">
        <v>5723</v>
      </c>
      <c r="B81" s="285" t="s">
        <v>1277</v>
      </c>
      <c r="C81" s="212">
        <v>10</v>
      </c>
      <c r="D81" s="210"/>
      <c r="E81" s="211"/>
      <c r="F81" s="286" t="s">
        <v>2052</v>
      </c>
      <c r="G81" s="198" t="s">
        <v>3</v>
      </c>
      <c r="H81" s="198">
        <v>204</v>
      </c>
      <c r="I81" s="163">
        <f>2+Force</f>
        <v>4</v>
      </c>
      <c r="J81" s="163" t="s">
        <v>1880</v>
      </c>
      <c r="K81" s="163">
        <v>1</v>
      </c>
      <c r="L81" s="163">
        <v>0</v>
      </c>
      <c r="M81" s="163">
        <v>0</v>
      </c>
      <c r="N81" s="163">
        <v>0</v>
      </c>
      <c r="O81" s="5" t="s">
        <v>5953</v>
      </c>
      <c r="P81" s="270" t="s">
        <v>2078</v>
      </c>
      <c r="Q81" s="196" t="str">
        <f t="shared" si="0"/>
        <v>10 koku</v>
      </c>
    </row>
    <row r="82" spans="1:17" s="196" customFormat="1" x14ac:dyDescent="0.25">
      <c r="A82" s="7" t="s">
        <v>7775</v>
      </c>
      <c r="B82" s="285" t="s">
        <v>1277</v>
      </c>
      <c r="C82" s="212"/>
      <c r="D82" s="210" t="s">
        <v>2844</v>
      </c>
      <c r="E82" s="211"/>
      <c r="F82" s="286" t="s">
        <v>2052</v>
      </c>
      <c r="G82" s="198" t="s">
        <v>7759</v>
      </c>
      <c r="H82" s="198">
        <v>23</v>
      </c>
      <c r="I82" s="163">
        <f>1+Force</f>
        <v>3</v>
      </c>
      <c r="J82" s="163" t="s">
        <v>1880</v>
      </c>
      <c r="K82" s="163">
        <v>1</v>
      </c>
      <c r="L82" s="163">
        <v>0</v>
      </c>
      <c r="M82" s="163">
        <v>0</v>
      </c>
      <c r="N82" s="163">
        <v>0</v>
      </c>
      <c r="O82" s="5" t="s">
        <v>7776</v>
      </c>
      <c r="P82" s="270" t="s">
        <v>7777</v>
      </c>
      <c r="Q82" s="196" t="str">
        <f t="shared" si="0"/>
        <v>1 bu</v>
      </c>
    </row>
    <row r="83" spans="1:17" s="196" customFormat="1" x14ac:dyDescent="0.25">
      <c r="A83" s="7" t="s">
        <v>7778</v>
      </c>
      <c r="B83" s="285" t="s">
        <v>1277</v>
      </c>
      <c r="C83" s="212"/>
      <c r="D83" s="210" t="s">
        <v>2844</v>
      </c>
      <c r="E83" s="211"/>
      <c r="F83" s="286" t="s">
        <v>5080</v>
      </c>
      <c r="G83" s="198" t="s">
        <v>7759</v>
      </c>
      <c r="H83" s="198">
        <v>23</v>
      </c>
      <c r="I83" s="163">
        <f>Force</f>
        <v>2</v>
      </c>
      <c r="J83" s="163" t="s">
        <v>1880</v>
      </c>
      <c r="K83" s="163">
        <v>1</v>
      </c>
      <c r="L83" s="163">
        <v>0</v>
      </c>
      <c r="M83" s="163">
        <v>0</v>
      </c>
      <c r="N83" s="163">
        <v>0</v>
      </c>
      <c r="O83" s="5" t="s">
        <v>5719</v>
      </c>
      <c r="P83" s="270" t="s">
        <v>7780</v>
      </c>
      <c r="Q83" s="196" t="str">
        <f t="shared" si="0"/>
        <v>1 bu</v>
      </c>
    </row>
    <row r="84" spans="1:17" s="196" customFormat="1" x14ac:dyDescent="0.25">
      <c r="A84" s="7" t="s">
        <v>1382</v>
      </c>
      <c r="B84" s="285" t="s">
        <v>1277</v>
      </c>
      <c r="C84" s="212"/>
      <c r="D84" s="210" t="s">
        <v>5724</v>
      </c>
      <c r="E84" s="211"/>
      <c r="F84" s="286" t="s">
        <v>2052</v>
      </c>
      <c r="G84" s="198" t="s">
        <v>3</v>
      </c>
      <c r="H84" s="198">
        <v>203</v>
      </c>
      <c r="I84" s="163">
        <f>Force</f>
        <v>2</v>
      </c>
      <c r="J84" s="163" t="s">
        <v>1880</v>
      </c>
      <c r="K84" s="163">
        <v>3</v>
      </c>
      <c r="L84" s="163">
        <v>0</v>
      </c>
      <c r="M84" s="163">
        <v>0</v>
      </c>
      <c r="N84" s="163">
        <v>0</v>
      </c>
      <c r="O84" s="5" t="s">
        <v>5954</v>
      </c>
      <c r="P84" s="270" t="s">
        <v>2078</v>
      </c>
      <c r="Q84" s="196" t="str">
        <f t="shared" si="0"/>
        <v>5 bu</v>
      </c>
    </row>
    <row r="85" spans="1:17" x14ac:dyDescent="0.25">
      <c r="A85" s="7" t="s">
        <v>4571</v>
      </c>
      <c r="B85" s="15" t="s">
        <v>4648</v>
      </c>
      <c r="E85" s="208">
        <v>1</v>
      </c>
      <c r="F85" s="527" t="s">
        <v>2052</v>
      </c>
      <c r="G85" s="198" t="s">
        <v>3</v>
      </c>
      <c r="H85" s="198">
        <v>205</v>
      </c>
      <c r="Q85" s="196" t="str">
        <f t="shared" si="0"/>
        <v>1 zeni</v>
      </c>
    </row>
    <row r="86" spans="1:17" x14ac:dyDescent="0.25">
      <c r="A86" s="7" t="s">
        <v>4593</v>
      </c>
      <c r="B86" s="15" t="s">
        <v>4648</v>
      </c>
      <c r="E86" s="208">
        <v>20</v>
      </c>
      <c r="F86" s="527" t="s">
        <v>2052</v>
      </c>
      <c r="G86" s="198" t="s">
        <v>3</v>
      </c>
      <c r="H86" s="198">
        <v>205</v>
      </c>
      <c r="Q86" s="196" t="str">
        <f t="shared" si="0"/>
        <v>20 zeni</v>
      </c>
    </row>
    <row r="87" spans="1:17" x14ac:dyDescent="0.25">
      <c r="A87" s="7" t="s">
        <v>4594</v>
      </c>
      <c r="B87" s="15" t="s">
        <v>4648</v>
      </c>
      <c r="D87" s="207">
        <v>2</v>
      </c>
      <c r="F87" s="527" t="s">
        <v>2052</v>
      </c>
      <c r="G87" s="198" t="s">
        <v>3</v>
      </c>
      <c r="H87" s="198">
        <v>206</v>
      </c>
      <c r="Q87" s="196" t="str">
        <f t="shared" si="0"/>
        <v>2 bu</v>
      </c>
    </row>
    <row r="88" spans="1:17" x14ac:dyDescent="0.25">
      <c r="A88" s="7" t="s">
        <v>4595</v>
      </c>
      <c r="B88" s="15" t="s">
        <v>4648</v>
      </c>
      <c r="D88" s="207">
        <v>8</v>
      </c>
      <c r="F88" s="527" t="s">
        <v>2050</v>
      </c>
      <c r="G88" s="198" t="s">
        <v>3</v>
      </c>
      <c r="H88" s="198">
        <v>206</v>
      </c>
      <c r="Q88" s="196" t="str">
        <f t="shared" si="0"/>
        <v>8 bu</v>
      </c>
    </row>
    <row r="89" spans="1:17" x14ac:dyDescent="0.25">
      <c r="A89" s="7" t="s">
        <v>4619</v>
      </c>
      <c r="B89" s="15" t="s">
        <v>4648</v>
      </c>
      <c r="E89" s="208">
        <v>3</v>
      </c>
      <c r="F89" s="527" t="s">
        <v>2052</v>
      </c>
      <c r="G89" s="198" t="s">
        <v>3</v>
      </c>
      <c r="H89" s="198">
        <v>206</v>
      </c>
      <c r="Q89" s="196" t="str">
        <f t="shared" si="0"/>
        <v>3 zeni</v>
      </c>
    </row>
    <row r="90" spans="1:17" x14ac:dyDescent="0.25">
      <c r="A90" s="7" t="s">
        <v>4633</v>
      </c>
      <c r="B90" s="15" t="s">
        <v>4648</v>
      </c>
      <c r="E90" s="208">
        <v>15</v>
      </c>
      <c r="F90" s="527" t="s">
        <v>2052</v>
      </c>
      <c r="G90" s="198" t="s">
        <v>3</v>
      </c>
      <c r="H90" s="198">
        <v>206</v>
      </c>
      <c r="Q90" s="196" t="str">
        <f t="shared" si="0"/>
        <v>15 zeni</v>
      </c>
    </row>
    <row r="91" spans="1:17" x14ac:dyDescent="0.25">
      <c r="A91" s="7" t="s">
        <v>4566</v>
      </c>
      <c r="B91" s="15" t="s">
        <v>4648</v>
      </c>
      <c r="E91" s="208">
        <v>3</v>
      </c>
      <c r="F91" s="527" t="s">
        <v>2052</v>
      </c>
      <c r="G91" s="198" t="s">
        <v>3</v>
      </c>
      <c r="H91" s="198">
        <v>205</v>
      </c>
      <c r="Q91" s="196" t="str">
        <f t="shared" si="0"/>
        <v>3 zeni</v>
      </c>
    </row>
    <row r="92" spans="1:17" x14ac:dyDescent="0.25">
      <c r="A92" s="7" t="s">
        <v>4636</v>
      </c>
      <c r="B92" s="15" t="s">
        <v>4648</v>
      </c>
      <c r="E92" s="208">
        <v>1</v>
      </c>
      <c r="F92" s="527" t="s">
        <v>2052</v>
      </c>
      <c r="G92" s="198" t="s">
        <v>3</v>
      </c>
      <c r="H92" s="198">
        <v>206</v>
      </c>
      <c r="Q92" s="196" t="str">
        <f t="shared" si="0"/>
        <v>1 zeni</v>
      </c>
    </row>
    <row r="93" spans="1:17" x14ac:dyDescent="0.25">
      <c r="A93" s="7" t="s">
        <v>4638</v>
      </c>
      <c r="B93" s="15" t="s">
        <v>4648</v>
      </c>
      <c r="E93" s="208">
        <v>1</v>
      </c>
      <c r="F93" s="527" t="s">
        <v>2052</v>
      </c>
      <c r="G93" s="198" t="s">
        <v>3</v>
      </c>
      <c r="H93" s="198">
        <v>206</v>
      </c>
      <c r="Q93" s="196" t="str">
        <f t="shared" si="0"/>
        <v>1 zeni</v>
      </c>
    </row>
    <row r="94" spans="1:17" x14ac:dyDescent="0.25">
      <c r="A94" s="7" t="s">
        <v>1371</v>
      </c>
      <c r="B94" s="285" t="s">
        <v>1273</v>
      </c>
      <c r="C94" s="209"/>
      <c r="D94" s="213">
        <v>1</v>
      </c>
      <c r="E94" s="211"/>
      <c r="F94" s="286" t="s">
        <v>2052</v>
      </c>
      <c r="G94" s="198" t="s">
        <v>3</v>
      </c>
      <c r="H94" s="198">
        <v>201</v>
      </c>
      <c r="I94" s="163">
        <f>1+Force</f>
        <v>3</v>
      </c>
      <c r="J94" s="163" t="s">
        <v>1880</v>
      </c>
      <c r="K94" s="163">
        <v>1</v>
      </c>
      <c r="L94" s="163">
        <v>0</v>
      </c>
      <c r="O94" s="5" t="s">
        <v>5719</v>
      </c>
      <c r="P94" s="270" t="s">
        <v>2078</v>
      </c>
      <c r="Q94" s="196" t="str">
        <f t="shared" si="0"/>
        <v>1 bu</v>
      </c>
    </row>
    <row r="95" spans="1:17" x14ac:dyDescent="0.25">
      <c r="A95" s="7" t="s">
        <v>4577</v>
      </c>
      <c r="B95" s="285" t="s">
        <v>1273</v>
      </c>
      <c r="C95" s="209"/>
      <c r="D95" s="213">
        <v>10</v>
      </c>
      <c r="E95" s="211"/>
      <c r="F95" s="286" t="s">
        <v>5080</v>
      </c>
      <c r="G95" s="198" t="s">
        <v>6061</v>
      </c>
      <c r="H95" s="198">
        <v>138</v>
      </c>
      <c r="I95" s="163">
        <f>2+Force</f>
        <v>4</v>
      </c>
      <c r="J95" s="163" t="s">
        <v>1880</v>
      </c>
      <c r="K95" s="163">
        <v>2</v>
      </c>
      <c r="L95" s="163">
        <v>0</v>
      </c>
      <c r="O95" s="5" t="s">
        <v>5719</v>
      </c>
      <c r="P95" s="163" t="s">
        <v>5970</v>
      </c>
      <c r="Q95" s="196" t="str">
        <f t="shared" si="0"/>
        <v>10 bu</v>
      </c>
    </row>
    <row r="96" spans="1:17" x14ac:dyDescent="0.25">
      <c r="A96" s="7" t="s">
        <v>4466</v>
      </c>
      <c r="B96" s="285" t="s">
        <v>1273</v>
      </c>
      <c r="C96" s="209"/>
      <c r="D96" s="213">
        <v>5</v>
      </c>
      <c r="E96" s="211"/>
      <c r="F96" s="286" t="s">
        <v>2052</v>
      </c>
      <c r="G96" s="198" t="s">
        <v>3</v>
      </c>
      <c r="H96" s="198">
        <v>201</v>
      </c>
      <c r="I96" s="163">
        <f>1+Force</f>
        <v>3</v>
      </c>
      <c r="J96" s="163" t="s">
        <v>1880</v>
      </c>
      <c r="K96" s="163">
        <v>1</v>
      </c>
      <c r="L96" s="163">
        <v>0</v>
      </c>
      <c r="O96" s="5" t="s">
        <v>5719</v>
      </c>
      <c r="P96" s="270" t="s">
        <v>2078</v>
      </c>
      <c r="Q96" s="196" t="str">
        <f t="shared" si="0"/>
        <v>5 bu</v>
      </c>
    </row>
    <row r="97" spans="1:17" s="196" customFormat="1" x14ac:dyDescent="0.25">
      <c r="A97" s="7" t="s">
        <v>8124</v>
      </c>
      <c r="B97" s="285" t="s">
        <v>1273</v>
      </c>
      <c r="C97" s="206"/>
      <c r="D97" s="207"/>
      <c r="E97" s="208"/>
      <c r="F97" s="151" t="s">
        <v>5080</v>
      </c>
      <c r="G97" s="198" t="s">
        <v>7453</v>
      </c>
      <c r="H97" s="198">
        <v>92</v>
      </c>
      <c r="I97" s="163">
        <f>2+Force</f>
        <v>4</v>
      </c>
      <c r="J97" s="163" t="s">
        <v>1880</v>
      </c>
      <c r="K97" s="163">
        <v>1</v>
      </c>
      <c r="L97" s="163">
        <v>0</v>
      </c>
      <c r="O97" s="5" t="s">
        <v>8206</v>
      </c>
      <c r="P97" s="270" t="s">
        <v>8154</v>
      </c>
      <c r="Q97" s="196" t="s">
        <v>5968</v>
      </c>
    </row>
    <row r="98" spans="1:17" s="196" customFormat="1" x14ac:dyDescent="0.25">
      <c r="A98" s="7" t="s">
        <v>8125</v>
      </c>
      <c r="B98" s="285" t="s">
        <v>1273</v>
      </c>
      <c r="C98" s="206"/>
      <c r="D98" s="207"/>
      <c r="E98" s="208"/>
      <c r="F98" s="151" t="s">
        <v>5080</v>
      </c>
      <c r="G98" s="198" t="s">
        <v>7453</v>
      </c>
      <c r="H98" s="198">
        <v>92</v>
      </c>
      <c r="I98" s="163">
        <f>2+Force</f>
        <v>4</v>
      </c>
      <c r="J98" s="163" t="s">
        <v>1880</v>
      </c>
      <c r="K98" s="163">
        <v>1</v>
      </c>
      <c r="L98" s="163">
        <v>0</v>
      </c>
      <c r="O98" s="5" t="s">
        <v>8178</v>
      </c>
      <c r="P98" s="270" t="s">
        <v>8155</v>
      </c>
      <c r="Q98" s="196" t="s">
        <v>5968</v>
      </c>
    </row>
    <row r="99" spans="1:17" x14ac:dyDescent="0.25">
      <c r="A99" s="7" t="s">
        <v>1372</v>
      </c>
      <c r="B99" s="285" t="s">
        <v>1273</v>
      </c>
      <c r="C99" s="209"/>
      <c r="D99" s="213">
        <v>5</v>
      </c>
      <c r="E99" s="211"/>
      <c r="F99" s="286" t="s">
        <v>2052</v>
      </c>
      <c r="G99" s="198" t="s">
        <v>3</v>
      </c>
      <c r="H99" s="198">
        <v>201</v>
      </c>
      <c r="I99" s="163">
        <f>Force</f>
        <v>2</v>
      </c>
      <c r="J99" s="163" t="s">
        <v>1880</v>
      </c>
      <c r="K99" s="163">
        <v>2</v>
      </c>
      <c r="L99" s="163">
        <v>0</v>
      </c>
      <c r="O99" s="5" t="s">
        <v>5726</v>
      </c>
      <c r="P99" s="270" t="s">
        <v>2078</v>
      </c>
      <c r="Q99" s="196" t="str">
        <f t="shared" si="0"/>
        <v>5 bu</v>
      </c>
    </row>
    <row r="100" spans="1:17" s="196" customFormat="1" x14ac:dyDescent="0.25">
      <c r="A100" s="7" t="s">
        <v>8127</v>
      </c>
      <c r="B100" s="285" t="s">
        <v>1273</v>
      </c>
      <c r="C100" s="206"/>
      <c r="D100" s="207"/>
      <c r="E100" s="208"/>
      <c r="F100" s="151" t="s">
        <v>5080</v>
      </c>
      <c r="G100" s="198" t="s">
        <v>3</v>
      </c>
      <c r="H100" s="198">
        <v>146</v>
      </c>
      <c r="I100" s="163">
        <f>2+Force</f>
        <v>4</v>
      </c>
      <c r="J100" s="163" t="s">
        <v>1880</v>
      </c>
      <c r="K100" s="163">
        <v>2</v>
      </c>
      <c r="L100" s="163">
        <v>0</v>
      </c>
      <c r="O100" s="5" t="s">
        <v>8207</v>
      </c>
      <c r="P100" s="270" t="s">
        <v>8158</v>
      </c>
      <c r="Q100" s="196" t="s">
        <v>5968</v>
      </c>
    </row>
    <row r="101" spans="1:17" x14ac:dyDescent="0.25">
      <c r="A101" s="7" t="s">
        <v>1373</v>
      </c>
      <c r="B101" s="285" t="s">
        <v>1273</v>
      </c>
      <c r="C101" s="209"/>
      <c r="D101" s="213">
        <v>5</v>
      </c>
      <c r="E101" s="211"/>
      <c r="F101" s="286" t="s">
        <v>2052</v>
      </c>
      <c r="G101" s="198" t="s">
        <v>3</v>
      </c>
      <c r="H101" s="198">
        <v>201</v>
      </c>
      <c r="I101" s="163">
        <f>1+Force</f>
        <v>3</v>
      </c>
      <c r="J101" s="163" t="s">
        <v>1880</v>
      </c>
      <c r="K101" s="163">
        <v>1</v>
      </c>
      <c r="L101" s="163">
        <v>0</v>
      </c>
      <c r="O101" s="5" t="s">
        <v>5719</v>
      </c>
      <c r="P101" s="270" t="s">
        <v>2078</v>
      </c>
      <c r="Q101" s="196" t="str">
        <f t="shared" si="0"/>
        <v>5 bu</v>
      </c>
    </row>
    <row r="102" spans="1:17" x14ac:dyDescent="0.25">
      <c r="A102" s="7" t="s">
        <v>3215</v>
      </c>
      <c r="B102" s="285" t="s">
        <v>1273</v>
      </c>
      <c r="C102" s="209"/>
      <c r="D102" s="213">
        <v>1</v>
      </c>
      <c r="E102" s="211"/>
      <c r="F102" s="286" t="s">
        <v>2052</v>
      </c>
      <c r="G102" s="198" t="s">
        <v>3</v>
      </c>
      <c r="H102" s="198">
        <v>201</v>
      </c>
      <c r="I102" s="163">
        <f>1+Force</f>
        <v>3</v>
      </c>
      <c r="J102" s="163" t="s">
        <v>1880</v>
      </c>
      <c r="K102" s="163">
        <v>1</v>
      </c>
      <c r="L102" s="163">
        <v>0</v>
      </c>
      <c r="O102" s="5" t="s">
        <v>5719</v>
      </c>
      <c r="P102" s="270" t="s">
        <v>2078</v>
      </c>
      <c r="Q102" s="196" t="str">
        <f t="shared" si="0"/>
        <v>1 bu</v>
      </c>
    </row>
    <row r="103" spans="1:17" s="196" customFormat="1" x14ac:dyDescent="0.25">
      <c r="A103" s="7" t="str">
        <f>IF(Contexte_jeu&lt;&gt;"L'Empire Stellaire d'Emeraude","","Arme de Siège Dévastator")</f>
        <v/>
      </c>
      <c r="B103" s="15" t="s">
        <v>4582</v>
      </c>
      <c r="C103" s="206"/>
      <c r="D103" s="207"/>
      <c r="E103" s="208"/>
      <c r="F103" s="151" t="s">
        <v>5080</v>
      </c>
      <c r="G103" s="198" t="s">
        <v>7453</v>
      </c>
      <c r="H103" s="198">
        <v>92</v>
      </c>
      <c r="I103" s="163">
        <v>5</v>
      </c>
      <c r="J103" s="163" t="s">
        <v>1880</v>
      </c>
      <c r="K103" s="163">
        <v>3</v>
      </c>
      <c r="L103" s="163">
        <v>0</v>
      </c>
      <c r="M103" s="163">
        <v>0</v>
      </c>
      <c r="N103" s="163">
        <v>200</v>
      </c>
      <c r="O103" s="5" t="s">
        <v>8192</v>
      </c>
      <c r="P103" s="270" t="s">
        <v>8193</v>
      </c>
      <c r="Q103" s="196" t="s">
        <v>5968</v>
      </c>
    </row>
    <row r="104" spans="1:17" x14ac:dyDescent="0.25">
      <c r="A104" s="7" t="s">
        <v>7707</v>
      </c>
      <c r="B104" s="15" t="s">
        <v>4582</v>
      </c>
      <c r="F104" s="527" t="s">
        <v>5080</v>
      </c>
      <c r="G104" s="198" t="s">
        <v>6061</v>
      </c>
      <c r="H104" s="198">
        <v>31</v>
      </c>
      <c r="I104" s="163">
        <v>8</v>
      </c>
      <c r="J104" s="163" t="s">
        <v>1880</v>
      </c>
      <c r="K104" s="163">
        <v>8</v>
      </c>
      <c r="L104" s="163">
        <v>0</v>
      </c>
      <c r="M104" s="163">
        <v>0</v>
      </c>
      <c r="N104" s="163">
        <v>150</v>
      </c>
      <c r="O104" s="5" t="s">
        <v>1325</v>
      </c>
      <c r="P104" s="163" t="s">
        <v>5833</v>
      </c>
      <c r="Q104" s="196" t="s">
        <v>5968</v>
      </c>
    </row>
    <row r="105" spans="1:17" x14ac:dyDescent="0.25">
      <c r="A105" s="7" t="s">
        <v>7708</v>
      </c>
      <c r="B105" s="15" t="s">
        <v>4582</v>
      </c>
      <c r="F105" s="527" t="s">
        <v>5080</v>
      </c>
      <c r="G105" s="198" t="s">
        <v>6061</v>
      </c>
      <c r="H105" s="198">
        <v>32</v>
      </c>
      <c r="I105" s="163">
        <v>4</v>
      </c>
      <c r="J105" s="163" t="s">
        <v>1880</v>
      </c>
      <c r="K105" s="163">
        <v>4</v>
      </c>
      <c r="L105" s="163">
        <v>0</v>
      </c>
      <c r="M105" s="163">
        <v>0</v>
      </c>
      <c r="N105" s="163">
        <v>1</v>
      </c>
      <c r="O105" s="5" t="s">
        <v>1325</v>
      </c>
      <c r="P105" s="163" t="s">
        <v>5835</v>
      </c>
      <c r="Q105" s="196" t="s">
        <v>5968</v>
      </c>
    </row>
    <row r="106" spans="1:17" x14ac:dyDescent="0.25">
      <c r="A106" s="7" t="s">
        <v>3664</v>
      </c>
      <c r="B106" s="15" t="s">
        <v>4656</v>
      </c>
      <c r="F106" s="527" t="s">
        <v>5080</v>
      </c>
      <c r="G106" s="198" t="s">
        <v>150</v>
      </c>
      <c r="H106" s="198">
        <v>97</v>
      </c>
      <c r="I106" s="163">
        <v>10</v>
      </c>
      <c r="J106" s="163" t="s">
        <v>1880</v>
      </c>
      <c r="K106" s="163">
        <v>10</v>
      </c>
      <c r="L106" s="163">
        <v>0</v>
      </c>
      <c r="M106" s="163">
        <v>0</v>
      </c>
      <c r="N106" s="163">
        <v>360</v>
      </c>
      <c r="O106" s="5" t="s">
        <v>5816</v>
      </c>
      <c r="P106" s="163" t="s">
        <v>5831</v>
      </c>
      <c r="Q106" s="196" t="s">
        <v>5968</v>
      </c>
    </row>
    <row r="107" spans="1:17" x14ac:dyDescent="0.25">
      <c r="A107" s="7" t="s">
        <v>7709</v>
      </c>
      <c r="B107" s="15" t="s">
        <v>4582</v>
      </c>
      <c r="F107" s="527" t="s">
        <v>5080</v>
      </c>
      <c r="G107" s="198" t="s">
        <v>6061</v>
      </c>
      <c r="H107" s="198">
        <v>31</v>
      </c>
      <c r="I107" s="163">
        <v>10</v>
      </c>
      <c r="J107" s="163" t="s">
        <v>1880</v>
      </c>
      <c r="K107" s="163">
        <v>8</v>
      </c>
      <c r="L107" s="163">
        <v>0</v>
      </c>
      <c r="M107" s="163">
        <v>0</v>
      </c>
      <c r="N107" s="163">
        <v>240</v>
      </c>
      <c r="O107" s="5" t="s">
        <v>1325</v>
      </c>
      <c r="P107" s="163" t="s">
        <v>5834</v>
      </c>
      <c r="Q107" s="196" t="s">
        <v>5968</v>
      </c>
    </row>
    <row r="108" spans="1:17" x14ac:dyDescent="0.25">
      <c r="A108" s="7" t="s">
        <v>4580</v>
      </c>
      <c r="B108" s="15" t="s">
        <v>4582</v>
      </c>
      <c r="F108" s="527" t="s">
        <v>5080</v>
      </c>
      <c r="G108" s="198" t="s">
        <v>162</v>
      </c>
      <c r="H108" s="198">
        <v>81</v>
      </c>
      <c r="I108" s="163">
        <v>10</v>
      </c>
      <c r="J108" s="163" t="s">
        <v>1880</v>
      </c>
      <c r="K108" s="163">
        <v>10</v>
      </c>
      <c r="L108" s="163">
        <v>0</v>
      </c>
      <c r="M108" s="163">
        <v>0</v>
      </c>
      <c r="N108" s="163">
        <v>360</v>
      </c>
      <c r="O108" s="5" t="s">
        <v>5816</v>
      </c>
      <c r="P108" s="163" t="s">
        <v>5832</v>
      </c>
      <c r="Q108" s="196" t="s">
        <v>5968</v>
      </c>
    </row>
    <row r="109" spans="1:17" x14ac:dyDescent="0.25">
      <c r="A109" s="7" t="s">
        <v>4581</v>
      </c>
      <c r="B109" s="15" t="s">
        <v>4582</v>
      </c>
      <c r="F109" s="527" t="s">
        <v>5080</v>
      </c>
      <c r="G109" s="198" t="s">
        <v>6061</v>
      </c>
      <c r="H109" s="198">
        <v>32</v>
      </c>
      <c r="I109" s="163">
        <v>0</v>
      </c>
      <c r="J109" s="163" t="s">
        <v>1880</v>
      </c>
      <c r="K109" s="163">
        <v>0</v>
      </c>
      <c r="L109" s="163">
        <v>0</v>
      </c>
      <c r="M109" s="163">
        <v>0</v>
      </c>
      <c r="N109" s="163">
        <v>7.5</v>
      </c>
      <c r="O109" s="5" t="s">
        <v>1325</v>
      </c>
      <c r="P109" s="163" t="s">
        <v>5836</v>
      </c>
      <c r="Q109" s="196" t="s">
        <v>5968</v>
      </c>
    </row>
    <row r="110" spans="1:17" s="196" customFormat="1" x14ac:dyDescent="0.25">
      <c r="A110" s="7" t="str">
        <f>IF(Contexte_jeu&lt;&gt;"L'Empire Stellaire d'Emeraude","","Dynamite")</f>
        <v/>
      </c>
      <c r="B110" s="15" t="s">
        <v>8008</v>
      </c>
      <c r="C110" s="206"/>
      <c r="D110" s="207">
        <v>4</v>
      </c>
      <c r="E110" s="208"/>
      <c r="F110" s="527" t="s">
        <v>2050</v>
      </c>
      <c r="G110" s="198" t="s">
        <v>7453</v>
      </c>
      <c r="H110" s="198">
        <v>41</v>
      </c>
      <c r="I110" s="163">
        <v>2</v>
      </c>
      <c r="J110" s="163" t="s">
        <v>1880</v>
      </c>
      <c r="K110" s="163">
        <v>2</v>
      </c>
      <c r="L110" s="163">
        <v>0</v>
      </c>
      <c r="M110" s="163">
        <v>0</v>
      </c>
      <c r="N110" s="163">
        <v>3</v>
      </c>
      <c r="O110" s="9" t="s">
        <v>2078</v>
      </c>
      <c r="P110" s="163"/>
      <c r="Q110" s="196" t="str">
        <f t="shared" ref="Q110:Q210" si="1">CONCATENATE(IF(C110="",CONCATENATE(""),CONCATENATE(C110," koku")),IF(D110="",CONCATENATE(""),CONCATENATE(D110," bu")),IF(E110="",CONCATENATE(""),CONCATENATE(E110," zeni")))</f>
        <v>4 bu</v>
      </c>
    </row>
    <row r="111" spans="1:17" s="196" customFormat="1" x14ac:dyDescent="0.25">
      <c r="A111" s="7" t="str">
        <f>IF(Contexte_jeu&lt;&gt;"L'Empire Stellaire d'Emeraude","","Jus Bakemono")</f>
        <v/>
      </c>
      <c r="B111" s="15" t="s">
        <v>8008</v>
      </c>
      <c r="C111" s="206"/>
      <c r="D111" s="207">
        <v>1</v>
      </c>
      <c r="E111" s="208"/>
      <c r="F111" s="527" t="s">
        <v>2052</v>
      </c>
      <c r="G111" s="198" t="s">
        <v>7453</v>
      </c>
      <c r="H111" s="198">
        <v>41</v>
      </c>
      <c r="I111" s="163">
        <v>3</v>
      </c>
      <c r="J111" s="163" t="s">
        <v>1880</v>
      </c>
      <c r="K111" s="163">
        <v>1</v>
      </c>
      <c r="L111" s="163">
        <v>0</v>
      </c>
      <c r="M111" s="163">
        <v>0</v>
      </c>
      <c r="N111" s="163">
        <v>2</v>
      </c>
      <c r="O111" s="9" t="s">
        <v>2078</v>
      </c>
      <c r="P111" s="163"/>
      <c r="Q111" s="196" t="str">
        <f t="shared" si="1"/>
        <v>1 bu</v>
      </c>
    </row>
    <row r="112" spans="1:17" s="196" customFormat="1" x14ac:dyDescent="0.25">
      <c r="A112" s="7" t="str">
        <f>IF(Contexte_jeu&lt;&gt;"L'Empire Stellaire d'Emeraude","","Grenade")</f>
        <v/>
      </c>
      <c r="B112" s="15" t="s">
        <v>8008</v>
      </c>
      <c r="C112" s="206"/>
      <c r="D112" s="207">
        <v>8</v>
      </c>
      <c r="E112" s="208"/>
      <c r="F112" s="527" t="s">
        <v>5080</v>
      </c>
      <c r="G112" s="198" t="s">
        <v>7453</v>
      </c>
      <c r="H112" s="198">
        <v>41</v>
      </c>
      <c r="I112" s="163">
        <v>4</v>
      </c>
      <c r="J112" s="163" t="s">
        <v>1880</v>
      </c>
      <c r="K112" s="163">
        <v>2</v>
      </c>
      <c r="L112" s="163">
        <v>0</v>
      </c>
      <c r="M112" s="163">
        <v>0</v>
      </c>
      <c r="N112" s="163">
        <v>20</v>
      </c>
      <c r="O112" s="9" t="s">
        <v>2078</v>
      </c>
      <c r="P112" s="163"/>
      <c r="Q112" s="196" t="str">
        <f t="shared" si="1"/>
        <v>8 bu</v>
      </c>
    </row>
    <row r="113" spans="1:17" s="196" customFormat="1" x14ac:dyDescent="0.25">
      <c r="A113" s="7" t="str">
        <f>IF(Contexte_jeu&lt;&gt;"L'Empire Stellaire d'Emeraude","","Napalm")</f>
        <v/>
      </c>
      <c r="B113" s="15" t="s">
        <v>8008</v>
      </c>
      <c r="C113" s="206">
        <v>2</v>
      </c>
      <c r="D113" s="207"/>
      <c r="E113" s="208"/>
      <c r="F113" s="527" t="s">
        <v>5080</v>
      </c>
      <c r="G113" s="198" t="s">
        <v>7453</v>
      </c>
      <c r="H113" s="198">
        <v>41</v>
      </c>
      <c r="I113" s="163">
        <v>5</v>
      </c>
      <c r="J113" s="163" t="s">
        <v>1880</v>
      </c>
      <c r="K113" s="163">
        <v>2</v>
      </c>
      <c r="L113" s="163">
        <v>0</v>
      </c>
      <c r="M113" s="163">
        <v>0</v>
      </c>
      <c r="N113" s="163">
        <v>20</v>
      </c>
      <c r="O113" s="9" t="s">
        <v>2078</v>
      </c>
      <c r="P113" s="163"/>
      <c r="Q113" s="196" t="str">
        <f t="shared" si="1"/>
        <v>2 koku</v>
      </c>
    </row>
    <row r="114" spans="1:17" s="196" customFormat="1" x14ac:dyDescent="0.25">
      <c r="A114" s="7" t="str">
        <f>IF(Contexte_jeu&lt;&gt;"L'Empire Stellaire d'Emeraude","","Plastique")</f>
        <v/>
      </c>
      <c r="B114" s="15" t="s">
        <v>8008</v>
      </c>
      <c r="C114" s="206">
        <v>10</v>
      </c>
      <c r="D114" s="207"/>
      <c r="E114" s="208"/>
      <c r="F114" s="527" t="s">
        <v>5080</v>
      </c>
      <c r="G114" s="198" t="s">
        <v>7453</v>
      </c>
      <c r="H114" s="198">
        <v>41</v>
      </c>
      <c r="I114" s="163">
        <v>3</v>
      </c>
      <c r="J114" s="163" t="s">
        <v>8009</v>
      </c>
      <c r="K114" s="163">
        <v>3</v>
      </c>
      <c r="L114" s="163">
        <v>0</v>
      </c>
      <c r="M114" s="163">
        <v>0</v>
      </c>
      <c r="N114" s="163">
        <v>0</v>
      </c>
      <c r="O114" s="9" t="s">
        <v>2078</v>
      </c>
      <c r="P114" s="163"/>
      <c r="Q114" s="196" t="str">
        <f t="shared" si="1"/>
        <v>10 koku</v>
      </c>
    </row>
    <row r="115" spans="1:17" s="196" customFormat="1" x14ac:dyDescent="0.25">
      <c r="A115" s="7" t="str">
        <f>IF(Contexte_jeu&lt;&gt;"L'Empire Stellaire d'Emeraude","","Gaz lacrymogène/Fumigène")</f>
        <v/>
      </c>
      <c r="B115" s="15" t="s">
        <v>8008</v>
      </c>
      <c r="C115" s="206"/>
      <c r="D115" s="207">
        <v>5</v>
      </c>
      <c r="E115" s="208"/>
      <c r="F115" s="527" t="s">
        <v>5080</v>
      </c>
      <c r="G115" s="198" t="s">
        <v>7453</v>
      </c>
      <c r="H115" s="198">
        <v>41</v>
      </c>
      <c r="I115" s="163">
        <v>0</v>
      </c>
      <c r="J115" s="163" t="s">
        <v>1880</v>
      </c>
      <c r="K115" s="163">
        <v>0</v>
      </c>
      <c r="L115" s="163">
        <v>0</v>
      </c>
      <c r="M115" s="163">
        <v>0</v>
      </c>
      <c r="N115" s="163">
        <v>20</v>
      </c>
      <c r="O115" s="9" t="s">
        <v>2078</v>
      </c>
      <c r="P115" s="163"/>
      <c r="Q115" s="196" t="str">
        <f t="shared" si="1"/>
        <v>5 bu</v>
      </c>
    </row>
    <row r="116" spans="1:17" x14ac:dyDescent="0.25">
      <c r="A116" s="202" t="s">
        <v>4552</v>
      </c>
      <c r="B116" s="15" t="s">
        <v>1949</v>
      </c>
      <c r="C116" s="206">
        <v>1</v>
      </c>
      <c r="F116" s="527" t="s">
        <v>5080</v>
      </c>
      <c r="G116" s="198" t="s">
        <v>162</v>
      </c>
      <c r="H116" s="198">
        <v>80</v>
      </c>
      <c r="I116" s="163">
        <v>3</v>
      </c>
      <c r="J116" s="163" t="s">
        <v>1880</v>
      </c>
      <c r="K116" s="163">
        <v>3</v>
      </c>
      <c r="L116" s="163">
        <v>0</v>
      </c>
      <c r="M116" s="163">
        <v>0</v>
      </c>
      <c r="N116" s="163">
        <v>30</v>
      </c>
      <c r="O116" s="9" t="s">
        <v>2078</v>
      </c>
      <c r="P116" s="163" t="s">
        <v>5808</v>
      </c>
      <c r="Q116" s="196" t="str">
        <f t="shared" si="1"/>
        <v>1 koku</v>
      </c>
    </row>
    <row r="117" spans="1:17" x14ac:dyDescent="0.25">
      <c r="A117" s="7" t="s">
        <v>2033</v>
      </c>
      <c r="B117" s="15" t="s">
        <v>1949</v>
      </c>
      <c r="D117" s="207">
        <v>5</v>
      </c>
      <c r="F117" s="527" t="s">
        <v>2052</v>
      </c>
      <c r="G117" s="198" t="s">
        <v>3</v>
      </c>
      <c r="H117" s="198">
        <v>199</v>
      </c>
      <c r="I117" s="163">
        <v>2</v>
      </c>
      <c r="J117" s="163" t="s">
        <v>1880</v>
      </c>
      <c r="K117" s="163">
        <v>3</v>
      </c>
      <c r="L117" s="163">
        <v>0</v>
      </c>
      <c r="M117" s="163">
        <v>0</v>
      </c>
      <c r="O117" s="9" t="s">
        <v>2078</v>
      </c>
      <c r="P117" s="163" t="s">
        <v>5971</v>
      </c>
      <c r="Q117" s="196" t="str">
        <f t="shared" si="1"/>
        <v>5 bu</v>
      </c>
    </row>
    <row r="118" spans="1:17" x14ac:dyDescent="0.25">
      <c r="A118" s="7" t="s">
        <v>2034</v>
      </c>
      <c r="B118" s="15" t="s">
        <v>1949</v>
      </c>
      <c r="D118" s="207">
        <v>1</v>
      </c>
      <c r="F118" s="527" t="s">
        <v>2052</v>
      </c>
      <c r="G118" s="198" t="s">
        <v>3</v>
      </c>
      <c r="H118" s="198">
        <v>199</v>
      </c>
      <c r="I118" s="163">
        <v>2</v>
      </c>
      <c r="J118" s="163" t="s">
        <v>1880</v>
      </c>
      <c r="K118" s="163">
        <v>2</v>
      </c>
      <c r="L118" s="163">
        <v>0</v>
      </c>
      <c r="M118" s="163">
        <v>0</v>
      </c>
      <c r="O118" s="9" t="s">
        <v>2078</v>
      </c>
      <c r="P118" s="270" t="s">
        <v>2078</v>
      </c>
      <c r="Q118" s="196" t="str">
        <f t="shared" si="1"/>
        <v>1 bu</v>
      </c>
    </row>
    <row r="119" spans="1:17" x14ac:dyDescent="0.25">
      <c r="A119" s="7" t="s">
        <v>2035</v>
      </c>
      <c r="B119" s="15" t="s">
        <v>1949</v>
      </c>
      <c r="D119" s="207">
        <v>2</v>
      </c>
      <c r="F119" s="527" t="s">
        <v>2052</v>
      </c>
      <c r="G119" s="198" t="s">
        <v>3</v>
      </c>
      <c r="H119" s="198">
        <v>199</v>
      </c>
      <c r="I119" s="163">
        <v>1</v>
      </c>
      <c r="J119" s="163" t="s">
        <v>1880</v>
      </c>
      <c r="K119" s="163">
        <v>1</v>
      </c>
      <c r="L119" s="163">
        <v>0</v>
      </c>
      <c r="M119" s="163">
        <v>0</v>
      </c>
      <c r="O119" s="9" t="s">
        <v>2078</v>
      </c>
      <c r="P119" s="163" t="s">
        <v>5972</v>
      </c>
      <c r="Q119" s="196" t="str">
        <f t="shared" si="1"/>
        <v>2 bu</v>
      </c>
    </row>
    <row r="120" spans="1:17" x14ac:dyDescent="0.25">
      <c r="A120" s="7" t="s">
        <v>2039</v>
      </c>
      <c r="B120" s="15" t="s">
        <v>1949</v>
      </c>
      <c r="D120" s="207">
        <v>5</v>
      </c>
      <c r="F120" s="527" t="s">
        <v>2052</v>
      </c>
      <c r="G120" s="198" t="s">
        <v>3</v>
      </c>
      <c r="H120" s="198">
        <v>199</v>
      </c>
      <c r="I120" s="163">
        <v>0</v>
      </c>
      <c r="J120" s="163" t="s">
        <v>1880</v>
      </c>
      <c r="K120" s="163">
        <v>1</v>
      </c>
      <c r="L120" s="163">
        <v>0</v>
      </c>
      <c r="M120" s="163">
        <v>0</v>
      </c>
      <c r="O120" s="9" t="s">
        <v>2078</v>
      </c>
      <c r="P120" s="163" t="s">
        <v>5973</v>
      </c>
      <c r="Q120" s="196" t="str">
        <f t="shared" si="1"/>
        <v>5 bu</v>
      </c>
    </row>
    <row r="121" spans="1:17" x14ac:dyDescent="0.25">
      <c r="A121" s="7" t="s">
        <v>2036</v>
      </c>
      <c r="B121" s="15" t="s">
        <v>1949</v>
      </c>
      <c r="D121" s="207">
        <v>3</v>
      </c>
      <c r="F121" s="527" t="s">
        <v>2052</v>
      </c>
      <c r="G121" s="198" t="s">
        <v>3</v>
      </c>
      <c r="H121" s="198">
        <v>199</v>
      </c>
      <c r="I121" s="163">
        <v>1</v>
      </c>
      <c r="J121" s="163" t="s">
        <v>1880</v>
      </c>
      <c r="K121" s="163">
        <v>1</v>
      </c>
      <c r="L121" s="163">
        <v>0</v>
      </c>
      <c r="M121" s="163">
        <v>0</v>
      </c>
      <c r="O121" s="9" t="s">
        <v>2078</v>
      </c>
      <c r="P121" s="163" t="s">
        <v>5974</v>
      </c>
      <c r="Q121" s="196" t="str">
        <f t="shared" si="1"/>
        <v>3 bu</v>
      </c>
    </row>
    <row r="122" spans="1:17" x14ac:dyDescent="0.25">
      <c r="A122" s="7" t="s">
        <v>3262</v>
      </c>
      <c r="B122" s="15" t="s">
        <v>5218</v>
      </c>
      <c r="D122" s="207">
        <v>3</v>
      </c>
      <c r="F122" s="527" t="s">
        <v>2050</v>
      </c>
      <c r="G122" s="198" t="s">
        <v>118</v>
      </c>
      <c r="H122" s="198">
        <v>115</v>
      </c>
      <c r="Q122" s="196" t="str">
        <f t="shared" si="1"/>
        <v>3 bu</v>
      </c>
    </row>
    <row r="123" spans="1:17" s="196" customFormat="1" x14ac:dyDescent="0.25">
      <c r="A123" s="7" t="str">
        <f>IF(Contexte_jeu&lt;&gt;"L'Empire Stellaire d'Emeraude","","Guitare électrique")</f>
        <v/>
      </c>
      <c r="B123" s="15" t="s">
        <v>5218</v>
      </c>
      <c r="C123" s="206">
        <v>1</v>
      </c>
      <c r="D123" s="207"/>
      <c r="E123" s="208"/>
      <c r="F123" s="527" t="s">
        <v>2050</v>
      </c>
      <c r="G123" s="198" t="s">
        <v>7453</v>
      </c>
      <c r="H123" s="198">
        <v>38</v>
      </c>
      <c r="I123" s="163"/>
      <c r="J123" s="163"/>
      <c r="K123" s="163"/>
      <c r="L123" s="163"/>
      <c r="M123" s="163"/>
      <c r="N123" s="163"/>
      <c r="O123" s="5"/>
      <c r="P123" s="163"/>
      <c r="Q123" s="196" t="str">
        <f t="shared" si="1"/>
        <v>1 koku</v>
      </c>
    </row>
    <row r="124" spans="1:17" x14ac:dyDescent="0.25">
      <c r="A124" s="7" t="s">
        <v>4448</v>
      </c>
      <c r="B124" s="15" t="s">
        <v>5218</v>
      </c>
      <c r="D124" s="207">
        <v>3</v>
      </c>
      <c r="F124" s="527" t="s">
        <v>2050</v>
      </c>
      <c r="G124" s="198" t="s">
        <v>118</v>
      </c>
      <c r="H124" s="198">
        <v>115</v>
      </c>
      <c r="Q124" s="196" t="str">
        <f t="shared" si="1"/>
        <v>3 bu</v>
      </c>
    </row>
    <row r="125" spans="1:17" x14ac:dyDescent="0.25">
      <c r="A125" s="7" t="s">
        <v>4450</v>
      </c>
      <c r="B125" s="15" t="s">
        <v>5218</v>
      </c>
      <c r="D125" s="207">
        <v>3</v>
      </c>
      <c r="F125" s="527" t="s">
        <v>2050</v>
      </c>
      <c r="G125" s="198" t="s">
        <v>118</v>
      </c>
      <c r="H125" s="198">
        <v>116</v>
      </c>
      <c r="Q125" s="196" t="str">
        <f t="shared" si="1"/>
        <v>3 bu</v>
      </c>
    </row>
    <row r="126" spans="1:17" x14ac:dyDescent="0.25">
      <c r="A126" s="7" t="s">
        <v>4449</v>
      </c>
      <c r="B126" s="15" t="s">
        <v>5218</v>
      </c>
      <c r="D126" s="207">
        <v>3</v>
      </c>
      <c r="F126" s="527" t="s">
        <v>2050</v>
      </c>
      <c r="G126" s="198" t="s">
        <v>118</v>
      </c>
      <c r="H126" s="198">
        <v>116</v>
      </c>
      <c r="Q126" s="196" t="str">
        <f t="shared" si="1"/>
        <v>3 bu</v>
      </c>
    </row>
    <row r="127" spans="1:17" s="196" customFormat="1" x14ac:dyDescent="0.25">
      <c r="A127" s="7" t="s">
        <v>4451</v>
      </c>
      <c r="B127" s="15" t="s">
        <v>5218</v>
      </c>
      <c r="C127" s="206"/>
      <c r="D127" s="207">
        <v>3</v>
      </c>
      <c r="E127" s="208"/>
      <c r="F127" s="527" t="s">
        <v>2050</v>
      </c>
      <c r="G127" s="198" t="s">
        <v>118</v>
      </c>
      <c r="H127" s="198">
        <v>116</v>
      </c>
      <c r="I127" s="163"/>
      <c r="J127" s="163"/>
      <c r="K127" s="163"/>
      <c r="L127" s="163"/>
      <c r="M127" s="163"/>
      <c r="N127" s="163"/>
      <c r="O127" s="5"/>
      <c r="P127" s="163"/>
      <c r="Q127" s="196" t="str">
        <f t="shared" si="1"/>
        <v>3 bu</v>
      </c>
    </row>
    <row r="128" spans="1:17" x14ac:dyDescent="0.25">
      <c r="A128" s="7" t="s">
        <v>4461</v>
      </c>
      <c r="B128" s="15" t="s">
        <v>5219</v>
      </c>
      <c r="D128" s="207">
        <v>3</v>
      </c>
      <c r="F128" s="527" t="s">
        <v>2050</v>
      </c>
      <c r="G128" s="198" t="s">
        <v>118</v>
      </c>
      <c r="H128" s="198">
        <v>117</v>
      </c>
      <c r="Q128" s="196" t="str">
        <f t="shared" si="1"/>
        <v>3 bu</v>
      </c>
    </row>
    <row r="129" spans="1:17" x14ac:dyDescent="0.25">
      <c r="A129" s="7" t="s">
        <v>4462</v>
      </c>
      <c r="B129" s="15" t="s">
        <v>5219</v>
      </c>
      <c r="D129" s="207">
        <v>3</v>
      </c>
      <c r="F129" s="527" t="s">
        <v>2050</v>
      </c>
      <c r="G129" s="198" t="s">
        <v>118</v>
      </c>
      <c r="H129" s="198">
        <v>117</v>
      </c>
      <c r="Q129" s="196" t="str">
        <f t="shared" si="1"/>
        <v>3 bu</v>
      </c>
    </row>
    <row r="130" spans="1:17" x14ac:dyDescent="0.25">
      <c r="A130" s="7" t="s">
        <v>4463</v>
      </c>
      <c r="B130" s="15" t="s">
        <v>5219</v>
      </c>
      <c r="D130" s="207">
        <v>3</v>
      </c>
      <c r="F130" s="527" t="s">
        <v>2050</v>
      </c>
      <c r="G130" s="198" t="s">
        <v>118</v>
      </c>
      <c r="H130" s="198">
        <v>117</v>
      </c>
      <c r="Q130" s="196" t="str">
        <f t="shared" si="1"/>
        <v>3 bu</v>
      </c>
    </row>
    <row r="131" spans="1:17" x14ac:dyDescent="0.25">
      <c r="A131" s="7" t="s">
        <v>4464</v>
      </c>
      <c r="B131" s="15" t="s">
        <v>5219</v>
      </c>
      <c r="D131" s="207">
        <v>3</v>
      </c>
      <c r="F131" s="527" t="s">
        <v>2050</v>
      </c>
      <c r="G131" s="198" t="s">
        <v>118</v>
      </c>
      <c r="H131" s="198">
        <v>117</v>
      </c>
      <c r="Q131" s="196" t="str">
        <f t="shared" si="1"/>
        <v>3 bu</v>
      </c>
    </row>
    <row r="132" spans="1:17" x14ac:dyDescent="0.25">
      <c r="A132" s="7" t="s">
        <v>4465</v>
      </c>
      <c r="B132" s="15" t="s">
        <v>5219</v>
      </c>
      <c r="D132" s="207">
        <v>3</v>
      </c>
      <c r="F132" s="527" t="s">
        <v>2050</v>
      </c>
      <c r="G132" s="198" t="s">
        <v>118</v>
      </c>
      <c r="H132" s="198">
        <v>117</v>
      </c>
      <c r="Q132" s="196" t="str">
        <f t="shared" si="1"/>
        <v>3 bu</v>
      </c>
    </row>
    <row r="133" spans="1:17" x14ac:dyDescent="0.25">
      <c r="A133" s="7" t="s">
        <v>4452</v>
      </c>
      <c r="B133" s="15" t="s">
        <v>5220</v>
      </c>
      <c r="D133" s="207">
        <v>3</v>
      </c>
      <c r="F133" s="527" t="s">
        <v>2050</v>
      </c>
      <c r="G133" s="198" t="s">
        <v>118</v>
      </c>
      <c r="H133" s="198">
        <v>116</v>
      </c>
      <c r="Q133" s="196" t="str">
        <f t="shared" si="1"/>
        <v>3 bu</v>
      </c>
    </row>
    <row r="134" spans="1:17" x14ac:dyDescent="0.25">
      <c r="A134" s="7" t="s">
        <v>4453</v>
      </c>
      <c r="B134" s="15" t="s">
        <v>5220</v>
      </c>
      <c r="D134" s="207">
        <v>3</v>
      </c>
      <c r="F134" s="527" t="s">
        <v>2050</v>
      </c>
      <c r="G134" s="198" t="s">
        <v>118</v>
      </c>
      <c r="H134" s="198">
        <v>116</v>
      </c>
      <c r="Q134" s="196" t="str">
        <f t="shared" si="1"/>
        <v>3 bu</v>
      </c>
    </row>
    <row r="135" spans="1:17" x14ac:dyDescent="0.25">
      <c r="A135" s="7" t="s">
        <v>4454</v>
      </c>
      <c r="B135" s="15" t="s">
        <v>5220</v>
      </c>
      <c r="D135" s="207">
        <v>3</v>
      </c>
      <c r="F135" s="527" t="s">
        <v>2050</v>
      </c>
      <c r="G135" s="198" t="s">
        <v>118</v>
      </c>
      <c r="H135" s="198">
        <v>116</v>
      </c>
      <c r="Q135" s="196" t="str">
        <f t="shared" si="1"/>
        <v>3 bu</v>
      </c>
    </row>
    <row r="136" spans="1:17" x14ac:dyDescent="0.25">
      <c r="A136" s="7" t="s">
        <v>4455</v>
      </c>
      <c r="B136" s="15" t="s">
        <v>5220</v>
      </c>
      <c r="D136" s="207">
        <v>3</v>
      </c>
      <c r="F136" s="527" t="s">
        <v>2050</v>
      </c>
      <c r="G136" s="198" t="s">
        <v>118</v>
      </c>
      <c r="H136" s="198">
        <v>116</v>
      </c>
      <c r="Q136" s="196" t="str">
        <f t="shared" si="1"/>
        <v>3 bu</v>
      </c>
    </row>
    <row r="137" spans="1:17" s="196" customFormat="1" x14ac:dyDescent="0.25">
      <c r="A137" s="7" t="str">
        <f>IF(Contexte_jeu&lt;&gt;"L'Empire Stellaire d'Emeraude","","Micro")</f>
        <v/>
      </c>
      <c r="B137" s="15" t="s">
        <v>5220</v>
      </c>
      <c r="C137" s="206">
        <v>1</v>
      </c>
      <c r="D137" s="207"/>
      <c r="E137" s="208"/>
      <c r="F137" s="527" t="s">
        <v>2050</v>
      </c>
      <c r="G137" s="198" t="s">
        <v>7453</v>
      </c>
      <c r="H137" s="198">
        <v>38</v>
      </c>
      <c r="I137" s="163"/>
      <c r="J137" s="163"/>
      <c r="K137" s="163"/>
      <c r="L137" s="163"/>
      <c r="M137" s="163"/>
      <c r="N137" s="163"/>
      <c r="O137" s="5"/>
      <c r="P137" s="163"/>
      <c r="Q137" s="196" t="str">
        <f t="shared" si="1"/>
        <v>1 koku</v>
      </c>
    </row>
    <row r="138" spans="1:17" x14ac:dyDescent="0.25">
      <c r="A138" s="7" t="s">
        <v>4456</v>
      </c>
      <c r="B138" s="15" t="s">
        <v>5220</v>
      </c>
      <c r="D138" s="207">
        <v>3</v>
      </c>
      <c r="F138" s="527" t="s">
        <v>2050</v>
      </c>
      <c r="G138" s="198" t="s">
        <v>118</v>
      </c>
      <c r="H138" s="198">
        <v>116</v>
      </c>
      <c r="Q138" s="196" t="str">
        <f t="shared" si="1"/>
        <v>3 bu</v>
      </c>
    </row>
    <row r="139" spans="1:17" x14ac:dyDescent="0.25">
      <c r="A139" s="7" t="s">
        <v>4457</v>
      </c>
      <c r="B139" s="15" t="s">
        <v>5220</v>
      </c>
      <c r="D139" s="207">
        <v>3</v>
      </c>
      <c r="F139" s="527" t="s">
        <v>2050</v>
      </c>
      <c r="G139" s="198" t="s">
        <v>118</v>
      </c>
      <c r="H139" s="198">
        <v>116</v>
      </c>
      <c r="Q139" s="196" t="str">
        <f t="shared" si="1"/>
        <v>3 bu</v>
      </c>
    </row>
    <row r="140" spans="1:17" x14ac:dyDescent="0.25">
      <c r="A140" s="7" t="s">
        <v>4458</v>
      </c>
      <c r="B140" s="15" t="s">
        <v>5220</v>
      </c>
      <c r="D140" s="207">
        <v>3</v>
      </c>
      <c r="F140" s="527" t="s">
        <v>2050</v>
      </c>
      <c r="G140" s="198" t="s">
        <v>118</v>
      </c>
      <c r="H140" s="198">
        <v>116</v>
      </c>
      <c r="Q140" s="196" t="str">
        <f t="shared" si="1"/>
        <v>3 bu</v>
      </c>
    </row>
    <row r="141" spans="1:17" x14ac:dyDescent="0.25">
      <c r="A141" s="7" t="s">
        <v>4459</v>
      </c>
      <c r="B141" s="15" t="s">
        <v>5220</v>
      </c>
      <c r="D141" s="207">
        <v>3</v>
      </c>
      <c r="F141" s="527" t="s">
        <v>2050</v>
      </c>
      <c r="G141" s="198" t="s">
        <v>118</v>
      </c>
      <c r="H141" s="198">
        <v>116</v>
      </c>
      <c r="Q141" s="196" t="str">
        <f t="shared" si="1"/>
        <v>3 bu</v>
      </c>
    </row>
    <row r="142" spans="1:17" x14ac:dyDescent="0.25">
      <c r="A142" s="7" t="s">
        <v>4460</v>
      </c>
      <c r="B142" s="15" t="s">
        <v>5220</v>
      </c>
      <c r="D142" s="207">
        <v>3</v>
      </c>
      <c r="F142" s="527" t="s">
        <v>2050</v>
      </c>
      <c r="G142" s="198" t="s">
        <v>118</v>
      </c>
      <c r="H142" s="198">
        <v>116</v>
      </c>
      <c r="Q142" s="196" t="str">
        <f t="shared" si="1"/>
        <v>3 bu</v>
      </c>
    </row>
    <row r="143" spans="1:17" x14ac:dyDescent="0.25">
      <c r="A143" s="200" t="s">
        <v>4471</v>
      </c>
      <c r="B143" s="285" t="s">
        <v>351</v>
      </c>
      <c r="C143" s="212">
        <v>1</v>
      </c>
      <c r="D143" s="210"/>
      <c r="E143" s="211"/>
      <c r="F143" s="286" t="s">
        <v>2052</v>
      </c>
      <c r="G143" s="201" t="s">
        <v>160</v>
      </c>
      <c r="H143" s="201">
        <v>24</v>
      </c>
      <c r="I143" s="163">
        <f>IF(Calculs!S411&gt;2,1,0)+Force</f>
        <v>2</v>
      </c>
      <c r="J143" s="163" t="s">
        <v>1880</v>
      </c>
      <c r="K143" s="163">
        <v>2</v>
      </c>
      <c r="O143" s="5" t="s">
        <v>5956</v>
      </c>
      <c r="P143" s="163" t="s">
        <v>5957</v>
      </c>
      <c r="Q143" s="196" t="str">
        <f t="shared" si="1"/>
        <v>1 koku</v>
      </c>
    </row>
    <row r="144" spans="1:17" x14ac:dyDescent="0.25">
      <c r="A144" s="7" t="s">
        <v>1362</v>
      </c>
      <c r="B144" s="285" t="s">
        <v>351</v>
      </c>
      <c r="C144" s="212">
        <v>20</v>
      </c>
      <c r="D144" s="210"/>
      <c r="E144" s="211"/>
      <c r="F144" s="286" t="s">
        <v>2050</v>
      </c>
      <c r="G144" s="198" t="s">
        <v>3</v>
      </c>
      <c r="H144" s="198">
        <v>205</v>
      </c>
      <c r="I144" s="163">
        <f>IF(Calculs!S411&gt;2,3,2)+Force</f>
        <v>4</v>
      </c>
      <c r="J144" s="163" t="s">
        <v>1880</v>
      </c>
      <c r="K144" s="163">
        <v>3</v>
      </c>
      <c r="O144" s="5" t="s">
        <v>5715</v>
      </c>
      <c r="P144" s="270" t="s">
        <v>2078</v>
      </c>
      <c r="Q144" s="196" t="str">
        <f t="shared" si="1"/>
        <v>20 koku</v>
      </c>
    </row>
    <row r="145" spans="1:17" x14ac:dyDescent="0.25">
      <c r="A145" s="7" t="s">
        <v>4799</v>
      </c>
      <c r="B145" s="15" t="s">
        <v>351</v>
      </c>
      <c r="C145" s="206">
        <v>20</v>
      </c>
      <c r="F145" s="527" t="s">
        <v>5080</v>
      </c>
      <c r="G145" s="198" t="s">
        <v>464</v>
      </c>
      <c r="H145" s="198">
        <v>86</v>
      </c>
      <c r="I145" s="163">
        <f>IF(Calculs!S411&gt;2,3,2)+Force</f>
        <v>4</v>
      </c>
      <c r="J145" s="163" t="s">
        <v>1880</v>
      </c>
      <c r="K145" s="163">
        <v>3</v>
      </c>
      <c r="O145" s="5" t="s">
        <v>5959</v>
      </c>
      <c r="P145" s="270" t="s">
        <v>2078</v>
      </c>
      <c r="Q145" s="196" t="str">
        <f t="shared" si="1"/>
        <v>20 koku</v>
      </c>
    </row>
    <row r="146" spans="1:17" s="196" customFormat="1" x14ac:dyDescent="0.25">
      <c r="A146" s="7" t="s">
        <v>8119</v>
      </c>
      <c r="B146" s="15" t="s">
        <v>351</v>
      </c>
      <c r="C146" s="206"/>
      <c r="D146" s="207"/>
      <c r="E146" s="208"/>
      <c r="F146" s="151" t="s">
        <v>5080</v>
      </c>
      <c r="G146" s="198" t="s">
        <v>3</v>
      </c>
      <c r="H146" s="198">
        <v>146</v>
      </c>
      <c r="I146" s="163">
        <f>IF(Calculs!S411&gt;2,4,3)+Force</f>
        <v>5</v>
      </c>
      <c r="J146" s="163" t="s">
        <v>1880</v>
      </c>
      <c r="K146" s="163">
        <v>3</v>
      </c>
      <c r="L146" s="163"/>
      <c r="M146" s="163"/>
      <c r="N146" s="163"/>
      <c r="O146" s="5" t="s">
        <v>8186</v>
      </c>
      <c r="P146" s="270" t="s">
        <v>8150</v>
      </c>
      <c r="Q146" s="196" t="s">
        <v>5968</v>
      </c>
    </row>
    <row r="147" spans="1:17" s="196" customFormat="1" x14ac:dyDescent="0.25">
      <c r="A147" s="7" t="s">
        <v>1388</v>
      </c>
      <c r="B147" s="15" t="s">
        <v>351</v>
      </c>
      <c r="C147" s="206">
        <v>15</v>
      </c>
      <c r="D147" s="207"/>
      <c r="E147" s="208"/>
      <c r="F147" s="527" t="s">
        <v>5080</v>
      </c>
      <c r="G147" s="198" t="s">
        <v>7706</v>
      </c>
      <c r="H147" s="198">
        <v>69</v>
      </c>
      <c r="I147" s="163">
        <f>IF(Calculs!S411&gt;2,3,2)+Force</f>
        <v>4</v>
      </c>
      <c r="J147" s="163" t="s">
        <v>1880</v>
      </c>
      <c r="K147" s="163">
        <v>2</v>
      </c>
      <c r="L147" s="163"/>
      <c r="M147" s="163"/>
      <c r="N147" s="163"/>
      <c r="O147" s="5" t="s">
        <v>5709</v>
      </c>
      <c r="P147" s="270" t="s">
        <v>2078</v>
      </c>
      <c r="Q147" s="196" t="str">
        <f t="shared" si="1"/>
        <v>15 koku</v>
      </c>
    </row>
    <row r="148" spans="1:17" s="196" customFormat="1" x14ac:dyDescent="0.25">
      <c r="A148" s="7" t="s">
        <v>6517</v>
      </c>
      <c r="B148" s="15" t="s">
        <v>351</v>
      </c>
      <c r="C148" s="206">
        <v>21</v>
      </c>
      <c r="D148" s="207"/>
      <c r="E148" s="208"/>
      <c r="F148" s="527" t="s">
        <v>5080</v>
      </c>
      <c r="G148" s="198" t="s">
        <v>7706</v>
      </c>
      <c r="H148" s="198">
        <v>76</v>
      </c>
      <c r="I148" s="163">
        <f>IF(Calculs!S411&gt;2,4,3)+Force</f>
        <v>5</v>
      </c>
      <c r="J148" s="163" t="s">
        <v>1880</v>
      </c>
      <c r="K148" s="163">
        <v>1</v>
      </c>
      <c r="L148" s="163"/>
      <c r="M148" s="163"/>
      <c r="N148" s="163"/>
      <c r="O148" s="5" t="s">
        <v>5709</v>
      </c>
      <c r="P148" s="270" t="s">
        <v>2078</v>
      </c>
      <c r="Q148" s="196" t="str">
        <f t="shared" si="1"/>
        <v>21 koku</v>
      </c>
    </row>
    <row r="149" spans="1:17" s="196" customFormat="1" x14ac:dyDescent="0.25">
      <c r="A149" s="7" t="s">
        <v>8123</v>
      </c>
      <c r="B149" s="15" t="s">
        <v>351</v>
      </c>
      <c r="C149" s="206"/>
      <c r="D149" s="207"/>
      <c r="E149" s="208"/>
      <c r="F149" s="151" t="s">
        <v>5080</v>
      </c>
      <c r="G149" s="198" t="s">
        <v>3</v>
      </c>
      <c r="H149" s="198">
        <v>146</v>
      </c>
      <c r="I149" s="163">
        <f>IF(Calculs!S411&gt;2,4,3)+Force</f>
        <v>5</v>
      </c>
      <c r="J149" s="163" t="s">
        <v>1880</v>
      </c>
      <c r="K149" s="163">
        <v>2</v>
      </c>
      <c r="L149" s="163"/>
      <c r="M149" s="163"/>
      <c r="N149" s="163"/>
      <c r="O149" s="5" t="s">
        <v>8210</v>
      </c>
      <c r="P149" s="270" t="s">
        <v>8163</v>
      </c>
      <c r="Q149" s="196" t="s">
        <v>5968</v>
      </c>
    </row>
    <row r="150" spans="1:17" x14ac:dyDescent="0.25">
      <c r="A150" s="7" t="s">
        <v>1358</v>
      </c>
      <c r="B150" s="15" t="s">
        <v>351</v>
      </c>
      <c r="C150" s="212">
        <v>0</v>
      </c>
      <c r="D150" s="210"/>
      <c r="E150" s="211"/>
      <c r="F150" s="286" t="s">
        <v>2050</v>
      </c>
      <c r="G150" s="198" t="s">
        <v>3</v>
      </c>
      <c r="H150" s="198">
        <v>204</v>
      </c>
      <c r="I150" s="163">
        <f>IF(Calculs!S411&gt;2,4,3)+Force</f>
        <v>5</v>
      </c>
      <c r="J150" s="163" t="s">
        <v>1880</v>
      </c>
      <c r="K150" s="163">
        <v>2</v>
      </c>
      <c r="O150" s="5" t="s">
        <v>5732</v>
      </c>
      <c r="P150" s="163" t="s">
        <v>5967</v>
      </c>
      <c r="Q150" s="196" t="s">
        <v>5968</v>
      </c>
    </row>
    <row r="151" spans="1:17" s="196" customFormat="1" x14ac:dyDescent="0.25">
      <c r="A151" s="7" t="s">
        <v>9094</v>
      </c>
      <c r="B151" s="15" t="s">
        <v>351</v>
      </c>
      <c r="C151" s="212"/>
      <c r="D151" s="210"/>
      <c r="E151" s="211"/>
      <c r="F151" s="286" t="s">
        <v>5080</v>
      </c>
      <c r="G151" s="198" t="s">
        <v>9070</v>
      </c>
      <c r="H151" s="198">
        <v>180</v>
      </c>
      <c r="I151" s="163">
        <f>IF(Calculs!S411&gt;2,4,3)+Force</f>
        <v>5</v>
      </c>
      <c r="J151" s="163" t="s">
        <v>1880</v>
      </c>
      <c r="K151" s="163">
        <v>3</v>
      </c>
      <c r="L151" s="163"/>
      <c r="M151" s="163"/>
      <c r="N151" s="163"/>
      <c r="O151" s="5" t="s">
        <v>9095</v>
      </c>
      <c r="P151" s="163" t="s">
        <v>9096</v>
      </c>
      <c r="Q151" s="196" t="s">
        <v>5968</v>
      </c>
    </row>
    <row r="152" spans="1:17" s="196" customFormat="1" x14ac:dyDescent="0.25">
      <c r="A152" s="7" t="s">
        <v>8128</v>
      </c>
      <c r="B152" s="15" t="s">
        <v>351</v>
      </c>
      <c r="C152" s="206"/>
      <c r="D152" s="207"/>
      <c r="E152" s="208"/>
      <c r="F152" s="151" t="s">
        <v>5080</v>
      </c>
      <c r="G152" s="198" t="s">
        <v>3</v>
      </c>
      <c r="H152" s="198">
        <v>146</v>
      </c>
      <c r="I152" s="163">
        <f>IF(Calculs!S411&gt;2,5,4)+Force</f>
        <v>6</v>
      </c>
      <c r="J152" s="163" t="s">
        <v>1880</v>
      </c>
      <c r="K152" s="163">
        <v>2</v>
      </c>
      <c r="L152" s="163"/>
      <c r="M152" s="163"/>
      <c r="N152" s="163"/>
      <c r="O152" s="5" t="s">
        <v>8196</v>
      </c>
      <c r="P152" s="270" t="s">
        <v>8156</v>
      </c>
      <c r="Q152" s="196" t="s">
        <v>5968</v>
      </c>
    </row>
    <row r="153" spans="1:17" s="196" customFormat="1" x14ac:dyDescent="0.25">
      <c r="A153" s="7" t="s">
        <v>8129</v>
      </c>
      <c r="B153" s="15" t="s">
        <v>351</v>
      </c>
      <c r="C153" s="206"/>
      <c r="D153" s="207"/>
      <c r="E153" s="208"/>
      <c r="F153" s="151" t="s">
        <v>5080</v>
      </c>
      <c r="G153" s="198" t="s">
        <v>2087</v>
      </c>
      <c r="H153" s="198">
        <v>75</v>
      </c>
      <c r="I153" s="163">
        <f>IF(Calculs!S411&gt;2,4,3)+Force</f>
        <v>5</v>
      </c>
      <c r="J153" s="163" t="s">
        <v>1880</v>
      </c>
      <c r="K153" s="163">
        <v>2</v>
      </c>
      <c r="L153" s="163"/>
      <c r="M153" s="163"/>
      <c r="N153" s="163"/>
      <c r="O153" s="5" t="s">
        <v>8211</v>
      </c>
      <c r="P153" s="270" t="s">
        <v>8159</v>
      </c>
      <c r="Q153" s="196" t="s">
        <v>5968</v>
      </c>
    </row>
    <row r="154" spans="1:17" s="196" customFormat="1" x14ac:dyDescent="0.25">
      <c r="A154" s="7" t="s">
        <v>8130</v>
      </c>
      <c r="B154" s="15" t="s">
        <v>351</v>
      </c>
      <c r="C154" s="206"/>
      <c r="D154" s="207"/>
      <c r="E154" s="208"/>
      <c r="F154" s="151" t="s">
        <v>5080</v>
      </c>
      <c r="G154" s="198" t="s">
        <v>3</v>
      </c>
      <c r="H154" s="198">
        <v>146</v>
      </c>
      <c r="I154" s="163">
        <f>IF(Calculs!S411&gt;2,5,4)+Force</f>
        <v>6</v>
      </c>
      <c r="J154" s="163" t="s">
        <v>1880</v>
      </c>
      <c r="K154" s="163">
        <v>2</v>
      </c>
      <c r="L154" s="163"/>
      <c r="M154" s="163"/>
      <c r="N154" s="163"/>
      <c r="O154" s="5" t="s">
        <v>8203</v>
      </c>
      <c r="P154" s="270" t="s">
        <v>8160</v>
      </c>
      <c r="Q154" s="196" t="s">
        <v>5968</v>
      </c>
    </row>
    <row r="155" spans="1:17" s="196" customFormat="1" x14ac:dyDescent="0.25">
      <c r="A155" s="7" t="s">
        <v>8131</v>
      </c>
      <c r="B155" s="15" t="s">
        <v>351</v>
      </c>
      <c r="C155" s="206"/>
      <c r="D155" s="207"/>
      <c r="E155" s="208"/>
      <c r="F155" s="151" t="s">
        <v>5080</v>
      </c>
      <c r="G155" s="198" t="s">
        <v>7453</v>
      </c>
      <c r="H155" s="198">
        <v>92</v>
      </c>
      <c r="I155" s="163">
        <f>IF(Calculs!S411&gt;2,5,4)+Force</f>
        <v>6</v>
      </c>
      <c r="J155" s="163" t="s">
        <v>1880</v>
      </c>
      <c r="K155" s="163">
        <v>2</v>
      </c>
      <c r="L155" s="163"/>
      <c r="M155" s="163"/>
      <c r="N155" s="163"/>
      <c r="O155" s="5" t="s">
        <v>8212</v>
      </c>
      <c r="P155" s="270" t="s">
        <v>8161</v>
      </c>
      <c r="Q155" s="196" t="s">
        <v>5968</v>
      </c>
    </row>
    <row r="156" spans="1:17" s="196" customFormat="1" x14ac:dyDescent="0.25">
      <c r="A156" s="7" t="s">
        <v>8132</v>
      </c>
      <c r="B156" s="15" t="s">
        <v>351</v>
      </c>
      <c r="C156" s="206"/>
      <c r="D156" s="207"/>
      <c r="E156" s="208"/>
      <c r="F156" s="151" t="s">
        <v>5080</v>
      </c>
      <c r="G156" s="198" t="s">
        <v>2076</v>
      </c>
      <c r="H156" s="198">
        <v>29</v>
      </c>
      <c r="I156" s="163">
        <f>IF(Calculs!S411&gt;2,4,3)+Force</f>
        <v>5</v>
      </c>
      <c r="J156" s="163" t="s">
        <v>1880</v>
      </c>
      <c r="K156" s="163">
        <v>2</v>
      </c>
      <c r="L156" s="163"/>
      <c r="M156" s="163"/>
      <c r="N156" s="163"/>
      <c r="O156" s="5" t="s">
        <v>8213</v>
      </c>
      <c r="P156" s="270" t="s">
        <v>8162</v>
      </c>
      <c r="Q156" s="196" t="s">
        <v>5968</v>
      </c>
    </row>
    <row r="157" spans="1:17" s="196" customFormat="1" x14ac:dyDescent="0.25">
      <c r="A157" s="7" t="s">
        <v>8133</v>
      </c>
      <c r="B157" s="15" t="s">
        <v>351</v>
      </c>
      <c r="C157" s="206"/>
      <c r="D157" s="207"/>
      <c r="E157" s="208"/>
      <c r="F157" s="151" t="s">
        <v>5080</v>
      </c>
      <c r="G157" s="198" t="s">
        <v>7453</v>
      </c>
      <c r="H157" s="198">
        <v>92</v>
      </c>
      <c r="I157" s="163">
        <f>IF(Calculs!S411&gt;2,4,3)+Force</f>
        <v>5</v>
      </c>
      <c r="J157" s="163" t="s">
        <v>1880</v>
      </c>
      <c r="K157" s="163">
        <v>2</v>
      </c>
      <c r="L157" s="163"/>
      <c r="M157" s="163"/>
      <c r="N157" s="163"/>
      <c r="O157" s="5" t="s">
        <v>8214</v>
      </c>
      <c r="P157" s="270" t="s">
        <v>8165</v>
      </c>
      <c r="Q157" s="196" t="s">
        <v>5968</v>
      </c>
    </row>
    <row r="158" spans="1:17" s="196" customFormat="1" x14ac:dyDescent="0.25">
      <c r="A158" s="7" t="s">
        <v>9097</v>
      </c>
      <c r="B158" s="15" t="s">
        <v>351</v>
      </c>
      <c r="C158" s="206"/>
      <c r="D158" s="207"/>
      <c r="E158" s="208"/>
      <c r="F158" s="151"/>
      <c r="G158" s="198" t="s">
        <v>9070</v>
      </c>
      <c r="H158" s="198">
        <v>180</v>
      </c>
      <c r="I158" s="163">
        <f>IF(Calculs!S412&gt;2,5,4)+Force</f>
        <v>6</v>
      </c>
      <c r="J158" s="163" t="s">
        <v>1880</v>
      </c>
      <c r="K158" s="163">
        <v>2</v>
      </c>
      <c r="L158" s="163"/>
      <c r="M158" s="163"/>
      <c r="N158" s="163"/>
      <c r="O158" s="5" t="s">
        <v>5959</v>
      </c>
      <c r="P158" s="270" t="s">
        <v>9098</v>
      </c>
      <c r="Q158" s="196" t="s">
        <v>5968</v>
      </c>
    </row>
    <row r="159" spans="1:17" s="196" customFormat="1" x14ac:dyDescent="0.25">
      <c r="A159" s="7" t="s">
        <v>8134</v>
      </c>
      <c r="B159" s="15" t="s">
        <v>351</v>
      </c>
      <c r="C159" s="206"/>
      <c r="D159" s="207"/>
      <c r="E159" s="208"/>
      <c r="F159" s="151" t="s">
        <v>5080</v>
      </c>
      <c r="G159" s="198" t="s">
        <v>7453</v>
      </c>
      <c r="H159" s="198">
        <v>92</v>
      </c>
      <c r="I159" s="163">
        <f>IF(Calculs!S411&gt;2,5,4)+Force</f>
        <v>6</v>
      </c>
      <c r="J159" s="163" t="s">
        <v>1880</v>
      </c>
      <c r="K159" s="163">
        <v>2</v>
      </c>
      <c r="L159" s="163"/>
      <c r="M159" s="163"/>
      <c r="N159" s="163"/>
      <c r="O159" s="5" t="s">
        <v>8203</v>
      </c>
      <c r="P159" s="270" t="s">
        <v>8166</v>
      </c>
      <c r="Q159" s="196" t="s">
        <v>5968</v>
      </c>
    </row>
    <row r="160" spans="1:17" s="196" customFormat="1" x14ac:dyDescent="0.25">
      <c r="A160" s="7" t="s">
        <v>8135</v>
      </c>
      <c r="B160" s="15" t="s">
        <v>351</v>
      </c>
      <c r="C160" s="206"/>
      <c r="D160" s="207"/>
      <c r="E160" s="208"/>
      <c r="F160" s="151" t="s">
        <v>5080</v>
      </c>
      <c r="G160" s="198" t="s">
        <v>7453</v>
      </c>
      <c r="H160" s="198">
        <v>92</v>
      </c>
      <c r="I160" s="163">
        <f>IF(Calculs!S411&gt;2,4,3)+Force</f>
        <v>5</v>
      </c>
      <c r="J160" s="163" t="s">
        <v>1880</v>
      </c>
      <c r="K160" s="163">
        <v>2</v>
      </c>
      <c r="L160" s="163"/>
      <c r="M160" s="163"/>
      <c r="N160" s="163"/>
      <c r="O160" s="5" t="s">
        <v>8212</v>
      </c>
      <c r="P160" s="270" t="s">
        <v>8167</v>
      </c>
      <c r="Q160" s="196" t="s">
        <v>5968</v>
      </c>
    </row>
    <row r="161" spans="1:17" s="196" customFormat="1" x14ac:dyDescent="0.25">
      <c r="A161" s="7" t="s">
        <v>8136</v>
      </c>
      <c r="B161" s="15" t="s">
        <v>351</v>
      </c>
      <c r="C161" s="206"/>
      <c r="D161" s="207"/>
      <c r="E161" s="208"/>
      <c r="F161" s="151" t="s">
        <v>5080</v>
      </c>
      <c r="G161" s="198" t="s">
        <v>3</v>
      </c>
      <c r="H161" s="198">
        <v>146</v>
      </c>
      <c r="I161" s="163">
        <f>IF(Calculs!S411&gt;2,4,3)+Force</f>
        <v>5</v>
      </c>
      <c r="J161" s="163" t="s">
        <v>1880</v>
      </c>
      <c r="K161" s="163">
        <v>2</v>
      </c>
      <c r="L161" s="163"/>
      <c r="M161" s="163"/>
      <c r="N161" s="163"/>
      <c r="O161" s="5" t="s">
        <v>8212</v>
      </c>
      <c r="P161" s="270" t="s">
        <v>8168</v>
      </c>
      <c r="Q161" s="196" t="s">
        <v>5968</v>
      </c>
    </row>
    <row r="162" spans="1:17" s="196" customFormat="1" x14ac:dyDescent="0.25">
      <c r="A162" s="7" t="s">
        <v>8137</v>
      </c>
      <c r="B162" s="15" t="s">
        <v>351</v>
      </c>
      <c r="C162" s="206"/>
      <c r="D162" s="207"/>
      <c r="E162" s="208"/>
      <c r="F162" s="151" t="s">
        <v>5080</v>
      </c>
      <c r="G162" s="198" t="s">
        <v>3</v>
      </c>
      <c r="H162" s="198">
        <v>146</v>
      </c>
      <c r="I162" s="163">
        <f>IF(Calculs!S411&gt;2,5,4)+Force</f>
        <v>6</v>
      </c>
      <c r="J162" s="163" t="s">
        <v>1880</v>
      </c>
      <c r="K162" s="163">
        <v>2</v>
      </c>
      <c r="L162" s="163"/>
      <c r="M162" s="163"/>
      <c r="N162" s="163"/>
      <c r="O162" s="5" t="s">
        <v>8211</v>
      </c>
      <c r="P162" s="270" t="s">
        <v>8170</v>
      </c>
      <c r="Q162" s="196" t="s">
        <v>5968</v>
      </c>
    </row>
    <row r="163" spans="1:17" s="196" customFormat="1" x14ac:dyDescent="0.25">
      <c r="A163" s="7" t="s">
        <v>8138</v>
      </c>
      <c r="B163" s="15" t="s">
        <v>351</v>
      </c>
      <c r="C163" s="206"/>
      <c r="D163" s="207"/>
      <c r="E163" s="208"/>
      <c r="F163" s="151" t="s">
        <v>5080</v>
      </c>
      <c r="G163" s="198" t="s">
        <v>3</v>
      </c>
      <c r="H163" s="198">
        <v>146</v>
      </c>
      <c r="I163" s="163">
        <f>IF(Calculs!S411&gt;2,5,4)+Force</f>
        <v>6</v>
      </c>
      <c r="J163" s="163" t="s">
        <v>1880</v>
      </c>
      <c r="K163" s="163">
        <v>2</v>
      </c>
      <c r="L163" s="163"/>
      <c r="M163" s="163"/>
      <c r="N163" s="163"/>
      <c r="O163" s="5" t="s">
        <v>8215</v>
      </c>
      <c r="P163" s="270" t="s">
        <v>8171</v>
      </c>
      <c r="Q163" s="196" t="s">
        <v>5968</v>
      </c>
    </row>
    <row r="164" spans="1:17" s="196" customFormat="1" x14ac:dyDescent="0.25">
      <c r="A164" s="7" t="s">
        <v>8139</v>
      </c>
      <c r="B164" s="15" t="s">
        <v>351</v>
      </c>
      <c r="C164" s="206"/>
      <c r="D164" s="207"/>
      <c r="E164" s="208"/>
      <c r="F164" s="151" t="s">
        <v>5080</v>
      </c>
      <c r="G164" s="198" t="s">
        <v>3</v>
      </c>
      <c r="H164" s="198">
        <v>146</v>
      </c>
      <c r="I164" s="163">
        <f>IF(Calculs!S411&gt;2,4,3)+Force</f>
        <v>5</v>
      </c>
      <c r="J164" s="163" t="s">
        <v>1880</v>
      </c>
      <c r="K164" s="163">
        <v>2</v>
      </c>
      <c r="L164" s="163"/>
      <c r="M164" s="163"/>
      <c r="N164" s="163"/>
      <c r="O164" s="5" t="s">
        <v>8216</v>
      </c>
      <c r="P164" s="270" t="s">
        <v>8172</v>
      </c>
      <c r="Q164" s="196" t="s">
        <v>5968</v>
      </c>
    </row>
    <row r="165" spans="1:17" x14ac:dyDescent="0.25">
      <c r="A165" s="7" t="s">
        <v>1360</v>
      </c>
      <c r="B165" s="15" t="s">
        <v>351</v>
      </c>
      <c r="C165" s="212">
        <v>30</v>
      </c>
      <c r="D165" s="210"/>
      <c r="E165" s="211"/>
      <c r="F165" s="286" t="s">
        <v>2050</v>
      </c>
      <c r="G165" s="198" t="s">
        <v>3</v>
      </c>
      <c r="H165" s="198">
        <v>205</v>
      </c>
      <c r="I165" s="163">
        <f>IF(Calculs!S411&gt;2,4,3)+Force</f>
        <v>5</v>
      </c>
      <c r="J165" s="163" t="s">
        <v>1880</v>
      </c>
      <c r="K165" s="163">
        <v>2</v>
      </c>
      <c r="O165" s="5" t="s">
        <v>5709</v>
      </c>
      <c r="P165" s="270" t="s">
        <v>2078</v>
      </c>
      <c r="Q165" s="196" t="str">
        <f t="shared" si="1"/>
        <v>30 koku</v>
      </c>
    </row>
    <row r="166" spans="1:17" x14ac:dyDescent="0.25">
      <c r="A166" s="7" t="s">
        <v>1361</v>
      </c>
      <c r="B166" s="15" t="s">
        <v>351</v>
      </c>
      <c r="C166" s="209"/>
      <c r="D166" s="213">
        <v>10</v>
      </c>
      <c r="E166" s="211"/>
      <c r="F166" s="286" t="s">
        <v>2050</v>
      </c>
      <c r="G166" s="198" t="s">
        <v>3</v>
      </c>
      <c r="H166" s="198">
        <v>205</v>
      </c>
      <c r="I166" s="163">
        <f>IF(Calculs!S411&gt;2,3,2)+Force</f>
        <v>4</v>
      </c>
      <c r="J166" s="163" t="s">
        <v>1880</v>
      </c>
      <c r="K166" s="163">
        <v>2</v>
      </c>
      <c r="O166" s="5" t="s">
        <v>5725</v>
      </c>
      <c r="P166" s="163" t="s">
        <v>5734</v>
      </c>
      <c r="Q166" s="196" t="str">
        <f t="shared" si="1"/>
        <v>10 bu</v>
      </c>
    </row>
    <row r="167" spans="1:17" s="196" customFormat="1" x14ac:dyDescent="0.25">
      <c r="A167" s="7" t="s">
        <v>7714</v>
      </c>
      <c r="B167" s="15" t="s">
        <v>351</v>
      </c>
      <c r="C167" s="212">
        <v>20</v>
      </c>
      <c r="D167" s="213"/>
      <c r="E167" s="211"/>
      <c r="F167" s="286" t="s">
        <v>5080</v>
      </c>
      <c r="G167" s="198" t="s">
        <v>7706</v>
      </c>
      <c r="H167" s="198"/>
      <c r="I167" s="163">
        <f>IF(Calculs!S411&gt;2,3,2)+Force</f>
        <v>4</v>
      </c>
      <c r="J167" s="163" t="s">
        <v>1880</v>
      </c>
      <c r="K167" s="163">
        <v>2</v>
      </c>
      <c r="L167" s="163"/>
      <c r="M167" s="163"/>
      <c r="N167" s="163"/>
      <c r="O167" s="5" t="s">
        <v>5715</v>
      </c>
      <c r="P167" s="270" t="s">
        <v>2078</v>
      </c>
      <c r="Q167" s="196" t="str">
        <f t="shared" si="1"/>
        <v>20 koku</v>
      </c>
    </row>
    <row r="168" spans="1:17" x14ac:dyDescent="0.25">
      <c r="A168" s="7" t="s">
        <v>4475</v>
      </c>
      <c r="B168" s="15" t="s">
        <v>351</v>
      </c>
      <c r="C168" s="212">
        <v>1</v>
      </c>
      <c r="D168" s="210"/>
      <c r="E168" s="211"/>
      <c r="F168" s="286" t="s">
        <v>2050</v>
      </c>
      <c r="G168" s="198" t="s">
        <v>160</v>
      </c>
      <c r="H168" s="198">
        <v>24</v>
      </c>
      <c r="I168" s="163">
        <f>IF(Calculs!S411&gt;2,1,0)+Force</f>
        <v>2</v>
      </c>
      <c r="J168" s="163" t="s">
        <v>1880</v>
      </c>
      <c r="K168" s="163">
        <v>2</v>
      </c>
      <c r="O168" s="5" t="s">
        <v>5956</v>
      </c>
      <c r="P168" s="163" t="s">
        <v>5958</v>
      </c>
      <c r="Q168" s="196" t="str">
        <f t="shared" si="1"/>
        <v>1 koku</v>
      </c>
    </row>
    <row r="169" spans="1:17" s="196" customFormat="1" x14ac:dyDescent="0.25">
      <c r="A169" s="7" t="s">
        <v>7784</v>
      </c>
      <c r="B169" s="15" t="s">
        <v>351</v>
      </c>
      <c r="C169" s="212">
        <v>18</v>
      </c>
      <c r="D169" s="210"/>
      <c r="E169" s="211"/>
      <c r="F169" s="286" t="s">
        <v>5080</v>
      </c>
      <c r="G169" s="198" t="s">
        <v>7759</v>
      </c>
      <c r="H169" s="198">
        <v>23</v>
      </c>
      <c r="I169" s="163">
        <f>IF(Calculs!S411&gt;2,4,3)+Force</f>
        <v>5</v>
      </c>
      <c r="J169" s="163" t="s">
        <v>1880</v>
      </c>
      <c r="K169" s="163">
        <v>2</v>
      </c>
      <c r="L169" s="163"/>
      <c r="M169" s="163"/>
      <c r="N169" s="163"/>
      <c r="O169" s="5" t="s">
        <v>5732</v>
      </c>
      <c r="P169" s="270" t="s">
        <v>7785</v>
      </c>
      <c r="Q169" s="196" t="str">
        <f t="shared" si="1"/>
        <v>18 koku</v>
      </c>
    </row>
    <row r="170" spans="1:17" s="196" customFormat="1" x14ac:dyDescent="0.25">
      <c r="A170" s="7" t="s">
        <v>8200</v>
      </c>
      <c r="B170" s="15" t="s">
        <v>351</v>
      </c>
      <c r="C170" s="206"/>
      <c r="D170" s="207"/>
      <c r="E170" s="208"/>
      <c r="F170" s="151" t="s">
        <v>5080</v>
      </c>
      <c r="G170" s="198" t="s">
        <v>7453</v>
      </c>
      <c r="H170" s="198">
        <v>92</v>
      </c>
      <c r="I170" s="163">
        <f>IF(Calculs!S411&gt;2,4,3)+Force</f>
        <v>5</v>
      </c>
      <c r="J170" s="163" t="s">
        <v>1880</v>
      </c>
      <c r="K170" s="163">
        <v>2</v>
      </c>
      <c r="L170" s="163"/>
      <c r="M170" s="163"/>
      <c r="N170" s="163"/>
      <c r="O170" s="5" t="s">
        <v>8196</v>
      </c>
      <c r="P170" s="270" t="s">
        <v>8181</v>
      </c>
      <c r="Q170" s="196" t="s">
        <v>5968</v>
      </c>
    </row>
    <row r="171" spans="1:17" s="196" customFormat="1" ht="13.95" customHeight="1" x14ac:dyDescent="0.25">
      <c r="A171" s="7" t="s">
        <v>8145</v>
      </c>
      <c r="B171" s="15" t="s">
        <v>351</v>
      </c>
      <c r="C171" s="206"/>
      <c r="D171" s="207"/>
      <c r="E171" s="208"/>
      <c r="F171" s="151" t="s">
        <v>5080</v>
      </c>
      <c r="G171" s="198" t="s">
        <v>7453</v>
      </c>
      <c r="H171" s="198">
        <v>92</v>
      </c>
      <c r="I171" s="163">
        <f>IF(Calculs!S411&gt;2,5,4)+Force</f>
        <v>6</v>
      </c>
      <c r="J171" s="163" t="s">
        <v>1880</v>
      </c>
      <c r="K171" s="163">
        <v>2</v>
      </c>
      <c r="L171" s="163"/>
      <c r="M171" s="163"/>
      <c r="N171" s="163"/>
      <c r="O171" s="5" t="s">
        <v>8215</v>
      </c>
      <c r="P171" s="270" t="s">
        <v>8184</v>
      </c>
      <c r="Q171" s="196" t="s">
        <v>5968</v>
      </c>
    </row>
    <row r="172" spans="1:17" x14ac:dyDescent="0.25">
      <c r="A172" s="7" t="s">
        <v>1363</v>
      </c>
      <c r="B172" s="15" t="s">
        <v>351</v>
      </c>
      <c r="C172" s="212">
        <v>15</v>
      </c>
      <c r="D172" s="210"/>
      <c r="E172" s="211"/>
      <c r="F172" s="286" t="s">
        <v>2050</v>
      </c>
      <c r="G172" s="198" t="s">
        <v>3</v>
      </c>
      <c r="H172" s="198">
        <v>205</v>
      </c>
      <c r="I172" s="163">
        <f>IF(Calculs!S411&gt;2,3,2)+Force</f>
        <v>4</v>
      </c>
      <c r="J172" s="163" t="s">
        <v>1880</v>
      </c>
      <c r="K172" s="163">
        <v>2</v>
      </c>
      <c r="O172" s="5" t="s">
        <v>5732</v>
      </c>
      <c r="P172" s="163" t="s">
        <v>5735</v>
      </c>
      <c r="Q172" s="196" t="str">
        <f>CONCATENATE(IF(C172="",CONCATENATE(""),CONCATENATE(C172," koku")),IF(D172="",CONCATENATE(""),CONCATENATE(D172," bu")),IF(E172="",CONCATENATE(""),CONCATENATE(E172," zeni")))</f>
        <v>15 koku</v>
      </c>
    </row>
    <row r="173" spans="1:17" x14ac:dyDescent="0.25">
      <c r="A173" s="7" t="s">
        <v>9099</v>
      </c>
      <c r="B173" s="15" t="s">
        <v>351</v>
      </c>
      <c r="F173" s="527" t="s">
        <v>5080</v>
      </c>
      <c r="G173" s="198" t="s">
        <v>9070</v>
      </c>
      <c r="H173" s="198">
        <v>179</v>
      </c>
      <c r="I173" s="163">
        <f>IF(Calculs!S411&gt;2,4,3)+Force</f>
        <v>5</v>
      </c>
      <c r="J173" s="163" t="s">
        <v>1880</v>
      </c>
      <c r="K173" s="163">
        <v>2</v>
      </c>
      <c r="O173" s="5" t="s">
        <v>5732</v>
      </c>
      <c r="P173" s="270" t="s">
        <v>9100</v>
      </c>
      <c r="Q173" t="s">
        <v>5968</v>
      </c>
    </row>
    <row r="174" spans="1:17" x14ac:dyDescent="0.25">
      <c r="A174" s="7" t="s">
        <v>1352</v>
      </c>
      <c r="B174" s="285" t="s">
        <v>1275</v>
      </c>
      <c r="C174" s="209"/>
      <c r="D174" s="213">
        <v>3</v>
      </c>
      <c r="E174" s="211"/>
      <c r="F174" s="286" t="s">
        <v>2050</v>
      </c>
      <c r="G174" s="198" t="s">
        <v>3</v>
      </c>
      <c r="H174" s="198">
        <v>203</v>
      </c>
      <c r="I174" s="163">
        <f>1+Force</f>
        <v>3</v>
      </c>
      <c r="J174" s="163" t="s">
        <v>1880</v>
      </c>
      <c r="K174" s="163">
        <v>2</v>
      </c>
      <c r="N174" s="163">
        <f>IF(Calculs!S413&gt;4,1.5,0)</f>
        <v>0</v>
      </c>
      <c r="O174" s="5" t="s">
        <v>5727</v>
      </c>
      <c r="P174" s="163" t="s">
        <v>5728</v>
      </c>
      <c r="Q174" s="196" t="str">
        <f t="shared" si="1"/>
        <v>3 bu</v>
      </c>
    </row>
    <row r="175" spans="1:17" x14ac:dyDescent="0.25">
      <c r="A175" s="7" t="s">
        <v>4652</v>
      </c>
      <c r="B175" s="285" t="s">
        <v>1275</v>
      </c>
      <c r="C175" s="212">
        <v>20</v>
      </c>
      <c r="D175" s="210"/>
      <c r="E175" s="211"/>
      <c r="F175" s="286" t="s">
        <v>2050</v>
      </c>
      <c r="G175" s="198" t="s">
        <v>3</v>
      </c>
      <c r="H175" s="198">
        <v>203</v>
      </c>
      <c r="I175" s="163">
        <f>3+Force</f>
        <v>5</v>
      </c>
      <c r="J175" s="163" t="s">
        <v>1880</v>
      </c>
      <c r="K175" s="163">
        <v>2</v>
      </c>
      <c r="N175" s="163">
        <f>IF(Calculs!S413&gt;4,1.5,0)</f>
        <v>0</v>
      </c>
      <c r="O175" s="5" t="s">
        <v>5709</v>
      </c>
      <c r="P175" s="163" t="s">
        <v>5964</v>
      </c>
      <c r="Q175" s="196" t="str">
        <f t="shared" si="1"/>
        <v>20 koku</v>
      </c>
    </row>
    <row r="176" spans="1:17" s="196" customFormat="1" x14ac:dyDescent="0.25">
      <c r="A176" s="7" t="s">
        <v>8140</v>
      </c>
      <c r="B176" s="285" t="s">
        <v>1275</v>
      </c>
      <c r="C176" s="206"/>
      <c r="D176" s="207"/>
      <c r="E176" s="208"/>
      <c r="F176" s="151" t="s">
        <v>5080</v>
      </c>
      <c r="G176" s="198" t="s">
        <v>7453</v>
      </c>
      <c r="H176" s="198">
        <v>92</v>
      </c>
      <c r="I176" s="163">
        <f>3+Force</f>
        <v>5</v>
      </c>
      <c r="J176" s="163" t="s">
        <v>1880</v>
      </c>
      <c r="K176" s="163">
        <v>2</v>
      </c>
      <c r="L176" s="163"/>
      <c r="M176" s="163"/>
      <c r="N176" s="163"/>
      <c r="O176" s="5" t="s">
        <v>8205</v>
      </c>
      <c r="P176" s="270" t="s">
        <v>8173</v>
      </c>
      <c r="Q176" s="196" t="s">
        <v>5968</v>
      </c>
    </row>
    <row r="177" spans="1:17" x14ac:dyDescent="0.25">
      <c r="A177" s="7" t="s">
        <v>3053</v>
      </c>
      <c r="B177" s="15" t="s">
        <v>1275</v>
      </c>
      <c r="C177" s="206">
        <v>5</v>
      </c>
      <c r="F177" s="527" t="s">
        <v>5080</v>
      </c>
      <c r="G177" s="198" t="s">
        <v>464</v>
      </c>
      <c r="H177" s="198">
        <v>86</v>
      </c>
      <c r="I177" s="163">
        <f>3+Force</f>
        <v>5</v>
      </c>
      <c r="J177" s="163" t="s">
        <v>1880</v>
      </c>
      <c r="K177" s="163">
        <v>2</v>
      </c>
      <c r="N177" s="163">
        <f>IF(Calculs!S413&gt;4,1.5,0)</f>
        <v>0</v>
      </c>
      <c r="O177" s="5" t="s">
        <v>5959</v>
      </c>
      <c r="P177" s="163" t="s">
        <v>5735</v>
      </c>
      <c r="Q177" s="196" t="str">
        <f t="shared" si="1"/>
        <v>5 koku</v>
      </c>
    </row>
    <row r="178" spans="1:17" x14ac:dyDescent="0.25">
      <c r="A178" s="7" t="s">
        <v>1351</v>
      </c>
      <c r="B178" s="285" t="s">
        <v>1275</v>
      </c>
      <c r="C178" s="212">
        <v>20</v>
      </c>
      <c r="D178" s="210"/>
      <c r="E178" s="211"/>
      <c r="F178" s="286" t="s">
        <v>5080</v>
      </c>
      <c r="G178" s="198" t="s">
        <v>3</v>
      </c>
      <c r="H178" s="198">
        <v>203</v>
      </c>
      <c r="I178" s="163">
        <f>Force</f>
        <v>2</v>
      </c>
      <c r="J178" s="163" t="s">
        <v>1880</v>
      </c>
      <c r="K178" s="163">
        <v>2</v>
      </c>
      <c r="N178" s="163">
        <f>IF(Calculs!S413&gt;4,1.5,0)</f>
        <v>0</v>
      </c>
      <c r="O178" s="5" t="s">
        <v>5709</v>
      </c>
      <c r="P178" s="163" t="s">
        <v>5729</v>
      </c>
      <c r="Q178" s="196" t="str">
        <f t="shared" si="1"/>
        <v>20 koku</v>
      </c>
    </row>
    <row r="179" spans="1:17" x14ac:dyDescent="0.25">
      <c r="A179" s="7" t="s">
        <v>4468</v>
      </c>
      <c r="B179" s="285" t="s">
        <v>1275</v>
      </c>
      <c r="C179" s="212">
        <v>7</v>
      </c>
      <c r="D179" s="210"/>
      <c r="E179" s="211"/>
      <c r="F179" s="286" t="s">
        <v>2050</v>
      </c>
      <c r="G179" s="198" t="s">
        <v>161</v>
      </c>
      <c r="H179" s="198">
        <v>7</v>
      </c>
      <c r="I179" s="163">
        <f>3+Force</f>
        <v>5</v>
      </c>
      <c r="J179" s="163" t="s">
        <v>1880</v>
      </c>
      <c r="K179" s="163">
        <v>2</v>
      </c>
      <c r="N179" s="163">
        <f>IF(Calculs!S413&gt;4,1.5,0)</f>
        <v>0</v>
      </c>
      <c r="O179" s="5" t="s">
        <v>5709</v>
      </c>
      <c r="P179" s="163" t="s">
        <v>5960</v>
      </c>
      <c r="Q179" s="196" t="str">
        <f t="shared" si="1"/>
        <v>7 koku</v>
      </c>
    </row>
    <row r="180" spans="1:17" x14ac:dyDescent="0.25">
      <c r="A180" s="7" t="s">
        <v>1354</v>
      </c>
      <c r="B180" s="285" t="s">
        <v>1275</v>
      </c>
      <c r="C180" s="212">
        <v>3</v>
      </c>
      <c r="D180" s="210"/>
      <c r="E180" s="211"/>
      <c r="F180" s="286" t="s">
        <v>2050</v>
      </c>
      <c r="G180" s="198" t="s">
        <v>3</v>
      </c>
      <c r="H180" s="198">
        <v>203</v>
      </c>
      <c r="I180" s="163">
        <f>1+Force</f>
        <v>3</v>
      </c>
      <c r="J180" s="163" t="s">
        <v>1880</v>
      </c>
      <c r="K180" s="163">
        <v>2</v>
      </c>
      <c r="N180" s="163">
        <f>IF(Calculs!S413&gt;4,1.5,0)</f>
        <v>0</v>
      </c>
      <c r="O180" s="5" t="s">
        <v>5715</v>
      </c>
      <c r="P180" s="163" t="s">
        <v>5730</v>
      </c>
      <c r="Q180" s="196" t="str">
        <f t="shared" si="1"/>
        <v>3 koku</v>
      </c>
    </row>
    <row r="181" spans="1:17" x14ac:dyDescent="0.25">
      <c r="A181" s="7" t="s">
        <v>3308</v>
      </c>
      <c r="B181" s="285" t="s">
        <v>1275</v>
      </c>
      <c r="C181" s="212">
        <v>5</v>
      </c>
      <c r="D181" s="210"/>
      <c r="E181" s="211"/>
      <c r="F181" s="286" t="s">
        <v>2050</v>
      </c>
      <c r="G181" s="198" t="s">
        <v>3</v>
      </c>
      <c r="H181" s="198">
        <v>203</v>
      </c>
      <c r="I181" s="163">
        <f>2+Force</f>
        <v>4</v>
      </c>
      <c r="J181" s="163" t="s">
        <v>1880</v>
      </c>
      <c r="K181" s="163">
        <v>2</v>
      </c>
      <c r="N181" s="163">
        <f>IF(Calculs!S413&gt;4,1.5,0)</f>
        <v>0</v>
      </c>
      <c r="O181" s="5" t="s">
        <v>5709</v>
      </c>
      <c r="P181" s="163" t="s">
        <v>5731</v>
      </c>
      <c r="Q181" s="196" t="str">
        <f t="shared" si="1"/>
        <v>5 koku</v>
      </c>
    </row>
    <row r="182" spans="1:17" s="196" customFormat="1" x14ac:dyDescent="0.25">
      <c r="A182" s="7" t="s">
        <v>7712</v>
      </c>
      <c r="B182" s="285" t="s">
        <v>1230</v>
      </c>
      <c r="C182" s="212">
        <v>1</v>
      </c>
      <c r="D182" s="210"/>
      <c r="E182" s="211"/>
      <c r="F182" s="286" t="s">
        <v>5080</v>
      </c>
      <c r="G182" s="198" t="s">
        <v>7706</v>
      </c>
      <c r="H182" s="198">
        <v>72</v>
      </c>
      <c r="I182" s="163">
        <f>IF(Calculs!S418&gt;2,5,4)</f>
        <v>4</v>
      </c>
      <c r="J182" s="163" t="s">
        <v>1880</v>
      </c>
      <c r="K182" s="163">
        <v>2</v>
      </c>
      <c r="L182" s="163"/>
      <c r="M182" s="163"/>
      <c r="N182" s="163"/>
      <c r="O182" s="5" t="s">
        <v>5715</v>
      </c>
      <c r="P182" s="163" t="s">
        <v>7713</v>
      </c>
      <c r="Q182" s="196" t="str">
        <f t="shared" si="1"/>
        <v>1 koku</v>
      </c>
    </row>
    <row r="183" spans="1:17" x14ac:dyDescent="0.25">
      <c r="A183" s="7" t="s">
        <v>4579</v>
      </c>
      <c r="B183" s="285" t="s">
        <v>1230</v>
      </c>
      <c r="C183" s="209"/>
      <c r="D183" s="210" t="s">
        <v>5724</v>
      </c>
      <c r="E183" s="211"/>
      <c r="F183" s="286" t="s">
        <v>5080</v>
      </c>
      <c r="G183" s="198" t="s">
        <v>4403</v>
      </c>
      <c r="H183" s="198">
        <v>175</v>
      </c>
      <c r="I183" s="163">
        <f>IF(Calculs!S418&gt;2,2,1)</f>
        <v>1</v>
      </c>
      <c r="J183" s="163" t="s">
        <v>1880</v>
      </c>
      <c r="K183" s="163">
        <v>2</v>
      </c>
      <c r="O183" s="5" t="s">
        <v>5857</v>
      </c>
      <c r="P183" s="163" t="s">
        <v>5858</v>
      </c>
      <c r="Q183" s="196" t="str">
        <f t="shared" si="1"/>
        <v>5 bu</v>
      </c>
    </row>
    <row r="184" spans="1:17" s="196" customFormat="1" x14ac:dyDescent="0.25">
      <c r="A184" s="7" t="s">
        <v>1953</v>
      </c>
      <c r="B184" s="285" t="s">
        <v>1230</v>
      </c>
      <c r="C184" s="212"/>
      <c r="D184" s="210" t="s">
        <v>7779</v>
      </c>
      <c r="E184" s="211"/>
      <c r="F184" s="286" t="s">
        <v>5080</v>
      </c>
      <c r="G184" s="198" t="s">
        <v>7706</v>
      </c>
      <c r="H184" s="198">
        <v>31</v>
      </c>
      <c r="I184" s="163">
        <f>IF(Calculs!S418&gt;2,1,0)</f>
        <v>0</v>
      </c>
      <c r="J184" s="163" t="s">
        <v>1880</v>
      </c>
      <c r="K184" s="163">
        <v>2</v>
      </c>
      <c r="L184" s="163"/>
      <c r="M184" s="163"/>
      <c r="N184" s="163"/>
      <c r="O184" s="5" t="s">
        <v>7678</v>
      </c>
      <c r="P184" s="163" t="s">
        <v>5858</v>
      </c>
      <c r="Q184" s="196" t="str">
        <f t="shared" si="1"/>
        <v>2 bu</v>
      </c>
    </row>
    <row r="185" spans="1:17" x14ac:dyDescent="0.25">
      <c r="A185" s="7" t="s">
        <v>1359</v>
      </c>
      <c r="B185" s="285" t="s">
        <v>1230</v>
      </c>
      <c r="C185" s="212">
        <v>5</v>
      </c>
      <c r="D185" s="210"/>
      <c r="E185" s="211"/>
      <c r="F185" s="286" t="s">
        <v>2050</v>
      </c>
      <c r="G185" s="198" t="s">
        <v>3</v>
      </c>
      <c r="H185" s="198">
        <v>204</v>
      </c>
      <c r="I185" s="163">
        <f>IF(Calculs!S418&gt;2,3,2)+Force</f>
        <v>4</v>
      </c>
      <c r="J185" s="163" t="s">
        <v>1880</v>
      </c>
      <c r="K185" s="163">
        <v>2</v>
      </c>
      <c r="O185" s="5" t="s">
        <v>5733</v>
      </c>
      <c r="P185" s="163" t="s">
        <v>5969</v>
      </c>
      <c r="Q185" s="196" t="str">
        <f t="shared" si="1"/>
        <v>5 koku</v>
      </c>
    </row>
    <row r="186" spans="1:17" x14ac:dyDescent="0.25">
      <c r="A186" s="7" t="s">
        <v>1350</v>
      </c>
      <c r="B186" s="285" t="s">
        <v>1230</v>
      </c>
      <c r="C186" s="209"/>
      <c r="D186" s="210"/>
      <c r="E186" s="214">
        <v>8</v>
      </c>
      <c r="F186" s="528" t="s">
        <v>2050</v>
      </c>
      <c r="G186" s="198" t="s">
        <v>3</v>
      </c>
      <c r="H186" s="198">
        <v>201</v>
      </c>
      <c r="I186" s="163">
        <v>0</v>
      </c>
      <c r="J186" s="163" t="s">
        <v>1880</v>
      </c>
      <c r="K186" s="163">
        <v>2</v>
      </c>
      <c r="O186" s="5" t="s">
        <v>5715</v>
      </c>
      <c r="P186" s="163" t="s">
        <v>5963</v>
      </c>
      <c r="Q186" s="196" t="str">
        <f t="shared" si="1"/>
        <v>8 zeni</v>
      </c>
    </row>
    <row r="187" spans="1:17" x14ac:dyDescent="0.25">
      <c r="A187" s="7" t="s">
        <v>1348</v>
      </c>
      <c r="B187" s="285" t="s">
        <v>1230</v>
      </c>
      <c r="C187" s="209"/>
      <c r="D187" s="213">
        <v>2</v>
      </c>
      <c r="E187" s="211"/>
      <c r="F187" s="286" t="s">
        <v>2050</v>
      </c>
      <c r="G187" s="198" t="s">
        <v>3</v>
      </c>
      <c r="H187" s="198">
        <v>202</v>
      </c>
      <c r="I187" s="163">
        <f>IF(Calculs!S418&gt;2,2,1)</f>
        <v>1</v>
      </c>
      <c r="J187" s="163" t="s">
        <v>1880</v>
      </c>
      <c r="K187" s="163">
        <v>2</v>
      </c>
      <c r="O187" s="5" t="s">
        <v>5719</v>
      </c>
      <c r="P187" s="163" t="s">
        <v>5720</v>
      </c>
      <c r="Q187" s="196" t="str">
        <f t="shared" si="1"/>
        <v>2 bu</v>
      </c>
    </row>
    <row r="188" spans="1:17" x14ac:dyDescent="0.25">
      <c r="A188" s="7" t="s">
        <v>1349</v>
      </c>
      <c r="B188" s="285" t="s">
        <v>1230</v>
      </c>
      <c r="C188" s="209"/>
      <c r="D188" s="213">
        <v>1</v>
      </c>
      <c r="E188" s="211"/>
      <c r="F188" s="286" t="s">
        <v>2050</v>
      </c>
      <c r="G188" s="198" t="s">
        <v>3</v>
      </c>
      <c r="H188" s="198">
        <v>202</v>
      </c>
      <c r="I188" s="163">
        <f>IF(Calculs!S418&gt;2,2,1)</f>
        <v>1</v>
      </c>
      <c r="J188" s="163" t="s">
        <v>1880</v>
      </c>
      <c r="K188" s="163">
        <v>2</v>
      </c>
      <c r="O188" s="5" t="s">
        <v>5719</v>
      </c>
      <c r="P188" s="163" t="s">
        <v>5721</v>
      </c>
      <c r="Q188" s="196" t="str">
        <f t="shared" si="1"/>
        <v>1 bu</v>
      </c>
    </row>
    <row r="189" spans="1:17" x14ac:dyDescent="0.25">
      <c r="A189" s="7" t="s">
        <v>4590</v>
      </c>
      <c r="B189" s="15" t="s">
        <v>4647</v>
      </c>
      <c r="D189" s="207">
        <v>1</v>
      </c>
      <c r="F189" s="527" t="s">
        <v>2052</v>
      </c>
      <c r="G189" s="198" t="s">
        <v>3</v>
      </c>
      <c r="H189" s="198">
        <v>205</v>
      </c>
      <c r="Q189" s="196" t="str">
        <f t="shared" si="1"/>
        <v>1 bu</v>
      </c>
    </row>
    <row r="190" spans="1:17" x14ac:dyDescent="0.25">
      <c r="A190" s="7" t="s">
        <v>4570</v>
      </c>
      <c r="B190" s="15" t="s">
        <v>4647</v>
      </c>
      <c r="D190" s="207">
        <v>2</v>
      </c>
      <c r="F190" s="527" t="s">
        <v>2052</v>
      </c>
      <c r="G190" s="198" t="s">
        <v>3</v>
      </c>
      <c r="H190" s="198">
        <v>205</v>
      </c>
      <c r="Q190" s="196" t="str">
        <f t="shared" si="1"/>
        <v>2 bu</v>
      </c>
    </row>
    <row r="191" spans="1:17" x14ac:dyDescent="0.25">
      <c r="A191" s="7" t="s">
        <v>4601</v>
      </c>
      <c r="B191" s="15" t="s">
        <v>4647</v>
      </c>
      <c r="D191" s="207">
        <v>1</v>
      </c>
      <c r="F191" s="527" t="s">
        <v>2052</v>
      </c>
      <c r="G191" s="198" t="s">
        <v>3</v>
      </c>
      <c r="H191" s="198">
        <v>206</v>
      </c>
      <c r="Q191" s="196" t="str">
        <f t="shared" si="1"/>
        <v>1 bu</v>
      </c>
    </row>
    <row r="192" spans="1:17" x14ac:dyDescent="0.25">
      <c r="A192" s="7" t="s">
        <v>4603</v>
      </c>
      <c r="B192" s="15" t="s">
        <v>4647</v>
      </c>
      <c r="D192" s="207">
        <v>3</v>
      </c>
      <c r="F192" s="527" t="s">
        <v>2050</v>
      </c>
      <c r="G192" s="198" t="s">
        <v>3</v>
      </c>
      <c r="H192" s="198">
        <v>206</v>
      </c>
      <c r="Q192" s="196" t="str">
        <f t="shared" si="1"/>
        <v>3 bu</v>
      </c>
    </row>
    <row r="193" spans="1:17" x14ac:dyDescent="0.25">
      <c r="A193" s="7" t="s">
        <v>4602</v>
      </c>
      <c r="B193" s="15" t="s">
        <v>4647</v>
      </c>
      <c r="D193" s="207">
        <v>5</v>
      </c>
      <c r="F193" s="527" t="s">
        <v>5080</v>
      </c>
      <c r="G193" s="198" t="s">
        <v>3</v>
      </c>
      <c r="H193" s="198">
        <v>206</v>
      </c>
      <c r="Q193" s="196" t="str">
        <f t="shared" si="1"/>
        <v>5 bu</v>
      </c>
    </row>
    <row r="194" spans="1:17" x14ac:dyDescent="0.25">
      <c r="A194" s="7" t="s">
        <v>5081</v>
      </c>
      <c r="B194" s="15" t="s">
        <v>4647</v>
      </c>
      <c r="D194" s="207">
        <v>1</v>
      </c>
      <c r="F194" s="527" t="s">
        <v>2052</v>
      </c>
      <c r="G194" s="198" t="s">
        <v>3</v>
      </c>
      <c r="H194" s="198">
        <v>206</v>
      </c>
      <c r="Q194" s="196" t="str">
        <f t="shared" si="1"/>
        <v>1 bu</v>
      </c>
    </row>
    <row r="195" spans="1:17" x14ac:dyDescent="0.25">
      <c r="A195" s="7" t="s">
        <v>4634</v>
      </c>
      <c r="B195" s="15" t="s">
        <v>4647</v>
      </c>
      <c r="E195" s="208">
        <v>5</v>
      </c>
      <c r="F195" s="527" t="s">
        <v>2052</v>
      </c>
      <c r="G195" s="198" t="s">
        <v>3</v>
      </c>
      <c r="H195" s="198">
        <v>206</v>
      </c>
      <c r="Q195" s="196" t="str">
        <f t="shared" si="1"/>
        <v>5 zeni</v>
      </c>
    </row>
    <row r="196" spans="1:17" x14ac:dyDescent="0.25">
      <c r="A196" s="7" t="s">
        <v>5687</v>
      </c>
      <c r="B196" s="15" t="s">
        <v>4647</v>
      </c>
      <c r="C196" s="206">
        <v>1</v>
      </c>
      <c r="F196" s="527" t="s">
        <v>5080</v>
      </c>
      <c r="G196" s="198" t="s">
        <v>3</v>
      </c>
      <c r="H196" s="198">
        <v>275</v>
      </c>
      <c r="Q196" s="196" t="str">
        <f t="shared" si="1"/>
        <v>1 koku</v>
      </c>
    </row>
    <row r="197" spans="1:17" x14ac:dyDescent="0.25">
      <c r="A197" s="7" t="s">
        <v>4584</v>
      </c>
      <c r="B197" s="15" t="s">
        <v>4650</v>
      </c>
      <c r="E197" s="208">
        <v>10</v>
      </c>
      <c r="F197" s="527" t="s">
        <v>2052</v>
      </c>
      <c r="G197" s="198" t="s">
        <v>3</v>
      </c>
      <c r="H197" s="198">
        <v>205</v>
      </c>
      <c r="Q197" s="196" t="str">
        <f t="shared" si="1"/>
        <v>10 zeni</v>
      </c>
    </row>
    <row r="198" spans="1:17" x14ac:dyDescent="0.25">
      <c r="A198" s="7" t="s">
        <v>4585</v>
      </c>
      <c r="B198" s="15" t="s">
        <v>4650</v>
      </c>
      <c r="D198" s="207">
        <v>1</v>
      </c>
      <c r="F198" s="527" t="s">
        <v>2050</v>
      </c>
      <c r="G198" s="198" t="s">
        <v>3</v>
      </c>
      <c r="H198" s="198">
        <v>205</v>
      </c>
      <c r="Q198" s="196" t="str">
        <f t="shared" si="1"/>
        <v>1 bu</v>
      </c>
    </row>
    <row r="199" spans="1:17" x14ac:dyDescent="0.25">
      <c r="A199" s="7" t="s">
        <v>4567</v>
      </c>
      <c r="B199" s="15" t="s">
        <v>4650</v>
      </c>
      <c r="E199" s="208">
        <v>5</v>
      </c>
      <c r="F199" s="527" t="s">
        <v>5080</v>
      </c>
      <c r="G199" s="198" t="s">
        <v>3</v>
      </c>
      <c r="H199" s="198">
        <v>205</v>
      </c>
      <c r="Q199" s="196" t="str">
        <f t="shared" si="1"/>
        <v>5 zeni</v>
      </c>
    </row>
    <row r="200" spans="1:17" x14ac:dyDescent="0.25">
      <c r="A200" s="7" t="s">
        <v>5085</v>
      </c>
      <c r="B200" s="15" t="s">
        <v>4650</v>
      </c>
      <c r="D200" s="207">
        <v>1</v>
      </c>
      <c r="F200" s="527" t="s">
        <v>2050</v>
      </c>
      <c r="G200" s="198" t="s">
        <v>3</v>
      </c>
      <c r="H200" s="198">
        <v>205</v>
      </c>
      <c r="Q200" s="196" t="str">
        <f t="shared" si="1"/>
        <v>1 bu</v>
      </c>
    </row>
    <row r="201" spans="1:17" x14ac:dyDescent="0.25">
      <c r="A201" s="7" t="s">
        <v>4568</v>
      </c>
      <c r="B201" s="15" t="s">
        <v>4650</v>
      </c>
      <c r="D201" s="207">
        <v>1</v>
      </c>
      <c r="F201" s="527" t="s">
        <v>2050</v>
      </c>
      <c r="G201" s="198" t="s">
        <v>3</v>
      </c>
      <c r="H201" s="198">
        <v>205</v>
      </c>
      <c r="Q201" s="196" t="str">
        <f t="shared" si="1"/>
        <v>1 bu</v>
      </c>
    </row>
    <row r="202" spans="1:17" s="196" customFormat="1" x14ac:dyDescent="0.25">
      <c r="A202" s="7" t="str">
        <f>IF(Contexte_jeu&lt;&gt;"L'Empire Stellaire d'Emeraude","","Caméscope")</f>
        <v/>
      </c>
      <c r="B202" s="15" t="s">
        <v>4650</v>
      </c>
      <c r="C202" s="206">
        <v>1</v>
      </c>
      <c r="D202" s="207"/>
      <c r="E202" s="208"/>
      <c r="F202" s="527" t="s">
        <v>2052</v>
      </c>
      <c r="G202" s="198" t="s">
        <v>7453</v>
      </c>
      <c r="H202" s="198">
        <v>38</v>
      </c>
      <c r="I202" s="163"/>
      <c r="J202" s="163"/>
      <c r="K202" s="163"/>
      <c r="L202" s="163"/>
      <c r="M202" s="163"/>
      <c r="N202" s="163"/>
      <c r="O202" s="5"/>
      <c r="P202" s="163"/>
      <c r="Q202" s="196" t="str">
        <f t="shared" si="1"/>
        <v>1 koku</v>
      </c>
    </row>
    <row r="203" spans="1:17" s="196" customFormat="1" x14ac:dyDescent="0.25">
      <c r="A203" s="7" t="str">
        <f>IF(Contexte_jeu&lt;&gt;"L'Empire Stellaire d'Emeraude","","Carte de crédit")</f>
        <v/>
      </c>
      <c r="B203" s="15" t="s">
        <v>4650</v>
      </c>
      <c r="C203" s="206"/>
      <c r="D203" s="207">
        <v>2</v>
      </c>
      <c r="E203" s="208"/>
      <c r="F203" s="527" t="s">
        <v>2052</v>
      </c>
      <c r="G203" s="198" t="s">
        <v>7453</v>
      </c>
      <c r="H203" s="198">
        <v>38</v>
      </c>
      <c r="I203" s="163"/>
      <c r="J203" s="163"/>
      <c r="K203" s="163"/>
      <c r="L203" s="163"/>
      <c r="M203" s="163"/>
      <c r="N203" s="163"/>
      <c r="O203" s="5"/>
      <c r="P203" s="163"/>
      <c r="Q203" s="196" t="str">
        <f t="shared" si="1"/>
        <v>2 bu</v>
      </c>
    </row>
    <row r="204" spans="1:17" s="196" customFormat="1" x14ac:dyDescent="0.25">
      <c r="A204" s="7" t="str">
        <f>IF(Contexte_jeu&lt;&gt;"L'Empire Stellaire d'Emeraude","","Console de jeu portative")</f>
        <v/>
      </c>
      <c r="B204" s="15" t="s">
        <v>4650</v>
      </c>
      <c r="C204" s="206">
        <v>1</v>
      </c>
      <c r="D204" s="207"/>
      <c r="E204" s="208"/>
      <c r="F204" s="527"/>
      <c r="G204" s="198" t="s">
        <v>7453</v>
      </c>
      <c r="H204" s="198">
        <v>38</v>
      </c>
      <c r="I204" s="163"/>
      <c r="J204" s="163"/>
      <c r="K204" s="163"/>
      <c r="L204" s="163"/>
      <c r="M204" s="163"/>
      <c r="N204" s="163"/>
      <c r="O204" s="5"/>
      <c r="P204" s="163"/>
      <c r="Q204" s="196" t="str">
        <f t="shared" si="1"/>
        <v>1 koku</v>
      </c>
    </row>
    <row r="205" spans="1:17" x14ac:dyDescent="0.25">
      <c r="A205" s="7" t="s">
        <v>4624</v>
      </c>
      <c r="B205" s="15" t="s">
        <v>4650</v>
      </c>
      <c r="E205" s="208">
        <v>5</v>
      </c>
      <c r="F205" s="527" t="s">
        <v>2052</v>
      </c>
      <c r="G205" s="198" t="s">
        <v>3</v>
      </c>
      <c r="H205" s="198">
        <v>206</v>
      </c>
      <c r="Q205" s="196" t="str">
        <f t="shared" si="1"/>
        <v>5 zeni</v>
      </c>
    </row>
    <row r="206" spans="1:17" s="196" customFormat="1" x14ac:dyDescent="0.25">
      <c r="A206" s="7" t="str">
        <f>IF(Contexte_jeu&lt;&gt;"L'Empire Stellaire d'Emeraude","","Cylindre de données")</f>
        <v/>
      </c>
      <c r="B206" s="15" t="s">
        <v>4650</v>
      </c>
      <c r="C206" s="206"/>
      <c r="D206" s="207">
        <v>1</v>
      </c>
      <c r="E206" s="208"/>
      <c r="F206" s="527" t="s">
        <v>2052</v>
      </c>
      <c r="G206" s="198" t="s">
        <v>7453</v>
      </c>
      <c r="H206" s="198">
        <v>38</v>
      </c>
      <c r="I206" s="163"/>
      <c r="J206" s="163"/>
      <c r="K206" s="163"/>
      <c r="L206" s="163"/>
      <c r="M206" s="163"/>
      <c r="N206" s="163"/>
      <c r="O206" s="5"/>
      <c r="P206" s="163"/>
      <c r="Q206" s="196" t="str">
        <f t="shared" si="1"/>
        <v>1 bu</v>
      </c>
    </row>
    <row r="207" spans="1:17" x14ac:dyDescent="0.25">
      <c r="A207" s="7" t="s">
        <v>5584</v>
      </c>
      <c r="B207" s="15" t="s">
        <v>4650</v>
      </c>
      <c r="D207" s="207">
        <v>1</v>
      </c>
      <c r="F207" s="527" t="s">
        <v>5080</v>
      </c>
      <c r="G207" s="198" t="s">
        <v>3</v>
      </c>
      <c r="H207" s="198">
        <v>206</v>
      </c>
      <c r="Q207" s="196" t="str">
        <f t="shared" si="1"/>
        <v>1 bu</v>
      </c>
    </row>
    <row r="208" spans="1:17" s="196" customFormat="1" x14ac:dyDescent="0.25">
      <c r="A208" s="7" t="str">
        <f>IF(Contexte_jeu&lt;&gt;"L'Empire Stellaire d'Emeraude","","Enregistreur/diffuseur radio")</f>
        <v/>
      </c>
      <c r="B208" s="15" t="s">
        <v>4650</v>
      </c>
      <c r="C208" s="206">
        <v>1</v>
      </c>
      <c r="D208" s="207"/>
      <c r="E208" s="208"/>
      <c r="F208" s="527" t="s">
        <v>2052</v>
      </c>
      <c r="G208" s="198" t="s">
        <v>7453</v>
      </c>
      <c r="H208" s="198">
        <v>38</v>
      </c>
      <c r="I208" s="163"/>
      <c r="J208" s="163"/>
      <c r="K208" s="163"/>
      <c r="L208" s="163"/>
      <c r="M208" s="163"/>
      <c r="N208" s="163"/>
      <c r="O208" s="5"/>
      <c r="P208" s="163"/>
      <c r="Q208" s="196" t="str">
        <f t="shared" si="1"/>
        <v>1 koku</v>
      </c>
    </row>
    <row r="209" spans="1:17" x14ac:dyDescent="0.25">
      <c r="A209" s="7" t="s">
        <v>4564</v>
      </c>
      <c r="B209" s="15" t="s">
        <v>4650</v>
      </c>
      <c r="E209" s="208">
        <v>40</v>
      </c>
      <c r="F209" s="527" t="s">
        <v>5080</v>
      </c>
      <c r="G209" s="198" t="s">
        <v>3</v>
      </c>
      <c r="H209" s="198">
        <v>207</v>
      </c>
      <c r="Q209" s="196" t="str">
        <f t="shared" si="1"/>
        <v>40 zeni</v>
      </c>
    </row>
    <row r="210" spans="1:17" x14ac:dyDescent="0.25">
      <c r="A210" s="7" t="s">
        <v>4606</v>
      </c>
      <c r="B210" s="15" t="s">
        <v>4650</v>
      </c>
      <c r="D210" s="207">
        <v>1</v>
      </c>
      <c r="F210" s="527" t="s">
        <v>2052</v>
      </c>
      <c r="G210" s="198" t="s">
        <v>3</v>
      </c>
      <c r="H210" s="198">
        <v>206</v>
      </c>
      <c r="Q210" s="196" t="str">
        <f t="shared" si="1"/>
        <v>1 bu</v>
      </c>
    </row>
    <row r="211" spans="1:17" x14ac:dyDescent="0.25">
      <c r="A211" s="7" t="s">
        <v>4607</v>
      </c>
      <c r="B211" s="15" t="s">
        <v>4650</v>
      </c>
      <c r="E211" s="208">
        <v>3</v>
      </c>
      <c r="F211" s="527" t="s">
        <v>2052</v>
      </c>
      <c r="G211" s="198" t="s">
        <v>3</v>
      </c>
      <c r="H211" s="198">
        <v>206</v>
      </c>
      <c r="Q211" s="196" t="str">
        <f t="shared" ref="Q211:Q293" si="2">CONCATENATE(IF(C211="",CONCATENATE(""),CONCATENATE(C211," koku")),IF(D211="",CONCATENATE(""),CONCATENATE(D211," bu")),IF(E211="",CONCATENATE(""),CONCATENATE(E211," zeni")))</f>
        <v>3 zeni</v>
      </c>
    </row>
    <row r="212" spans="1:17" x14ac:dyDescent="0.25">
      <c r="A212" s="7" t="s">
        <v>4608</v>
      </c>
      <c r="B212" s="15" t="s">
        <v>4650</v>
      </c>
      <c r="E212" s="208">
        <v>2</v>
      </c>
      <c r="F212" s="527" t="s">
        <v>2050</v>
      </c>
      <c r="G212" s="198" t="s">
        <v>3</v>
      </c>
      <c r="H212" s="198">
        <v>206</v>
      </c>
      <c r="Q212" s="196" t="str">
        <f t="shared" si="2"/>
        <v>2 zeni</v>
      </c>
    </row>
    <row r="213" spans="1:17" x14ac:dyDescent="0.25">
      <c r="A213" s="7" t="s">
        <v>4609</v>
      </c>
      <c r="B213" s="15" t="s">
        <v>4650</v>
      </c>
      <c r="D213" s="207">
        <v>4</v>
      </c>
      <c r="F213" s="527" t="s">
        <v>2052</v>
      </c>
      <c r="G213" s="198" t="s">
        <v>3</v>
      </c>
      <c r="H213" s="198">
        <v>206</v>
      </c>
      <c r="Q213" s="196" t="str">
        <f t="shared" si="2"/>
        <v>4 bu</v>
      </c>
    </row>
    <row r="214" spans="1:17" x14ac:dyDescent="0.25">
      <c r="A214" s="7" t="s">
        <v>7679</v>
      </c>
      <c r="B214" s="15" t="s">
        <v>4650</v>
      </c>
      <c r="D214" s="207">
        <v>1</v>
      </c>
      <c r="F214" s="527" t="s">
        <v>2052</v>
      </c>
      <c r="G214" s="198" t="s">
        <v>3</v>
      </c>
      <c r="H214" s="198">
        <v>206</v>
      </c>
      <c r="Q214" s="196" t="str">
        <f t="shared" si="2"/>
        <v>1 bu</v>
      </c>
    </row>
    <row r="215" spans="1:17" x14ac:dyDescent="0.25">
      <c r="A215" s="7" t="s">
        <v>4737</v>
      </c>
      <c r="B215" s="15" t="s">
        <v>4650</v>
      </c>
      <c r="C215" s="206">
        <v>0</v>
      </c>
      <c r="F215" s="527" t="s">
        <v>5080</v>
      </c>
      <c r="G215" s="198" t="s">
        <v>464</v>
      </c>
      <c r="H215" s="198">
        <v>51</v>
      </c>
      <c r="Q215" s="196" t="str">
        <f t="shared" si="2"/>
        <v>0 koku</v>
      </c>
    </row>
    <row r="216" spans="1:17" x14ac:dyDescent="0.25">
      <c r="A216" s="7" t="s">
        <v>4612</v>
      </c>
      <c r="B216" s="15" t="s">
        <v>4650</v>
      </c>
      <c r="C216" s="206">
        <f>IF(Contexte_jeu&lt;&gt;"L'Empire Stellaire d'Emeraude",10,"")</f>
        <v>10</v>
      </c>
      <c r="D216" s="207" t="str">
        <f>IF(Contexte_jeu&lt;&gt;"L'Empire Stellaire d'Emeraude","",1)</f>
        <v/>
      </c>
      <c r="F216" s="527" t="s">
        <v>5080</v>
      </c>
      <c r="G216" s="198" t="s">
        <v>3</v>
      </c>
      <c r="H216" s="198">
        <v>205</v>
      </c>
      <c r="Q216" s="196" t="str">
        <f t="shared" si="2"/>
        <v>10 koku</v>
      </c>
    </row>
    <row r="217" spans="1:17" x14ac:dyDescent="0.25">
      <c r="A217" s="7" t="s">
        <v>4611</v>
      </c>
      <c r="B217" s="15" t="s">
        <v>4650</v>
      </c>
      <c r="E217" s="208">
        <v>3</v>
      </c>
      <c r="F217" s="527" t="s">
        <v>2052</v>
      </c>
      <c r="G217" s="198" t="s">
        <v>3</v>
      </c>
      <c r="H217" s="198">
        <v>206</v>
      </c>
      <c r="Q217" s="196" t="str">
        <f t="shared" si="2"/>
        <v>3 zeni</v>
      </c>
    </row>
    <row r="218" spans="1:17" x14ac:dyDescent="0.25">
      <c r="A218" s="7" t="s">
        <v>4610</v>
      </c>
      <c r="B218" s="15" t="s">
        <v>4650</v>
      </c>
      <c r="C218" s="206">
        <v>1</v>
      </c>
      <c r="F218" s="527" t="s">
        <v>2050</v>
      </c>
      <c r="G218" s="198" t="s">
        <v>3</v>
      </c>
      <c r="H218" s="198">
        <v>206</v>
      </c>
      <c r="Q218" s="196" t="str">
        <f t="shared" si="2"/>
        <v>1 koku</v>
      </c>
    </row>
    <row r="219" spans="1:17" x14ac:dyDescent="0.25">
      <c r="A219" s="7" t="s">
        <v>4569</v>
      </c>
      <c r="B219" s="15" t="s">
        <v>4650</v>
      </c>
      <c r="D219" s="207">
        <v>3</v>
      </c>
      <c r="F219" s="527" t="s">
        <v>2052</v>
      </c>
      <c r="G219" s="198" t="s">
        <v>3</v>
      </c>
      <c r="H219" s="198">
        <v>205</v>
      </c>
      <c r="Q219" s="196" t="str">
        <f t="shared" si="2"/>
        <v>3 bu</v>
      </c>
    </row>
    <row r="220" spans="1:17" x14ac:dyDescent="0.25">
      <c r="A220" s="7" t="s">
        <v>4615</v>
      </c>
      <c r="B220" s="15" t="s">
        <v>4650</v>
      </c>
      <c r="D220" s="207">
        <v>3</v>
      </c>
      <c r="F220" s="527" t="s">
        <v>5080</v>
      </c>
      <c r="G220" s="198" t="s">
        <v>3</v>
      </c>
      <c r="H220" s="198">
        <v>206</v>
      </c>
      <c r="Q220" s="196" t="str">
        <f t="shared" si="2"/>
        <v>3 bu</v>
      </c>
    </row>
    <row r="221" spans="1:17" s="196" customFormat="1" x14ac:dyDescent="0.25">
      <c r="A221" s="7" t="s">
        <v>4614</v>
      </c>
      <c r="B221" s="15" t="s">
        <v>4650</v>
      </c>
      <c r="C221" s="206">
        <f>IF(Contexte_jeu&lt;&gt;"L'Empire Stellaire d'Emeraude",2,"")</f>
        <v>2</v>
      </c>
      <c r="D221" s="207" t="str">
        <f>IF(Contexte_jeu&lt;&gt;"L'Empire Stellaire d'Emeraude","",2)</f>
        <v/>
      </c>
      <c r="E221" s="208"/>
      <c r="F221" s="527" t="s">
        <v>5080</v>
      </c>
      <c r="G221" s="198" t="s">
        <v>3</v>
      </c>
      <c r="H221" s="198">
        <v>206</v>
      </c>
      <c r="I221" s="163"/>
      <c r="J221" s="163"/>
      <c r="K221" s="163"/>
      <c r="L221" s="163"/>
      <c r="M221" s="163"/>
      <c r="N221" s="163"/>
      <c r="O221" s="5"/>
      <c r="P221" s="163"/>
      <c r="Q221" s="196" t="str">
        <f t="shared" si="2"/>
        <v>2 koku</v>
      </c>
    </row>
    <row r="222" spans="1:17" s="196" customFormat="1" x14ac:dyDescent="0.25">
      <c r="A222" s="7" t="str">
        <f>IF(Contexte_jeu&lt;&gt;"L'Empire Stellaire d'Emeraude","","Montre")</f>
        <v/>
      </c>
      <c r="B222" s="15" t="s">
        <v>4650</v>
      </c>
      <c r="C222" s="206">
        <v>1</v>
      </c>
      <c r="D222" s="207"/>
      <c r="E222" s="208"/>
      <c r="F222" s="527" t="s">
        <v>2052</v>
      </c>
      <c r="G222" s="198" t="s">
        <v>7453</v>
      </c>
      <c r="H222" s="198">
        <v>38</v>
      </c>
      <c r="I222" s="163"/>
      <c r="J222" s="163"/>
      <c r="K222" s="163"/>
      <c r="L222" s="163"/>
      <c r="M222" s="163"/>
      <c r="N222" s="163"/>
      <c r="O222" s="5"/>
      <c r="P222" s="163"/>
      <c r="Q222" s="196" t="str">
        <f t="shared" si="2"/>
        <v>1 koku</v>
      </c>
    </row>
    <row r="223" spans="1:17" s="196" customFormat="1" x14ac:dyDescent="0.25">
      <c r="A223" s="7" t="s">
        <v>4616</v>
      </c>
      <c r="B223" s="15" t="s">
        <v>4650</v>
      </c>
      <c r="C223" s="206"/>
      <c r="D223" s="207">
        <v>2</v>
      </c>
      <c r="E223" s="208"/>
      <c r="F223" s="527" t="s">
        <v>2052</v>
      </c>
      <c r="G223" s="198" t="s">
        <v>3</v>
      </c>
      <c r="H223" s="198">
        <v>206</v>
      </c>
      <c r="I223" s="163"/>
      <c r="J223" s="163"/>
      <c r="K223" s="163"/>
      <c r="L223" s="163"/>
      <c r="M223" s="163"/>
      <c r="N223" s="163"/>
      <c r="O223" s="5"/>
      <c r="P223" s="163"/>
      <c r="Q223" s="196" t="str">
        <f t="shared" si="2"/>
        <v>2 bu</v>
      </c>
    </row>
    <row r="224" spans="1:17" s="196" customFormat="1" x14ac:dyDescent="0.25">
      <c r="A224" s="7" t="s">
        <v>4617</v>
      </c>
      <c r="B224" s="15" t="s">
        <v>4650</v>
      </c>
      <c r="C224" s="206"/>
      <c r="D224" s="207">
        <v>2</v>
      </c>
      <c r="E224" s="208"/>
      <c r="F224" s="527" t="s">
        <v>2052</v>
      </c>
      <c r="G224" s="198" t="s">
        <v>3</v>
      </c>
      <c r="H224" s="198">
        <v>206</v>
      </c>
      <c r="I224" s="163"/>
      <c r="J224" s="163"/>
      <c r="K224" s="163"/>
      <c r="L224" s="163"/>
      <c r="M224" s="163"/>
      <c r="N224" s="163"/>
      <c r="O224" s="5"/>
      <c r="P224" s="163"/>
      <c r="Q224" s="196" t="str">
        <f t="shared" si="2"/>
        <v>2 bu</v>
      </c>
    </row>
    <row r="225" spans="1:17" s="196" customFormat="1" x14ac:dyDescent="0.25">
      <c r="A225" s="7" t="s">
        <v>5585</v>
      </c>
      <c r="B225" s="15" t="s">
        <v>4650</v>
      </c>
      <c r="C225" s="206"/>
      <c r="D225" s="207">
        <v>1</v>
      </c>
      <c r="E225" s="208"/>
      <c r="F225" s="527" t="s">
        <v>2050</v>
      </c>
      <c r="G225" s="198" t="s">
        <v>3</v>
      </c>
      <c r="H225" s="198">
        <v>206</v>
      </c>
      <c r="I225" s="163"/>
      <c r="J225" s="163"/>
      <c r="K225" s="163"/>
      <c r="L225" s="163"/>
      <c r="M225" s="163"/>
      <c r="N225" s="163"/>
      <c r="O225" s="5"/>
      <c r="P225" s="163"/>
      <c r="Q225" s="196" t="str">
        <f t="shared" si="2"/>
        <v>1 bu</v>
      </c>
    </row>
    <row r="226" spans="1:17" s="196" customFormat="1" x14ac:dyDescent="0.25">
      <c r="A226" s="7" t="s">
        <v>5586</v>
      </c>
      <c r="B226" s="15" t="s">
        <v>4650</v>
      </c>
      <c r="C226" s="206"/>
      <c r="D226" s="207">
        <v>1</v>
      </c>
      <c r="E226" s="208"/>
      <c r="F226" s="527" t="s">
        <v>2050</v>
      </c>
      <c r="G226" s="198" t="s">
        <v>3</v>
      </c>
      <c r="H226" s="198">
        <v>206</v>
      </c>
      <c r="I226" s="163"/>
      <c r="J226" s="163"/>
      <c r="K226" s="163"/>
      <c r="L226" s="163"/>
      <c r="M226" s="163"/>
      <c r="N226" s="163"/>
      <c r="O226" s="5"/>
      <c r="P226" s="163"/>
      <c r="Q226" s="196" t="str">
        <f t="shared" si="2"/>
        <v>1 bu</v>
      </c>
    </row>
    <row r="227" spans="1:17" s="196" customFormat="1" x14ac:dyDescent="0.25">
      <c r="A227" s="7" t="str">
        <f>IF(Contexte_jeu&lt;&gt;"L'Empire Stellaire d'Emeraude","","Ordinateur portable")</f>
        <v/>
      </c>
      <c r="B227" s="15" t="s">
        <v>4650</v>
      </c>
      <c r="C227" s="206">
        <v>10</v>
      </c>
      <c r="D227" s="207"/>
      <c r="E227" s="208"/>
      <c r="F227" s="527" t="s">
        <v>2052</v>
      </c>
      <c r="G227" s="198" t="s">
        <v>7453</v>
      </c>
      <c r="H227" s="198">
        <v>38</v>
      </c>
      <c r="I227" s="163"/>
      <c r="J227" s="163"/>
      <c r="K227" s="163"/>
      <c r="L227" s="163"/>
      <c r="M227" s="163"/>
      <c r="N227" s="163"/>
      <c r="O227" s="5"/>
      <c r="P227" s="163"/>
      <c r="Q227" s="196" t="str">
        <f t="shared" si="2"/>
        <v>10 koku</v>
      </c>
    </row>
    <row r="228" spans="1:17" s="196" customFormat="1" x14ac:dyDescent="0.25">
      <c r="A228" s="7" t="s">
        <v>4620</v>
      </c>
      <c r="B228" s="15" t="s">
        <v>4650</v>
      </c>
      <c r="C228" s="206"/>
      <c r="D228" s="207">
        <f>IF(Contexte_jeu&lt;&gt;"L'Empire Stellaire d'Emeraude",1,"")</f>
        <v>1</v>
      </c>
      <c r="E228" s="208" t="str">
        <f>IF(Contexte_jeu&lt;&gt;"L'Empire Stellaire d'Emeraude","",1)</f>
        <v/>
      </c>
      <c r="F228" s="527" t="s">
        <v>5080</v>
      </c>
      <c r="G228" s="198" t="s">
        <v>3</v>
      </c>
      <c r="H228" s="198">
        <v>206</v>
      </c>
      <c r="I228" s="163"/>
      <c r="J228" s="163"/>
      <c r="K228" s="163"/>
      <c r="L228" s="163"/>
      <c r="M228" s="163"/>
      <c r="N228" s="163"/>
      <c r="O228" s="5"/>
      <c r="P228" s="163"/>
      <c r="Q228" s="196" t="str">
        <f t="shared" si="2"/>
        <v>1 bu</v>
      </c>
    </row>
    <row r="229" spans="1:17" s="196" customFormat="1" x14ac:dyDescent="0.25">
      <c r="A229" s="7" t="s">
        <v>4613</v>
      </c>
      <c r="B229" s="15" t="s">
        <v>4650</v>
      </c>
      <c r="C229" s="206">
        <f>IF(Contexte_jeu&lt;&gt;"L'Empire Stellaire d'Emeraude",1,"")</f>
        <v>1</v>
      </c>
      <c r="D229" s="207"/>
      <c r="E229" s="208" t="str">
        <f>IF(Contexte_jeu&lt;&gt;"L'Empire Stellaire d'Emeraude","",1)</f>
        <v/>
      </c>
      <c r="F229" s="527" t="s">
        <v>2050</v>
      </c>
      <c r="G229" s="198" t="s">
        <v>3</v>
      </c>
      <c r="H229" s="198">
        <v>206</v>
      </c>
      <c r="I229" s="163"/>
      <c r="J229" s="163"/>
      <c r="K229" s="163"/>
      <c r="L229" s="163"/>
      <c r="M229" s="163"/>
      <c r="N229" s="163"/>
      <c r="O229" s="5"/>
      <c r="P229" s="163"/>
      <c r="Q229" s="196" t="str">
        <f t="shared" si="2"/>
        <v>1 koku</v>
      </c>
    </row>
    <row r="230" spans="1:17" s="196" customFormat="1" x14ac:dyDescent="0.25">
      <c r="A230" s="7" t="s">
        <v>4622</v>
      </c>
      <c r="B230" s="15" t="s">
        <v>4650</v>
      </c>
      <c r="C230" s="206"/>
      <c r="D230" s="207"/>
      <c r="E230" s="208">
        <v>3</v>
      </c>
      <c r="F230" s="527" t="s">
        <v>2050</v>
      </c>
      <c r="G230" s="198" t="s">
        <v>3</v>
      </c>
      <c r="H230" s="198">
        <v>206</v>
      </c>
      <c r="I230" s="163"/>
      <c r="J230" s="163"/>
      <c r="K230" s="163"/>
      <c r="L230" s="163"/>
      <c r="M230" s="163"/>
      <c r="N230" s="163"/>
      <c r="O230" s="5"/>
      <c r="P230" s="163"/>
      <c r="Q230" s="196" t="str">
        <f t="shared" si="2"/>
        <v>3 zeni</v>
      </c>
    </row>
    <row r="231" spans="1:17" s="196" customFormat="1" x14ac:dyDescent="0.25">
      <c r="A231" s="7" t="s">
        <v>4626</v>
      </c>
      <c r="B231" s="15" t="s">
        <v>4650</v>
      </c>
      <c r="C231" s="206"/>
      <c r="D231" s="207">
        <v>3</v>
      </c>
      <c r="E231" s="208"/>
      <c r="F231" s="527" t="s">
        <v>2052</v>
      </c>
      <c r="G231" s="198" t="s">
        <v>3</v>
      </c>
      <c r="H231" s="198">
        <v>206</v>
      </c>
      <c r="I231" s="163"/>
      <c r="J231" s="163"/>
      <c r="K231" s="163"/>
      <c r="L231" s="163"/>
      <c r="M231" s="163"/>
      <c r="N231" s="163"/>
      <c r="O231" s="5"/>
      <c r="P231" s="163"/>
      <c r="Q231" s="196" t="str">
        <f t="shared" si="2"/>
        <v>3 bu</v>
      </c>
    </row>
    <row r="232" spans="1:17" x14ac:dyDescent="0.25">
      <c r="A232" s="7" t="s">
        <v>4631</v>
      </c>
      <c r="B232" s="15" t="s">
        <v>4650</v>
      </c>
      <c r="E232" s="208">
        <v>1</v>
      </c>
      <c r="F232" s="527" t="s">
        <v>2052</v>
      </c>
      <c r="G232" s="198" t="s">
        <v>3</v>
      </c>
      <c r="H232" s="198">
        <v>206</v>
      </c>
      <c r="Q232" s="196" t="str">
        <f t="shared" si="2"/>
        <v>1 zeni</v>
      </c>
    </row>
    <row r="233" spans="1:17" x14ac:dyDescent="0.25">
      <c r="A233" s="7" t="s">
        <v>4632</v>
      </c>
      <c r="B233" s="15" t="s">
        <v>4650</v>
      </c>
      <c r="E233" s="208">
        <v>1</v>
      </c>
      <c r="F233" s="527" t="s">
        <v>2052</v>
      </c>
      <c r="G233" s="198" t="s">
        <v>3</v>
      </c>
      <c r="H233" s="198">
        <v>206</v>
      </c>
      <c r="Q233" s="196" t="str">
        <f t="shared" si="2"/>
        <v>1 zeni</v>
      </c>
    </row>
    <row r="234" spans="1:17" x14ac:dyDescent="0.25">
      <c r="A234" s="7" t="s">
        <v>5084</v>
      </c>
      <c r="B234" s="15" t="s">
        <v>4650</v>
      </c>
      <c r="C234" s="206">
        <v>1</v>
      </c>
      <c r="F234" s="527" t="s">
        <v>2050</v>
      </c>
      <c r="G234" s="198" t="s">
        <v>3</v>
      </c>
      <c r="H234" s="198">
        <v>206</v>
      </c>
      <c r="Q234" s="196" t="str">
        <f t="shared" si="2"/>
        <v>1 koku</v>
      </c>
    </row>
    <row r="235" spans="1:17" s="196" customFormat="1" x14ac:dyDescent="0.25">
      <c r="A235" s="7" t="str">
        <f>IF(Contexte_jeu&lt;&gt;"L'Empire Stellaire d'Emeraude","","Radio portable")</f>
        <v/>
      </c>
      <c r="B235" s="15" t="s">
        <v>4650</v>
      </c>
      <c r="C235" s="206">
        <v>1</v>
      </c>
      <c r="D235" s="207"/>
      <c r="E235" s="208"/>
      <c r="F235" s="527" t="s">
        <v>2052</v>
      </c>
      <c r="G235" s="198" t="s">
        <v>7453</v>
      </c>
      <c r="H235" s="198">
        <v>38</v>
      </c>
      <c r="I235" s="163"/>
      <c r="J235" s="163"/>
      <c r="K235" s="163"/>
      <c r="L235" s="163"/>
      <c r="M235" s="163"/>
      <c r="N235" s="163"/>
      <c r="O235" s="5"/>
      <c r="P235" s="163"/>
      <c r="Q235" s="196" t="str">
        <f t="shared" si="2"/>
        <v>1 koku</v>
      </c>
    </row>
    <row r="236" spans="1:17" x14ac:dyDescent="0.25">
      <c r="A236" s="7" t="s">
        <v>4635</v>
      </c>
      <c r="B236" s="15" t="s">
        <v>4650</v>
      </c>
      <c r="C236" s="206">
        <v>2</v>
      </c>
      <c r="F236" s="527" t="s">
        <v>2050</v>
      </c>
      <c r="G236" s="198" t="s">
        <v>3</v>
      </c>
      <c r="H236" s="198">
        <v>206</v>
      </c>
      <c r="Q236" s="196" t="str">
        <f t="shared" si="2"/>
        <v>2 koku</v>
      </c>
    </row>
    <row r="237" spans="1:17" x14ac:dyDescent="0.25">
      <c r="A237" s="7" t="s">
        <v>4637</v>
      </c>
      <c r="B237" s="15" t="s">
        <v>4650</v>
      </c>
      <c r="D237" s="207">
        <v>4</v>
      </c>
      <c r="F237" s="527" t="s">
        <v>5080</v>
      </c>
      <c r="G237" s="198" t="s">
        <v>3</v>
      </c>
      <c r="H237" s="198">
        <v>206</v>
      </c>
      <c r="Q237" s="196" t="str">
        <f t="shared" si="2"/>
        <v>4 bu</v>
      </c>
    </row>
    <row r="238" spans="1:17" x14ac:dyDescent="0.25">
      <c r="A238" s="7" t="s">
        <v>4628</v>
      </c>
      <c r="B238" s="15" t="s">
        <v>4650</v>
      </c>
      <c r="C238" s="206">
        <v>1</v>
      </c>
      <c r="F238" s="527" t="s">
        <v>2050</v>
      </c>
      <c r="G238" s="198" t="s">
        <v>3</v>
      </c>
      <c r="H238" s="198">
        <v>206</v>
      </c>
      <c r="Q238" s="196" t="str">
        <f t="shared" si="2"/>
        <v>1 koku</v>
      </c>
    </row>
    <row r="239" spans="1:17" x14ac:dyDescent="0.25">
      <c r="A239" s="7" t="s">
        <v>4629</v>
      </c>
      <c r="B239" s="15" t="s">
        <v>4650</v>
      </c>
      <c r="C239" s="206">
        <v>1</v>
      </c>
      <c r="F239" s="527" t="s">
        <v>2050</v>
      </c>
      <c r="G239" s="198" t="s">
        <v>3</v>
      </c>
      <c r="H239" s="198">
        <v>206</v>
      </c>
      <c r="Q239" s="196" t="str">
        <f t="shared" si="2"/>
        <v>1 koku</v>
      </c>
    </row>
    <row r="240" spans="1:17" x14ac:dyDescent="0.25">
      <c r="A240" s="7" t="s">
        <v>4627</v>
      </c>
      <c r="B240" s="15" t="s">
        <v>4650</v>
      </c>
      <c r="D240" s="207">
        <v>3</v>
      </c>
      <c r="F240" s="527" t="s">
        <v>2050</v>
      </c>
      <c r="G240" s="198" t="s">
        <v>3</v>
      </c>
      <c r="H240" s="198">
        <v>206</v>
      </c>
      <c r="Q240" s="196" t="str">
        <f t="shared" si="2"/>
        <v>3 bu</v>
      </c>
    </row>
    <row r="241" spans="1:17" s="196" customFormat="1" x14ac:dyDescent="0.25">
      <c r="A241" s="7" t="str">
        <f>IF(Contexte_jeu&lt;&gt;"L'Empire Stellaire d'Emeraude","","Silencieux")</f>
        <v/>
      </c>
      <c r="B241" s="15" t="s">
        <v>4650</v>
      </c>
      <c r="C241" s="206"/>
      <c r="D241" s="207">
        <v>3</v>
      </c>
      <c r="E241" s="208"/>
      <c r="F241" s="527" t="s">
        <v>5080</v>
      </c>
      <c r="G241" s="198" t="s">
        <v>7453</v>
      </c>
      <c r="H241" s="198">
        <v>38</v>
      </c>
      <c r="I241" s="163"/>
      <c r="J241" s="163"/>
      <c r="K241" s="163"/>
      <c r="L241" s="163"/>
      <c r="M241" s="163"/>
      <c r="N241" s="163"/>
      <c r="O241" s="5"/>
      <c r="P241" s="163"/>
      <c r="Q241" s="196" t="str">
        <f>CONCATENATE(IF(C241="",CONCATENATE(""),CONCATENATE(C241," koku")),IF(D241="",CONCATENATE(""),CONCATENATE(D241," bu")),IF(E241="",CONCATENATE(""),CONCATENATE(E241," zeni")))</f>
        <v>3 bu</v>
      </c>
    </row>
    <row r="242" spans="1:17" x14ac:dyDescent="0.25">
      <c r="A242" s="7" t="str">
        <f>IF(Contexte_jeu&lt;&gt;"L'Empire Stellaire d'Emeraude","","Talkie-Walkie")</f>
        <v/>
      </c>
      <c r="B242" s="15" t="s">
        <v>4650</v>
      </c>
      <c r="C242" s="206">
        <v>1</v>
      </c>
      <c r="F242" s="527" t="s">
        <v>2052</v>
      </c>
      <c r="G242" s="198" t="s">
        <v>7453</v>
      </c>
      <c r="H242" s="198">
        <v>38</v>
      </c>
      <c r="Q242" s="196" t="str">
        <f>CONCATENATE(IF(C242="",CONCATENATE(""),CONCATENATE(C242," koku")),IF(D242="",CONCATENATE(""),CONCATENATE(D242," bu")),IF(E242="",CONCATENATE(""),CONCATENATE(E242," zeni")))</f>
        <v>1 koku</v>
      </c>
    </row>
    <row r="243" spans="1:17" x14ac:dyDescent="0.25">
      <c r="A243" s="7" t="s">
        <v>4583</v>
      </c>
      <c r="B243" s="15" t="s">
        <v>1376</v>
      </c>
      <c r="C243" s="206">
        <v>1</v>
      </c>
      <c r="F243" s="527" t="s">
        <v>2052</v>
      </c>
      <c r="G243" s="198" t="s">
        <v>3</v>
      </c>
      <c r="H243" s="198">
        <v>205</v>
      </c>
      <c r="Q243" s="196" t="str">
        <f t="shared" si="2"/>
        <v>1 koku</v>
      </c>
    </row>
    <row r="244" spans="1:17" x14ac:dyDescent="0.25">
      <c r="A244" s="7" t="s">
        <v>4586</v>
      </c>
      <c r="B244" s="15" t="s">
        <v>1376</v>
      </c>
      <c r="C244" s="206">
        <v>1</v>
      </c>
      <c r="F244" s="527" t="s">
        <v>2050</v>
      </c>
      <c r="G244" s="198" t="s">
        <v>3</v>
      </c>
      <c r="H244" s="198">
        <v>205</v>
      </c>
      <c r="Q244" s="196" t="str">
        <f t="shared" si="2"/>
        <v>1 koku</v>
      </c>
    </row>
    <row r="245" spans="1:17" x14ac:dyDescent="0.25">
      <c r="A245" s="7" t="s">
        <v>4587</v>
      </c>
      <c r="B245" s="15" t="s">
        <v>1376</v>
      </c>
      <c r="E245" s="208">
        <v>1</v>
      </c>
      <c r="F245" s="527" t="s">
        <v>2052</v>
      </c>
      <c r="G245" s="198" t="s">
        <v>3</v>
      </c>
      <c r="H245" s="198">
        <v>205</v>
      </c>
      <c r="Q245" s="196" t="str">
        <f t="shared" si="2"/>
        <v>1 zeni</v>
      </c>
    </row>
    <row r="246" spans="1:17" s="196" customFormat="1" x14ac:dyDescent="0.25">
      <c r="A246" s="7" t="s">
        <v>7294</v>
      </c>
      <c r="B246" s="15" t="s">
        <v>1376</v>
      </c>
      <c r="C246" s="206">
        <v>1</v>
      </c>
      <c r="D246" s="207"/>
      <c r="E246" s="208"/>
      <c r="F246" s="527" t="s">
        <v>5080</v>
      </c>
      <c r="G246" s="198" t="s">
        <v>7295</v>
      </c>
      <c r="H246" s="198">
        <v>101</v>
      </c>
      <c r="I246" s="163">
        <v>1</v>
      </c>
      <c r="J246" s="163" t="s">
        <v>1880</v>
      </c>
      <c r="K246" s="163">
        <v>1</v>
      </c>
      <c r="L246" s="163"/>
      <c r="M246" s="163"/>
      <c r="N246" s="163"/>
      <c r="O246" s="5" t="s">
        <v>5719</v>
      </c>
      <c r="P246" s="163" t="s">
        <v>7296</v>
      </c>
      <c r="Q246" s="196" t="s">
        <v>7297</v>
      </c>
    </row>
    <row r="247" spans="1:17" x14ac:dyDescent="0.25">
      <c r="A247" s="7" t="s">
        <v>4588</v>
      </c>
      <c r="B247" s="15" t="s">
        <v>1376</v>
      </c>
      <c r="D247" s="207">
        <v>1</v>
      </c>
      <c r="F247" s="527" t="s">
        <v>2052</v>
      </c>
      <c r="G247" s="198" t="s">
        <v>3</v>
      </c>
      <c r="H247" s="198">
        <v>205</v>
      </c>
      <c r="Q247" s="196" t="str">
        <f t="shared" si="2"/>
        <v>1 bu</v>
      </c>
    </row>
    <row r="248" spans="1:17" x14ac:dyDescent="0.25">
      <c r="A248" s="7" t="s">
        <v>4589</v>
      </c>
      <c r="B248" s="15" t="s">
        <v>1376</v>
      </c>
      <c r="E248" s="208">
        <v>3</v>
      </c>
      <c r="F248" s="527" t="s">
        <v>2052</v>
      </c>
      <c r="G248" s="198" t="s">
        <v>3</v>
      </c>
      <c r="H248" s="198">
        <v>205</v>
      </c>
      <c r="Q248" s="196" t="str">
        <f t="shared" si="2"/>
        <v>3 zeni</v>
      </c>
    </row>
    <row r="249" spans="1:17" x14ac:dyDescent="0.25">
      <c r="A249" s="7" t="s">
        <v>4591</v>
      </c>
      <c r="B249" s="15" t="s">
        <v>1376</v>
      </c>
      <c r="D249" s="207">
        <v>1</v>
      </c>
      <c r="F249" s="527" t="s">
        <v>2052</v>
      </c>
      <c r="G249" s="198" t="s">
        <v>3</v>
      </c>
      <c r="H249" s="198">
        <v>205</v>
      </c>
      <c r="Q249" s="196" t="str">
        <f t="shared" si="2"/>
        <v>1 bu</v>
      </c>
    </row>
    <row r="250" spans="1:17" x14ac:dyDescent="0.25">
      <c r="A250" s="7" t="s">
        <v>4592</v>
      </c>
      <c r="B250" s="15" t="s">
        <v>1376</v>
      </c>
      <c r="E250" s="208">
        <v>1</v>
      </c>
      <c r="F250" s="527" t="s">
        <v>2052</v>
      </c>
      <c r="G250" s="198" t="s">
        <v>3</v>
      </c>
      <c r="H250" s="198">
        <v>205</v>
      </c>
      <c r="Q250" s="196" t="str">
        <f t="shared" si="2"/>
        <v>1 zeni</v>
      </c>
    </row>
    <row r="251" spans="1:17" s="196" customFormat="1" x14ac:dyDescent="0.25">
      <c r="A251" s="7" t="str">
        <f>IF(Contexte_jeu&lt;&gt;"L'Empire Stellaire d'Emeraude","","Communicateur de poche")</f>
        <v/>
      </c>
      <c r="B251" s="15" t="s">
        <v>1376</v>
      </c>
      <c r="C251" s="206">
        <v>10</v>
      </c>
      <c r="D251" s="207"/>
      <c r="E251" s="208"/>
      <c r="F251" s="527" t="s">
        <v>2052</v>
      </c>
      <c r="G251" s="198" t="s">
        <v>7453</v>
      </c>
      <c r="H251" s="198">
        <v>38</v>
      </c>
      <c r="I251" s="163"/>
      <c r="J251" s="163"/>
      <c r="K251" s="163"/>
      <c r="L251" s="163"/>
      <c r="M251" s="163"/>
      <c r="N251" s="163"/>
      <c r="O251" s="5" t="s">
        <v>881</v>
      </c>
      <c r="P251" s="163"/>
      <c r="Q251" s="196" t="str">
        <f t="shared" si="2"/>
        <v>10 koku</v>
      </c>
    </row>
    <row r="252" spans="1:17" ht="12.6" customHeight="1" x14ac:dyDescent="0.25">
      <c r="A252" s="7" t="s">
        <v>4596</v>
      </c>
      <c r="B252" s="15" t="s">
        <v>1376</v>
      </c>
      <c r="E252" s="208">
        <v>3</v>
      </c>
      <c r="F252" s="527" t="s">
        <v>2052</v>
      </c>
      <c r="G252" s="198" t="s">
        <v>3</v>
      </c>
      <c r="H252" s="198">
        <v>206</v>
      </c>
      <c r="Q252" s="196" t="str">
        <f t="shared" si="2"/>
        <v>3 zeni</v>
      </c>
    </row>
    <row r="253" spans="1:17" x14ac:dyDescent="0.25">
      <c r="A253" s="7" t="s">
        <v>4597</v>
      </c>
      <c r="B253" s="15" t="s">
        <v>1376</v>
      </c>
      <c r="D253" s="207">
        <v>1</v>
      </c>
      <c r="F253" s="527" t="s">
        <v>2052</v>
      </c>
      <c r="G253" s="198" t="s">
        <v>3</v>
      </c>
      <c r="H253" s="198">
        <v>206</v>
      </c>
      <c r="Q253" s="196" t="str">
        <f t="shared" si="2"/>
        <v>1 bu</v>
      </c>
    </row>
    <row r="254" spans="1:17" x14ac:dyDescent="0.25">
      <c r="A254" s="7" t="s">
        <v>4598</v>
      </c>
      <c r="B254" s="15" t="s">
        <v>1376</v>
      </c>
      <c r="D254" s="207">
        <v>4</v>
      </c>
      <c r="F254" s="527" t="s">
        <v>2050</v>
      </c>
      <c r="G254" s="198" t="s">
        <v>3</v>
      </c>
      <c r="H254" s="198">
        <v>206</v>
      </c>
      <c r="Q254" s="196" t="str">
        <f t="shared" si="2"/>
        <v>4 bu</v>
      </c>
    </row>
    <row r="255" spans="1:17" x14ac:dyDescent="0.25">
      <c r="A255" s="7" t="s">
        <v>4599</v>
      </c>
      <c r="B255" s="15" t="s">
        <v>1376</v>
      </c>
      <c r="E255" s="208">
        <v>25</v>
      </c>
      <c r="F255" s="527" t="s">
        <v>2052</v>
      </c>
      <c r="G255" s="198" t="s">
        <v>3</v>
      </c>
      <c r="H255" s="198">
        <v>206</v>
      </c>
      <c r="Q255" s="196" t="str">
        <f t="shared" si="2"/>
        <v>25 zeni</v>
      </c>
    </row>
    <row r="256" spans="1:17" x14ac:dyDescent="0.25">
      <c r="A256" s="7" t="s">
        <v>4600</v>
      </c>
      <c r="B256" s="15" t="s">
        <v>1376</v>
      </c>
      <c r="C256" s="206">
        <v>1</v>
      </c>
      <c r="F256" s="527" t="s">
        <v>5080</v>
      </c>
      <c r="G256" s="198" t="s">
        <v>3</v>
      </c>
      <c r="H256" s="198">
        <v>206</v>
      </c>
      <c r="Q256" s="196" t="str">
        <f t="shared" si="2"/>
        <v>1 koku</v>
      </c>
    </row>
    <row r="257" spans="1:17" x14ac:dyDescent="0.25">
      <c r="A257" s="7" t="s">
        <v>5083</v>
      </c>
      <c r="B257" s="15" t="s">
        <v>1376</v>
      </c>
      <c r="C257" s="206">
        <v>1</v>
      </c>
      <c r="F257" s="527" t="s">
        <v>2050</v>
      </c>
      <c r="G257" s="198" t="s">
        <v>3</v>
      </c>
      <c r="H257" s="198">
        <v>206</v>
      </c>
      <c r="Q257" s="196" t="str">
        <f t="shared" si="2"/>
        <v>1 koku</v>
      </c>
    </row>
    <row r="258" spans="1:17" x14ac:dyDescent="0.25">
      <c r="A258" s="7" t="s">
        <v>4604</v>
      </c>
      <c r="B258" s="15" t="s">
        <v>1376</v>
      </c>
      <c r="D258" s="207">
        <v>1</v>
      </c>
      <c r="F258" s="527" t="s">
        <v>2050</v>
      </c>
      <c r="G258" s="198" t="s">
        <v>3</v>
      </c>
      <c r="H258" s="198">
        <v>206</v>
      </c>
      <c r="Q258" s="196" t="str">
        <f t="shared" si="2"/>
        <v>1 bu</v>
      </c>
    </row>
    <row r="259" spans="1:17" x14ac:dyDescent="0.25">
      <c r="A259" s="7" t="s">
        <v>4605</v>
      </c>
      <c r="B259" s="15" t="s">
        <v>1376</v>
      </c>
      <c r="E259" s="208">
        <v>3</v>
      </c>
      <c r="F259" s="527" t="s">
        <v>2052</v>
      </c>
      <c r="G259" s="198" t="s">
        <v>3</v>
      </c>
      <c r="H259" s="198">
        <v>206</v>
      </c>
      <c r="Q259" s="196" t="str">
        <f t="shared" si="2"/>
        <v>3 zeni</v>
      </c>
    </row>
    <row r="260" spans="1:17" s="196" customFormat="1" x14ac:dyDescent="0.25">
      <c r="A260" s="7" t="str">
        <f>IF(Contexte_jeu&lt;&gt;"L'Empire Stellaire d'Emeraude","","Kit de Sécurité")</f>
        <v/>
      </c>
      <c r="B260" s="15" t="s">
        <v>1376</v>
      </c>
      <c r="C260" s="206">
        <v>30</v>
      </c>
      <c r="D260" s="207"/>
      <c r="E260" s="208"/>
      <c r="F260" s="527" t="s">
        <v>2052</v>
      </c>
      <c r="G260" s="198" t="s">
        <v>7453</v>
      </c>
      <c r="H260" s="198">
        <v>38</v>
      </c>
      <c r="I260" s="163"/>
      <c r="J260" s="163"/>
      <c r="K260" s="163"/>
      <c r="L260" s="163"/>
      <c r="M260" s="163"/>
      <c r="N260" s="163"/>
      <c r="O260" s="5" t="s">
        <v>881</v>
      </c>
      <c r="P260" s="163" t="s">
        <v>7677</v>
      </c>
      <c r="Q260" s="196" t="str">
        <f>CONCATENATE(IF(C260="",CONCATENATE(""),CONCATENATE(C260," koku")),IF(D260="",CONCATENATE(""),CONCATENATE(D260," bu")),IF(E260="",CONCATENATE(""),CONCATENATE(E260," zeni")))</f>
        <v>30 koku</v>
      </c>
    </row>
    <row r="261" spans="1:17" s="196" customFormat="1" x14ac:dyDescent="0.25">
      <c r="A261" s="7" t="str">
        <f>IF(Contexte_jeu&lt;&gt;"L'Empire Stellaire d'Emeraude","","Lanceur de fusées de détresse")</f>
        <v/>
      </c>
      <c r="B261" s="15" t="s">
        <v>1376</v>
      </c>
      <c r="C261" s="206">
        <v>1</v>
      </c>
      <c r="D261" s="207"/>
      <c r="E261" s="208"/>
      <c r="F261" s="527" t="s">
        <v>5080</v>
      </c>
      <c r="G261" s="198" t="s">
        <v>7453</v>
      </c>
      <c r="H261" s="198">
        <v>38</v>
      </c>
      <c r="I261" s="163"/>
      <c r="J261" s="163"/>
      <c r="K261" s="163"/>
      <c r="L261" s="163"/>
      <c r="M261" s="163"/>
      <c r="N261" s="163"/>
      <c r="O261" s="5"/>
      <c r="P261" s="163"/>
      <c r="Q261" s="196" t="str">
        <f>CONCATENATE(IF(C261="",CONCATENATE(""),CONCATENATE(C261," koku")),IF(D261="",CONCATENATE(""),CONCATENATE(D261," bu")),IF(E261="",CONCATENATE(""),CONCATENATE(E261," zeni")))</f>
        <v>1 koku</v>
      </c>
    </row>
    <row r="262" spans="1:17" s="196" customFormat="1" x14ac:dyDescent="0.25">
      <c r="A262" s="7" t="str">
        <f>IF(Contexte_jeu&lt;&gt;"L'Empire Stellaire d'Emeraude","","Lunettes de vision nocturne")</f>
        <v/>
      </c>
      <c r="B262" s="15" t="s">
        <v>1376</v>
      </c>
      <c r="C262" s="206">
        <v>24</v>
      </c>
      <c r="D262" s="207"/>
      <c r="E262" s="208"/>
      <c r="F262" s="527" t="s">
        <v>2052</v>
      </c>
      <c r="G262" s="198" t="s">
        <v>7453</v>
      </c>
      <c r="H262" s="198">
        <v>38</v>
      </c>
      <c r="I262" s="163"/>
      <c r="J262" s="163"/>
      <c r="K262" s="163"/>
      <c r="L262" s="163"/>
      <c r="M262" s="163"/>
      <c r="N262" s="163"/>
      <c r="O262" s="5" t="s">
        <v>7678</v>
      </c>
      <c r="P262" s="163"/>
      <c r="Q262" s="196" t="str">
        <f>CONCATENATE(IF(C262="",CONCATENATE(""),CONCATENATE(C262," koku")),IF(D262="",CONCATENATE(""),CONCATENATE(D262," bu")),IF(E262="",CONCATENATE(""),CONCATENATE(E262," zeni")))</f>
        <v>24 koku</v>
      </c>
    </row>
    <row r="263" spans="1:17" x14ac:dyDescent="0.25">
      <c r="A263" s="7" t="s">
        <v>4618</v>
      </c>
      <c r="B263" s="15" t="s">
        <v>1376</v>
      </c>
      <c r="D263" s="207">
        <v>2</v>
      </c>
      <c r="F263" s="527" t="s">
        <v>2050</v>
      </c>
      <c r="G263" s="198" t="s">
        <v>3</v>
      </c>
      <c r="H263" s="198">
        <v>206</v>
      </c>
      <c r="Q263" s="196" t="str">
        <f t="shared" si="2"/>
        <v>2 bu</v>
      </c>
    </row>
    <row r="264" spans="1:17" s="196" customFormat="1" x14ac:dyDescent="0.25">
      <c r="A264" s="7" t="str">
        <f>IF(Contexte_jeu&lt;&gt;"L'Empire Stellaire d'Emeraude","","Mempo Atsuryoku")</f>
        <v/>
      </c>
      <c r="B264" s="15" t="s">
        <v>1376</v>
      </c>
      <c r="C264" s="206"/>
      <c r="D264" s="207">
        <v>5</v>
      </c>
      <c r="E264" s="208"/>
      <c r="F264" s="527" t="s">
        <v>2052</v>
      </c>
      <c r="G264" s="198" t="s">
        <v>7453</v>
      </c>
      <c r="H264" s="198">
        <v>38</v>
      </c>
      <c r="I264" s="163"/>
      <c r="J264" s="163"/>
      <c r="K264" s="163"/>
      <c r="L264" s="163"/>
      <c r="M264" s="163"/>
      <c r="N264" s="163"/>
      <c r="O264" s="5"/>
      <c r="P264" s="163" t="s">
        <v>7676</v>
      </c>
      <c r="Q264" s="196" t="str">
        <f t="shared" si="2"/>
        <v>5 bu</v>
      </c>
    </row>
    <row r="265" spans="1:17" x14ac:dyDescent="0.25">
      <c r="A265" s="7" t="s">
        <v>4467</v>
      </c>
      <c r="B265" s="15" t="s">
        <v>1376</v>
      </c>
      <c r="C265" s="206">
        <v>10</v>
      </c>
      <c r="F265" s="527" t="s">
        <v>5080</v>
      </c>
      <c r="G265" s="198" t="s">
        <v>3</v>
      </c>
      <c r="H265" s="198">
        <v>206</v>
      </c>
      <c r="Q265" s="196" t="str">
        <f t="shared" si="2"/>
        <v>10 koku</v>
      </c>
    </row>
    <row r="266" spans="1:17" x14ac:dyDescent="0.25">
      <c r="A266" s="7" t="s">
        <v>4621</v>
      </c>
      <c r="B266" s="15" t="s">
        <v>1376</v>
      </c>
      <c r="D266" s="207">
        <v>2</v>
      </c>
      <c r="F266" s="527" t="s">
        <v>2052</v>
      </c>
      <c r="G266" s="198" t="s">
        <v>3</v>
      </c>
      <c r="H266" s="198">
        <v>206</v>
      </c>
      <c r="Q266" s="196" t="str">
        <f t="shared" si="2"/>
        <v>2 bu</v>
      </c>
    </row>
    <row r="267" spans="1:17" x14ac:dyDescent="0.25">
      <c r="A267" s="7" t="s">
        <v>4623</v>
      </c>
      <c r="B267" s="15" t="s">
        <v>1376</v>
      </c>
      <c r="E267" s="208">
        <v>5</v>
      </c>
      <c r="F267" s="527" t="s">
        <v>2052</v>
      </c>
      <c r="G267" s="198" t="s">
        <v>3</v>
      </c>
      <c r="H267" s="198">
        <v>206</v>
      </c>
      <c r="Q267" s="196" t="str">
        <f t="shared" si="2"/>
        <v>5 zeni</v>
      </c>
    </row>
    <row r="268" spans="1:17" s="196" customFormat="1" x14ac:dyDescent="0.25">
      <c r="A268" s="7" t="str">
        <f>IF(Contexte_jeu&lt;&gt;"L'Empire Stellaire d'Emeraude","","Puce de Traçage")</f>
        <v/>
      </c>
      <c r="B268" s="15" t="s">
        <v>1376</v>
      </c>
      <c r="C268" s="206">
        <v>40</v>
      </c>
      <c r="D268" s="207"/>
      <c r="E268" s="208"/>
      <c r="F268" s="527" t="s">
        <v>2052</v>
      </c>
      <c r="G268" s="198" t="s">
        <v>7453</v>
      </c>
      <c r="H268" s="198">
        <v>38</v>
      </c>
      <c r="I268" s="163"/>
      <c r="J268" s="163"/>
      <c r="K268" s="163"/>
      <c r="L268" s="163"/>
      <c r="M268" s="163"/>
      <c r="N268" s="163"/>
      <c r="O268" s="5" t="s">
        <v>881</v>
      </c>
      <c r="P268" s="163"/>
      <c r="Q268" s="196" t="str">
        <f t="shared" si="2"/>
        <v>40 koku</v>
      </c>
    </row>
    <row r="269" spans="1:17" s="196" customFormat="1" x14ac:dyDescent="0.25">
      <c r="A269" s="7" t="str">
        <f>IF(Contexte_jeu&lt;&gt;"L'Empire Stellaire d'Emeraude","","Puce d'écoute")</f>
        <v/>
      </c>
      <c r="B269" s="15" t="s">
        <v>1376</v>
      </c>
      <c r="C269" s="206">
        <v>40</v>
      </c>
      <c r="D269" s="207"/>
      <c r="E269" s="208"/>
      <c r="F269" s="527" t="s">
        <v>2052</v>
      </c>
      <c r="G269" s="198" t="s">
        <v>7453</v>
      </c>
      <c r="H269" s="198">
        <v>38</v>
      </c>
      <c r="I269" s="163"/>
      <c r="J269" s="163"/>
      <c r="K269" s="163"/>
      <c r="L269" s="163"/>
      <c r="M269" s="163"/>
      <c r="N269" s="163"/>
      <c r="O269" s="5" t="s">
        <v>881</v>
      </c>
      <c r="P269" s="163"/>
      <c r="Q269" s="196" t="str">
        <f>CONCATENATE(IF(C269="",CONCATENATE(""),CONCATENATE(C269," koku")),IF(D269="",CONCATENATE(""),CONCATENATE(D269," bu")),IF(E269="",CONCATENATE(""),CONCATENATE(E269," zeni")))</f>
        <v>40 koku</v>
      </c>
    </row>
    <row r="270" spans="1:17" x14ac:dyDescent="0.25">
      <c r="A270" s="7" t="s">
        <v>5688</v>
      </c>
      <c r="B270" s="15" t="s">
        <v>1376</v>
      </c>
      <c r="C270" s="206">
        <v>1</v>
      </c>
      <c r="F270" s="527" t="s">
        <v>5080</v>
      </c>
      <c r="G270" s="198" t="s">
        <v>3</v>
      </c>
      <c r="H270" s="198">
        <v>320</v>
      </c>
      <c r="Q270" s="196" t="str">
        <f t="shared" si="2"/>
        <v>1 koku</v>
      </c>
    </row>
    <row r="271" spans="1:17" x14ac:dyDescent="0.25">
      <c r="A271" s="7" t="s">
        <v>4625</v>
      </c>
      <c r="B271" s="15" t="s">
        <v>1376</v>
      </c>
      <c r="D271" s="207">
        <v>3</v>
      </c>
      <c r="F271" s="527" t="s">
        <v>2052</v>
      </c>
      <c r="G271" s="198" t="s">
        <v>3</v>
      </c>
      <c r="H271" s="198">
        <v>206</v>
      </c>
      <c r="Q271" s="196" t="str">
        <f t="shared" si="2"/>
        <v>3 bu</v>
      </c>
    </row>
    <row r="272" spans="1:17" x14ac:dyDescent="0.25">
      <c r="A272" s="7" t="s">
        <v>4639</v>
      </c>
      <c r="B272" s="15" t="s">
        <v>1376</v>
      </c>
      <c r="E272" s="208">
        <v>2</v>
      </c>
      <c r="F272" s="527" t="s">
        <v>2052</v>
      </c>
      <c r="G272" s="198" t="s">
        <v>3</v>
      </c>
      <c r="H272" s="198">
        <v>206</v>
      </c>
      <c r="Q272" s="196" t="str">
        <f t="shared" si="2"/>
        <v>2 zeni</v>
      </c>
    </row>
    <row r="273" spans="1:17" x14ac:dyDescent="0.25">
      <c r="A273" s="7" t="s">
        <v>4640</v>
      </c>
      <c r="B273" s="15" t="s">
        <v>1376</v>
      </c>
      <c r="C273" s="206">
        <v>10</v>
      </c>
      <c r="F273" s="527" t="s">
        <v>5080</v>
      </c>
      <c r="G273" s="198" t="s">
        <v>3</v>
      </c>
      <c r="H273" s="198">
        <v>206</v>
      </c>
      <c r="Q273" s="196" t="str">
        <f t="shared" si="2"/>
        <v>10 koku</v>
      </c>
    </row>
    <row r="274" spans="1:17" x14ac:dyDescent="0.25">
      <c r="A274" s="7" t="s">
        <v>4630</v>
      </c>
      <c r="B274" s="15" t="s">
        <v>1376</v>
      </c>
      <c r="C274" s="206">
        <v>1</v>
      </c>
      <c r="F274" s="527" t="s">
        <v>2050</v>
      </c>
      <c r="G274" s="198" t="s">
        <v>3</v>
      </c>
      <c r="H274" s="198">
        <v>206</v>
      </c>
      <c r="Q274" s="196" t="str">
        <f t="shared" si="2"/>
        <v>1 koku</v>
      </c>
    </row>
    <row r="275" spans="1:17" x14ac:dyDescent="0.25">
      <c r="A275" s="7" t="s">
        <v>4641</v>
      </c>
      <c r="B275" s="15" t="s">
        <v>1376</v>
      </c>
      <c r="C275" s="206">
        <v>20</v>
      </c>
      <c r="F275" s="527" t="s">
        <v>5080</v>
      </c>
      <c r="G275" s="198" t="s">
        <v>3</v>
      </c>
      <c r="H275" s="198">
        <v>206</v>
      </c>
      <c r="Q275" s="196" t="str">
        <f t="shared" si="2"/>
        <v>20 koku</v>
      </c>
    </row>
    <row r="276" spans="1:17" x14ac:dyDescent="0.25">
      <c r="A276" s="7" t="s">
        <v>4578</v>
      </c>
      <c r="B276" s="286" t="s">
        <v>1376</v>
      </c>
      <c r="C276" s="209"/>
      <c r="D276" s="210" t="s">
        <v>2844</v>
      </c>
      <c r="E276" s="211"/>
      <c r="F276" s="286" t="s">
        <v>2052</v>
      </c>
      <c r="G276" s="198" t="s">
        <v>4403</v>
      </c>
      <c r="H276" s="198">
        <v>175</v>
      </c>
      <c r="I276" s="163">
        <f>Force</f>
        <v>2</v>
      </c>
      <c r="J276" s="163" t="s">
        <v>1880</v>
      </c>
      <c r="K276" s="163">
        <v>1</v>
      </c>
      <c r="O276" s="5" t="s">
        <v>5861</v>
      </c>
      <c r="P276" s="163" t="s">
        <v>5862</v>
      </c>
      <c r="Q276" s="196" t="str">
        <f t="shared" si="2"/>
        <v>1 bu</v>
      </c>
    </row>
    <row r="277" spans="1:17" s="196" customFormat="1" x14ac:dyDescent="0.25">
      <c r="A277" s="7" t="s">
        <v>8120</v>
      </c>
      <c r="B277" s="287" t="s">
        <v>291</v>
      </c>
      <c r="C277" s="206"/>
      <c r="D277" s="207"/>
      <c r="E277" s="208"/>
      <c r="F277" s="151" t="s">
        <v>5080</v>
      </c>
      <c r="G277" s="198" t="s">
        <v>7453</v>
      </c>
      <c r="H277" s="198">
        <v>86</v>
      </c>
      <c r="I277" s="163">
        <f>Force+1</f>
        <v>3</v>
      </c>
      <c r="J277" s="163" t="s">
        <v>1880</v>
      </c>
      <c r="K277" s="163">
        <v>1</v>
      </c>
      <c r="O277" s="5" t="s">
        <v>8190</v>
      </c>
      <c r="P277" s="270" t="s">
        <v>8164</v>
      </c>
      <c r="Q277" s="196" t="s">
        <v>5968</v>
      </c>
    </row>
    <row r="278" spans="1:17" x14ac:dyDescent="0.25">
      <c r="A278" s="7" t="s">
        <v>4548</v>
      </c>
      <c r="B278" s="287" t="s">
        <v>291</v>
      </c>
      <c r="C278" s="215">
        <v>5</v>
      </c>
      <c r="D278" s="216"/>
      <c r="E278" s="217"/>
      <c r="F278" s="529" t="s">
        <v>2050</v>
      </c>
      <c r="G278" s="198" t="s">
        <v>3</v>
      </c>
      <c r="H278" s="198">
        <v>203</v>
      </c>
      <c r="I278" s="163">
        <f>Force</f>
        <v>2</v>
      </c>
      <c r="J278" s="163" t="s">
        <v>1880</v>
      </c>
      <c r="K278" s="163">
        <v>1</v>
      </c>
      <c r="O278" s="5" t="s">
        <v>5719</v>
      </c>
      <c r="P278" s="270" t="s">
        <v>2078</v>
      </c>
      <c r="Q278" s="196" t="str">
        <f t="shared" si="2"/>
        <v>5 koku</v>
      </c>
    </row>
    <row r="279" spans="1:17" s="196" customFormat="1" x14ac:dyDescent="0.25">
      <c r="A279" s="7" t="s">
        <v>8121</v>
      </c>
      <c r="B279" s="287" t="s">
        <v>291</v>
      </c>
      <c r="C279" s="206"/>
      <c r="D279" s="207"/>
      <c r="E279" s="208"/>
      <c r="F279" s="151" t="s">
        <v>5080</v>
      </c>
      <c r="G279" s="198" t="s">
        <v>7453</v>
      </c>
      <c r="H279" s="198">
        <v>92</v>
      </c>
      <c r="I279" s="163">
        <f>Force+1</f>
        <v>3</v>
      </c>
      <c r="J279" s="163" t="s">
        <v>1880</v>
      </c>
      <c r="K279" s="163">
        <v>0</v>
      </c>
      <c r="O279" s="5" t="s">
        <v>8191</v>
      </c>
      <c r="P279" s="270" t="s">
        <v>8151</v>
      </c>
      <c r="Q279" s="196" t="s">
        <v>5968</v>
      </c>
    </row>
    <row r="280" spans="1:17" s="196" customFormat="1" x14ac:dyDescent="0.25">
      <c r="A280" s="7" t="s">
        <v>8144</v>
      </c>
      <c r="B280" s="287" t="s">
        <v>291</v>
      </c>
      <c r="C280" s="206"/>
      <c r="D280" s="207"/>
      <c r="E280" s="208"/>
      <c r="F280" s="151" t="s">
        <v>5080</v>
      </c>
      <c r="G280" s="198" t="s">
        <v>7453</v>
      </c>
      <c r="H280" s="198">
        <v>92</v>
      </c>
      <c r="I280" s="163">
        <f>Force+1</f>
        <v>3</v>
      </c>
      <c r="J280" s="163" t="s">
        <v>1880</v>
      </c>
      <c r="K280" s="163">
        <v>1</v>
      </c>
      <c r="O280" s="5" t="s">
        <v>8189</v>
      </c>
      <c r="P280" s="270" t="s">
        <v>8182</v>
      </c>
      <c r="Q280" s="196" t="s">
        <v>5968</v>
      </c>
    </row>
    <row r="281" spans="1:17" x14ac:dyDescent="0.25">
      <c r="A281" s="7" t="s">
        <v>4558</v>
      </c>
      <c r="B281" s="15" t="s">
        <v>4649</v>
      </c>
      <c r="E281" s="208">
        <v>75</v>
      </c>
      <c r="F281" s="527" t="s">
        <v>2052</v>
      </c>
      <c r="G281" s="198" t="s">
        <v>3</v>
      </c>
      <c r="H281" s="198">
        <v>207</v>
      </c>
      <c r="Q281" s="196" t="str">
        <f t="shared" si="2"/>
        <v>75 zeni</v>
      </c>
    </row>
    <row r="282" spans="1:17" s="196" customFormat="1" x14ac:dyDescent="0.25">
      <c r="A282" s="7" t="s">
        <v>7674</v>
      </c>
      <c r="B282" s="15" t="s">
        <v>4649</v>
      </c>
      <c r="C282" s="206"/>
      <c r="D282" s="207">
        <v>3</v>
      </c>
      <c r="E282" s="208"/>
      <c r="F282" s="527" t="s">
        <v>5080</v>
      </c>
      <c r="G282" s="198" t="s">
        <v>7453</v>
      </c>
      <c r="H282" s="198">
        <v>38</v>
      </c>
      <c r="I282" s="163"/>
      <c r="J282" s="163"/>
      <c r="K282" s="163"/>
      <c r="L282" s="163"/>
      <c r="M282" s="163"/>
      <c r="N282" s="163"/>
      <c r="O282" s="5"/>
      <c r="P282" s="270" t="s">
        <v>7675</v>
      </c>
      <c r="Q282" s="196" t="str">
        <f t="shared" si="2"/>
        <v>3 bu</v>
      </c>
    </row>
    <row r="283" spans="1:17" x14ac:dyDescent="0.25">
      <c r="A283" s="7" t="s">
        <v>4557</v>
      </c>
      <c r="B283" s="15" t="s">
        <v>4649</v>
      </c>
      <c r="E283" s="208">
        <v>1</v>
      </c>
      <c r="F283" s="527" t="s">
        <v>2052</v>
      </c>
      <c r="G283" s="198" t="s">
        <v>3</v>
      </c>
      <c r="H283" s="198">
        <v>207</v>
      </c>
      <c r="P283" s="270"/>
      <c r="Q283" s="196" t="str">
        <f>CONCATENATE(IF(C283="",CONCATENATE(""),CONCATENATE(C283," koku")),IF(D283="",CONCATENATE(""),CONCATENATE(D283," bu")),IF(E283="",CONCATENATE(""),CONCATENATE(E283," zeni")))</f>
        <v>1 zeni</v>
      </c>
    </row>
    <row r="284" spans="1:17" x14ac:dyDescent="0.25">
      <c r="A284" s="7" t="s">
        <v>4565</v>
      </c>
      <c r="B284" s="15" t="s">
        <v>4649</v>
      </c>
      <c r="D284" s="207">
        <v>2</v>
      </c>
      <c r="F284" s="527" t="s">
        <v>5080</v>
      </c>
      <c r="G284" s="198" t="s">
        <v>3</v>
      </c>
      <c r="H284" s="198">
        <v>207</v>
      </c>
      <c r="P284" s="270"/>
      <c r="Q284" s="196" t="str">
        <f t="shared" si="2"/>
        <v>2 bu</v>
      </c>
    </row>
    <row r="285" spans="1:17" x14ac:dyDescent="0.25">
      <c r="A285" s="7" t="s">
        <v>4469</v>
      </c>
      <c r="B285" s="15" t="s">
        <v>4649</v>
      </c>
      <c r="E285" s="208">
        <v>75</v>
      </c>
      <c r="F285" s="527" t="s">
        <v>2052</v>
      </c>
      <c r="G285" s="198" t="s">
        <v>3</v>
      </c>
      <c r="H285" s="198">
        <v>207</v>
      </c>
      <c r="P285" s="270"/>
      <c r="Q285" s="196" t="str">
        <f t="shared" si="2"/>
        <v>75 zeni</v>
      </c>
    </row>
    <row r="286" spans="1:17" x14ac:dyDescent="0.25">
      <c r="A286" s="7" t="s">
        <v>4470</v>
      </c>
      <c r="B286" s="15" t="s">
        <v>4649</v>
      </c>
      <c r="E286" s="208">
        <v>25</v>
      </c>
      <c r="F286" s="527" t="s">
        <v>2050</v>
      </c>
      <c r="G286" s="198" t="s">
        <v>3</v>
      </c>
      <c r="H286" s="198">
        <v>207</v>
      </c>
      <c r="P286" s="270"/>
      <c r="Q286" s="196" t="str">
        <f t="shared" si="2"/>
        <v>25 zeni</v>
      </c>
    </row>
    <row r="287" spans="1:17" x14ac:dyDescent="0.25">
      <c r="A287" s="7" t="s">
        <v>4472</v>
      </c>
      <c r="B287" s="15" t="s">
        <v>4649</v>
      </c>
      <c r="E287" s="208">
        <v>40</v>
      </c>
      <c r="F287" s="527" t="s">
        <v>2050</v>
      </c>
      <c r="G287" s="198" t="s">
        <v>3</v>
      </c>
      <c r="H287" s="198">
        <v>207</v>
      </c>
      <c r="P287" s="270"/>
      <c r="Q287" s="196" t="str">
        <f t="shared" si="2"/>
        <v>40 zeni</v>
      </c>
    </row>
    <row r="288" spans="1:17" x14ac:dyDescent="0.25">
      <c r="A288" s="7" t="s">
        <v>4473</v>
      </c>
      <c r="B288" s="15" t="s">
        <v>4649</v>
      </c>
      <c r="D288" s="207">
        <v>1</v>
      </c>
      <c r="F288" s="527" t="s">
        <v>2052</v>
      </c>
      <c r="G288" s="198" t="s">
        <v>3</v>
      </c>
      <c r="H288" s="198">
        <v>207</v>
      </c>
      <c r="P288" s="270"/>
      <c r="Q288" s="196" t="str">
        <f t="shared" si="2"/>
        <v>1 bu</v>
      </c>
    </row>
    <row r="289" spans="1:17" s="196" customFormat="1" x14ac:dyDescent="0.25">
      <c r="A289" s="7" t="str">
        <f>IF(Contexte_jeu&lt;&gt;"L'Empire Stellaire d'Emeraude","","Lunettes de soleil")</f>
        <v/>
      </c>
      <c r="B289" s="15" t="s">
        <v>4649</v>
      </c>
      <c r="C289" s="206"/>
      <c r="D289" s="207">
        <v>5</v>
      </c>
      <c r="E289" s="208"/>
      <c r="F289" s="527"/>
      <c r="G289" s="198" t="s">
        <v>7453</v>
      </c>
      <c r="H289" s="198">
        <v>38</v>
      </c>
      <c r="I289" s="163"/>
      <c r="J289" s="163"/>
      <c r="K289" s="163"/>
      <c r="L289" s="163"/>
      <c r="M289" s="163"/>
      <c r="N289" s="163"/>
      <c r="O289" s="5"/>
      <c r="P289" s="270"/>
      <c r="Q289" s="196" t="str">
        <f t="shared" si="2"/>
        <v>5 bu</v>
      </c>
    </row>
    <row r="290" spans="1:17" x14ac:dyDescent="0.25">
      <c r="A290" s="7" t="s">
        <v>4562</v>
      </c>
      <c r="B290" s="15" t="s">
        <v>4649</v>
      </c>
      <c r="D290" s="207">
        <v>3</v>
      </c>
      <c r="F290" s="527" t="s">
        <v>2050</v>
      </c>
      <c r="G290" s="198" t="s">
        <v>3</v>
      </c>
      <c r="H290" s="198">
        <v>207</v>
      </c>
      <c r="P290" s="270"/>
      <c r="Q290" s="196" t="str">
        <f t="shared" si="2"/>
        <v>3 bu</v>
      </c>
    </row>
    <row r="291" spans="1:17" x14ac:dyDescent="0.25">
      <c r="A291" s="7" t="s">
        <v>5082</v>
      </c>
      <c r="B291" s="15" t="s">
        <v>4649</v>
      </c>
      <c r="C291" s="206">
        <v>1</v>
      </c>
      <c r="F291" s="527" t="s">
        <v>2050</v>
      </c>
      <c r="G291" s="198" t="s">
        <v>3</v>
      </c>
      <c r="H291" s="198">
        <v>207</v>
      </c>
      <c r="P291" s="270"/>
      <c r="Q291" s="196" t="str">
        <f t="shared" si="2"/>
        <v>1 koku</v>
      </c>
    </row>
    <row r="292" spans="1:17" x14ac:dyDescent="0.25">
      <c r="A292" s="7" t="s">
        <v>4474</v>
      </c>
      <c r="B292" s="15" t="s">
        <v>4649</v>
      </c>
      <c r="D292" s="207">
        <v>1</v>
      </c>
      <c r="F292" s="527" t="s">
        <v>2050</v>
      </c>
      <c r="G292" s="198" t="s">
        <v>3</v>
      </c>
      <c r="H292" s="198">
        <v>207</v>
      </c>
      <c r="P292" s="270"/>
      <c r="Q292" s="196" t="str">
        <f t="shared" si="2"/>
        <v>1 bu</v>
      </c>
    </row>
    <row r="293" spans="1:17" x14ac:dyDescent="0.25">
      <c r="A293" s="7" t="s">
        <v>4561</v>
      </c>
      <c r="B293" s="15" t="s">
        <v>4649</v>
      </c>
      <c r="D293" s="207">
        <v>2</v>
      </c>
      <c r="F293" s="527" t="s">
        <v>2050</v>
      </c>
      <c r="G293" s="198" t="s">
        <v>3</v>
      </c>
      <c r="H293" s="198">
        <v>207</v>
      </c>
      <c r="P293" s="270"/>
      <c r="Q293" s="196" t="str">
        <f t="shared" si="2"/>
        <v>2 bu</v>
      </c>
    </row>
    <row r="294" spans="1:17" x14ac:dyDescent="0.25">
      <c r="A294" s="7" t="s">
        <v>4563</v>
      </c>
      <c r="B294" s="15" t="s">
        <v>4649</v>
      </c>
      <c r="D294" s="207">
        <v>3</v>
      </c>
      <c r="F294" s="527" t="s">
        <v>5080</v>
      </c>
      <c r="G294" s="198" t="s">
        <v>3</v>
      </c>
      <c r="H294" s="198">
        <v>207</v>
      </c>
      <c r="P294" s="270"/>
      <c r="Q294" s="196" t="str">
        <f t="shared" ref="Q294:Q299" si="3">CONCATENATE(IF(C294="",CONCATENATE(""),CONCATENATE(C294," koku")),IF(D294="",CONCATENATE(""),CONCATENATE(D294," bu")),IF(E294="",CONCATENATE(""),CONCATENATE(E294," zeni")))</f>
        <v>3 bu</v>
      </c>
    </row>
    <row r="295" spans="1:17" x14ac:dyDescent="0.25">
      <c r="A295" s="7" t="s">
        <v>4556</v>
      </c>
      <c r="B295" s="15" t="s">
        <v>4649</v>
      </c>
      <c r="D295" s="207">
        <v>1</v>
      </c>
      <c r="F295" s="527" t="s">
        <v>2050</v>
      </c>
      <c r="G295" s="198" t="s">
        <v>3</v>
      </c>
      <c r="H295" s="198">
        <v>207</v>
      </c>
      <c r="P295" s="270"/>
      <c r="Q295" s="196" t="str">
        <f t="shared" si="3"/>
        <v>1 bu</v>
      </c>
    </row>
    <row r="296" spans="1:17" x14ac:dyDescent="0.25">
      <c r="A296" s="7" t="s">
        <v>5086</v>
      </c>
      <c r="B296" s="15" t="s">
        <v>4649</v>
      </c>
      <c r="E296" s="208">
        <v>25</v>
      </c>
      <c r="F296" s="527" t="s">
        <v>2050</v>
      </c>
      <c r="G296" s="198" t="s">
        <v>3</v>
      </c>
      <c r="H296" s="198">
        <v>207</v>
      </c>
      <c r="P296" s="270"/>
      <c r="Q296" s="196" t="str">
        <f t="shared" si="3"/>
        <v>25 zeni</v>
      </c>
    </row>
    <row r="297" spans="1:17" x14ac:dyDescent="0.25">
      <c r="A297" s="7" t="s">
        <v>4559</v>
      </c>
      <c r="B297" s="15" t="s">
        <v>4649</v>
      </c>
      <c r="D297" s="207">
        <v>2</v>
      </c>
      <c r="F297" s="527" t="s">
        <v>2052</v>
      </c>
      <c r="G297" s="198" t="s">
        <v>3</v>
      </c>
      <c r="H297" s="198">
        <v>207</v>
      </c>
      <c r="P297" s="270"/>
      <c r="Q297" s="196" t="str">
        <f t="shared" si="3"/>
        <v>2 bu</v>
      </c>
    </row>
    <row r="298" spans="1:17" x14ac:dyDescent="0.25">
      <c r="A298" s="7" t="s">
        <v>4560</v>
      </c>
      <c r="B298" s="15" t="s">
        <v>4649</v>
      </c>
      <c r="E298" s="208">
        <v>50</v>
      </c>
      <c r="F298" s="527" t="s">
        <v>2052</v>
      </c>
      <c r="G298" s="198" t="s">
        <v>3</v>
      </c>
      <c r="H298" s="198">
        <v>207</v>
      </c>
      <c r="P298" s="270"/>
      <c r="Q298" s="196" t="str">
        <f t="shared" si="3"/>
        <v>50 zeni</v>
      </c>
    </row>
    <row r="299" spans="1:17" x14ac:dyDescent="0.25">
      <c r="A299" s="7" t="str">
        <f>IF(Contexte_jeu&lt;&gt;"L'Empire Stellaire d'Emeraude","","Tenue de vol")</f>
        <v/>
      </c>
      <c r="B299" s="15" t="s">
        <v>4649</v>
      </c>
      <c r="D299" s="207">
        <v>5</v>
      </c>
      <c r="F299" s="527" t="s">
        <v>2050</v>
      </c>
      <c r="G299" s="198" t="s">
        <v>7453</v>
      </c>
      <c r="H299" s="198">
        <v>38</v>
      </c>
      <c r="P299" s="270"/>
      <c r="Q299" s="196" t="str">
        <f t="shared" si="3"/>
        <v>5 bu</v>
      </c>
    </row>
  </sheetData>
  <sortState xmlns:xlrd2="http://schemas.microsoft.com/office/spreadsheetml/2017/richdata2" ref="A3:H200">
    <sortCondition ref="B3:B198"/>
    <sortCondition ref="A3:A198"/>
  </sortState>
  <mergeCells count="27">
    <mergeCell ref="I73:K73"/>
    <mergeCell ref="I67:K67"/>
    <mergeCell ref="I72:K72"/>
    <mergeCell ref="I63:K63"/>
    <mergeCell ref="I65:K65"/>
    <mergeCell ref="I71:K71"/>
    <mergeCell ref="I69:K69"/>
    <mergeCell ref="I64:K64"/>
    <mergeCell ref="I66:K66"/>
    <mergeCell ref="I68:K68"/>
    <mergeCell ref="I70:K70"/>
    <mergeCell ref="I60:K60"/>
    <mergeCell ref="I61:K61"/>
    <mergeCell ref="I62:K62"/>
    <mergeCell ref="L1:L2"/>
    <mergeCell ref="M1:M2"/>
    <mergeCell ref="Q1:Q2"/>
    <mergeCell ref="A1:A2"/>
    <mergeCell ref="C1:E1"/>
    <mergeCell ref="G1:G2"/>
    <mergeCell ref="H1:H2"/>
    <mergeCell ref="B1:B2"/>
    <mergeCell ref="F1:F2"/>
    <mergeCell ref="N1:N2"/>
    <mergeCell ref="I1:K2"/>
    <mergeCell ref="P1:P2"/>
    <mergeCell ref="O1:O2"/>
  </mergeCells>
  <pageMargins left="0.7" right="0.7" top="0.75" bottom="0.75" header="0.3" footer="0.3"/>
  <pageSetup paperSize="9" orientation="landscape" r:id="rId1"/>
  <ignoredErrors>
    <ignoredError sqref="D84 D76 C74 C14 D183" numberStoredAsText="1"/>
    <ignoredError sqref="I33 K23 K38"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84"/>
  <sheetViews>
    <sheetView workbookViewId="0">
      <pane ySplit="1" topLeftCell="A2" activePane="bottomLeft" state="frozen"/>
      <selection pane="bottomLeft"/>
    </sheetView>
  </sheetViews>
  <sheetFormatPr baseColWidth="10" defaultRowHeight="13.2" x14ac:dyDescent="0.25"/>
  <cols>
    <col min="1" max="1" width="59.88671875" customWidth="1"/>
    <col min="2" max="2" width="19.44140625" customWidth="1"/>
  </cols>
  <sheetData>
    <row r="1" spans="1:5" s="10" customFormat="1" x14ac:dyDescent="0.25">
      <c r="A1" s="25" t="s">
        <v>4479</v>
      </c>
      <c r="B1" s="25" t="s">
        <v>0</v>
      </c>
      <c r="C1" s="25" t="s">
        <v>1</v>
      </c>
      <c r="D1" s="25"/>
      <c r="E1" s="25"/>
    </row>
    <row r="2" spans="1:5" x14ac:dyDescent="0.25">
      <c r="A2" t="s">
        <v>4505</v>
      </c>
      <c r="B2" t="s">
        <v>4403</v>
      </c>
      <c r="C2">
        <v>175</v>
      </c>
    </row>
    <row r="3" spans="1:5" x14ac:dyDescent="0.25">
      <c r="A3" t="s">
        <v>8099</v>
      </c>
      <c r="B3" t="s">
        <v>58</v>
      </c>
      <c r="C3">
        <v>245</v>
      </c>
    </row>
    <row r="4" spans="1:5" x14ac:dyDescent="0.25">
      <c r="A4" t="s">
        <v>4477</v>
      </c>
      <c r="B4" t="s">
        <v>118</v>
      </c>
      <c r="C4">
        <v>93</v>
      </c>
    </row>
    <row r="5" spans="1:5" x14ac:dyDescent="0.25">
      <c r="A5" t="s">
        <v>4478</v>
      </c>
      <c r="B5" t="s">
        <v>160</v>
      </c>
      <c r="C5">
        <v>64</v>
      </c>
    </row>
    <row r="6" spans="1:5" x14ac:dyDescent="0.25">
      <c r="A6" t="s">
        <v>4525</v>
      </c>
      <c r="B6" t="s">
        <v>150</v>
      </c>
      <c r="C6">
        <v>86</v>
      </c>
    </row>
    <row r="7" spans="1:5" x14ac:dyDescent="0.25">
      <c r="A7" t="s">
        <v>4506</v>
      </c>
      <c r="B7" t="s">
        <v>4403</v>
      </c>
      <c r="C7">
        <v>190</v>
      </c>
    </row>
    <row r="8" spans="1:5" x14ac:dyDescent="0.25">
      <c r="A8" t="s">
        <v>6521</v>
      </c>
      <c r="B8" t="s">
        <v>6522</v>
      </c>
      <c r="C8">
        <v>141</v>
      </c>
    </row>
    <row r="9" spans="1:5" x14ac:dyDescent="0.25">
      <c r="A9" t="s">
        <v>4516</v>
      </c>
      <c r="B9" t="s">
        <v>6061</v>
      </c>
      <c r="C9">
        <v>39</v>
      </c>
    </row>
    <row r="10" spans="1:5" x14ac:dyDescent="0.25">
      <c r="A10" t="s">
        <v>4515</v>
      </c>
      <c r="B10" t="s">
        <v>6061</v>
      </c>
      <c r="C10">
        <v>253</v>
      </c>
    </row>
    <row r="11" spans="1:5" x14ac:dyDescent="0.25">
      <c r="A11" t="s">
        <v>4483</v>
      </c>
      <c r="B11" t="s">
        <v>118</v>
      </c>
      <c r="C11">
        <v>117</v>
      </c>
    </row>
    <row r="12" spans="1:5" x14ac:dyDescent="0.25">
      <c r="A12" t="s">
        <v>4496</v>
      </c>
      <c r="B12" t="s">
        <v>158</v>
      </c>
      <c r="C12">
        <v>61</v>
      </c>
    </row>
    <row r="13" spans="1:5" x14ac:dyDescent="0.25">
      <c r="A13" t="s">
        <v>4501</v>
      </c>
      <c r="B13" t="s">
        <v>160</v>
      </c>
      <c r="C13">
        <v>159</v>
      </c>
    </row>
    <row r="14" spans="1:5" x14ac:dyDescent="0.25">
      <c r="A14" t="s">
        <v>4486</v>
      </c>
      <c r="B14" t="s">
        <v>118</v>
      </c>
      <c r="C14">
        <v>113</v>
      </c>
    </row>
    <row r="15" spans="1:5" x14ac:dyDescent="0.25">
      <c r="A15" t="s">
        <v>4481</v>
      </c>
      <c r="B15" t="s">
        <v>118</v>
      </c>
      <c r="C15">
        <v>38</v>
      </c>
    </row>
    <row r="16" spans="1:5" x14ac:dyDescent="0.25">
      <c r="A16" t="s">
        <v>4489</v>
      </c>
      <c r="B16" t="s">
        <v>118</v>
      </c>
      <c r="C16">
        <v>115</v>
      </c>
    </row>
    <row r="17" spans="1:3" x14ac:dyDescent="0.25">
      <c r="A17" t="s">
        <v>4500</v>
      </c>
      <c r="B17" t="s">
        <v>160</v>
      </c>
      <c r="C17">
        <v>182</v>
      </c>
    </row>
    <row r="18" spans="1:3" x14ac:dyDescent="0.25">
      <c r="A18" t="s">
        <v>4480</v>
      </c>
      <c r="B18" t="s">
        <v>118</v>
      </c>
      <c r="C18">
        <v>175</v>
      </c>
    </row>
    <row r="19" spans="1:3" s="196" customFormat="1" x14ac:dyDescent="0.25">
      <c r="A19" s="196" t="s">
        <v>7673</v>
      </c>
      <c r="B19" s="196" t="s">
        <v>162</v>
      </c>
      <c r="C19" s="196">
        <v>307</v>
      </c>
    </row>
    <row r="20" spans="1:3" x14ac:dyDescent="0.25">
      <c r="A20" t="s">
        <v>4508</v>
      </c>
      <c r="B20" t="s">
        <v>58</v>
      </c>
      <c r="C20">
        <v>142</v>
      </c>
    </row>
    <row r="21" spans="1:3" x14ac:dyDescent="0.25">
      <c r="A21" t="s">
        <v>4502</v>
      </c>
      <c r="B21" t="s">
        <v>160</v>
      </c>
      <c r="C21">
        <v>184</v>
      </c>
    </row>
    <row r="22" spans="1:3" s="196" customFormat="1" x14ac:dyDescent="0.25">
      <c r="A22" s="196" t="s">
        <v>8347</v>
      </c>
      <c r="B22" s="196" t="s">
        <v>6192</v>
      </c>
      <c r="C22" s="196">
        <v>72</v>
      </c>
    </row>
    <row r="23" spans="1:3" s="196" customFormat="1" x14ac:dyDescent="0.25">
      <c r="A23" s="196" t="s">
        <v>7790</v>
      </c>
      <c r="B23" s="196" t="s">
        <v>7759</v>
      </c>
      <c r="C23" s="196">
        <v>12</v>
      </c>
    </row>
    <row r="24" spans="1:3" x14ac:dyDescent="0.25">
      <c r="A24" t="s">
        <v>4520</v>
      </c>
      <c r="B24" t="s">
        <v>6061</v>
      </c>
      <c r="C24">
        <v>24</v>
      </c>
    </row>
    <row r="25" spans="1:3" x14ac:dyDescent="0.25">
      <c r="A25" s="196" t="s">
        <v>4536</v>
      </c>
      <c r="B25" t="s">
        <v>4476</v>
      </c>
      <c r="C25">
        <v>191</v>
      </c>
    </row>
    <row r="26" spans="1:3" x14ac:dyDescent="0.25">
      <c r="A26" t="s">
        <v>4537</v>
      </c>
      <c r="B26" t="s">
        <v>4476</v>
      </c>
      <c r="C26">
        <v>195</v>
      </c>
    </row>
    <row r="27" spans="1:3" x14ac:dyDescent="0.25">
      <c r="A27" t="s">
        <v>4538</v>
      </c>
      <c r="B27" t="s">
        <v>4476</v>
      </c>
      <c r="C27">
        <v>199</v>
      </c>
    </row>
    <row r="28" spans="1:3" x14ac:dyDescent="0.25">
      <c r="A28" t="s">
        <v>4539</v>
      </c>
      <c r="B28" t="s">
        <v>4476</v>
      </c>
      <c r="C28">
        <v>202</v>
      </c>
    </row>
    <row r="29" spans="1:3" x14ac:dyDescent="0.25">
      <c r="A29" t="s">
        <v>4540</v>
      </c>
      <c r="B29" t="s">
        <v>4476</v>
      </c>
      <c r="C29">
        <v>205</v>
      </c>
    </row>
    <row r="30" spans="1:3" x14ac:dyDescent="0.25">
      <c r="A30" t="s">
        <v>4541</v>
      </c>
      <c r="B30" t="s">
        <v>4476</v>
      </c>
      <c r="C30">
        <v>209</v>
      </c>
    </row>
    <row r="31" spans="1:3" x14ac:dyDescent="0.25">
      <c r="A31" t="s">
        <v>4542</v>
      </c>
      <c r="B31" t="s">
        <v>4476</v>
      </c>
      <c r="C31">
        <v>213</v>
      </c>
    </row>
    <row r="32" spans="1:3" x14ac:dyDescent="0.25">
      <c r="A32" t="s">
        <v>4543</v>
      </c>
      <c r="B32" t="s">
        <v>4476</v>
      </c>
      <c r="C32">
        <v>216</v>
      </c>
    </row>
    <row r="33" spans="1:3" x14ac:dyDescent="0.25">
      <c r="A33" t="s">
        <v>4544</v>
      </c>
      <c r="B33" t="s">
        <v>4476</v>
      </c>
      <c r="C33">
        <v>221</v>
      </c>
    </row>
    <row r="34" spans="1:3" x14ac:dyDescent="0.25">
      <c r="A34" t="s">
        <v>4527</v>
      </c>
      <c r="B34" t="s">
        <v>150</v>
      </c>
      <c r="C34">
        <v>206</v>
      </c>
    </row>
    <row r="35" spans="1:3" x14ac:dyDescent="0.25">
      <c r="A35" t="s">
        <v>8100</v>
      </c>
      <c r="B35" t="s">
        <v>58</v>
      </c>
      <c r="C35">
        <v>220</v>
      </c>
    </row>
    <row r="36" spans="1:3" x14ac:dyDescent="0.25">
      <c r="A36" t="s">
        <v>4511</v>
      </c>
      <c r="B36" t="s">
        <v>58</v>
      </c>
      <c r="C36">
        <v>108</v>
      </c>
    </row>
    <row r="37" spans="1:3" x14ac:dyDescent="0.25">
      <c r="A37" t="s">
        <v>4487</v>
      </c>
      <c r="B37" t="s">
        <v>118</v>
      </c>
      <c r="C37">
        <v>113</v>
      </c>
    </row>
    <row r="38" spans="1:3" x14ac:dyDescent="0.25">
      <c r="A38" t="s">
        <v>4531</v>
      </c>
      <c r="B38" t="s">
        <v>150</v>
      </c>
      <c r="C38">
        <v>123</v>
      </c>
    </row>
    <row r="39" spans="1:3" s="196" customFormat="1" x14ac:dyDescent="0.25">
      <c r="A39" s="196" t="s">
        <v>8350</v>
      </c>
      <c r="B39" s="196" t="s">
        <v>6192</v>
      </c>
      <c r="C39" s="196">
        <v>172</v>
      </c>
    </row>
    <row r="40" spans="1:3" x14ac:dyDescent="0.25">
      <c r="A40" t="s">
        <v>4484</v>
      </c>
      <c r="B40" t="s">
        <v>118</v>
      </c>
      <c r="C40">
        <v>121</v>
      </c>
    </row>
    <row r="41" spans="1:3" x14ac:dyDescent="0.25">
      <c r="A41" t="s">
        <v>4514</v>
      </c>
      <c r="B41" t="s">
        <v>6061</v>
      </c>
      <c r="C41">
        <v>42</v>
      </c>
    </row>
    <row r="42" spans="1:3" x14ac:dyDescent="0.25">
      <c r="A42" t="s">
        <v>4482</v>
      </c>
      <c r="B42" t="s">
        <v>118</v>
      </c>
      <c r="C42">
        <v>177</v>
      </c>
    </row>
    <row r="43" spans="1:3" x14ac:dyDescent="0.25">
      <c r="A43" t="s">
        <v>4485</v>
      </c>
      <c r="B43" t="s">
        <v>118</v>
      </c>
      <c r="C43">
        <v>175</v>
      </c>
    </row>
    <row r="44" spans="1:3" x14ac:dyDescent="0.25">
      <c r="A44" t="s">
        <v>4494</v>
      </c>
      <c r="B44" t="s">
        <v>118</v>
      </c>
      <c r="C44">
        <v>117</v>
      </c>
    </row>
    <row r="45" spans="1:3" x14ac:dyDescent="0.25">
      <c r="A45" t="s">
        <v>4512</v>
      </c>
      <c r="B45" t="s">
        <v>58</v>
      </c>
      <c r="C45">
        <v>276</v>
      </c>
    </row>
    <row r="46" spans="1:3" x14ac:dyDescent="0.25">
      <c r="A46" t="s">
        <v>4521</v>
      </c>
      <c r="B46" t="s">
        <v>6061</v>
      </c>
      <c r="C46">
        <v>177</v>
      </c>
    </row>
    <row r="47" spans="1:3" x14ac:dyDescent="0.25">
      <c r="A47" t="s">
        <v>4490</v>
      </c>
      <c r="B47" t="s">
        <v>118</v>
      </c>
      <c r="C47">
        <v>93</v>
      </c>
    </row>
    <row r="48" spans="1:3" x14ac:dyDescent="0.25">
      <c r="A48" t="s">
        <v>4493</v>
      </c>
      <c r="B48" t="s">
        <v>4403</v>
      </c>
      <c r="C48">
        <v>67</v>
      </c>
    </row>
    <row r="49" spans="1:3" x14ac:dyDescent="0.25">
      <c r="A49" t="s">
        <v>4492</v>
      </c>
      <c r="B49" t="s">
        <v>160</v>
      </c>
      <c r="C49">
        <v>67</v>
      </c>
    </row>
    <row r="50" spans="1:3" x14ac:dyDescent="0.25">
      <c r="A50" t="s">
        <v>4491</v>
      </c>
      <c r="B50" t="s">
        <v>158</v>
      </c>
      <c r="C50">
        <v>79</v>
      </c>
    </row>
    <row r="51" spans="1:3" s="196" customFormat="1" x14ac:dyDescent="0.25">
      <c r="A51" s="196" t="s">
        <v>7788</v>
      </c>
      <c r="B51" s="196" t="s">
        <v>7759</v>
      </c>
      <c r="C51" s="196">
        <v>10</v>
      </c>
    </row>
    <row r="52" spans="1:3" x14ac:dyDescent="0.25">
      <c r="A52" t="s">
        <v>4528</v>
      </c>
      <c r="B52" t="s">
        <v>150</v>
      </c>
      <c r="C52">
        <v>97</v>
      </c>
    </row>
    <row r="53" spans="1:3" x14ac:dyDescent="0.25">
      <c r="A53" t="s">
        <v>4530</v>
      </c>
      <c r="B53" t="s">
        <v>150</v>
      </c>
      <c r="C53">
        <v>37</v>
      </c>
    </row>
    <row r="54" spans="1:3" x14ac:dyDescent="0.25">
      <c r="A54" t="s">
        <v>4523</v>
      </c>
      <c r="B54" t="s">
        <v>6061</v>
      </c>
      <c r="C54">
        <v>230</v>
      </c>
    </row>
    <row r="55" spans="1:3" s="196" customFormat="1" x14ac:dyDescent="0.25">
      <c r="A55" s="196" t="s">
        <v>8348</v>
      </c>
      <c r="B55" s="196" t="s">
        <v>6192</v>
      </c>
      <c r="C55" s="196">
        <v>108</v>
      </c>
    </row>
    <row r="56" spans="1:3" x14ac:dyDescent="0.25">
      <c r="A56" t="s">
        <v>4497</v>
      </c>
      <c r="B56" t="s">
        <v>158</v>
      </c>
      <c r="C56">
        <v>194</v>
      </c>
    </row>
    <row r="57" spans="1:3" s="196" customFormat="1" x14ac:dyDescent="0.25">
      <c r="A57" s="196" t="s">
        <v>8346</v>
      </c>
      <c r="B57" s="196" t="s">
        <v>6192</v>
      </c>
      <c r="C57" s="196">
        <v>43</v>
      </c>
    </row>
    <row r="58" spans="1:3" x14ac:dyDescent="0.25">
      <c r="A58" t="s">
        <v>4529</v>
      </c>
      <c r="B58" t="s">
        <v>150</v>
      </c>
      <c r="C58">
        <v>204</v>
      </c>
    </row>
    <row r="59" spans="1:3" x14ac:dyDescent="0.25">
      <c r="A59" t="s">
        <v>4513</v>
      </c>
      <c r="B59" t="s">
        <v>6061</v>
      </c>
      <c r="C59">
        <v>32</v>
      </c>
    </row>
    <row r="60" spans="1:3" x14ac:dyDescent="0.25">
      <c r="A60" t="s">
        <v>4518</v>
      </c>
      <c r="B60" t="s">
        <v>6061</v>
      </c>
      <c r="C60">
        <v>71</v>
      </c>
    </row>
    <row r="61" spans="1:3" x14ac:dyDescent="0.25">
      <c r="A61" t="s">
        <v>4507</v>
      </c>
      <c r="B61" t="s">
        <v>4403</v>
      </c>
      <c r="C61">
        <v>31</v>
      </c>
    </row>
    <row r="62" spans="1:3" s="196" customFormat="1" x14ac:dyDescent="0.25">
      <c r="A62" s="196" t="s">
        <v>7789</v>
      </c>
      <c r="B62" s="196" t="s">
        <v>7759</v>
      </c>
      <c r="C62" s="196">
        <v>11</v>
      </c>
    </row>
    <row r="63" spans="1:3" x14ac:dyDescent="0.25">
      <c r="A63" t="s">
        <v>4510</v>
      </c>
      <c r="B63" t="s">
        <v>58</v>
      </c>
      <c r="C63">
        <v>192</v>
      </c>
    </row>
    <row r="64" spans="1:3" x14ac:dyDescent="0.25">
      <c r="A64" t="s">
        <v>4533</v>
      </c>
      <c r="B64" t="s">
        <v>4476</v>
      </c>
      <c r="C64">
        <v>240</v>
      </c>
    </row>
    <row r="65" spans="1:3" x14ac:dyDescent="0.25">
      <c r="A65" t="s">
        <v>4519</v>
      </c>
      <c r="B65" t="s">
        <v>6061</v>
      </c>
      <c r="C65">
        <v>31</v>
      </c>
    </row>
    <row r="66" spans="1:3" x14ac:dyDescent="0.25">
      <c r="A66" t="s">
        <v>4526</v>
      </c>
      <c r="B66" t="s">
        <v>150</v>
      </c>
      <c r="C66">
        <v>181</v>
      </c>
    </row>
    <row r="67" spans="1:3" x14ac:dyDescent="0.25">
      <c r="A67" t="s">
        <v>4509</v>
      </c>
      <c r="B67" t="s">
        <v>58</v>
      </c>
      <c r="C67">
        <v>144</v>
      </c>
    </row>
    <row r="68" spans="1:3" x14ac:dyDescent="0.25">
      <c r="A68" t="s">
        <v>4532</v>
      </c>
      <c r="B68" t="s">
        <v>162</v>
      </c>
      <c r="C68">
        <v>306</v>
      </c>
    </row>
    <row r="69" spans="1:3" x14ac:dyDescent="0.25">
      <c r="A69" t="s">
        <v>4524</v>
      </c>
      <c r="B69" t="s">
        <v>6061</v>
      </c>
      <c r="C69">
        <v>229</v>
      </c>
    </row>
    <row r="70" spans="1:3" x14ac:dyDescent="0.25">
      <c r="A70" t="s">
        <v>4517</v>
      </c>
      <c r="B70" t="s">
        <v>6061</v>
      </c>
      <c r="C70">
        <v>282</v>
      </c>
    </row>
    <row r="71" spans="1:3" x14ac:dyDescent="0.25">
      <c r="A71" s="196" t="s">
        <v>4498</v>
      </c>
      <c r="B71" t="s">
        <v>158</v>
      </c>
      <c r="C71">
        <v>194</v>
      </c>
    </row>
    <row r="72" spans="1:3" x14ac:dyDescent="0.25">
      <c r="A72" t="s">
        <v>4534</v>
      </c>
      <c r="B72" t="s">
        <v>4476</v>
      </c>
      <c r="C72">
        <v>232</v>
      </c>
    </row>
    <row r="73" spans="1:3" x14ac:dyDescent="0.25">
      <c r="A73" t="s">
        <v>4545</v>
      </c>
      <c r="B73" t="s">
        <v>4476</v>
      </c>
      <c r="C73">
        <v>229</v>
      </c>
    </row>
    <row r="74" spans="1:3" x14ac:dyDescent="0.25">
      <c r="A74" t="s">
        <v>4535</v>
      </c>
      <c r="B74" t="s">
        <v>4476</v>
      </c>
      <c r="C74">
        <v>230</v>
      </c>
    </row>
    <row r="75" spans="1:3" x14ac:dyDescent="0.25">
      <c r="A75" t="s">
        <v>4546</v>
      </c>
      <c r="B75" t="s">
        <v>4476</v>
      </c>
      <c r="C75">
        <v>231</v>
      </c>
    </row>
    <row r="76" spans="1:3" x14ac:dyDescent="0.25">
      <c r="A76" t="s">
        <v>7402</v>
      </c>
      <c r="B76" t="s">
        <v>6061</v>
      </c>
      <c r="C76">
        <v>293</v>
      </c>
    </row>
    <row r="77" spans="1:3" x14ac:dyDescent="0.25">
      <c r="A77" t="s">
        <v>4488</v>
      </c>
      <c r="B77" t="s">
        <v>118</v>
      </c>
      <c r="C77">
        <v>195</v>
      </c>
    </row>
    <row r="78" spans="1:3" x14ac:dyDescent="0.25">
      <c r="A78" t="s">
        <v>4499</v>
      </c>
      <c r="B78" t="s">
        <v>158</v>
      </c>
      <c r="C78">
        <v>51</v>
      </c>
    </row>
    <row r="79" spans="1:3" x14ac:dyDescent="0.25">
      <c r="A79" t="s">
        <v>4503</v>
      </c>
      <c r="B79" t="s">
        <v>160</v>
      </c>
      <c r="C79">
        <v>52</v>
      </c>
    </row>
    <row r="80" spans="1:3" x14ac:dyDescent="0.25">
      <c r="A80" t="s">
        <v>4504</v>
      </c>
      <c r="B80" t="s">
        <v>160</v>
      </c>
      <c r="C80">
        <v>51</v>
      </c>
    </row>
    <row r="81" spans="1:3" x14ac:dyDescent="0.25">
      <c r="A81" t="s">
        <v>4495</v>
      </c>
      <c r="B81" t="s">
        <v>118</v>
      </c>
      <c r="C81">
        <v>37</v>
      </c>
    </row>
    <row r="82" spans="1:3" x14ac:dyDescent="0.25">
      <c r="A82" t="s">
        <v>4522</v>
      </c>
      <c r="B82" t="s">
        <v>6061</v>
      </c>
      <c r="C82">
        <v>169</v>
      </c>
    </row>
    <row r="83" spans="1:3" s="196" customFormat="1" x14ac:dyDescent="0.25">
      <c r="A83" s="196" t="s">
        <v>8349</v>
      </c>
      <c r="B83" s="196" t="s">
        <v>6192</v>
      </c>
      <c r="C83" s="196">
        <v>123</v>
      </c>
    </row>
    <row r="84" spans="1:3" x14ac:dyDescent="0.25">
      <c r="A84" s="196" t="s">
        <v>8345</v>
      </c>
      <c r="B84" t="s">
        <v>118</v>
      </c>
      <c r="C84">
        <v>111</v>
      </c>
    </row>
  </sheetData>
  <sortState xmlns:xlrd2="http://schemas.microsoft.com/office/spreadsheetml/2017/richdata2" ref="A2:C75">
    <sortCondition ref="A2:A75"/>
  </sortState>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284"/>
  <sheetViews>
    <sheetView workbookViewId="0">
      <pane ySplit="1" topLeftCell="A95" activePane="bottomLeft" state="frozen"/>
      <selection pane="bottomLeft" activeCell="L6" sqref="L6"/>
    </sheetView>
  </sheetViews>
  <sheetFormatPr baseColWidth="10" defaultRowHeight="13.2" x14ac:dyDescent="0.25"/>
  <cols>
    <col min="2" max="2" width="16.6640625" style="24" customWidth="1"/>
    <col min="5" max="5" width="10.5546875" customWidth="1"/>
    <col min="6" max="6" width="5.109375" customWidth="1"/>
    <col min="7" max="7" width="5.33203125" customWidth="1"/>
    <col min="9" max="9" width="23" customWidth="1"/>
    <col min="12" max="12" width="16.109375" customWidth="1"/>
    <col min="13" max="13" width="18.6640625" customWidth="1"/>
    <col min="14" max="14" width="20.88671875" style="197" customWidth="1"/>
    <col min="17" max="17" width="18.44140625" customWidth="1"/>
    <col min="18" max="18" width="3.88671875" customWidth="1"/>
    <col min="19" max="19" width="18.6640625" customWidth="1"/>
    <col min="20" max="20" width="4.88671875" customWidth="1"/>
    <col min="21" max="21" width="8.109375" customWidth="1"/>
    <col min="22" max="22" width="6.44140625" customWidth="1"/>
    <col min="23" max="23" width="9.44140625" customWidth="1"/>
    <col min="26" max="26" width="12.88671875" customWidth="1"/>
    <col min="27" max="27" width="7.88671875" customWidth="1"/>
    <col min="28" max="28" width="3.88671875" style="196" customWidth="1"/>
    <col min="29" max="29" width="23.33203125" customWidth="1"/>
    <col min="30" max="30" width="26.5546875" customWidth="1"/>
    <col min="31" max="31" width="30" customWidth="1"/>
    <col min="33" max="33" width="11.44140625" style="294"/>
    <col min="34" max="34" width="11.44140625" style="196"/>
    <col min="35" max="35" width="19.109375" customWidth="1"/>
    <col min="36" max="36" width="19.109375" style="295" customWidth="1"/>
  </cols>
  <sheetData>
    <row r="1" spans="1:36" s="10" customFormat="1" x14ac:dyDescent="0.25">
      <c r="A1" s="11" t="s">
        <v>1927</v>
      </c>
      <c r="B1" s="11" t="s">
        <v>1926</v>
      </c>
      <c r="C1" s="11" t="s">
        <v>1932</v>
      </c>
      <c r="D1" s="11" t="s">
        <v>1933</v>
      </c>
      <c r="E1" s="281" t="s">
        <v>2032</v>
      </c>
      <c r="F1" s="117" t="s">
        <v>2037</v>
      </c>
      <c r="G1" s="117" t="s">
        <v>2038</v>
      </c>
      <c r="H1" s="117" t="s">
        <v>2040</v>
      </c>
      <c r="I1" s="26" t="s">
        <v>2618</v>
      </c>
      <c r="K1" s="26" t="s">
        <v>2626</v>
      </c>
      <c r="L1" s="26" t="s">
        <v>2631</v>
      </c>
      <c r="M1" s="26" t="s">
        <v>3219</v>
      </c>
      <c r="N1" s="26" t="s">
        <v>3320</v>
      </c>
      <c r="O1" s="26" t="s">
        <v>1245</v>
      </c>
      <c r="P1" s="26" t="s">
        <v>5189</v>
      </c>
      <c r="Q1" s="26" t="s">
        <v>5224</v>
      </c>
      <c r="S1" s="26" t="s">
        <v>5227</v>
      </c>
      <c r="U1" s="11" t="s">
        <v>5361</v>
      </c>
      <c r="V1" s="26" t="s">
        <v>5493</v>
      </c>
      <c r="W1" s="228" t="s">
        <v>5512</v>
      </c>
      <c r="X1" s="26" t="s">
        <v>5557</v>
      </c>
      <c r="Y1" s="26" t="s">
        <v>5558</v>
      </c>
      <c r="Z1" s="26" t="s">
        <v>5573</v>
      </c>
      <c r="AA1" s="26" t="s">
        <v>5579</v>
      </c>
      <c r="AB1" s="26"/>
      <c r="AC1" s="26" t="s">
        <v>5597</v>
      </c>
      <c r="AD1" s="26" t="s">
        <v>1270</v>
      </c>
      <c r="AE1" s="26" t="s">
        <v>7460</v>
      </c>
      <c r="AG1" s="515" t="s">
        <v>105</v>
      </c>
      <c r="AH1" s="26" t="s">
        <v>186</v>
      </c>
      <c r="AI1" s="26" t="s">
        <v>7879</v>
      </c>
      <c r="AJ1" s="516" t="s">
        <v>7882</v>
      </c>
    </row>
    <row r="2" spans="1:36" x14ac:dyDescent="0.25">
      <c r="A2">
        <v>0</v>
      </c>
      <c r="B2" s="52" t="s">
        <v>6795</v>
      </c>
      <c r="C2" t="s">
        <v>9</v>
      </c>
      <c r="D2" t="s">
        <v>328</v>
      </c>
      <c r="E2" t="s">
        <v>5736</v>
      </c>
      <c r="F2">
        <v>3</v>
      </c>
      <c r="G2">
        <v>3</v>
      </c>
      <c r="H2" t="s">
        <v>2041</v>
      </c>
      <c r="I2" t="s">
        <v>2619</v>
      </c>
      <c r="J2">
        <v>5</v>
      </c>
      <c r="K2" t="s">
        <v>2627</v>
      </c>
      <c r="L2" t="s">
        <v>2632</v>
      </c>
      <c r="M2" t="s">
        <v>115</v>
      </c>
      <c r="N2" s="197" t="s">
        <v>7421</v>
      </c>
      <c r="O2" t="s">
        <v>1249</v>
      </c>
      <c r="P2" s="196" t="s">
        <v>4441</v>
      </c>
      <c r="Q2" s="199" t="s">
        <v>5222</v>
      </c>
      <c r="R2">
        <v>1</v>
      </c>
      <c r="S2" s="199" t="s">
        <v>4547</v>
      </c>
      <c r="T2" s="196">
        <v>6</v>
      </c>
      <c r="U2" s="199" t="s">
        <v>5230</v>
      </c>
      <c r="V2" t="s">
        <v>5362</v>
      </c>
      <c r="W2" s="199" t="s">
        <v>5542</v>
      </c>
      <c r="X2" s="232" t="s">
        <v>5544</v>
      </c>
      <c r="Y2" s="232" t="s">
        <v>5567</v>
      </c>
      <c r="Z2" s="197" t="s">
        <v>5574</v>
      </c>
      <c r="AA2" s="197" t="s">
        <v>5580</v>
      </c>
      <c r="AB2" s="197">
        <v>0</v>
      </c>
      <c r="AC2" s="197" t="s">
        <v>5598</v>
      </c>
      <c r="AD2" s="7" t="s">
        <v>1371</v>
      </c>
      <c r="AE2" s="197" t="s">
        <v>7463</v>
      </c>
      <c r="AF2" s="196" t="s">
        <v>8006</v>
      </c>
      <c r="AG2" s="517" t="s">
        <v>6795</v>
      </c>
      <c r="AH2" s="353" t="str">
        <f>VLOOKUP(AG2,Familles!B:D,3,FALSE)</f>
        <v>Hachi</v>
      </c>
      <c r="AI2" s="353" t="str">
        <f>CONCATENATE("Terres des ",AH2)</f>
        <v>Terres des Hachi</v>
      </c>
      <c r="AJ2" s="354" t="str">
        <f t="shared" ref="AJ2:AJ65" si="0">IF(Clan=AG2,AI2,"")</f>
        <v/>
      </c>
    </row>
    <row r="3" spans="1:36" x14ac:dyDescent="0.25">
      <c r="A3">
        <v>1</v>
      </c>
      <c r="B3" s="53" t="s">
        <v>6809</v>
      </c>
      <c r="C3" t="s">
        <v>19</v>
      </c>
      <c r="D3" t="s">
        <v>579</v>
      </c>
      <c r="E3" t="s">
        <v>5809</v>
      </c>
      <c r="F3">
        <v>2</v>
      </c>
      <c r="G3">
        <v>3</v>
      </c>
      <c r="H3" t="s">
        <v>2042</v>
      </c>
      <c r="I3" t="s">
        <v>2620</v>
      </c>
      <c r="J3" t="s">
        <v>68</v>
      </c>
      <c r="K3" t="s">
        <v>2628</v>
      </c>
      <c r="L3" t="s">
        <v>2633</v>
      </c>
      <c r="M3" t="s">
        <v>3220</v>
      </c>
      <c r="N3" s="197" t="s">
        <v>5989</v>
      </c>
      <c r="O3" t="s">
        <v>1205</v>
      </c>
      <c r="P3" s="196" t="s">
        <v>2082</v>
      </c>
      <c r="Q3" s="204" t="s">
        <v>1271</v>
      </c>
      <c r="R3" s="196">
        <v>2</v>
      </c>
      <c r="S3" s="199" t="s">
        <v>4648</v>
      </c>
      <c r="T3" s="196">
        <v>8</v>
      </c>
      <c r="U3" s="199" t="s">
        <v>5231</v>
      </c>
      <c r="V3" s="196" t="s">
        <v>5363</v>
      </c>
      <c r="W3" s="199" t="s">
        <v>5543</v>
      </c>
      <c r="X3" s="232" t="s">
        <v>5549</v>
      </c>
      <c r="Y3" s="197" t="s">
        <v>5569</v>
      </c>
      <c r="Z3" s="197" t="s">
        <v>5592</v>
      </c>
      <c r="AA3" s="197" t="s">
        <v>5581</v>
      </c>
      <c r="AB3" s="197">
        <v>1</v>
      </c>
      <c r="AC3" s="197" t="s">
        <v>5600</v>
      </c>
      <c r="AD3" s="7" t="s">
        <v>8116</v>
      </c>
      <c r="AE3" s="197" t="s">
        <v>7478</v>
      </c>
      <c r="AF3" t="s">
        <v>7477</v>
      </c>
      <c r="AG3" s="294" t="s">
        <v>6809</v>
      </c>
      <c r="AH3" s="91" t="str">
        <f>VLOOKUP(AG3,Familles!B:D,3,FALSE)</f>
        <v>Kohaku</v>
      </c>
      <c r="AI3" s="91" t="str">
        <f>CONCATENATE("Terres des ",AH3)</f>
        <v>Terres des Kohaku</v>
      </c>
      <c r="AJ3" s="295" t="str">
        <f t="shared" si="0"/>
        <v/>
      </c>
    </row>
    <row r="4" spans="1:36" x14ac:dyDescent="0.25">
      <c r="A4">
        <v>2</v>
      </c>
      <c r="B4" s="52" t="s">
        <v>6772</v>
      </c>
      <c r="C4" t="s">
        <v>174</v>
      </c>
      <c r="D4" t="s">
        <v>578</v>
      </c>
      <c r="E4" t="s">
        <v>5812</v>
      </c>
      <c r="F4">
        <v>2</v>
      </c>
      <c r="G4">
        <v>2</v>
      </c>
      <c r="I4" t="s">
        <v>2621</v>
      </c>
      <c r="J4">
        <v>3</v>
      </c>
      <c r="K4" t="s">
        <v>228</v>
      </c>
      <c r="L4" t="s">
        <v>2634</v>
      </c>
      <c r="M4" t="s">
        <v>3221</v>
      </c>
      <c r="N4" s="197" t="s">
        <v>3305</v>
      </c>
      <c r="O4" t="s">
        <v>1258</v>
      </c>
      <c r="P4" s="196" t="s">
        <v>104</v>
      </c>
      <c r="Q4" s="199" t="s">
        <v>4550</v>
      </c>
      <c r="R4" s="196">
        <v>3</v>
      </c>
      <c r="S4" s="199" t="s">
        <v>5218</v>
      </c>
      <c r="T4" s="196">
        <v>12</v>
      </c>
      <c r="U4" s="199" t="s">
        <v>5232</v>
      </c>
      <c r="V4" s="196" t="s">
        <v>5364</v>
      </c>
      <c r="W4" s="199" t="s">
        <v>5508</v>
      </c>
      <c r="X4" s="197" t="s">
        <v>5555</v>
      </c>
      <c r="Y4" s="197" t="s">
        <v>5553</v>
      </c>
      <c r="Z4" s="197" t="s">
        <v>5578</v>
      </c>
      <c r="AA4" s="197" t="s">
        <v>5582</v>
      </c>
      <c r="AB4" s="197">
        <v>2</v>
      </c>
      <c r="AC4" s="197" t="s">
        <v>5599</v>
      </c>
      <c r="AD4" s="7" t="str">
        <f>IF(Contexte_jeu&lt;&gt;"L'Empire Stellaire d'Emeraude","","Arme à feu de classe Khol")</f>
        <v/>
      </c>
      <c r="AE4" s="197" t="s">
        <v>7472</v>
      </c>
      <c r="AG4" s="294" t="s">
        <v>6809</v>
      </c>
      <c r="AH4" s="91"/>
      <c r="AI4" s="91" t="str">
        <f>IF(Contexte_jeu&lt;&gt;"L'Empire Stellaire d'Emeraude","","Kohaku's Heaven")</f>
        <v/>
      </c>
      <c r="AJ4" s="295" t="str">
        <f t="shared" si="0"/>
        <v/>
      </c>
    </row>
    <row r="5" spans="1:36" x14ac:dyDescent="0.25">
      <c r="A5">
        <v>3</v>
      </c>
      <c r="B5" s="52" t="s">
        <v>6766</v>
      </c>
      <c r="C5" t="s">
        <v>6</v>
      </c>
      <c r="D5" t="s">
        <v>100</v>
      </c>
      <c r="E5" t="s">
        <v>5810</v>
      </c>
      <c r="F5">
        <v>1</v>
      </c>
      <c r="G5">
        <v>1</v>
      </c>
      <c r="I5" t="s">
        <v>2622</v>
      </c>
      <c r="J5">
        <v>1</v>
      </c>
      <c r="K5" t="s">
        <v>2629</v>
      </c>
      <c r="L5" t="s">
        <v>2635</v>
      </c>
      <c r="M5" t="s">
        <v>3222</v>
      </c>
      <c r="N5" s="197" t="s">
        <v>3186</v>
      </c>
      <c r="O5" t="s">
        <v>1205</v>
      </c>
      <c r="P5" s="196" t="s">
        <v>2067</v>
      </c>
      <c r="Q5" s="204" t="s">
        <v>1274</v>
      </c>
      <c r="R5" s="196">
        <v>4</v>
      </c>
      <c r="S5" s="199" t="s">
        <v>5219</v>
      </c>
      <c r="T5" s="196">
        <v>13</v>
      </c>
      <c r="U5" s="199" t="s">
        <v>5233</v>
      </c>
      <c r="V5" s="196" t="s">
        <v>5365</v>
      </c>
      <c r="W5" s="199" t="s">
        <v>5509</v>
      </c>
      <c r="X5" s="232" t="s">
        <v>5547</v>
      </c>
      <c r="Y5" s="232" t="s">
        <v>5563</v>
      </c>
      <c r="Z5" s="197" t="s">
        <v>5575</v>
      </c>
      <c r="AB5" s="197">
        <v>3</v>
      </c>
      <c r="AC5" s="197" t="s">
        <v>5601</v>
      </c>
      <c r="AD5" s="7" t="str">
        <f>IF(Contexte_jeu&lt;&gt;"L'Empire Stellaire d'Emeraude","","Arme de poing")</f>
        <v/>
      </c>
      <c r="AE5" s="197" t="s">
        <v>9062</v>
      </c>
      <c r="AF5" t="s">
        <v>8006</v>
      </c>
      <c r="AG5" s="294" t="s">
        <v>6772</v>
      </c>
      <c r="AH5" s="91" t="str">
        <f>VLOOKUP(AG5,Familles!B:D,3,FALSE)</f>
        <v>Fushi</v>
      </c>
      <c r="AI5" s="91" t="str">
        <f>CONCATENATE("Terres des ",AH5)</f>
        <v>Terres des Fushi</v>
      </c>
      <c r="AJ5" s="295" t="str">
        <f t="shared" si="0"/>
        <v/>
      </c>
    </row>
    <row r="6" spans="1:36" x14ac:dyDescent="0.25">
      <c r="A6">
        <v>4</v>
      </c>
      <c r="B6" s="52" t="s">
        <v>181</v>
      </c>
      <c r="C6" t="s">
        <v>170</v>
      </c>
      <c r="D6" t="s">
        <v>577</v>
      </c>
      <c r="E6" t="s">
        <v>2039</v>
      </c>
      <c r="F6">
        <v>0</v>
      </c>
      <c r="G6">
        <v>1</v>
      </c>
      <c r="I6" t="s">
        <v>2623</v>
      </c>
      <c r="J6">
        <v>2</v>
      </c>
      <c r="K6" t="s">
        <v>2630</v>
      </c>
      <c r="L6" t="s">
        <v>2647</v>
      </c>
      <c r="M6" t="s">
        <v>114</v>
      </c>
      <c r="N6" s="197" t="s">
        <v>3315</v>
      </c>
      <c r="O6" t="s">
        <v>1205</v>
      </c>
      <c r="P6" s="196" t="s">
        <v>159</v>
      </c>
      <c r="Q6" s="204" t="s">
        <v>1272</v>
      </c>
      <c r="R6" s="196">
        <v>5</v>
      </c>
      <c r="S6" s="199" t="s">
        <v>5220</v>
      </c>
      <c r="T6" s="196">
        <v>14</v>
      </c>
      <c r="U6" s="199" t="s">
        <v>5234</v>
      </c>
      <c r="V6" s="196" t="s">
        <v>5366</v>
      </c>
      <c r="W6" s="199" t="s">
        <v>5510</v>
      </c>
      <c r="X6" s="232" t="s">
        <v>5545</v>
      </c>
      <c r="Y6" s="232" t="s">
        <v>5560</v>
      </c>
      <c r="Z6" s="197" t="s">
        <v>5576</v>
      </c>
      <c r="AB6" s="197">
        <v>4</v>
      </c>
      <c r="AC6" t="s">
        <v>5602</v>
      </c>
      <c r="AD6" s="7" t="str">
        <f>IF(Contexte_jeu&lt;&gt;"L'Empire Stellaire d'Emeraude","","Arme de Siège Dévastator")</f>
        <v/>
      </c>
      <c r="AE6" s="197" t="s">
        <v>7474</v>
      </c>
      <c r="AG6" s="294" t="s">
        <v>6766</v>
      </c>
      <c r="AH6" s="91" t="str">
        <f>VLOOKUP(AG6,Familles!B:D,3,FALSE)</f>
        <v>Anago</v>
      </c>
      <c r="AI6" s="91" t="str">
        <f>CONCATENATE("Terres des ",AH6)</f>
        <v>Terres des Anago</v>
      </c>
      <c r="AJ6" s="295" t="str">
        <f t="shared" si="0"/>
        <v/>
      </c>
    </row>
    <row r="7" spans="1:36" x14ac:dyDescent="0.25">
      <c r="A7">
        <v>5</v>
      </c>
      <c r="B7" s="52" t="s">
        <v>7225</v>
      </c>
      <c r="C7" t="s">
        <v>169</v>
      </c>
      <c r="E7" t="s">
        <v>5811</v>
      </c>
      <c r="F7">
        <v>1</v>
      </c>
      <c r="G7">
        <v>1</v>
      </c>
      <c r="I7" t="s">
        <v>2624</v>
      </c>
      <c r="J7">
        <v>0</v>
      </c>
      <c r="L7" t="s">
        <v>2636</v>
      </c>
      <c r="M7" t="s">
        <v>116</v>
      </c>
      <c r="N7" s="197" t="s">
        <v>1321</v>
      </c>
      <c r="O7" t="s">
        <v>1205</v>
      </c>
      <c r="P7" s="196" t="s">
        <v>2081</v>
      </c>
      <c r="Q7" s="204" t="s">
        <v>1277</v>
      </c>
      <c r="R7" s="196">
        <v>7</v>
      </c>
      <c r="S7" s="199" t="s">
        <v>4647</v>
      </c>
      <c r="T7" s="196">
        <v>18</v>
      </c>
      <c r="U7" s="199" t="s">
        <v>5235</v>
      </c>
      <c r="V7" s="196" t="s">
        <v>5367</v>
      </c>
      <c r="W7" s="199" t="s">
        <v>5511</v>
      </c>
      <c r="X7" s="233" t="s">
        <v>5552</v>
      </c>
      <c r="Y7" s="197" t="s">
        <v>5570</v>
      </c>
      <c r="Z7" s="197" t="s">
        <v>5577</v>
      </c>
      <c r="AB7" s="197">
        <v>5</v>
      </c>
      <c r="AC7" s="197" t="str">
        <f>IF(Verso2!$AE$23&lt;Vide,"Corruption Mortelle","Damnation")</f>
        <v>Corruption Mortelle</v>
      </c>
      <c r="AD7" s="7" t="s">
        <v>8117</v>
      </c>
      <c r="AE7" s="197" t="s">
        <v>7466</v>
      </c>
      <c r="AG7" s="294" t="s">
        <v>181</v>
      </c>
      <c r="AH7" s="91" t="str">
        <f>VLOOKUP(AG7,Familles!B:D,3,FALSE)</f>
        <v>Chuda</v>
      </c>
      <c r="AI7" s="91" t="str">
        <f>CONCATENATE("Terres des ",AH7)</f>
        <v>Terres des Chuda</v>
      </c>
      <c r="AJ7" s="295" t="str">
        <f t="shared" si="0"/>
        <v/>
      </c>
    </row>
    <row r="8" spans="1:36" x14ac:dyDescent="0.25">
      <c r="A8">
        <v>6</v>
      </c>
      <c r="B8" s="52" t="s">
        <v>8284</v>
      </c>
      <c r="C8" t="s">
        <v>171</v>
      </c>
      <c r="I8" t="s">
        <v>2625</v>
      </c>
      <c r="J8" t="s">
        <v>626</v>
      </c>
      <c r="L8" t="s">
        <v>2637</v>
      </c>
      <c r="M8" t="s">
        <v>110</v>
      </c>
      <c r="N8" s="197" t="s">
        <v>181</v>
      </c>
      <c r="O8" t="s">
        <v>1205</v>
      </c>
      <c r="P8" s="196" t="s">
        <v>2083</v>
      </c>
      <c r="Q8" s="204" t="s">
        <v>1273</v>
      </c>
      <c r="R8" s="196">
        <v>9</v>
      </c>
      <c r="S8" s="199" t="s">
        <v>4650</v>
      </c>
      <c r="T8" s="196">
        <v>19</v>
      </c>
      <c r="U8" s="199" t="s">
        <v>5236</v>
      </c>
      <c r="V8" s="196" t="s">
        <v>5368</v>
      </c>
      <c r="W8" s="199" t="s">
        <v>5494</v>
      </c>
      <c r="X8" s="232" t="s">
        <v>5551</v>
      </c>
      <c r="Y8" s="232" t="s">
        <v>5559</v>
      </c>
      <c r="AB8" s="197">
        <v>6</v>
      </c>
      <c r="AC8" s="197" t="str">
        <f>IF(Verso2!$AE$23&lt;Vide,"Corruption Mortelle","Damnation")</f>
        <v>Corruption Mortelle</v>
      </c>
      <c r="AD8" s="202" t="s">
        <v>4446</v>
      </c>
      <c r="AE8" s="197" t="s">
        <v>7461</v>
      </c>
      <c r="AG8" s="294" t="s">
        <v>181</v>
      </c>
      <c r="AH8" s="91"/>
      <c r="AI8" s="91" t="str">
        <f>IF(Contexte_jeu&lt;&gt;"L'Empire Stellaire d'Emeraude","","Hellfall")</f>
        <v/>
      </c>
      <c r="AJ8" s="295" t="str">
        <f t="shared" si="0"/>
        <v/>
      </c>
    </row>
    <row r="9" spans="1:36" x14ac:dyDescent="0.25">
      <c r="A9">
        <v>7</v>
      </c>
      <c r="B9" s="53" t="s">
        <v>180</v>
      </c>
      <c r="C9" t="s">
        <v>172</v>
      </c>
      <c r="L9" t="s">
        <v>2638</v>
      </c>
      <c r="M9" t="s">
        <v>111</v>
      </c>
      <c r="N9" s="197" t="s">
        <v>1387</v>
      </c>
      <c r="O9" t="s">
        <v>3300</v>
      </c>
      <c r="P9" s="196" t="s">
        <v>4791</v>
      </c>
      <c r="Q9" s="199" t="s">
        <v>4582</v>
      </c>
      <c r="R9" s="196">
        <v>10</v>
      </c>
      <c r="S9" s="205" t="s">
        <v>1376</v>
      </c>
      <c r="T9" s="196">
        <v>20</v>
      </c>
      <c r="U9" s="199" t="s">
        <v>5237</v>
      </c>
      <c r="V9" s="196" t="s">
        <v>5369</v>
      </c>
      <c r="W9" s="199" t="s">
        <v>5495</v>
      </c>
      <c r="X9" s="232" t="s">
        <v>5550</v>
      </c>
      <c r="Y9" s="232" t="s">
        <v>5564</v>
      </c>
      <c r="AB9" s="197">
        <v>7</v>
      </c>
      <c r="AC9" s="197" t="str">
        <f>IF(Verso2!$AE$23&lt;Vide,"Corruption Mortelle","Damnation")</f>
        <v>Corruption Mortelle</v>
      </c>
      <c r="AD9" s="7" t="s">
        <v>7707</v>
      </c>
      <c r="AE9" s="197" t="s">
        <v>7464</v>
      </c>
      <c r="AG9" s="294" t="s">
        <v>181</v>
      </c>
      <c r="AH9" s="91"/>
      <c r="AI9" s="91" t="str">
        <f>IF(Contexte_jeu&lt;&gt;"L'Empire Stellaire d'Emeraude","","Hive")</f>
        <v/>
      </c>
      <c r="AJ9" s="295" t="str">
        <f t="shared" si="0"/>
        <v/>
      </c>
    </row>
    <row r="10" spans="1:36" x14ac:dyDescent="0.25">
      <c r="A10">
        <v>8</v>
      </c>
      <c r="B10" s="53" t="s">
        <v>338</v>
      </c>
      <c r="C10" t="s">
        <v>173</v>
      </c>
      <c r="L10" t="s">
        <v>2639</v>
      </c>
      <c r="M10" t="s">
        <v>117</v>
      </c>
      <c r="N10" s="197" t="s">
        <v>3187</v>
      </c>
      <c r="O10" t="s">
        <v>1205</v>
      </c>
      <c r="Q10" s="205" t="s">
        <v>2977</v>
      </c>
      <c r="R10" s="196">
        <v>23</v>
      </c>
      <c r="S10" s="199" t="s">
        <v>4649</v>
      </c>
      <c r="T10" s="196">
        <v>22</v>
      </c>
      <c r="U10" s="199" t="s">
        <v>5238</v>
      </c>
      <c r="V10" s="196" t="s">
        <v>5370</v>
      </c>
      <c r="W10" s="199" t="s">
        <v>5496</v>
      </c>
      <c r="X10" s="197" t="s">
        <v>5556</v>
      </c>
      <c r="Y10" s="232" t="s">
        <v>5562</v>
      </c>
      <c r="AB10" s="197">
        <v>8</v>
      </c>
      <c r="AC10" s="197" t="str">
        <f>IF(Verso2!$AE$23&lt;Vide,"Corruption Mortelle","Damnation")</f>
        <v>Corruption Mortelle</v>
      </c>
      <c r="AD10" s="7" t="s">
        <v>7783</v>
      </c>
      <c r="AE10" s="197" t="s">
        <v>7462</v>
      </c>
      <c r="AF10" t="s">
        <v>8006</v>
      </c>
      <c r="AG10" s="294" t="s">
        <v>181</v>
      </c>
      <c r="AH10" s="91"/>
      <c r="AI10" s="91" t="str">
        <f>IF(Contexte_jeu&lt;&gt;"L'Empire Stellaire d'Emeraude","","Meido's Fields")</f>
        <v/>
      </c>
      <c r="AJ10" s="295" t="str">
        <f t="shared" si="0"/>
        <v/>
      </c>
    </row>
    <row r="11" spans="1:36" x14ac:dyDescent="0.25">
      <c r="A11">
        <v>9</v>
      </c>
      <c r="B11" s="52" t="s">
        <v>6783</v>
      </c>
      <c r="C11" t="s">
        <v>2825</v>
      </c>
      <c r="M11" t="s">
        <v>3223</v>
      </c>
      <c r="N11" s="197" t="s">
        <v>1364</v>
      </c>
      <c r="O11" t="s">
        <v>1258</v>
      </c>
      <c r="Q11" s="199" t="s">
        <v>1949</v>
      </c>
      <c r="R11" s="196">
        <v>11</v>
      </c>
      <c r="U11" s="199" t="s">
        <v>5239</v>
      </c>
      <c r="V11" s="196" t="s">
        <v>5371</v>
      </c>
      <c r="W11" s="199" t="s">
        <v>5497</v>
      </c>
      <c r="X11" s="232" t="s">
        <v>5554</v>
      </c>
      <c r="Y11" s="232" t="s">
        <v>5565</v>
      </c>
      <c r="AB11" s="197">
        <v>9</v>
      </c>
      <c r="AC11" s="197" t="str">
        <f>IF(Verso2!$AE$23&lt;Vide,"Corruption Mortelle","Damnation")</f>
        <v>Corruption Mortelle</v>
      </c>
      <c r="AD11" s="7" t="s">
        <v>7708</v>
      </c>
      <c r="AE11" s="197" t="s">
        <v>7468</v>
      </c>
      <c r="AG11" s="294" t="s">
        <v>181</v>
      </c>
      <c r="AH11" s="91"/>
      <c r="AI11" s="91" t="str">
        <f>IF(Contexte_jeu&lt;&gt;"L'Empire Stellaire d'Emeraude","","Suzumu's Holding")</f>
        <v/>
      </c>
      <c r="AJ11" s="295" t="str">
        <f t="shared" si="0"/>
        <v/>
      </c>
    </row>
    <row r="12" spans="1:36" x14ac:dyDescent="0.25">
      <c r="A12">
        <v>10</v>
      </c>
      <c r="B12" s="52" t="s">
        <v>7727</v>
      </c>
      <c r="C12" t="s">
        <v>253</v>
      </c>
      <c r="N12" s="197" t="s">
        <v>3259</v>
      </c>
      <c r="O12" t="s">
        <v>1249</v>
      </c>
      <c r="Q12" s="204" t="s">
        <v>351</v>
      </c>
      <c r="R12" s="196">
        <v>15</v>
      </c>
      <c r="U12" s="199" t="s">
        <v>5240</v>
      </c>
      <c r="V12" s="196" t="s">
        <v>5372</v>
      </c>
      <c r="W12" s="199" t="s">
        <v>5498</v>
      </c>
      <c r="X12" s="233" t="s">
        <v>5546</v>
      </c>
      <c r="Y12" s="232" t="s">
        <v>5566</v>
      </c>
      <c r="AB12" s="197">
        <v>10</v>
      </c>
      <c r="AC12" s="197" t="str">
        <f>IF(Verso2!$AE$23&lt;Vide,"Corruption Mortelle","Damnation")</f>
        <v>Corruption Mortelle</v>
      </c>
      <c r="AD12" s="7" t="s">
        <v>1307</v>
      </c>
      <c r="AE12" s="197" t="s">
        <v>7469</v>
      </c>
      <c r="AF12" s="196" t="s">
        <v>7608</v>
      </c>
      <c r="AG12" s="294" t="s">
        <v>7225</v>
      </c>
      <c r="AH12" s="91" t="str">
        <f>VLOOKUP(AG12,Familles!B:D,3,FALSE)</f>
        <v>Anko</v>
      </c>
      <c r="AI12" s="91" t="str">
        <f>CONCATENATE("Terres des ",AH12)</f>
        <v>Terres des Anko</v>
      </c>
      <c r="AJ12" s="295" t="str">
        <f t="shared" si="0"/>
        <v/>
      </c>
    </row>
    <row r="13" spans="1:36" x14ac:dyDescent="0.25">
      <c r="A13">
        <v>1.5</v>
      </c>
      <c r="B13" s="53" t="s">
        <v>6757</v>
      </c>
      <c r="N13" s="197" t="s">
        <v>1365</v>
      </c>
      <c r="O13" t="s">
        <v>1258</v>
      </c>
      <c r="Q13" s="204" t="s">
        <v>1275</v>
      </c>
      <c r="R13" s="196">
        <v>16</v>
      </c>
      <c r="U13" s="199" t="s">
        <v>5241</v>
      </c>
      <c r="V13" s="196" t="s">
        <v>5373</v>
      </c>
      <c r="W13" s="199" t="s">
        <v>5499</v>
      </c>
      <c r="X13" s="232" t="s">
        <v>5548</v>
      </c>
      <c r="Y13" s="232" t="s">
        <v>5554</v>
      </c>
      <c r="AD13" s="7" t="s">
        <v>8118</v>
      </c>
      <c r="AE13" s="197" t="s">
        <v>7481</v>
      </c>
      <c r="AF13" t="s">
        <v>9061</v>
      </c>
      <c r="AG13" s="294" t="s">
        <v>180</v>
      </c>
      <c r="AH13" s="91" t="str">
        <f>VLOOKUP(AG13,Familles!B:D,3,FALSE)</f>
        <v>Ichiro</v>
      </c>
      <c r="AI13" s="91" t="str">
        <f>CONCATENATE("Terres des ",AH13)</f>
        <v>Terres des Ichiro</v>
      </c>
      <c r="AJ13" s="295" t="str">
        <f t="shared" si="0"/>
        <v/>
      </c>
    </row>
    <row r="14" spans="1:36" x14ac:dyDescent="0.25">
      <c r="A14">
        <v>4.5</v>
      </c>
      <c r="B14" s="52" t="s">
        <v>6758</v>
      </c>
      <c r="N14" s="197" t="s">
        <v>1298</v>
      </c>
      <c r="O14" t="s">
        <v>1205</v>
      </c>
      <c r="Q14" s="204" t="s">
        <v>1230</v>
      </c>
      <c r="R14" s="196">
        <v>17</v>
      </c>
      <c r="U14" s="199" t="s">
        <v>5242</v>
      </c>
      <c r="V14" s="196" t="s">
        <v>5374</v>
      </c>
      <c r="W14" s="199" t="s">
        <v>5500</v>
      </c>
      <c r="X14" s="232"/>
      <c r="Y14" s="232" t="s">
        <v>5561</v>
      </c>
      <c r="AD14" s="7" t="s">
        <v>1377</v>
      </c>
      <c r="AE14" s="197" t="s">
        <v>7607</v>
      </c>
      <c r="AF14" t="s">
        <v>7608</v>
      </c>
      <c r="AG14" s="294" t="s">
        <v>180</v>
      </c>
      <c r="AH14" s="91"/>
      <c r="AI14" s="91" t="str">
        <f>IF(Contexte_jeu&lt;&gt;"L'Empire Stellaire d'Emeraude","","Gale")</f>
        <v/>
      </c>
      <c r="AJ14" s="295" t="str">
        <f t="shared" si="0"/>
        <v/>
      </c>
    </row>
    <row r="15" spans="1:36" x14ac:dyDescent="0.25">
      <c r="B15" s="53" t="s">
        <v>400</v>
      </c>
      <c r="N15" s="197" t="s">
        <v>4927</v>
      </c>
      <c r="O15" t="s">
        <v>1205</v>
      </c>
      <c r="Q15" s="203" t="s">
        <v>291</v>
      </c>
      <c r="R15">
        <v>21</v>
      </c>
      <c r="U15" s="199" t="s">
        <v>5243</v>
      </c>
      <c r="V15" s="196" t="s">
        <v>5375</v>
      </c>
      <c r="W15" s="199" t="s">
        <v>5501</v>
      </c>
      <c r="X15" s="232"/>
      <c r="Y15" s="232" t="s">
        <v>5568</v>
      </c>
      <c r="AD15" s="200" t="s">
        <v>4471</v>
      </c>
      <c r="AE15" s="197" t="s">
        <v>7470</v>
      </c>
      <c r="AF15" t="s">
        <v>9063</v>
      </c>
      <c r="AG15" s="294" t="s">
        <v>338</v>
      </c>
      <c r="AH15" s="91" t="str">
        <f>VLOOKUP(AG15,Familles!B:D,3,FALSE)</f>
        <v>Morito</v>
      </c>
      <c r="AI15" s="91" t="str">
        <f>CONCATENATE("Terres des ",AH15)</f>
        <v>Terres des Morito</v>
      </c>
      <c r="AJ15" s="295" t="str">
        <f t="shared" si="0"/>
        <v/>
      </c>
    </row>
    <row r="16" spans="1:36" x14ac:dyDescent="0.25">
      <c r="A16" t="s">
        <v>237</v>
      </c>
      <c r="B16" s="52" t="s">
        <v>6762</v>
      </c>
      <c r="N16" s="196" t="s">
        <v>6857</v>
      </c>
      <c r="O16" t="s">
        <v>1249</v>
      </c>
      <c r="U16" s="199" t="s">
        <v>5244</v>
      </c>
      <c r="V16" s="196" t="s">
        <v>5376</v>
      </c>
      <c r="W16" s="199" t="s">
        <v>5502</v>
      </c>
      <c r="X16" s="232"/>
      <c r="Y16" s="197" t="s">
        <v>5571</v>
      </c>
      <c r="AD16" s="7" t="s">
        <v>3664</v>
      </c>
      <c r="AE16" s="197" t="s">
        <v>7483</v>
      </c>
      <c r="AF16" t="s">
        <v>9060</v>
      </c>
      <c r="AG16" s="294" t="s">
        <v>6783</v>
      </c>
      <c r="AH16" s="91" t="str">
        <f>VLOOKUP(AG16,Familles!B:D,3,FALSE)</f>
        <v>Aburamushi</v>
      </c>
      <c r="AI16" s="91" t="str">
        <f>CONCATENATE("Terres des ",AH16)</f>
        <v>Terres des Aburamushi</v>
      </c>
      <c r="AJ16" s="295" t="str">
        <f t="shared" si="0"/>
        <v/>
      </c>
    </row>
    <row r="17" spans="1:36" x14ac:dyDescent="0.25">
      <c r="A17" t="s">
        <v>2096</v>
      </c>
      <c r="B17" s="53" t="s">
        <v>388</v>
      </c>
      <c r="N17" s="197" t="s">
        <v>5987</v>
      </c>
      <c r="O17" t="s">
        <v>1258</v>
      </c>
      <c r="U17" s="199" t="s">
        <v>5245</v>
      </c>
      <c r="V17" s="196" t="s">
        <v>5377</v>
      </c>
      <c r="W17" s="199" t="s">
        <v>5503</v>
      </c>
      <c r="X17" s="233"/>
      <c r="Y17" s="197" t="s">
        <v>5572</v>
      </c>
      <c r="AD17" s="7" t="s">
        <v>4553</v>
      </c>
      <c r="AE17" s="197" t="s">
        <v>7465</v>
      </c>
      <c r="AG17" s="294" t="s">
        <v>7727</v>
      </c>
      <c r="AH17" s="91" t="str">
        <f>VLOOKUP(AG17,Familles!B:D,3,FALSE)</f>
        <v>Biba</v>
      </c>
      <c r="AI17" s="91" t="str">
        <f>CONCATENATE("Terres des ",AH17)</f>
        <v>Terres des Biba</v>
      </c>
      <c r="AJ17" s="295" t="str">
        <f t="shared" si="0"/>
        <v/>
      </c>
    </row>
    <row r="18" spans="1:36" x14ac:dyDescent="0.25">
      <c r="B18" s="52" t="s">
        <v>6770</v>
      </c>
      <c r="N18" s="197" t="s">
        <v>3276</v>
      </c>
      <c r="O18" t="s">
        <v>1258</v>
      </c>
      <c r="U18" s="199" t="s">
        <v>5246</v>
      </c>
      <c r="V18" s="196" t="s">
        <v>5378</v>
      </c>
      <c r="W18" s="199" t="s">
        <v>5504</v>
      </c>
      <c r="X18" s="232"/>
      <c r="Y18" s="232"/>
      <c r="AD18" s="7" t="s">
        <v>7709</v>
      </c>
      <c r="AE18" s="197" t="s">
        <v>7485</v>
      </c>
      <c r="AF18" s="196" t="s">
        <v>7477</v>
      </c>
      <c r="AG18" s="294" t="s">
        <v>6757</v>
      </c>
      <c r="AH18" s="91" t="str">
        <f>VLOOKUP(AG18,Familles!B:D,3,FALSE)</f>
        <v>Rakuda</v>
      </c>
      <c r="AI18" s="91" t="str">
        <f>CONCATENATE("Terres des ",AH18)</f>
        <v>Terres des Rakuda</v>
      </c>
      <c r="AJ18" s="295" t="str">
        <f t="shared" si="0"/>
        <v/>
      </c>
    </row>
    <row r="19" spans="1:36" x14ac:dyDescent="0.25">
      <c r="A19" t="s">
        <v>5228</v>
      </c>
      <c r="B19" s="53" t="s">
        <v>341</v>
      </c>
      <c r="N19" s="197" t="s">
        <v>3303</v>
      </c>
      <c r="O19" t="s">
        <v>3300</v>
      </c>
      <c r="U19" s="199" t="s">
        <v>5247</v>
      </c>
      <c r="V19" s="196" t="s">
        <v>5379</v>
      </c>
      <c r="W19" s="199" t="s">
        <v>5505</v>
      </c>
      <c r="X19" s="232"/>
      <c r="Y19" s="232"/>
      <c r="AD19" s="7" t="s">
        <v>7712</v>
      </c>
      <c r="AE19" s="197" t="s">
        <v>7484</v>
      </c>
      <c r="AF19" s="196" t="s">
        <v>7477</v>
      </c>
      <c r="AG19" s="294" t="s">
        <v>6757</v>
      </c>
      <c r="AH19" s="91" t="str">
        <f>VLOOKUP(AG19,Familles!B:D,3,FALSE)</f>
        <v>Rakuda</v>
      </c>
      <c r="AI19" s="91" t="str">
        <f>IF(Contexte_jeu&lt;&gt;"L'Empire Stellaire d'Emeraude","","Rakuda's Beacon")</f>
        <v/>
      </c>
      <c r="AJ19" s="295" t="str">
        <f t="shared" si="0"/>
        <v/>
      </c>
    </row>
    <row r="20" spans="1:36" x14ac:dyDescent="0.25">
      <c r="A20" t="s">
        <v>5229</v>
      </c>
      <c r="B20" s="52" t="s">
        <v>6797</v>
      </c>
      <c r="N20" s="197" t="s">
        <v>3262</v>
      </c>
      <c r="O20" t="s">
        <v>1258</v>
      </c>
      <c r="U20" s="199" t="s">
        <v>5248</v>
      </c>
      <c r="V20" s="196" t="s">
        <v>5380</v>
      </c>
      <c r="W20" s="199" t="s">
        <v>5506</v>
      </c>
      <c r="X20" s="232"/>
      <c r="Y20" s="232"/>
      <c r="AD20" s="7" t="s">
        <v>7774</v>
      </c>
      <c r="AE20" s="197" t="s">
        <v>7486</v>
      </c>
      <c r="AF20" s="196" t="s">
        <v>7487</v>
      </c>
      <c r="AG20" s="294" t="s">
        <v>6758</v>
      </c>
      <c r="AH20" s="91" t="str">
        <f>VLOOKUP(AG20,Familles!B:D,3,FALSE)</f>
        <v>Nekoma</v>
      </c>
      <c r="AI20" s="91" t="str">
        <f>CONCATENATE("Terres des ",AH20)</f>
        <v>Terres des Nekoma</v>
      </c>
      <c r="AJ20" s="295" t="str">
        <f t="shared" si="0"/>
        <v/>
      </c>
    </row>
    <row r="21" spans="1:36" x14ac:dyDescent="0.25">
      <c r="B21" s="53" t="s">
        <v>175</v>
      </c>
      <c r="N21" s="197" t="s">
        <v>180</v>
      </c>
      <c r="O21" t="s">
        <v>1205</v>
      </c>
      <c r="U21" s="199" t="s">
        <v>5249</v>
      </c>
      <c r="V21" s="196" t="s">
        <v>5381</v>
      </c>
      <c r="W21" s="199" t="s">
        <v>5507</v>
      </c>
      <c r="X21" s="232"/>
      <c r="Y21" s="232"/>
      <c r="AD21" s="7" t="s">
        <v>1362</v>
      </c>
      <c r="AE21" s="197" t="s">
        <v>7467</v>
      </c>
      <c r="AF21" t="s">
        <v>8006</v>
      </c>
      <c r="AG21" s="294" t="s">
        <v>6758</v>
      </c>
      <c r="AH21" s="91" t="str">
        <f>VLOOKUP(AG21,Familles!B:D,3,FALSE)</f>
        <v>Nekoma</v>
      </c>
      <c r="AI21" s="91" t="str">
        <f>IF(Contexte_jeu&lt;&gt;"L'Empire Stellaire d'Emeraude","","Feathers of the Space")</f>
        <v/>
      </c>
      <c r="AJ21" s="295" t="str">
        <f t="shared" si="0"/>
        <v/>
      </c>
    </row>
    <row r="22" spans="1:36" x14ac:dyDescent="0.25">
      <c r="A22" t="s">
        <v>9059</v>
      </c>
      <c r="B22" s="52" t="s">
        <v>6760</v>
      </c>
      <c r="N22" s="197" t="s">
        <v>1377</v>
      </c>
      <c r="O22" t="s">
        <v>1258</v>
      </c>
      <c r="U22" s="199" t="s">
        <v>5250</v>
      </c>
      <c r="V22" s="196" t="s">
        <v>5382</v>
      </c>
      <c r="W22" s="199" t="s">
        <v>5513</v>
      </c>
      <c r="X22" s="232"/>
      <c r="Y22" s="232"/>
      <c r="AD22" s="7" t="s">
        <v>8119</v>
      </c>
      <c r="AE22" s="197" t="s">
        <v>7471</v>
      </c>
      <c r="AF22" s="196" t="s">
        <v>9063</v>
      </c>
      <c r="AG22" s="294" t="s">
        <v>400</v>
      </c>
      <c r="AH22" s="91" t="str">
        <f>VLOOKUP(AG22,Familles!B:D,3,FALSE)</f>
        <v>Komori</v>
      </c>
      <c r="AI22" s="91" t="str">
        <f>CONCATENATE("Terres des ",AH22)</f>
        <v>Terres des Komori</v>
      </c>
      <c r="AJ22" s="295" t="str">
        <f t="shared" si="0"/>
        <v/>
      </c>
    </row>
    <row r="23" spans="1:36" x14ac:dyDescent="0.25">
      <c r="B23" s="53" t="s">
        <v>6789</v>
      </c>
      <c r="N23" s="197" t="s">
        <v>338</v>
      </c>
      <c r="O23" t="s">
        <v>1205</v>
      </c>
      <c r="U23" s="199" t="s">
        <v>5251</v>
      </c>
      <c r="V23" s="196" t="s">
        <v>5383</v>
      </c>
      <c r="W23" s="199" t="s">
        <v>5514</v>
      </c>
      <c r="X23" s="232"/>
      <c r="Y23" s="232"/>
      <c r="AD23" s="7" t="s">
        <v>4799</v>
      </c>
      <c r="AE23" s="197" t="s">
        <v>7482</v>
      </c>
      <c r="AG23" s="294" t="s">
        <v>6762</v>
      </c>
      <c r="AH23" s="91" t="str">
        <f>VLOOKUP(AG23,Familles!B:D,3,FALSE)</f>
        <v>Hokori</v>
      </c>
      <c r="AI23" s="91" t="str">
        <f>CONCATENATE("Terres des ",AH23)</f>
        <v>Terres des Hokori</v>
      </c>
      <c r="AJ23" s="295" t="str">
        <f t="shared" si="0"/>
        <v/>
      </c>
    </row>
    <row r="24" spans="1:36" x14ac:dyDescent="0.25">
      <c r="B24" s="52" t="s">
        <v>15</v>
      </c>
      <c r="N24" s="197" t="s">
        <v>4471</v>
      </c>
      <c r="O24" t="s">
        <v>1258</v>
      </c>
      <c r="U24" s="199" t="s">
        <v>5252</v>
      </c>
      <c r="V24" s="196" t="s">
        <v>5384</v>
      </c>
      <c r="W24" s="199" t="s">
        <v>5515</v>
      </c>
      <c r="X24" s="232"/>
      <c r="Y24" s="232"/>
      <c r="AD24" s="7" t="s">
        <v>4579</v>
      </c>
      <c r="AE24" s="197" t="s">
        <v>7475</v>
      </c>
      <c r="AF24" t="s">
        <v>7477</v>
      </c>
      <c r="AG24" s="294" t="s">
        <v>388</v>
      </c>
      <c r="AH24" s="91"/>
      <c r="AI24" s="91" t="str">
        <f>IF(Contexte_jeu&lt;&gt;"L'Empire Stellaire d'Emeraude","","Alaine Two")</f>
        <v/>
      </c>
      <c r="AJ24" s="295" t="str">
        <f t="shared" si="0"/>
        <v/>
      </c>
    </row>
    <row r="25" spans="1:36" x14ac:dyDescent="0.25">
      <c r="B25" s="52" t="s">
        <v>8285</v>
      </c>
      <c r="N25" s="197" t="s">
        <v>3175</v>
      </c>
      <c r="O25" t="s">
        <v>1249</v>
      </c>
      <c r="U25" s="199" t="s">
        <v>5253</v>
      </c>
      <c r="V25" s="196" t="s">
        <v>5385</v>
      </c>
      <c r="W25" s="199" t="s">
        <v>5516</v>
      </c>
      <c r="X25" s="232"/>
      <c r="Y25" s="232"/>
      <c r="AD25" s="200" t="s">
        <v>5583</v>
      </c>
      <c r="AE25" s="197" t="s">
        <v>7476</v>
      </c>
      <c r="AF25" t="s">
        <v>7477</v>
      </c>
      <c r="AG25" s="294" t="s">
        <v>6770</v>
      </c>
      <c r="AH25" s="91" t="str">
        <f>VLOOKUP(AG25,Familles!B:D,3,FALSE)</f>
        <v>Naomi</v>
      </c>
      <c r="AI25" s="91" t="str">
        <f>CONCATENATE("Terres des ",AH25)</f>
        <v>Terres des Naomi</v>
      </c>
      <c r="AJ25" s="295" t="str">
        <f t="shared" si="0"/>
        <v/>
      </c>
    </row>
    <row r="26" spans="1:36" x14ac:dyDescent="0.25">
      <c r="B26" s="53" t="s">
        <v>7733</v>
      </c>
      <c r="N26" s="197" t="s">
        <v>3289</v>
      </c>
      <c r="O26" t="s">
        <v>1257</v>
      </c>
      <c r="U26" s="199" t="s">
        <v>5254</v>
      </c>
      <c r="V26" s="196" t="s">
        <v>5386</v>
      </c>
      <c r="W26" s="199" t="s">
        <v>5517</v>
      </c>
      <c r="X26" s="232"/>
      <c r="Y26" s="232"/>
      <c r="AD26" s="7" t="s">
        <v>1312</v>
      </c>
      <c r="AE26" s="197" t="s">
        <v>7480</v>
      </c>
      <c r="AG26" s="294" t="s">
        <v>6797</v>
      </c>
      <c r="AH26" s="91" t="str">
        <f>VLOOKUP(AG26,Familles!B:D,3,FALSE)</f>
        <v>Karasu</v>
      </c>
      <c r="AI26" s="91" t="str">
        <f>CONCATENATE("Terres des ",AH26)</f>
        <v>Terres des Karasu</v>
      </c>
      <c r="AJ26" s="295" t="str">
        <f t="shared" si="0"/>
        <v/>
      </c>
    </row>
    <row r="27" spans="1:36" x14ac:dyDescent="0.25">
      <c r="B27" s="53" t="s">
        <v>8787</v>
      </c>
      <c r="N27" s="197" t="s">
        <v>3283</v>
      </c>
      <c r="O27" t="s">
        <v>1205</v>
      </c>
      <c r="U27" s="199" t="s">
        <v>5255</v>
      </c>
      <c r="V27" s="196" t="s">
        <v>5387</v>
      </c>
      <c r="W27" s="199" t="s">
        <v>5518</v>
      </c>
      <c r="X27" s="232"/>
      <c r="Y27" s="232"/>
      <c r="AD27" s="7" t="s">
        <v>1355</v>
      </c>
      <c r="AE27" s="197" t="s">
        <v>7473</v>
      </c>
      <c r="AF27" t="s">
        <v>8006</v>
      </c>
      <c r="AG27" s="294" t="s">
        <v>175</v>
      </c>
      <c r="AH27" s="91" t="s">
        <v>2</v>
      </c>
      <c r="AI27" s="91" t="s">
        <v>7887</v>
      </c>
      <c r="AJ27" s="295" t="str">
        <f t="shared" si="0"/>
        <v/>
      </c>
    </row>
    <row r="28" spans="1:36" x14ac:dyDescent="0.25">
      <c r="B28" s="53" t="s">
        <v>6792</v>
      </c>
      <c r="N28" s="197" t="s">
        <v>354</v>
      </c>
      <c r="O28" t="s">
        <v>1249</v>
      </c>
      <c r="U28" s="199" t="s">
        <v>5256</v>
      </c>
      <c r="V28" s="196" t="s">
        <v>5388</v>
      </c>
      <c r="W28" s="199" t="s">
        <v>5519</v>
      </c>
      <c r="X28" s="232"/>
      <c r="Y28" s="232"/>
      <c r="Z28" s="232"/>
      <c r="AD28" s="7" t="s">
        <v>8120</v>
      </c>
      <c r="AE28" s="197" t="s">
        <v>7479</v>
      </c>
      <c r="AF28" t="s">
        <v>7477</v>
      </c>
      <c r="AG28" s="294" t="s">
        <v>175</v>
      </c>
      <c r="AH28" s="91" t="s">
        <v>2</v>
      </c>
      <c r="AI28" s="91" t="s">
        <v>7888</v>
      </c>
      <c r="AJ28" s="295" t="str">
        <f t="shared" si="0"/>
        <v/>
      </c>
    </row>
    <row r="29" spans="1:36" x14ac:dyDescent="0.25">
      <c r="B29" s="53" t="s">
        <v>384</v>
      </c>
      <c r="N29" s="197" t="s">
        <v>3298</v>
      </c>
      <c r="O29" t="s">
        <v>1249</v>
      </c>
      <c r="U29" s="199" t="s">
        <v>5257</v>
      </c>
      <c r="V29" s="196" t="s">
        <v>5389</v>
      </c>
      <c r="W29" s="199" t="s">
        <v>5520</v>
      </c>
      <c r="X29" s="232"/>
      <c r="Y29" s="232"/>
      <c r="Z29" s="232"/>
      <c r="AD29" s="7" t="str">
        <f>IF(Contexte_jeu&lt;&gt;"L'Empire Stellaire d'Emeraude","","Dynamite")</f>
        <v/>
      </c>
      <c r="AE29" s="197"/>
      <c r="AG29" s="294" t="s">
        <v>175</v>
      </c>
      <c r="AH29" s="91" t="s">
        <v>2</v>
      </c>
      <c r="AI29" s="91" t="s">
        <v>7889</v>
      </c>
      <c r="AJ29" s="295" t="str">
        <f t="shared" si="0"/>
        <v/>
      </c>
    </row>
    <row r="30" spans="1:36" x14ac:dyDescent="0.25">
      <c r="B30" s="52" t="s">
        <v>176</v>
      </c>
      <c r="N30" s="197" t="s">
        <v>3188</v>
      </c>
      <c r="O30" t="s">
        <v>1205</v>
      </c>
      <c r="U30" s="199" t="s">
        <v>5258</v>
      </c>
      <c r="V30" s="196" t="s">
        <v>5390</v>
      </c>
      <c r="W30" s="199" t="s">
        <v>5521</v>
      </c>
      <c r="X30" s="232"/>
      <c r="Y30" s="232"/>
      <c r="Z30" s="196"/>
      <c r="AD30" s="7" t="s">
        <v>1388</v>
      </c>
      <c r="AG30" s="294" t="s">
        <v>175</v>
      </c>
      <c r="AH30" s="91" t="s">
        <v>2</v>
      </c>
      <c r="AI30" s="91" t="s">
        <v>7890</v>
      </c>
      <c r="AJ30" s="295" t="str">
        <f t="shared" si="0"/>
        <v/>
      </c>
    </row>
    <row r="31" spans="1:36" x14ac:dyDescent="0.25">
      <c r="B31" s="52" t="s">
        <v>2103</v>
      </c>
      <c r="N31" s="197" t="s">
        <v>3284</v>
      </c>
      <c r="O31" t="s">
        <v>1205</v>
      </c>
      <c r="U31" s="199" t="s">
        <v>5259</v>
      </c>
      <c r="V31" s="196" t="s">
        <v>5391</v>
      </c>
      <c r="W31" s="199" t="s">
        <v>5522</v>
      </c>
      <c r="Y31" s="232"/>
      <c r="AD31" s="7" t="s">
        <v>6517</v>
      </c>
      <c r="AG31" s="294" t="s">
        <v>175</v>
      </c>
      <c r="AH31" s="91" t="s">
        <v>2</v>
      </c>
      <c r="AI31" s="91" t="s">
        <v>7891</v>
      </c>
      <c r="AJ31" s="295" t="str">
        <f t="shared" si="0"/>
        <v/>
      </c>
    </row>
    <row r="32" spans="1:36" x14ac:dyDescent="0.25">
      <c r="B32" s="53" t="s">
        <v>6787</v>
      </c>
      <c r="N32" s="197" t="s">
        <v>1259</v>
      </c>
      <c r="O32" t="s">
        <v>328</v>
      </c>
      <c r="U32" s="199" t="s">
        <v>5260</v>
      </c>
      <c r="V32" s="196" t="s">
        <v>5392</v>
      </c>
      <c r="W32" s="199" t="s">
        <v>5523</v>
      </c>
      <c r="Y32" s="232"/>
      <c r="AD32" s="7" t="s">
        <v>4548</v>
      </c>
      <c r="AG32" s="294" t="s">
        <v>175</v>
      </c>
      <c r="AH32" s="91" t="s">
        <v>4</v>
      </c>
      <c r="AI32" s="91" t="s">
        <v>7892</v>
      </c>
      <c r="AJ32" s="295" t="str">
        <f t="shared" si="0"/>
        <v/>
      </c>
    </row>
    <row r="33" spans="2:36" x14ac:dyDescent="0.25">
      <c r="B33" s="52" t="s">
        <v>7229</v>
      </c>
      <c r="N33" s="197" t="s">
        <v>3260</v>
      </c>
      <c r="O33" t="s">
        <v>1249</v>
      </c>
      <c r="U33" s="199" t="s">
        <v>5261</v>
      </c>
      <c r="V33" s="196" t="s">
        <v>5393</v>
      </c>
      <c r="W33" s="199" t="s">
        <v>5524</v>
      </c>
      <c r="Y33" s="232"/>
      <c r="AD33" s="7" t="s">
        <v>8121</v>
      </c>
      <c r="AG33" s="294" t="s">
        <v>175</v>
      </c>
      <c r="AH33" s="91" t="s">
        <v>4</v>
      </c>
      <c r="AI33" s="91" t="s">
        <v>7893</v>
      </c>
      <c r="AJ33" s="295" t="str">
        <f t="shared" si="0"/>
        <v/>
      </c>
    </row>
    <row r="34" spans="2:36" x14ac:dyDescent="0.25">
      <c r="B34" s="52" t="s">
        <v>47</v>
      </c>
      <c r="N34" s="197" t="s">
        <v>3285</v>
      </c>
      <c r="O34" t="s">
        <v>1257</v>
      </c>
      <c r="U34" s="199" t="s">
        <v>5262</v>
      </c>
      <c r="V34" s="196" t="s">
        <v>5394</v>
      </c>
      <c r="W34" s="199" t="s">
        <v>5525</v>
      </c>
      <c r="Y34" s="232"/>
      <c r="AD34" s="7" t="s">
        <v>8122</v>
      </c>
      <c r="AG34" s="294" t="s">
        <v>175</v>
      </c>
      <c r="AH34" s="91" t="s">
        <v>4</v>
      </c>
      <c r="AI34" s="91" t="s">
        <v>7894</v>
      </c>
      <c r="AJ34" s="295" t="str">
        <f t="shared" si="0"/>
        <v/>
      </c>
    </row>
    <row r="35" spans="2:36" x14ac:dyDescent="0.25">
      <c r="B35" s="199" t="s">
        <v>1940</v>
      </c>
      <c r="N35" s="197" t="s">
        <v>400</v>
      </c>
      <c r="O35" t="s">
        <v>1205</v>
      </c>
      <c r="U35" s="199" t="s">
        <v>5263</v>
      </c>
      <c r="V35" s="196" t="s">
        <v>5395</v>
      </c>
      <c r="W35" s="199" t="s">
        <v>5526</v>
      </c>
      <c r="Y35" s="232"/>
      <c r="AD35" s="7" t="s">
        <v>1953</v>
      </c>
      <c r="AG35" s="294" t="s">
        <v>175</v>
      </c>
      <c r="AH35" s="91" t="s">
        <v>5</v>
      </c>
      <c r="AI35" s="91" t="s">
        <v>7895</v>
      </c>
      <c r="AJ35" s="295" t="str">
        <f t="shared" si="0"/>
        <v/>
      </c>
    </row>
    <row r="36" spans="2:36" x14ac:dyDescent="0.25">
      <c r="B36" s="53" t="s">
        <v>64</v>
      </c>
      <c r="N36" s="197" t="s">
        <v>5988</v>
      </c>
      <c r="O36" t="s">
        <v>1258</v>
      </c>
      <c r="U36" s="199" t="s">
        <v>5264</v>
      </c>
      <c r="V36" s="196" t="s">
        <v>5396</v>
      </c>
      <c r="W36" s="199" t="s">
        <v>5527</v>
      </c>
      <c r="Y36" s="232"/>
      <c r="AD36" s="7" t="s">
        <v>4549</v>
      </c>
      <c r="AG36" s="294" t="s">
        <v>175</v>
      </c>
      <c r="AH36" s="91" t="s">
        <v>5</v>
      </c>
      <c r="AI36" s="91" t="s">
        <v>7896</v>
      </c>
      <c r="AJ36" s="295" t="str">
        <f t="shared" si="0"/>
        <v/>
      </c>
    </row>
    <row r="37" spans="2:36" x14ac:dyDescent="0.25">
      <c r="B37" s="53" t="s">
        <v>335</v>
      </c>
      <c r="N37" s="197" t="s">
        <v>1329</v>
      </c>
      <c r="O37" t="s">
        <v>1249</v>
      </c>
      <c r="U37" s="199" t="s">
        <v>5265</v>
      </c>
      <c r="V37" s="196" t="s">
        <v>5397</v>
      </c>
      <c r="W37" s="199" t="s">
        <v>5528</v>
      </c>
      <c r="Y37" s="232"/>
      <c r="AD37" s="7" t="s">
        <v>8123</v>
      </c>
      <c r="AG37" s="294" t="s">
        <v>175</v>
      </c>
      <c r="AH37" s="91" t="s">
        <v>5</v>
      </c>
      <c r="AI37" s="91" t="s">
        <v>7897</v>
      </c>
      <c r="AJ37" s="295" t="str">
        <f t="shared" si="0"/>
        <v/>
      </c>
    </row>
    <row r="38" spans="2:36" x14ac:dyDescent="0.25">
      <c r="B38" s="52" t="s">
        <v>179</v>
      </c>
      <c r="N38" s="197" t="s">
        <v>1328</v>
      </c>
      <c r="O38" t="s">
        <v>1249</v>
      </c>
      <c r="U38" s="199" t="s">
        <v>5266</v>
      </c>
      <c r="V38" s="196" t="s">
        <v>5398</v>
      </c>
      <c r="W38" s="199" t="s">
        <v>5529</v>
      </c>
      <c r="AD38" s="7" t="s">
        <v>4576</v>
      </c>
      <c r="AG38" s="294" t="s">
        <v>175</v>
      </c>
      <c r="AH38" s="91" t="s">
        <v>7</v>
      </c>
      <c r="AI38" s="91" t="s">
        <v>7898</v>
      </c>
      <c r="AJ38" s="295" t="str">
        <f t="shared" si="0"/>
        <v/>
      </c>
    </row>
    <row r="39" spans="2:36" x14ac:dyDescent="0.25">
      <c r="B39" s="53" t="s">
        <v>184</v>
      </c>
      <c r="N39" s="197" t="s">
        <v>115</v>
      </c>
      <c r="O39" t="s">
        <v>1205</v>
      </c>
      <c r="U39" s="199" t="s">
        <v>5267</v>
      </c>
      <c r="V39" s="196" t="s">
        <v>5399</v>
      </c>
      <c r="W39" s="199" t="s">
        <v>5530</v>
      </c>
      <c r="AD39" s="7" t="str">
        <f>IF(Contexte_jeu&lt;&gt;"L'Empire Stellaire d'Emeraude","","Fusil d'Assaut")</f>
        <v/>
      </c>
      <c r="AG39" s="294" t="s">
        <v>175</v>
      </c>
      <c r="AH39" s="91" t="s">
        <v>7</v>
      </c>
      <c r="AI39" s="91" t="s">
        <v>7899</v>
      </c>
      <c r="AJ39" s="295" t="str">
        <f t="shared" si="0"/>
        <v/>
      </c>
    </row>
    <row r="40" spans="2:36" x14ac:dyDescent="0.25">
      <c r="B40" s="53" t="s">
        <v>20</v>
      </c>
      <c r="N40" s="197" t="s">
        <v>7695</v>
      </c>
      <c r="O40" t="s">
        <v>1258</v>
      </c>
      <c r="U40" s="199" t="s">
        <v>5268</v>
      </c>
      <c r="V40" s="196" t="s">
        <v>5400</v>
      </c>
      <c r="W40" s="199" t="s">
        <v>5531</v>
      </c>
      <c r="AD40" s="7" t="str">
        <f>IF(Contexte_jeu&lt;&gt;"L'Empire Stellaire d'Emeraude","",IF(Force&lt;4,"","Fusil d'Assaut Lourd"))</f>
        <v/>
      </c>
      <c r="AG40" s="294" t="s">
        <v>175</v>
      </c>
      <c r="AH40" s="91" t="s">
        <v>8</v>
      </c>
      <c r="AI40" s="91" t="s">
        <v>7900</v>
      </c>
      <c r="AJ40" s="295" t="str">
        <f t="shared" si="0"/>
        <v/>
      </c>
    </row>
    <row r="41" spans="2:36" x14ac:dyDescent="0.25">
      <c r="B41" s="53" t="s">
        <v>337</v>
      </c>
      <c r="N41" s="197" t="s">
        <v>388</v>
      </c>
      <c r="O41" t="s">
        <v>1205</v>
      </c>
      <c r="U41" s="199" t="s">
        <v>5269</v>
      </c>
      <c r="V41" s="196" t="s">
        <v>5401</v>
      </c>
      <c r="W41" s="199" t="s">
        <v>5532</v>
      </c>
      <c r="AD41" s="7" t="str">
        <f>IF(Contexte_jeu&lt;&gt;"L'Empire Stellaire d'Emeraude","","Fusil de Sniper")</f>
        <v/>
      </c>
      <c r="AG41" s="294" t="s">
        <v>175</v>
      </c>
      <c r="AH41" s="91" t="s">
        <v>10</v>
      </c>
      <c r="AI41" s="91" t="s">
        <v>7901</v>
      </c>
      <c r="AJ41" s="295" t="str">
        <f t="shared" si="0"/>
        <v/>
      </c>
    </row>
    <row r="42" spans="2:36" x14ac:dyDescent="0.25">
      <c r="B42" s="52" t="s">
        <v>332</v>
      </c>
      <c r="N42" s="197" t="s">
        <v>1362</v>
      </c>
      <c r="O42" t="s">
        <v>1258</v>
      </c>
      <c r="U42" s="199" t="s">
        <v>5270</v>
      </c>
      <c r="V42" s="196" t="s">
        <v>5402</v>
      </c>
      <c r="W42" s="199" t="s">
        <v>5533</v>
      </c>
      <c r="AD42" s="7" t="str">
        <f>IF(Contexte_jeu&lt;&gt;"L'Empire Stellaire d'Emeraude","","Gardien")</f>
        <v/>
      </c>
      <c r="AG42" s="294" t="s">
        <v>175</v>
      </c>
      <c r="AH42" s="91" t="s">
        <v>10</v>
      </c>
      <c r="AI42" s="91" t="s">
        <v>7902</v>
      </c>
      <c r="AJ42" s="295" t="str">
        <f t="shared" si="0"/>
        <v/>
      </c>
    </row>
    <row r="43" spans="2:36" x14ac:dyDescent="0.25">
      <c r="B43" s="52" t="s">
        <v>6779</v>
      </c>
      <c r="N43" s="197" t="s">
        <v>3197</v>
      </c>
      <c r="O43" t="s">
        <v>1249</v>
      </c>
      <c r="U43" s="199" t="s">
        <v>5271</v>
      </c>
      <c r="V43" s="196" t="s">
        <v>5403</v>
      </c>
      <c r="W43" s="199" t="s">
        <v>5534</v>
      </c>
      <c r="AD43" s="7" t="str">
        <f>IF(Contexte_jeu&lt;&gt;"L'Empire Stellaire d'Emeraude","","Gaz lacrymogène/Fumigène")</f>
        <v/>
      </c>
      <c r="AG43" s="294" t="s">
        <v>175</v>
      </c>
      <c r="AH43" s="91"/>
      <c r="AI43" s="91" t="str">
        <f>IF(Contexte_jeu&lt;&gt;"L'Empire Stellaire d'Emeraude","","Falcon's Nest")</f>
        <v/>
      </c>
      <c r="AJ43" s="295" t="str">
        <f t="shared" si="0"/>
        <v/>
      </c>
    </row>
    <row r="44" spans="2:36" x14ac:dyDescent="0.25">
      <c r="B44" s="52" t="s">
        <v>6803</v>
      </c>
      <c r="N44" s="197" t="s">
        <v>3198</v>
      </c>
      <c r="O44" t="s">
        <v>1249</v>
      </c>
      <c r="U44" s="199" t="s">
        <v>5272</v>
      </c>
      <c r="V44" s="196" t="s">
        <v>5404</v>
      </c>
      <c r="W44" s="199" t="s">
        <v>5535</v>
      </c>
      <c r="AD44" s="7" t="str">
        <f>IF(Contexte_jeu&lt;&gt;"L'Empire Stellaire d'Emeraude","","Grenade")</f>
        <v/>
      </c>
      <c r="AG44" s="294" t="s">
        <v>175</v>
      </c>
      <c r="AH44" s="91"/>
      <c r="AI44" s="91" t="str">
        <f>IF(Contexte_jeu&lt;&gt;"L'Empire Stellaire d'Emeraude","","Hida Prime")</f>
        <v/>
      </c>
      <c r="AJ44" s="295" t="str">
        <f t="shared" si="0"/>
        <v/>
      </c>
    </row>
    <row r="45" spans="2:36" x14ac:dyDescent="0.25">
      <c r="B45" s="52" t="s">
        <v>7302</v>
      </c>
      <c r="N45" s="197" t="s">
        <v>3199</v>
      </c>
      <c r="O45" t="s">
        <v>1249</v>
      </c>
      <c r="U45" s="199" t="s">
        <v>5273</v>
      </c>
      <c r="V45" s="196" t="s">
        <v>5405</v>
      </c>
      <c r="W45" s="199" t="s">
        <v>5536</v>
      </c>
      <c r="AD45" s="7" t="s">
        <v>4577</v>
      </c>
      <c r="AG45" s="294" t="s">
        <v>175</v>
      </c>
      <c r="AH45" s="91"/>
      <c r="AI45" s="91" t="str">
        <f>IF(Contexte_jeu&lt;&gt;"L'Empire Stellaire d'Emeraude","","Hida Secundus")</f>
        <v/>
      </c>
      <c r="AJ45" s="295" t="str">
        <f t="shared" si="0"/>
        <v/>
      </c>
    </row>
    <row r="46" spans="2:36" x14ac:dyDescent="0.25">
      <c r="B46" s="52" t="s">
        <v>178</v>
      </c>
      <c r="N46" s="197" t="s">
        <v>3200</v>
      </c>
      <c r="O46" t="s">
        <v>1249</v>
      </c>
      <c r="U46" s="199" t="s">
        <v>5274</v>
      </c>
      <c r="V46" s="196" t="s">
        <v>5406</v>
      </c>
      <c r="W46" s="199" t="s">
        <v>5537</v>
      </c>
      <c r="AD46" s="7" t="s">
        <v>1356</v>
      </c>
      <c r="AG46" s="294" t="s">
        <v>175</v>
      </c>
      <c r="AH46" s="91"/>
      <c r="AI46" s="91" t="str">
        <f>IF(Contexte_jeu&lt;&gt;"L'Empire Stellaire d'Emeraude","","Inferno")</f>
        <v/>
      </c>
      <c r="AJ46" s="295" t="str">
        <f t="shared" si="0"/>
        <v/>
      </c>
    </row>
    <row r="47" spans="2:36" x14ac:dyDescent="0.25">
      <c r="B47" s="53" t="s">
        <v>322</v>
      </c>
      <c r="N47" s="197" t="s">
        <v>3201</v>
      </c>
      <c r="O47" t="s">
        <v>1249</v>
      </c>
      <c r="U47" s="199" t="s">
        <v>5275</v>
      </c>
      <c r="V47" s="196" t="s">
        <v>5407</v>
      </c>
      <c r="W47" s="199" t="s">
        <v>5538</v>
      </c>
      <c r="AD47" s="7" t="s">
        <v>8126</v>
      </c>
      <c r="AG47" s="294" t="s">
        <v>175</v>
      </c>
      <c r="AH47" s="91"/>
      <c r="AI47" s="91" t="str">
        <f>IF(Contexte_jeu&lt;&gt;"L'Empire Stellaire d'Emeraude","","Ocean of Sapphire")</f>
        <v/>
      </c>
      <c r="AJ47" s="295" t="str">
        <f t="shared" si="0"/>
        <v/>
      </c>
    </row>
    <row r="48" spans="2:36" x14ac:dyDescent="0.25">
      <c r="B48" s="52" t="s">
        <v>6773</v>
      </c>
      <c r="N48" s="197" t="s">
        <v>3202</v>
      </c>
      <c r="O48" t="s">
        <v>1249</v>
      </c>
      <c r="U48" s="199" t="s">
        <v>5276</v>
      </c>
      <c r="V48" s="196" t="s">
        <v>5408</v>
      </c>
      <c r="W48" s="199" t="s">
        <v>5539</v>
      </c>
      <c r="AD48" s="7" t="str">
        <f>IF(Contexte_jeu&lt;&gt;"L'Empire Stellaire d'Emeraude","","Indomptable X32")</f>
        <v/>
      </c>
      <c r="AG48" s="294" t="s">
        <v>6760</v>
      </c>
      <c r="AH48" s="91" t="str">
        <f>VLOOKUP(AG48,Familles!B:D,3,FALSE)</f>
        <v>Shayu</v>
      </c>
      <c r="AI48" s="91" t="str">
        <f>CONCATENATE("Terres des ",AH48)</f>
        <v>Terres des Shayu</v>
      </c>
      <c r="AJ48" s="295" t="str">
        <f t="shared" si="0"/>
        <v/>
      </c>
    </row>
    <row r="49" spans="2:36" x14ac:dyDescent="0.25">
      <c r="B49" s="53" t="s">
        <v>339</v>
      </c>
      <c r="N49" s="197" t="s">
        <v>3203</v>
      </c>
      <c r="O49" t="s">
        <v>1249</v>
      </c>
      <c r="U49" s="199" t="s">
        <v>5277</v>
      </c>
      <c r="V49" s="196" t="s">
        <v>5409</v>
      </c>
      <c r="W49" s="199" t="s">
        <v>5540</v>
      </c>
      <c r="AD49" s="7" t="s">
        <v>4466</v>
      </c>
      <c r="AG49" s="294" t="s">
        <v>6789</v>
      </c>
      <c r="AH49" s="91" t="str">
        <f>VLOOKUP(AG49,Familles!B:D,3,FALSE)</f>
        <v>Shimanashi</v>
      </c>
      <c r="AI49" s="91" t="str">
        <f>CONCATENATE("Terres des ",AH49)</f>
        <v>Terres des Shimanashi</v>
      </c>
      <c r="AJ49" s="295" t="str">
        <f t="shared" si="0"/>
        <v/>
      </c>
    </row>
    <row r="50" spans="2:36" x14ac:dyDescent="0.25">
      <c r="B50" s="53" t="s">
        <v>53</v>
      </c>
      <c r="N50" s="197" t="s">
        <v>3204</v>
      </c>
      <c r="O50" t="s">
        <v>1249</v>
      </c>
      <c r="U50" s="199" t="s">
        <v>5278</v>
      </c>
      <c r="V50" s="196" t="s">
        <v>5410</v>
      </c>
      <c r="W50" s="199" t="s">
        <v>5541</v>
      </c>
      <c r="AD50" s="7" t="s">
        <v>8124</v>
      </c>
      <c r="AG50" s="294" t="s">
        <v>6789</v>
      </c>
      <c r="AH50" s="91" t="str">
        <f>VLOOKUP(AG50,Familles!B:D,3,FALSE)</f>
        <v>Shimanashi</v>
      </c>
      <c r="AI50" s="91" t="str">
        <f>IF(Contexte_jeu&lt;&gt;"L'Empire Stellaire d'Emeraude","","Feathers of the Space")</f>
        <v/>
      </c>
      <c r="AJ50" s="295" t="str">
        <f t="shared" si="0"/>
        <v/>
      </c>
    </row>
    <row r="51" spans="2:36" x14ac:dyDescent="0.25">
      <c r="B51" s="53" t="s">
        <v>56</v>
      </c>
      <c r="N51" s="197" t="s">
        <v>3205</v>
      </c>
      <c r="O51" t="s">
        <v>1249</v>
      </c>
      <c r="U51" s="199" t="s">
        <v>5279</v>
      </c>
      <c r="V51" s="196" t="s">
        <v>5411</v>
      </c>
      <c r="AD51" s="7" t="s">
        <v>8125</v>
      </c>
      <c r="AG51" s="294" t="s">
        <v>15</v>
      </c>
      <c r="AH51" s="91" t="s">
        <v>16</v>
      </c>
      <c r="AI51" s="91" t="s">
        <v>7903</v>
      </c>
      <c r="AJ51" s="295" t="str">
        <f t="shared" si="0"/>
        <v/>
      </c>
    </row>
    <row r="52" spans="2:36" x14ac:dyDescent="0.25">
      <c r="B52" s="52" t="s">
        <v>6775</v>
      </c>
      <c r="N52" s="197" t="s">
        <v>3293</v>
      </c>
      <c r="O52" t="s">
        <v>1205</v>
      </c>
      <c r="U52" s="199" t="s">
        <v>5280</v>
      </c>
      <c r="V52" s="196" t="s">
        <v>5412</v>
      </c>
      <c r="AD52" s="7" t="s">
        <v>1378</v>
      </c>
      <c r="AG52" s="294" t="s">
        <v>15</v>
      </c>
      <c r="AH52" s="91" t="s">
        <v>16</v>
      </c>
      <c r="AI52" s="91" t="s">
        <v>7904</v>
      </c>
      <c r="AJ52" s="295" t="str">
        <f t="shared" si="0"/>
        <v/>
      </c>
    </row>
    <row r="53" spans="2:36" x14ac:dyDescent="0.25">
      <c r="B53" s="199" t="s">
        <v>1939</v>
      </c>
      <c r="N53" s="197" t="s">
        <v>3292</v>
      </c>
      <c r="O53" t="s">
        <v>1205</v>
      </c>
      <c r="U53" s="199" t="s">
        <v>5281</v>
      </c>
      <c r="V53" s="196" t="s">
        <v>5413</v>
      </c>
      <c r="AD53" s="7" t="str">
        <f>IF(Contexte_jeu&lt;&gt;"L'Empire Stellaire d'Emeraude","","Jus Bakemono")</f>
        <v/>
      </c>
      <c r="AG53" s="294" t="s">
        <v>15</v>
      </c>
      <c r="AH53" s="91" t="s">
        <v>16</v>
      </c>
      <c r="AI53" s="91" t="s">
        <v>7905</v>
      </c>
      <c r="AJ53" s="295" t="str">
        <f t="shared" si="0"/>
        <v/>
      </c>
    </row>
    <row r="54" spans="2:36" x14ac:dyDescent="0.25">
      <c r="B54" s="52" t="s">
        <v>3169</v>
      </c>
      <c r="N54" s="197" t="s">
        <v>1290</v>
      </c>
      <c r="O54" t="s">
        <v>1205</v>
      </c>
      <c r="U54" s="199" t="s">
        <v>5282</v>
      </c>
      <c r="V54" s="196" t="s">
        <v>5414</v>
      </c>
      <c r="AD54" s="7" t="s">
        <v>4651</v>
      </c>
      <c r="AG54" s="294" t="s">
        <v>15</v>
      </c>
      <c r="AH54" s="91" t="s">
        <v>17</v>
      </c>
      <c r="AI54" s="91" t="s">
        <v>7906</v>
      </c>
      <c r="AJ54" s="295" t="str">
        <f t="shared" si="0"/>
        <v/>
      </c>
    </row>
    <row r="55" spans="2:36" x14ac:dyDescent="0.25">
      <c r="B55" s="53" t="s">
        <v>320</v>
      </c>
      <c r="N55" s="197" t="s">
        <v>1316</v>
      </c>
      <c r="O55" t="s">
        <v>1210</v>
      </c>
      <c r="U55" s="199" t="s">
        <v>5283</v>
      </c>
      <c r="V55" s="196" t="s">
        <v>5415</v>
      </c>
      <c r="AD55" s="7" t="s">
        <v>4551</v>
      </c>
      <c r="AG55" s="294" t="s">
        <v>15</v>
      </c>
      <c r="AH55" s="91" t="s">
        <v>17</v>
      </c>
      <c r="AI55" s="91" t="s">
        <v>7907</v>
      </c>
      <c r="AJ55" s="295" t="str">
        <f t="shared" si="0"/>
        <v/>
      </c>
    </row>
    <row r="56" spans="2:36" x14ac:dyDescent="0.25">
      <c r="B56" s="52" t="s">
        <v>2062</v>
      </c>
      <c r="N56" s="196" t="s">
        <v>1244</v>
      </c>
      <c r="O56" t="s">
        <v>1249</v>
      </c>
      <c r="U56" s="199" t="s">
        <v>5284</v>
      </c>
      <c r="V56" s="196" t="s">
        <v>5416</v>
      </c>
      <c r="AD56" s="7" t="s">
        <v>1372</v>
      </c>
      <c r="AG56" s="294" t="s">
        <v>15</v>
      </c>
      <c r="AH56" s="91" t="s">
        <v>17</v>
      </c>
      <c r="AI56" s="91" t="s">
        <v>7908</v>
      </c>
      <c r="AJ56" s="295" t="str">
        <f t="shared" si="0"/>
        <v/>
      </c>
    </row>
    <row r="57" spans="2:36" x14ac:dyDescent="0.25">
      <c r="B57" s="52" t="s">
        <v>7231</v>
      </c>
      <c r="N57" s="197" t="s">
        <v>1294</v>
      </c>
      <c r="O57" t="s">
        <v>1249</v>
      </c>
      <c r="U57" s="199" t="s">
        <v>5285</v>
      </c>
      <c r="V57" s="196" t="s">
        <v>5417</v>
      </c>
      <c r="AD57" s="7" t="s">
        <v>8127</v>
      </c>
      <c r="AG57" s="294" t="s">
        <v>15</v>
      </c>
      <c r="AH57" s="91" t="s">
        <v>17</v>
      </c>
      <c r="AI57" s="91" t="s">
        <v>7909</v>
      </c>
      <c r="AJ57" s="295" t="str">
        <f t="shared" si="0"/>
        <v/>
      </c>
    </row>
    <row r="58" spans="2:36" x14ac:dyDescent="0.25">
      <c r="B58" s="53" t="s">
        <v>6806</v>
      </c>
      <c r="N58" s="197" t="s">
        <v>3309</v>
      </c>
      <c r="O58" t="s">
        <v>1258</v>
      </c>
      <c r="U58" s="199" t="s">
        <v>5286</v>
      </c>
      <c r="V58" s="196" t="s">
        <v>5418</v>
      </c>
      <c r="AD58" s="7" t="s">
        <v>1358</v>
      </c>
      <c r="AG58" s="294" t="s">
        <v>15</v>
      </c>
      <c r="AH58" s="91" t="s">
        <v>17</v>
      </c>
      <c r="AI58" s="91" t="s">
        <v>7910</v>
      </c>
      <c r="AJ58" s="295" t="str">
        <f t="shared" si="0"/>
        <v/>
      </c>
    </row>
    <row r="59" spans="2:36" x14ac:dyDescent="0.25">
      <c r="B59" s="53" t="s">
        <v>6755</v>
      </c>
      <c r="N59" s="197" t="s">
        <v>1367</v>
      </c>
      <c r="O59" t="s">
        <v>1931</v>
      </c>
      <c r="U59" s="199" t="s">
        <v>5287</v>
      </c>
      <c r="V59" s="196" t="s">
        <v>5419</v>
      </c>
      <c r="AD59" s="7" t="s">
        <v>7711</v>
      </c>
      <c r="AG59" s="294" t="s">
        <v>15</v>
      </c>
      <c r="AH59" s="91" t="s">
        <v>18</v>
      </c>
      <c r="AI59" s="91" t="s">
        <v>7911</v>
      </c>
      <c r="AJ59" s="295" t="str">
        <f t="shared" si="0"/>
        <v/>
      </c>
    </row>
    <row r="60" spans="2:36" x14ac:dyDescent="0.25">
      <c r="B60" s="52" t="s">
        <v>177</v>
      </c>
      <c r="N60" s="197" t="s">
        <v>341</v>
      </c>
      <c r="O60" t="s">
        <v>1205</v>
      </c>
      <c r="U60" s="199" t="s">
        <v>5288</v>
      </c>
      <c r="V60" s="196" t="s">
        <v>5420</v>
      </c>
      <c r="AD60" s="7" t="s">
        <v>1352</v>
      </c>
      <c r="AG60" s="294" t="s">
        <v>15</v>
      </c>
      <c r="AH60" s="91" t="s">
        <v>18</v>
      </c>
      <c r="AI60" s="91" t="s">
        <v>7912</v>
      </c>
      <c r="AJ60" s="295" t="str">
        <f t="shared" si="0"/>
        <v/>
      </c>
    </row>
    <row r="61" spans="2:36" x14ac:dyDescent="0.25">
      <c r="B61" s="52" t="s">
        <v>6777</v>
      </c>
      <c r="N61" s="197" t="s">
        <v>6001</v>
      </c>
      <c r="O61" t="s">
        <v>1249</v>
      </c>
      <c r="U61" s="199" t="s">
        <v>5289</v>
      </c>
      <c r="V61" s="196" t="s">
        <v>5421</v>
      </c>
      <c r="AD61" s="7" t="s">
        <v>5710</v>
      </c>
      <c r="AG61" s="294" t="s">
        <v>15</v>
      </c>
      <c r="AH61" s="91" t="s">
        <v>1920</v>
      </c>
      <c r="AI61" s="91" t="s">
        <v>7913</v>
      </c>
      <c r="AJ61" s="295" t="str">
        <f t="shared" si="0"/>
        <v/>
      </c>
    </row>
    <row r="62" spans="2:36" x14ac:dyDescent="0.25">
      <c r="B62" s="52" t="s">
        <v>6781</v>
      </c>
      <c r="N62" s="197" t="s">
        <v>3286</v>
      </c>
      <c r="O62" t="s">
        <v>1257</v>
      </c>
      <c r="U62" s="199" t="s">
        <v>5290</v>
      </c>
      <c r="V62" s="196" t="s">
        <v>5422</v>
      </c>
      <c r="AD62" s="7" t="s">
        <v>5711</v>
      </c>
      <c r="AG62" s="294" t="s">
        <v>15</v>
      </c>
      <c r="AH62" s="91"/>
      <c r="AI62" s="91" t="str">
        <f>IF(Contexte_jeu&lt;&gt;"L'Empire Stellaire d'Emeraude","","Dragon's Eye")</f>
        <v/>
      </c>
      <c r="AJ62" s="295" t="str">
        <f t="shared" si="0"/>
        <v/>
      </c>
    </row>
    <row r="63" spans="2:36" x14ac:dyDescent="0.25">
      <c r="B63" s="53" t="s">
        <v>182</v>
      </c>
      <c r="N63" s="197" t="s">
        <v>1324</v>
      </c>
      <c r="O63" t="s">
        <v>1205</v>
      </c>
      <c r="U63" s="199" t="s">
        <v>5291</v>
      </c>
      <c r="V63" s="196" t="s">
        <v>5423</v>
      </c>
      <c r="AD63" s="7" t="s">
        <v>1305</v>
      </c>
      <c r="AG63" s="294" t="s">
        <v>15</v>
      </c>
      <c r="AH63" s="91"/>
      <c r="AI63" s="91" t="str">
        <f>IF(Contexte_jeu&lt;&gt;"L'Empire Stellaire d'Emeraude","","Togashi's Rest")</f>
        <v/>
      </c>
      <c r="AJ63" s="295" t="str">
        <f t="shared" si="0"/>
        <v/>
      </c>
    </row>
    <row r="64" spans="2:36" x14ac:dyDescent="0.25">
      <c r="B64" s="52" t="s">
        <v>6799</v>
      </c>
      <c r="N64" s="197" t="s">
        <v>1334</v>
      </c>
      <c r="O64" t="s">
        <v>1258</v>
      </c>
      <c r="U64" s="199" t="s">
        <v>5292</v>
      </c>
      <c r="V64" s="196" t="s">
        <v>5424</v>
      </c>
      <c r="AD64" s="7" t="s">
        <v>7782</v>
      </c>
      <c r="AG64" s="294" t="s">
        <v>15</v>
      </c>
      <c r="AH64" s="91"/>
      <c r="AI64" s="91" t="str">
        <f>IF(Contexte_jeu&lt;&gt;"L'Empire Stellaire d'Emeraude","","Toketsu")</f>
        <v/>
      </c>
      <c r="AJ64" s="295" t="str">
        <f t="shared" si="0"/>
        <v/>
      </c>
    </row>
    <row r="65" spans="2:36" x14ac:dyDescent="0.25">
      <c r="B65" s="53" t="s">
        <v>61</v>
      </c>
      <c r="N65" s="197" t="s">
        <v>1338</v>
      </c>
      <c r="O65" t="s">
        <v>1249</v>
      </c>
      <c r="U65" s="199" t="s">
        <v>5298</v>
      </c>
      <c r="V65" s="196" t="s">
        <v>5430</v>
      </c>
      <c r="AD65" s="7" t="s">
        <v>8128</v>
      </c>
      <c r="AG65" s="294" t="s">
        <v>6792</v>
      </c>
      <c r="AH65" s="91" t="str">
        <f>VLOOKUP(AG65,Familles!B:D,3,FALSE)</f>
        <v>Marumaru</v>
      </c>
      <c r="AI65" s="91" t="str">
        <f>CONCATENATE("Terres des ",AH65)</f>
        <v>Terres des Marumaru</v>
      </c>
      <c r="AJ65" s="295" t="str">
        <f t="shared" si="0"/>
        <v/>
      </c>
    </row>
    <row r="66" spans="2:36" x14ac:dyDescent="0.25">
      <c r="B66" s="53" t="s">
        <v>7299</v>
      </c>
      <c r="N66" s="197" t="s">
        <v>1299</v>
      </c>
      <c r="O66" t="s">
        <v>1249</v>
      </c>
      <c r="U66" s="199" t="s">
        <v>5293</v>
      </c>
      <c r="V66" s="196" t="s">
        <v>5425</v>
      </c>
      <c r="AD66" s="7" t="s">
        <v>8130</v>
      </c>
      <c r="AG66" s="294" t="s">
        <v>384</v>
      </c>
      <c r="AH66" s="91" t="s">
        <v>8</v>
      </c>
      <c r="AI66" s="91" t="s">
        <v>7900</v>
      </c>
      <c r="AJ66" s="295" t="str">
        <f t="shared" ref="AJ66:AJ129" si="1">IF(Clan=AG66,AI66,"")</f>
        <v/>
      </c>
    </row>
    <row r="67" spans="2:36" x14ac:dyDescent="0.25">
      <c r="B67" s="53" t="s">
        <v>310</v>
      </c>
      <c r="N67" s="197" t="s">
        <v>1332</v>
      </c>
      <c r="O67" t="s">
        <v>1249</v>
      </c>
      <c r="U67" s="199" t="s">
        <v>5294</v>
      </c>
      <c r="V67" s="196" t="s">
        <v>5426</v>
      </c>
      <c r="AD67" s="7" t="s">
        <v>8129</v>
      </c>
      <c r="AG67" s="294" t="s">
        <v>176</v>
      </c>
      <c r="AH67" s="91" t="s">
        <v>11</v>
      </c>
      <c r="AI67" s="91" t="s">
        <v>7914</v>
      </c>
      <c r="AJ67" s="295" t="str">
        <f t="shared" si="1"/>
        <v/>
      </c>
    </row>
    <row r="68" spans="2:36" x14ac:dyDescent="0.25">
      <c r="B68" s="53" t="s">
        <v>6801</v>
      </c>
      <c r="N68" s="197" t="s">
        <v>1383</v>
      </c>
      <c r="O68" t="s">
        <v>1257</v>
      </c>
      <c r="U68" s="199" t="s">
        <v>5295</v>
      </c>
      <c r="V68" s="196" t="s">
        <v>5427</v>
      </c>
      <c r="AD68" s="7" t="s">
        <v>8132</v>
      </c>
      <c r="AG68" s="294" t="s">
        <v>176</v>
      </c>
      <c r="AH68" s="91" t="s">
        <v>11</v>
      </c>
      <c r="AI68" s="91" t="s">
        <v>7915</v>
      </c>
      <c r="AJ68" s="295" t="str">
        <f t="shared" si="1"/>
        <v/>
      </c>
    </row>
    <row r="69" spans="2:36" x14ac:dyDescent="0.25">
      <c r="B69" s="53" t="s">
        <v>336</v>
      </c>
      <c r="N69" s="197" t="s">
        <v>1300</v>
      </c>
      <c r="O69" t="s">
        <v>1249</v>
      </c>
      <c r="U69" s="199" t="s">
        <v>5296</v>
      </c>
      <c r="V69" s="196" t="s">
        <v>5428</v>
      </c>
      <c r="AD69" s="7" t="s">
        <v>8133</v>
      </c>
      <c r="AG69" s="294" t="s">
        <v>176</v>
      </c>
      <c r="AH69" s="91" t="s">
        <v>11</v>
      </c>
      <c r="AI69" s="91" t="s">
        <v>7916</v>
      </c>
      <c r="AJ69" s="295" t="str">
        <f t="shared" si="1"/>
        <v/>
      </c>
    </row>
    <row r="70" spans="2:36" x14ac:dyDescent="0.25">
      <c r="B70" s="52" t="s">
        <v>6785</v>
      </c>
      <c r="N70" s="197" t="s">
        <v>3277</v>
      </c>
      <c r="O70" t="s">
        <v>1258</v>
      </c>
      <c r="U70" s="199" t="s">
        <v>5297</v>
      </c>
      <c r="V70" s="196" t="s">
        <v>5429</v>
      </c>
      <c r="AD70" s="7" t="s">
        <v>8131</v>
      </c>
      <c r="AG70" s="294" t="s">
        <v>176</v>
      </c>
      <c r="AH70" s="91" t="s">
        <v>12</v>
      </c>
      <c r="AI70" s="91" t="s">
        <v>7917</v>
      </c>
      <c r="AJ70" s="295" t="str">
        <f t="shared" si="1"/>
        <v/>
      </c>
    </row>
    <row r="71" spans="2:36" x14ac:dyDescent="0.25">
      <c r="B71" s="52" t="s">
        <v>6768</v>
      </c>
      <c r="N71" s="308" t="s">
        <v>5991</v>
      </c>
      <c r="O71" t="s">
        <v>1205</v>
      </c>
      <c r="U71" s="199" t="s">
        <v>5299</v>
      </c>
      <c r="V71" s="196" t="s">
        <v>5431</v>
      </c>
      <c r="AD71" s="7" t="s">
        <v>8134</v>
      </c>
      <c r="AG71" s="294" t="s">
        <v>176</v>
      </c>
      <c r="AH71" s="91" t="s">
        <v>12</v>
      </c>
      <c r="AI71" s="91" t="s">
        <v>7918</v>
      </c>
      <c r="AJ71" s="295" t="str">
        <f t="shared" si="1"/>
        <v/>
      </c>
    </row>
    <row r="72" spans="2:36" x14ac:dyDescent="0.25">
      <c r="B72" s="52" t="s">
        <v>6810</v>
      </c>
      <c r="N72" s="197" t="s">
        <v>3278</v>
      </c>
      <c r="O72" t="s">
        <v>1258</v>
      </c>
      <c r="U72" s="199" t="s">
        <v>5300</v>
      </c>
      <c r="V72" s="196" t="s">
        <v>5432</v>
      </c>
      <c r="AD72" s="7" t="s">
        <v>8135</v>
      </c>
      <c r="AG72" s="294" t="s">
        <v>176</v>
      </c>
      <c r="AH72" s="91" t="s">
        <v>12</v>
      </c>
      <c r="AI72" s="91" t="s">
        <v>7911</v>
      </c>
      <c r="AJ72" s="295" t="str">
        <f t="shared" si="1"/>
        <v/>
      </c>
    </row>
    <row r="73" spans="2:36" x14ac:dyDescent="0.25">
      <c r="B73" s="52" t="s">
        <v>33</v>
      </c>
      <c r="N73" s="197" t="s">
        <v>1312</v>
      </c>
      <c r="O73" t="s">
        <v>3300</v>
      </c>
      <c r="U73" s="199" t="s">
        <v>5301</v>
      </c>
      <c r="V73" s="196" t="s">
        <v>5433</v>
      </c>
      <c r="AD73" s="7" t="s">
        <v>8136</v>
      </c>
      <c r="AG73" s="294" t="s">
        <v>176</v>
      </c>
      <c r="AH73" s="91" t="s">
        <v>12</v>
      </c>
      <c r="AI73" s="91" t="s">
        <v>7919</v>
      </c>
      <c r="AJ73" s="295" t="str">
        <f t="shared" si="1"/>
        <v/>
      </c>
    </row>
    <row r="74" spans="2:36" x14ac:dyDescent="0.25">
      <c r="B74" s="53" t="s">
        <v>390</v>
      </c>
      <c r="N74" s="197" t="s">
        <v>1355</v>
      </c>
      <c r="O74" t="s">
        <v>1931</v>
      </c>
      <c r="U74" s="199" t="s">
        <v>5302</v>
      </c>
      <c r="V74" s="196" t="s">
        <v>5434</v>
      </c>
      <c r="AD74" s="7" t="s">
        <v>8137</v>
      </c>
      <c r="AG74" s="294" t="s">
        <v>176</v>
      </c>
      <c r="AH74" s="91" t="s">
        <v>13</v>
      </c>
      <c r="AI74" s="91" t="s">
        <v>7920</v>
      </c>
      <c r="AJ74" s="295" t="str">
        <f t="shared" si="1"/>
        <v/>
      </c>
    </row>
    <row r="75" spans="2:36" x14ac:dyDescent="0.25">
      <c r="B75" s="53" t="s">
        <v>185</v>
      </c>
      <c r="N75" s="197" t="s">
        <v>3263</v>
      </c>
      <c r="O75" t="s">
        <v>1258</v>
      </c>
      <c r="U75" s="199" t="s">
        <v>5303</v>
      </c>
      <c r="V75" s="196" t="s">
        <v>5435</v>
      </c>
      <c r="AD75" s="7" t="s">
        <v>8138</v>
      </c>
      <c r="AG75" s="294" t="s">
        <v>176</v>
      </c>
      <c r="AH75" s="91" t="s">
        <v>13</v>
      </c>
      <c r="AI75" s="91" t="s">
        <v>7921</v>
      </c>
      <c r="AJ75" s="295" t="str">
        <f t="shared" si="1"/>
        <v/>
      </c>
    </row>
    <row r="76" spans="2:36" x14ac:dyDescent="0.25">
      <c r="B76" s="53" t="s">
        <v>7287</v>
      </c>
      <c r="N76" s="197" t="s">
        <v>3264</v>
      </c>
      <c r="O76" t="s">
        <v>1258</v>
      </c>
      <c r="U76" s="199" t="s">
        <v>5304</v>
      </c>
      <c r="V76" s="196" t="s">
        <v>5436</v>
      </c>
      <c r="AD76" s="7" t="s">
        <v>3069</v>
      </c>
      <c r="AG76" s="294" t="s">
        <v>176</v>
      </c>
      <c r="AH76" s="91" t="s">
        <v>13</v>
      </c>
      <c r="AI76" s="91" t="s">
        <v>7922</v>
      </c>
      <c r="AJ76" s="295" t="str">
        <f t="shared" si="1"/>
        <v/>
      </c>
    </row>
    <row r="77" spans="2:36" x14ac:dyDescent="0.25">
      <c r="B77" s="52" t="s">
        <v>6804</v>
      </c>
      <c r="N77" s="197" t="s">
        <v>228</v>
      </c>
      <c r="O77" t="s">
        <v>1931</v>
      </c>
      <c r="U77" s="199" t="s">
        <v>5305</v>
      </c>
      <c r="V77" s="196" t="s">
        <v>5437</v>
      </c>
      <c r="AD77" s="7" t="s">
        <v>8139</v>
      </c>
      <c r="AG77" s="294" t="s">
        <v>176</v>
      </c>
      <c r="AH77" s="91" t="s">
        <v>13</v>
      </c>
      <c r="AI77" s="91" t="s">
        <v>7923</v>
      </c>
      <c r="AJ77" s="295" t="str">
        <f t="shared" si="1"/>
        <v/>
      </c>
    </row>
    <row r="78" spans="2:36" x14ac:dyDescent="0.25">
      <c r="B78" s="53" t="s">
        <v>393</v>
      </c>
      <c r="N78" s="197" t="s">
        <v>7426</v>
      </c>
      <c r="O78" t="s">
        <v>1205</v>
      </c>
      <c r="U78" s="199" t="s">
        <v>5306</v>
      </c>
      <c r="V78" s="196" t="s">
        <v>5438</v>
      </c>
      <c r="AD78" s="7" t="s">
        <v>8140</v>
      </c>
      <c r="AG78" s="294" t="s">
        <v>176</v>
      </c>
      <c r="AH78" s="91" t="s">
        <v>13</v>
      </c>
      <c r="AI78" s="91" t="s">
        <v>7924</v>
      </c>
      <c r="AJ78" s="295" t="str">
        <f t="shared" si="1"/>
        <v/>
      </c>
    </row>
    <row r="79" spans="2:36" x14ac:dyDescent="0.25">
      <c r="B79" s="53" t="s">
        <v>340</v>
      </c>
      <c r="N79" s="197" t="s">
        <v>1369</v>
      </c>
      <c r="O79" t="s">
        <v>1258</v>
      </c>
      <c r="U79" s="199" t="s">
        <v>5307</v>
      </c>
      <c r="V79" s="196" t="s">
        <v>5439</v>
      </c>
      <c r="AD79" s="7" t="s">
        <v>4652</v>
      </c>
      <c r="AG79" s="294" t="s">
        <v>176</v>
      </c>
      <c r="AH79" s="91" t="s">
        <v>14</v>
      </c>
      <c r="AI79" s="91" t="s">
        <v>7925</v>
      </c>
      <c r="AJ79" s="295" t="str">
        <f t="shared" si="1"/>
        <v/>
      </c>
    </row>
    <row r="80" spans="2:36" x14ac:dyDescent="0.25">
      <c r="B80" s="199" t="s">
        <v>1941</v>
      </c>
      <c r="N80" s="197" t="s">
        <v>1335</v>
      </c>
      <c r="O80" t="s">
        <v>1258</v>
      </c>
      <c r="U80" s="199" t="s">
        <v>5308</v>
      </c>
      <c r="V80" s="196" t="s">
        <v>5440</v>
      </c>
      <c r="AD80" s="7" t="s">
        <v>3053</v>
      </c>
      <c r="AG80" s="294" t="s">
        <v>176</v>
      </c>
      <c r="AH80" s="91" t="s">
        <v>14</v>
      </c>
      <c r="AI80" s="91" t="s">
        <v>7926</v>
      </c>
      <c r="AJ80" s="295" t="str">
        <f t="shared" si="1"/>
        <v/>
      </c>
    </row>
    <row r="81" spans="2:36" x14ac:dyDescent="0.25">
      <c r="B81" s="52"/>
      <c r="N81" s="197" t="s">
        <v>1344</v>
      </c>
      <c r="O81" t="s">
        <v>1258</v>
      </c>
      <c r="U81" s="199" t="s">
        <v>5309</v>
      </c>
      <c r="V81" s="196" t="s">
        <v>5441</v>
      </c>
      <c r="AD81" s="7" t="s">
        <v>7704</v>
      </c>
      <c r="AG81" s="294" t="s">
        <v>176</v>
      </c>
      <c r="AH81" s="91" t="s">
        <v>14</v>
      </c>
      <c r="AI81" s="91" t="s">
        <v>7927</v>
      </c>
      <c r="AJ81" s="295" t="str">
        <f t="shared" si="1"/>
        <v/>
      </c>
    </row>
    <row r="82" spans="2:36" x14ac:dyDescent="0.25">
      <c r="B82" s="52"/>
      <c r="N82" s="197" t="s">
        <v>15</v>
      </c>
      <c r="O82" t="s">
        <v>1205</v>
      </c>
      <c r="U82" s="199" t="s">
        <v>5310</v>
      </c>
      <c r="V82" s="196" t="s">
        <v>5442</v>
      </c>
      <c r="AD82" s="7" t="s">
        <v>108</v>
      </c>
      <c r="AG82" s="294" t="s">
        <v>176</v>
      </c>
      <c r="AH82" s="91" t="s">
        <v>14</v>
      </c>
      <c r="AI82" s="91" t="s">
        <v>7928</v>
      </c>
      <c r="AJ82" s="295" t="str">
        <f t="shared" si="1"/>
        <v/>
      </c>
    </row>
    <row r="83" spans="2:36" x14ac:dyDescent="0.25">
      <c r="B83" s="53"/>
      <c r="N83" s="196" t="s">
        <v>7409</v>
      </c>
      <c r="O83" t="s">
        <v>1249</v>
      </c>
      <c r="U83" s="199" t="s">
        <v>5311</v>
      </c>
      <c r="V83" s="196" t="s">
        <v>5443</v>
      </c>
      <c r="AD83" s="7" t="s">
        <v>1351</v>
      </c>
      <c r="AG83" s="294" t="s">
        <v>176</v>
      </c>
      <c r="AH83" s="91"/>
      <c r="AI83" s="91" t="str">
        <f>IF(Contexte_jeu&lt;&gt;"L'Empire Stellaire d'Emeraude","","Fortune's Blessing")</f>
        <v/>
      </c>
      <c r="AJ83" s="295" t="str">
        <f t="shared" si="1"/>
        <v/>
      </c>
    </row>
    <row r="84" spans="2:36" x14ac:dyDescent="0.25">
      <c r="B84" s="53"/>
      <c r="N84" s="196" t="s">
        <v>7409</v>
      </c>
      <c r="O84" t="s">
        <v>1249</v>
      </c>
      <c r="U84" s="199" t="s">
        <v>5312</v>
      </c>
      <c r="V84" s="196" t="s">
        <v>5444</v>
      </c>
      <c r="AD84" s="7" t="s">
        <v>8141</v>
      </c>
      <c r="AG84" s="294" t="s">
        <v>176</v>
      </c>
      <c r="AH84" s="91"/>
      <c r="AI84" s="91" t="str">
        <f>IF(Contexte_jeu&lt;&gt;"L'Empire Stellaire d'Emeraude","","Golden Mirror")</f>
        <v/>
      </c>
      <c r="AJ84" s="295" t="str">
        <f t="shared" si="1"/>
        <v/>
      </c>
    </row>
    <row r="85" spans="2:36" x14ac:dyDescent="0.25">
      <c r="B85" s="53"/>
      <c r="N85" s="197" t="s">
        <v>3189</v>
      </c>
      <c r="O85" t="s">
        <v>1205</v>
      </c>
      <c r="U85" s="199" t="s">
        <v>5313</v>
      </c>
      <c r="V85" s="196" t="s">
        <v>5445</v>
      </c>
      <c r="AD85" s="7" t="s">
        <v>1306</v>
      </c>
      <c r="AG85" s="294" t="s">
        <v>176</v>
      </c>
      <c r="AH85" s="91"/>
      <c r="AI85" s="91" t="str">
        <f>IF(Contexte_jeu&lt;&gt;"L'Empire Stellaire d'Emeraude","","Jikoju's Breath")</f>
        <v/>
      </c>
      <c r="AJ85" s="295" t="str">
        <f t="shared" si="1"/>
        <v/>
      </c>
    </row>
    <row r="86" spans="2:36" x14ac:dyDescent="0.25">
      <c r="B86" s="53"/>
      <c r="N86" s="197" t="s">
        <v>1374</v>
      </c>
      <c r="O86" t="s">
        <v>1210</v>
      </c>
      <c r="U86" s="199" t="s">
        <v>5314</v>
      </c>
      <c r="V86" s="196" t="s">
        <v>5446</v>
      </c>
      <c r="AD86" s="7" t="s">
        <v>4468</v>
      </c>
      <c r="AG86" s="294" t="s">
        <v>2103</v>
      </c>
      <c r="AH86" s="91" t="s">
        <v>27</v>
      </c>
      <c r="AI86" s="91" t="s">
        <v>7929</v>
      </c>
      <c r="AJ86" s="295" t="str">
        <f t="shared" si="1"/>
        <v/>
      </c>
    </row>
    <row r="87" spans="2:36" x14ac:dyDescent="0.25">
      <c r="B87" s="53"/>
      <c r="N87" s="197" t="s">
        <v>7429</v>
      </c>
      <c r="O87" t="s">
        <v>1205</v>
      </c>
      <c r="U87" s="199" t="s">
        <v>5315</v>
      </c>
      <c r="V87" s="196" t="s">
        <v>5447</v>
      </c>
      <c r="AD87" s="7" t="s">
        <v>8142</v>
      </c>
      <c r="AG87" s="294" t="s">
        <v>2103</v>
      </c>
      <c r="AH87" s="91" t="s">
        <v>27</v>
      </c>
      <c r="AI87" s="91" t="s">
        <v>7930</v>
      </c>
      <c r="AJ87" s="295" t="str">
        <f t="shared" si="1"/>
        <v/>
      </c>
    </row>
    <row r="88" spans="2:36" x14ac:dyDescent="0.25">
      <c r="B88" s="53"/>
      <c r="N88" s="197" t="s">
        <v>3190</v>
      </c>
      <c r="O88" t="s">
        <v>1205</v>
      </c>
      <c r="U88" s="199" t="s">
        <v>5316</v>
      </c>
      <c r="V88" s="196" t="s">
        <v>5448</v>
      </c>
      <c r="AD88" s="7" t="s">
        <v>1313</v>
      </c>
      <c r="AG88" s="294" t="s">
        <v>2103</v>
      </c>
      <c r="AH88" s="91" t="s">
        <v>27</v>
      </c>
      <c r="AI88" s="91" t="s">
        <v>7931</v>
      </c>
      <c r="AJ88" s="295" t="str">
        <f t="shared" si="1"/>
        <v/>
      </c>
    </row>
    <row r="89" spans="2:36" x14ac:dyDescent="0.25">
      <c r="B89" s="53"/>
      <c r="N89" s="197" t="s">
        <v>3261</v>
      </c>
      <c r="O89" t="s">
        <v>1249</v>
      </c>
      <c r="U89" s="199" t="s">
        <v>5317</v>
      </c>
      <c r="V89" s="196" t="s">
        <v>5449</v>
      </c>
      <c r="AD89" s="7" t="str">
        <f>IF(Force&lt;5,"","Massue d'Ogre")</f>
        <v/>
      </c>
      <c r="AG89" s="294" t="s">
        <v>2103</v>
      </c>
      <c r="AH89" s="91" t="s">
        <v>27</v>
      </c>
      <c r="AI89" s="91" t="s">
        <v>7932</v>
      </c>
      <c r="AJ89" s="295" t="str">
        <f t="shared" si="1"/>
        <v/>
      </c>
    </row>
    <row r="90" spans="2:36" x14ac:dyDescent="0.25">
      <c r="B90" s="53"/>
      <c r="N90" s="197" t="s">
        <v>1340</v>
      </c>
      <c r="O90" t="s">
        <v>1258</v>
      </c>
      <c r="U90" s="199" t="s">
        <v>5318</v>
      </c>
      <c r="V90" s="196" t="s">
        <v>5450</v>
      </c>
      <c r="AD90" s="7" t="str">
        <f>IF(Contexte_jeu&lt;&gt;"L'Empire Stellaire d'Emeraude","","Médiateur")</f>
        <v/>
      </c>
      <c r="AG90" s="294" t="s">
        <v>2103</v>
      </c>
      <c r="AH90" s="91" t="s">
        <v>27</v>
      </c>
      <c r="AI90" s="91" t="s">
        <v>7933</v>
      </c>
      <c r="AJ90" s="295" t="str">
        <f t="shared" si="1"/>
        <v/>
      </c>
    </row>
    <row r="91" spans="2:36" x14ac:dyDescent="0.25">
      <c r="B91" s="53"/>
      <c r="N91" s="197" t="s">
        <v>1388</v>
      </c>
      <c r="O91" t="s">
        <v>3300</v>
      </c>
      <c r="U91" s="199" t="s">
        <v>5319</v>
      </c>
      <c r="V91" s="196" t="s">
        <v>5451</v>
      </c>
      <c r="AD91" s="7" t="str">
        <f>IF(Contexte_jeu&lt;&gt;"L'Empire Stellaire d'Emeraude","Mousquet","Mousquet antique")</f>
        <v>Mousquet</v>
      </c>
      <c r="AG91" s="294" t="s">
        <v>6787</v>
      </c>
      <c r="AH91" s="91" t="str">
        <f>VLOOKUP(AG91,Familles!B:D,3,FALSE)</f>
        <v xml:space="preserve">Toshigo </v>
      </c>
      <c r="AI91" s="91" t="str">
        <f>CONCATENATE("Terres des ",AH91)</f>
        <v xml:space="preserve">Terres des Toshigo </v>
      </c>
      <c r="AJ91" s="295" t="str">
        <f t="shared" si="1"/>
        <v/>
      </c>
    </row>
    <row r="92" spans="2:36" x14ac:dyDescent="0.25">
      <c r="B92" s="53"/>
      <c r="N92" s="197" t="s">
        <v>1384</v>
      </c>
      <c r="O92" t="s">
        <v>1257</v>
      </c>
      <c r="U92" s="199" t="s">
        <v>5320</v>
      </c>
      <c r="V92" s="196" t="s">
        <v>5452</v>
      </c>
      <c r="AD92" s="7" t="s">
        <v>1308</v>
      </c>
      <c r="AG92" s="294" t="s">
        <v>6787</v>
      </c>
      <c r="AH92" s="91" t="str">
        <f>VLOOKUP(AG92,Familles!B:D,3,FALSE)</f>
        <v xml:space="preserve">Toshigo </v>
      </c>
      <c r="AI92" s="91" t="str">
        <f>IF(Contexte_jeu&lt;&gt;"L'Empire Stellaire d'Emeraude","","Ocean of Sapphire")</f>
        <v/>
      </c>
      <c r="AJ92" s="295" t="str">
        <f t="shared" si="1"/>
        <v/>
      </c>
    </row>
    <row r="93" spans="2:36" x14ac:dyDescent="0.25">
      <c r="B93" s="53"/>
      <c r="N93" s="197" t="s">
        <v>1317</v>
      </c>
      <c r="O93" t="s">
        <v>1210</v>
      </c>
      <c r="U93" s="199" t="s">
        <v>5321</v>
      </c>
      <c r="V93" s="196" t="s">
        <v>5453</v>
      </c>
      <c r="AD93" s="7" t="s">
        <v>1354</v>
      </c>
      <c r="AG93" s="294" t="s">
        <v>7229</v>
      </c>
      <c r="AH93" s="91" t="str">
        <f>VLOOKUP(AG93,Familles!B:D,3,FALSE)</f>
        <v>Aibisu</v>
      </c>
      <c r="AI93" s="91" t="str">
        <f>CONCATENATE("Terres des ",AH93)</f>
        <v>Terres des Aibisu</v>
      </c>
      <c r="AJ93" s="295" t="str">
        <f t="shared" si="1"/>
        <v/>
      </c>
    </row>
    <row r="94" spans="2:36" x14ac:dyDescent="0.25">
      <c r="B94" s="53"/>
      <c r="N94" s="197" t="s">
        <v>1331</v>
      </c>
      <c r="O94" t="s">
        <v>1205</v>
      </c>
      <c r="U94" s="199" t="s">
        <v>5322</v>
      </c>
      <c r="V94" s="196" t="s">
        <v>5454</v>
      </c>
      <c r="AD94" s="7" t="s">
        <v>1309</v>
      </c>
      <c r="AG94" s="294" t="s">
        <v>7229</v>
      </c>
      <c r="AH94" s="91" t="str">
        <f>VLOOKUP(AG94,Familles!B:D,3,FALSE)</f>
        <v>Aibisu</v>
      </c>
      <c r="AI94" s="91" t="str">
        <f>IF(Contexte_jeu&lt;&gt;"L'Empire Stellaire d'Emeraude","","Suitengu's Grasp")</f>
        <v/>
      </c>
      <c r="AJ94" s="295" t="str">
        <f t="shared" si="1"/>
        <v/>
      </c>
    </row>
    <row r="95" spans="2:36" x14ac:dyDescent="0.25">
      <c r="B95" s="53"/>
      <c r="N95" s="197" t="s">
        <v>1368</v>
      </c>
      <c r="O95" t="s">
        <v>1931</v>
      </c>
      <c r="U95" s="199" t="s">
        <v>5323</v>
      </c>
      <c r="V95" s="196" t="s">
        <v>5455</v>
      </c>
      <c r="AD95" s="7" t="s">
        <v>8143</v>
      </c>
      <c r="AG95" s="294" t="s">
        <v>396</v>
      </c>
      <c r="AH95" s="91" t="s">
        <v>50</v>
      </c>
      <c r="AI95" s="91" t="s">
        <v>7934</v>
      </c>
      <c r="AJ95" s="295" t="str">
        <f t="shared" si="1"/>
        <v/>
      </c>
    </row>
    <row r="96" spans="2:36" x14ac:dyDescent="0.25">
      <c r="B96" s="53"/>
      <c r="N96" s="197" t="s">
        <v>2977</v>
      </c>
      <c r="O96" t="s">
        <v>1205</v>
      </c>
      <c r="U96" s="199" t="s">
        <v>5324</v>
      </c>
      <c r="V96" s="196" t="s">
        <v>5456</v>
      </c>
      <c r="AD96" s="7" t="str">
        <f>IF(Contexte_jeu&lt;&gt;"L'Empire Stellaire d'Emeraude","","Napalm")</f>
        <v/>
      </c>
      <c r="AG96" s="294" t="s">
        <v>396</v>
      </c>
      <c r="AH96" s="91"/>
      <c r="AI96" s="91" t="str">
        <f>IF(Contexte_jeu&lt;&gt;"L'Empire Stellaire d'Emeraude","","Rokugan Prime")</f>
        <v/>
      </c>
      <c r="AJ96" s="295" t="str">
        <f t="shared" si="1"/>
        <v/>
      </c>
    </row>
    <row r="97" spans="2:36" x14ac:dyDescent="0.25">
      <c r="B97" s="52"/>
      <c r="N97" s="197" t="s">
        <v>3182</v>
      </c>
      <c r="O97" t="s">
        <v>1257</v>
      </c>
      <c r="U97" s="199" t="s">
        <v>5325</v>
      </c>
      <c r="V97" s="196" t="s">
        <v>5457</v>
      </c>
      <c r="AD97" s="7" t="s">
        <v>1359</v>
      </c>
      <c r="AG97" s="294" t="s">
        <v>396</v>
      </c>
      <c r="AH97" s="91"/>
      <c r="AI97" s="91" t="str">
        <f>IF(Contexte_jeu&lt;&gt;"L'Empire Stellaire d'Emeraude","","Xing Guo's Anvil")</f>
        <v/>
      </c>
      <c r="AJ97" s="295" t="str">
        <f t="shared" si="1"/>
        <v/>
      </c>
    </row>
    <row r="98" spans="2:36" x14ac:dyDescent="0.25">
      <c r="B98" s="52"/>
      <c r="N98" s="197" t="s">
        <v>7417</v>
      </c>
      <c r="O98" t="s">
        <v>1257</v>
      </c>
      <c r="U98" s="199" t="s">
        <v>5326</v>
      </c>
      <c r="V98" s="196" t="s">
        <v>5458</v>
      </c>
      <c r="AD98" s="7" t="s">
        <v>1360</v>
      </c>
      <c r="AG98" s="294" t="s">
        <v>335</v>
      </c>
      <c r="AH98" s="91" t="str">
        <f>VLOOKUP(AG98,Familles!B:D,3,FALSE)</f>
        <v>Tonbo</v>
      </c>
      <c r="AI98" s="91" t="str">
        <f>CONCATENATE("Terres des ",AH98)</f>
        <v>Terres des Tonbo</v>
      </c>
      <c r="AJ98" s="295" t="str">
        <f t="shared" si="1"/>
        <v/>
      </c>
    </row>
    <row r="99" spans="2:36" x14ac:dyDescent="0.25">
      <c r="B99" s="52"/>
      <c r="N99" s="197" t="s">
        <v>7419</v>
      </c>
      <c r="O99" t="s">
        <v>1257</v>
      </c>
      <c r="U99" s="199" t="s">
        <v>5327</v>
      </c>
      <c r="V99" s="196" t="s">
        <v>5459</v>
      </c>
      <c r="AD99" s="7" t="s">
        <v>1380</v>
      </c>
      <c r="AG99" s="294" t="s">
        <v>179</v>
      </c>
      <c r="AH99" s="91" t="s">
        <v>7881</v>
      </c>
      <c r="AI99" s="91" t="s">
        <v>7935</v>
      </c>
      <c r="AJ99" s="295" t="str">
        <f t="shared" si="1"/>
        <v/>
      </c>
    </row>
    <row r="100" spans="2:36" x14ac:dyDescent="0.25">
      <c r="B100" s="52"/>
      <c r="N100" s="197" t="s">
        <v>7418</v>
      </c>
      <c r="O100" t="s">
        <v>1257</v>
      </c>
      <c r="U100" s="199" t="s">
        <v>5328</v>
      </c>
      <c r="V100" s="196" t="s">
        <v>5460</v>
      </c>
      <c r="AD100" s="7" t="s">
        <v>1314</v>
      </c>
      <c r="AG100" s="294" t="s">
        <v>179</v>
      </c>
      <c r="AH100" s="91" t="s">
        <v>39</v>
      </c>
      <c r="AI100" s="91" t="s">
        <v>7887</v>
      </c>
      <c r="AJ100" s="295" t="str">
        <f t="shared" si="1"/>
        <v/>
      </c>
    </row>
    <row r="101" spans="2:36" x14ac:dyDescent="0.25">
      <c r="B101" s="52"/>
      <c r="N101" s="197" t="s">
        <v>7420</v>
      </c>
      <c r="O101" t="s">
        <v>1257</v>
      </c>
      <c r="U101" s="199" t="s">
        <v>5329</v>
      </c>
      <c r="V101" s="196" t="s">
        <v>5461</v>
      </c>
      <c r="AD101" s="7" t="s">
        <v>6518</v>
      </c>
      <c r="AG101" s="294" t="s">
        <v>179</v>
      </c>
      <c r="AH101" s="91" t="s">
        <v>39</v>
      </c>
      <c r="AI101" s="91" t="s">
        <v>7936</v>
      </c>
      <c r="AJ101" s="295" t="str">
        <f t="shared" si="1"/>
        <v/>
      </c>
    </row>
    <row r="102" spans="2:36" x14ac:dyDescent="0.25">
      <c r="B102" s="52"/>
      <c r="N102" s="197" t="s">
        <v>3297</v>
      </c>
      <c r="O102" t="s">
        <v>1249</v>
      </c>
      <c r="U102" s="199" t="s">
        <v>5330</v>
      </c>
      <c r="V102" s="196" t="s">
        <v>5462</v>
      </c>
      <c r="AD102" s="7" t="s">
        <v>1361</v>
      </c>
      <c r="AG102" s="294" t="s">
        <v>179</v>
      </c>
      <c r="AH102" s="91" t="s">
        <v>39</v>
      </c>
      <c r="AI102" s="91" t="s">
        <v>7937</v>
      </c>
      <c r="AJ102" s="295" t="str">
        <f t="shared" si="1"/>
        <v/>
      </c>
    </row>
    <row r="103" spans="2:36" x14ac:dyDescent="0.25">
      <c r="B103" s="52"/>
      <c r="N103" s="197" t="s">
        <v>3191</v>
      </c>
      <c r="O103" t="s">
        <v>1205</v>
      </c>
      <c r="U103" s="199" t="s">
        <v>5331</v>
      </c>
      <c r="V103" s="196" t="s">
        <v>5463</v>
      </c>
      <c r="AD103" s="7" t="str">
        <f>IF(Contexte_jeu&lt;&gt;"L'Empire Stellaire d'Emeraude","Pistolet","Pistolet antique")</f>
        <v>Pistolet</v>
      </c>
      <c r="AG103" s="294" t="s">
        <v>179</v>
      </c>
      <c r="AH103" s="91" t="s">
        <v>40</v>
      </c>
      <c r="AI103" s="91" t="s">
        <v>7938</v>
      </c>
      <c r="AJ103" s="295" t="str">
        <f t="shared" si="1"/>
        <v/>
      </c>
    </row>
    <row r="104" spans="2:36" x14ac:dyDescent="0.25">
      <c r="B104" s="52"/>
      <c r="N104" s="197" t="s">
        <v>384</v>
      </c>
      <c r="O104" t="s">
        <v>1205</v>
      </c>
      <c r="U104" s="199" t="s">
        <v>5332</v>
      </c>
      <c r="V104" s="196" t="s">
        <v>5464</v>
      </c>
      <c r="AD104" s="7" t="str">
        <f>IF(Contexte_jeu&lt;&gt;"L'Empire Stellaire d'Emeraude","","Pistolet Démontable")</f>
        <v/>
      </c>
      <c r="AG104" s="294" t="s">
        <v>179</v>
      </c>
      <c r="AH104" s="91" t="s">
        <v>40</v>
      </c>
      <c r="AI104" s="91" t="s">
        <v>7939</v>
      </c>
      <c r="AJ104" s="295" t="str">
        <f t="shared" si="1"/>
        <v/>
      </c>
    </row>
    <row r="105" spans="2:36" x14ac:dyDescent="0.25">
      <c r="B105" s="52"/>
      <c r="N105" s="197" t="s">
        <v>1330</v>
      </c>
      <c r="O105" t="s">
        <v>1249</v>
      </c>
      <c r="U105" s="199" t="s">
        <v>5333</v>
      </c>
      <c r="V105" s="196" t="s">
        <v>5465</v>
      </c>
      <c r="AD105" s="7" t="str">
        <f>IF(Contexte_jeu&lt;&gt;"L'Empire Stellaire d'Emeraude","","Plastique")</f>
        <v/>
      </c>
      <c r="AG105" s="294" t="s">
        <v>179</v>
      </c>
      <c r="AH105" s="91" t="s">
        <v>41</v>
      </c>
      <c r="AI105" s="91" t="s">
        <v>7940</v>
      </c>
      <c r="AJ105" s="295" t="str">
        <f t="shared" si="1"/>
        <v/>
      </c>
    </row>
    <row r="106" spans="2:36" x14ac:dyDescent="0.25">
      <c r="B106" s="52"/>
      <c r="N106" s="197" t="s">
        <v>1326</v>
      </c>
      <c r="O106" t="s">
        <v>1205</v>
      </c>
      <c r="U106" s="199" t="s">
        <v>5334</v>
      </c>
      <c r="V106" s="196" t="s">
        <v>5466</v>
      </c>
      <c r="AD106" s="7" t="str">
        <f>IF(Contexte_jeu&lt;&gt;"L'Empire Stellaire d'Emeraude","","Radiances jumelles")</f>
        <v/>
      </c>
      <c r="AG106" s="294" t="s">
        <v>179</v>
      </c>
      <c r="AH106" s="91" t="s">
        <v>41</v>
      </c>
      <c r="AI106" s="91" t="s">
        <v>7941</v>
      </c>
      <c r="AJ106" s="295" t="str">
        <f t="shared" si="1"/>
        <v/>
      </c>
    </row>
    <row r="107" spans="2:36" x14ac:dyDescent="0.25">
      <c r="B107" s="53"/>
      <c r="N107" s="197" t="s">
        <v>3310</v>
      </c>
      <c r="O107" t="s">
        <v>1258</v>
      </c>
      <c r="U107" s="199" t="s">
        <v>5335</v>
      </c>
      <c r="V107" s="196" t="s">
        <v>5467</v>
      </c>
      <c r="AD107" s="7" t="s">
        <v>7714</v>
      </c>
      <c r="AG107" s="294" t="s">
        <v>179</v>
      </c>
      <c r="AH107" s="91" t="s">
        <v>41</v>
      </c>
      <c r="AI107" s="91" t="s">
        <v>7942</v>
      </c>
      <c r="AJ107" s="295" t="str">
        <f t="shared" si="1"/>
        <v/>
      </c>
    </row>
    <row r="108" spans="2:36" x14ac:dyDescent="0.25">
      <c r="B108" s="53"/>
      <c r="N108" s="197" t="s">
        <v>3265</v>
      </c>
      <c r="O108" t="s">
        <v>1258</v>
      </c>
      <c r="U108" s="199" t="s">
        <v>5336</v>
      </c>
      <c r="V108" s="196" t="s">
        <v>5468</v>
      </c>
      <c r="AD108" s="7" t="s">
        <v>1373</v>
      </c>
      <c r="AG108" s="294" t="s">
        <v>179</v>
      </c>
      <c r="AH108" s="91" t="s">
        <v>41</v>
      </c>
      <c r="AI108" s="91" t="s">
        <v>7943</v>
      </c>
      <c r="AJ108" s="295" t="str">
        <f t="shared" si="1"/>
        <v/>
      </c>
    </row>
    <row r="109" spans="2:36" x14ac:dyDescent="0.25">
      <c r="B109" s="52"/>
      <c r="N109" s="197" t="s">
        <v>369</v>
      </c>
      <c r="O109" t="s">
        <v>1257</v>
      </c>
      <c r="U109" s="199" t="s">
        <v>5337</v>
      </c>
      <c r="V109" s="196" t="s">
        <v>5469</v>
      </c>
      <c r="AD109" s="7" t="s">
        <v>5723</v>
      </c>
      <c r="AG109" s="294" t="s">
        <v>179</v>
      </c>
      <c r="AH109" s="91" t="s">
        <v>42</v>
      </c>
      <c r="AI109" s="91" t="s">
        <v>7944</v>
      </c>
      <c r="AJ109" s="295" t="str">
        <f t="shared" si="1"/>
        <v/>
      </c>
    </row>
    <row r="110" spans="2:36" x14ac:dyDescent="0.25">
      <c r="B110" s="52"/>
      <c r="N110" s="197" t="s">
        <v>3301</v>
      </c>
      <c r="O110" t="s">
        <v>3300</v>
      </c>
      <c r="U110" s="199" t="s">
        <v>5338</v>
      </c>
      <c r="V110" s="196" t="s">
        <v>5470</v>
      </c>
      <c r="AD110" s="7" t="s">
        <v>5722</v>
      </c>
      <c r="AG110" s="294" t="s">
        <v>179</v>
      </c>
      <c r="AH110" s="91" t="s">
        <v>42</v>
      </c>
      <c r="AI110" s="91" t="s">
        <v>7945</v>
      </c>
      <c r="AJ110" s="295" t="str">
        <f t="shared" si="1"/>
        <v/>
      </c>
    </row>
    <row r="111" spans="2:36" x14ac:dyDescent="0.25">
      <c r="B111" s="52"/>
      <c r="N111" s="197" t="s">
        <v>1302</v>
      </c>
      <c r="O111" t="s">
        <v>1210</v>
      </c>
      <c r="U111" s="199" t="s">
        <v>5339</v>
      </c>
      <c r="V111" s="196" t="s">
        <v>5471</v>
      </c>
      <c r="AD111" s="7" t="s">
        <v>1350</v>
      </c>
      <c r="AG111" s="294" t="s">
        <v>179</v>
      </c>
      <c r="AH111" s="91" t="s">
        <v>42</v>
      </c>
      <c r="AI111" s="91" t="s">
        <v>7946</v>
      </c>
      <c r="AJ111" s="295" t="str">
        <f t="shared" si="1"/>
        <v/>
      </c>
    </row>
    <row r="112" spans="2:36" x14ac:dyDescent="0.25">
      <c r="B112" s="52"/>
      <c r="N112" s="197" t="s">
        <v>4549</v>
      </c>
      <c r="O112" t="s">
        <v>1258</v>
      </c>
      <c r="U112" s="199" t="s">
        <v>5340</v>
      </c>
      <c r="V112" s="196" t="s">
        <v>5472</v>
      </c>
      <c r="AD112" s="7" t="s">
        <v>1310</v>
      </c>
      <c r="AG112" s="294" t="s">
        <v>179</v>
      </c>
      <c r="AH112" s="91" t="s">
        <v>42</v>
      </c>
      <c r="AI112" s="91" t="s">
        <v>7947</v>
      </c>
      <c r="AJ112" s="295" t="str">
        <f t="shared" si="1"/>
        <v/>
      </c>
    </row>
    <row r="113" spans="2:36" x14ac:dyDescent="0.25">
      <c r="B113" s="52"/>
      <c r="N113" s="197" t="s">
        <v>1342</v>
      </c>
      <c r="O113" t="s">
        <v>1258</v>
      </c>
      <c r="U113" s="199" t="s">
        <v>5341</v>
      </c>
      <c r="V113" s="196" t="s">
        <v>5473</v>
      </c>
      <c r="AD113" s="7" t="s">
        <v>7705</v>
      </c>
      <c r="AG113" s="294" t="s">
        <v>179</v>
      </c>
      <c r="AH113" s="91" t="s">
        <v>43</v>
      </c>
      <c r="AI113" s="91" t="s">
        <v>7948</v>
      </c>
      <c r="AJ113" s="295" t="str">
        <f t="shared" si="1"/>
        <v/>
      </c>
    </row>
    <row r="114" spans="2:36" x14ac:dyDescent="0.25">
      <c r="B114" s="52"/>
      <c r="N114" s="197" t="s">
        <v>3220</v>
      </c>
      <c r="O114" t="s">
        <v>1205</v>
      </c>
      <c r="U114" s="199" t="s">
        <v>5342</v>
      </c>
      <c r="V114" s="196" t="s">
        <v>5474</v>
      </c>
      <c r="AD114" s="7" t="s">
        <v>4475</v>
      </c>
      <c r="AG114" s="294" t="s">
        <v>179</v>
      </c>
      <c r="AH114" s="91" t="s">
        <v>43</v>
      </c>
      <c r="AI114" s="91" t="s">
        <v>7949</v>
      </c>
      <c r="AJ114" s="295" t="str">
        <f t="shared" si="1"/>
        <v/>
      </c>
    </row>
    <row r="115" spans="2:36" x14ac:dyDescent="0.25">
      <c r="B115" s="53"/>
      <c r="N115" s="197" t="s">
        <v>3317</v>
      </c>
      <c r="O115" t="s">
        <v>1205</v>
      </c>
      <c r="U115" s="199" t="s">
        <v>5343</v>
      </c>
      <c r="V115" s="196" t="s">
        <v>5475</v>
      </c>
      <c r="AD115" s="7" t="s">
        <v>7775</v>
      </c>
      <c r="AG115" s="294" t="s">
        <v>179</v>
      </c>
      <c r="AH115" s="91" t="s">
        <v>43</v>
      </c>
      <c r="AI115" s="91" t="s">
        <v>7950</v>
      </c>
      <c r="AJ115" s="295" t="str">
        <f t="shared" si="1"/>
        <v/>
      </c>
    </row>
    <row r="116" spans="2:36" x14ac:dyDescent="0.25">
      <c r="B116" s="53"/>
      <c r="N116" s="197" t="s">
        <v>1389</v>
      </c>
      <c r="O116" t="s">
        <v>3300</v>
      </c>
      <c r="U116" s="199" t="s">
        <v>5344</v>
      </c>
      <c r="V116" s="196" t="s">
        <v>5476</v>
      </c>
      <c r="AD116" s="7" t="s">
        <v>1348</v>
      </c>
      <c r="AG116" s="294" t="s">
        <v>179</v>
      </c>
      <c r="AH116" s="91" t="s">
        <v>43</v>
      </c>
      <c r="AI116" s="91" t="s">
        <v>7951</v>
      </c>
      <c r="AJ116" s="295" t="str">
        <f t="shared" si="1"/>
        <v/>
      </c>
    </row>
    <row r="117" spans="2:36" x14ac:dyDescent="0.25">
      <c r="B117" s="52"/>
      <c r="N117" s="197" t="s">
        <v>3171</v>
      </c>
      <c r="O117" t="s">
        <v>1205</v>
      </c>
      <c r="U117" s="199" t="s">
        <v>5345</v>
      </c>
      <c r="V117" s="196" t="s">
        <v>5477</v>
      </c>
      <c r="AD117" s="7" t="s">
        <v>1311</v>
      </c>
      <c r="AG117" s="294" t="s">
        <v>179</v>
      </c>
      <c r="AH117" s="91" t="s">
        <v>43</v>
      </c>
      <c r="AI117" s="91" t="s">
        <v>7952</v>
      </c>
      <c r="AJ117" s="295" t="str">
        <f t="shared" si="1"/>
        <v/>
      </c>
    </row>
    <row r="118" spans="2:36" x14ac:dyDescent="0.25">
      <c r="B118" s="52"/>
      <c r="N118" s="197" t="s">
        <v>4577</v>
      </c>
      <c r="O118" t="s">
        <v>1258</v>
      </c>
      <c r="U118" s="199" t="s">
        <v>5346</v>
      </c>
      <c r="V118" s="196" t="s">
        <v>5478</v>
      </c>
      <c r="AD118" s="7" t="str">
        <f>IF(Contexte_jeu&lt;&gt;"L'Empire Stellaire d'Emeraude","","Sombre Radiance")</f>
        <v/>
      </c>
      <c r="AG118" s="294" t="s">
        <v>179</v>
      </c>
      <c r="AH118" s="91"/>
      <c r="AI118" s="91" t="str">
        <f>IF(Contexte_jeu&lt;&gt;"L'Empire Stellaire d'Emeraude","","Burning Star")</f>
        <v/>
      </c>
      <c r="AJ118" s="295" t="str">
        <f t="shared" si="1"/>
        <v/>
      </c>
    </row>
    <row r="119" spans="2:36" x14ac:dyDescent="0.25">
      <c r="B119" s="53"/>
      <c r="N119" s="197" t="s">
        <v>176</v>
      </c>
      <c r="O119" t="s">
        <v>1205</v>
      </c>
      <c r="U119" s="199" t="s">
        <v>5347</v>
      </c>
      <c r="V119" s="196" t="s">
        <v>5479</v>
      </c>
      <c r="AD119" s="7" t="s">
        <v>7778</v>
      </c>
      <c r="AG119" s="294" t="s">
        <v>179</v>
      </c>
      <c r="AH119" s="91"/>
      <c r="AI119" s="91" t="str">
        <f>IF(Contexte_jeu&lt;&gt;"L'Empire Stellaire d'Emeraude","","First Landing")</f>
        <v/>
      </c>
      <c r="AJ119" s="295" t="str">
        <f t="shared" si="1"/>
        <v/>
      </c>
    </row>
    <row r="120" spans="2:36" x14ac:dyDescent="0.25">
      <c r="B120" s="53"/>
      <c r="N120" s="197" t="s">
        <v>2103</v>
      </c>
      <c r="O120" t="s">
        <v>1205</v>
      </c>
      <c r="U120" s="199" t="s">
        <v>5348</v>
      </c>
      <c r="V120" s="196" t="s">
        <v>5480</v>
      </c>
      <c r="AD120" s="7" t="s">
        <v>3215</v>
      </c>
      <c r="AG120" s="294" t="s">
        <v>179</v>
      </c>
      <c r="AH120" s="91"/>
      <c r="AI120" s="91" t="str">
        <f>IF(Contexte_jeu&lt;&gt;"L'Empire Stellaire d'Emeraude","","Suitengu's Grasp")</f>
        <v/>
      </c>
      <c r="AJ120" s="295" t="str">
        <f t="shared" si="1"/>
        <v/>
      </c>
    </row>
    <row r="121" spans="2:36" x14ac:dyDescent="0.25">
      <c r="B121" s="52"/>
      <c r="N121" s="197" t="s">
        <v>3192</v>
      </c>
      <c r="O121" t="s">
        <v>1205</v>
      </c>
      <c r="U121" s="199" t="s">
        <v>5349</v>
      </c>
      <c r="V121" s="196" t="s">
        <v>5481</v>
      </c>
      <c r="AD121" s="7" t="s">
        <v>7784</v>
      </c>
      <c r="AG121" s="294" t="s">
        <v>184</v>
      </c>
      <c r="AH121" s="91" t="str">
        <f>VLOOKUP(AG121,Familles!B:D,3,FALSE)</f>
        <v>Ujina</v>
      </c>
      <c r="AI121" s="91" t="str">
        <f>CONCATENATE("Terres des ",AH121)</f>
        <v>Terres des Ujina</v>
      </c>
      <c r="AJ121" s="295" t="str">
        <f t="shared" si="1"/>
        <v/>
      </c>
    </row>
    <row r="122" spans="2:36" x14ac:dyDescent="0.25">
      <c r="B122" s="52"/>
      <c r="N122" s="197" t="s">
        <v>1356</v>
      </c>
      <c r="O122" t="s">
        <v>1931</v>
      </c>
      <c r="U122" s="199" t="s">
        <v>5350</v>
      </c>
      <c r="V122" s="196" t="s">
        <v>5482</v>
      </c>
      <c r="AD122" s="7" t="s">
        <v>8200</v>
      </c>
      <c r="AG122" s="294" t="s">
        <v>20</v>
      </c>
      <c r="AH122" s="91" t="s">
        <v>22</v>
      </c>
      <c r="AI122" s="91" t="s">
        <v>7953</v>
      </c>
      <c r="AJ122" s="295" t="str">
        <f t="shared" si="1"/>
        <v/>
      </c>
    </row>
    <row r="123" spans="2:36" x14ac:dyDescent="0.25">
      <c r="B123" s="52"/>
      <c r="N123" s="197" t="s">
        <v>3313</v>
      </c>
      <c r="O123" t="s">
        <v>1205</v>
      </c>
      <c r="U123" s="199" t="s">
        <v>5351</v>
      </c>
      <c r="V123" s="196" t="s">
        <v>5483</v>
      </c>
      <c r="AD123" s="7" t="s">
        <v>4447</v>
      </c>
      <c r="AG123" s="294" t="s">
        <v>20</v>
      </c>
      <c r="AH123" s="91" t="s">
        <v>22</v>
      </c>
      <c r="AI123" s="91" t="s">
        <v>7954</v>
      </c>
      <c r="AJ123" s="295" t="str">
        <f t="shared" si="1"/>
        <v/>
      </c>
    </row>
    <row r="124" spans="2:36" x14ac:dyDescent="0.25">
      <c r="B124" s="52"/>
      <c r="N124" s="197" t="s">
        <v>3193</v>
      </c>
      <c r="O124" t="s">
        <v>1205</v>
      </c>
      <c r="U124" s="199" t="s">
        <v>5352</v>
      </c>
      <c r="V124" s="196" t="s">
        <v>5484</v>
      </c>
      <c r="AD124" s="7" t="s">
        <v>4655</v>
      </c>
      <c r="AG124" s="294" t="s">
        <v>20</v>
      </c>
      <c r="AH124" s="91" t="s">
        <v>22</v>
      </c>
      <c r="AI124" s="91" t="s">
        <v>7955</v>
      </c>
      <c r="AJ124" s="295" t="str">
        <f t="shared" si="1"/>
        <v/>
      </c>
    </row>
    <row r="125" spans="2:36" x14ac:dyDescent="0.25">
      <c r="B125" s="52"/>
      <c r="N125" s="197" t="s">
        <v>1323</v>
      </c>
      <c r="O125" t="s">
        <v>1205</v>
      </c>
      <c r="U125" s="199" t="s">
        <v>5353</v>
      </c>
      <c r="V125" s="196" t="s">
        <v>5485</v>
      </c>
      <c r="AD125" s="7" t="s">
        <v>8144</v>
      </c>
      <c r="AG125" s="294" t="s">
        <v>20</v>
      </c>
      <c r="AH125" s="91" t="s">
        <v>22</v>
      </c>
      <c r="AI125" s="91" t="s">
        <v>7956</v>
      </c>
      <c r="AJ125" s="295" t="str">
        <f t="shared" si="1"/>
        <v/>
      </c>
    </row>
    <row r="126" spans="2:36" x14ac:dyDescent="0.25">
      <c r="B126" s="52"/>
      <c r="N126" s="197" t="s">
        <v>7691</v>
      </c>
      <c r="O126" t="s">
        <v>1258</v>
      </c>
      <c r="U126" s="199" t="s">
        <v>5354</v>
      </c>
      <c r="V126" s="196" t="s">
        <v>5486</v>
      </c>
      <c r="AD126" s="7" t="s">
        <v>1315</v>
      </c>
      <c r="AG126" s="294" t="s">
        <v>20</v>
      </c>
      <c r="AH126" s="91" t="s">
        <v>22</v>
      </c>
      <c r="AI126" s="91" t="s">
        <v>7957</v>
      </c>
      <c r="AJ126" s="295" t="str">
        <f t="shared" si="1"/>
        <v/>
      </c>
    </row>
    <row r="127" spans="2:36" x14ac:dyDescent="0.25">
      <c r="B127" s="52"/>
      <c r="N127" s="197" t="s">
        <v>1319</v>
      </c>
      <c r="O127" t="s">
        <v>1249</v>
      </c>
      <c r="U127" s="199" t="s">
        <v>5355</v>
      </c>
      <c r="V127" s="196" t="s">
        <v>5487</v>
      </c>
      <c r="AD127" s="7" t="s">
        <v>4580</v>
      </c>
      <c r="AG127" s="294" t="s">
        <v>20</v>
      </c>
      <c r="AH127" s="91" t="s">
        <v>23</v>
      </c>
      <c r="AI127" s="91" t="s">
        <v>7958</v>
      </c>
      <c r="AJ127" s="295" t="str">
        <f t="shared" si="1"/>
        <v/>
      </c>
    </row>
    <row r="128" spans="2:36" x14ac:dyDescent="0.25">
      <c r="B128" s="52"/>
      <c r="N128" s="196" t="s">
        <v>7403</v>
      </c>
      <c r="O128" t="s">
        <v>1249</v>
      </c>
      <c r="U128" s="199" t="s">
        <v>5356</v>
      </c>
      <c r="V128" s="196" t="s">
        <v>5488</v>
      </c>
      <c r="AD128" s="7" t="s">
        <v>1382</v>
      </c>
      <c r="AG128" s="294" t="s">
        <v>20</v>
      </c>
      <c r="AH128" s="91" t="s">
        <v>23</v>
      </c>
      <c r="AI128" s="91" t="s">
        <v>7959</v>
      </c>
      <c r="AJ128" s="295" t="str">
        <f t="shared" si="1"/>
        <v/>
      </c>
    </row>
    <row r="129" spans="2:36" x14ac:dyDescent="0.25">
      <c r="B129" s="52"/>
      <c r="N129" s="197" t="s">
        <v>3176</v>
      </c>
      <c r="O129" t="s">
        <v>1249</v>
      </c>
      <c r="U129" s="199" t="s">
        <v>5357</v>
      </c>
      <c r="V129" s="196" t="s">
        <v>5489</v>
      </c>
      <c r="AD129" s="7" t="str">
        <f>IF(Contexte_jeu&lt;&gt;"L'Empire Stellaire d'Emeraude","","Tonnerre Distant")</f>
        <v/>
      </c>
      <c r="AG129" s="294" t="s">
        <v>20</v>
      </c>
      <c r="AH129" s="91" t="s">
        <v>23</v>
      </c>
      <c r="AI129" s="91" t="s">
        <v>7960</v>
      </c>
      <c r="AJ129" s="295" t="str">
        <f t="shared" si="1"/>
        <v/>
      </c>
    </row>
    <row r="130" spans="2:36" x14ac:dyDescent="0.25">
      <c r="B130" s="52"/>
      <c r="N130" s="197" t="s">
        <v>1343</v>
      </c>
      <c r="O130" t="s">
        <v>1258</v>
      </c>
      <c r="U130" s="199" t="s">
        <v>5358</v>
      </c>
      <c r="V130" s="196" t="s">
        <v>5490</v>
      </c>
      <c r="AD130" s="202" t="s">
        <v>4578</v>
      </c>
      <c r="AG130" s="294" t="s">
        <v>20</v>
      </c>
      <c r="AH130" s="91" t="s">
        <v>23</v>
      </c>
      <c r="AI130" s="91" t="s">
        <v>7961</v>
      </c>
      <c r="AJ130" s="295" t="str">
        <f t="shared" ref="AJ130:AJ193" si="2">IF(Clan=AG130,AI130,"")</f>
        <v/>
      </c>
    </row>
    <row r="131" spans="2:36" x14ac:dyDescent="0.25">
      <c r="B131" s="52"/>
      <c r="N131" s="197" t="s">
        <v>1303</v>
      </c>
      <c r="O131" t="s">
        <v>1210</v>
      </c>
      <c r="U131" s="199" t="s">
        <v>5359</v>
      </c>
      <c r="V131" s="196" t="s">
        <v>5491</v>
      </c>
      <c r="AD131" s="7" t="s">
        <v>4581</v>
      </c>
      <c r="AG131" s="294" t="s">
        <v>20</v>
      </c>
      <c r="AH131" s="91" t="s">
        <v>24</v>
      </c>
      <c r="AI131" s="91" t="s">
        <v>7962</v>
      </c>
      <c r="AJ131" s="295" t="str">
        <f t="shared" si="2"/>
        <v/>
      </c>
    </row>
    <row r="132" spans="2:36" x14ac:dyDescent="0.25">
      <c r="B132" s="53"/>
      <c r="N132" s="197" t="s">
        <v>3312</v>
      </c>
      <c r="O132" t="s">
        <v>1249</v>
      </c>
      <c r="U132" s="199" t="s">
        <v>5360</v>
      </c>
      <c r="V132" s="196" t="s">
        <v>5492</v>
      </c>
      <c r="AD132" s="7" t="s">
        <v>8145</v>
      </c>
      <c r="AG132" s="294" t="s">
        <v>20</v>
      </c>
      <c r="AH132" s="91" t="s">
        <v>24</v>
      </c>
      <c r="AI132" s="91" t="s">
        <v>7963</v>
      </c>
      <c r="AJ132" s="295" t="str">
        <f t="shared" si="2"/>
        <v/>
      </c>
    </row>
    <row r="133" spans="2:36" x14ac:dyDescent="0.25">
      <c r="B133" s="53"/>
      <c r="N133" s="197" t="s">
        <v>3318</v>
      </c>
      <c r="O133" t="s">
        <v>328</v>
      </c>
      <c r="AD133" s="7" t="s">
        <v>1349</v>
      </c>
      <c r="AG133" s="294" t="s">
        <v>20</v>
      </c>
      <c r="AH133" s="91" t="s">
        <v>24</v>
      </c>
      <c r="AI133" s="91" t="s">
        <v>7964</v>
      </c>
      <c r="AJ133" s="295" t="str">
        <f t="shared" si="2"/>
        <v/>
      </c>
    </row>
    <row r="134" spans="2:36" x14ac:dyDescent="0.25">
      <c r="B134" s="53"/>
      <c r="N134" s="197" t="s">
        <v>7449</v>
      </c>
      <c r="O134" t="s">
        <v>1931</v>
      </c>
      <c r="AD134" s="7" t="s">
        <v>1363</v>
      </c>
      <c r="AG134" s="294" t="s">
        <v>20</v>
      </c>
      <c r="AH134" s="91" t="s">
        <v>24</v>
      </c>
      <c r="AI134" s="91" t="s">
        <v>7965</v>
      </c>
      <c r="AJ134" s="295" t="str">
        <f t="shared" si="2"/>
        <v/>
      </c>
    </row>
    <row r="135" spans="2:36" x14ac:dyDescent="0.25">
      <c r="B135" s="53"/>
      <c r="N135" s="197" t="s">
        <v>3221</v>
      </c>
      <c r="O135" t="s">
        <v>1205</v>
      </c>
      <c r="AD135" s="7" t="s">
        <v>3308</v>
      </c>
      <c r="AG135" s="294" t="s">
        <v>20</v>
      </c>
      <c r="AH135" s="91" t="s">
        <v>24</v>
      </c>
      <c r="AI135" s="91" t="s">
        <v>7966</v>
      </c>
      <c r="AJ135" s="295" t="str">
        <f t="shared" si="2"/>
        <v/>
      </c>
    </row>
    <row r="136" spans="2:36" x14ac:dyDescent="0.25">
      <c r="B136" s="53"/>
      <c r="N136" s="197" t="s">
        <v>3306</v>
      </c>
      <c r="O136" t="s">
        <v>1258</v>
      </c>
      <c r="AD136" s="7" t="s">
        <v>1357</v>
      </c>
      <c r="AG136" s="294" t="s">
        <v>20</v>
      </c>
      <c r="AH136" s="91" t="s">
        <v>24</v>
      </c>
      <c r="AI136" s="91" t="s">
        <v>7967</v>
      </c>
      <c r="AJ136" s="295" t="str">
        <f t="shared" si="2"/>
        <v/>
      </c>
    </row>
    <row r="137" spans="2:36" x14ac:dyDescent="0.25">
      <c r="B137" s="53"/>
      <c r="N137" s="197" t="s">
        <v>1378</v>
      </c>
      <c r="O137" t="s">
        <v>1258</v>
      </c>
      <c r="AD137" s="7" t="s">
        <v>8146</v>
      </c>
      <c r="AG137" s="294" t="s">
        <v>20</v>
      </c>
      <c r="AH137" s="91" t="s">
        <v>24</v>
      </c>
      <c r="AI137" s="91" t="s">
        <v>7968</v>
      </c>
      <c r="AJ137" s="295" t="str">
        <f t="shared" si="2"/>
        <v/>
      </c>
    </row>
    <row r="138" spans="2:36" x14ac:dyDescent="0.25">
      <c r="B138" s="53"/>
      <c r="N138" s="196" t="s">
        <v>7408</v>
      </c>
      <c r="O138" t="s">
        <v>1249</v>
      </c>
      <c r="AD138" s="7"/>
      <c r="AG138" s="294" t="s">
        <v>20</v>
      </c>
      <c r="AH138" s="91" t="s">
        <v>24</v>
      </c>
      <c r="AI138" s="91" t="s">
        <v>7969</v>
      </c>
      <c r="AJ138" s="295" t="str">
        <f t="shared" si="2"/>
        <v/>
      </c>
    </row>
    <row r="139" spans="2:36" x14ac:dyDescent="0.25">
      <c r="B139" s="53"/>
      <c r="N139" s="197" t="s">
        <v>1372</v>
      </c>
      <c r="O139" t="s">
        <v>1258</v>
      </c>
      <c r="AD139" s="7"/>
      <c r="AG139" s="294" t="s">
        <v>20</v>
      </c>
      <c r="AH139" s="91"/>
      <c r="AI139" s="91" t="str">
        <f>IF(Contexte_jeu&lt;&gt;"L'Empire Stellaire d'Emeraude","","New Rokugan")</f>
        <v/>
      </c>
      <c r="AJ139" s="295" t="str">
        <f t="shared" si="2"/>
        <v/>
      </c>
    </row>
    <row r="140" spans="2:36" x14ac:dyDescent="0.25">
      <c r="B140" s="52"/>
      <c r="N140" s="197" t="s">
        <v>1358</v>
      </c>
      <c r="O140" t="s">
        <v>1258</v>
      </c>
      <c r="AD140" s="7"/>
      <c r="AG140" s="294" t="s">
        <v>20</v>
      </c>
      <c r="AH140" s="91"/>
      <c r="AI140" s="91" t="str">
        <f>IF(Contexte_jeu&lt;&gt;"L'Empire Stellaire d'Emeraude","","Ryunin")</f>
        <v/>
      </c>
      <c r="AJ140" s="295" t="str">
        <f t="shared" si="2"/>
        <v/>
      </c>
    </row>
    <row r="141" spans="2:36" x14ac:dyDescent="0.25">
      <c r="B141" s="53"/>
      <c r="N141" s="197" t="s">
        <v>3316</v>
      </c>
      <c r="O141" t="s">
        <v>1205</v>
      </c>
      <c r="AD141" s="7"/>
      <c r="AG141" s="294" t="s">
        <v>20</v>
      </c>
      <c r="AH141" s="91"/>
      <c r="AI141" s="91" t="str">
        <f>IF(Contexte_jeu&lt;&gt;"L'Empire Stellaire d'Emeraude","","Shori System")</f>
        <v/>
      </c>
      <c r="AJ141" s="295" t="str">
        <f t="shared" si="2"/>
        <v/>
      </c>
    </row>
    <row r="142" spans="2:36" x14ac:dyDescent="0.25">
      <c r="B142" s="53"/>
      <c r="N142" s="197" t="s">
        <v>3398</v>
      </c>
      <c r="O142" t="s">
        <v>1258</v>
      </c>
      <c r="AD142" s="7"/>
      <c r="AG142" s="294" t="s">
        <v>337</v>
      </c>
      <c r="AH142" s="91" t="s">
        <v>155</v>
      </c>
      <c r="AI142" s="91" t="str">
        <f>CONCATENATE("Terres des ",AH142)</f>
        <v>Terres des Tsi</v>
      </c>
      <c r="AJ142" s="295" t="str">
        <f t="shared" si="2"/>
        <v/>
      </c>
    </row>
    <row r="143" spans="2:36" x14ac:dyDescent="0.25">
      <c r="B143" s="53"/>
      <c r="N143" s="197" t="s">
        <v>3273</v>
      </c>
      <c r="O143" t="s">
        <v>1258</v>
      </c>
      <c r="AD143" s="7"/>
      <c r="AG143" s="294" t="s">
        <v>337</v>
      </c>
      <c r="AH143" s="91" t="s">
        <v>155</v>
      </c>
      <c r="AI143" s="91" t="str">
        <f>IF(Contexte_jeu&lt;&gt;"L'Empire Stellaire d'Emeraude","","Xing Guo's Anvil")</f>
        <v/>
      </c>
      <c r="AJ143" s="295" t="str">
        <f t="shared" si="2"/>
        <v/>
      </c>
    </row>
    <row r="144" spans="2:36" x14ac:dyDescent="0.25">
      <c r="B144" s="53"/>
      <c r="N144" s="197" t="s">
        <v>1940</v>
      </c>
      <c r="O144" t="s">
        <v>1205</v>
      </c>
      <c r="AD144" s="7"/>
      <c r="AG144" s="294" t="s">
        <v>332</v>
      </c>
      <c r="AH144" s="91" t="str">
        <f>VLOOKUP(AG144,Familles!B:D,3,FALSE)</f>
        <v>Fenroku</v>
      </c>
      <c r="AI144" s="91" t="str">
        <f>CONCATENATE("Terres des ",AH144)</f>
        <v>Terres des Fenroku</v>
      </c>
      <c r="AJ144" s="295" t="str">
        <f t="shared" si="2"/>
        <v/>
      </c>
    </row>
    <row r="145" spans="2:36" x14ac:dyDescent="0.25">
      <c r="B145" s="53"/>
      <c r="N145" s="197" t="s">
        <v>7692</v>
      </c>
      <c r="O145" t="s">
        <v>1258</v>
      </c>
      <c r="AD145" s="7"/>
      <c r="AG145" s="294" t="s">
        <v>6779</v>
      </c>
      <c r="AH145" s="91" t="str">
        <f>VLOOKUP(AG145,Familles!B:D,3,FALSE)</f>
        <v>Kawauso</v>
      </c>
      <c r="AI145" s="91" t="str">
        <f>CONCATENATE("Terres des ",AH145)</f>
        <v>Terres des Kawauso</v>
      </c>
      <c r="AJ145" s="295" t="str">
        <f t="shared" si="2"/>
        <v/>
      </c>
    </row>
    <row r="146" spans="2:36" x14ac:dyDescent="0.25">
      <c r="B146" s="53"/>
      <c r="N146" s="197" t="s">
        <v>23</v>
      </c>
      <c r="O146" t="s">
        <v>1205</v>
      </c>
      <c r="AD146" s="7"/>
      <c r="AG146" s="294" t="s">
        <v>6803</v>
      </c>
      <c r="AH146" s="91" t="str">
        <f>VLOOKUP(AG146,Familles!B:D,3,FALSE)</f>
        <v>Hotaru</v>
      </c>
      <c r="AI146" s="91" t="str">
        <f>CONCATENATE("Terres des ",AH146)</f>
        <v>Terres des Hotaru</v>
      </c>
      <c r="AJ146" s="295" t="str">
        <f t="shared" si="2"/>
        <v/>
      </c>
    </row>
    <row r="147" spans="2:36" x14ac:dyDescent="0.25">
      <c r="B147" s="53"/>
      <c r="N147" s="197" t="s">
        <v>7690</v>
      </c>
      <c r="O147" t="s">
        <v>1258</v>
      </c>
      <c r="AD147" s="7"/>
      <c r="AG147" s="294" t="s">
        <v>7302</v>
      </c>
      <c r="AH147" s="91" t="str">
        <f>VLOOKUP(AG147,Familles!B:D,3,FALSE)</f>
        <v>Hajime</v>
      </c>
      <c r="AI147" s="91" t="str">
        <f>CONCATENATE("Terres des ",AH147)</f>
        <v>Terres des Hajime</v>
      </c>
      <c r="AJ147" s="295" t="str">
        <f t="shared" si="2"/>
        <v/>
      </c>
    </row>
    <row r="148" spans="2:36" x14ac:dyDescent="0.25">
      <c r="B148" s="53"/>
      <c r="N148" s="197" t="s">
        <v>64</v>
      </c>
      <c r="O148" t="s">
        <v>1205</v>
      </c>
      <c r="AD148" s="7"/>
      <c r="AG148" s="294" t="s">
        <v>178</v>
      </c>
      <c r="AH148" s="91" t="s">
        <v>25</v>
      </c>
      <c r="AI148" s="91" t="s">
        <v>7970</v>
      </c>
      <c r="AJ148" s="295" t="str">
        <f t="shared" si="2"/>
        <v/>
      </c>
    </row>
    <row r="149" spans="2:36" x14ac:dyDescent="0.25">
      <c r="B149" s="53"/>
      <c r="N149" s="197" t="s">
        <v>1352</v>
      </c>
      <c r="O149" t="s">
        <v>1258</v>
      </c>
      <c r="AD149" s="7"/>
      <c r="AG149" s="294" t="s">
        <v>178</v>
      </c>
      <c r="AH149" s="91" t="s">
        <v>26</v>
      </c>
      <c r="AI149" s="91" t="s">
        <v>7971</v>
      </c>
      <c r="AJ149" s="295" t="str">
        <f t="shared" si="2"/>
        <v/>
      </c>
    </row>
    <row r="150" spans="2:36" x14ac:dyDescent="0.25">
      <c r="N150" s="197" t="s">
        <v>4928</v>
      </c>
      <c r="O150" t="s">
        <v>1205</v>
      </c>
      <c r="AD150" s="7"/>
      <c r="AG150" s="294" t="s">
        <v>178</v>
      </c>
      <c r="AH150" s="91" t="s">
        <v>27</v>
      </c>
      <c r="AI150" s="91" t="s">
        <v>7929</v>
      </c>
      <c r="AJ150" s="295" t="str">
        <f t="shared" si="2"/>
        <v/>
      </c>
    </row>
    <row r="151" spans="2:36" x14ac:dyDescent="0.25">
      <c r="N151" s="197" t="s">
        <v>3302</v>
      </c>
      <c r="O151" t="s">
        <v>3300</v>
      </c>
      <c r="AD151" s="7"/>
      <c r="AG151" s="294" t="s">
        <v>178</v>
      </c>
      <c r="AH151" s="91" t="s">
        <v>27</v>
      </c>
      <c r="AI151" s="91" t="s">
        <v>7930</v>
      </c>
      <c r="AJ151" s="295" t="str">
        <f t="shared" si="2"/>
        <v/>
      </c>
    </row>
    <row r="152" spans="2:36" x14ac:dyDescent="0.25">
      <c r="N152" s="197" t="s">
        <v>1305</v>
      </c>
      <c r="O152" t="s">
        <v>3300</v>
      </c>
      <c r="AD152" s="7"/>
      <c r="AG152" s="294" t="s">
        <v>178</v>
      </c>
      <c r="AH152" s="91" t="s">
        <v>27</v>
      </c>
      <c r="AI152" s="91" t="s">
        <v>7931</v>
      </c>
      <c r="AJ152" s="295" t="str">
        <f t="shared" si="2"/>
        <v/>
      </c>
    </row>
    <row r="153" spans="2:36" x14ac:dyDescent="0.25">
      <c r="N153" s="197" t="s">
        <v>3069</v>
      </c>
      <c r="O153" t="s">
        <v>3300</v>
      </c>
      <c r="AD153" s="7"/>
      <c r="AG153" s="294" t="s">
        <v>178</v>
      </c>
      <c r="AH153" s="91" t="s">
        <v>27</v>
      </c>
      <c r="AI153" s="91" t="s">
        <v>7932</v>
      </c>
      <c r="AJ153" s="295" t="str">
        <f t="shared" si="2"/>
        <v/>
      </c>
    </row>
    <row r="154" spans="2:36" x14ac:dyDescent="0.25">
      <c r="N154" s="197" t="s">
        <v>1353</v>
      </c>
      <c r="O154" t="s">
        <v>1258</v>
      </c>
      <c r="AD154" s="7"/>
      <c r="AG154" s="294" t="s">
        <v>178</v>
      </c>
      <c r="AH154" s="91" t="s">
        <v>27</v>
      </c>
      <c r="AI154" s="91" t="s">
        <v>7933</v>
      </c>
      <c r="AJ154" s="295" t="str">
        <f t="shared" si="2"/>
        <v/>
      </c>
    </row>
    <row r="155" spans="2:36" x14ac:dyDescent="0.25">
      <c r="N155" s="197" t="s">
        <v>3053</v>
      </c>
      <c r="O155" t="s">
        <v>1258</v>
      </c>
      <c r="AD155" s="7"/>
      <c r="AG155" s="294" t="s">
        <v>178</v>
      </c>
      <c r="AH155" s="91" t="s">
        <v>28</v>
      </c>
      <c r="AI155" s="91" t="s">
        <v>7972</v>
      </c>
      <c r="AJ155" s="295" t="str">
        <f t="shared" si="2"/>
        <v/>
      </c>
    </row>
    <row r="156" spans="2:36" x14ac:dyDescent="0.25">
      <c r="N156" s="197" t="s">
        <v>1385</v>
      </c>
      <c r="O156" t="s">
        <v>1257</v>
      </c>
      <c r="AD156" s="7"/>
      <c r="AG156" s="294" t="s">
        <v>178</v>
      </c>
      <c r="AH156" s="91" t="s">
        <v>28</v>
      </c>
      <c r="AI156" s="91" t="s">
        <v>7973</v>
      </c>
      <c r="AJ156" s="295" t="str">
        <f t="shared" si="2"/>
        <v/>
      </c>
    </row>
    <row r="157" spans="2:36" x14ac:dyDescent="0.25">
      <c r="N157" s="197" t="s">
        <v>335</v>
      </c>
      <c r="O157" t="s">
        <v>1205</v>
      </c>
      <c r="AD157" s="7"/>
      <c r="AG157" s="294" t="s">
        <v>178</v>
      </c>
      <c r="AH157" s="91" t="s">
        <v>28</v>
      </c>
      <c r="AI157" s="91" t="s">
        <v>7974</v>
      </c>
      <c r="AJ157" s="295" t="str">
        <f t="shared" si="2"/>
        <v/>
      </c>
    </row>
    <row r="158" spans="2:36" x14ac:dyDescent="0.25">
      <c r="N158" s="197" t="s">
        <v>179</v>
      </c>
      <c r="O158" t="s">
        <v>1205</v>
      </c>
      <c r="AG158" s="294" t="s">
        <v>178</v>
      </c>
      <c r="AH158" s="91" t="s">
        <v>28</v>
      </c>
      <c r="AI158" s="91" t="s">
        <v>7975</v>
      </c>
      <c r="AJ158" s="295" t="str">
        <f t="shared" si="2"/>
        <v/>
      </c>
    </row>
    <row r="159" spans="2:36" x14ac:dyDescent="0.25">
      <c r="N159" s="197" t="s">
        <v>184</v>
      </c>
      <c r="O159" t="s">
        <v>1205</v>
      </c>
      <c r="AG159" s="294" t="s">
        <v>178</v>
      </c>
      <c r="AH159" s="91" t="s">
        <v>28</v>
      </c>
      <c r="AI159" s="91" t="s">
        <v>7976</v>
      </c>
      <c r="AJ159" s="295" t="str">
        <f t="shared" si="2"/>
        <v/>
      </c>
    </row>
    <row r="160" spans="2:36" x14ac:dyDescent="0.25">
      <c r="N160" s="197" t="s">
        <v>20</v>
      </c>
      <c r="O160" t="s">
        <v>1205</v>
      </c>
      <c r="AG160" s="294" t="s">
        <v>178</v>
      </c>
      <c r="AH160" s="91" t="s">
        <v>28</v>
      </c>
      <c r="AI160" s="91" t="s">
        <v>7977</v>
      </c>
      <c r="AJ160" s="295" t="str">
        <f t="shared" si="2"/>
        <v/>
      </c>
    </row>
    <row r="161" spans="14:36" x14ac:dyDescent="0.25">
      <c r="N161" s="197" t="s">
        <v>337</v>
      </c>
      <c r="O161" t="s">
        <v>1205</v>
      </c>
      <c r="AG161" s="294" t="s">
        <v>178</v>
      </c>
      <c r="AH161" s="91" t="s">
        <v>28</v>
      </c>
      <c r="AI161" s="91" t="s">
        <v>7978</v>
      </c>
      <c r="AJ161" s="295" t="str">
        <f>IF(Clan=AG161,AI161,"")</f>
        <v/>
      </c>
    </row>
    <row r="162" spans="14:36" x14ac:dyDescent="0.25">
      <c r="N162" s="197" t="s">
        <v>1366</v>
      </c>
      <c r="O162" t="s">
        <v>1258</v>
      </c>
      <c r="AG162" s="294" t="s">
        <v>178</v>
      </c>
      <c r="AH162" s="91"/>
      <c r="AI162" s="91" t="str">
        <f>IF(Contexte_jeu&lt;&gt;"L'Empire Stellaire d'Emeraude","","Amaterasu's Wisdom")</f>
        <v/>
      </c>
      <c r="AJ162" s="295" t="str">
        <f t="shared" si="2"/>
        <v/>
      </c>
    </row>
    <row r="163" spans="14:36" x14ac:dyDescent="0.25">
      <c r="N163" s="197" t="s">
        <v>1379</v>
      </c>
      <c r="O163" t="s">
        <v>1258</v>
      </c>
      <c r="AG163" s="294" t="s">
        <v>178</v>
      </c>
      <c r="AH163" s="91"/>
      <c r="AI163" s="91" t="str">
        <f>IF(Contexte_jeu&lt;&gt;"L'Empire Stellaire d'Emeraude","","Nest")</f>
        <v/>
      </c>
      <c r="AJ163" s="295" t="str">
        <f t="shared" si="2"/>
        <v/>
      </c>
    </row>
    <row r="164" spans="14:36" x14ac:dyDescent="0.25">
      <c r="N164" s="197" t="s">
        <v>3287</v>
      </c>
      <c r="O164" t="s">
        <v>1257</v>
      </c>
      <c r="AG164" s="294" t="s">
        <v>178</v>
      </c>
      <c r="AH164" s="91"/>
      <c r="AI164" s="91" t="str">
        <f>IF(Contexte_jeu&lt;&gt;"L'Empire Stellaire d'Emeraude","","New Kalani")</f>
        <v/>
      </c>
      <c r="AJ164" s="295" t="str">
        <f t="shared" si="2"/>
        <v/>
      </c>
    </row>
    <row r="165" spans="14:36" x14ac:dyDescent="0.25">
      <c r="N165" s="197" t="s">
        <v>159</v>
      </c>
      <c r="O165" t="s">
        <v>1205</v>
      </c>
      <c r="AG165" s="294" t="s">
        <v>178</v>
      </c>
      <c r="AH165" s="91"/>
      <c r="AI165" s="91" t="str">
        <f>IF(Contexte_jeu&lt;&gt;"L'Empire Stellaire d'Emeraude","","Onnotangu's Heart")</f>
        <v/>
      </c>
      <c r="AJ165" s="295" t="str">
        <f t="shared" si="2"/>
        <v/>
      </c>
    </row>
    <row r="166" spans="14:36" x14ac:dyDescent="0.25">
      <c r="N166" s="197" t="s">
        <v>3307</v>
      </c>
      <c r="O166" t="s">
        <v>1258</v>
      </c>
      <c r="AG166" s="294" t="s">
        <v>178</v>
      </c>
      <c r="AH166" s="91"/>
      <c r="AI166" s="91" t="str">
        <f>IF(Contexte_jeu&lt;&gt;"L'Empire Stellaire d'Emeraude","","Osano-Wo Reach")</f>
        <v/>
      </c>
      <c r="AJ166" s="295" t="str">
        <f t="shared" si="2"/>
        <v/>
      </c>
    </row>
    <row r="167" spans="14:36" x14ac:dyDescent="0.25">
      <c r="N167" s="197" t="s">
        <v>3222</v>
      </c>
      <c r="O167" t="s">
        <v>1205</v>
      </c>
      <c r="AG167" s="294" t="s">
        <v>178</v>
      </c>
      <c r="AH167" s="91"/>
      <c r="AI167" s="91" t="str">
        <f>IF(Contexte_jeu&lt;&gt;"L'Empire Stellaire d'Emeraude","","Yama-no-Kami's Remembrance")</f>
        <v/>
      </c>
      <c r="AJ167" s="295" t="str">
        <f t="shared" si="2"/>
        <v/>
      </c>
    </row>
    <row r="168" spans="14:36" x14ac:dyDescent="0.25">
      <c r="N168" s="197" t="s">
        <v>1322</v>
      </c>
      <c r="O168" t="s">
        <v>1205</v>
      </c>
      <c r="AG168" s="294" t="s">
        <v>322</v>
      </c>
      <c r="AH168" s="91" t="s">
        <v>26</v>
      </c>
      <c r="AI168" s="91" t="s">
        <v>7971</v>
      </c>
      <c r="AJ168" s="295" t="str">
        <f t="shared" si="2"/>
        <v/>
      </c>
    </row>
    <row r="169" spans="14:36" x14ac:dyDescent="0.25">
      <c r="N169" s="197" t="s">
        <v>1295</v>
      </c>
      <c r="O169" t="s">
        <v>1249</v>
      </c>
      <c r="AG169" s="294" t="s">
        <v>6773</v>
      </c>
      <c r="AH169" s="91" t="str">
        <f>VLOOKUP(AG169,Familles!B:D,3,FALSE)</f>
        <v>Kaikoga</v>
      </c>
      <c r="AI169" s="91" t="str">
        <f>CONCATENATE("Terres des ",AH169)</f>
        <v>Terres des Kaikoga</v>
      </c>
      <c r="AJ169" s="295" t="str">
        <f t="shared" si="2"/>
        <v/>
      </c>
    </row>
    <row r="170" spans="14:36" x14ac:dyDescent="0.25">
      <c r="N170" s="197" t="s">
        <v>1306</v>
      </c>
      <c r="O170" t="s">
        <v>3300</v>
      </c>
      <c r="AG170" s="294" t="s">
        <v>6773</v>
      </c>
      <c r="AH170" s="91" t="str">
        <f>VLOOKUP(AG170,Familles!B:D,3,FALSE)</f>
        <v>Kaikoga</v>
      </c>
      <c r="AI170" s="91" t="str">
        <f>IF(Contexte_jeu&lt;&gt;"L'Empire Stellaire d'Emeraude","","Moth's Cocoon")</f>
        <v/>
      </c>
      <c r="AJ170" s="295" t="str">
        <f t="shared" si="2"/>
        <v/>
      </c>
    </row>
    <row r="171" spans="14:36" x14ac:dyDescent="0.25">
      <c r="N171" s="197" t="s">
        <v>178</v>
      </c>
      <c r="O171" t="s">
        <v>1205</v>
      </c>
      <c r="AG171" s="294" t="s">
        <v>339</v>
      </c>
      <c r="AH171" s="91" t="str">
        <f>VLOOKUP(AG171,Familles!B:D,3,FALSE)</f>
        <v>Suzume</v>
      </c>
      <c r="AI171" s="91" t="str">
        <f>CONCATENATE("Terres des ",AH171)</f>
        <v>Terres des Suzume</v>
      </c>
      <c r="AJ171" s="295" t="str">
        <f t="shared" si="2"/>
        <v/>
      </c>
    </row>
    <row r="172" spans="14:36" x14ac:dyDescent="0.25">
      <c r="N172" s="197" t="s">
        <v>4468</v>
      </c>
      <c r="O172" t="s">
        <v>1258</v>
      </c>
      <c r="AG172" s="294" t="s">
        <v>339</v>
      </c>
      <c r="AH172" s="91" t="str">
        <f>VLOOKUP(AG172,Familles!B:D,3,FALSE)</f>
        <v>Suzume</v>
      </c>
      <c r="AI172" s="91" t="str">
        <f>IF(Contexte_jeu&lt;&gt;"L'Empire Stellaire d'Emeraude","","Jikoju's Breath")</f>
        <v/>
      </c>
      <c r="AJ172" s="295" t="str">
        <f t="shared" si="2"/>
        <v/>
      </c>
    </row>
    <row r="173" spans="14:36" x14ac:dyDescent="0.25">
      <c r="N173" s="197" t="s">
        <v>3299</v>
      </c>
      <c r="O173" t="s">
        <v>1258</v>
      </c>
      <c r="AG173" s="294" t="s">
        <v>6775</v>
      </c>
      <c r="AH173" s="91" t="str">
        <f>VLOOKUP(AG173,Familles!B:D,3,FALSE)</f>
        <v>Konpaku</v>
      </c>
      <c r="AI173" s="91" t="str">
        <f>CONCATENATE("Terres des ",AH173)</f>
        <v>Terres des Konpaku</v>
      </c>
      <c r="AJ173" s="295" t="str">
        <f t="shared" si="2"/>
        <v/>
      </c>
    </row>
    <row r="174" spans="14:36" x14ac:dyDescent="0.25">
      <c r="N174" s="197" t="s">
        <v>7693</v>
      </c>
      <c r="O174" t="s">
        <v>1258</v>
      </c>
      <c r="AG174" s="294" t="s">
        <v>320</v>
      </c>
      <c r="AH174" s="91" t="str">
        <f>VLOOKUP(AG174,Familles!B:D,3,FALSE)</f>
        <v>Kuma</v>
      </c>
      <c r="AI174" s="91" t="str">
        <f>CONCATENATE("Terres des ",AH174)</f>
        <v>Terres des Kuma</v>
      </c>
      <c r="AJ174" s="295" t="str">
        <f t="shared" si="2"/>
        <v/>
      </c>
    </row>
    <row r="175" spans="14:36" x14ac:dyDescent="0.25">
      <c r="N175" s="197" t="s">
        <v>1313</v>
      </c>
      <c r="O175" t="s">
        <v>3300</v>
      </c>
      <c r="AG175" s="294" t="s">
        <v>320</v>
      </c>
      <c r="AH175" s="91" t="str">
        <f>VLOOKUP(AG175,Familles!B:D,3,FALSE)</f>
        <v>Kuma</v>
      </c>
      <c r="AI175" s="91" t="str">
        <f>IF(Contexte_jeu&lt;&gt;"L'Empire Stellaire d'Emeraude","","Osano-Wo Reach")</f>
        <v/>
      </c>
      <c r="AJ175" s="295" t="str">
        <f t="shared" si="2"/>
        <v/>
      </c>
    </row>
    <row r="176" spans="14:36" x14ac:dyDescent="0.25">
      <c r="N176" s="197" t="s">
        <v>3295</v>
      </c>
      <c r="O176" t="s">
        <v>1205</v>
      </c>
      <c r="AG176" s="294" t="s">
        <v>7231</v>
      </c>
      <c r="AH176" s="91" t="str">
        <f>VLOOKUP(AG176,Familles!B:D,3,FALSE)</f>
        <v>Xiongmao</v>
      </c>
      <c r="AI176" s="91" t="str">
        <f>CONCATENATE("Terres des ",AH176)</f>
        <v>Terres des Xiongmao</v>
      </c>
      <c r="AJ176" s="295" t="str">
        <f t="shared" si="2"/>
        <v/>
      </c>
    </row>
    <row r="177" spans="14:36" x14ac:dyDescent="0.25">
      <c r="N177" s="197" t="s">
        <v>114</v>
      </c>
      <c r="O177" t="s">
        <v>1205</v>
      </c>
      <c r="AG177" s="294" t="s">
        <v>6806</v>
      </c>
      <c r="AH177" s="91" t="str">
        <f>VLOOKUP(AG177,Familles!B:D,3,FALSE)</f>
        <v>Kujaku</v>
      </c>
      <c r="AI177" s="91" t="str">
        <f>CONCATENATE("Terres des ",AH177)</f>
        <v>Terres des Kujaku</v>
      </c>
      <c r="AJ177" s="295" t="str">
        <f t="shared" si="2"/>
        <v/>
      </c>
    </row>
    <row r="178" spans="14:36" x14ac:dyDescent="0.25">
      <c r="N178" s="197" t="s">
        <v>3394</v>
      </c>
      <c r="O178" t="s">
        <v>1258</v>
      </c>
      <c r="AG178" s="294" t="s">
        <v>6806</v>
      </c>
      <c r="AH178" s="91" t="str">
        <f>VLOOKUP(AG178,Familles!B:D,3,FALSE)</f>
        <v>Kujaku</v>
      </c>
      <c r="AI178" s="91" t="str">
        <f>IF(Contexte_jeu&lt;&gt;"L'Empire Stellaire d'Emeraude","","Rokugan Prime")</f>
        <v/>
      </c>
      <c r="AJ178" s="295" t="str">
        <f t="shared" si="2"/>
        <v/>
      </c>
    </row>
    <row r="179" spans="14:36" x14ac:dyDescent="0.25">
      <c r="N179" s="196" t="s">
        <v>7406</v>
      </c>
      <c r="O179" t="s">
        <v>1249</v>
      </c>
      <c r="AG179" s="294" t="s">
        <v>6755</v>
      </c>
      <c r="AH179" s="91" t="str">
        <f>VLOOKUP(AG179,Familles!B:D,3,FALSE)</f>
        <v>Ageha</v>
      </c>
      <c r="AI179" s="91" t="str">
        <f>CONCATENATE("Terres des ",AH179)</f>
        <v>Terres des Ageha</v>
      </c>
      <c r="AJ179" s="295" t="str">
        <f t="shared" si="2"/>
        <v/>
      </c>
    </row>
    <row r="180" spans="14:36" x14ac:dyDescent="0.25">
      <c r="N180" s="196" t="s">
        <v>7405</v>
      </c>
      <c r="O180" t="s">
        <v>1249</v>
      </c>
      <c r="AG180" s="294" t="s">
        <v>177</v>
      </c>
      <c r="AH180" s="91" t="s">
        <v>7880</v>
      </c>
      <c r="AI180" s="91" t="s">
        <v>7914</v>
      </c>
      <c r="AJ180" s="295" t="str">
        <f t="shared" si="2"/>
        <v/>
      </c>
    </row>
    <row r="181" spans="14:36" x14ac:dyDescent="0.25">
      <c r="N181" s="197" t="s">
        <v>3211</v>
      </c>
      <c r="O181" t="s">
        <v>1205</v>
      </c>
      <c r="AG181" s="294" t="s">
        <v>177</v>
      </c>
      <c r="AH181" s="91" t="s">
        <v>7880</v>
      </c>
      <c r="AI181" s="91" t="s">
        <v>7979</v>
      </c>
      <c r="AJ181" s="295" t="str">
        <f t="shared" si="2"/>
        <v/>
      </c>
    </row>
    <row r="182" spans="14:36" x14ac:dyDescent="0.25">
      <c r="N182" s="197" t="s">
        <v>322</v>
      </c>
      <c r="O182" t="s">
        <v>1205</v>
      </c>
      <c r="AG182" s="294" t="s">
        <v>177</v>
      </c>
      <c r="AH182" s="91" t="s">
        <v>7880</v>
      </c>
      <c r="AI182" s="91" t="s">
        <v>7980</v>
      </c>
      <c r="AJ182" s="295" t="str">
        <f t="shared" si="2"/>
        <v/>
      </c>
    </row>
    <row r="183" spans="14:36" x14ac:dyDescent="0.25">
      <c r="N183" s="197" t="s">
        <v>7427</v>
      </c>
      <c r="O183" t="s">
        <v>1205</v>
      </c>
      <c r="AG183" s="294" t="s">
        <v>177</v>
      </c>
      <c r="AH183" s="91" t="s">
        <v>7880</v>
      </c>
      <c r="AI183" s="91" t="s">
        <v>7981</v>
      </c>
      <c r="AJ183" s="295" t="str">
        <f t="shared" si="2"/>
        <v/>
      </c>
    </row>
    <row r="184" spans="14:36" x14ac:dyDescent="0.25">
      <c r="N184" s="197" t="s">
        <v>3271</v>
      </c>
      <c r="O184" t="s">
        <v>1249</v>
      </c>
      <c r="AG184" s="294" t="s">
        <v>177</v>
      </c>
      <c r="AH184" s="91" t="s">
        <v>30</v>
      </c>
      <c r="AI184" s="91" t="s">
        <v>7982</v>
      </c>
      <c r="AJ184" s="295" t="str">
        <f t="shared" si="2"/>
        <v/>
      </c>
    </row>
    <row r="185" spans="14:36" x14ac:dyDescent="0.25">
      <c r="N185" s="197" t="s">
        <v>339</v>
      </c>
      <c r="O185" t="s">
        <v>1205</v>
      </c>
      <c r="AG185" s="294" t="s">
        <v>177</v>
      </c>
      <c r="AH185" s="91" t="s">
        <v>30</v>
      </c>
      <c r="AI185" s="91" t="s">
        <v>7983</v>
      </c>
      <c r="AJ185" s="295" t="str">
        <f t="shared" si="2"/>
        <v/>
      </c>
    </row>
    <row r="186" spans="14:36" x14ac:dyDescent="0.25">
      <c r="N186" s="197" t="s">
        <v>1347</v>
      </c>
      <c r="O186" t="s">
        <v>1258</v>
      </c>
      <c r="AG186" s="294" t="s">
        <v>177</v>
      </c>
      <c r="AH186" s="91" t="s">
        <v>30</v>
      </c>
      <c r="AI186" s="91" t="s">
        <v>7984</v>
      </c>
      <c r="AJ186" s="295" t="str">
        <f t="shared" si="2"/>
        <v/>
      </c>
    </row>
    <row r="187" spans="14:36" x14ac:dyDescent="0.25">
      <c r="N187" s="197" t="s">
        <v>7428</v>
      </c>
      <c r="O187" t="s">
        <v>1205</v>
      </c>
      <c r="AG187" s="294" t="s">
        <v>177</v>
      </c>
      <c r="AH187" s="91" t="s">
        <v>30</v>
      </c>
      <c r="AI187" s="91" t="s">
        <v>7985</v>
      </c>
      <c r="AJ187" s="295" t="str">
        <f t="shared" si="2"/>
        <v/>
      </c>
    </row>
    <row r="188" spans="14:36" x14ac:dyDescent="0.25">
      <c r="N188" s="197" t="s">
        <v>4929</v>
      </c>
      <c r="O188" t="s">
        <v>1205</v>
      </c>
      <c r="AG188" s="294" t="s">
        <v>177</v>
      </c>
      <c r="AH188" s="91" t="s">
        <v>31</v>
      </c>
      <c r="AI188" s="91" t="s">
        <v>7986</v>
      </c>
      <c r="AJ188" s="295" t="str">
        <f t="shared" si="2"/>
        <v/>
      </c>
    </row>
    <row r="189" spans="14:36" x14ac:dyDescent="0.25">
      <c r="N189" s="197" t="s">
        <v>3314</v>
      </c>
      <c r="O189" t="s">
        <v>1205</v>
      </c>
      <c r="AG189" s="294" t="s">
        <v>177</v>
      </c>
      <c r="AH189" s="91" t="s">
        <v>31</v>
      </c>
      <c r="AI189" s="91" t="s">
        <v>7924</v>
      </c>
      <c r="AJ189" s="295" t="str">
        <f t="shared" si="2"/>
        <v/>
      </c>
    </row>
    <row r="190" spans="14:36" x14ac:dyDescent="0.25">
      <c r="N190" s="197" t="s">
        <v>7696</v>
      </c>
      <c r="O190" t="s">
        <v>1258</v>
      </c>
      <c r="AG190" s="294" t="s">
        <v>177</v>
      </c>
      <c r="AH190" s="91" t="s">
        <v>31</v>
      </c>
      <c r="AI190" s="91" t="s">
        <v>7987</v>
      </c>
      <c r="AJ190" s="295" t="str">
        <f t="shared" si="2"/>
        <v/>
      </c>
    </row>
    <row r="191" spans="14:36" x14ac:dyDescent="0.25">
      <c r="N191" s="197" t="s">
        <v>1308</v>
      </c>
      <c r="O191" t="s">
        <v>3300</v>
      </c>
      <c r="AG191" s="294" t="s">
        <v>177</v>
      </c>
      <c r="AH191" s="91" t="s">
        <v>31</v>
      </c>
      <c r="AI191" s="91" t="s">
        <v>7887</v>
      </c>
      <c r="AJ191" s="295" t="str">
        <f t="shared" si="2"/>
        <v/>
      </c>
    </row>
    <row r="192" spans="14:36" x14ac:dyDescent="0.25">
      <c r="N192" s="197" t="s">
        <v>1354</v>
      </c>
      <c r="O192" t="s">
        <v>1258</v>
      </c>
      <c r="AG192" s="294" t="s">
        <v>177</v>
      </c>
      <c r="AH192" s="91" t="s">
        <v>31</v>
      </c>
      <c r="AI192" s="91" t="s">
        <v>7988</v>
      </c>
      <c r="AJ192" s="295" t="str">
        <f t="shared" si="2"/>
        <v/>
      </c>
    </row>
    <row r="193" spans="14:36" x14ac:dyDescent="0.25">
      <c r="N193" s="197" t="s">
        <v>1309</v>
      </c>
      <c r="O193" t="s">
        <v>3300</v>
      </c>
      <c r="AG193" s="294" t="s">
        <v>177</v>
      </c>
      <c r="AH193" s="91" t="s">
        <v>31</v>
      </c>
      <c r="AI193" s="91" t="s">
        <v>7989</v>
      </c>
      <c r="AJ193" s="295" t="str">
        <f t="shared" si="2"/>
        <v/>
      </c>
    </row>
    <row r="194" spans="14:36" x14ac:dyDescent="0.25">
      <c r="N194" s="197" t="s">
        <v>1386</v>
      </c>
      <c r="O194" t="s">
        <v>1257</v>
      </c>
      <c r="AG194" s="294" t="s">
        <v>177</v>
      </c>
      <c r="AH194" s="91" t="s">
        <v>32</v>
      </c>
      <c r="AI194" s="91" t="s">
        <v>7990</v>
      </c>
      <c r="AJ194" s="295" t="str">
        <f t="shared" ref="AJ194:AJ233" si="3">IF(Clan=AG194,AI194,"")</f>
        <v/>
      </c>
    </row>
    <row r="195" spans="14:36" x14ac:dyDescent="0.25">
      <c r="N195" s="197" t="s">
        <v>3212</v>
      </c>
      <c r="O195" t="s">
        <v>1205</v>
      </c>
      <c r="AG195" s="294" t="s">
        <v>177</v>
      </c>
      <c r="AH195" s="91" t="s">
        <v>32</v>
      </c>
      <c r="AI195" s="91" t="s">
        <v>7991</v>
      </c>
      <c r="AJ195" s="295" t="str">
        <f t="shared" si="3"/>
        <v/>
      </c>
    </row>
    <row r="196" spans="14:36" x14ac:dyDescent="0.25">
      <c r="N196" s="197" t="s">
        <v>56</v>
      </c>
      <c r="O196" t="s">
        <v>1205</v>
      </c>
      <c r="AG196" s="294" t="s">
        <v>177</v>
      </c>
      <c r="AH196" s="91" t="s">
        <v>32</v>
      </c>
      <c r="AI196" s="91" t="s">
        <v>7992</v>
      </c>
      <c r="AJ196" s="295" t="str">
        <f t="shared" si="3"/>
        <v/>
      </c>
    </row>
    <row r="197" spans="14:36" x14ac:dyDescent="0.25">
      <c r="N197" s="197" t="s">
        <v>4930</v>
      </c>
      <c r="O197" t="s">
        <v>1205</v>
      </c>
      <c r="AG197" s="294" t="s">
        <v>177</v>
      </c>
      <c r="AH197" s="91" t="s">
        <v>32</v>
      </c>
      <c r="AI197" s="91" t="s">
        <v>7993</v>
      </c>
      <c r="AJ197" s="295" t="str">
        <f t="shared" si="3"/>
        <v/>
      </c>
    </row>
    <row r="198" spans="14:36" x14ac:dyDescent="0.25">
      <c r="N198" s="197" t="s">
        <v>1359</v>
      </c>
      <c r="O198" t="s">
        <v>1258</v>
      </c>
      <c r="AG198" s="294" t="s">
        <v>177</v>
      </c>
      <c r="AH198" s="91" t="s">
        <v>32</v>
      </c>
      <c r="AI198" s="91" t="s">
        <v>7994</v>
      </c>
      <c r="AJ198" s="295" t="str">
        <f t="shared" si="3"/>
        <v/>
      </c>
    </row>
    <row r="199" spans="14:36" x14ac:dyDescent="0.25">
      <c r="N199" s="197" t="s">
        <v>1360</v>
      </c>
      <c r="O199" t="s">
        <v>1258</v>
      </c>
      <c r="AG199" s="294" t="s">
        <v>177</v>
      </c>
      <c r="AH199" s="91"/>
      <c r="AI199" s="91" t="str">
        <f>IF(Contexte_jeu&lt;&gt;"L'Empire Stellaire d'Emeraude","","Aikune System")</f>
        <v/>
      </c>
      <c r="AJ199" s="295" t="str">
        <f t="shared" si="3"/>
        <v/>
      </c>
    </row>
    <row r="200" spans="14:36" x14ac:dyDescent="0.25">
      <c r="N200" s="197" t="s">
        <v>3294</v>
      </c>
      <c r="O200" t="s">
        <v>1258</v>
      </c>
      <c r="AG200" s="294" t="s">
        <v>177</v>
      </c>
      <c r="AH200" s="91"/>
      <c r="AI200" s="91" t="str">
        <f>IF(Contexte_jeu&lt;&gt;"L'Empire Stellaire d'Emeraude","","Osano-Wo Reach")</f>
        <v/>
      </c>
      <c r="AJ200" s="295" t="str">
        <f t="shared" si="3"/>
        <v/>
      </c>
    </row>
    <row r="201" spans="14:36" x14ac:dyDescent="0.25">
      <c r="N201" s="197" t="s">
        <v>7407</v>
      </c>
      <c r="O201" t="s">
        <v>1249</v>
      </c>
      <c r="AG201" s="294" t="s">
        <v>177</v>
      </c>
      <c r="AH201" s="91"/>
      <c r="AI201" s="91" t="str">
        <f>IF(Contexte_jeu&lt;&gt;"L'Empire Stellaire d'Emeraude","","Tadaka System")</f>
        <v/>
      </c>
      <c r="AJ201" s="295" t="str">
        <f t="shared" si="3"/>
        <v/>
      </c>
    </row>
    <row r="202" spans="14:36" x14ac:dyDescent="0.25">
      <c r="N202" s="196" t="s">
        <v>7404</v>
      </c>
      <c r="O202" t="s">
        <v>1249</v>
      </c>
      <c r="AG202" s="294" t="s">
        <v>177</v>
      </c>
      <c r="AH202" s="91"/>
      <c r="AI202" s="91" t="str">
        <f>IF(Contexte_jeu&lt;&gt;"L'Empire Stellaire d'Emeraude","","Ujimitsu")</f>
        <v/>
      </c>
      <c r="AJ202" s="295" t="str">
        <f t="shared" si="3"/>
        <v/>
      </c>
    </row>
    <row r="203" spans="14:36" x14ac:dyDescent="0.25">
      <c r="N203" s="197" t="s">
        <v>1380</v>
      </c>
      <c r="O203" t="s">
        <v>1258</v>
      </c>
      <c r="AG203" s="294" t="s">
        <v>6777</v>
      </c>
      <c r="AH203" s="91" t="str">
        <f>VLOOKUP(AG203,Familles!B:D,3,FALSE)</f>
        <v>Tako</v>
      </c>
      <c r="AI203" s="91" t="str">
        <f>CONCATENATE("Terres des ",AH203)</f>
        <v>Terres des Tako</v>
      </c>
      <c r="AJ203" s="295" t="str">
        <f t="shared" si="3"/>
        <v/>
      </c>
    </row>
    <row r="204" spans="14:36" x14ac:dyDescent="0.25">
      <c r="N204" s="197" t="s">
        <v>1346</v>
      </c>
      <c r="O204" t="s">
        <v>1258</v>
      </c>
      <c r="AG204" s="294" t="s">
        <v>6781</v>
      </c>
      <c r="AH204" s="91" t="str">
        <f>VLOOKUP(AG204,Familles!B:D,3,FALSE)</f>
        <v>Takahiro</v>
      </c>
      <c r="AI204" s="91" t="str">
        <f>CONCATENATE("Terres des ",AH204)</f>
        <v>Terres des Takahiro</v>
      </c>
      <c r="AJ204" s="295" t="str">
        <f t="shared" si="3"/>
        <v/>
      </c>
    </row>
    <row r="205" spans="14:36" x14ac:dyDescent="0.25">
      <c r="N205" s="197" t="s">
        <v>3169</v>
      </c>
      <c r="O205" t="s">
        <v>1205</v>
      </c>
      <c r="AG205" s="294" t="s">
        <v>182</v>
      </c>
      <c r="AH205" s="91" t="s">
        <v>25</v>
      </c>
      <c r="AI205" s="91" t="s">
        <v>7970</v>
      </c>
      <c r="AJ205" s="295" t="str">
        <f t="shared" si="3"/>
        <v/>
      </c>
    </row>
    <row r="206" spans="14:36" x14ac:dyDescent="0.25">
      <c r="N206" s="197" t="s">
        <v>1314</v>
      </c>
      <c r="O206" t="s">
        <v>3300</v>
      </c>
      <c r="AG206" s="294" t="s">
        <v>6799</v>
      </c>
      <c r="AH206" s="91" t="str">
        <f>VLOOKUP(AG206,Familles!B:D,3,FALSE)</f>
        <v>Jirozame</v>
      </c>
      <c r="AI206" s="91" t="str">
        <f>CONCATENATE("Terres des ",AH206)</f>
        <v>Terres des Jirozame</v>
      </c>
      <c r="AJ206" s="295" t="str">
        <f t="shared" si="3"/>
        <v/>
      </c>
    </row>
    <row r="207" spans="14:36" x14ac:dyDescent="0.25">
      <c r="N207" s="197" t="s">
        <v>3275</v>
      </c>
      <c r="O207" t="s">
        <v>1205</v>
      </c>
      <c r="AG207" s="294" t="s">
        <v>6799</v>
      </c>
      <c r="AH207" s="91" t="str">
        <f>VLOOKUP(AG207,Familles!B:D,3,FALSE)</f>
        <v>Jirozame</v>
      </c>
      <c r="AI207" s="91" t="str">
        <f>IF(Contexte_jeu&lt;&gt;"L'Empire Stellaire d'Emeraude","","Lost Tengoku")</f>
        <v/>
      </c>
      <c r="AJ207" s="295" t="str">
        <f t="shared" si="3"/>
        <v/>
      </c>
    </row>
    <row r="208" spans="14:36" x14ac:dyDescent="0.25">
      <c r="N208" s="197" t="s">
        <v>3177</v>
      </c>
      <c r="O208" t="s">
        <v>1249</v>
      </c>
      <c r="AG208" s="294" t="s">
        <v>7299</v>
      </c>
      <c r="AH208" s="91" t="str">
        <f>VLOOKUP(AG208,Familles!B:D,3,FALSE)</f>
        <v>Shiono</v>
      </c>
      <c r="AI208" s="91" t="str">
        <f>CONCATENATE("Terres des ",AH208)</f>
        <v>Terres des Shiono</v>
      </c>
      <c r="AJ208" s="295" t="str">
        <f t="shared" si="3"/>
        <v/>
      </c>
    </row>
    <row r="209" spans="14:36" x14ac:dyDescent="0.25">
      <c r="N209" s="197" t="s">
        <v>3170</v>
      </c>
      <c r="O209" t="s">
        <v>1205</v>
      </c>
      <c r="AG209" s="294" t="s">
        <v>6801</v>
      </c>
      <c r="AH209" s="91" t="str">
        <f>VLOOKUP(AG209,Familles!B:D,3,FALSE)</f>
        <v>Hitokage</v>
      </c>
      <c r="AI209" s="91" t="str">
        <f>CONCATENATE("Terres des ",AH209)</f>
        <v>Terres des Hitokage</v>
      </c>
      <c r="AJ209" s="295" t="str">
        <f t="shared" si="3"/>
        <v/>
      </c>
    </row>
    <row r="210" spans="14:36" x14ac:dyDescent="0.25">
      <c r="N210" s="197" t="s">
        <v>1361</v>
      </c>
      <c r="O210" t="s">
        <v>1258</v>
      </c>
      <c r="AG210" s="294" t="s">
        <v>336</v>
      </c>
      <c r="AH210" s="91" t="str">
        <f>VLOOKUP(AG210,Familles!B:D,3,FALSE)</f>
        <v>Heichi</v>
      </c>
      <c r="AI210" s="91" t="str">
        <f>CONCATENATE("Terres des ",AH210)</f>
        <v>Terres des Heichi</v>
      </c>
      <c r="AJ210" s="295" t="str">
        <f t="shared" si="3"/>
        <v/>
      </c>
    </row>
    <row r="211" spans="14:36" x14ac:dyDescent="0.25">
      <c r="N211" s="197" t="s">
        <v>3288</v>
      </c>
      <c r="O211" t="s">
        <v>1205</v>
      </c>
      <c r="AG211" s="294" t="s">
        <v>6785</v>
      </c>
      <c r="AH211" s="91" t="str">
        <f>VLOOKUP(AG211,Familles!B:D,3,FALSE)</f>
        <v>Samon</v>
      </c>
      <c r="AI211" s="91" t="str">
        <f>CONCATENATE("Terres des ",AH211)</f>
        <v>Terres des Samon</v>
      </c>
      <c r="AJ211" s="295" t="str">
        <f t="shared" si="3"/>
        <v/>
      </c>
    </row>
    <row r="212" spans="14:36" x14ac:dyDescent="0.25">
      <c r="N212" s="197" t="s">
        <v>3172</v>
      </c>
      <c r="O212" t="s">
        <v>1205</v>
      </c>
      <c r="AG212" s="294" t="s">
        <v>6768</v>
      </c>
      <c r="AH212" s="91" t="str">
        <f>VLOOKUP(AG212,Familles!B:D,3,FALSE)</f>
        <v>Inago</v>
      </c>
      <c r="AI212" s="91" t="str">
        <f>CONCATENATE("Terres des ",AH212)</f>
        <v>Terres des Inago</v>
      </c>
      <c r="AJ212" s="295" t="str">
        <f t="shared" si="3"/>
        <v/>
      </c>
    </row>
    <row r="213" spans="14:36" x14ac:dyDescent="0.25">
      <c r="N213" s="197" t="s">
        <v>3178</v>
      </c>
      <c r="O213" t="s">
        <v>1249</v>
      </c>
      <c r="AG213" s="294" t="s">
        <v>6810</v>
      </c>
      <c r="AH213" s="91"/>
      <c r="AI213" s="91" t="str">
        <f>IF(Contexte_jeu&lt;&gt;"L'Empire Stellaire d'Emeraude","","Mekhem's Cloak")</f>
        <v/>
      </c>
      <c r="AJ213" s="295" t="str">
        <f t="shared" si="3"/>
        <v/>
      </c>
    </row>
    <row r="214" spans="14:36" x14ac:dyDescent="0.25">
      <c r="N214" s="197" t="s">
        <v>177</v>
      </c>
      <c r="O214" t="s">
        <v>1205</v>
      </c>
      <c r="AG214" s="294" t="s">
        <v>33</v>
      </c>
      <c r="AH214" s="91" t="s">
        <v>34</v>
      </c>
      <c r="AI214" s="91" t="s">
        <v>7995</v>
      </c>
      <c r="AJ214" s="295" t="str">
        <f t="shared" si="3"/>
        <v/>
      </c>
    </row>
    <row r="215" spans="14:36" x14ac:dyDescent="0.25">
      <c r="N215" s="197" t="s">
        <v>1296</v>
      </c>
      <c r="O215" t="s">
        <v>1249</v>
      </c>
      <c r="AG215" s="294" t="s">
        <v>33</v>
      </c>
      <c r="AH215" s="91" t="s">
        <v>34</v>
      </c>
      <c r="AI215" s="91" t="s">
        <v>7996</v>
      </c>
      <c r="AJ215" s="295" t="str">
        <f t="shared" si="3"/>
        <v/>
      </c>
    </row>
    <row r="216" spans="14:36" x14ac:dyDescent="0.25">
      <c r="N216" s="197" t="s">
        <v>2829</v>
      </c>
      <c r="O216" s="196" t="s">
        <v>1210</v>
      </c>
      <c r="AG216" s="294" t="s">
        <v>33</v>
      </c>
      <c r="AH216" s="91" t="s">
        <v>34</v>
      </c>
      <c r="AI216" s="91" t="s">
        <v>7997</v>
      </c>
      <c r="AJ216" s="295" t="str">
        <f t="shared" si="3"/>
        <v/>
      </c>
    </row>
    <row r="217" spans="14:36" x14ac:dyDescent="0.25">
      <c r="N217" s="197" t="s">
        <v>3304</v>
      </c>
      <c r="O217" s="196" t="s">
        <v>1210</v>
      </c>
      <c r="AG217" s="294" t="s">
        <v>33</v>
      </c>
      <c r="AH217" s="91" t="s">
        <v>34</v>
      </c>
      <c r="AI217" s="91" t="s">
        <v>7998</v>
      </c>
      <c r="AJ217" s="295" t="str">
        <f t="shared" si="3"/>
        <v/>
      </c>
    </row>
    <row r="218" spans="14:36" x14ac:dyDescent="0.25">
      <c r="N218" s="197" t="s">
        <v>3179</v>
      </c>
      <c r="O218" s="196" t="s">
        <v>1249</v>
      </c>
      <c r="AG218" s="294" t="s">
        <v>33</v>
      </c>
      <c r="AH218" s="91" t="s">
        <v>35</v>
      </c>
      <c r="AI218" s="91" t="s">
        <v>7999</v>
      </c>
      <c r="AJ218" s="295" t="str">
        <f t="shared" si="3"/>
        <v/>
      </c>
    </row>
    <row r="219" spans="14:36" x14ac:dyDescent="0.25">
      <c r="N219" s="197" t="s">
        <v>1370</v>
      </c>
      <c r="O219" s="196" t="s">
        <v>1258</v>
      </c>
      <c r="AG219" s="294" t="s">
        <v>33</v>
      </c>
      <c r="AH219" s="91" t="s">
        <v>35</v>
      </c>
      <c r="AI219" s="91" t="s">
        <v>8000</v>
      </c>
      <c r="AJ219" s="295" t="str">
        <f t="shared" si="3"/>
        <v/>
      </c>
    </row>
    <row r="220" spans="14:36" x14ac:dyDescent="0.25">
      <c r="N220" s="197" t="s">
        <v>3279</v>
      </c>
      <c r="O220" s="196" t="s">
        <v>1258</v>
      </c>
      <c r="AG220" s="294" t="s">
        <v>33</v>
      </c>
      <c r="AH220" s="91" t="s">
        <v>35</v>
      </c>
      <c r="AI220" s="91" t="s">
        <v>8001</v>
      </c>
      <c r="AJ220" s="295" t="str">
        <f t="shared" si="3"/>
        <v/>
      </c>
    </row>
    <row r="221" spans="14:36" x14ac:dyDescent="0.25">
      <c r="N221" s="197" t="s">
        <v>1336</v>
      </c>
      <c r="O221" s="196" t="s">
        <v>1258</v>
      </c>
      <c r="AG221" s="294" t="s">
        <v>33</v>
      </c>
      <c r="AH221" s="91" t="s">
        <v>36</v>
      </c>
      <c r="AI221" s="91" t="s">
        <v>7894</v>
      </c>
      <c r="AJ221" s="295" t="str">
        <f t="shared" si="3"/>
        <v/>
      </c>
    </row>
    <row r="222" spans="14:36" x14ac:dyDescent="0.25">
      <c r="N222" s="197" t="s">
        <v>1289</v>
      </c>
      <c r="O222" s="196" t="s">
        <v>1249</v>
      </c>
      <c r="AG222" s="294" t="s">
        <v>33</v>
      </c>
      <c r="AH222" s="91" t="s">
        <v>36</v>
      </c>
      <c r="AI222" s="91" t="s">
        <v>8002</v>
      </c>
      <c r="AJ222" s="295" t="str">
        <f t="shared" si="3"/>
        <v/>
      </c>
    </row>
    <row r="223" spans="14:36" x14ac:dyDescent="0.25">
      <c r="N223" s="196" t="s">
        <v>1289</v>
      </c>
      <c r="O223" s="196" t="s">
        <v>1249</v>
      </c>
      <c r="AG223" s="294" t="s">
        <v>33</v>
      </c>
      <c r="AH223" s="91" t="s">
        <v>36</v>
      </c>
      <c r="AI223" s="91" t="s">
        <v>8003</v>
      </c>
      <c r="AJ223" s="295" t="str">
        <f t="shared" si="3"/>
        <v/>
      </c>
    </row>
    <row r="224" spans="14:36" x14ac:dyDescent="0.25">
      <c r="N224" s="197" t="s">
        <v>1327</v>
      </c>
      <c r="O224" s="196" t="s">
        <v>1205</v>
      </c>
      <c r="AG224" s="294" t="s">
        <v>33</v>
      </c>
      <c r="AH224" s="91" t="s">
        <v>37</v>
      </c>
      <c r="AI224" s="91" t="s">
        <v>8004</v>
      </c>
      <c r="AJ224" s="295" t="str">
        <f t="shared" si="3"/>
        <v/>
      </c>
    </row>
    <row r="225" spans="14:36" x14ac:dyDescent="0.25">
      <c r="N225" s="197" t="s">
        <v>5986</v>
      </c>
      <c r="O225" s="196" t="s">
        <v>328</v>
      </c>
      <c r="AG225" s="294" t="s">
        <v>33</v>
      </c>
      <c r="AH225" s="91" t="s">
        <v>37</v>
      </c>
      <c r="AI225" s="91" t="s">
        <v>8005</v>
      </c>
      <c r="AJ225" s="295" t="str">
        <f t="shared" si="3"/>
        <v/>
      </c>
    </row>
    <row r="226" spans="14:36" x14ac:dyDescent="0.25">
      <c r="N226" s="197" t="s">
        <v>5985</v>
      </c>
      <c r="O226" s="196" t="s">
        <v>328</v>
      </c>
      <c r="AG226" s="294" t="s">
        <v>33</v>
      </c>
      <c r="AH226" s="91"/>
      <c r="AI226" s="91" t="str">
        <f>IF(Contexte_jeu&lt;&gt;"L'Empire Stellaire d'Emeraude","","Feathers of the Space")</f>
        <v/>
      </c>
      <c r="AJ226" s="295" t="str">
        <f t="shared" si="3"/>
        <v/>
      </c>
    </row>
    <row r="227" spans="14:36" x14ac:dyDescent="0.25">
      <c r="N227" s="197" t="s">
        <v>182</v>
      </c>
      <c r="O227" s="196" t="s">
        <v>1205</v>
      </c>
      <c r="AG227" s="294" t="s">
        <v>390</v>
      </c>
      <c r="AH227" s="91" t="str">
        <f>VLOOKUP(AG227,Familles!B:D,3,FALSE)</f>
        <v>Chuda</v>
      </c>
      <c r="AI227" s="91" t="str">
        <f>CONCATENATE("Terres des ",AH227)</f>
        <v>Terres des Chuda</v>
      </c>
      <c r="AJ227" s="295" t="str">
        <f t="shared" si="3"/>
        <v/>
      </c>
    </row>
    <row r="228" spans="14:36" x14ac:dyDescent="0.25">
      <c r="N228" s="197" t="s">
        <v>5984</v>
      </c>
      <c r="O228" s="196" t="s">
        <v>1205</v>
      </c>
      <c r="AG228" s="294" t="s">
        <v>185</v>
      </c>
      <c r="AH228" s="91" t="str">
        <f>VLOOKUP(AG228,Familles!B:D,3,FALSE)</f>
        <v>Fuzake</v>
      </c>
      <c r="AI228" s="91" t="str">
        <f>CONCATENATE("Terres des ",AH228)</f>
        <v>Terres des Fuzake</v>
      </c>
      <c r="AJ228" s="295" t="str">
        <f t="shared" si="3"/>
        <v/>
      </c>
    </row>
    <row r="229" spans="14:36" x14ac:dyDescent="0.25">
      <c r="N229" s="197" t="s">
        <v>3272</v>
      </c>
      <c r="O229" s="196" t="s">
        <v>1249</v>
      </c>
      <c r="AG229" s="294" t="s">
        <v>7287</v>
      </c>
      <c r="AH229" s="91" t="str">
        <f>VLOOKUP(AG229,Familles!B:D,3,FALSE)</f>
        <v>Satsuei</v>
      </c>
      <c r="AI229" s="91" t="str">
        <f>CONCATENATE("Terres des ",AH229)</f>
        <v>Terres des Satsuei</v>
      </c>
      <c r="AJ229" s="295" t="str">
        <f t="shared" si="3"/>
        <v/>
      </c>
    </row>
    <row r="230" spans="14:36" x14ac:dyDescent="0.25">
      <c r="N230" s="197" t="s">
        <v>7699</v>
      </c>
      <c r="O230" s="196" t="s">
        <v>1258</v>
      </c>
      <c r="AG230" s="294" t="s">
        <v>6804</v>
      </c>
      <c r="AH230" s="91" t="str">
        <f>VLOOKUP(AG230,Familles!B:D,3,FALSE)</f>
        <v>Tanuki</v>
      </c>
      <c r="AI230" s="91" t="str">
        <f>CONCATENATE("Terres des ",AH230)</f>
        <v>Terres des Tanuki</v>
      </c>
      <c r="AJ230" s="295" t="str">
        <f t="shared" si="3"/>
        <v/>
      </c>
    </row>
    <row r="231" spans="14:36" x14ac:dyDescent="0.25">
      <c r="N231" s="197" t="s">
        <v>1373</v>
      </c>
      <c r="O231" s="196" t="s">
        <v>1258</v>
      </c>
      <c r="AG231" s="294" t="s">
        <v>393</v>
      </c>
      <c r="AH231" s="91" t="str">
        <f>VLOOKUP(AG231,Familles!B:D,3,FALSE)</f>
        <v>Yotsu</v>
      </c>
      <c r="AI231" s="91" t="str">
        <f>CONCATENATE("Terres des ",AH231)</f>
        <v>Terres des Yotsu</v>
      </c>
      <c r="AJ231" s="295" t="str">
        <f t="shared" si="3"/>
        <v/>
      </c>
    </row>
    <row r="232" spans="14:36" x14ac:dyDescent="0.25">
      <c r="N232" s="197" t="s">
        <v>116</v>
      </c>
      <c r="O232" s="196" t="s">
        <v>1205</v>
      </c>
      <c r="AG232" s="294" t="s">
        <v>393</v>
      </c>
      <c r="AH232" s="91" t="str">
        <f>VLOOKUP(AG232,Familles!B:D,3,FALSE)</f>
        <v>Yotsu</v>
      </c>
      <c r="AI232" s="91" t="str">
        <f>IF(Contexte_jeu&lt;&gt;"L'Empire Stellaire d'Emeraude","","Rokugan Prime")</f>
        <v/>
      </c>
      <c r="AJ232" s="295" t="str">
        <f t="shared" si="3"/>
        <v/>
      </c>
    </row>
    <row r="233" spans="14:36" x14ac:dyDescent="0.25">
      <c r="N233" s="197" t="s">
        <v>3266</v>
      </c>
      <c r="O233" s="196" t="s">
        <v>1258</v>
      </c>
      <c r="AG233" s="294" t="s">
        <v>340</v>
      </c>
      <c r="AH233" s="91" t="str">
        <f>VLOOKUP(AG233,Familles!B:D,3,FALSE)</f>
        <v>Kasuga</v>
      </c>
      <c r="AI233" s="91" t="str">
        <f>CONCATENATE("Terres des ",AH233)</f>
        <v>Terres des Kasuga</v>
      </c>
      <c r="AJ233" s="295" t="str">
        <f t="shared" si="3"/>
        <v/>
      </c>
    </row>
    <row r="234" spans="14:36" x14ac:dyDescent="0.25">
      <c r="N234" s="197" t="s">
        <v>1381</v>
      </c>
      <c r="O234" s="196" t="s">
        <v>1258</v>
      </c>
      <c r="AH234" s="518"/>
      <c r="AI234" s="91" t="s">
        <v>2062</v>
      </c>
      <c r="AJ234" s="295" t="s">
        <v>2062</v>
      </c>
    </row>
    <row r="235" spans="14:36" x14ac:dyDescent="0.25">
      <c r="N235" s="197" t="s">
        <v>336</v>
      </c>
      <c r="O235" s="196" t="s">
        <v>1205</v>
      </c>
      <c r="AH235" s="518"/>
      <c r="AI235" s="91" t="s">
        <v>310</v>
      </c>
      <c r="AJ235" s="295" t="s">
        <v>310</v>
      </c>
    </row>
    <row r="236" spans="14:36" x14ac:dyDescent="0.25">
      <c r="N236" s="197" t="s">
        <v>1350</v>
      </c>
      <c r="O236" s="196" t="s">
        <v>1931</v>
      </c>
      <c r="AH236" s="91"/>
      <c r="AI236" s="91" t="s">
        <v>7884</v>
      </c>
      <c r="AJ236" s="295" t="s">
        <v>7884</v>
      </c>
    </row>
    <row r="237" spans="14:36" x14ac:dyDescent="0.25">
      <c r="N237" s="197" t="s">
        <v>1310</v>
      </c>
      <c r="O237" s="196" t="s">
        <v>3300</v>
      </c>
      <c r="AH237" s="518"/>
      <c r="AI237" s="91" t="s">
        <v>7885</v>
      </c>
      <c r="AJ237" s="295" t="s">
        <v>7885</v>
      </c>
    </row>
    <row r="238" spans="14:36" x14ac:dyDescent="0.25">
      <c r="N238" s="197" t="s">
        <v>1345</v>
      </c>
      <c r="O238" s="196" t="s">
        <v>1258</v>
      </c>
      <c r="AH238" s="91"/>
      <c r="AI238" s="91" t="s">
        <v>7886</v>
      </c>
      <c r="AJ238" s="295" t="s">
        <v>7886</v>
      </c>
    </row>
    <row r="239" spans="14:36" x14ac:dyDescent="0.25">
      <c r="N239" s="196" t="s">
        <v>7410</v>
      </c>
      <c r="O239" s="196" t="s">
        <v>1257</v>
      </c>
      <c r="AH239" s="91"/>
      <c r="AI239" s="91" t="str">
        <f>IF(Contexte_jeu&lt;&gt;"L'Empire Stellaire d'Emeraude","","World of Dreams")</f>
        <v/>
      </c>
      <c r="AJ239" s="295" t="str">
        <f>IF(Contexte_jeu&lt;&gt;"L'Empire Stellaire d'Emeraude","","World of Dreams")</f>
        <v/>
      </c>
    </row>
    <row r="240" spans="14:36" x14ac:dyDescent="0.25">
      <c r="N240" s="197" t="s">
        <v>33</v>
      </c>
      <c r="O240" s="196" t="s">
        <v>1205</v>
      </c>
      <c r="AH240" s="91"/>
      <c r="AI240" s="91" t="str">
        <f>IF(Contexte_jeu&lt;&gt;"L'Empire Stellaire d'Emeraude","","Red Fields")</f>
        <v/>
      </c>
      <c r="AJ240" s="295" t="str">
        <f>IF(Contexte_jeu&lt;&gt;"L'Empire Stellaire d'Emeraude","","Red Fields")</f>
        <v/>
      </c>
    </row>
    <row r="241" spans="14:36" x14ac:dyDescent="0.25">
      <c r="N241" s="197" t="s">
        <v>3296</v>
      </c>
      <c r="O241" s="196" t="s">
        <v>1249</v>
      </c>
      <c r="AH241" s="91"/>
      <c r="AI241" s="91" t="str">
        <f>IF(Contexte_jeu&lt;&gt;"L'Empire Stellaire d'Emeraude","","Neo Versailles")</f>
        <v/>
      </c>
      <c r="AJ241" s="295" t="str">
        <f>IF(Contexte_jeu&lt;&gt;"L'Empire Stellaire d'Emeraude","","Neo Versailles")</f>
        <v/>
      </c>
    </row>
    <row r="242" spans="14:36" x14ac:dyDescent="0.25">
      <c r="N242" s="197" t="s">
        <v>1333</v>
      </c>
      <c r="O242" s="196" t="s">
        <v>1249</v>
      </c>
      <c r="AG242" s="519"/>
      <c r="AH242" s="297"/>
      <c r="AI242" s="297" t="str">
        <f>IF(Contexte_jeu&lt;&gt;"L'Empire Stellaire d'Emeraude","","Moon of the Happy Frog")</f>
        <v/>
      </c>
      <c r="AJ242" s="298" t="str">
        <f>IF(Contexte_jeu&lt;&gt;"L'Empire Stellaire d'Emeraude","","Neo Versailles")</f>
        <v/>
      </c>
    </row>
    <row r="243" spans="14:36" x14ac:dyDescent="0.25">
      <c r="N243" s="197" t="s">
        <v>5990</v>
      </c>
      <c r="O243" s="196" t="s">
        <v>1210</v>
      </c>
    </row>
    <row r="244" spans="14:36" x14ac:dyDescent="0.25">
      <c r="N244" s="197" t="s">
        <v>390</v>
      </c>
      <c r="O244" s="196" t="s">
        <v>1205</v>
      </c>
    </row>
    <row r="245" spans="14:36" x14ac:dyDescent="0.25">
      <c r="N245" s="197" t="s">
        <v>4475</v>
      </c>
      <c r="O245" s="196" t="s">
        <v>1258</v>
      </c>
    </row>
    <row r="246" spans="14:36" x14ac:dyDescent="0.25">
      <c r="N246" s="197" t="s">
        <v>7694</v>
      </c>
      <c r="O246" s="196" t="s">
        <v>1258</v>
      </c>
    </row>
    <row r="247" spans="14:36" x14ac:dyDescent="0.25">
      <c r="N247" s="197" t="s">
        <v>3269</v>
      </c>
      <c r="O247" s="196" t="s">
        <v>1205</v>
      </c>
    </row>
    <row r="248" spans="14:36" x14ac:dyDescent="0.25">
      <c r="N248" s="197" t="s">
        <v>3174</v>
      </c>
      <c r="O248" s="196" t="s">
        <v>1205</v>
      </c>
    </row>
    <row r="249" spans="14:36" x14ac:dyDescent="0.25">
      <c r="N249" s="197" t="s">
        <v>3213</v>
      </c>
      <c r="O249" s="196" t="s">
        <v>1205</v>
      </c>
    </row>
    <row r="250" spans="14:36" x14ac:dyDescent="0.25">
      <c r="N250" s="197" t="s">
        <v>1348</v>
      </c>
      <c r="O250" s="196" t="s">
        <v>1931</v>
      </c>
    </row>
    <row r="251" spans="14:36" x14ac:dyDescent="0.25">
      <c r="N251" s="197" t="s">
        <v>1325</v>
      </c>
      <c r="O251" s="196" t="s">
        <v>1205</v>
      </c>
    </row>
    <row r="252" spans="14:36" x14ac:dyDescent="0.25">
      <c r="N252" s="197" t="s">
        <v>185</v>
      </c>
      <c r="O252" s="196" t="s">
        <v>1205</v>
      </c>
    </row>
    <row r="253" spans="14:36" x14ac:dyDescent="0.25">
      <c r="N253" s="197" t="s">
        <v>1311</v>
      </c>
      <c r="O253" s="196" t="s">
        <v>3300</v>
      </c>
    </row>
    <row r="254" spans="14:36" x14ac:dyDescent="0.25">
      <c r="N254" s="197" t="s">
        <v>4931</v>
      </c>
      <c r="O254" s="196" t="s">
        <v>1205</v>
      </c>
    </row>
    <row r="255" spans="14:36" x14ac:dyDescent="0.25">
      <c r="N255" s="197" t="s">
        <v>1376</v>
      </c>
      <c r="O255" s="196" t="s">
        <v>1210</v>
      </c>
    </row>
    <row r="256" spans="14:36" x14ac:dyDescent="0.25">
      <c r="N256" s="197" t="s">
        <v>3267</v>
      </c>
      <c r="O256" s="196" t="s">
        <v>1258</v>
      </c>
    </row>
    <row r="257" spans="14:17" x14ac:dyDescent="0.25">
      <c r="N257" s="197" t="s">
        <v>3319</v>
      </c>
      <c r="O257" s="196" t="s">
        <v>1258</v>
      </c>
    </row>
    <row r="258" spans="14:17" x14ac:dyDescent="0.25">
      <c r="N258" s="197" t="s">
        <v>6003</v>
      </c>
      <c r="O258" s="196" t="s">
        <v>1205</v>
      </c>
    </row>
    <row r="259" spans="14:17" x14ac:dyDescent="0.25">
      <c r="N259" s="197" t="s">
        <v>3215</v>
      </c>
      <c r="O259" s="196" t="s">
        <v>1258</v>
      </c>
    </row>
    <row r="260" spans="14:17" x14ac:dyDescent="0.25">
      <c r="N260" s="197" t="s">
        <v>3181</v>
      </c>
      <c r="O260" s="196" t="s">
        <v>1249</v>
      </c>
    </row>
    <row r="261" spans="14:17" x14ac:dyDescent="0.25">
      <c r="N261" s="197" t="s">
        <v>110</v>
      </c>
      <c r="O261" s="196" t="s">
        <v>1205</v>
      </c>
    </row>
    <row r="262" spans="14:17" x14ac:dyDescent="0.25">
      <c r="N262" s="197" t="s">
        <v>291</v>
      </c>
      <c r="O262" s="196" t="s">
        <v>1258</v>
      </c>
      <c r="P262" s="136"/>
      <c r="Q262" s="136"/>
    </row>
    <row r="263" spans="14:17" x14ac:dyDescent="0.25">
      <c r="N263" s="197" t="s">
        <v>1315</v>
      </c>
      <c r="O263" s="196" t="s">
        <v>3300</v>
      </c>
    </row>
    <row r="264" spans="14:17" x14ac:dyDescent="0.25">
      <c r="N264" s="197" t="s">
        <v>3214</v>
      </c>
      <c r="O264" s="196" t="s">
        <v>1205</v>
      </c>
    </row>
    <row r="265" spans="14:17" x14ac:dyDescent="0.25">
      <c r="N265" s="197" t="s">
        <v>6000</v>
      </c>
      <c r="O265" s="196" t="s">
        <v>1205</v>
      </c>
    </row>
    <row r="266" spans="14:17" x14ac:dyDescent="0.25">
      <c r="N266" s="197" t="s">
        <v>393</v>
      </c>
      <c r="O266" s="196" t="s">
        <v>1205</v>
      </c>
    </row>
    <row r="267" spans="14:17" x14ac:dyDescent="0.25">
      <c r="N267" s="197" t="s">
        <v>3280</v>
      </c>
      <c r="O267" s="196" t="s">
        <v>1258</v>
      </c>
    </row>
    <row r="268" spans="14:17" x14ac:dyDescent="0.25">
      <c r="N268" s="197" t="s">
        <v>1382</v>
      </c>
      <c r="O268" s="196" t="s">
        <v>1258</v>
      </c>
    </row>
    <row r="269" spans="14:17" x14ac:dyDescent="0.25">
      <c r="N269" s="197" t="s">
        <v>340</v>
      </c>
      <c r="O269" s="196" t="s">
        <v>1205</v>
      </c>
    </row>
    <row r="270" spans="14:17" x14ac:dyDescent="0.25">
      <c r="N270" s="197" t="s">
        <v>3311</v>
      </c>
      <c r="O270" s="196" t="s">
        <v>1249</v>
      </c>
    </row>
    <row r="271" spans="14:17" x14ac:dyDescent="0.25">
      <c r="N271" s="197" t="s">
        <v>111</v>
      </c>
      <c r="O271" s="196" t="s">
        <v>1205</v>
      </c>
    </row>
    <row r="272" spans="14:17" x14ac:dyDescent="0.25">
      <c r="N272" s="308" t="s">
        <v>5992</v>
      </c>
      <c r="O272" s="196" t="s">
        <v>1205</v>
      </c>
    </row>
    <row r="273" spans="14:15" x14ac:dyDescent="0.25">
      <c r="N273" s="197" t="s">
        <v>3281</v>
      </c>
      <c r="O273" s="196" t="s">
        <v>1258</v>
      </c>
    </row>
    <row r="274" spans="14:15" x14ac:dyDescent="0.25">
      <c r="N274" s="197" t="s">
        <v>3282</v>
      </c>
      <c r="O274" s="196" t="s">
        <v>1258</v>
      </c>
    </row>
    <row r="275" spans="14:15" x14ac:dyDescent="0.25">
      <c r="N275" s="197" t="s">
        <v>3291</v>
      </c>
      <c r="O275" s="196" t="s">
        <v>1257</v>
      </c>
    </row>
    <row r="276" spans="14:15" x14ac:dyDescent="0.25">
      <c r="N276" s="197" t="s">
        <v>1320</v>
      </c>
      <c r="O276" s="196" t="s">
        <v>1249</v>
      </c>
    </row>
    <row r="277" spans="14:15" x14ac:dyDescent="0.25">
      <c r="N277" s="197" t="s">
        <v>1349</v>
      </c>
      <c r="O277" s="196" t="s">
        <v>1931</v>
      </c>
    </row>
    <row r="278" spans="14:15" x14ac:dyDescent="0.25">
      <c r="N278" s="197" t="s">
        <v>3270</v>
      </c>
      <c r="O278" s="196" t="s">
        <v>1249</v>
      </c>
    </row>
    <row r="279" spans="14:15" x14ac:dyDescent="0.25">
      <c r="N279" s="197" t="s">
        <v>1337</v>
      </c>
      <c r="O279" s="196" t="s">
        <v>1258</v>
      </c>
    </row>
    <row r="280" spans="14:15" x14ac:dyDescent="0.25">
      <c r="N280" s="197" t="s">
        <v>1363</v>
      </c>
      <c r="O280" s="196" t="s">
        <v>1258</v>
      </c>
    </row>
    <row r="281" spans="14:15" x14ac:dyDescent="0.25">
      <c r="N281" s="197" t="s">
        <v>3308</v>
      </c>
      <c r="O281" s="196" t="s">
        <v>1258</v>
      </c>
    </row>
    <row r="282" spans="14:15" x14ac:dyDescent="0.25">
      <c r="N282" s="197" t="s">
        <v>117</v>
      </c>
      <c r="O282" s="196" t="s">
        <v>1205</v>
      </c>
    </row>
    <row r="283" spans="14:15" x14ac:dyDescent="0.25">
      <c r="N283" s="197" t="s">
        <v>3223</v>
      </c>
      <c r="O283" s="196" t="s">
        <v>1205</v>
      </c>
    </row>
    <row r="284" spans="14:15" x14ac:dyDescent="0.25">
      <c r="N284" s="197" t="s">
        <v>1357</v>
      </c>
      <c r="O284" s="196" t="s">
        <v>1931</v>
      </c>
    </row>
  </sheetData>
  <sortState xmlns:xlrd2="http://schemas.microsoft.com/office/spreadsheetml/2017/richdata2" ref="AE2:AF284">
    <sortCondition ref="AE2:AE284"/>
  </sortState>
  <pageMargins left="0.7" right="0.7" top="0.75" bottom="0.75" header="0.3" footer="0.3"/>
  <pageSetup paperSize="9" orientation="portrait" r:id="rId1"/>
  <ignoredErrors>
    <ignoredError sqref="AI232 AI207 AI178 AI175 AI172 AI170 AI143 AI92 AI24 AI21 AI19 AI14 AI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S55"/>
  <sheetViews>
    <sheetView zoomScale="85" zoomScaleNormal="85" workbookViewId="0"/>
  </sheetViews>
  <sheetFormatPr baseColWidth="10" defaultRowHeight="13.2" x14ac:dyDescent="0.25"/>
  <cols>
    <col min="1" max="1" width="0.6640625" customWidth="1"/>
    <col min="2" max="2" width="12.88671875" customWidth="1"/>
    <col min="3" max="3" width="10.33203125" style="196" customWidth="1"/>
    <col min="4" max="4" width="7.33203125" customWidth="1"/>
    <col min="5" max="5" width="4.5546875" style="12" customWidth="1"/>
    <col min="6" max="6" width="5.109375" customWidth="1"/>
    <col min="7" max="7" width="7.33203125" customWidth="1"/>
    <col min="8" max="8" width="3.33203125" customWidth="1"/>
    <col min="9" max="9" width="7.33203125" customWidth="1"/>
    <col min="10" max="10" width="7" customWidth="1"/>
    <col min="11" max="11" width="1.5546875" customWidth="1"/>
    <col min="12" max="12" width="10" customWidth="1"/>
    <col min="13" max="13" width="10" style="196" customWidth="1"/>
    <col min="14" max="14" width="8.109375" customWidth="1"/>
    <col min="15" max="15" width="5.33203125" style="95" customWidth="1"/>
    <col min="16" max="16" width="0.6640625" customWidth="1"/>
  </cols>
  <sheetData>
    <row r="1" spans="2:19" ht="3.6" customHeight="1" x14ac:dyDescent="0.25"/>
    <row r="2" spans="2:19" ht="16.2" thickBot="1" x14ac:dyDescent="0.35">
      <c r="B2" s="43" t="s">
        <v>2045</v>
      </c>
      <c r="C2" s="87"/>
    </row>
    <row r="3" spans="2:19" ht="16.2" thickTop="1" x14ac:dyDescent="0.3">
      <c r="B3" s="802" t="s">
        <v>379</v>
      </c>
      <c r="C3" s="802"/>
      <c r="D3" s="97" t="s">
        <v>105</v>
      </c>
      <c r="E3" s="97" t="s">
        <v>2046</v>
      </c>
      <c r="F3" s="100" t="s">
        <v>57</v>
      </c>
      <c r="G3" s="797" t="s">
        <v>463</v>
      </c>
      <c r="H3" s="798"/>
      <c r="I3" s="104" t="s">
        <v>1935</v>
      </c>
      <c r="J3" s="114" t="s">
        <v>2091</v>
      </c>
      <c r="K3" s="111" t="s">
        <v>1877</v>
      </c>
      <c r="L3" s="115" t="s">
        <v>2092</v>
      </c>
      <c r="M3" s="787" t="s">
        <v>0</v>
      </c>
      <c r="N3" s="789"/>
      <c r="O3" s="100" t="s">
        <v>1</v>
      </c>
    </row>
    <row r="4" spans="2:19" x14ac:dyDescent="0.25">
      <c r="B4" s="803"/>
      <c r="C4" s="804"/>
      <c r="D4" s="221" t="str">
        <f>IF(B4="","",VLOOKUP(B4,Ecoles!B:M,2,FALSE))</f>
        <v/>
      </c>
      <c r="E4" s="98" t="str">
        <f>IF(B4="","",VLOOKUP(B4,Ecoles!B:M,8,FALSE))</f>
        <v/>
      </c>
      <c r="F4" s="116" t="str">
        <f>IF(B4="","",VLOOKUP(B4,Ecoles!B:M,7,FALSE))</f>
        <v/>
      </c>
      <c r="G4" s="799" t="str">
        <f>IF(B4="","",VLOOKUP(B4,Ecoles!B:M,3,FALSE))</f>
        <v/>
      </c>
      <c r="H4" s="800"/>
      <c r="I4" s="98" t="str">
        <f>IF(B4="","",VLOOKUP(B4,Ecoles!B:M,4,FALSE))</f>
        <v/>
      </c>
      <c r="J4" s="112" t="str">
        <f>IF(B4="","",VLOOKUP(B4,Ecoles!B:M,5,FALSE))</f>
        <v/>
      </c>
      <c r="K4" s="110" t="s">
        <v>1877</v>
      </c>
      <c r="L4" s="113" t="str">
        <f>IF(B4="","",VLOOKUP(B4,Ecoles!B:M,6,FALSE))</f>
        <v/>
      </c>
      <c r="M4" s="807" t="str">
        <f>IF(B4="","",VLOOKUP(B4,Ecoles!B:M,9,FALSE))</f>
        <v/>
      </c>
      <c r="N4" s="808"/>
      <c r="O4" s="109" t="str">
        <f>IF(B4="","",VLOOKUP(B4,Ecoles!B:M,10,FALSE))</f>
        <v/>
      </c>
    </row>
    <row r="5" spans="2:19" x14ac:dyDescent="0.25">
      <c r="B5" s="803"/>
      <c r="C5" s="804"/>
      <c r="D5" s="221" t="str">
        <f>IF(B5="","",VLOOKUP(B5,Ecoles!B:M,2,FALSE))</f>
        <v/>
      </c>
      <c r="E5" s="98" t="str">
        <f>IF(B5="","",VLOOKUP(B5,Ecoles!B:M,8,FALSE))</f>
        <v/>
      </c>
      <c r="F5" s="116" t="str">
        <f>IF(B5="","",VLOOKUP(B5,Ecoles!B:M,7,FALSE))</f>
        <v/>
      </c>
      <c r="G5" s="799" t="str">
        <f>IF(B5="","",VLOOKUP(B5,Ecoles!B:M,3,FALSE))</f>
        <v/>
      </c>
      <c r="H5" s="800"/>
      <c r="I5" s="98" t="str">
        <f>IF(B5="","",VLOOKUP(B5,Ecoles!B:M,4,FALSE))</f>
        <v/>
      </c>
      <c r="J5" s="112" t="str">
        <f>IF(B5="","",VLOOKUP(B5,Ecoles!B:M,5,FALSE))</f>
        <v/>
      </c>
      <c r="K5" s="110" t="s">
        <v>1877</v>
      </c>
      <c r="L5" s="113" t="str">
        <f>IF(B5="","",VLOOKUP(B5,Ecoles!B:M,6,FALSE))</f>
        <v/>
      </c>
      <c r="M5" s="807" t="str">
        <f>IF(B5="","",VLOOKUP(B5,Ecoles!B:M,9,FALSE))</f>
        <v/>
      </c>
      <c r="N5" s="808"/>
      <c r="O5" s="109" t="str">
        <f>IF(B5="","",VLOOKUP(B5,Ecoles!B:M,10,FALSE))</f>
        <v/>
      </c>
      <c r="S5" s="91"/>
    </row>
    <row r="6" spans="2:19" x14ac:dyDescent="0.25">
      <c r="B6" s="803"/>
      <c r="C6" s="804"/>
      <c r="D6" s="221" t="str">
        <f>IF(B6="","",VLOOKUP(B6,Ecoles!B:M,2,FALSE))</f>
        <v/>
      </c>
      <c r="E6" s="98" t="str">
        <f>IF(B6="","",VLOOKUP(B6,Ecoles!B:M,8,FALSE))</f>
        <v/>
      </c>
      <c r="F6" s="116" t="str">
        <f>IF(B6="","",VLOOKUP(B6,Ecoles!B:M,7,FALSE))</f>
        <v/>
      </c>
      <c r="G6" s="799" t="str">
        <f>IF(B6="","",VLOOKUP(B6,Ecoles!B:M,3,FALSE))</f>
        <v/>
      </c>
      <c r="H6" s="800"/>
      <c r="I6" s="98" t="str">
        <f>IF(B6="","",VLOOKUP(B6,Ecoles!B:M,4,FALSE))</f>
        <v/>
      </c>
      <c r="J6" s="112" t="str">
        <f>IF(B6="","",VLOOKUP(B6,Ecoles!B:M,5,FALSE))</f>
        <v/>
      </c>
      <c r="K6" s="110" t="s">
        <v>1877</v>
      </c>
      <c r="L6" s="113" t="str">
        <f>IF(B6="","",VLOOKUP(B6,Ecoles!B:M,6,FALSE))</f>
        <v/>
      </c>
      <c r="M6" s="807" t="str">
        <f>IF(B6="","",VLOOKUP(B6,Ecoles!B:M,9,FALSE))</f>
        <v/>
      </c>
      <c r="N6" s="808"/>
      <c r="O6" s="109" t="str">
        <f>IF(B6="","",VLOOKUP(B6,Ecoles!B:M,10,FALSE))</f>
        <v/>
      </c>
      <c r="S6" s="91"/>
    </row>
    <row r="7" spans="2:19" ht="3.6" customHeight="1" x14ac:dyDescent="0.25"/>
    <row r="8" spans="2:19" ht="16.2" thickBot="1" x14ac:dyDescent="0.35">
      <c r="B8" s="43" t="s">
        <v>2047</v>
      </c>
      <c r="C8" s="43"/>
      <c r="D8" s="43"/>
      <c r="E8" s="99"/>
      <c r="F8" s="87"/>
    </row>
    <row r="9" spans="2:19" ht="16.2" thickTop="1" x14ac:dyDescent="0.3">
      <c r="B9" s="805" t="s">
        <v>379</v>
      </c>
      <c r="C9" s="806"/>
      <c r="D9" s="97" t="s">
        <v>105</v>
      </c>
      <c r="E9" s="100" t="s">
        <v>462</v>
      </c>
      <c r="F9" s="100" t="s">
        <v>57</v>
      </c>
      <c r="G9" s="801" t="s">
        <v>2124</v>
      </c>
      <c r="H9" s="801"/>
      <c r="I9" s="801"/>
      <c r="J9" s="801"/>
      <c r="K9" s="801"/>
      <c r="L9" s="801"/>
      <c r="M9" s="801" t="s">
        <v>0</v>
      </c>
      <c r="N9" s="801"/>
      <c r="O9" s="100" t="s">
        <v>1</v>
      </c>
      <c r="P9" s="87"/>
    </row>
    <row r="10" spans="2:19" ht="30" customHeight="1" x14ac:dyDescent="0.25">
      <c r="B10" s="722"/>
      <c r="C10" s="724"/>
      <c r="D10" s="107" t="str">
        <f>IF(B10="","",VLOOKUP(B10,Voies!A:AZ,4,FALSE))</f>
        <v/>
      </c>
      <c r="E10" s="101" t="str">
        <f>IF(B10="","",VLOOKUP(B10,Voies!A:AY,5,FALSE))</f>
        <v/>
      </c>
      <c r="F10" s="108" t="str">
        <f>IF(B10="","",VLOOKUP(B10,Voies!A:AY,7,FALSE))</f>
        <v/>
      </c>
      <c r="G10" s="793" t="str">
        <f>IF(B10="","",VLOOKUP(B10,Voies!A:AZ,52,FALSE))</f>
        <v/>
      </c>
      <c r="H10" s="793"/>
      <c r="I10" s="793"/>
      <c r="J10" s="793"/>
      <c r="K10" s="793"/>
      <c r="L10" s="793"/>
      <c r="M10" s="809" t="str">
        <f>IF(B10="","",VLOOKUP(B10,Voies!A:AY,50,FALSE))</f>
        <v/>
      </c>
      <c r="N10" s="809"/>
      <c r="O10" s="101" t="str">
        <f>IF(B10="","",VLOOKUP(B10,Voies!A:AY,51,FALSE))</f>
        <v/>
      </c>
    </row>
    <row r="11" spans="2:19" ht="30" customHeight="1" x14ac:dyDescent="0.25">
      <c r="B11" s="722"/>
      <c r="C11" s="724"/>
      <c r="D11" s="550" t="str">
        <f>IF(B11="","",VLOOKUP(B11,Voies!A:AZ,4,FALSE))</f>
        <v/>
      </c>
      <c r="E11" s="101" t="str">
        <f>IF(B11="","",VLOOKUP(B11,Voies!A:AY,5,FALSE))</f>
        <v/>
      </c>
      <c r="F11" s="108" t="str">
        <f>IF(B11="","",VLOOKUP(B11,Voies!A:AY,7,FALSE))</f>
        <v/>
      </c>
      <c r="G11" s="793" t="str">
        <f>IF(B11="","",VLOOKUP(B11,Voies!A:AZ,52,FALSE))</f>
        <v/>
      </c>
      <c r="H11" s="793"/>
      <c r="I11" s="793"/>
      <c r="J11" s="793"/>
      <c r="K11" s="793"/>
      <c r="L11" s="793"/>
      <c r="M11" s="809" t="str">
        <f>IF(B11="","",VLOOKUP(B11,Voies!A:AY,50,FALSE))</f>
        <v/>
      </c>
      <c r="N11" s="809"/>
      <c r="O11" s="101" t="str">
        <f>IF(B11="","",VLOOKUP(B11,Voies!A:AY,51,FALSE))</f>
        <v/>
      </c>
    </row>
    <row r="12" spans="2:19" ht="30" customHeight="1" x14ac:dyDescent="0.25">
      <c r="B12" s="722"/>
      <c r="C12" s="724"/>
      <c r="D12" s="550" t="str">
        <f>IF(B12="","",VLOOKUP(B12,Voies!A:AZ,4,FALSE))</f>
        <v/>
      </c>
      <c r="E12" s="101" t="str">
        <f>IF(B12="","",VLOOKUP(B12,Voies!A:AY,5,FALSE))</f>
        <v/>
      </c>
      <c r="F12" s="108" t="str">
        <f>IF(B12="","",VLOOKUP(B12,Voies!A:AY,7,FALSE))</f>
        <v/>
      </c>
      <c r="G12" s="793" t="str">
        <f>IF(B12="","",VLOOKUP(B12,Voies!A:AZ,52,FALSE))</f>
        <v/>
      </c>
      <c r="H12" s="793"/>
      <c r="I12" s="793"/>
      <c r="J12" s="793"/>
      <c r="K12" s="793"/>
      <c r="L12" s="793"/>
      <c r="M12" s="809" t="str">
        <f>IF(B12="","",VLOOKUP(B12,Voies!A:AY,50,FALSE))</f>
        <v/>
      </c>
      <c r="N12" s="809"/>
      <c r="O12" s="101" t="str">
        <f>IF(B12="","",VLOOKUP(B12,Voies!A:AY,51,FALSE))</f>
        <v/>
      </c>
      <c r="S12" s="92"/>
    </row>
    <row r="13" spans="2:19" ht="30" customHeight="1" x14ac:dyDescent="0.25">
      <c r="B13" s="722"/>
      <c r="C13" s="724"/>
      <c r="D13" s="550" t="str">
        <f>IF(B13="","",VLOOKUP(B13,Voies!A:AZ,4,FALSE))</f>
        <v/>
      </c>
      <c r="E13" s="101" t="str">
        <f>IF(B13="","",VLOOKUP(B13,Voies!A:AY,5,FALSE))</f>
        <v/>
      </c>
      <c r="F13" s="108" t="str">
        <f>IF(B13="","",VLOOKUP(B13,Voies!A:AY,7,FALSE))</f>
        <v/>
      </c>
      <c r="G13" s="793" t="str">
        <f>IF(B13="","",VLOOKUP(B13,Voies!A:AZ,52,FALSE))</f>
        <v/>
      </c>
      <c r="H13" s="793"/>
      <c r="I13" s="793"/>
      <c r="J13" s="793"/>
      <c r="K13" s="793"/>
      <c r="L13" s="793"/>
      <c r="M13" s="809" t="str">
        <f>IF(B13="","",VLOOKUP(B13,Voies!A:AY,50,FALSE))</f>
        <v/>
      </c>
      <c r="N13" s="809"/>
      <c r="O13" s="101" t="str">
        <f>IF(B13="","",VLOOKUP(B13,Voies!A:AY,51,FALSE))</f>
        <v/>
      </c>
      <c r="S13" s="91"/>
    </row>
    <row r="14" spans="2:19" ht="30" customHeight="1" x14ac:dyDescent="0.25">
      <c r="B14" s="722"/>
      <c r="C14" s="724"/>
      <c r="D14" s="550" t="str">
        <f>IF(B14="","",VLOOKUP(B14,Voies!A:AZ,4,FALSE))</f>
        <v/>
      </c>
      <c r="E14" s="101" t="str">
        <f>IF(B14="","",VLOOKUP(B14,Voies!A:AY,5,FALSE))</f>
        <v/>
      </c>
      <c r="F14" s="108" t="str">
        <f>IF(B14="","",VLOOKUP(B14,Voies!A:AY,7,FALSE))</f>
        <v/>
      </c>
      <c r="G14" s="793" t="str">
        <f>IF(B14="","",VLOOKUP(B14,Voies!A:AZ,52,FALSE))</f>
        <v/>
      </c>
      <c r="H14" s="793"/>
      <c r="I14" s="793"/>
      <c r="J14" s="793"/>
      <c r="K14" s="793"/>
      <c r="L14" s="793"/>
      <c r="M14" s="809" t="str">
        <f>IF(B14="","",VLOOKUP(B14,Voies!A:AY,50,FALSE))</f>
        <v/>
      </c>
      <c r="N14" s="809"/>
      <c r="O14" s="101" t="str">
        <f>IF(B14="","",VLOOKUP(B14,Voies!A:AY,51,FALSE))</f>
        <v/>
      </c>
      <c r="S14" s="91"/>
    </row>
    <row r="15" spans="2:19" ht="30" customHeight="1" x14ac:dyDescent="0.25">
      <c r="B15" s="722"/>
      <c r="C15" s="724"/>
      <c r="D15" s="550" t="str">
        <f>IF(B15="","",VLOOKUP(B15,Voies!A:AZ,4,FALSE))</f>
        <v/>
      </c>
      <c r="E15" s="101" t="str">
        <f>IF(B15="","",VLOOKUP(B15,Voies!A:AY,5,FALSE))</f>
        <v/>
      </c>
      <c r="F15" s="108" t="str">
        <f>IF(B15="","",VLOOKUP(B15,Voies!A:AY,7,FALSE))</f>
        <v/>
      </c>
      <c r="G15" s="793" t="str">
        <f>IF(B15="","",VLOOKUP(B15,Voies!A:AZ,52,FALSE))</f>
        <v/>
      </c>
      <c r="H15" s="793"/>
      <c r="I15" s="793"/>
      <c r="J15" s="793"/>
      <c r="K15" s="793"/>
      <c r="L15" s="793"/>
      <c r="M15" s="809" t="str">
        <f>IF(B15="","",VLOOKUP(B15,Voies!A:AY,50,FALSE))</f>
        <v/>
      </c>
      <c r="N15" s="809"/>
      <c r="O15" s="101" t="str">
        <f>IF(B15="","",VLOOKUP(B15,Voies!A:AY,51,FALSE))</f>
        <v/>
      </c>
      <c r="S15" s="91"/>
    </row>
    <row r="16" spans="2:19" ht="30" customHeight="1" x14ac:dyDescent="0.25">
      <c r="B16" s="722"/>
      <c r="C16" s="724"/>
      <c r="D16" s="550" t="str">
        <f>IF(B16="","",VLOOKUP(B16,Voies!A:AZ,4,FALSE))</f>
        <v/>
      </c>
      <c r="E16" s="101" t="str">
        <f>IF(B16="","",VLOOKUP(B16,Voies!A:AY,5,FALSE))</f>
        <v/>
      </c>
      <c r="F16" s="108" t="str">
        <f>IF(B16="","",VLOOKUP(B16,Voies!A:AY,7,FALSE))</f>
        <v/>
      </c>
      <c r="G16" s="793" t="str">
        <f>IF(B16="","",VLOOKUP(B16,Voies!A:AZ,52,FALSE))</f>
        <v/>
      </c>
      <c r="H16" s="793"/>
      <c r="I16" s="793"/>
      <c r="J16" s="793"/>
      <c r="K16" s="793"/>
      <c r="L16" s="793"/>
      <c r="M16" s="809" t="str">
        <f>IF(B16="","",VLOOKUP(B16,Voies!A:AY,50,FALSE))</f>
        <v/>
      </c>
      <c r="N16" s="809"/>
      <c r="O16" s="101" t="str">
        <f>IF(B16="","",VLOOKUP(B16,Voies!A:AY,51,FALSE))</f>
        <v/>
      </c>
      <c r="S16" s="91"/>
    </row>
    <row r="17" spans="2:19" ht="30" customHeight="1" x14ac:dyDescent="0.25">
      <c r="B17" s="722"/>
      <c r="C17" s="724"/>
      <c r="D17" s="550" t="str">
        <f>IF(B17="","",VLOOKUP(B17,Voies!A:AZ,4,FALSE))</f>
        <v/>
      </c>
      <c r="E17" s="101" t="str">
        <f>IF(B17="","",VLOOKUP(B17,Voies!A:AY,5,FALSE))</f>
        <v/>
      </c>
      <c r="F17" s="108" t="str">
        <f>IF(B17="","",VLOOKUP(B17,Voies!A:AY,7,FALSE))</f>
        <v/>
      </c>
      <c r="G17" s="793" t="str">
        <f>IF(B17="","",VLOOKUP(B17,Voies!A:AZ,52,FALSE))</f>
        <v/>
      </c>
      <c r="H17" s="793"/>
      <c r="I17" s="793"/>
      <c r="J17" s="793"/>
      <c r="K17" s="793"/>
      <c r="L17" s="793"/>
      <c r="M17" s="809" t="str">
        <f>IF(B17="","",VLOOKUP(B17,Voies!A:AY,50,FALSE))</f>
        <v/>
      </c>
      <c r="N17" s="809"/>
      <c r="O17" s="101" t="str">
        <f>IF(B17="","",VLOOKUP(B17,Voies!A:AY,51,FALSE))</f>
        <v/>
      </c>
      <c r="S17" s="91"/>
    </row>
    <row r="18" spans="2:19" ht="9" customHeight="1" x14ac:dyDescent="0.25">
      <c r="B18" s="118" t="s">
        <v>2832</v>
      </c>
      <c r="C18" s="118"/>
    </row>
    <row r="19" spans="2:19" ht="3" customHeight="1" x14ac:dyDescent="0.25">
      <c r="B19" s="118"/>
      <c r="C19" s="118"/>
    </row>
    <row r="20" spans="2:19" ht="16.2" thickBot="1" x14ac:dyDescent="0.35">
      <c r="B20" s="43" t="s">
        <v>2064</v>
      </c>
      <c r="C20" s="43"/>
      <c r="D20" s="87"/>
    </row>
    <row r="21" spans="2:19" ht="21" thickTop="1" x14ac:dyDescent="0.3">
      <c r="B21" s="802" t="s">
        <v>379</v>
      </c>
      <c r="C21" s="802"/>
      <c r="D21" s="218" t="s">
        <v>343</v>
      </c>
      <c r="E21" s="100" t="s">
        <v>334</v>
      </c>
      <c r="F21" s="787" t="s">
        <v>2063</v>
      </c>
      <c r="G21" s="788"/>
      <c r="H21" s="788"/>
      <c r="I21" s="788"/>
      <c r="J21" s="788"/>
      <c r="K21" s="788"/>
      <c r="L21" s="789"/>
      <c r="M21" s="787" t="s">
        <v>0</v>
      </c>
      <c r="N21" s="789"/>
      <c r="O21" s="106" t="s">
        <v>1</v>
      </c>
    </row>
    <row r="22" spans="2:19" ht="27.6" customHeight="1" x14ac:dyDescent="0.25">
      <c r="B22" s="722"/>
      <c r="C22" s="724"/>
      <c r="D22" s="307" t="str">
        <f>IF(B22="","",VLOOKUP(B22,Avantages!A:G,3,FALSE))</f>
        <v/>
      </c>
      <c r="E22" s="102" t="str">
        <f>IF(B22="","",VLOOKUP(B22,Avantages!A:G,4,FALSE))</f>
        <v/>
      </c>
      <c r="F22" s="794" t="str">
        <f>IF(B22="","",VLOOKUP(B22,Avantages!A:G,7,FALSE))</f>
        <v/>
      </c>
      <c r="G22" s="795"/>
      <c r="H22" s="795"/>
      <c r="I22" s="795"/>
      <c r="J22" s="795"/>
      <c r="K22" s="795"/>
      <c r="L22" s="796"/>
      <c r="M22" s="810" t="str">
        <f>IF(B22="","",VLOOKUP(B22,Avantages!A:G,5,FALSE))</f>
        <v/>
      </c>
      <c r="N22" s="811"/>
      <c r="O22" s="101" t="str">
        <f>IF(B22="","",VLOOKUP(B22,Avantages!A:G,6,FALSE))</f>
        <v/>
      </c>
    </row>
    <row r="23" spans="2:19" ht="27.6" customHeight="1" x14ac:dyDescent="0.25">
      <c r="B23" s="722"/>
      <c r="C23" s="724"/>
      <c r="D23" s="479" t="str">
        <f>IF(B23="","",VLOOKUP(B23,Avantages!A:G,3,FALSE))</f>
        <v/>
      </c>
      <c r="E23" s="344" t="str">
        <f>IF(B23="","",VLOOKUP(B23,Avantages!A:G,4,FALSE))</f>
        <v/>
      </c>
      <c r="F23" s="794" t="str">
        <f>IF(B23="","",VLOOKUP(B23,Avantages!A:G,7,FALSE))</f>
        <v/>
      </c>
      <c r="G23" s="795"/>
      <c r="H23" s="795"/>
      <c r="I23" s="795"/>
      <c r="J23" s="795"/>
      <c r="K23" s="795"/>
      <c r="L23" s="796"/>
      <c r="M23" s="810" t="str">
        <f>IF(B23="","",VLOOKUP(B23,Avantages!A:G,5,FALSE))</f>
        <v/>
      </c>
      <c r="N23" s="811"/>
      <c r="O23" s="101" t="str">
        <f>IF(B23="","",VLOOKUP(B23,Avantages!A:G,6,FALSE))</f>
        <v/>
      </c>
    </row>
    <row r="24" spans="2:19" ht="27.6" customHeight="1" x14ac:dyDescent="0.25">
      <c r="B24" s="722"/>
      <c r="C24" s="724"/>
      <c r="D24" s="479" t="str">
        <f>IF(B24="","",VLOOKUP(B24,Avantages!A:G,3,FALSE))</f>
        <v/>
      </c>
      <c r="E24" s="344" t="str">
        <f>IF(B24="","",VLOOKUP(B24,Avantages!A:G,4,FALSE))</f>
        <v/>
      </c>
      <c r="F24" s="794" t="str">
        <f>IF(B24="","",VLOOKUP(B24,Avantages!A:G,7,FALSE))</f>
        <v/>
      </c>
      <c r="G24" s="795"/>
      <c r="H24" s="795"/>
      <c r="I24" s="795"/>
      <c r="J24" s="795"/>
      <c r="K24" s="795"/>
      <c r="L24" s="796"/>
      <c r="M24" s="810" t="str">
        <f>IF(B24="","",VLOOKUP(B24,Avantages!A:G,5,FALSE))</f>
        <v/>
      </c>
      <c r="N24" s="811"/>
      <c r="O24" s="101" t="str">
        <f>IF(B24="","",VLOOKUP(B24,Avantages!A:G,6,FALSE))</f>
        <v/>
      </c>
    </row>
    <row r="25" spans="2:19" ht="27.6" customHeight="1" x14ac:dyDescent="0.25">
      <c r="B25" s="722"/>
      <c r="C25" s="724"/>
      <c r="D25" s="479" t="str">
        <f>IF(B25="","",VLOOKUP(B25,Avantages!A:G,3,FALSE))</f>
        <v/>
      </c>
      <c r="E25" s="344" t="str">
        <f>IF(B25="","",VLOOKUP(B25,Avantages!A:G,4,FALSE))</f>
        <v/>
      </c>
      <c r="F25" s="794" t="str">
        <f>IF(B25="","",VLOOKUP(B25,Avantages!A:G,7,FALSE))</f>
        <v/>
      </c>
      <c r="G25" s="795"/>
      <c r="H25" s="795"/>
      <c r="I25" s="795"/>
      <c r="J25" s="795"/>
      <c r="K25" s="795"/>
      <c r="L25" s="796"/>
      <c r="M25" s="810" t="str">
        <f>IF(B25="","",VLOOKUP(B25,Avantages!A:G,5,FALSE))</f>
        <v/>
      </c>
      <c r="N25" s="811"/>
      <c r="O25" s="101" t="str">
        <f>IF(B25="","",VLOOKUP(B25,Avantages!A:G,6,FALSE))</f>
        <v/>
      </c>
    </row>
    <row r="26" spans="2:19" ht="27.6" customHeight="1" x14ac:dyDescent="0.25">
      <c r="B26" s="722"/>
      <c r="C26" s="724"/>
      <c r="D26" s="479" t="str">
        <f>IF(B26="","",VLOOKUP(B26,Avantages!A:G,3,FALSE))</f>
        <v/>
      </c>
      <c r="E26" s="344" t="str">
        <f>IF(B26="","",VLOOKUP(B26,Avantages!A:G,4,FALSE))</f>
        <v/>
      </c>
      <c r="F26" s="794" t="str">
        <f>IF(B26="","",VLOOKUP(B26,Avantages!A:G,7,FALSE))</f>
        <v/>
      </c>
      <c r="G26" s="795"/>
      <c r="H26" s="795"/>
      <c r="I26" s="795"/>
      <c r="J26" s="795"/>
      <c r="K26" s="795"/>
      <c r="L26" s="796"/>
      <c r="M26" s="810" t="str">
        <f>IF(B26="","",VLOOKUP(B26,Avantages!A:G,5,FALSE))</f>
        <v/>
      </c>
      <c r="N26" s="811"/>
      <c r="O26" s="101" t="str">
        <f>IF(B26="","",VLOOKUP(B26,Avantages!A:G,6,FALSE))</f>
        <v/>
      </c>
    </row>
    <row r="27" spans="2:19" ht="3" customHeight="1" x14ac:dyDescent="0.25"/>
    <row r="28" spans="2:19" ht="16.2" thickBot="1" x14ac:dyDescent="0.35">
      <c r="B28" s="43" t="s">
        <v>2065</v>
      </c>
      <c r="C28" s="43"/>
      <c r="D28" s="87"/>
    </row>
    <row r="29" spans="2:19" ht="21" thickTop="1" x14ac:dyDescent="0.3">
      <c r="B29" s="801" t="s">
        <v>379</v>
      </c>
      <c r="C29" s="801"/>
      <c r="D29" s="218" t="s">
        <v>343</v>
      </c>
      <c r="E29" s="100" t="s">
        <v>334</v>
      </c>
      <c r="F29" s="787" t="s">
        <v>2063</v>
      </c>
      <c r="G29" s="788"/>
      <c r="H29" s="788"/>
      <c r="I29" s="788"/>
      <c r="J29" s="788"/>
      <c r="K29" s="788"/>
      <c r="L29" s="789"/>
      <c r="M29" s="787" t="s">
        <v>0</v>
      </c>
      <c r="N29" s="789"/>
      <c r="O29" s="100" t="s">
        <v>1</v>
      </c>
      <c r="P29" s="94"/>
    </row>
    <row r="30" spans="2:19" ht="27.6" customHeight="1" x14ac:dyDescent="0.25">
      <c r="B30" s="722"/>
      <c r="C30" s="724"/>
      <c r="D30" s="323" t="str">
        <f>IF(B30="","",VLOOKUP(B30,Désavantages!A:G,3,FALSE))</f>
        <v/>
      </c>
      <c r="E30" s="324" t="str">
        <f>IF(B30="","",VLOOKUP(B30,Désavantages!A:G,4,FALSE))</f>
        <v/>
      </c>
      <c r="F30" s="790" t="str">
        <f>IF(B30="","",VLOOKUP(B30,Désavantages!A:G,7,FALSE))</f>
        <v/>
      </c>
      <c r="G30" s="791"/>
      <c r="H30" s="791"/>
      <c r="I30" s="791"/>
      <c r="J30" s="791"/>
      <c r="K30" s="791"/>
      <c r="L30" s="792"/>
      <c r="M30" s="807" t="str">
        <f>IF(B30="","",VLOOKUP(B30,Désavantages!A:G,5,FALSE))</f>
        <v/>
      </c>
      <c r="N30" s="808"/>
      <c r="O30" s="98" t="str">
        <f>IF(B30="","",VLOOKUP(B30,Désavantages!A:G,6,FALSE))</f>
        <v/>
      </c>
    </row>
    <row r="31" spans="2:19" ht="27.6" customHeight="1" x14ac:dyDescent="0.25">
      <c r="B31" s="722"/>
      <c r="C31" s="724"/>
      <c r="D31" s="323" t="str">
        <f>IF(B31="","",VLOOKUP(B31,Désavantages!A:G,3,FALSE))</f>
        <v/>
      </c>
      <c r="E31" s="324" t="str">
        <f>IF(B31="","",VLOOKUP(B31,Désavantages!A:G,4,FALSE))</f>
        <v/>
      </c>
      <c r="F31" s="790" t="str">
        <f>IF(B31="","",VLOOKUP(B31,Désavantages!A:G,7,FALSE))</f>
        <v/>
      </c>
      <c r="G31" s="791"/>
      <c r="H31" s="791"/>
      <c r="I31" s="791"/>
      <c r="J31" s="791"/>
      <c r="K31" s="791"/>
      <c r="L31" s="792"/>
      <c r="M31" s="807" t="str">
        <f>IF(B31="","",VLOOKUP(B31,Désavantages!A:G,5,FALSE))</f>
        <v/>
      </c>
      <c r="N31" s="808"/>
      <c r="O31" s="98" t="str">
        <f>IF(B31="","",VLOOKUP(B31,Désavantages!A:G,6,FALSE))</f>
        <v/>
      </c>
    </row>
    <row r="32" spans="2:19" ht="27.6" customHeight="1" x14ac:dyDescent="0.25">
      <c r="B32" s="722"/>
      <c r="C32" s="724"/>
      <c r="D32" s="323" t="str">
        <f>IF(B32="","",VLOOKUP(B32,Désavantages!A:G,3,FALSE))</f>
        <v/>
      </c>
      <c r="E32" s="324" t="str">
        <f>IF(B32="","",VLOOKUP(B32,Désavantages!A:G,4,FALSE))</f>
        <v/>
      </c>
      <c r="F32" s="790" t="str">
        <f>IF(B32="","",VLOOKUP(B32,Désavantages!A:G,7,FALSE))</f>
        <v/>
      </c>
      <c r="G32" s="791"/>
      <c r="H32" s="791"/>
      <c r="I32" s="791"/>
      <c r="J32" s="791"/>
      <c r="K32" s="791"/>
      <c r="L32" s="792"/>
      <c r="M32" s="807" t="str">
        <f>IF(B32="","",VLOOKUP(B32,Désavantages!A:G,5,FALSE))</f>
        <v/>
      </c>
      <c r="N32" s="808"/>
      <c r="O32" s="98" t="str">
        <f>IF(B32="","",VLOOKUP(B32,Désavantages!A:G,6,FALSE))</f>
        <v/>
      </c>
    </row>
    <row r="33" spans="2:16" ht="27.6" customHeight="1" x14ac:dyDescent="0.25">
      <c r="B33" s="722"/>
      <c r="C33" s="724"/>
      <c r="D33" s="323" t="str">
        <f>IF(B33="","",VLOOKUP(B33,Désavantages!A:G,3,FALSE))</f>
        <v/>
      </c>
      <c r="E33" s="324" t="str">
        <f>IF(B33="","",VLOOKUP(B33,Désavantages!A:G,4,FALSE))</f>
        <v/>
      </c>
      <c r="F33" s="790" t="str">
        <f>IF(B33="","",VLOOKUP(B33,Désavantages!A:G,7,FALSE))</f>
        <v/>
      </c>
      <c r="G33" s="791"/>
      <c r="H33" s="791"/>
      <c r="I33" s="791"/>
      <c r="J33" s="791"/>
      <c r="K33" s="791"/>
      <c r="L33" s="792"/>
      <c r="M33" s="807" t="str">
        <f>IF(B33="","",VLOOKUP(B33,Désavantages!A:G,5,FALSE))</f>
        <v/>
      </c>
      <c r="N33" s="808"/>
      <c r="O33" s="98" t="str">
        <f>IF(B33="","",VLOOKUP(B33,Désavantages!A:G,6,FALSE))</f>
        <v/>
      </c>
    </row>
    <row r="34" spans="2:16" ht="27.6" customHeight="1" x14ac:dyDescent="0.25">
      <c r="B34" s="722"/>
      <c r="C34" s="724"/>
      <c r="D34" s="323" t="str">
        <f>IF(B34="","",VLOOKUP(B34,Désavantages!A:G,3,FALSE))</f>
        <v/>
      </c>
      <c r="E34" s="324" t="str">
        <f>IF(B34="","",VLOOKUP(B34,Désavantages!A:G,4,FALSE))</f>
        <v/>
      </c>
      <c r="F34" s="790" t="str">
        <f>IF(B34="","",VLOOKUP(B34,Désavantages!A:G,7,FALSE))</f>
        <v/>
      </c>
      <c r="G34" s="791"/>
      <c r="H34" s="791"/>
      <c r="I34" s="791"/>
      <c r="J34" s="791"/>
      <c r="K34" s="791"/>
      <c r="L34" s="792"/>
      <c r="M34" s="807" t="str">
        <f>IF(B34="","",VLOOKUP(B34,Désavantages!A:G,5,FALSE))</f>
        <v/>
      </c>
      <c r="N34" s="808"/>
      <c r="O34" s="98" t="str">
        <f>IF(B34="","",VLOOKUP(B34,Désavantages!A:G,6,FALSE))</f>
        <v/>
      </c>
    </row>
    <row r="35" spans="2:16" ht="2.4" customHeight="1" x14ac:dyDescent="0.25"/>
    <row r="36" spans="2:16" ht="15" customHeight="1" thickBot="1" x14ac:dyDescent="0.35">
      <c r="B36" s="43" t="s">
        <v>333</v>
      </c>
      <c r="C36" s="548" t="s">
        <v>8359</v>
      </c>
    </row>
    <row r="37" spans="2:16" ht="16.2" thickTop="1" x14ac:dyDescent="0.3">
      <c r="B37" s="105" t="s">
        <v>379</v>
      </c>
      <c r="C37" s="97" t="s">
        <v>105</v>
      </c>
      <c r="D37" s="100" t="s">
        <v>334</v>
      </c>
      <c r="E37" s="801" t="s">
        <v>2063</v>
      </c>
      <c r="F37" s="801"/>
      <c r="G37" s="801"/>
      <c r="H37" s="801"/>
      <c r="I37" s="801"/>
      <c r="J37" s="787" t="s">
        <v>5050</v>
      </c>
      <c r="K37" s="788"/>
      <c r="L37" s="788"/>
      <c r="M37" s="789"/>
      <c r="N37" s="225" t="s">
        <v>0</v>
      </c>
      <c r="O37" s="100" t="s">
        <v>1</v>
      </c>
      <c r="P37" s="94"/>
    </row>
    <row r="38" spans="2:16" ht="75.75" customHeight="1" x14ac:dyDescent="0.25">
      <c r="B38" s="251"/>
      <c r="C38" s="160" t="str">
        <f>IF($B$38="","",VLOOKUP($B$38,Ancêtres!$A:$H,3,FALSE))</f>
        <v/>
      </c>
      <c r="D38" s="160" t="str">
        <f>IF($B$38="","",VLOOKUP($B$38,Ancêtres!$A:$H,4,FALSE))</f>
        <v/>
      </c>
      <c r="E38" s="790" t="str">
        <f>IF($B$38="","",VLOOKUP($B$38,Ancêtres!$A:$H,5,FALSE))</f>
        <v/>
      </c>
      <c r="F38" s="791"/>
      <c r="G38" s="791"/>
      <c r="H38" s="791"/>
      <c r="I38" s="792"/>
      <c r="J38" s="794" t="str">
        <f>IF($B$38="","",VLOOKUP($B$38,Ancêtres!$A:$H,6,FALSE))</f>
        <v/>
      </c>
      <c r="K38" s="795"/>
      <c r="L38" s="795"/>
      <c r="M38" s="796"/>
      <c r="N38" s="221" t="str">
        <f>IF($B$38="","",VLOOKUP($B$38,Ancêtres!$A:$H,7,FALSE))</f>
        <v/>
      </c>
      <c r="O38" s="98" t="str">
        <f>IF($B$38="","",VLOOKUP($B$38,Ancêtres!$A:$H,8,FALSE))</f>
        <v/>
      </c>
    </row>
    <row r="39" spans="2:16" ht="3.6" customHeight="1" x14ac:dyDescent="0.25"/>
    <row r="40" spans="2:16" ht="6.75" customHeight="1" x14ac:dyDescent="0.25"/>
    <row r="41" spans="2:16" ht="8.25" customHeight="1" x14ac:dyDescent="0.25"/>
    <row r="42" spans="2:16" ht="16.2" customHeight="1" x14ac:dyDescent="0.25"/>
    <row r="43" spans="2:16" ht="16.2" customHeight="1" x14ac:dyDescent="0.25"/>
    <row r="44" spans="2:16" ht="16.2" customHeight="1" x14ac:dyDescent="0.25"/>
    <row r="45" spans="2:16" ht="16.2" customHeight="1" x14ac:dyDescent="0.25"/>
    <row r="46" spans="2:16" ht="16.2" customHeight="1" x14ac:dyDescent="0.25"/>
    <row r="47" spans="2:16" ht="16.2" customHeight="1" x14ac:dyDescent="0.25"/>
    <row r="48" spans="2:16" ht="16.2" customHeight="1" x14ac:dyDescent="0.25"/>
    <row r="49" spans="2:16" ht="16.2" customHeight="1" x14ac:dyDescent="0.25"/>
    <row r="50" spans="2:16" ht="16.2" customHeight="1" x14ac:dyDescent="0.25"/>
    <row r="51" spans="2:16" ht="16.2" customHeight="1" x14ac:dyDescent="0.25"/>
    <row r="52" spans="2:16" ht="4.95" customHeight="1" x14ac:dyDescent="0.25">
      <c r="B52" s="91"/>
      <c r="C52" s="91"/>
      <c r="D52" s="91"/>
      <c r="E52" s="103"/>
      <c r="F52" s="91"/>
      <c r="G52" s="91"/>
      <c r="H52" s="91"/>
      <c r="I52" s="91"/>
      <c r="J52" s="91"/>
      <c r="K52" s="91"/>
      <c r="L52" s="91"/>
      <c r="M52" s="91"/>
      <c r="N52" s="91"/>
      <c r="O52" s="96"/>
      <c r="P52" s="91"/>
    </row>
    <row r="53" spans="2:16" x14ac:dyDescent="0.25">
      <c r="B53" s="91"/>
      <c r="C53" s="91"/>
      <c r="D53" s="91"/>
      <c r="E53" s="103"/>
      <c r="F53" s="91"/>
      <c r="G53" s="91"/>
      <c r="H53" s="91"/>
      <c r="I53" s="91"/>
      <c r="J53" s="91"/>
      <c r="K53" s="91"/>
      <c r="L53" s="91"/>
      <c r="M53" s="91"/>
      <c r="N53" s="91"/>
      <c r="O53" s="96"/>
      <c r="P53" s="91"/>
    </row>
    <row r="54" spans="2:16" x14ac:dyDescent="0.25">
      <c r="B54" s="91"/>
      <c r="C54" s="91"/>
      <c r="D54" s="91"/>
      <c r="E54" s="103"/>
      <c r="F54" s="91"/>
      <c r="G54" s="91"/>
      <c r="H54" s="91"/>
      <c r="I54" s="91"/>
      <c r="J54" s="91"/>
      <c r="K54" s="91"/>
      <c r="L54" s="91"/>
      <c r="M54" s="91"/>
      <c r="N54" s="91"/>
      <c r="O54" s="96"/>
      <c r="P54" s="91"/>
    </row>
    <row r="55" spans="2:16" x14ac:dyDescent="0.25">
      <c r="B55" s="91"/>
      <c r="C55" s="91"/>
      <c r="D55" s="91"/>
      <c r="E55" s="103"/>
      <c r="F55" s="91"/>
      <c r="G55" s="91"/>
      <c r="H55" s="91"/>
      <c r="I55" s="91"/>
      <c r="J55" s="91"/>
      <c r="K55" s="91"/>
      <c r="L55" s="91"/>
      <c r="M55" s="91"/>
      <c r="N55" s="91"/>
      <c r="O55" s="96"/>
      <c r="P55" s="91"/>
    </row>
  </sheetData>
  <mergeCells count="79">
    <mergeCell ref="M30:N30"/>
    <mergeCell ref="M31:N31"/>
    <mergeCell ref="M32:N32"/>
    <mergeCell ref="M33:N33"/>
    <mergeCell ref="M34:N34"/>
    <mergeCell ref="M23:N23"/>
    <mergeCell ref="M24:N24"/>
    <mergeCell ref="M25:N25"/>
    <mergeCell ref="M26:N26"/>
    <mergeCell ref="M29:N29"/>
    <mergeCell ref="M15:N15"/>
    <mergeCell ref="M16:N16"/>
    <mergeCell ref="M17:N17"/>
    <mergeCell ref="M22:N22"/>
    <mergeCell ref="M21:N21"/>
    <mergeCell ref="M10:N10"/>
    <mergeCell ref="M11:N11"/>
    <mergeCell ref="M12:N12"/>
    <mergeCell ref="M13:N13"/>
    <mergeCell ref="M14:N14"/>
    <mergeCell ref="M3:N3"/>
    <mergeCell ref="M4:N4"/>
    <mergeCell ref="M5:N5"/>
    <mergeCell ref="M6:N6"/>
    <mergeCell ref="M9:N9"/>
    <mergeCell ref="B30:C30"/>
    <mergeCell ref="B31:C31"/>
    <mergeCell ref="B32:C32"/>
    <mergeCell ref="B33:C33"/>
    <mergeCell ref="B34:C34"/>
    <mergeCell ref="B23:C23"/>
    <mergeCell ref="B24:C24"/>
    <mergeCell ref="B25:C25"/>
    <mergeCell ref="B26:C26"/>
    <mergeCell ref="B29:C29"/>
    <mergeCell ref="B15:C15"/>
    <mergeCell ref="B16:C16"/>
    <mergeCell ref="B17:C17"/>
    <mergeCell ref="B21:C21"/>
    <mergeCell ref="B22:C22"/>
    <mergeCell ref="B10:C10"/>
    <mergeCell ref="B11:C11"/>
    <mergeCell ref="B12:C12"/>
    <mergeCell ref="B13:C13"/>
    <mergeCell ref="B14:C14"/>
    <mergeCell ref="B3:C3"/>
    <mergeCell ref="B4:C4"/>
    <mergeCell ref="B5:C5"/>
    <mergeCell ref="B6:C6"/>
    <mergeCell ref="B9:C9"/>
    <mergeCell ref="J38:M38"/>
    <mergeCell ref="J37:M37"/>
    <mergeCell ref="G9:L9"/>
    <mergeCell ref="G11:L11"/>
    <mergeCell ref="G12:L12"/>
    <mergeCell ref="G17:L17"/>
    <mergeCell ref="G15:L15"/>
    <mergeCell ref="G16:L16"/>
    <mergeCell ref="F31:L31"/>
    <mergeCell ref="F32:L32"/>
    <mergeCell ref="F33:L33"/>
    <mergeCell ref="F34:L34"/>
    <mergeCell ref="F25:L25"/>
    <mergeCell ref="F26:L26"/>
    <mergeCell ref="E37:I37"/>
    <mergeCell ref="E38:I38"/>
    <mergeCell ref="G3:H3"/>
    <mergeCell ref="G4:H4"/>
    <mergeCell ref="G5:H5"/>
    <mergeCell ref="G6:H6"/>
    <mergeCell ref="G13:L13"/>
    <mergeCell ref="G10:L10"/>
    <mergeCell ref="F29:L29"/>
    <mergeCell ref="F30:L30"/>
    <mergeCell ref="G14:L14"/>
    <mergeCell ref="F22:L22"/>
    <mergeCell ref="F23:L23"/>
    <mergeCell ref="F24:L24"/>
    <mergeCell ref="F21:L21"/>
  </mergeCells>
  <conditionalFormatting sqref="B22:B26">
    <cfRule type="cellIs" dxfId="69" priority="7" operator="equal">
      <formula>""</formula>
    </cfRule>
  </conditionalFormatting>
  <conditionalFormatting sqref="B30:B34">
    <cfRule type="cellIs" dxfId="68" priority="6" operator="equal">
      <formula>""</formula>
    </cfRule>
  </conditionalFormatting>
  <conditionalFormatting sqref="B10:B17">
    <cfRule type="cellIs" dxfId="67" priority="4" operator="equal">
      <formula>""</formula>
    </cfRule>
  </conditionalFormatting>
  <conditionalFormatting sqref="B4:B6">
    <cfRule type="cellIs" dxfId="66" priority="3" operator="equal">
      <formula>""</formula>
    </cfRule>
  </conditionalFormatting>
  <conditionalFormatting sqref="B38">
    <cfRule type="cellIs" dxfId="65" priority="1" operator="equal">
      <formula>""</formula>
    </cfRule>
  </conditionalFormatting>
  <pageMargins left="0.11811023622047245" right="0.11811023622047245" top="0.15748031496062992" bottom="0.15748031496062992"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3000000}">
          <x14:formula1>
            <xm:f>OFFSET(Ancêtres!K2:K69,0,0,COUNT(Ancêtres!J2:J69))</xm:f>
          </x14:formula1>
          <xm:sqref>B38</xm:sqref>
        </x14:dataValidation>
        <x14:dataValidation type="list" allowBlank="1" showInputMessage="1" showErrorMessage="1" xr:uid="{7A8EB337-7E53-4849-BC24-F140D2D39A7A}">
          <x14:formula1>
            <xm:f>OFFSET(Voies!$BL$3:$BL$1072,0,0,COUNT(Voies!$BK$3:$BK$1072))</xm:f>
          </x14:formula1>
          <xm:sqref>B10:C17</xm:sqref>
        </x14:dataValidation>
        <x14:dataValidation type="list" allowBlank="1" showInputMessage="1" showErrorMessage="1" xr:uid="{69AE6A1B-EB2F-43EC-892C-A07AB9DE5A05}">
          <x14:formula1>
            <xm:f>OFFSET(Ecoles!$V$2:$V$241,0,0,COUNT(Ecoles!$U$2:$U$241))</xm:f>
          </x14:formula1>
          <xm:sqref>B4:C6</xm:sqref>
        </x14:dataValidation>
        <x14:dataValidation type="list" allowBlank="1" showInputMessage="1" showErrorMessage="1" xr:uid="{4131E2CE-F0CE-4716-BBCF-FC28F9075B6B}">
          <x14:formula1>
            <xm:f>OFFSET(Avantages!$R$2:$R$323,0,0,COUNT(Avantages!$Q$2:$Q$323))</xm:f>
          </x14:formula1>
          <xm:sqref>B22:C26</xm:sqref>
        </x14:dataValidation>
        <x14:dataValidation type="list" allowBlank="1" showInputMessage="1" showErrorMessage="1" xr:uid="{C286E4A9-31C2-475F-B9B4-6F0577749BC2}">
          <x14:formula1>
            <xm:f>OFFSET(Désavantages!$S$2:$S$175,0,0,COUNT(Désavantages!$R$2:$R$175))</xm:f>
          </x14:formula1>
          <xm:sqref>B30:C34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D912"/>
  <sheetViews>
    <sheetView topLeftCell="A190" workbookViewId="0">
      <pane xSplit="1" topLeftCell="J1" activePane="topRight" state="frozen"/>
      <selection pane="topRight" activeCell="A214" sqref="A214"/>
    </sheetView>
  </sheetViews>
  <sheetFormatPr baseColWidth="10" defaultRowHeight="13.2" x14ac:dyDescent="0.25"/>
  <cols>
    <col min="1" max="1" width="34.44140625" style="499" customWidth="1"/>
    <col min="2" max="2" width="12.88671875" customWidth="1"/>
    <col min="3" max="3" width="16.6640625" customWidth="1"/>
    <col min="4" max="4" width="6.44140625" customWidth="1"/>
    <col min="5" max="5" width="4.44140625" customWidth="1"/>
    <col min="7" max="7" width="16.33203125" customWidth="1"/>
    <col min="9" max="9" width="20.6640625" customWidth="1"/>
    <col min="10" max="10" width="17.5546875" customWidth="1"/>
  </cols>
  <sheetData>
    <row r="1" spans="1:10" x14ac:dyDescent="0.25">
      <c r="A1" s="496" t="s">
        <v>5997</v>
      </c>
      <c r="B1" s="315"/>
      <c r="C1" s="315"/>
      <c r="D1" s="968" t="s">
        <v>5998</v>
      </c>
      <c r="E1" s="970" t="s">
        <v>5999</v>
      </c>
      <c r="G1" t="s">
        <v>4259</v>
      </c>
      <c r="H1" t="s">
        <v>4245</v>
      </c>
      <c r="I1" s="299" t="s">
        <v>5191</v>
      </c>
      <c r="J1" s="299" t="s">
        <v>6006</v>
      </c>
    </row>
    <row r="2" spans="1:10" ht="13.2" customHeight="1" x14ac:dyDescent="0.25">
      <c r="A2" s="497"/>
      <c r="B2" s="91" t="s">
        <v>186</v>
      </c>
      <c r="C2" s="91" t="s">
        <v>187</v>
      </c>
      <c r="D2" s="969"/>
      <c r="E2" s="971"/>
      <c r="G2" t="s">
        <v>4246</v>
      </c>
      <c r="H2" t="s">
        <v>4112</v>
      </c>
      <c r="I2" s="300">
        <f>IF(OR(Verso!B22="Ecole Differente",Verso!B22="Ecoles Multiples"),1,0)</f>
        <v>0</v>
      </c>
      <c r="J2" s="196">
        <f>IF(Verso!B22="Ancêtre Naga",1,0)</f>
        <v>0</v>
      </c>
    </row>
    <row r="3" spans="1:10" x14ac:dyDescent="0.25">
      <c r="A3" s="497"/>
      <c r="B3" s="91">
        <f>Recto!D4</f>
        <v>0</v>
      </c>
      <c r="C3" s="91">
        <f>Recto!J4</f>
        <v>0</v>
      </c>
      <c r="D3" s="969"/>
      <c r="E3" s="971"/>
      <c r="G3" t="s">
        <v>5980</v>
      </c>
      <c r="H3" t="s">
        <v>3947</v>
      </c>
      <c r="I3" s="300">
        <f>IF(OR(Verso!B23="Ecole Differente",Verso!B23="Ecoles Multiples"),1,0)</f>
        <v>0</v>
      </c>
      <c r="J3" s="196">
        <f>IF(Verso!B23="Ancêtre Naga",1,0)</f>
        <v>0</v>
      </c>
    </row>
    <row r="4" spans="1:10" x14ac:dyDescent="0.25">
      <c r="A4" s="497" t="s">
        <v>5978</v>
      </c>
      <c r="B4" s="91" t="str">
        <f>IF(Recto!D4="","",VLOOKUP(B3,Familles!A:H,8,FALSE))</f>
        <v/>
      </c>
      <c r="C4" s="91" t="str">
        <f>IF(Recto!J4="","",VLOOKUP(C3,Ecoles!A:S,13,FALSE))</f>
        <v/>
      </c>
      <c r="D4" s="969"/>
      <c r="E4" s="971"/>
      <c r="G4" t="s">
        <v>4671</v>
      </c>
      <c r="H4" t="s">
        <v>4115</v>
      </c>
      <c r="I4" s="300">
        <f>IF(OR(Verso!B24="Ecole Differente",Verso!B24="Ecoles Multiples"),1,0)</f>
        <v>0</v>
      </c>
      <c r="J4" s="196">
        <f>IF(Verso!B24="Ancêtre Naga",1,0)</f>
        <v>0</v>
      </c>
    </row>
    <row r="5" spans="1:10" x14ac:dyDescent="0.25">
      <c r="A5" s="497" t="s">
        <v>5979</v>
      </c>
      <c r="B5" s="91">
        <f>IF(B4=1,"+1 Force",IF(B4=2,"+1 Agilité",IF(B4=3,"+1 Intelligence",IF(B4=4,"+1 Perception",IF(B4=5,"+1 Constitution",IF(B4=6,"+1 Vide",IF(B4=7,"+1 Volonté",IF(B4=8,"+1 Reflexes",IF(B4=9,"+1 Intuition",0)))))))))</f>
        <v>0</v>
      </c>
      <c r="C5" s="91">
        <f>IF(C4=1,"+1 Force",IF(C4=2,"+1 Agilité",IF(C4=3,"+1 Intelligence",IF(C4=4,"+1 Perception",IF(C4=5,"+1 Constitution",IF(C4=6,"+1 Vide",IF(C4=7,"+1 Volonté",IF(C4=8,"+1 Reflexes",IF(C4=9,"+1 Intuition",0)))))))))</f>
        <v>0</v>
      </c>
      <c r="D5" s="969"/>
      <c r="E5" s="971"/>
      <c r="G5" t="s">
        <v>4669</v>
      </c>
      <c r="H5" t="s">
        <v>4670</v>
      </c>
      <c r="I5" s="300">
        <f>IF(OR(Verso!B24="Ecole Differente",Verso!B24="Ecoles Multiples"),1,0)</f>
        <v>0</v>
      </c>
      <c r="J5" s="196">
        <f>IF(Verso!B25="Ancêtre Naga",1,0)</f>
        <v>0</v>
      </c>
    </row>
    <row r="6" spans="1:10" x14ac:dyDescent="0.25">
      <c r="A6" s="497" t="s">
        <v>1257</v>
      </c>
      <c r="B6" s="91">
        <f>IF($B$4=1,1,0)</f>
        <v>0</v>
      </c>
      <c r="C6" s="91">
        <f>IF($C$4=1,1,0)</f>
        <v>0</v>
      </c>
      <c r="D6" s="91">
        <f>2+C6+B6</f>
        <v>2</v>
      </c>
      <c r="E6" s="295">
        <f>Force</f>
        <v>2</v>
      </c>
      <c r="G6" t="s">
        <v>4247</v>
      </c>
      <c r="H6" t="s">
        <v>3926</v>
      </c>
      <c r="I6" s="300">
        <f>IF(OR(Verso!B25="Ecole Differente",Verso!B25="Ecoles Multiples"),1,0)</f>
        <v>0</v>
      </c>
      <c r="J6" s="196">
        <f>IF(Verso!B26="Ancêtre Naga",1,0)</f>
        <v>0</v>
      </c>
    </row>
    <row r="7" spans="1:10" x14ac:dyDescent="0.25">
      <c r="A7" s="497" t="s">
        <v>1258</v>
      </c>
      <c r="B7" s="91">
        <f>IF($B$4=2,1,0)</f>
        <v>0</v>
      </c>
      <c r="C7" s="91">
        <f>IF($C$4=2,1,0)</f>
        <v>0</v>
      </c>
      <c r="D7" s="91">
        <f t="shared" ref="D7:D14" si="0">2+C7+B7</f>
        <v>2</v>
      </c>
      <c r="E7" s="295">
        <f>Agilité</f>
        <v>2</v>
      </c>
      <c r="G7" t="s">
        <v>4249</v>
      </c>
      <c r="H7" t="s">
        <v>3925</v>
      </c>
      <c r="I7" s="300">
        <f>IF(OR(Verso!B26="Ecole Differente",Verso!B26="Ecoles Multiples"),1,0)</f>
        <v>0</v>
      </c>
      <c r="J7" s="196">
        <f>IF(Verso!B27="Ancêtre Naga",1,0)</f>
        <v>0</v>
      </c>
    </row>
    <row r="8" spans="1:10" x14ac:dyDescent="0.25">
      <c r="A8" s="497" t="s">
        <v>1205</v>
      </c>
      <c r="B8" s="91">
        <f>IF($B$4=3,1,0)</f>
        <v>0</v>
      </c>
      <c r="C8" s="91">
        <f>IF($C$4=3,1,0)</f>
        <v>0</v>
      </c>
      <c r="D8" s="91">
        <f t="shared" si="0"/>
        <v>2</v>
      </c>
      <c r="E8" s="295">
        <f>Intelligence</f>
        <v>2</v>
      </c>
      <c r="G8" t="s">
        <v>4287</v>
      </c>
      <c r="H8" t="s">
        <v>4288</v>
      </c>
      <c r="I8" s="227">
        <f>SUM(I2:I7)</f>
        <v>0</v>
      </c>
      <c r="J8" s="227">
        <f>SUM(J2:J7)</f>
        <v>0</v>
      </c>
    </row>
    <row r="9" spans="1:10" x14ac:dyDescent="0.25">
      <c r="A9" s="497" t="s">
        <v>1210</v>
      </c>
      <c r="B9" s="91">
        <f>IF($B$4=4,1,0)</f>
        <v>0</v>
      </c>
      <c r="C9" s="91">
        <f>IF($C$4=4,1,0)</f>
        <v>0</v>
      </c>
      <c r="D9" s="91">
        <f t="shared" si="0"/>
        <v>2</v>
      </c>
      <c r="E9" s="295">
        <f>Perception</f>
        <v>2</v>
      </c>
      <c r="G9" t="s">
        <v>4250</v>
      </c>
      <c r="H9" t="s">
        <v>3952</v>
      </c>
    </row>
    <row r="10" spans="1:10" x14ac:dyDescent="0.25">
      <c r="A10" s="497" t="s">
        <v>1929</v>
      </c>
      <c r="B10" s="91">
        <f>IF($B$4=5,1,0)</f>
        <v>0</v>
      </c>
      <c r="C10" s="91">
        <f>IF($C$4=5,1,0)</f>
        <v>0</v>
      </c>
      <c r="D10" s="91">
        <f t="shared" si="0"/>
        <v>2</v>
      </c>
      <c r="E10" s="295">
        <f>Constitution</f>
        <v>2</v>
      </c>
      <c r="G10" t="s">
        <v>4291</v>
      </c>
      <c r="H10" t="s">
        <v>3933</v>
      </c>
    </row>
    <row r="11" spans="1:10" x14ac:dyDescent="0.25">
      <c r="A11" s="497" t="s">
        <v>328</v>
      </c>
      <c r="B11" s="91">
        <f>IF($B$4=6,1,0)</f>
        <v>0</v>
      </c>
      <c r="C11" s="91">
        <f>IF($C$4=6,1,0)</f>
        <v>0</v>
      </c>
      <c r="D11" s="91">
        <f t="shared" si="0"/>
        <v>2</v>
      </c>
      <c r="E11" s="295">
        <f>Vide</f>
        <v>2</v>
      </c>
      <c r="G11" t="s">
        <v>4679</v>
      </c>
      <c r="H11" t="s">
        <v>4680</v>
      </c>
      <c r="I11" t="s">
        <v>332</v>
      </c>
      <c r="J11" s="127" t="s">
        <v>19</v>
      </c>
    </row>
    <row r="12" spans="1:10" x14ac:dyDescent="0.25">
      <c r="A12" s="497" t="s">
        <v>1930</v>
      </c>
      <c r="B12" s="91">
        <f>IF($B$4=7,1,0)</f>
        <v>0</v>
      </c>
      <c r="C12" s="91">
        <f>IF($C$4=7,1,0)</f>
        <v>0</v>
      </c>
      <c r="D12" s="91">
        <f t="shared" si="0"/>
        <v>2</v>
      </c>
      <c r="E12" s="295">
        <f>Volonté</f>
        <v>2</v>
      </c>
      <c r="G12" t="s">
        <v>4254</v>
      </c>
      <c r="H12" t="s">
        <v>4178</v>
      </c>
      <c r="J12" s="127" t="s">
        <v>170</v>
      </c>
    </row>
    <row r="13" spans="1:10" x14ac:dyDescent="0.25">
      <c r="A13" s="497" t="s">
        <v>1931</v>
      </c>
      <c r="B13" s="91">
        <f>IF($B$4=8,1,0)</f>
        <v>0</v>
      </c>
      <c r="C13" s="91">
        <f>IF($C$4=8,1,0)</f>
        <v>0</v>
      </c>
      <c r="D13" s="91">
        <f t="shared" si="0"/>
        <v>2</v>
      </c>
      <c r="E13" s="295">
        <f>Reflexes</f>
        <v>2</v>
      </c>
      <c r="G13" t="s">
        <v>4251</v>
      </c>
      <c r="H13" t="s">
        <v>3884</v>
      </c>
      <c r="J13" s="127" t="s">
        <v>172</v>
      </c>
    </row>
    <row r="14" spans="1:10" x14ac:dyDescent="0.25">
      <c r="A14" s="498" t="s">
        <v>1249</v>
      </c>
      <c r="B14" s="297">
        <f>IF($B$4=9,1,0)</f>
        <v>0</v>
      </c>
      <c r="C14" s="297">
        <f>IF($C$4=9,1,0)</f>
        <v>0</v>
      </c>
      <c r="D14" s="297">
        <f t="shared" si="0"/>
        <v>2</v>
      </c>
      <c r="E14" s="298">
        <f>Intuition</f>
        <v>2</v>
      </c>
      <c r="G14" t="s">
        <v>4252</v>
      </c>
      <c r="H14" t="s">
        <v>4253</v>
      </c>
    </row>
    <row r="15" spans="1:10" x14ac:dyDescent="0.25">
      <c r="G15" t="s">
        <v>4721</v>
      </c>
      <c r="H15" t="s">
        <v>4722</v>
      </c>
    </row>
    <row r="16" spans="1:10" s="196" customFormat="1" x14ac:dyDescent="0.25">
      <c r="A16" s="499"/>
    </row>
    <row r="17" spans="1:19" x14ac:dyDescent="0.25">
      <c r="A17" s="972" t="s">
        <v>6422</v>
      </c>
      <c r="B17" s="973"/>
      <c r="C17" s="353"/>
      <c r="D17" s="353"/>
      <c r="E17" s="353"/>
      <c r="F17" s="353"/>
      <c r="G17" s="353"/>
      <c r="H17" s="353"/>
      <c r="I17" s="353"/>
      <c r="J17" s="353"/>
      <c r="K17" s="353"/>
      <c r="L17" s="353"/>
      <c r="M17" s="353"/>
      <c r="N17" s="353"/>
      <c r="O17" s="353"/>
      <c r="P17" s="353"/>
      <c r="Q17" s="353"/>
      <c r="R17" s="353"/>
      <c r="S17" s="354"/>
    </row>
    <row r="18" spans="1:19" x14ac:dyDescent="0.25">
      <c r="A18" s="497"/>
      <c r="B18" s="91" t="s">
        <v>6403</v>
      </c>
      <c r="C18" s="91" t="s">
        <v>6404</v>
      </c>
      <c r="D18" s="91" t="s">
        <v>6405</v>
      </c>
      <c r="E18" s="91" t="s">
        <v>6406</v>
      </c>
      <c r="F18" s="91" t="s">
        <v>6407</v>
      </c>
      <c r="G18" s="91" t="s">
        <v>6408</v>
      </c>
      <c r="H18" s="91" t="s">
        <v>6409</v>
      </c>
      <c r="I18" s="91" t="s">
        <v>6410</v>
      </c>
      <c r="J18" s="91" t="s">
        <v>6411</v>
      </c>
      <c r="K18" s="91" t="s">
        <v>6412</v>
      </c>
      <c r="L18" s="91" t="s">
        <v>6413</v>
      </c>
      <c r="M18" s="91" t="s">
        <v>6414</v>
      </c>
      <c r="N18" s="91" t="s">
        <v>6415</v>
      </c>
      <c r="O18" s="91" t="s">
        <v>6416</v>
      </c>
      <c r="P18" s="91" t="s">
        <v>6417</v>
      </c>
      <c r="Q18" s="91" t="s">
        <v>6418</v>
      </c>
      <c r="R18" s="91" t="s">
        <v>6419</v>
      </c>
      <c r="S18" s="295" t="s">
        <v>6421</v>
      </c>
    </row>
    <row r="19" spans="1:19" x14ac:dyDescent="0.25">
      <c r="A19" s="500" t="s">
        <v>5989</v>
      </c>
      <c r="B19" s="91">
        <f>IF($A19=Recto!$I$28,VLOOKUP($A19,Recto!$I$28:$L$44,4,FALSE),0)</f>
        <v>0</v>
      </c>
      <c r="C19" s="91">
        <f>IF($A19=Recto!$I$29,VLOOKUP($A19,Recto!$I$28:$L$44,4,FALSE),0)</f>
        <v>0</v>
      </c>
      <c r="D19" s="91">
        <f>IF($A19=Recto!$I$30,VLOOKUP($A19,Recto!$I$28:$L$44,4,FALSE),0)</f>
        <v>0</v>
      </c>
      <c r="E19" s="91">
        <f>IF($A19=Recto!$I$31,VLOOKUP($A19,Recto!$I$28:$L$44,4,FALSE),0)</f>
        <v>0</v>
      </c>
      <c r="F19" s="91">
        <f>IF($A19=Recto!$I$32,VLOOKUP($A19,Recto!$I$28:$L$44,4,FALSE),0)</f>
        <v>0</v>
      </c>
      <c r="G19" s="91">
        <f>IF($A19=Recto!$I$33,VLOOKUP($A19,Recto!$I$28:$L$44,4,FALSE),0)</f>
        <v>0</v>
      </c>
      <c r="H19" s="91">
        <f>IF($A19=Recto!$I$34,VLOOKUP($A19,Recto!$I$28:$L$44,4,FALSE),0)</f>
        <v>0</v>
      </c>
      <c r="I19" s="91">
        <f>IF($A19=Recto!$I$35,VLOOKUP($A19,Recto!$I$28:$L$44,4,FALSE),0)</f>
        <v>0</v>
      </c>
      <c r="J19" s="91">
        <f>IF($A19=Recto!$I$36,VLOOKUP($A19,Recto!$I$28:$L$44,4,FALSE),0)</f>
        <v>0</v>
      </c>
      <c r="K19" s="91">
        <f>IF($A19=Recto!$I$37,VLOOKUP($A19,Recto!$I$28:$L$44,4,FALSE),0)</f>
        <v>0</v>
      </c>
      <c r="L19" s="91">
        <f>IF($A19=Recto!$I$38,VLOOKUP($A19,Recto!$I$28:$L$44,4,FALSE),0)</f>
        <v>0</v>
      </c>
      <c r="M19" s="91">
        <f>IF($A19=Recto!$I$39,VLOOKUP($A19,Recto!$I$28:$L$44,4,FALSE),0)</f>
        <v>0</v>
      </c>
      <c r="N19" s="91">
        <f>IF($A19=Recto!$I$40,VLOOKUP($A19,Recto!$I$28:$L$44,4,FALSE),0)</f>
        <v>0</v>
      </c>
      <c r="O19" s="91">
        <f>IF($A19=Recto!$I$41,VLOOKUP($A19,Recto!$I$28:$L$44,4,FALSE),0)</f>
        <v>0</v>
      </c>
      <c r="P19" s="91">
        <f>IF($A19=Recto!$I$42,VLOOKUP($A19,Recto!$I$28:$L$44,4,FALSE),0)</f>
        <v>0</v>
      </c>
      <c r="Q19" s="91">
        <f>IF($A19=Recto!$I$43,VLOOKUP($A19,Recto!$I$28:$L$44,4,FALSE),0)</f>
        <v>0</v>
      </c>
      <c r="R19" s="91">
        <f>IF($A19=Recto!$I$44,VLOOKUP($A19,Recto!$I$28:$L$44,4,FALSE),0)</f>
        <v>0</v>
      </c>
      <c r="S19" s="295">
        <f>SUM(B19:R19)</f>
        <v>0</v>
      </c>
    </row>
    <row r="20" spans="1:19" x14ac:dyDescent="0.25">
      <c r="A20" s="500" t="s">
        <v>1371</v>
      </c>
      <c r="B20" s="91">
        <f>IF($A20=Recto!$I$28,VLOOKUP($A20,Recto!$I$28:$L$44,4,FALSE),0)</f>
        <v>0</v>
      </c>
      <c r="C20" s="91">
        <f>IF($A20=Recto!$I$29,VLOOKUP($A20,Recto!$I$28:$L$44,4,FALSE),0)</f>
        <v>0</v>
      </c>
      <c r="D20" s="91">
        <f>IF($A20=Recto!$I$30,VLOOKUP($A20,Recto!$I$28:$L$44,4,FALSE),0)</f>
        <v>0</v>
      </c>
      <c r="E20" s="91">
        <f>IF($A20=Recto!$I$31,VLOOKUP($A20,Recto!$I$28:$L$44,4,FALSE),0)</f>
        <v>0</v>
      </c>
      <c r="F20" s="91">
        <f>IF($A20=Recto!$I$32,VLOOKUP($A20,Recto!$I$28:$L$44,4,FALSE),0)</f>
        <v>0</v>
      </c>
      <c r="G20" s="91">
        <f>IF($A20=Recto!$I$33,VLOOKUP($A20,Recto!$I$28:$L$44,4,FALSE),0)</f>
        <v>0</v>
      </c>
      <c r="H20" s="91">
        <f>IF($A20=Recto!$I$34,VLOOKUP($A20,Recto!$I$28:$L$44,4,FALSE),0)</f>
        <v>0</v>
      </c>
      <c r="I20" s="91">
        <f>IF($A20=Recto!$I$35,VLOOKUP($A20,Recto!$I$28:$L$44,4,FALSE),0)</f>
        <v>0</v>
      </c>
      <c r="J20" s="91">
        <f>IF($A20=Recto!$I$36,VLOOKUP($A20,Recto!$I$28:$L$44,4,FALSE),0)</f>
        <v>0</v>
      </c>
      <c r="K20" s="91">
        <f>IF($A20=Recto!$I$37,VLOOKUP($A20,Recto!$I$28:$L$44,4,FALSE),0)</f>
        <v>0</v>
      </c>
      <c r="L20" s="91">
        <f>IF($A20=Recto!$I$38,VLOOKUP($A20,Recto!$I$28:$L$44,4,FALSE),0)</f>
        <v>0</v>
      </c>
      <c r="M20" s="91">
        <f>IF($A20=Recto!$I$39,VLOOKUP($A20,Recto!$I$28:$L$44,4,FALSE),0)</f>
        <v>0</v>
      </c>
      <c r="N20" s="91">
        <f>IF($A20=Recto!$I$40,VLOOKUP($A20,Recto!$I$28:$L$44,4,FALSE),0)</f>
        <v>0</v>
      </c>
      <c r="O20" s="91">
        <f>IF($A20=Recto!$I$41,VLOOKUP($A20,Recto!$I$28:$L$44,4,FALSE),0)</f>
        <v>0</v>
      </c>
      <c r="P20" s="91">
        <f>IF($A20=Recto!$I$42,VLOOKUP($A20,Recto!$I$28:$L$44,4,FALSE),0)</f>
        <v>0</v>
      </c>
      <c r="Q20" s="91">
        <f>IF($A20=Recto!$I$43,VLOOKUP($A20,Recto!$I$28:$L$44,4,FALSE),0)</f>
        <v>0</v>
      </c>
      <c r="R20" s="91">
        <f>IF($A20=Recto!$I$44,VLOOKUP($A20,Recto!$I$28:$L$44,4,FALSE),0)</f>
        <v>0</v>
      </c>
      <c r="S20" s="295">
        <f t="shared" ref="S20:S87" si="1">SUM(B20:R20)</f>
        <v>0</v>
      </c>
    </row>
    <row r="21" spans="1:19" s="196" customFormat="1" x14ac:dyDescent="0.25">
      <c r="A21" s="501" t="s">
        <v>7411</v>
      </c>
      <c r="B21" s="91">
        <f>IF($A21=Recto!$I$28,VLOOKUP($A21,Recto!$I$28:$L$44,4,FALSE),0)</f>
        <v>0</v>
      </c>
      <c r="C21" s="91">
        <f>IF($A21=Recto!$I$29,VLOOKUP($A21,Recto!$I$28:$L$44,4,FALSE),0)</f>
        <v>0</v>
      </c>
      <c r="D21" s="91">
        <f>IF($A21=Recto!$I$30,VLOOKUP($A21,Recto!$I$28:$L$44,4,FALSE),0)</f>
        <v>0</v>
      </c>
      <c r="E21" s="91">
        <f>IF($A21=Recto!$I$31,VLOOKUP($A21,Recto!$I$28:$L$44,4,FALSE),0)</f>
        <v>0</v>
      </c>
      <c r="F21" s="91">
        <f>IF($A21=Recto!$I$32,VLOOKUP($A21,Recto!$I$28:$L$44,4,FALSE),0)</f>
        <v>0</v>
      </c>
      <c r="G21" s="91">
        <f>IF($A21=Recto!$I$33,VLOOKUP($A21,Recto!$I$28:$L$44,4,FALSE),0)</f>
        <v>0</v>
      </c>
      <c r="H21" s="91">
        <f>IF($A21=Recto!$I$34,VLOOKUP($A21,Recto!$I$28:$L$44,4,FALSE),0)</f>
        <v>0</v>
      </c>
      <c r="I21" s="91">
        <f>IF($A21=Recto!$I$35,VLOOKUP($A21,Recto!$I$28:$L$44,4,FALSE),0)</f>
        <v>0</v>
      </c>
      <c r="J21" s="91">
        <f>IF($A21=Recto!$I$36,VLOOKUP($A21,Recto!$I$28:$L$44,4,FALSE),0)</f>
        <v>0</v>
      </c>
      <c r="K21" s="91">
        <f>IF($A21=Recto!$I$37,VLOOKUP($A21,Recto!$I$28:$L$44,4,FALSE),0)</f>
        <v>0</v>
      </c>
      <c r="L21" s="91">
        <f>IF($A21=Recto!$I$38,VLOOKUP($A21,Recto!$I$28:$L$44,4,FALSE),0)</f>
        <v>0</v>
      </c>
      <c r="M21" s="91">
        <f>IF($A21=Recto!$I$39,VLOOKUP($A21,Recto!$I$28:$L$44,4,FALSE),0)</f>
        <v>0</v>
      </c>
      <c r="N21" s="91">
        <f>IF($A21=Recto!$I$40,VLOOKUP($A21,Recto!$I$28:$L$44,4,FALSE),0)</f>
        <v>0</v>
      </c>
      <c r="O21" s="91">
        <f>IF($A21=Recto!$I$41,VLOOKUP($A21,Recto!$I$28:$L$44,4,FALSE),0)</f>
        <v>0</v>
      </c>
      <c r="P21" s="91">
        <f>IF($A21=Recto!$I$42,VLOOKUP($A21,Recto!$I$28:$L$44,4,FALSE),0)</f>
        <v>0</v>
      </c>
      <c r="Q21" s="91">
        <f>IF($A21=Recto!$I$43,VLOOKUP($A21,Recto!$I$28:$L$44,4,FALSE),0)</f>
        <v>0</v>
      </c>
      <c r="R21" s="91">
        <f>IF($A21=Recto!$I$44,VLOOKUP($A21,Recto!$I$28:$L$44,4,FALSE),0)</f>
        <v>0</v>
      </c>
      <c r="S21" s="295">
        <f t="shared" si="1"/>
        <v>0</v>
      </c>
    </row>
    <row r="22" spans="1:19" s="196" customFormat="1" x14ac:dyDescent="0.25">
      <c r="A22" s="501" t="s">
        <v>9103</v>
      </c>
      <c r="B22" s="91">
        <f>IF($A22=Recto!$I$28,VLOOKUP($A22,Recto!$I$28:$L$44,4,FALSE),0)</f>
        <v>0</v>
      </c>
      <c r="C22" s="91">
        <f>IF($A22=Recto!$I$29,VLOOKUP($A22,Recto!$I$28:$L$44,4,FALSE),0)</f>
        <v>0</v>
      </c>
      <c r="D22" s="91">
        <f>IF($A22=Recto!$I$30,VLOOKUP($A22,Recto!$I$28:$L$44,4,FALSE),0)</f>
        <v>0</v>
      </c>
      <c r="E22" s="91">
        <f>IF($A22=Recto!$I$31,VLOOKUP($A22,Recto!$I$28:$L$44,4,FALSE),0)</f>
        <v>0</v>
      </c>
      <c r="F22" s="91">
        <f>IF($A22=Recto!$I$32,VLOOKUP($A22,Recto!$I$28:$L$44,4,FALSE),0)</f>
        <v>0</v>
      </c>
      <c r="G22" s="91">
        <f>IF($A22=Recto!$I$33,VLOOKUP($A22,Recto!$I$28:$L$44,4,FALSE),0)</f>
        <v>0</v>
      </c>
      <c r="H22" s="91">
        <f>IF($A22=Recto!$I$34,VLOOKUP($A22,Recto!$I$28:$L$44,4,FALSE),0)</f>
        <v>0</v>
      </c>
      <c r="I22" s="91">
        <f>IF($A22=Recto!$I$35,VLOOKUP($A22,Recto!$I$28:$L$44,4,FALSE),0)</f>
        <v>0</v>
      </c>
      <c r="J22" s="91">
        <f>IF($A22=Recto!$I$36,VLOOKUP($A22,Recto!$I$28:$L$44,4,FALSE),0)</f>
        <v>0</v>
      </c>
      <c r="K22" s="91">
        <f>IF($A22=Recto!$I$37,VLOOKUP($A22,Recto!$I$28:$L$44,4,FALSE),0)</f>
        <v>0</v>
      </c>
      <c r="L22" s="91">
        <f>IF($A22=Recto!$I$38,VLOOKUP($A22,Recto!$I$28:$L$44,4,FALSE),0)</f>
        <v>0</v>
      </c>
      <c r="M22" s="91">
        <f>IF($A22=Recto!$I$39,VLOOKUP($A22,Recto!$I$28:$L$44,4,FALSE),0)</f>
        <v>0</v>
      </c>
      <c r="N22" s="91">
        <f>IF($A22=Recto!$I$40,VLOOKUP($A22,Recto!$I$28:$L$44,4,FALSE),0)</f>
        <v>0</v>
      </c>
      <c r="O22" s="91">
        <f>IF($A22=Recto!$I$41,VLOOKUP($A22,Recto!$I$28:$L$44,4,FALSE),0)</f>
        <v>0</v>
      </c>
      <c r="P22" s="91">
        <f>IF($A22=Recto!$I$42,VLOOKUP($A22,Recto!$I$28:$L$44,4,FALSE),0)</f>
        <v>0</v>
      </c>
      <c r="Q22" s="91">
        <f>IF($A22=Recto!$I$43,VLOOKUP($A22,Recto!$I$28:$L$44,4,FALSE),0)</f>
        <v>0</v>
      </c>
      <c r="R22" s="91">
        <f>IF($A22=Recto!$I$44,VLOOKUP($A22,Recto!$I$28:$L$44,4,FALSE),0)</f>
        <v>0</v>
      </c>
      <c r="S22" s="295">
        <f t="shared" ref="S22" si="2">SUM(B22:R22)</f>
        <v>0</v>
      </c>
    </row>
    <row r="23" spans="1:19" s="196" customFormat="1" x14ac:dyDescent="0.25">
      <c r="A23" s="136" t="s">
        <v>7421</v>
      </c>
      <c r="B23" s="91">
        <f>IF($A23=Recto!$I$28,VLOOKUP($A23,Recto!$I$28:$L$44,4,FALSE),0)</f>
        <v>0</v>
      </c>
      <c r="C23" s="91">
        <f>IF($A23=Recto!$I$29,VLOOKUP($A23,Recto!$I$28:$L$44,4,FALSE),0)</f>
        <v>0</v>
      </c>
      <c r="D23" s="91">
        <f>IF($A23=Recto!$I$30,VLOOKUP($A23,Recto!$I$28:$L$44,4,FALSE),0)</f>
        <v>0</v>
      </c>
      <c r="E23" s="91">
        <f>IF($A23=Recto!$I$31,VLOOKUP($A23,Recto!$I$28:$L$44,4,FALSE),0)</f>
        <v>0</v>
      </c>
      <c r="F23" s="91">
        <f>IF($A23=Recto!$I$32,VLOOKUP($A23,Recto!$I$28:$L$44,4,FALSE),0)</f>
        <v>0</v>
      </c>
      <c r="G23" s="91">
        <f>IF($A23=Recto!$I$33,VLOOKUP($A23,Recto!$I$28:$L$44,4,FALSE),0)</f>
        <v>0</v>
      </c>
      <c r="H23" s="91">
        <f>IF($A23=Recto!$I$34,VLOOKUP($A23,Recto!$I$28:$L$44,4,FALSE),0)</f>
        <v>0</v>
      </c>
      <c r="I23" s="91">
        <f>IF($A23=Recto!$I$35,VLOOKUP($A23,Recto!$I$28:$L$44,4,FALSE),0)</f>
        <v>0</v>
      </c>
      <c r="J23" s="91">
        <f>IF($A23=Recto!$I$36,VLOOKUP($A23,Recto!$I$28:$L$44,4,FALSE),0)</f>
        <v>0</v>
      </c>
      <c r="K23" s="91">
        <f>IF($A23=Recto!$I$37,VLOOKUP($A23,Recto!$I$28:$L$44,4,FALSE),0)</f>
        <v>0</v>
      </c>
      <c r="L23" s="91">
        <f>IF($A23=Recto!$I$38,VLOOKUP($A23,Recto!$I$28:$L$44,4,FALSE),0)</f>
        <v>0</v>
      </c>
      <c r="M23" s="91">
        <f>IF($A23=Recto!$I$39,VLOOKUP($A23,Recto!$I$28:$L$44,4,FALSE),0)</f>
        <v>0</v>
      </c>
      <c r="N23" s="91">
        <f>IF($A23=Recto!$I$40,VLOOKUP($A23,Recto!$I$28:$L$44,4,FALSE),0)</f>
        <v>0</v>
      </c>
      <c r="O23" s="91">
        <f>IF($A23=Recto!$I$41,VLOOKUP($A23,Recto!$I$28:$L$44,4,FALSE),0)</f>
        <v>0</v>
      </c>
      <c r="P23" s="91">
        <f>IF($A23=Recto!$I$42,VLOOKUP($A23,Recto!$I$28:$L$44,4,FALSE),0)</f>
        <v>0</v>
      </c>
      <c r="Q23" s="91">
        <f>IF($A23=Recto!$I$43,VLOOKUP($A23,Recto!$I$28:$L$44,4,FALSE),0)</f>
        <v>0</v>
      </c>
      <c r="R23" s="91">
        <f>IF($A23=Recto!$I$44,VLOOKUP($A23,Recto!$I$28:$L$44,4,FALSE),0)</f>
        <v>0</v>
      </c>
      <c r="S23" s="295">
        <f t="shared" si="1"/>
        <v>0</v>
      </c>
    </row>
    <row r="24" spans="1:19" x14ac:dyDescent="0.25">
      <c r="A24" s="500" t="s">
        <v>3186</v>
      </c>
      <c r="B24" s="91">
        <f>IF($A24=Recto!$I$28,VLOOKUP($A24,Recto!$I$28:$L$44,4,FALSE),0)</f>
        <v>0</v>
      </c>
      <c r="C24" s="91">
        <f>IF($A24=Recto!$I$29,VLOOKUP($A24,Recto!$I$28:$L$44,4,FALSE),0)</f>
        <v>0</v>
      </c>
      <c r="D24" s="91">
        <f>IF($A24=Recto!$I$30,VLOOKUP($A24,Recto!$I$28:$L$44,4,FALSE),0)</f>
        <v>0</v>
      </c>
      <c r="E24" s="91">
        <f>IF($A24=Recto!$I$31,VLOOKUP($A24,Recto!$I$28:$L$44,4,FALSE),0)</f>
        <v>0</v>
      </c>
      <c r="F24" s="91">
        <f>IF($A24=Recto!$I$32,VLOOKUP($A24,Recto!$I$28:$L$44,4,FALSE),0)</f>
        <v>0</v>
      </c>
      <c r="G24" s="91">
        <f>IF($A24=Recto!$I$33,VLOOKUP($A24,Recto!$I$28:$L$44,4,FALSE),0)</f>
        <v>0</v>
      </c>
      <c r="H24" s="91">
        <f>IF($A24=Recto!$I$34,VLOOKUP($A24,Recto!$I$28:$L$44,4,FALSE),0)</f>
        <v>0</v>
      </c>
      <c r="I24" s="91">
        <f>IF($A24=Recto!$I$35,VLOOKUP($A24,Recto!$I$28:$L$44,4,FALSE),0)</f>
        <v>0</v>
      </c>
      <c r="J24" s="91">
        <f>IF($A24=Recto!$I$36,VLOOKUP($A24,Recto!$I$28:$L$44,4,FALSE),0)</f>
        <v>0</v>
      </c>
      <c r="K24" s="91">
        <f>IF($A24=Recto!$I$37,VLOOKUP($A24,Recto!$I$28:$L$44,4,FALSE),0)</f>
        <v>0</v>
      </c>
      <c r="L24" s="91">
        <f>IF($A24=Recto!$I$38,VLOOKUP($A24,Recto!$I$28:$L$44,4,FALSE),0)</f>
        <v>0</v>
      </c>
      <c r="M24" s="91">
        <f>IF($A24=Recto!$I$39,VLOOKUP($A24,Recto!$I$28:$L$44,4,FALSE),0)</f>
        <v>0</v>
      </c>
      <c r="N24" s="91">
        <f>IF($A24=Recto!$I$40,VLOOKUP($A24,Recto!$I$28:$L$44,4,FALSE),0)</f>
        <v>0</v>
      </c>
      <c r="O24" s="91">
        <f>IF($A24=Recto!$I$41,VLOOKUP($A24,Recto!$I$28:$L$44,4,FALSE),0)</f>
        <v>0</v>
      </c>
      <c r="P24" s="91">
        <f>IF($A24=Recto!$I$42,VLOOKUP($A24,Recto!$I$28:$L$44,4,FALSE),0)</f>
        <v>0</v>
      </c>
      <c r="Q24" s="91">
        <f>IF($A24=Recto!$I$43,VLOOKUP($A24,Recto!$I$28:$L$44,4,FALSE),0)</f>
        <v>0</v>
      </c>
      <c r="R24" s="91">
        <f>IF($A24=Recto!$I$44,VLOOKUP($A24,Recto!$I$28:$L$44,4,FALSE),0)</f>
        <v>0</v>
      </c>
      <c r="S24" s="295">
        <f t="shared" si="1"/>
        <v>0</v>
      </c>
    </row>
    <row r="25" spans="1:19" x14ac:dyDescent="0.25">
      <c r="A25" s="500" t="s">
        <v>3185</v>
      </c>
      <c r="B25" s="91">
        <f>IF($A25=Recto!$I$28,VLOOKUP($A25,Recto!$I$28:$L$44,4,FALSE),0)</f>
        <v>0</v>
      </c>
      <c r="C25" s="91">
        <f>IF($A25=Recto!$I$29,VLOOKUP($A25,Recto!$I$28:$L$44,4,FALSE),0)</f>
        <v>0</v>
      </c>
      <c r="D25" s="91">
        <f>IF($A25=Recto!$I$30,VLOOKUP($A25,Recto!$I$28:$L$44,4,FALSE),0)</f>
        <v>0</v>
      </c>
      <c r="E25" s="91">
        <f>IF($A25=Recto!$I$31,VLOOKUP($A25,Recto!$I$28:$L$44,4,FALSE),0)</f>
        <v>0</v>
      </c>
      <c r="F25" s="91">
        <f>IF($A25=Recto!$I$32,VLOOKUP($A25,Recto!$I$28:$L$44,4,FALSE),0)</f>
        <v>0</v>
      </c>
      <c r="G25" s="91">
        <f>IF($A25=Recto!$I$33,VLOOKUP($A25,Recto!$I$28:$L$44,4,FALSE),0)</f>
        <v>0</v>
      </c>
      <c r="H25" s="91">
        <f>IF($A25=Recto!$I$34,VLOOKUP($A25,Recto!$I$28:$L$44,4,FALSE),0)</f>
        <v>0</v>
      </c>
      <c r="I25" s="91">
        <f>IF($A25=Recto!$I$35,VLOOKUP($A25,Recto!$I$28:$L$44,4,FALSE),0)</f>
        <v>0</v>
      </c>
      <c r="J25" s="91">
        <f>IF($A25=Recto!$I$36,VLOOKUP($A25,Recto!$I$28:$L$44,4,FALSE),0)</f>
        <v>0</v>
      </c>
      <c r="K25" s="91">
        <f>IF($A25=Recto!$I$37,VLOOKUP($A25,Recto!$I$28:$L$44,4,FALSE),0)</f>
        <v>0</v>
      </c>
      <c r="L25" s="91">
        <f>IF($A25=Recto!$I$38,VLOOKUP($A25,Recto!$I$28:$L$44,4,FALSE),0)</f>
        <v>0</v>
      </c>
      <c r="M25" s="91">
        <f>IF($A25=Recto!$I$39,VLOOKUP($A25,Recto!$I$28:$L$44,4,FALSE),0)</f>
        <v>0</v>
      </c>
      <c r="N25" s="91">
        <f>IF($A25=Recto!$I$40,VLOOKUP($A25,Recto!$I$28:$L$44,4,FALSE),0)</f>
        <v>0</v>
      </c>
      <c r="O25" s="91">
        <f>IF($A25=Recto!$I$41,VLOOKUP($A25,Recto!$I$28:$L$44,4,FALSE),0)</f>
        <v>0</v>
      </c>
      <c r="P25" s="91">
        <f>IF($A25=Recto!$I$42,VLOOKUP($A25,Recto!$I$28:$L$44,4,FALSE),0)</f>
        <v>0</v>
      </c>
      <c r="Q25" s="91">
        <f>IF($A25=Recto!$I$43,VLOOKUP($A25,Recto!$I$28:$L$44,4,FALSE),0)</f>
        <v>0</v>
      </c>
      <c r="R25" s="91">
        <f>IF($A25=Recto!$I$44,VLOOKUP($A25,Recto!$I$28:$L$44,4,FALSE),0)</f>
        <v>0</v>
      </c>
      <c r="S25" s="295">
        <f t="shared" si="1"/>
        <v>0</v>
      </c>
    </row>
    <row r="26" spans="1:19" x14ac:dyDescent="0.25">
      <c r="A26" s="500" t="s">
        <v>1321</v>
      </c>
      <c r="B26" s="91">
        <f>IF($A26=Recto!$I$28,VLOOKUP($A26,Recto!$I$28:$L$44,4,FALSE),0)</f>
        <v>0</v>
      </c>
      <c r="C26" s="91">
        <f>IF($A26=Recto!$I$29,VLOOKUP($A26,Recto!$I$28:$L$44,4,FALSE),0)</f>
        <v>0</v>
      </c>
      <c r="D26" s="91">
        <f>IF($A26=Recto!$I$30,VLOOKUP($A26,Recto!$I$28:$L$44,4,FALSE),0)</f>
        <v>0</v>
      </c>
      <c r="E26" s="91">
        <f>IF($A26=Recto!$I$31,VLOOKUP($A26,Recto!$I$28:$L$44,4,FALSE),0)</f>
        <v>0</v>
      </c>
      <c r="F26" s="91">
        <f>IF($A26=Recto!$I$32,VLOOKUP($A26,Recto!$I$28:$L$44,4,FALSE),0)</f>
        <v>0</v>
      </c>
      <c r="G26" s="91">
        <f>IF($A26=Recto!$I$33,VLOOKUP($A26,Recto!$I$28:$L$44,4,FALSE),0)</f>
        <v>0</v>
      </c>
      <c r="H26" s="91">
        <f>IF($A26=Recto!$I$34,VLOOKUP($A26,Recto!$I$28:$L$44,4,FALSE),0)</f>
        <v>0</v>
      </c>
      <c r="I26" s="91">
        <f>IF($A26=Recto!$I$35,VLOOKUP($A26,Recto!$I$28:$L$44,4,FALSE),0)</f>
        <v>0</v>
      </c>
      <c r="J26" s="91">
        <f>IF($A26=Recto!$I$36,VLOOKUP($A26,Recto!$I$28:$L$44,4,FALSE),0)</f>
        <v>0</v>
      </c>
      <c r="K26" s="91">
        <f>IF($A26=Recto!$I$37,VLOOKUP($A26,Recto!$I$28:$L$44,4,FALSE),0)</f>
        <v>0</v>
      </c>
      <c r="L26" s="91">
        <f>IF($A26=Recto!$I$38,VLOOKUP($A26,Recto!$I$28:$L$44,4,FALSE),0)</f>
        <v>0</v>
      </c>
      <c r="M26" s="91">
        <f>IF($A26=Recto!$I$39,VLOOKUP($A26,Recto!$I$28:$L$44,4,FALSE),0)</f>
        <v>0</v>
      </c>
      <c r="N26" s="91">
        <f>IF($A26=Recto!$I$40,VLOOKUP($A26,Recto!$I$28:$L$44,4,FALSE),0)</f>
        <v>0</v>
      </c>
      <c r="O26" s="91">
        <f>IF($A26=Recto!$I$41,VLOOKUP($A26,Recto!$I$28:$L$44,4,FALSE),0)</f>
        <v>0</v>
      </c>
      <c r="P26" s="91">
        <f>IF($A26=Recto!$I$42,VLOOKUP($A26,Recto!$I$28:$L$44,4,FALSE),0)</f>
        <v>0</v>
      </c>
      <c r="Q26" s="91">
        <f>IF($A26=Recto!$I$43,VLOOKUP($A26,Recto!$I$28:$L$44,4,FALSE),0)</f>
        <v>0</v>
      </c>
      <c r="R26" s="91">
        <f>IF($A26=Recto!$I$44,VLOOKUP($A26,Recto!$I$28:$L$44,4,FALSE),0)</f>
        <v>0</v>
      </c>
      <c r="S26" s="295">
        <f t="shared" si="1"/>
        <v>0</v>
      </c>
    </row>
    <row r="27" spans="1:19" x14ac:dyDescent="0.25">
      <c r="A27" s="500" t="s">
        <v>181</v>
      </c>
      <c r="B27" s="91">
        <f>IF($A27=Recto!$I$28,VLOOKUP($A27,Recto!$I$28:$L$44,4,FALSE),0)</f>
        <v>0</v>
      </c>
      <c r="C27" s="91">
        <f>IF($A27=Recto!$I$29,VLOOKUP($A27,Recto!$I$28:$L$44,4,FALSE),0)</f>
        <v>0</v>
      </c>
      <c r="D27" s="91">
        <f>IF($A27=Recto!$I$30,VLOOKUP($A27,Recto!$I$28:$L$44,4,FALSE),0)</f>
        <v>0</v>
      </c>
      <c r="E27" s="91">
        <f>IF($A27=Recto!$I$31,VLOOKUP($A27,Recto!$I$28:$L$44,4,FALSE),0)</f>
        <v>0</v>
      </c>
      <c r="F27" s="91">
        <f>IF($A27=Recto!$I$32,VLOOKUP($A27,Recto!$I$28:$L$44,4,FALSE),0)</f>
        <v>0</v>
      </c>
      <c r="G27" s="91">
        <f>IF($A27=Recto!$I$33,VLOOKUP($A27,Recto!$I$28:$L$44,4,FALSE),0)</f>
        <v>0</v>
      </c>
      <c r="H27" s="91">
        <f>IF($A27=Recto!$I$34,VLOOKUP($A27,Recto!$I$28:$L$44,4,FALSE),0)</f>
        <v>0</v>
      </c>
      <c r="I27" s="91">
        <f>IF($A27=Recto!$I$35,VLOOKUP($A27,Recto!$I$28:$L$44,4,FALSE),0)</f>
        <v>0</v>
      </c>
      <c r="J27" s="91">
        <f>IF($A27=Recto!$I$36,VLOOKUP($A27,Recto!$I$28:$L$44,4,FALSE),0)</f>
        <v>0</v>
      </c>
      <c r="K27" s="91">
        <f>IF($A27=Recto!$I$37,VLOOKUP($A27,Recto!$I$28:$L$44,4,FALSE),0)</f>
        <v>0</v>
      </c>
      <c r="L27" s="91">
        <f>IF($A27=Recto!$I$38,VLOOKUP($A27,Recto!$I$28:$L$44,4,FALSE),0)</f>
        <v>0</v>
      </c>
      <c r="M27" s="91">
        <f>IF($A27=Recto!$I$39,VLOOKUP($A27,Recto!$I$28:$L$44,4,FALSE),0)</f>
        <v>0</v>
      </c>
      <c r="N27" s="91">
        <f>IF($A27=Recto!$I$40,VLOOKUP($A27,Recto!$I$28:$L$44,4,FALSE),0)</f>
        <v>0</v>
      </c>
      <c r="O27" s="91">
        <f>IF($A27=Recto!$I$41,VLOOKUP($A27,Recto!$I$28:$L$44,4,FALSE),0)</f>
        <v>0</v>
      </c>
      <c r="P27" s="91">
        <f>IF($A27=Recto!$I$42,VLOOKUP($A27,Recto!$I$28:$L$44,4,FALSE),0)</f>
        <v>0</v>
      </c>
      <c r="Q27" s="91">
        <f>IF($A27=Recto!$I$43,VLOOKUP($A27,Recto!$I$28:$L$44,4,FALSE),0)</f>
        <v>0</v>
      </c>
      <c r="R27" s="91">
        <f>IF($A27=Recto!$I$44,VLOOKUP($A27,Recto!$I$28:$L$44,4,FALSE),0)</f>
        <v>0</v>
      </c>
      <c r="S27" s="295">
        <f t="shared" si="1"/>
        <v>0</v>
      </c>
    </row>
    <row r="28" spans="1:19" x14ac:dyDescent="0.25">
      <c r="A28" s="500" t="s">
        <v>1387</v>
      </c>
      <c r="B28" s="91">
        <f>IF($A28=Recto!$I$28,VLOOKUP($A28,Recto!$I$28:$L$44,4,FALSE),0)</f>
        <v>0</v>
      </c>
      <c r="C28" s="91">
        <f>IF($A28=Recto!$I$29,VLOOKUP($A28,Recto!$I$28:$L$44,4,FALSE),0)</f>
        <v>0</v>
      </c>
      <c r="D28" s="91">
        <f>IF($A28=Recto!$I$30,VLOOKUP($A28,Recto!$I$28:$L$44,4,FALSE),0)</f>
        <v>0</v>
      </c>
      <c r="E28" s="91">
        <f>IF($A28=Recto!$I$31,VLOOKUP($A28,Recto!$I$28:$L$44,4,FALSE),0)</f>
        <v>0</v>
      </c>
      <c r="F28" s="91">
        <f>IF($A28=Recto!$I$32,VLOOKUP($A28,Recto!$I$28:$L$44,4,FALSE),0)</f>
        <v>0</v>
      </c>
      <c r="G28" s="91">
        <f>IF($A28=Recto!$I$33,VLOOKUP($A28,Recto!$I$28:$L$44,4,FALSE),0)</f>
        <v>0</v>
      </c>
      <c r="H28" s="91">
        <f>IF($A28=Recto!$I$34,VLOOKUP($A28,Recto!$I$28:$L$44,4,FALSE),0)</f>
        <v>0</v>
      </c>
      <c r="I28" s="91">
        <f>IF($A28=Recto!$I$35,VLOOKUP($A28,Recto!$I$28:$L$44,4,FALSE),0)</f>
        <v>0</v>
      </c>
      <c r="J28" s="91">
        <f>IF($A28=Recto!$I$36,VLOOKUP($A28,Recto!$I$28:$L$44,4,FALSE),0)</f>
        <v>0</v>
      </c>
      <c r="K28" s="91">
        <f>IF($A28=Recto!$I$37,VLOOKUP($A28,Recto!$I$28:$L$44,4,FALSE),0)</f>
        <v>0</v>
      </c>
      <c r="L28" s="91">
        <f>IF($A28=Recto!$I$38,VLOOKUP($A28,Recto!$I$28:$L$44,4,FALSE),0)</f>
        <v>0</v>
      </c>
      <c r="M28" s="91">
        <f>IF($A28=Recto!$I$39,VLOOKUP($A28,Recto!$I$28:$L$44,4,FALSE),0)</f>
        <v>0</v>
      </c>
      <c r="N28" s="91">
        <f>IF($A28=Recto!$I$40,VLOOKUP($A28,Recto!$I$28:$L$44,4,FALSE),0)</f>
        <v>0</v>
      </c>
      <c r="O28" s="91">
        <f>IF($A28=Recto!$I$41,VLOOKUP($A28,Recto!$I$28:$L$44,4,FALSE),0)</f>
        <v>0</v>
      </c>
      <c r="P28" s="91">
        <f>IF($A28=Recto!$I$42,VLOOKUP($A28,Recto!$I$28:$L$44,4,FALSE),0)</f>
        <v>0</v>
      </c>
      <c r="Q28" s="91">
        <f>IF($A28=Recto!$I$43,VLOOKUP($A28,Recto!$I$28:$L$44,4,FALSE),0)</f>
        <v>0</v>
      </c>
      <c r="R28" s="91">
        <f>IF($A28=Recto!$I$44,VLOOKUP($A28,Recto!$I$28:$L$44,4,FALSE),0)</f>
        <v>0</v>
      </c>
      <c r="S28" s="295">
        <f t="shared" si="1"/>
        <v>0</v>
      </c>
    </row>
    <row r="29" spans="1:19" x14ac:dyDescent="0.25">
      <c r="A29" s="500" t="s">
        <v>3187</v>
      </c>
      <c r="B29" s="91">
        <f>IF($A29=Recto!$I$28,VLOOKUP($A29,Recto!$I$28:$L$44,4,FALSE),0)</f>
        <v>0</v>
      </c>
      <c r="C29" s="91">
        <f>IF($A29=Recto!$I$29,VLOOKUP($A29,Recto!$I$28:$L$44,4,FALSE),0)</f>
        <v>0</v>
      </c>
      <c r="D29" s="91">
        <f>IF($A29=Recto!$I$30,VLOOKUP($A29,Recto!$I$28:$L$44,4,FALSE),0)</f>
        <v>0</v>
      </c>
      <c r="E29" s="91">
        <f>IF($A29=Recto!$I$31,VLOOKUP($A29,Recto!$I$28:$L$44,4,FALSE),0)</f>
        <v>0</v>
      </c>
      <c r="F29" s="91">
        <f>IF($A29=Recto!$I$32,VLOOKUP($A29,Recto!$I$28:$L$44,4,FALSE),0)</f>
        <v>0</v>
      </c>
      <c r="G29" s="91">
        <f>IF($A29=Recto!$I$33,VLOOKUP($A29,Recto!$I$28:$L$44,4,FALSE),0)</f>
        <v>0</v>
      </c>
      <c r="H29" s="91">
        <f>IF($A29=Recto!$I$34,VLOOKUP($A29,Recto!$I$28:$L$44,4,FALSE),0)</f>
        <v>0</v>
      </c>
      <c r="I29" s="91">
        <f>IF($A29=Recto!$I$35,VLOOKUP($A29,Recto!$I$28:$L$44,4,FALSE),0)</f>
        <v>0</v>
      </c>
      <c r="J29" s="91">
        <f>IF($A29=Recto!$I$36,VLOOKUP($A29,Recto!$I$28:$L$44,4,FALSE),0)</f>
        <v>0</v>
      </c>
      <c r="K29" s="91">
        <f>IF($A29=Recto!$I$37,VLOOKUP($A29,Recto!$I$28:$L$44,4,FALSE),0)</f>
        <v>0</v>
      </c>
      <c r="L29" s="91">
        <f>IF($A29=Recto!$I$38,VLOOKUP($A29,Recto!$I$28:$L$44,4,FALSE),0)</f>
        <v>0</v>
      </c>
      <c r="M29" s="91">
        <f>IF($A29=Recto!$I$39,VLOOKUP($A29,Recto!$I$28:$L$44,4,FALSE),0)</f>
        <v>0</v>
      </c>
      <c r="N29" s="91">
        <f>IF($A29=Recto!$I$40,VLOOKUP($A29,Recto!$I$28:$L$44,4,FALSE),0)</f>
        <v>0</v>
      </c>
      <c r="O29" s="91">
        <f>IF($A29=Recto!$I$41,VLOOKUP($A29,Recto!$I$28:$L$44,4,FALSE),0)</f>
        <v>0</v>
      </c>
      <c r="P29" s="91">
        <f>IF($A29=Recto!$I$42,VLOOKUP($A29,Recto!$I$28:$L$44,4,FALSE),0)</f>
        <v>0</v>
      </c>
      <c r="Q29" s="91">
        <f>IF($A29=Recto!$I$43,VLOOKUP($A29,Recto!$I$28:$L$44,4,FALSE),0)</f>
        <v>0</v>
      </c>
      <c r="R29" s="91">
        <f>IF($A29=Recto!$I$44,VLOOKUP($A29,Recto!$I$28:$L$44,4,FALSE),0)</f>
        <v>0</v>
      </c>
      <c r="S29" s="295">
        <f t="shared" si="1"/>
        <v>0</v>
      </c>
    </row>
    <row r="30" spans="1:19" s="196" customFormat="1" x14ac:dyDescent="0.25">
      <c r="A30" s="500" t="s">
        <v>5826</v>
      </c>
      <c r="B30" s="91">
        <f>IF($A30=Recto!$I$28,VLOOKUP($A30,Recto!$I$28:$L$44,4,FALSE),0)</f>
        <v>0</v>
      </c>
      <c r="C30" s="91">
        <f>IF($A30=Recto!$I$29,VLOOKUP($A30,Recto!$I$28:$L$44,4,FALSE),0)</f>
        <v>0</v>
      </c>
      <c r="D30" s="91">
        <f>IF($A30=Recto!$I$30,VLOOKUP($A30,Recto!$I$28:$L$44,4,FALSE),0)</f>
        <v>0</v>
      </c>
      <c r="E30" s="91">
        <f>IF($A30=Recto!$I$31,VLOOKUP($A30,Recto!$I$28:$L$44,4,FALSE),0)</f>
        <v>0</v>
      </c>
      <c r="F30" s="91">
        <f>IF($A30=Recto!$I$32,VLOOKUP($A30,Recto!$I$28:$L$44,4,FALSE),0)</f>
        <v>0</v>
      </c>
      <c r="G30" s="91">
        <f>IF($A30=Recto!$I$33,VLOOKUP($A30,Recto!$I$28:$L$44,4,FALSE),0)</f>
        <v>0</v>
      </c>
      <c r="H30" s="91">
        <f>IF($A30=Recto!$I$34,VLOOKUP($A30,Recto!$I$28:$L$44,4,FALSE),0)</f>
        <v>0</v>
      </c>
      <c r="I30" s="91">
        <f>IF($A30=Recto!$I$35,VLOOKUP($A30,Recto!$I$28:$L$44,4,FALSE),0)</f>
        <v>0</v>
      </c>
      <c r="J30" s="91">
        <f>IF($A30=Recto!$I$36,VLOOKUP($A30,Recto!$I$28:$L$44,4,FALSE),0)</f>
        <v>0</v>
      </c>
      <c r="K30" s="91">
        <f>IF($A30=Recto!$I$37,VLOOKUP($A30,Recto!$I$28:$L$44,4,FALSE),0)</f>
        <v>0</v>
      </c>
      <c r="L30" s="91">
        <f>IF($A30=Recto!$I$38,VLOOKUP($A30,Recto!$I$28:$L$44,4,FALSE),0)</f>
        <v>0</v>
      </c>
      <c r="M30" s="91">
        <f>IF($A30=Recto!$I$39,VLOOKUP($A30,Recto!$I$28:$L$44,4,FALSE),0)</f>
        <v>0</v>
      </c>
      <c r="N30" s="91">
        <f>IF($A30=Recto!$I$40,VLOOKUP($A30,Recto!$I$28:$L$44,4,FALSE),0)</f>
        <v>0</v>
      </c>
      <c r="O30" s="91">
        <f>IF($A30=Recto!$I$41,VLOOKUP($A30,Recto!$I$28:$L$44,4,FALSE),0)</f>
        <v>0</v>
      </c>
      <c r="P30" s="91">
        <f>IF($A30=Recto!$I$42,VLOOKUP($A30,Recto!$I$28:$L$44,4,FALSE),0)</f>
        <v>0</v>
      </c>
      <c r="Q30" s="91">
        <f>IF($A30=Recto!$I$43,VLOOKUP($A30,Recto!$I$28:$L$44,4,FALSE),0)</f>
        <v>0</v>
      </c>
      <c r="R30" s="91">
        <f>IF($A30=Recto!$I$44,VLOOKUP($A30,Recto!$I$28:$L$44,4,FALSE),0)</f>
        <v>0</v>
      </c>
      <c r="S30" s="295">
        <f>SUM(B30:R30)</f>
        <v>0</v>
      </c>
    </row>
    <row r="31" spans="1:19" x14ac:dyDescent="0.25">
      <c r="A31" s="500" t="s">
        <v>1364</v>
      </c>
      <c r="B31" s="91">
        <f>IF($A31=Recto!$I$28,VLOOKUP($A31,Recto!$I$28:$L$44,4,FALSE),0)</f>
        <v>0</v>
      </c>
      <c r="C31" s="91">
        <f>IF($A31=Recto!$I$29,VLOOKUP($A31,Recto!$I$28:$L$44,4,FALSE),0)</f>
        <v>0</v>
      </c>
      <c r="D31" s="91">
        <f>IF($A31=Recto!$I$30,VLOOKUP($A31,Recto!$I$28:$L$44,4,FALSE),0)</f>
        <v>0</v>
      </c>
      <c r="E31" s="91">
        <f>IF($A31=Recto!$I$31,VLOOKUP($A31,Recto!$I$28:$L$44,4,FALSE),0)</f>
        <v>0</v>
      </c>
      <c r="F31" s="91">
        <f>IF($A31=Recto!$I$32,VLOOKUP($A31,Recto!$I$28:$L$44,4,FALSE),0)</f>
        <v>0</v>
      </c>
      <c r="G31" s="91">
        <f>IF($A31=Recto!$I$33,VLOOKUP($A31,Recto!$I$28:$L$44,4,FALSE),0)</f>
        <v>0</v>
      </c>
      <c r="H31" s="91">
        <f>IF($A31=Recto!$I$34,VLOOKUP($A31,Recto!$I$28:$L$44,4,FALSE),0)</f>
        <v>0</v>
      </c>
      <c r="I31" s="91">
        <f>IF($A31=Recto!$I$35,VLOOKUP($A31,Recto!$I$28:$L$44,4,FALSE),0)</f>
        <v>0</v>
      </c>
      <c r="J31" s="91">
        <f>IF($A31=Recto!$I$36,VLOOKUP($A31,Recto!$I$28:$L$44,4,FALSE),0)</f>
        <v>0</v>
      </c>
      <c r="K31" s="91">
        <f>IF($A31=Recto!$I$37,VLOOKUP($A31,Recto!$I$28:$L$44,4,FALSE),0)</f>
        <v>0</v>
      </c>
      <c r="L31" s="91">
        <f>IF($A31=Recto!$I$38,VLOOKUP($A31,Recto!$I$28:$L$44,4,FALSE),0)</f>
        <v>0</v>
      </c>
      <c r="M31" s="91">
        <f>IF($A31=Recto!$I$39,VLOOKUP($A31,Recto!$I$28:$L$44,4,FALSE),0)</f>
        <v>0</v>
      </c>
      <c r="N31" s="91">
        <f>IF($A31=Recto!$I$40,VLOOKUP($A31,Recto!$I$28:$L$44,4,FALSE),0)</f>
        <v>0</v>
      </c>
      <c r="O31" s="91">
        <f>IF($A31=Recto!$I$41,VLOOKUP($A31,Recto!$I$28:$L$44,4,FALSE),0)</f>
        <v>0</v>
      </c>
      <c r="P31" s="91">
        <f>IF($A31=Recto!$I$42,VLOOKUP($A31,Recto!$I$28:$L$44,4,FALSE),0)</f>
        <v>0</v>
      </c>
      <c r="Q31" s="91">
        <f>IF($A31=Recto!$I$43,VLOOKUP($A31,Recto!$I$28:$L$44,4,FALSE),0)</f>
        <v>0</v>
      </c>
      <c r="R31" s="91">
        <f>IF($A31=Recto!$I$44,VLOOKUP($A31,Recto!$I$28:$L$44,4,FALSE),0)</f>
        <v>0</v>
      </c>
      <c r="S31" s="295">
        <f t="shared" si="1"/>
        <v>0</v>
      </c>
    </row>
    <row r="32" spans="1:19" x14ac:dyDescent="0.25">
      <c r="A32" s="500" t="s">
        <v>3259</v>
      </c>
      <c r="B32" s="91">
        <f>IF($A32=Recto!$I$28,VLOOKUP($A32,Recto!$I$28:$L$44,4,FALSE),0)</f>
        <v>0</v>
      </c>
      <c r="C32" s="91">
        <f>IF($A32=Recto!$I$29,VLOOKUP($A32,Recto!$I$28:$L$44,4,FALSE),0)</f>
        <v>0</v>
      </c>
      <c r="D32" s="91">
        <f>IF($A32=Recto!$I$30,VLOOKUP($A32,Recto!$I$28:$L$44,4,FALSE),0)</f>
        <v>0</v>
      </c>
      <c r="E32" s="91">
        <f>IF($A32=Recto!$I$31,VLOOKUP($A32,Recto!$I$28:$L$44,4,FALSE),0)</f>
        <v>0</v>
      </c>
      <c r="F32" s="91">
        <f>IF($A32=Recto!$I$32,VLOOKUP($A32,Recto!$I$28:$L$44,4,FALSE),0)</f>
        <v>0</v>
      </c>
      <c r="G32" s="91">
        <f>IF($A32=Recto!$I$33,VLOOKUP($A32,Recto!$I$28:$L$44,4,FALSE),0)</f>
        <v>0</v>
      </c>
      <c r="H32" s="91">
        <f>IF($A32=Recto!$I$34,VLOOKUP($A32,Recto!$I$28:$L$44,4,FALSE),0)</f>
        <v>0</v>
      </c>
      <c r="I32" s="91">
        <f>IF($A32=Recto!$I$35,VLOOKUP($A32,Recto!$I$28:$L$44,4,FALSE),0)</f>
        <v>0</v>
      </c>
      <c r="J32" s="91">
        <f>IF($A32=Recto!$I$36,VLOOKUP($A32,Recto!$I$28:$L$44,4,FALSE),0)</f>
        <v>0</v>
      </c>
      <c r="K32" s="91">
        <f>IF($A32=Recto!$I$37,VLOOKUP($A32,Recto!$I$28:$L$44,4,FALSE),0)</f>
        <v>0</v>
      </c>
      <c r="L32" s="91">
        <f>IF($A32=Recto!$I$38,VLOOKUP($A32,Recto!$I$28:$L$44,4,FALSE),0)</f>
        <v>0</v>
      </c>
      <c r="M32" s="91">
        <f>IF($A32=Recto!$I$39,VLOOKUP($A32,Recto!$I$28:$L$44,4,FALSE),0)</f>
        <v>0</v>
      </c>
      <c r="N32" s="91">
        <f>IF($A32=Recto!$I$40,VLOOKUP($A32,Recto!$I$28:$L$44,4,FALSE),0)</f>
        <v>0</v>
      </c>
      <c r="O32" s="91">
        <f>IF($A32=Recto!$I$41,VLOOKUP($A32,Recto!$I$28:$L$44,4,FALSE),0)</f>
        <v>0</v>
      </c>
      <c r="P32" s="91">
        <f>IF($A32=Recto!$I$42,VLOOKUP($A32,Recto!$I$28:$L$44,4,FALSE),0)</f>
        <v>0</v>
      </c>
      <c r="Q32" s="91">
        <f>IF($A32=Recto!$I$43,VLOOKUP($A32,Recto!$I$28:$L$44,4,FALSE),0)</f>
        <v>0</v>
      </c>
      <c r="R32" s="91">
        <f>IF($A32=Recto!$I$44,VLOOKUP($A32,Recto!$I$28:$L$44,4,FALSE),0)</f>
        <v>0</v>
      </c>
      <c r="S32" s="295">
        <f t="shared" si="1"/>
        <v>0</v>
      </c>
    </row>
    <row r="33" spans="1:20" x14ac:dyDescent="0.25">
      <c r="A33" s="500" t="s">
        <v>1365</v>
      </c>
      <c r="B33" s="91">
        <f>IF($A33=Recto!$I$28,VLOOKUP($A33,Recto!$I$28:$L$44,4,FALSE),0)</f>
        <v>0</v>
      </c>
      <c r="C33" s="91">
        <f>IF($A33=Recto!$I$29,VLOOKUP($A33,Recto!$I$28:$L$44,4,FALSE),0)</f>
        <v>0</v>
      </c>
      <c r="D33" s="91">
        <f>IF($A33=Recto!$I$30,VLOOKUP($A33,Recto!$I$28:$L$44,4,FALSE),0)</f>
        <v>0</v>
      </c>
      <c r="E33" s="91">
        <f>IF($A33=Recto!$I$31,VLOOKUP($A33,Recto!$I$28:$L$44,4,FALSE),0)</f>
        <v>0</v>
      </c>
      <c r="F33" s="91">
        <f>IF($A33=Recto!$I$32,VLOOKUP($A33,Recto!$I$28:$L$44,4,FALSE),0)</f>
        <v>0</v>
      </c>
      <c r="G33" s="91">
        <f>IF($A33=Recto!$I$33,VLOOKUP($A33,Recto!$I$28:$L$44,4,FALSE),0)</f>
        <v>0</v>
      </c>
      <c r="H33" s="91">
        <f>IF($A33=Recto!$I$34,VLOOKUP($A33,Recto!$I$28:$L$44,4,FALSE),0)</f>
        <v>0</v>
      </c>
      <c r="I33" s="91">
        <f>IF($A33=Recto!$I$35,VLOOKUP($A33,Recto!$I$28:$L$44,4,FALSE),0)</f>
        <v>0</v>
      </c>
      <c r="J33" s="91">
        <f>IF($A33=Recto!$I$36,VLOOKUP($A33,Recto!$I$28:$L$44,4,FALSE),0)</f>
        <v>0</v>
      </c>
      <c r="K33" s="91">
        <f>IF($A33=Recto!$I$37,VLOOKUP($A33,Recto!$I$28:$L$44,4,FALSE),0)</f>
        <v>0</v>
      </c>
      <c r="L33" s="91">
        <f>IF($A33=Recto!$I$38,VLOOKUP($A33,Recto!$I$28:$L$44,4,FALSE),0)</f>
        <v>0</v>
      </c>
      <c r="M33" s="91">
        <f>IF($A33=Recto!$I$39,VLOOKUP($A33,Recto!$I$28:$L$44,4,FALSE),0)</f>
        <v>0</v>
      </c>
      <c r="N33" s="91">
        <f>IF($A33=Recto!$I$40,VLOOKUP($A33,Recto!$I$28:$L$44,4,FALSE),0)</f>
        <v>0</v>
      </c>
      <c r="O33" s="91">
        <f>IF($A33=Recto!$I$41,VLOOKUP($A33,Recto!$I$28:$L$44,4,FALSE),0)</f>
        <v>0</v>
      </c>
      <c r="P33" s="91">
        <f>IF($A33=Recto!$I$42,VLOOKUP($A33,Recto!$I$28:$L$44,4,FALSE),0)</f>
        <v>0</v>
      </c>
      <c r="Q33" s="91">
        <f>IF($A33=Recto!$I$43,VLOOKUP($A33,Recto!$I$28:$L$44,4,FALSE),0)</f>
        <v>0</v>
      </c>
      <c r="R33" s="91">
        <f>IF($A33=Recto!$I$44,VLOOKUP($A33,Recto!$I$28:$L$44,4,FALSE),0)</f>
        <v>0</v>
      </c>
      <c r="S33" s="295">
        <f t="shared" si="1"/>
        <v>0</v>
      </c>
    </row>
    <row r="34" spans="1:20" x14ac:dyDescent="0.25">
      <c r="A34" s="500" t="s">
        <v>1298</v>
      </c>
      <c r="B34" s="91">
        <f>IF($A34=Recto!$I$28,VLOOKUP($A34,Recto!$I$28:$L$44,4,FALSE),0)</f>
        <v>0</v>
      </c>
      <c r="C34" s="91">
        <f>IF($A34=Recto!$I$29,VLOOKUP($A34,Recto!$I$28:$L$44,4,FALSE),0)</f>
        <v>0</v>
      </c>
      <c r="D34" s="91">
        <f>IF($A34=Recto!$I$30,VLOOKUP($A34,Recto!$I$28:$L$44,4,FALSE),0)</f>
        <v>0</v>
      </c>
      <c r="E34" s="91">
        <f>IF($A34=Recto!$I$31,VLOOKUP($A34,Recto!$I$28:$L$44,4,FALSE),0)</f>
        <v>0</v>
      </c>
      <c r="F34" s="91">
        <f>IF($A34=Recto!$I$32,VLOOKUP($A34,Recto!$I$28:$L$44,4,FALSE),0)</f>
        <v>0</v>
      </c>
      <c r="G34" s="91">
        <f>IF($A34=Recto!$I$33,VLOOKUP($A34,Recto!$I$28:$L$44,4,FALSE),0)</f>
        <v>0</v>
      </c>
      <c r="H34" s="91">
        <f>IF($A34=Recto!$I$34,VLOOKUP($A34,Recto!$I$28:$L$44,4,FALSE),0)</f>
        <v>0</v>
      </c>
      <c r="I34" s="91">
        <f>IF($A34=Recto!$I$35,VLOOKUP($A34,Recto!$I$28:$L$44,4,FALSE),0)</f>
        <v>0</v>
      </c>
      <c r="J34" s="91">
        <f>IF($A34=Recto!$I$36,VLOOKUP($A34,Recto!$I$28:$L$44,4,FALSE),0)</f>
        <v>0</v>
      </c>
      <c r="K34" s="91">
        <f>IF($A34=Recto!$I$37,VLOOKUP($A34,Recto!$I$28:$L$44,4,FALSE),0)</f>
        <v>0</v>
      </c>
      <c r="L34" s="91">
        <f>IF($A34=Recto!$I$38,VLOOKUP($A34,Recto!$I$28:$L$44,4,FALSE),0)</f>
        <v>0</v>
      </c>
      <c r="M34" s="91">
        <f>IF($A34=Recto!$I$39,VLOOKUP($A34,Recto!$I$28:$L$44,4,FALSE),0)</f>
        <v>0</v>
      </c>
      <c r="N34" s="91">
        <f>IF($A34=Recto!$I$40,VLOOKUP($A34,Recto!$I$28:$L$44,4,FALSE),0)</f>
        <v>0</v>
      </c>
      <c r="O34" s="91">
        <f>IF($A34=Recto!$I$41,VLOOKUP($A34,Recto!$I$28:$L$44,4,FALSE),0)</f>
        <v>0</v>
      </c>
      <c r="P34" s="91">
        <f>IF($A34=Recto!$I$42,VLOOKUP($A34,Recto!$I$28:$L$44,4,FALSE),0)</f>
        <v>0</v>
      </c>
      <c r="Q34" s="91">
        <f>IF($A34=Recto!$I$43,VLOOKUP($A34,Recto!$I$28:$L$44,4,FALSE),0)</f>
        <v>0</v>
      </c>
      <c r="R34" s="91">
        <f>IF($A34=Recto!$I$44,VLOOKUP($A34,Recto!$I$28:$L$44,4,FALSE),0)</f>
        <v>0</v>
      </c>
      <c r="S34" s="295">
        <f t="shared" si="1"/>
        <v>0</v>
      </c>
    </row>
    <row r="35" spans="1:20" x14ac:dyDescent="0.25">
      <c r="A35" s="500" t="s">
        <v>4927</v>
      </c>
      <c r="B35" s="91">
        <f>IF($A35=Recto!$I$28,VLOOKUP($A35,Recto!$I$28:$L$44,4,FALSE),0)</f>
        <v>0</v>
      </c>
      <c r="C35" s="91">
        <f>IF($A35=Recto!$I$29,VLOOKUP($A35,Recto!$I$28:$L$44,4,FALSE),0)</f>
        <v>0</v>
      </c>
      <c r="D35" s="91">
        <f>IF($A35=Recto!$I$30,VLOOKUP($A35,Recto!$I$28:$L$44,4,FALSE),0)</f>
        <v>0</v>
      </c>
      <c r="E35" s="91">
        <f>IF($A35=Recto!$I$31,VLOOKUP($A35,Recto!$I$28:$L$44,4,FALSE),0)</f>
        <v>0</v>
      </c>
      <c r="F35" s="91">
        <f>IF($A35=Recto!$I$32,VLOOKUP($A35,Recto!$I$28:$L$44,4,FALSE),0)</f>
        <v>0</v>
      </c>
      <c r="G35" s="91">
        <f>IF($A35=Recto!$I$33,VLOOKUP($A35,Recto!$I$28:$L$44,4,FALSE),0)</f>
        <v>0</v>
      </c>
      <c r="H35" s="91">
        <f>IF($A35=Recto!$I$34,VLOOKUP($A35,Recto!$I$28:$L$44,4,FALSE),0)</f>
        <v>0</v>
      </c>
      <c r="I35" s="91">
        <f>IF($A35=Recto!$I$35,VLOOKUP($A35,Recto!$I$28:$L$44,4,FALSE),0)</f>
        <v>0</v>
      </c>
      <c r="J35" s="91">
        <f>IF($A35=Recto!$I$36,VLOOKUP($A35,Recto!$I$28:$L$44,4,FALSE),0)</f>
        <v>0</v>
      </c>
      <c r="K35" s="91">
        <f>IF($A35=Recto!$I$37,VLOOKUP($A35,Recto!$I$28:$L$44,4,FALSE),0)</f>
        <v>0</v>
      </c>
      <c r="L35" s="91">
        <f>IF($A35=Recto!$I$38,VLOOKUP($A35,Recto!$I$28:$L$44,4,FALSE),0)</f>
        <v>0</v>
      </c>
      <c r="M35" s="91">
        <f>IF($A35=Recto!$I$39,VLOOKUP($A35,Recto!$I$28:$L$44,4,FALSE),0)</f>
        <v>0</v>
      </c>
      <c r="N35" s="91">
        <f>IF($A35=Recto!$I$40,VLOOKUP($A35,Recto!$I$28:$L$44,4,FALSE),0)</f>
        <v>0</v>
      </c>
      <c r="O35" s="91">
        <f>IF($A35=Recto!$I$41,VLOOKUP($A35,Recto!$I$28:$L$44,4,FALSE),0)</f>
        <v>0</v>
      </c>
      <c r="P35" s="91">
        <f>IF($A35=Recto!$I$42,VLOOKUP($A35,Recto!$I$28:$L$44,4,FALSE),0)</f>
        <v>0</v>
      </c>
      <c r="Q35" s="91">
        <f>IF($A35=Recto!$I$43,VLOOKUP($A35,Recto!$I$28:$L$44,4,FALSE),0)</f>
        <v>0</v>
      </c>
      <c r="R35" s="91">
        <f>IF($A35=Recto!$I$44,VLOOKUP($A35,Recto!$I$28:$L$44,4,FALSE),0)</f>
        <v>0</v>
      </c>
      <c r="S35" s="295">
        <f t="shared" si="1"/>
        <v>0</v>
      </c>
    </row>
    <row r="36" spans="1:20" s="196" customFormat="1" x14ac:dyDescent="0.25">
      <c r="A36" s="500" t="s">
        <v>7448</v>
      </c>
      <c r="B36" s="91">
        <f>IF($A36=Recto!$I$28,VLOOKUP($A36,Recto!$I$28:$L$44,4,FALSE),0)</f>
        <v>0</v>
      </c>
      <c r="C36" s="91">
        <f>IF($A36=Recto!$I$29,VLOOKUP($A36,Recto!$I$28:$L$44,4,FALSE),0)</f>
        <v>0</v>
      </c>
      <c r="D36" s="91">
        <f>IF($A36=Recto!$I$30,VLOOKUP($A36,Recto!$I$28:$L$44,4,FALSE),0)</f>
        <v>0</v>
      </c>
      <c r="E36" s="91">
        <f>IF($A36=Recto!$I$31,VLOOKUP($A36,Recto!$I$28:$L$44,4,FALSE),0)</f>
        <v>0</v>
      </c>
      <c r="F36" s="91">
        <f>IF($A36=Recto!$I$32,VLOOKUP($A36,Recto!$I$28:$L$44,4,FALSE),0)</f>
        <v>0</v>
      </c>
      <c r="G36" s="91">
        <f>IF($A36=Recto!$I$33,VLOOKUP($A36,Recto!$I$28:$L$44,4,FALSE),0)</f>
        <v>0</v>
      </c>
      <c r="H36" s="91">
        <f>IF($A36=Recto!$I$34,VLOOKUP($A36,Recto!$I$28:$L$44,4,FALSE),0)</f>
        <v>0</v>
      </c>
      <c r="I36" s="91">
        <f>IF($A36=Recto!$I$35,VLOOKUP($A36,Recto!$I$28:$L$44,4,FALSE),0)</f>
        <v>0</v>
      </c>
      <c r="J36" s="91">
        <f>IF($A36=Recto!$I$36,VLOOKUP($A36,Recto!$I$28:$L$44,4,FALSE),0)</f>
        <v>0</v>
      </c>
      <c r="K36" s="91">
        <f>IF($A36=Recto!$I$37,VLOOKUP($A36,Recto!$I$28:$L$44,4,FALSE),0)</f>
        <v>0</v>
      </c>
      <c r="L36" s="91">
        <f>IF($A36=Recto!$I$38,VLOOKUP($A36,Recto!$I$28:$L$44,4,FALSE),0)</f>
        <v>0</v>
      </c>
      <c r="M36" s="91">
        <f>IF($A36=Recto!$I$39,VLOOKUP($A36,Recto!$I$28:$L$44,4,FALSE),0)</f>
        <v>0</v>
      </c>
      <c r="N36" s="91">
        <f>IF($A36=Recto!$I$40,VLOOKUP($A36,Recto!$I$28:$L$44,4,FALSE),0)</f>
        <v>0</v>
      </c>
      <c r="O36" s="91">
        <f>IF($A36=Recto!$I$41,VLOOKUP($A36,Recto!$I$28:$L$44,4,FALSE),0)</f>
        <v>0</v>
      </c>
      <c r="P36" s="91">
        <f>IF($A36=Recto!$I$42,VLOOKUP($A36,Recto!$I$28:$L$44,4,FALSE),0)</f>
        <v>0</v>
      </c>
      <c r="Q36" s="91">
        <f>IF($A36=Recto!$I$43,VLOOKUP($A36,Recto!$I$28:$L$44,4,FALSE),0)</f>
        <v>0</v>
      </c>
      <c r="R36" s="91">
        <f>IF($A36=Recto!$I$44,VLOOKUP($A36,Recto!$I$28:$L$44,4,FALSE),0)</f>
        <v>0</v>
      </c>
      <c r="S36" s="295">
        <f t="shared" si="1"/>
        <v>0</v>
      </c>
    </row>
    <row r="37" spans="1:20" s="196" customFormat="1" x14ac:dyDescent="0.25">
      <c r="A37" s="500" t="s">
        <v>7439</v>
      </c>
      <c r="B37" s="91">
        <f>IF($A37=Recto!$I$28,VLOOKUP($A37,Recto!$I$28:$L$44,4,FALSE),0)</f>
        <v>0</v>
      </c>
      <c r="C37" s="91">
        <f>IF($A37=Recto!$I$29,VLOOKUP($A37,Recto!$I$28:$L$44,4,FALSE),0)</f>
        <v>0</v>
      </c>
      <c r="D37" s="91">
        <f>IF($A37=Recto!$I$30,VLOOKUP($A37,Recto!$I$28:$L$44,4,FALSE),0)</f>
        <v>0</v>
      </c>
      <c r="E37" s="91">
        <f>IF($A37=Recto!$I$31,VLOOKUP($A37,Recto!$I$28:$L$44,4,FALSE),0)</f>
        <v>0</v>
      </c>
      <c r="F37" s="91">
        <f>IF($A37=Recto!$I$32,VLOOKUP($A37,Recto!$I$28:$L$44,4,FALSE),0)</f>
        <v>0</v>
      </c>
      <c r="G37" s="91">
        <f>IF($A37=Recto!$I$33,VLOOKUP($A37,Recto!$I$28:$L$44,4,FALSE),0)</f>
        <v>0</v>
      </c>
      <c r="H37" s="91">
        <f>IF($A37=Recto!$I$34,VLOOKUP($A37,Recto!$I$28:$L$44,4,FALSE),0)</f>
        <v>0</v>
      </c>
      <c r="I37" s="91">
        <f>IF($A37=Recto!$I$35,VLOOKUP($A37,Recto!$I$28:$L$44,4,FALSE),0)</f>
        <v>0</v>
      </c>
      <c r="J37" s="91">
        <f>IF($A37=Recto!$I$36,VLOOKUP($A37,Recto!$I$28:$L$44,4,FALSE),0)</f>
        <v>0</v>
      </c>
      <c r="K37" s="91">
        <f>IF($A37=Recto!$I$37,VLOOKUP($A37,Recto!$I$28:$L$44,4,FALSE),0)</f>
        <v>0</v>
      </c>
      <c r="L37" s="91">
        <f>IF($A37=Recto!$I$38,VLOOKUP($A37,Recto!$I$28:$L$44,4,FALSE),0)</f>
        <v>0</v>
      </c>
      <c r="M37" s="91">
        <f>IF($A37=Recto!$I$39,VLOOKUP($A37,Recto!$I$28:$L$44,4,FALSE),0)</f>
        <v>0</v>
      </c>
      <c r="N37" s="91">
        <f>IF($A37=Recto!$I$40,VLOOKUP($A37,Recto!$I$28:$L$44,4,FALSE),0)</f>
        <v>0</v>
      </c>
      <c r="O37" s="91">
        <f>IF($A37=Recto!$I$41,VLOOKUP($A37,Recto!$I$28:$L$44,4,FALSE),0)</f>
        <v>0</v>
      </c>
      <c r="P37" s="91">
        <f>IF($A37=Recto!$I$42,VLOOKUP($A37,Recto!$I$28:$L$44,4,FALSE),0)</f>
        <v>0</v>
      </c>
      <c r="Q37" s="91">
        <f>IF($A37=Recto!$I$43,VLOOKUP($A37,Recto!$I$28:$L$44,4,FALSE),0)</f>
        <v>0</v>
      </c>
      <c r="R37" s="91">
        <f>IF($A37=Recto!$I$44,VLOOKUP($A37,Recto!$I$28:$L$44,4,FALSE),0)</f>
        <v>0</v>
      </c>
      <c r="S37" s="295">
        <f t="shared" si="1"/>
        <v>0</v>
      </c>
    </row>
    <row r="38" spans="1:20" x14ac:dyDescent="0.25">
      <c r="A38" s="500" t="s">
        <v>4446</v>
      </c>
      <c r="B38" s="91">
        <f>IF($A38=Recto!$I$28,VLOOKUP($A38,Recto!$I$28:$L$44,4,FALSE),0)</f>
        <v>0</v>
      </c>
      <c r="C38" s="91">
        <f>IF($A38=Recto!$I$29,VLOOKUP($A38,Recto!$I$28:$L$44,4,FALSE),0)</f>
        <v>0</v>
      </c>
      <c r="D38" s="91">
        <f>IF($A38=Recto!$I$30,VLOOKUP($A38,Recto!$I$28:$L$44,4,FALSE),0)</f>
        <v>0</v>
      </c>
      <c r="E38" s="91">
        <f>IF($A38=Recto!$I$31,VLOOKUP($A38,Recto!$I$28:$L$44,4,FALSE),0)</f>
        <v>0</v>
      </c>
      <c r="F38" s="91">
        <f>IF($A38=Recto!$I$32,VLOOKUP($A38,Recto!$I$28:$L$44,4,FALSE),0)</f>
        <v>0</v>
      </c>
      <c r="G38" s="91">
        <f>IF($A38=Recto!$I$33,VLOOKUP($A38,Recto!$I$28:$L$44,4,FALSE),0)</f>
        <v>0</v>
      </c>
      <c r="H38" s="91">
        <f>IF($A38=Recto!$I$34,VLOOKUP($A38,Recto!$I$28:$L$44,4,FALSE),0)</f>
        <v>0</v>
      </c>
      <c r="I38" s="91">
        <f>IF($A38=Recto!$I$35,VLOOKUP($A38,Recto!$I$28:$L$44,4,FALSE),0)</f>
        <v>0</v>
      </c>
      <c r="J38" s="91">
        <f>IF($A38=Recto!$I$36,VLOOKUP($A38,Recto!$I$28:$L$44,4,FALSE),0)</f>
        <v>0</v>
      </c>
      <c r="K38" s="91">
        <f>IF($A38=Recto!$I$37,VLOOKUP($A38,Recto!$I$28:$L$44,4,FALSE),0)</f>
        <v>0</v>
      </c>
      <c r="L38" s="91">
        <f>IF($A38=Recto!$I$38,VLOOKUP($A38,Recto!$I$28:$L$44,4,FALSE),0)</f>
        <v>0</v>
      </c>
      <c r="M38" s="91">
        <f>IF($A38=Recto!$I$39,VLOOKUP($A38,Recto!$I$28:$L$44,4,FALSE),0)</f>
        <v>0</v>
      </c>
      <c r="N38" s="91">
        <f>IF($A38=Recto!$I$40,VLOOKUP($A38,Recto!$I$28:$L$44,4,FALSE),0)</f>
        <v>0</v>
      </c>
      <c r="O38" s="91">
        <f>IF($A38=Recto!$I$41,VLOOKUP($A38,Recto!$I$28:$L$44,4,FALSE),0)</f>
        <v>0</v>
      </c>
      <c r="P38" s="91">
        <f>IF($A38=Recto!$I$42,VLOOKUP($A38,Recto!$I$28:$L$44,4,FALSE),0)</f>
        <v>0</v>
      </c>
      <c r="Q38" s="91">
        <f>IF($A38=Recto!$I$43,VLOOKUP($A38,Recto!$I$28:$L$44,4,FALSE),0)</f>
        <v>0</v>
      </c>
      <c r="R38" s="91">
        <f>IF($A38=Recto!$I$44,VLOOKUP($A38,Recto!$I$28:$L$44,4,FALSE),0)</f>
        <v>0</v>
      </c>
      <c r="S38" s="295">
        <f t="shared" si="1"/>
        <v>0</v>
      </c>
    </row>
    <row r="39" spans="1:20" x14ac:dyDescent="0.25">
      <c r="A39" s="500" t="s">
        <v>3436</v>
      </c>
      <c r="B39" s="91">
        <f>IF($A39=Recto!$I$28,VLOOKUP($A39,Recto!$I$28:$L$44,4,FALSE),0)</f>
        <v>0</v>
      </c>
      <c r="C39" s="91">
        <f>IF($A39=Recto!$I$29,VLOOKUP($A39,Recto!$I$28:$L$44,4,FALSE),0)</f>
        <v>0</v>
      </c>
      <c r="D39" s="91">
        <f>IF($A39=Recto!$I$30,VLOOKUP($A39,Recto!$I$28:$L$44,4,FALSE),0)</f>
        <v>0</v>
      </c>
      <c r="E39" s="91">
        <f>IF($A39=Recto!$I$31,VLOOKUP($A39,Recto!$I$28:$L$44,4,FALSE),0)</f>
        <v>0</v>
      </c>
      <c r="F39" s="91">
        <f>IF($A39=Recto!$I$32,VLOOKUP($A39,Recto!$I$28:$L$44,4,FALSE),0)</f>
        <v>0</v>
      </c>
      <c r="G39" s="91">
        <f>IF($A39=Recto!$I$33,VLOOKUP($A39,Recto!$I$28:$L$44,4,FALSE),0)</f>
        <v>0</v>
      </c>
      <c r="H39" s="91">
        <f>IF($A39=Recto!$I$34,VLOOKUP($A39,Recto!$I$28:$L$44,4,FALSE),0)</f>
        <v>0</v>
      </c>
      <c r="I39" s="91">
        <f>IF($A39=Recto!$I$35,VLOOKUP($A39,Recto!$I$28:$L$44,4,FALSE),0)</f>
        <v>0</v>
      </c>
      <c r="J39" s="91">
        <f>IF($A39=Recto!$I$36,VLOOKUP($A39,Recto!$I$28:$L$44,4,FALSE),0)</f>
        <v>0</v>
      </c>
      <c r="K39" s="91">
        <f>IF($A39=Recto!$I$37,VLOOKUP($A39,Recto!$I$28:$L$44,4,FALSE),0)</f>
        <v>0</v>
      </c>
      <c r="L39" s="91">
        <f>IF($A39=Recto!$I$38,VLOOKUP($A39,Recto!$I$28:$L$44,4,FALSE),0)</f>
        <v>0</v>
      </c>
      <c r="M39" s="91">
        <f>IF($A39=Recto!$I$39,VLOOKUP($A39,Recto!$I$28:$L$44,4,FALSE),0)</f>
        <v>0</v>
      </c>
      <c r="N39" s="91">
        <f>IF($A39=Recto!$I$40,VLOOKUP($A39,Recto!$I$28:$L$44,4,FALSE),0)</f>
        <v>0</v>
      </c>
      <c r="O39" s="91">
        <f>IF($A39=Recto!$I$41,VLOOKUP($A39,Recto!$I$28:$L$44,4,FALSE),0)</f>
        <v>0</v>
      </c>
      <c r="P39" s="91">
        <f>IF($A39=Recto!$I$42,VLOOKUP($A39,Recto!$I$28:$L$44,4,FALSE),0)</f>
        <v>0</v>
      </c>
      <c r="Q39" s="91">
        <f>IF($A39=Recto!$I$43,VLOOKUP($A39,Recto!$I$28:$L$44,4,FALSE),0)</f>
        <v>0</v>
      </c>
      <c r="R39" s="91">
        <f>IF($A39=Recto!$I$44,VLOOKUP($A39,Recto!$I$28:$L$44,4,FALSE),0)</f>
        <v>0</v>
      </c>
      <c r="S39" s="295">
        <f t="shared" si="1"/>
        <v>0</v>
      </c>
    </row>
    <row r="40" spans="1:20" x14ac:dyDescent="0.25">
      <c r="A40" s="500" t="s">
        <v>5987</v>
      </c>
      <c r="B40" s="91">
        <f>IF($A40=Recto!$I$28,VLOOKUP($A40,Recto!$I$28:$L$44,4,FALSE),0)</f>
        <v>0</v>
      </c>
      <c r="C40" s="91">
        <f>IF($A40=Recto!$I$29,VLOOKUP($A40,Recto!$I$28:$L$44,4,FALSE),0)</f>
        <v>0</v>
      </c>
      <c r="D40" s="91">
        <f>IF($A40=Recto!$I$30,VLOOKUP($A40,Recto!$I$28:$L$44,4,FALSE),0)</f>
        <v>0</v>
      </c>
      <c r="E40" s="91">
        <f>IF($A40=Recto!$I$31,VLOOKUP($A40,Recto!$I$28:$L$44,4,FALSE),0)</f>
        <v>0</v>
      </c>
      <c r="F40" s="91">
        <f>IF($A40=Recto!$I$32,VLOOKUP($A40,Recto!$I$28:$L$44,4,FALSE),0)</f>
        <v>0</v>
      </c>
      <c r="G40" s="91">
        <f>IF($A40=Recto!$I$33,VLOOKUP($A40,Recto!$I$28:$L$44,4,FALSE),0)</f>
        <v>0</v>
      </c>
      <c r="H40" s="91">
        <f>IF($A40=Recto!$I$34,VLOOKUP($A40,Recto!$I$28:$L$44,4,FALSE),0)</f>
        <v>0</v>
      </c>
      <c r="I40" s="91">
        <f>IF($A40=Recto!$I$35,VLOOKUP($A40,Recto!$I$28:$L$44,4,FALSE),0)</f>
        <v>0</v>
      </c>
      <c r="J40" s="91">
        <f>IF($A40=Recto!$I$36,VLOOKUP($A40,Recto!$I$28:$L$44,4,FALSE),0)</f>
        <v>0</v>
      </c>
      <c r="K40" s="91">
        <f>IF($A40=Recto!$I$37,VLOOKUP($A40,Recto!$I$28:$L$44,4,FALSE),0)</f>
        <v>0</v>
      </c>
      <c r="L40" s="91">
        <f>IF($A40=Recto!$I$38,VLOOKUP($A40,Recto!$I$28:$L$44,4,FALSE),0)</f>
        <v>0</v>
      </c>
      <c r="M40" s="91">
        <f>IF($A40=Recto!$I$39,VLOOKUP($A40,Recto!$I$28:$L$44,4,FALSE),0)</f>
        <v>0</v>
      </c>
      <c r="N40" s="91">
        <f>IF($A40=Recto!$I$40,VLOOKUP($A40,Recto!$I$28:$L$44,4,FALSE),0)</f>
        <v>0</v>
      </c>
      <c r="O40" s="91">
        <f>IF($A40=Recto!$I$41,VLOOKUP($A40,Recto!$I$28:$L$44,4,FALSE),0)</f>
        <v>0</v>
      </c>
      <c r="P40" s="91">
        <f>IF($A40=Recto!$I$42,VLOOKUP($A40,Recto!$I$28:$L$44,4,FALSE),0)</f>
        <v>0</v>
      </c>
      <c r="Q40" s="91">
        <f>IF($A40=Recto!$I$43,VLOOKUP($A40,Recto!$I$28:$L$44,4,FALSE),0)</f>
        <v>0</v>
      </c>
      <c r="R40" s="91">
        <f>IF($A40=Recto!$I$44,VLOOKUP($A40,Recto!$I$28:$L$44,4,FALSE),0)</f>
        <v>0</v>
      </c>
      <c r="S40" s="295">
        <f t="shared" si="1"/>
        <v>0</v>
      </c>
    </row>
    <row r="41" spans="1:20" s="196" customFormat="1" x14ac:dyDescent="0.25">
      <c r="A41" s="495" t="s">
        <v>6486</v>
      </c>
      <c r="B41" s="91">
        <f>IF($A41=Recto!$I$28,VLOOKUP($A41,Recto!$I$28:$L$44,4,FALSE),0)</f>
        <v>0</v>
      </c>
      <c r="C41" s="91">
        <f>IF($A41=Recto!$I$29,VLOOKUP($A41,Recto!$I$28:$L$44,4,FALSE),0)</f>
        <v>0</v>
      </c>
      <c r="D41" s="91">
        <f>IF($A41=Recto!$I$30,VLOOKUP($A41,Recto!$I$28:$L$44,4,FALSE),0)</f>
        <v>0</v>
      </c>
      <c r="E41" s="91">
        <f>IF($A41=Recto!$I$31,VLOOKUP($A41,Recto!$I$28:$L$44,4,FALSE),0)</f>
        <v>0</v>
      </c>
      <c r="F41" s="91">
        <f>IF($A41=Recto!$I$32,VLOOKUP($A41,Recto!$I$28:$L$44,4,FALSE),0)</f>
        <v>0</v>
      </c>
      <c r="G41" s="91">
        <f>IF($A41=Recto!$I$33,VLOOKUP($A41,Recto!$I$28:$L$44,4,FALSE),0)</f>
        <v>0</v>
      </c>
      <c r="H41" s="91">
        <f>IF($A41=Recto!$I$34,VLOOKUP($A41,Recto!$I$28:$L$44,4,FALSE),0)</f>
        <v>0</v>
      </c>
      <c r="I41" s="91">
        <f>IF($A41=Recto!$I$35,VLOOKUP($A41,Recto!$I$28:$L$44,4,FALSE),0)</f>
        <v>0</v>
      </c>
      <c r="J41" s="91">
        <f>IF($A41=Recto!$I$36,VLOOKUP($A41,Recto!$I$28:$L$44,4,FALSE),0)</f>
        <v>0</v>
      </c>
      <c r="K41" s="91">
        <f>IF($A41=Recto!$I$37,VLOOKUP($A41,Recto!$I$28:$L$44,4,FALSE),0)</f>
        <v>0</v>
      </c>
      <c r="L41" s="91">
        <f>IF($A41=Recto!$I$38,VLOOKUP($A41,Recto!$I$28:$L$44,4,FALSE),0)</f>
        <v>0</v>
      </c>
      <c r="M41" s="91">
        <f>IF($A41=Recto!$I$39,VLOOKUP($A41,Recto!$I$28:$L$44,4,FALSE),0)</f>
        <v>0</v>
      </c>
      <c r="N41" s="91">
        <f>IF($A41=Recto!$I$40,VLOOKUP($A41,Recto!$I$28:$L$44,4,FALSE),0)</f>
        <v>0</v>
      </c>
      <c r="O41" s="91">
        <f>IF($A41=Recto!$I$41,VLOOKUP($A41,Recto!$I$28:$L$44,4,FALSE),0)</f>
        <v>0</v>
      </c>
      <c r="P41" s="91">
        <f>IF($A41=Recto!$I$42,VLOOKUP($A41,Recto!$I$28:$L$44,4,FALSE),0)</f>
        <v>0</v>
      </c>
      <c r="Q41" s="91">
        <f>IF($A41=Recto!$I$43,VLOOKUP($A41,Recto!$I$28:$L$44,4,FALSE),0)</f>
        <v>0</v>
      </c>
      <c r="R41" s="91">
        <f>IF($A41=Recto!$I$44,VLOOKUP($A41,Recto!$I$28:$L$44,4,FALSE),0)</f>
        <v>0</v>
      </c>
      <c r="S41" s="295">
        <f t="shared" si="1"/>
        <v>0</v>
      </c>
      <c r="T41" s="294"/>
    </row>
    <row r="42" spans="1:20" x14ac:dyDescent="0.25">
      <c r="A42" s="500" t="s">
        <v>3276</v>
      </c>
      <c r="B42" s="91">
        <f>IF($A42=Recto!$I$28,VLOOKUP($A42,Recto!$I$28:$L$44,4,FALSE),0)</f>
        <v>0</v>
      </c>
      <c r="C42" s="91">
        <f>IF($A42=Recto!$I$29,VLOOKUP($A42,Recto!$I$28:$L$44,4,FALSE),0)</f>
        <v>0</v>
      </c>
      <c r="D42" s="91">
        <f>IF($A42=Recto!$I$30,VLOOKUP($A42,Recto!$I$28:$L$44,4,FALSE),0)</f>
        <v>0</v>
      </c>
      <c r="E42" s="91">
        <f>IF($A42=Recto!$I$31,VLOOKUP($A42,Recto!$I$28:$L$44,4,FALSE),0)</f>
        <v>0</v>
      </c>
      <c r="F42" s="91">
        <f>IF($A42=Recto!$I$32,VLOOKUP($A42,Recto!$I$28:$L$44,4,FALSE),0)</f>
        <v>0</v>
      </c>
      <c r="G42" s="91">
        <f>IF($A42=Recto!$I$33,VLOOKUP($A42,Recto!$I$28:$L$44,4,FALSE),0)</f>
        <v>0</v>
      </c>
      <c r="H42" s="91">
        <f>IF($A42=Recto!$I$34,VLOOKUP($A42,Recto!$I$28:$L$44,4,FALSE),0)</f>
        <v>0</v>
      </c>
      <c r="I42" s="91">
        <f>IF($A42=Recto!$I$35,VLOOKUP($A42,Recto!$I$28:$L$44,4,FALSE),0)</f>
        <v>0</v>
      </c>
      <c r="J42" s="91">
        <f>IF($A42=Recto!$I$36,VLOOKUP($A42,Recto!$I$28:$L$44,4,FALSE),0)</f>
        <v>0</v>
      </c>
      <c r="K42" s="91">
        <f>IF($A42=Recto!$I$37,VLOOKUP($A42,Recto!$I$28:$L$44,4,FALSE),0)</f>
        <v>0</v>
      </c>
      <c r="L42" s="91">
        <f>IF($A42=Recto!$I$38,VLOOKUP($A42,Recto!$I$28:$L$44,4,FALSE),0)</f>
        <v>0</v>
      </c>
      <c r="M42" s="91">
        <f>IF($A42=Recto!$I$39,VLOOKUP($A42,Recto!$I$28:$L$44,4,FALSE),0)</f>
        <v>0</v>
      </c>
      <c r="N42" s="91">
        <f>IF($A42=Recto!$I$40,VLOOKUP($A42,Recto!$I$28:$L$44,4,FALSE),0)</f>
        <v>0</v>
      </c>
      <c r="O42" s="91">
        <f>IF($A42=Recto!$I$41,VLOOKUP($A42,Recto!$I$28:$L$44,4,FALSE),0)</f>
        <v>0</v>
      </c>
      <c r="P42" s="91">
        <f>IF($A42=Recto!$I$42,VLOOKUP($A42,Recto!$I$28:$L$44,4,FALSE),0)</f>
        <v>0</v>
      </c>
      <c r="Q42" s="91">
        <f>IF($A42=Recto!$I$43,VLOOKUP($A42,Recto!$I$28:$L$44,4,FALSE),0)</f>
        <v>0</v>
      </c>
      <c r="R42" s="91">
        <f>IF($A42=Recto!$I$44,VLOOKUP($A42,Recto!$I$28:$L$44,4,FALSE),0)</f>
        <v>0</v>
      </c>
      <c r="S42" s="295">
        <f t="shared" si="1"/>
        <v>0</v>
      </c>
    </row>
    <row r="43" spans="1:20" x14ac:dyDescent="0.25">
      <c r="A43" s="500" t="s">
        <v>1307</v>
      </c>
      <c r="B43" s="91">
        <f>IF($A43=Recto!$I$28,VLOOKUP($A43,Recto!$I$28:$L$44,4,FALSE),0)</f>
        <v>0</v>
      </c>
      <c r="C43" s="91">
        <f>IF($A43=Recto!$I$29,VLOOKUP($A43,Recto!$I$28:$L$44,4,FALSE),0)</f>
        <v>0</v>
      </c>
      <c r="D43" s="91">
        <f>IF($A43=Recto!$I$30,VLOOKUP($A43,Recto!$I$28:$L$44,4,FALSE),0)</f>
        <v>0</v>
      </c>
      <c r="E43" s="91">
        <f>IF($A43=Recto!$I$31,VLOOKUP($A43,Recto!$I$28:$L$44,4,FALSE),0)</f>
        <v>0</v>
      </c>
      <c r="F43" s="91">
        <f>IF($A43=Recto!$I$32,VLOOKUP($A43,Recto!$I$28:$L$44,4,FALSE),0)</f>
        <v>0</v>
      </c>
      <c r="G43" s="91">
        <f>IF($A43=Recto!$I$33,VLOOKUP($A43,Recto!$I$28:$L$44,4,FALSE),0)</f>
        <v>0</v>
      </c>
      <c r="H43" s="91">
        <f>IF($A43=Recto!$I$34,VLOOKUP($A43,Recto!$I$28:$L$44,4,FALSE),0)</f>
        <v>0</v>
      </c>
      <c r="I43" s="91">
        <f>IF($A43=Recto!$I$35,VLOOKUP($A43,Recto!$I$28:$L$44,4,FALSE),0)</f>
        <v>0</v>
      </c>
      <c r="J43" s="91">
        <f>IF($A43=Recto!$I$36,VLOOKUP($A43,Recto!$I$28:$L$44,4,FALSE),0)</f>
        <v>0</v>
      </c>
      <c r="K43" s="91">
        <f>IF($A43=Recto!$I$37,VLOOKUP($A43,Recto!$I$28:$L$44,4,FALSE),0)</f>
        <v>0</v>
      </c>
      <c r="L43" s="91">
        <f>IF($A43=Recto!$I$38,VLOOKUP($A43,Recto!$I$28:$L$44,4,FALSE),0)</f>
        <v>0</v>
      </c>
      <c r="M43" s="91">
        <f>IF($A43=Recto!$I$39,VLOOKUP($A43,Recto!$I$28:$L$44,4,FALSE),0)</f>
        <v>0</v>
      </c>
      <c r="N43" s="91">
        <f>IF($A43=Recto!$I$40,VLOOKUP($A43,Recto!$I$28:$L$44,4,FALSE),0)</f>
        <v>0</v>
      </c>
      <c r="O43" s="91">
        <f>IF($A43=Recto!$I$41,VLOOKUP($A43,Recto!$I$28:$L$44,4,FALSE),0)</f>
        <v>0</v>
      </c>
      <c r="P43" s="91">
        <f>IF($A43=Recto!$I$42,VLOOKUP($A43,Recto!$I$28:$L$44,4,FALSE),0)</f>
        <v>0</v>
      </c>
      <c r="Q43" s="91">
        <f>IF($A43=Recto!$I$43,VLOOKUP($A43,Recto!$I$28:$L$44,4,FALSE),0)</f>
        <v>0</v>
      </c>
      <c r="R43" s="91">
        <f>IF($A43=Recto!$I$44,VLOOKUP($A43,Recto!$I$28:$L$44,4,FALSE),0)</f>
        <v>0</v>
      </c>
      <c r="S43" s="295">
        <f t="shared" si="1"/>
        <v>0</v>
      </c>
    </row>
    <row r="44" spans="1:20" x14ac:dyDescent="0.25">
      <c r="A44" s="500" t="s">
        <v>3262</v>
      </c>
      <c r="B44" s="91">
        <f>IF($A44=Recto!$I$28,VLOOKUP($A44,Recto!$I$28:$L$44,4,FALSE),0)</f>
        <v>0</v>
      </c>
      <c r="C44" s="91">
        <f>IF($A44=Recto!$I$29,VLOOKUP($A44,Recto!$I$28:$L$44,4,FALSE),0)</f>
        <v>0</v>
      </c>
      <c r="D44" s="91">
        <f>IF($A44=Recto!$I$30,VLOOKUP($A44,Recto!$I$28:$L$44,4,FALSE),0)</f>
        <v>0</v>
      </c>
      <c r="E44" s="91">
        <f>IF($A44=Recto!$I$31,VLOOKUP($A44,Recto!$I$28:$L$44,4,FALSE),0)</f>
        <v>0</v>
      </c>
      <c r="F44" s="91">
        <f>IF($A44=Recto!$I$32,VLOOKUP($A44,Recto!$I$28:$L$44,4,FALSE),0)</f>
        <v>0</v>
      </c>
      <c r="G44" s="91">
        <f>IF($A44=Recto!$I$33,VLOOKUP($A44,Recto!$I$28:$L$44,4,FALSE),0)</f>
        <v>0</v>
      </c>
      <c r="H44" s="91">
        <f>IF($A44=Recto!$I$34,VLOOKUP($A44,Recto!$I$28:$L$44,4,FALSE),0)</f>
        <v>0</v>
      </c>
      <c r="I44" s="91">
        <f>IF($A44=Recto!$I$35,VLOOKUP($A44,Recto!$I$28:$L$44,4,FALSE),0)</f>
        <v>0</v>
      </c>
      <c r="J44" s="91">
        <f>IF($A44=Recto!$I$36,VLOOKUP($A44,Recto!$I$28:$L$44,4,FALSE),0)</f>
        <v>0</v>
      </c>
      <c r="K44" s="91">
        <f>IF($A44=Recto!$I$37,VLOOKUP($A44,Recto!$I$28:$L$44,4,FALSE),0)</f>
        <v>0</v>
      </c>
      <c r="L44" s="91">
        <f>IF($A44=Recto!$I$38,VLOOKUP($A44,Recto!$I$28:$L$44,4,FALSE),0)</f>
        <v>0</v>
      </c>
      <c r="M44" s="91">
        <f>IF($A44=Recto!$I$39,VLOOKUP($A44,Recto!$I$28:$L$44,4,FALSE),0)</f>
        <v>0</v>
      </c>
      <c r="N44" s="91">
        <f>IF($A44=Recto!$I$40,VLOOKUP($A44,Recto!$I$28:$L$44,4,FALSE),0)</f>
        <v>0</v>
      </c>
      <c r="O44" s="91">
        <f>IF($A44=Recto!$I$41,VLOOKUP($A44,Recto!$I$28:$L$44,4,FALSE),0)</f>
        <v>0</v>
      </c>
      <c r="P44" s="91">
        <f>IF($A44=Recto!$I$42,VLOOKUP($A44,Recto!$I$28:$L$44,4,FALSE),0)</f>
        <v>0</v>
      </c>
      <c r="Q44" s="91">
        <f>IF($A44=Recto!$I$43,VLOOKUP($A44,Recto!$I$28:$L$44,4,FALSE),0)</f>
        <v>0</v>
      </c>
      <c r="R44" s="91">
        <f>IF($A44=Recto!$I$44,VLOOKUP($A44,Recto!$I$28:$L$44,4,FALSE),0)</f>
        <v>0</v>
      </c>
      <c r="S44" s="295">
        <f t="shared" si="1"/>
        <v>0</v>
      </c>
    </row>
    <row r="45" spans="1:20" x14ac:dyDescent="0.25">
      <c r="A45" s="500" t="s">
        <v>180</v>
      </c>
      <c r="B45" s="91">
        <f>IF($A45=Recto!$I$28,VLOOKUP($A45,Recto!$I$28:$L$44,4,FALSE),0)</f>
        <v>0</v>
      </c>
      <c r="C45" s="91">
        <f>IF($A45=Recto!$I$29,VLOOKUP($A45,Recto!$I$28:$L$44,4,FALSE),0)</f>
        <v>0</v>
      </c>
      <c r="D45" s="91">
        <f>IF($A45=Recto!$I$30,VLOOKUP($A45,Recto!$I$28:$L$44,4,FALSE),0)</f>
        <v>0</v>
      </c>
      <c r="E45" s="91">
        <f>IF($A45=Recto!$I$31,VLOOKUP($A45,Recto!$I$28:$L$44,4,FALSE),0)</f>
        <v>0</v>
      </c>
      <c r="F45" s="91">
        <f>IF($A45=Recto!$I$32,VLOOKUP($A45,Recto!$I$28:$L$44,4,FALSE),0)</f>
        <v>0</v>
      </c>
      <c r="G45" s="91">
        <f>IF($A45=Recto!$I$33,VLOOKUP($A45,Recto!$I$28:$L$44,4,FALSE),0)</f>
        <v>0</v>
      </c>
      <c r="H45" s="91">
        <f>IF($A45=Recto!$I$34,VLOOKUP($A45,Recto!$I$28:$L$44,4,FALSE),0)</f>
        <v>0</v>
      </c>
      <c r="I45" s="91">
        <f>IF($A45=Recto!$I$35,VLOOKUP($A45,Recto!$I$28:$L$44,4,FALSE),0)</f>
        <v>0</v>
      </c>
      <c r="J45" s="91">
        <f>IF($A45=Recto!$I$36,VLOOKUP($A45,Recto!$I$28:$L$44,4,FALSE),0)</f>
        <v>0</v>
      </c>
      <c r="K45" s="91">
        <f>IF($A45=Recto!$I$37,VLOOKUP($A45,Recto!$I$28:$L$44,4,FALSE),0)</f>
        <v>0</v>
      </c>
      <c r="L45" s="91">
        <f>IF($A45=Recto!$I$38,VLOOKUP($A45,Recto!$I$28:$L$44,4,FALSE),0)</f>
        <v>0</v>
      </c>
      <c r="M45" s="91">
        <f>IF($A45=Recto!$I$39,VLOOKUP($A45,Recto!$I$28:$L$44,4,FALSE),0)</f>
        <v>0</v>
      </c>
      <c r="N45" s="91">
        <f>IF($A45=Recto!$I$40,VLOOKUP($A45,Recto!$I$28:$L$44,4,FALSE),0)</f>
        <v>0</v>
      </c>
      <c r="O45" s="91">
        <f>IF($A45=Recto!$I$41,VLOOKUP($A45,Recto!$I$28:$L$44,4,FALSE),0)</f>
        <v>0</v>
      </c>
      <c r="P45" s="91">
        <f>IF($A45=Recto!$I$42,VLOOKUP($A45,Recto!$I$28:$L$44,4,FALSE),0)</f>
        <v>0</v>
      </c>
      <c r="Q45" s="91">
        <f>IF($A45=Recto!$I$43,VLOOKUP($A45,Recto!$I$28:$L$44,4,FALSE),0)</f>
        <v>0</v>
      </c>
      <c r="R45" s="91">
        <f>IF($A45=Recto!$I$44,VLOOKUP($A45,Recto!$I$28:$L$44,4,FALSE),0)</f>
        <v>0</v>
      </c>
      <c r="S45" s="295">
        <f t="shared" si="1"/>
        <v>0</v>
      </c>
    </row>
    <row r="46" spans="1:20" x14ac:dyDescent="0.25">
      <c r="A46" s="500" t="s">
        <v>1377</v>
      </c>
      <c r="B46" s="91">
        <f>IF($A46=Recto!$I$28,VLOOKUP($A46,Recto!$I$28:$L$44,4,FALSE),0)</f>
        <v>0</v>
      </c>
      <c r="C46" s="91">
        <f>IF($A46=Recto!$I$29,VLOOKUP($A46,Recto!$I$28:$L$44,4,FALSE),0)</f>
        <v>0</v>
      </c>
      <c r="D46" s="91">
        <f>IF($A46=Recto!$I$30,VLOOKUP($A46,Recto!$I$28:$L$44,4,FALSE),0)</f>
        <v>0</v>
      </c>
      <c r="E46" s="91">
        <f>IF($A46=Recto!$I$31,VLOOKUP($A46,Recto!$I$28:$L$44,4,FALSE),0)</f>
        <v>0</v>
      </c>
      <c r="F46" s="91">
        <f>IF($A46=Recto!$I$32,VLOOKUP($A46,Recto!$I$28:$L$44,4,FALSE),0)</f>
        <v>0</v>
      </c>
      <c r="G46" s="91">
        <f>IF($A46=Recto!$I$33,VLOOKUP($A46,Recto!$I$28:$L$44,4,FALSE),0)</f>
        <v>0</v>
      </c>
      <c r="H46" s="91">
        <f>IF($A46=Recto!$I$34,VLOOKUP($A46,Recto!$I$28:$L$44,4,FALSE),0)</f>
        <v>0</v>
      </c>
      <c r="I46" s="91">
        <f>IF($A46=Recto!$I$35,VLOOKUP($A46,Recto!$I$28:$L$44,4,FALSE),0)</f>
        <v>0</v>
      </c>
      <c r="J46" s="91">
        <f>IF($A46=Recto!$I$36,VLOOKUP($A46,Recto!$I$28:$L$44,4,FALSE),0)</f>
        <v>0</v>
      </c>
      <c r="K46" s="91">
        <f>IF($A46=Recto!$I$37,VLOOKUP($A46,Recto!$I$28:$L$44,4,FALSE),0)</f>
        <v>0</v>
      </c>
      <c r="L46" s="91">
        <f>IF($A46=Recto!$I$38,VLOOKUP($A46,Recto!$I$28:$L$44,4,FALSE),0)</f>
        <v>0</v>
      </c>
      <c r="M46" s="91">
        <f>IF($A46=Recto!$I$39,VLOOKUP($A46,Recto!$I$28:$L$44,4,FALSE),0)</f>
        <v>0</v>
      </c>
      <c r="N46" s="91">
        <f>IF($A46=Recto!$I$40,VLOOKUP($A46,Recto!$I$28:$L$44,4,FALSE),0)</f>
        <v>0</v>
      </c>
      <c r="O46" s="91">
        <f>IF($A46=Recto!$I$41,VLOOKUP($A46,Recto!$I$28:$L$44,4,FALSE),0)</f>
        <v>0</v>
      </c>
      <c r="P46" s="91">
        <f>IF($A46=Recto!$I$42,VLOOKUP($A46,Recto!$I$28:$L$44,4,FALSE),0)</f>
        <v>0</v>
      </c>
      <c r="Q46" s="91">
        <f>IF($A46=Recto!$I$43,VLOOKUP($A46,Recto!$I$28:$L$44,4,FALSE),0)</f>
        <v>0</v>
      </c>
      <c r="R46" s="91">
        <f>IF($A46=Recto!$I$44,VLOOKUP($A46,Recto!$I$28:$L$44,4,FALSE),0)</f>
        <v>0</v>
      </c>
      <c r="S46" s="295">
        <f t="shared" si="1"/>
        <v>0</v>
      </c>
    </row>
    <row r="47" spans="1:20" x14ac:dyDescent="0.25">
      <c r="A47" s="500" t="s">
        <v>338</v>
      </c>
      <c r="B47" s="91">
        <f>IF($A47=Recto!$I$28,VLOOKUP($A47,Recto!$I$28:$L$44,4,FALSE),0)</f>
        <v>0</v>
      </c>
      <c r="C47" s="91">
        <f>IF($A47=Recto!$I$29,VLOOKUP($A47,Recto!$I$28:$L$44,4,FALSE),0)</f>
        <v>0</v>
      </c>
      <c r="D47" s="91">
        <f>IF($A47=Recto!$I$30,VLOOKUP($A47,Recto!$I$28:$L$44,4,FALSE),0)</f>
        <v>0</v>
      </c>
      <c r="E47" s="91">
        <f>IF($A47=Recto!$I$31,VLOOKUP($A47,Recto!$I$28:$L$44,4,FALSE),0)</f>
        <v>0</v>
      </c>
      <c r="F47" s="91">
        <f>IF($A47=Recto!$I$32,VLOOKUP($A47,Recto!$I$28:$L$44,4,FALSE),0)</f>
        <v>0</v>
      </c>
      <c r="G47" s="91">
        <f>IF($A47=Recto!$I$33,VLOOKUP($A47,Recto!$I$28:$L$44,4,FALSE),0)</f>
        <v>0</v>
      </c>
      <c r="H47" s="91">
        <f>IF($A47=Recto!$I$34,VLOOKUP($A47,Recto!$I$28:$L$44,4,FALSE),0)</f>
        <v>0</v>
      </c>
      <c r="I47" s="91">
        <f>IF($A47=Recto!$I$35,VLOOKUP($A47,Recto!$I$28:$L$44,4,FALSE),0)</f>
        <v>0</v>
      </c>
      <c r="J47" s="91">
        <f>IF($A47=Recto!$I$36,VLOOKUP($A47,Recto!$I$28:$L$44,4,FALSE),0)</f>
        <v>0</v>
      </c>
      <c r="K47" s="91">
        <f>IF($A47=Recto!$I$37,VLOOKUP($A47,Recto!$I$28:$L$44,4,FALSE),0)</f>
        <v>0</v>
      </c>
      <c r="L47" s="91">
        <f>IF($A47=Recto!$I$38,VLOOKUP($A47,Recto!$I$28:$L$44,4,FALSE),0)</f>
        <v>0</v>
      </c>
      <c r="M47" s="91">
        <f>IF($A47=Recto!$I$39,VLOOKUP($A47,Recto!$I$28:$L$44,4,FALSE),0)</f>
        <v>0</v>
      </c>
      <c r="N47" s="91">
        <f>IF($A47=Recto!$I$40,VLOOKUP($A47,Recto!$I$28:$L$44,4,FALSE),0)</f>
        <v>0</v>
      </c>
      <c r="O47" s="91">
        <f>IF($A47=Recto!$I$41,VLOOKUP($A47,Recto!$I$28:$L$44,4,FALSE),0)</f>
        <v>0</v>
      </c>
      <c r="P47" s="91">
        <f>IF($A47=Recto!$I$42,VLOOKUP($A47,Recto!$I$28:$L$44,4,FALSE),0)</f>
        <v>0</v>
      </c>
      <c r="Q47" s="91">
        <f>IF($A47=Recto!$I$43,VLOOKUP($A47,Recto!$I$28:$L$44,4,FALSE),0)</f>
        <v>0</v>
      </c>
      <c r="R47" s="91">
        <f>IF($A47=Recto!$I$44,VLOOKUP($A47,Recto!$I$28:$L$44,4,FALSE),0)</f>
        <v>0</v>
      </c>
      <c r="S47" s="295">
        <f t="shared" si="1"/>
        <v>0</v>
      </c>
    </row>
    <row r="48" spans="1:20" x14ac:dyDescent="0.25">
      <c r="A48" s="500" t="s">
        <v>4471</v>
      </c>
      <c r="B48" s="91">
        <f>IF($A48=Recto!$I$28,VLOOKUP($A48,Recto!$I$28:$L$44,4,FALSE),0)</f>
        <v>0</v>
      </c>
      <c r="C48" s="91">
        <f>IF($A48=Recto!$I$29,VLOOKUP($A48,Recto!$I$28:$L$44,4,FALSE),0)</f>
        <v>0</v>
      </c>
      <c r="D48" s="91">
        <f>IF($A48=Recto!$I$30,VLOOKUP($A48,Recto!$I$28:$L$44,4,FALSE),0)</f>
        <v>0</v>
      </c>
      <c r="E48" s="91">
        <f>IF($A48=Recto!$I$31,VLOOKUP($A48,Recto!$I$28:$L$44,4,FALSE),0)</f>
        <v>0</v>
      </c>
      <c r="F48" s="91">
        <f>IF($A48=Recto!$I$32,VLOOKUP($A48,Recto!$I$28:$L$44,4,FALSE),0)</f>
        <v>0</v>
      </c>
      <c r="G48" s="91">
        <f>IF($A48=Recto!$I$33,VLOOKUP($A48,Recto!$I$28:$L$44,4,FALSE),0)</f>
        <v>0</v>
      </c>
      <c r="H48" s="91">
        <f>IF($A48=Recto!$I$34,VLOOKUP($A48,Recto!$I$28:$L$44,4,FALSE),0)</f>
        <v>0</v>
      </c>
      <c r="I48" s="91">
        <f>IF($A48=Recto!$I$35,VLOOKUP($A48,Recto!$I$28:$L$44,4,FALSE),0)</f>
        <v>0</v>
      </c>
      <c r="J48" s="91">
        <f>IF($A48=Recto!$I$36,VLOOKUP($A48,Recto!$I$28:$L$44,4,FALSE),0)</f>
        <v>0</v>
      </c>
      <c r="K48" s="91">
        <f>IF($A48=Recto!$I$37,VLOOKUP($A48,Recto!$I$28:$L$44,4,FALSE),0)</f>
        <v>0</v>
      </c>
      <c r="L48" s="91">
        <f>IF($A48=Recto!$I$38,VLOOKUP($A48,Recto!$I$28:$L$44,4,FALSE),0)</f>
        <v>0</v>
      </c>
      <c r="M48" s="91">
        <f>IF($A48=Recto!$I$39,VLOOKUP($A48,Recto!$I$28:$L$44,4,FALSE),0)</f>
        <v>0</v>
      </c>
      <c r="N48" s="91">
        <f>IF($A48=Recto!$I$40,VLOOKUP($A48,Recto!$I$28:$L$44,4,FALSE),0)</f>
        <v>0</v>
      </c>
      <c r="O48" s="91">
        <f>IF($A48=Recto!$I$41,VLOOKUP($A48,Recto!$I$28:$L$44,4,FALSE),0)</f>
        <v>0</v>
      </c>
      <c r="P48" s="91">
        <f>IF($A48=Recto!$I$42,VLOOKUP($A48,Recto!$I$28:$L$44,4,FALSE),0)</f>
        <v>0</v>
      </c>
      <c r="Q48" s="91">
        <f>IF($A48=Recto!$I$43,VLOOKUP($A48,Recto!$I$28:$L$44,4,FALSE),0)</f>
        <v>0</v>
      </c>
      <c r="R48" s="91">
        <f>IF($A48=Recto!$I$44,VLOOKUP($A48,Recto!$I$28:$L$44,4,FALSE),0)</f>
        <v>0</v>
      </c>
      <c r="S48" s="295">
        <f t="shared" si="1"/>
        <v>0</v>
      </c>
    </row>
    <row r="49" spans="1:20" x14ac:dyDescent="0.25">
      <c r="A49" s="500" t="s">
        <v>3175</v>
      </c>
      <c r="B49" s="91">
        <f>IF($A49=Recto!$I$28,VLOOKUP($A49,Recto!$I$28:$L$44,4,FALSE),0)</f>
        <v>0</v>
      </c>
      <c r="C49" s="91">
        <f>IF($A49=Recto!$I$29,VLOOKUP($A49,Recto!$I$28:$L$44,4,FALSE),0)</f>
        <v>0</v>
      </c>
      <c r="D49" s="91">
        <f>IF($A49=Recto!$I$30,VLOOKUP($A49,Recto!$I$28:$L$44,4,FALSE),0)</f>
        <v>0</v>
      </c>
      <c r="E49" s="91">
        <f>IF($A49=Recto!$I$31,VLOOKUP($A49,Recto!$I$28:$L$44,4,FALSE),0)</f>
        <v>0</v>
      </c>
      <c r="F49" s="91">
        <f>IF($A49=Recto!$I$32,VLOOKUP($A49,Recto!$I$28:$L$44,4,FALSE),0)</f>
        <v>0</v>
      </c>
      <c r="G49" s="91">
        <f>IF($A49=Recto!$I$33,VLOOKUP($A49,Recto!$I$28:$L$44,4,FALSE),0)</f>
        <v>0</v>
      </c>
      <c r="H49" s="91">
        <f>IF($A49=Recto!$I$34,VLOOKUP($A49,Recto!$I$28:$L$44,4,FALSE),0)</f>
        <v>0</v>
      </c>
      <c r="I49" s="91">
        <f>IF($A49=Recto!$I$35,VLOOKUP($A49,Recto!$I$28:$L$44,4,FALSE),0)</f>
        <v>0</v>
      </c>
      <c r="J49" s="91">
        <f>IF($A49=Recto!$I$36,VLOOKUP($A49,Recto!$I$28:$L$44,4,FALSE),0)</f>
        <v>0</v>
      </c>
      <c r="K49" s="91">
        <f>IF($A49=Recto!$I$37,VLOOKUP($A49,Recto!$I$28:$L$44,4,FALSE),0)</f>
        <v>0</v>
      </c>
      <c r="L49" s="91">
        <f>IF($A49=Recto!$I$38,VLOOKUP($A49,Recto!$I$28:$L$44,4,FALSE),0)</f>
        <v>0</v>
      </c>
      <c r="M49" s="91">
        <f>IF($A49=Recto!$I$39,VLOOKUP($A49,Recto!$I$28:$L$44,4,FALSE),0)</f>
        <v>0</v>
      </c>
      <c r="N49" s="91">
        <f>IF($A49=Recto!$I$40,VLOOKUP($A49,Recto!$I$28:$L$44,4,FALSE),0)</f>
        <v>0</v>
      </c>
      <c r="O49" s="91">
        <f>IF($A49=Recto!$I$41,VLOOKUP($A49,Recto!$I$28:$L$44,4,FALSE),0)</f>
        <v>0</v>
      </c>
      <c r="P49" s="91">
        <f>IF($A49=Recto!$I$42,VLOOKUP($A49,Recto!$I$28:$L$44,4,FALSE),0)</f>
        <v>0</v>
      </c>
      <c r="Q49" s="91">
        <f>IF($A49=Recto!$I$43,VLOOKUP($A49,Recto!$I$28:$L$44,4,FALSE),0)</f>
        <v>0</v>
      </c>
      <c r="R49" s="91">
        <f>IF($A49=Recto!$I$44,VLOOKUP($A49,Recto!$I$28:$L$44,4,FALSE),0)</f>
        <v>0</v>
      </c>
      <c r="S49" s="295">
        <f t="shared" si="1"/>
        <v>0</v>
      </c>
    </row>
    <row r="50" spans="1:20" x14ac:dyDescent="0.25">
      <c r="A50" s="500" t="s">
        <v>3289</v>
      </c>
      <c r="B50" s="91">
        <f>IF($A50=Recto!$I$28,VLOOKUP($A50,Recto!$I$28:$L$44,4,FALSE),0)</f>
        <v>0</v>
      </c>
      <c r="C50" s="91">
        <f>IF($A50=Recto!$I$29,VLOOKUP($A50,Recto!$I$28:$L$44,4,FALSE),0)</f>
        <v>0</v>
      </c>
      <c r="D50" s="91">
        <f>IF($A50=Recto!$I$30,VLOOKUP($A50,Recto!$I$28:$L$44,4,FALSE),0)</f>
        <v>0</v>
      </c>
      <c r="E50" s="91">
        <f>IF($A50=Recto!$I$31,VLOOKUP($A50,Recto!$I$28:$L$44,4,FALSE),0)</f>
        <v>0</v>
      </c>
      <c r="F50" s="91">
        <f>IF($A50=Recto!$I$32,VLOOKUP($A50,Recto!$I$28:$L$44,4,FALSE),0)</f>
        <v>0</v>
      </c>
      <c r="G50" s="91">
        <f>IF($A50=Recto!$I$33,VLOOKUP($A50,Recto!$I$28:$L$44,4,FALSE),0)</f>
        <v>0</v>
      </c>
      <c r="H50" s="91">
        <f>IF($A50=Recto!$I$34,VLOOKUP($A50,Recto!$I$28:$L$44,4,FALSE),0)</f>
        <v>0</v>
      </c>
      <c r="I50" s="91">
        <f>IF($A50=Recto!$I$35,VLOOKUP($A50,Recto!$I$28:$L$44,4,FALSE),0)</f>
        <v>0</v>
      </c>
      <c r="J50" s="91">
        <f>IF($A50=Recto!$I$36,VLOOKUP($A50,Recto!$I$28:$L$44,4,FALSE),0)</f>
        <v>0</v>
      </c>
      <c r="K50" s="91">
        <f>IF($A50=Recto!$I$37,VLOOKUP($A50,Recto!$I$28:$L$44,4,FALSE),0)</f>
        <v>0</v>
      </c>
      <c r="L50" s="91">
        <f>IF($A50=Recto!$I$38,VLOOKUP($A50,Recto!$I$28:$L$44,4,FALSE),0)</f>
        <v>0</v>
      </c>
      <c r="M50" s="91">
        <f>IF($A50=Recto!$I$39,VLOOKUP($A50,Recto!$I$28:$L$44,4,FALSE),0)</f>
        <v>0</v>
      </c>
      <c r="N50" s="91">
        <f>IF($A50=Recto!$I$40,VLOOKUP($A50,Recto!$I$28:$L$44,4,FALSE),0)</f>
        <v>0</v>
      </c>
      <c r="O50" s="91">
        <f>IF($A50=Recto!$I$41,VLOOKUP($A50,Recto!$I$28:$L$44,4,FALSE),0)</f>
        <v>0</v>
      </c>
      <c r="P50" s="91">
        <f>IF($A50=Recto!$I$42,VLOOKUP($A50,Recto!$I$28:$L$44,4,FALSE),0)</f>
        <v>0</v>
      </c>
      <c r="Q50" s="91">
        <f>IF($A50=Recto!$I$43,VLOOKUP($A50,Recto!$I$28:$L$44,4,FALSE),0)</f>
        <v>0</v>
      </c>
      <c r="R50" s="91">
        <f>IF($A50=Recto!$I$44,VLOOKUP($A50,Recto!$I$28:$L$44,4,FALSE),0)</f>
        <v>0</v>
      </c>
      <c r="S50" s="295">
        <f t="shared" si="1"/>
        <v>0</v>
      </c>
    </row>
    <row r="51" spans="1:20" x14ac:dyDescent="0.25">
      <c r="A51" s="500" t="s">
        <v>3283</v>
      </c>
      <c r="B51" s="91">
        <f>IF($A51=Recto!$I$28,VLOOKUP($A51,Recto!$I$28:$L$44,4,FALSE),0)</f>
        <v>0</v>
      </c>
      <c r="C51" s="91">
        <f>IF($A51=Recto!$I$29,VLOOKUP($A51,Recto!$I$28:$L$44,4,FALSE),0)</f>
        <v>0</v>
      </c>
      <c r="D51" s="91">
        <f>IF($A51=Recto!$I$30,VLOOKUP($A51,Recto!$I$28:$L$44,4,FALSE),0)</f>
        <v>0</v>
      </c>
      <c r="E51" s="91">
        <f>IF($A51=Recto!$I$31,VLOOKUP($A51,Recto!$I$28:$L$44,4,FALSE),0)</f>
        <v>0</v>
      </c>
      <c r="F51" s="91">
        <f>IF($A51=Recto!$I$32,VLOOKUP($A51,Recto!$I$28:$L$44,4,FALSE),0)</f>
        <v>0</v>
      </c>
      <c r="G51" s="91">
        <f>IF($A51=Recto!$I$33,VLOOKUP($A51,Recto!$I$28:$L$44,4,FALSE),0)</f>
        <v>0</v>
      </c>
      <c r="H51" s="91">
        <f>IF($A51=Recto!$I$34,VLOOKUP($A51,Recto!$I$28:$L$44,4,FALSE),0)</f>
        <v>0</v>
      </c>
      <c r="I51" s="91">
        <f>IF($A51=Recto!$I$35,VLOOKUP($A51,Recto!$I$28:$L$44,4,FALSE),0)</f>
        <v>0</v>
      </c>
      <c r="J51" s="91">
        <f>IF($A51=Recto!$I$36,VLOOKUP($A51,Recto!$I$28:$L$44,4,FALSE),0)</f>
        <v>0</v>
      </c>
      <c r="K51" s="91">
        <f>IF($A51=Recto!$I$37,VLOOKUP($A51,Recto!$I$28:$L$44,4,FALSE),0)</f>
        <v>0</v>
      </c>
      <c r="L51" s="91">
        <f>IF($A51=Recto!$I$38,VLOOKUP($A51,Recto!$I$28:$L$44,4,FALSE),0)</f>
        <v>0</v>
      </c>
      <c r="M51" s="91">
        <f>IF($A51=Recto!$I$39,VLOOKUP($A51,Recto!$I$28:$L$44,4,FALSE),0)</f>
        <v>0</v>
      </c>
      <c r="N51" s="91">
        <f>IF($A51=Recto!$I$40,VLOOKUP($A51,Recto!$I$28:$L$44,4,FALSE),0)</f>
        <v>0</v>
      </c>
      <c r="O51" s="91">
        <f>IF($A51=Recto!$I$41,VLOOKUP($A51,Recto!$I$28:$L$44,4,FALSE),0)</f>
        <v>0</v>
      </c>
      <c r="P51" s="91">
        <f>IF($A51=Recto!$I$42,VLOOKUP($A51,Recto!$I$28:$L$44,4,FALSE),0)</f>
        <v>0</v>
      </c>
      <c r="Q51" s="91">
        <f>IF($A51=Recto!$I$43,VLOOKUP($A51,Recto!$I$28:$L$44,4,FALSE),0)</f>
        <v>0</v>
      </c>
      <c r="R51" s="91">
        <f>IF($A51=Recto!$I$44,VLOOKUP($A51,Recto!$I$28:$L$44,4,FALSE),0)</f>
        <v>0</v>
      </c>
      <c r="S51" s="295">
        <f t="shared" si="1"/>
        <v>0</v>
      </c>
    </row>
    <row r="52" spans="1:20" x14ac:dyDescent="0.25">
      <c r="A52" s="500" t="s">
        <v>354</v>
      </c>
      <c r="B52" s="91">
        <f>IF($A52=Recto!$I$28,VLOOKUP($A52,Recto!$I$28:$L$44,4,FALSE),0)</f>
        <v>0</v>
      </c>
      <c r="C52" s="91">
        <f>IF($A52=Recto!$I$29,VLOOKUP($A52,Recto!$I$28:$L$44,4,FALSE),0)</f>
        <v>0</v>
      </c>
      <c r="D52" s="91">
        <f>IF($A52=Recto!$I$30,VLOOKUP($A52,Recto!$I$28:$L$44,4,FALSE),0)</f>
        <v>0</v>
      </c>
      <c r="E52" s="91">
        <f>IF($A52=Recto!$I$31,VLOOKUP($A52,Recto!$I$28:$L$44,4,FALSE),0)</f>
        <v>0</v>
      </c>
      <c r="F52" s="91">
        <f>IF($A52=Recto!$I$32,VLOOKUP($A52,Recto!$I$28:$L$44,4,FALSE),0)</f>
        <v>0</v>
      </c>
      <c r="G52" s="91">
        <f>IF($A52=Recto!$I$33,VLOOKUP($A52,Recto!$I$28:$L$44,4,FALSE),0)</f>
        <v>0</v>
      </c>
      <c r="H52" s="91">
        <f>IF($A52=Recto!$I$34,VLOOKUP($A52,Recto!$I$28:$L$44,4,FALSE),0)</f>
        <v>0</v>
      </c>
      <c r="I52" s="91">
        <f>IF($A52=Recto!$I$35,VLOOKUP($A52,Recto!$I$28:$L$44,4,FALSE),0)</f>
        <v>0</v>
      </c>
      <c r="J52" s="91">
        <f>IF($A52=Recto!$I$36,VLOOKUP($A52,Recto!$I$28:$L$44,4,FALSE),0)</f>
        <v>0</v>
      </c>
      <c r="K52" s="91">
        <f>IF($A52=Recto!$I$37,VLOOKUP($A52,Recto!$I$28:$L$44,4,FALSE),0)</f>
        <v>0</v>
      </c>
      <c r="L52" s="91">
        <f>IF($A52=Recto!$I$38,VLOOKUP($A52,Recto!$I$28:$L$44,4,FALSE),0)</f>
        <v>0</v>
      </c>
      <c r="M52" s="91">
        <f>IF($A52=Recto!$I$39,VLOOKUP($A52,Recto!$I$28:$L$44,4,FALSE),0)</f>
        <v>0</v>
      </c>
      <c r="N52" s="91">
        <f>IF($A52=Recto!$I$40,VLOOKUP($A52,Recto!$I$28:$L$44,4,FALSE),0)</f>
        <v>0</v>
      </c>
      <c r="O52" s="91">
        <f>IF($A52=Recto!$I$41,VLOOKUP($A52,Recto!$I$28:$L$44,4,FALSE),0)</f>
        <v>0</v>
      </c>
      <c r="P52" s="91">
        <f>IF($A52=Recto!$I$42,VLOOKUP($A52,Recto!$I$28:$L$44,4,FALSE),0)</f>
        <v>0</v>
      </c>
      <c r="Q52" s="91">
        <f>IF($A52=Recto!$I$43,VLOOKUP($A52,Recto!$I$28:$L$44,4,FALSE),0)</f>
        <v>0</v>
      </c>
      <c r="R52" s="91">
        <f>IF($A52=Recto!$I$44,VLOOKUP($A52,Recto!$I$28:$L$44,4,FALSE),0)</f>
        <v>0</v>
      </c>
      <c r="S52" s="295">
        <f t="shared" si="1"/>
        <v>0</v>
      </c>
    </row>
    <row r="53" spans="1:20" x14ac:dyDescent="0.25">
      <c r="A53" s="500" t="s">
        <v>3298</v>
      </c>
      <c r="B53" s="91">
        <f>IF($A53=Recto!$I$28,VLOOKUP($A53,Recto!$I$28:$L$44,4,FALSE),0)</f>
        <v>0</v>
      </c>
      <c r="C53" s="91">
        <f>IF($A53=Recto!$I$29,VLOOKUP($A53,Recto!$I$28:$L$44,4,FALSE),0)</f>
        <v>0</v>
      </c>
      <c r="D53" s="91">
        <f>IF($A53=Recto!$I$30,VLOOKUP($A53,Recto!$I$28:$L$44,4,FALSE),0)</f>
        <v>0</v>
      </c>
      <c r="E53" s="91">
        <f>IF($A53=Recto!$I$31,VLOOKUP($A53,Recto!$I$28:$L$44,4,FALSE),0)</f>
        <v>0</v>
      </c>
      <c r="F53" s="91">
        <f>IF($A53=Recto!$I$32,VLOOKUP($A53,Recto!$I$28:$L$44,4,FALSE),0)</f>
        <v>0</v>
      </c>
      <c r="G53" s="91">
        <f>IF($A53=Recto!$I$33,VLOOKUP($A53,Recto!$I$28:$L$44,4,FALSE),0)</f>
        <v>0</v>
      </c>
      <c r="H53" s="91">
        <f>IF($A53=Recto!$I$34,VLOOKUP($A53,Recto!$I$28:$L$44,4,FALSE),0)</f>
        <v>0</v>
      </c>
      <c r="I53" s="91">
        <f>IF($A53=Recto!$I$35,VLOOKUP($A53,Recto!$I$28:$L$44,4,FALSE),0)</f>
        <v>0</v>
      </c>
      <c r="J53" s="91">
        <f>IF($A53=Recto!$I$36,VLOOKUP($A53,Recto!$I$28:$L$44,4,FALSE),0)</f>
        <v>0</v>
      </c>
      <c r="K53" s="91">
        <f>IF($A53=Recto!$I$37,VLOOKUP($A53,Recto!$I$28:$L$44,4,FALSE),0)</f>
        <v>0</v>
      </c>
      <c r="L53" s="91">
        <f>IF($A53=Recto!$I$38,VLOOKUP($A53,Recto!$I$28:$L$44,4,FALSE),0)</f>
        <v>0</v>
      </c>
      <c r="M53" s="91">
        <f>IF($A53=Recto!$I$39,VLOOKUP($A53,Recto!$I$28:$L$44,4,FALSE),0)</f>
        <v>0</v>
      </c>
      <c r="N53" s="91">
        <f>IF($A53=Recto!$I$40,VLOOKUP($A53,Recto!$I$28:$L$44,4,FALSE),0)</f>
        <v>0</v>
      </c>
      <c r="O53" s="91">
        <f>IF($A53=Recto!$I$41,VLOOKUP($A53,Recto!$I$28:$L$44,4,FALSE),0)</f>
        <v>0</v>
      </c>
      <c r="P53" s="91">
        <f>IF($A53=Recto!$I$42,VLOOKUP($A53,Recto!$I$28:$L$44,4,FALSE),0)</f>
        <v>0</v>
      </c>
      <c r="Q53" s="91">
        <f>IF($A53=Recto!$I$43,VLOOKUP($A53,Recto!$I$28:$L$44,4,FALSE),0)</f>
        <v>0</v>
      </c>
      <c r="R53" s="91">
        <f>IF($A53=Recto!$I$44,VLOOKUP($A53,Recto!$I$28:$L$44,4,FALSE),0)</f>
        <v>0</v>
      </c>
      <c r="S53" s="295">
        <f t="shared" si="1"/>
        <v>0</v>
      </c>
    </row>
    <row r="54" spans="1:20" x14ac:dyDescent="0.25">
      <c r="A54" s="500" t="s">
        <v>3188</v>
      </c>
      <c r="B54" s="91">
        <f>IF($A54=Recto!$I$28,VLOOKUP($A54,Recto!$I$28:$L$44,4,FALSE),0)</f>
        <v>0</v>
      </c>
      <c r="C54" s="91">
        <f>IF($A54=Recto!$I$29,VLOOKUP($A54,Recto!$I$28:$L$44,4,FALSE),0)</f>
        <v>0</v>
      </c>
      <c r="D54" s="91">
        <f>IF($A54=Recto!$I$30,VLOOKUP($A54,Recto!$I$28:$L$44,4,FALSE),0)</f>
        <v>0</v>
      </c>
      <c r="E54" s="91">
        <f>IF($A54=Recto!$I$31,VLOOKUP($A54,Recto!$I$28:$L$44,4,FALSE),0)</f>
        <v>0</v>
      </c>
      <c r="F54" s="91">
        <f>IF($A54=Recto!$I$32,VLOOKUP($A54,Recto!$I$28:$L$44,4,FALSE),0)</f>
        <v>0</v>
      </c>
      <c r="G54" s="91">
        <f>IF($A54=Recto!$I$33,VLOOKUP($A54,Recto!$I$28:$L$44,4,FALSE),0)</f>
        <v>0</v>
      </c>
      <c r="H54" s="91">
        <f>IF($A54=Recto!$I$34,VLOOKUP($A54,Recto!$I$28:$L$44,4,FALSE),0)</f>
        <v>0</v>
      </c>
      <c r="I54" s="91">
        <f>IF($A54=Recto!$I$35,VLOOKUP($A54,Recto!$I$28:$L$44,4,FALSE),0)</f>
        <v>0</v>
      </c>
      <c r="J54" s="91">
        <f>IF($A54=Recto!$I$36,VLOOKUP($A54,Recto!$I$28:$L$44,4,FALSE),0)</f>
        <v>0</v>
      </c>
      <c r="K54" s="91">
        <f>IF($A54=Recto!$I$37,VLOOKUP($A54,Recto!$I$28:$L$44,4,FALSE),0)</f>
        <v>0</v>
      </c>
      <c r="L54" s="91">
        <f>IF($A54=Recto!$I$38,VLOOKUP($A54,Recto!$I$28:$L$44,4,FALSE),0)</f>
        <v>0</v>
      </c>
      <c r="M54" s="91">
        <f>IF($A54=Recto!$I$39,VLOOKUP($A54,Recto!$I$28:$L$44,4,FALSE),0)</f>
        <v>0</v>
      </c>
      <c r="N54" s="91">
        <f>IF($A54=Recto!$I$40,VLOOKUP($A54,Recto!$I$28:$L$44,4,FALSE),0)</f>
        <v>0</v>
      </c>
      <c r="O54" s="91">
        <f>IF($A54=Recto!$I$41,VLOOKUP($A54,Recto!$I$28:$L$44,4,FALSE),0)</f>
        <v>0</v>
      </c>
      <c r="P54" s="91">
        <f>IF($A54=Recto!$I$42,VLOOKUP($A54,Recto!$I$28:$L$44,4,FALSE),0)</f>
        <v>0</v>
      </c>
      <c r="Q54" s="91">
        <f>IF($A54=Recto!$I$43,VLOOKUP($A54,Recto!$I$28:$L$44,4,FALSE),0)</f>
        <v>0</v>
      </c>
      <c r="R54" s="91">
        <f>IF($A54=Recto!$I$44,VLOOKUP($A54,Recto!$I$28:$L$44,4,FALSE),0)</f>
        <v>0</v>
      </c>
      <c r="S54" s="295">
        <f t="shared" si="1"/>
        <v>0</v>
      </c>
    </row>
    <row r="55" spans="1:20" x14ac:dyDescent="0.25">
      <c r="A55" s="500" t="s">
        <v>3664</v>
      </c>
      <c r="B55" s="91">
        <f>IF($A55=Recto!$I$28,VLOOKUP($A55,Recto!$I$28:$L$44,4,FALSE),0)</f>
        <v>0</v>
      </c>
      <c r="C55" s="91">
        <f>IF($A55=Recto!$I$29,VLOOKUP($A55,Recto!$I$28:$L$44,4,FALSE),0)</f>
        <v>0</v>
      </c>
      <c r="D55" s="91">
        <f>IF($A55=Recto!$I$30,VLOOKUP($A55,Recto!$I$28:$L$44,4,FALSE),0)</f>
        <v>0</v>
      </c>
      <c r="E55" s="91">
        <f>IF($A55=Recto!$I$31,VLOOKUP($A55,Recto!$I$28:$L$44,4,FALSE),0)</f>
        <v>0</v>
      </c>
      <c r="F55" s="91">
        <f>IF($A55=Recto!$I$32,VLOOKUP($A55,Recto!$I$28:$L$44,4,FALSE),0)</f>
        <v>0</v>
      </c>
      <c r="G55" s="91">
        <f>IF($A55=Recto!$I$33,VLOOKUP($A55,Recto!$I$28:$L$44,4,FALSE),0)</f>
        <v>0</v>
      </c>
      <c r="H55" s="91">
        <f>IF($A55=Recto!$I$34,VLOOKUP($A55,Recto!$I$28:$L$44,4,FALSE),0)</f>
        <v>0</v>
      </c>
      <c r="I55" s="91">
        <f>IF($A55=Recto!$I$35,VLOOKUP($A55,Recto!$I$28:$L$44,4,FALSE),0)</f>
        <v>0</v>
      </c>
      <c r="J55" s="91">
        <f>IF($A55=Recto!$I$36,VLOOKUP($A55,Recto!$I$28:$L$44,4,FALSE),0)</f>
        <v>0</v>
      </c>
      <c r="K55" s="91">
        <f>IF($A55=Recto!$I$37,VLOOKUP($A55,Recto!$I$28:$L$44,4,FALSE),0)</f>
        <v>0</v>
      </c>
      <c r="L55" s="91">
        <f>IF($A55=Recto!$I$38,VLOOKUP($A55,Recto!$I$28:$L$44,4,FALSE),0)</f>
        <v>0</v>
      </c>
      <c r="M55" s="91">
        <f>IF($A55=Recto!$I$39,VLOOKUP($A55,Recto!$I$28:$L$44,4,FALSE),0)</f>
        <v>0</v>
      </c>
      <c r="N55" s="91">
        <f>IF($A55=Recto!$I$40,VLOOKUP($A55,Recto!$I$28:$L$44,4,FALSE),0)</f>
        <v>0</v>
      </c>
      <c r="O55" s="91">
        <f>IF($A55=Recto!$I$41,VLOOKUP($A55,Recto!$I$28:$L$44,4,FALSE),0)</f>
        <v>0</v>
      </c>
      <c r="P55" s="91">
        <f>IF($A55=Recto!$I$42,VLOOKUP($A55,Recto!$I$28:$L$44,4,FALSE),0)</f>
        <v>0</v>
      </c>
      <c r="Q55" s="91">
        <f>IF($A55=Recto!$I$43,VLOOKUP($A55,Recto!$I$28:$L$44,4,FALSE),0)</f>
        <v>0</v>
      </c>
      <c r="R55" s="91">
        <f>IF($A55=Recto!$I$44,VLOOKUP($A55,Recto!$I$28:$L$44,4,FALSE),0)</f>
        <v>0</v>
      </c>
      <c r="S55" s="295">
        <f t="shared" si="1"/>
        <v>0</v>
      </c>
    </row>
    <row r="56" spans="1:20" x14ac:dyDescent="0.25">
      <c r="A56" s="500" t="s">
        <v>4553</v>
      </c>
      <c r="B56" s="91">
        <f>IF($A56=Recto!$I$28,VLOOKUP($A56,Recto!$I$28:$L$44,4,FALSE),0)</f>
        <v>0</v>
      </c>
      <c r="C56" s="91">
        <f>IF($A56=Recto!$I$29,VLOOKUP($A56,Recto!$I$28:$L$44,4,FALSE),0)</f>
        <v>0</v>
      </c>
      <c r="D56" s="91">
        <f>IF($A56=Recto!$I$30,VLOOKUP($A56,Recto!$I$28:$L$44,4,FALSE),0)</f>
        <v>0</v>
      </c>
      <c r="E56" s="91">
        <f>IF($A56=Recto!$I$31,VLOOKUP($A56,Recto!$I$28:$L$44,4,FALSE),0)</f>
        <v>0</v>
      </c>
      <c r="F56" s="91">
        <f>IF($A56=Recto!$I$32,VLOOKUP($A56,Recto!$I$28:$L$44,4,FALSE),0)</f>
        <v>0</v>
      </c>
      <c r="G56" s="91">
        <f>IF($A56=Recto!$I$33,VLOOKUP($A56,Recto!$I$28:$L$44,4,FALSE),0)</f>
        <v>0</v>
      </c>
      <c r="H56" s="91">
        <f>IF($A56=Recto!$I$34,VLOOKUP($A56,Recto!$I$28:$L$44,4,FALSE),0)</f>
        <v>0</v>
      </c>
      <c r="I56" s="91">
        <f>IF($A56=Recto!$I$35,VLOOKUP($A56,Recto!$I$28:$L$44,4,FALSE),0)</f>
        <v>0</v>
      </c>
      <c r="J56" s="91">
        <f>IF($A56=Recto!$I$36,VLOOKUP($A56,Recto!$I$28:$L$44,4,FALSE),0)</f>
        <v>0</v>
      </c>
      <c r="K56" s="91">
        <f>IF($A56=Recto!$I$37,VLOOKUP($A56,Recto!$I$28:$L$44,4,FALSE),0)</f>
        <v>0</v>
      </c>
      <c r="L56" s="91">
        <f>IF($A56=Recto!$I$38,VLOOKUP($A56,Recto!$I$28:$L$44,4,FALSE),0)</f>
        <v>0</v>
      </c>
      <c r="M56" s="91">
        <f>IF($A56=Recto!$I$39,VLOOKUP($A56,Recto!$I$28:$L$44,4,FALSE),0)</f>
        <v>0</v>
      </c>
      <c r="N56" s="91">
        <f>IF($A56=Recto!$I$40,VLOOKUP($A56,Recto!$I$28:$L$44,4,FALSE),0)</f>
        <v>0</v>
      </c>
      <c r="O56" s="91">
        <f>IF($A56=Recto!$I$41,VLOOKUP($A56,Recto!$I$28:$L$44,4,FALSE),0)</f>
        <v>0</v>
      </c>
      <c r="P56" s="91">
        <f>IF($A56=Recto!$I$42,VLOOKUP($A56,Recto!$I$28:$L$44,4,FALSE),0)</f>
        <v>0</v>
      </c>
      <c r="Q56" s="91">
        <f>IF($A56=Recto!$I$43,VLOOKUP($A56,Recto!$I$28:$L$44,4,FALSE),0)</f>
        <v>0</v>
      </c>
      <c r="R56" s="91">
        <f>IF($A56=Recto!$I$44,VLOOKUP($A56,Recto!$I$28:$L$44,4,FALSE),0)</f>
        <v>0</v>
      </c>
      <c r="S56" s="295">
        <f t="shared" si="1"/>
        <v>0</v>
      </c>
    </row>
    <row r="57" spans="1:20" x14ac:dyDescent="0.25">
      <c r="A57" s="500" t="s">
        <v>1261</v>
      </c>
      <c r="B57" s="91">
        <f>IF($A57=Recto!$I$28,VLOOKUP($A57,Recto!$I$28:$L$44,4,FALSE),0)</f>
        <v>0</v>
      </c>
      <c r="C57" s="91">
        <f>IF($A57=Recto!$I$29,VLOOKUP($A57,Recto!$I$28:$L$44,4,FALSE),0)</f>
        <v>0</v>
      </c>
      <c r="D57" s="91">
        <f>IF($A57=Recto!$I$30,VLOOKUP($A57,Recto!$I$28:$L$44,4,FALSE),0)</f>
        <v>0</v>
      </c>
      <c r="E57" s="91">
        <f>IF($A57=Recto!$I$31,VLOOKUP($A57,Recto!$I$28:$L$44,4,FALSE),0)</f>
        <v>0</v>
      </c>
      <c r="F57" s="91">
        <f>IF($A57=Recto!$I$32,VLOOKUP($A57,Recto!$I$28:$L$44,4,FALSE),0)</f>
        <v>0</v>
      </c>
      <c r="G57" s="91">
        <f>IF($A57=Recto!$I$33,VLOOKUP($A57,Recto!$I$28:$L$44,4,FALSE),0)</f>
        <v>0</v>
      </c>
      <c r="H57" s="91">
        <f>IF($A57=Recto!$I$34,VLOOKUP($A57,Recto!$I$28:$L$44,4,FALSE),0)</f>
        <v>0</v>
      </c>
      <c r="I57" s="91">
        <f>IF($A57=Recto!$I$35,VLOOKUP($A57,Recto!$I$28:$L$44,4,FALSE),0)</f>
        <v>0</v>
      </c>
      <c r="J57" s="91">
        <f>IF($A57=Recto!$I$36,VLOOKUP($A57,Recto!$I$28:$L$44,4,FALSE),0)</f>
        <v>0</v>
      </c>
      <c r="K57" s="91">
        <f>IF($A57=Recto!$I$37,VLOOKUP($A57,Recto!$I$28:$L$44,4,FALSE),0)</f>
        <v>0</v>
      </c>
      <c r="L57" s="91">
        <f>IF($A57=Recto!$I$38,VLOOKUP($A57,Recto!$I$28:$L$44,4,FALSE),0)</f>
        <v>0</v>
      </c>
      <c r="M57" s="91">
        <f>IF($A57=Recto!$I$39,VLOOKUP($A57,Recto!$I$28:$L$44,4,FALSE),0)</f>
        <v>0</v>
      </c>
      <c r="N57" s="91">
        <f>IF($A57=Recto!$I$40,VLOOKUP($A57,Recto!$I$28:$L$44,4,FALSE),0)</f>
        <v>0</v>
      </c>
      <c r="O57" s="91">
        <f>IF($A57=Recto!$I$41,VLOOKUP($A57,Recto!$I$28:$L$44,4,FALSE),0)</f>
        <v>0</v>
      </c>
      <c r="P57" s="91">
        <f>IF($A57=Recto!$I$42,VLOOKUP($A57,Recto!$I$28:$L$44,4,FALSE),0)</f>
        <v>0</v>
      </c>
      <c r="Q57" s="91">
        <f>IF($A57=Recto!$I$43,VLOOKUP($A57,Recto!$I$28:$L$44,4,FALSE),0)</f>
        <v>0</v>
      </c>
      <c r="R57" s="91">
        <f>IF($A57=Recto!$I$44,VLOOKUP($A57,Recto!$I$28:$L$44,4,FALSE),0)</f>
        <v>0</v>
      </c>
      <c r="S57" s="295">
        <f t="shared" si="1"/>
        <v>0</v>
      </c>
    </row>
    <row r="58" spans="1:20" x14ac:dyDescent="0.25">
      <c r="A58" s="500" t="s">
        <v>3284</v>
      </c>
      <c r="B58" s="91">
        <f>IF($A58=Recto!$I$28,VLOOKUP($A58,Recto!$I$28:$L$44,4,FALSE),0)</f>
        <v>0</v>
      </c>
      <c r="C58" s="91">
        <f>IF($A58=Recto!$I$29,VLOOKUP($A58,Recto!$I$28:$L$44,4,FALSE),0)</f>
        <v>0</v>
      </c>
      <c r="D58" s="91">
        <f>IF($A58=Recto!$I$30,VLOOKUP($A58,Recto!$I$28:$L$44,4,FALSE),0)</f>
        <v>0</v>
      </c>
      <c r="E58" s="91">
        <f>IF($A58=Recto!$I$31,VLOOKUP($A58,Recto!$I$28:$L$44,4,FALSE),0)</f>
        <v>0</v>
      </c>
      <c r="F58" s="91">
        <f>IF($A58=Recto!$I$32,VLOOKUP($A58,Recto!$I$28:$L$44,4,FALSE),0)</f>
        <v>0</v>
      </c>
      <c r="G58" s="91">
        <f>IF($A58=Recto!$I$33,VLOOKUP($A58,Recto!$I$28:$L$44,4,FALSE),0)</f>
        <v>0</v>
      </c>
      <c r="H58" s="91">
        <f>IF($A58=Recto!$I$34,VLOOKUP($A58,Recto!$I$28:$L$44,4,FALSE),0)</f>
        <v>0</v>
      </c>
      <c r="I58" s="91">
        <f>IF($A58=Recto!$I$35,VLOOKUP($A58,Recto!$I$28:$L$44,4,FALSE),0)</f>
        <v>0</v>
      </c>
      <c r="J58" s="91">
        <f>IF($A58=Recto!$I$36,VLOOKUP($A58,Recto!$I$28:$L$44,4,FALSE),0)</f>
        <v>0</v>
      </c>
      <c r="K58" s="91">
        <f>IF($A58=Recto!$I$37,VLOOKUP($A58,Recto!$I$28:$L$44,4,FALSE),0)</f>
        <v>0</v>
      </c>
      <c r="L58" s="91">
        <f>IF($A58=Recto!$I$38,VLOOKUP($A58,Recto!$I$28:$L$44,4,FALSE),0)</f>
        <v>0</v>
      </c>
      <c r="M58" s="91">
        <f>IF($A58=Recto!$I$39,VLOOKUP($A58,Recto!$I$28:$L$44,4,FALSE),0)</f>
        <v>0</v>
      </c>
      <c r="N58" s="91">
        <f>IF($A58=Recto!$I$40,VLOOKUP($A58,Recto!$I$28:$L$44,4,FALSE),0)</f>
        <v>0</v>
      </c>
      <c r="O58" s="91">
        <f>IF($A58=Recto!$I$41,VLOOKUP($A58,Recto!$I$28:$L$44,4,FALSE),0)</f>
        <v>0</v>
      </c>
      <c r="P58" s="91">
        <f>IF($A58=Recto!$I$42,VLOOKUP($A58,Recto!$I$28:$L$44,4,FALSE),0)</f>
        <v>0</v>
      </c>
      <c r="Q58" s="91">
        <f>IF($A58=Recto!$I$43,VLOOKUP($A58,Recto!$I$28:$L$44,4,FALSE),0)</f>
        <v>0</v>
      </c>
      <c r="R58" s="91">
        <f>IF($A58=Recto!$I$44,VLOOKUP($A58,Recto!$I$28:$L$44,4,FALSE),0)</f>
        <v>0</v>
      </c>
      <c r="S58" s="295">
        <f t="shared" si="1"/>
        <v>0</v>
      </c>
    </row>
    <row r="59" spans="1:20" x14ac:dyDescent="0.25">
      <c r="A59" s="500" t="s">
        <v>1259</v>
      </c>
      <c r="B59" s="91">
        <f>IF($A59=Recto!$I$28,VLOOKUP($A59,Recto!$I$28:$L$44,4,FALSE),0)</f>
        <v>0</v>
      </c>
      <c r="C59" s="91">
        <f>IF($A59=Recto!$I$29,VLOOKUP($A59,Recto!$I$28:$L$44,4,FALSE),0)</f>
        <v>0</v>
      </c>
      <c r="D59" s="91">
        <f>IF($A59=Recto!$I$30,VLOOKUP($A59,Recto!$I$28:$L$44,4,FALSE),0)</f>
        <v>0</v>
      </c>
      <c r="E59" s="91">
        <f>IF($A59=Recto!$I$31,VLOOKUP($A59,Recto!$I$28:$L$44,4,FALSE),0)</f>
        <v>0</v>
      </c>
      <c r="F59" s="91">
        <f>IF($A59=Recto!$I$32,VLOOKUP($A59,Recto!$I$28:$L$44,4,FALSE),0)</f>
        <v>0</v>
      </c>
      <c r="G59" s="91">
        <f>IF($A59=Recto!$I$33,VLOOKUP($A59,Recto!$I$28:$L$44,4,FALSE),0)</f>
        <v>0</v>
      </c>
      <c r="H59" s="91">
        <f>IF($A59=Recto!$I$34,VLOOKUP($A59,Recto!$I$28:$L$44,4,FALSE),0)</f>
        <v>0</v>
      </c>
      <c r="I59" s="91">
        <f>IF($A59=Recto!$I$35,VLOOKUP($A59,Recto!$I$28:$L$44,4,FALSE),0)</f>
        <v>0</v>
      </c>
      <c r="J59" s="91">
        <f>IF($A59=Recto!$I$36,VLOOKUP($A59,Recto!$I$28:$L$44,4,FALSE),0)</f>
        <v>0</v>
      </c>
      <c r="K59" s="91">
        <f>IF($A59=Recto!$I$37,VLOOKUP($A59,Recto!$I$28:$L$44,4,FALSE),0)</f>
        <v>0</v>
      </c>
      <c r="L59" s="91">
        <f>IF($A59=Recto!$I$38,VLOOKUP($A59,Recto!$I$28:$L$44,4,FALSE),0)</f>
        <v>0</v>
      </c>
      <c r="M59" s="91">
        <f>IF($A59=Recto!$I$39,VLOOKUP($A59,Recto!$I$28:$L$44,4,FALSE),0)</f>
        <v>0</v>
      </c>
      <c r="N59" s="91">
        <f>IF($A59=Recto!$I$40,VLOOKUP($A59,Recto!$I$28:$L$44,4,FALSE),0)</f>
        <v>0</v>
      </c>
      <c r="O59" s="91">
        <f>IF($A59=Recto!$I$41,VLOOKUP($A59,Recto!$I$28:$L$44,4,FALSE),0)</f>
        <v>0</v>
      </c>
      <c r="P59" s="91">
        <f>IF($A59=Recto!$I$42,VLOOKUP($A59,Recto!$I$28:$L$44,4,FALSE),0)</f>
        <v>0</v>
      </c>
      <c r="Q59" s="91">
        <f>IF($A59=Recto!$I$43,VLOOKUP($A59,Recto!$I$28:$L$44,4,FALSE),0)</f>
        <v>0</v>
      </c>
      <c r="R59" s="91">
        <f>IF($A59=Recto!$I$44,VLOOKUP($A59,Recto!$I$28:$L$44,4,FALSE),0)</f>
        <v>0</v>
      </c>
      <c r="S59" s="295">
        <f t="shared" si="1"/>
        <v>0</v>
      </c>
    </row>
    <row r="60" spans="1:20" s="196" customFormat="1" x14ac:dyDescent="0.25">
      <c r="A60" s="136" t="s">
        <v>7712</v>
      </c>
      <c r="B60" s="91">
        <f>IF($A60=Recto!$I$28,VLOOKUP($A60,Recto!$I$28:$L$44,4,FALSE),0)</f>
        <v>0</v>
      </c>
      <c r="C60" s="91">
        <f>IF($A60=Recto!$I$29,VLOOKUP($A60,Recto!$I$28:$L$44,4,FALSE),0)</f>
        <v>0</v>
      </c>
      <c r="D60" s="91">
        <f>IF($A60=Recto!$I$30,VLOOKUP($A60,Recto!$I$28:$L$44,4,FALSE),0)</f>
        <v>0</v>
      </c>
      <c r="E60" s="91">
        <f>IF($A60=Recto!$I$31,VLOOKUP($A60,Recto!$I$28:$L$44,4,FALSE),0)</f>
        <v>0</v>
      </c>
      <c r="F60" s="91">
        <f>IF($A60=Recto!$I$32,VLOOKUP($A60,Recto!$I$28:$L$44,4,FALSE),0)</f>
        <v>0</v>
      </c>
      <c r="G60" s="91">
        <f>IF($A60=Recto!$I$33,VLOOKUP($A60,Recto!$I$28:$L$44,4,FALSE),0)</f>
        <v>0</v>
      </c>
      <c r="H60" s="91">
        <f>IF($A60=Recto!$I$34,VLOOKUP($A60,Recto!$I$28:$L$44,4,FALSE),0)</f>
        <v>0</v>
      </c>
      <c r="I60" s="91">
        <f>IF($A60=Recto!$I$35,VLOOKUP($A60,Recto!$I$28:$L$44,4,FALSE),0)</f>
        <v>0</v>
      </c>
      <c r="J60" s="91">
        <f>IF($A60=Recto!$I$36,VLOOKUP($A60,Recto!$I$28:$L$44,4,FALSE),0)</f>
        <v>0</v>
      </c>
      <c r="K60" s="91">
        <f>IF($A60=Recto!$I$37,VLOOKUP($A60,Recto!$I$28:$L$44,4,FALSE),0)</f>
        <v>0</v>
      </c>
      <c r="L60" s="91">
        <f>IF($A60=Recto!$I$38,VLOOKUP($A60,Recto!$I$28:$L$44,4,FALSE),0)</f>
        <v>0</v>
      </c>
      <c r="M60" s="91">
        <f>IF($A60=Recto!$I$39,VLOOKUP($A60,Recto!$I$28:$L$44,4,FALSE),0)</f>
        <v>0</v>
      </c>
      <c r="N60" s="91">
        <f>IF($A60=Recto!$I$40,VLOOKUP($A60,Recto!$I$28:$L$44,4,FALSE),0)</f>
        <v>0</v>
      </c>
      <c r="O60" s="91">
        <f>IF($A60=Recto!$I$41,VLOOKUP($A60,Recto!$I$28:$L$44,4,FALSE),0)</f>
        <v>0</v>
      </c>
      <c r="P60" s="91">
        <f>IF($A60=Recto!$I$42,VLOOKUP($A60,Recto!$I$28:$L$44,4,FALSE),0)</f>
        <v>0</v>
      </c>
      <c r="Q60" s="91">
        <f>IF($A60=Recto!$I$43,VLOOKUP($A60,Recto!$I$28:$L$44,4,FALSE),0)</f>
        <v>0</v>
      </c>
      <c r="R60" s="91">
        <f>IF($A60=Recto!$I$44,VLOOKUP($A60,Recto!$I$28:$L$44,4,FALSE),0)</f>
        <v>0</v>
      </c>
      <c r="S60" s="295">
        <f>SUM(B60:R60)</f>
        <v>0</v>
      </c>
    </row>
    <row r="61" spans="1:20" x14ac:dyDescent="0.25">
      <c r="A61" s="500" t="s">
        <v>3260</v>
      </c>
      <c r="B61" s="91">
        <f>IF($A61=Recto!$I$28,VLOOKUP($A61,Recto!$I$28:$L$44,4,FALSE),0)</f>
        <v>0</v>
      </c>
      <c r="C61" s="91">
        <f>IF($A61=Recto!$I$29,VLOOKUP($A61,Recto!$I$28:$L$44,4,FALSE),0)</f>
        <v>0</v>
      </c>
      <c r="D61" s="91">
        <f>IF($A61=Recto!$I$30,VLOOKUP($A61,Recto!$I$28:$L$44,4,FALSE),0)</f>
        <v>0</v>
      </c>
      <c r="E61" s="91">
        <f>IF($A61=Recto!$I$31,VLOOKUP($A61,Recto!$I$28:$L$44,4,FALSE),0)</f>
        <v>0</v>
      </c>
      <c r="F61" s="91">
        <f>IF($A61=Recto!$I$32,VLOOKUP($A61,Recto!$I$28:$L$44,4,FALSE),0)</f>
        <v>0</v>
      </c>
      <c r="G61" s="91">
        <f>IF($A61=Recto!$I$33,VLOOKUP($A61,Recto!$I$28:$L$44,4,FALSE),0)</f>
        <v>0</v>
      </c>
      <c r="H61" s="91">
        <f>IF($A61=Recto!$I$34,VLOOKUP($A61,Recto!$I$28:$L$44,4,FALSE),0)</f>
        <v>0</v>
      </c>
      <c r="I61" s="91">
        <f>IF($A61=Recto!$I$35,VLOOKUP($A61,Recto!$I$28:$L$44,4,FALSE),0)</f>
        <v>0</v>
      </c>
      <c r="J61" s="91">
        <f>IF($A61=Recto!$I$36,VLOOKUP($A61,Recto!$I$28:$L$44,4,FALSE),0)</f>
        <v>0</v>
      </c>
      <c r="K61" s="91">
        <f>IF($A61=Recto!$I$37,VLOOKUP($A61,Recto!$I$28:$L$44,4,FALSE),0)</f>
        <v>0</v>
      </c>
      <c r="L61" s="91">
        <f>IF($A61=Recto!$I$38,VLOOKUP($A61,Recto!$I$28:$L$44,4,FALSE),0)</f>
        <v>0</v>
      </c>
      <c r="M61" s="91">
        <f>IF($A61=Recto!$I$39,VLOOKUP($A61,Recto!$I$28:$L$44,4,FALSE),0)</f>
        <v>0</v>
      </c>
      <c r="N61" s="91">
        <f>IF($A61=Recto!$I$40,VLOOKUP($A61,Recto!$I$28:$L$44,4,FALSE),0)</f>
        <v>0</v>
      </c>
      <c r="O61" s="91">
        <f>IF($A61=Recto!$I$41,VLOOKUP($A61,Recto!$I$28:$L$44,4,FALSE),0)</f>
        <v>0</v>
      </c>
      <c r="P61" s="91">
        <f>IF($A61=Recto!$I$42,VLOOKUP($A61,Recto!$I$28:$L$44,4,FALSE),0)</f>
        <v>0</v>
      </c>
      <c r="Q61" s="91">
        <f>IF($A61=Recto!$I$43,VLOOKUP($A61,Recto!$I$28:$L$44,4,FALSE),0)</f>
        <v>0</v>
      </c>
      <c r="R61" s="91">
        <f>IF($A61=Recto!$I$44,VLOOKUP($A61,Recto!$I$28:$L$44,4,FALSE),0)</f>
        <v>0</v>
      </c>
      <c r="S61" s="295">
        <f t="shared" si="1"/>
        <v>0</v>
      </c>
    </row>
    <row r="62" spans="1:20" ht="12" customHeight="1" x14ac:dyDescent="0.25">
      <c r="A62" s="500" t="s">
        <v>3285</v>
      </c>
      <c r="B62" s="91">
        <f>IF($A62=Recto!$I$28,VLOOKUP($A62,Recto!$I$28:$L$44,4,FALSE),0)</f>
        <v>0</v>
      </c>
      <c r="C62" s="91">
        <f>IF($A62=Recto!$I$29,VLOOKUP($A62,Recto!$I$28:$L$44,4,FALSE),0)</f>
        <v>0</v>
      </c>
      <c r="D62" s="91">
        <f>IF($A62=Recto!$I$30,VLOOKUP($A62,Recto!$I$28:$L$44,4,FALSE),0)</f>
        <v>0</v>
      </c>
      <c r="E62" s="91">
        <f>IF($A62=Recto!$I$31,VLOOKUP($A62,Recto!$I$28:$L$44,4,FALSE),0)</f>
        <v>0</v>
      </c>
      <c r="F62" s="91">
        <f>IF($A62=Recto!$I$32,VLOOKUP($A62,Recto!$I$28:$L$44,4,FALSE),0)</f>
        <v>0</v>
      </c>
      <c r="G62" s="91">
        <f>IF($A62=Recto!$I$33,VLOOKUP($A62,Recto!$I$28:$L$44,4,FALSE),0)</f>
        <v>0</v>
      </c>
      <c r="H62" s="91">
        <f>IF($A62=Recto!$I$34,VLOOKUP($A62,Recto!$I$28:$L$44,4,FALSE),0)</f>
        <v>0</v>
      </c>
      <c r="I62" s="91">
        <f>IF($A62=Recto!$I$35,VLOOKUP($A62,Recto!$I$28:$L$44,4,FALSE),0)</f>
        <v>0</v>
      </c>
      <c r="J62" s="91">
        <f>IF($A62=Recto!$I$36,VLOOKUP($A62,Recto!$I$28:$L$44,4,FALSE),0)</f>
        <v>0</v>
      </c>
      <c r="K62" s="91">
        <f>IF($A62=Recto!$I$37,VLOOKUP($A62,Recto!$I$28:$L$44,4,FALSE),0)</f>
        <v>0</v>
      </c>
      <c r="L62" s="91">
        <f>IF($A62=Recto!$I$38,VLOOKUP($A62,Recto!$I$28:$L$44,4,FALSE),0)</f>
        <v>0</v>
      </c>
      <c r="M62" s="91">
        <f>IF($A62=Recto!$I$39,VLOOKUP($A62,Recto!$I$28:$L$44,4,FALSE),0)</f>
        <v>0</v>
      </c>
      <c r="N62" s="91">
        <f>IF($A62=Recto!$I$40,VLOOKUP($A62,Recto!$I$28:$L$44,4,FALSE),0)</f>
        <v>0</v>
      </c>
      <c r="O62" s="91">
        <f>IF($A62=Recto!$I$41,VLOOKUP($A62,Recto!$I$28:$L$44,4,FALSE),0)</f>
        <v>0</v>
      </c>
      <c r="P62" s="91">
        <f>IF($A62=Recto!$I$42,VLOOKUP($A62,Recto!$I$28:$L$44,4,FALSE),0)</f>
        <v>0</v>
      </c>
      <c r="Q62" s="91">
        <f>IF($A62=Recto!$I$43,VLOOKUP($A62,Recto!$I$28:$L$44,4,FALSE),0)</f>
        <v>0</v>
      </c>
      <c r="R62" s="91">
        <f>IF($A62=Recto!$I$44,VLOOKUP($A62,Recto!$I$28:$L$44,4,FALSE),0)</f>
        <v>0</v>
      </c>
      <c r="S62" s="295">
        <f t="shared" si="1"/>
        <v>0</v>
      </c>
    </row>
    <row r="63" spans="1:20" s="196" customFormat="1" x14ac:dyDescent="0.25">
      <c r="A63" s="495" t="s">
        <v>6482</v>
      </c>
      <c r="B63" s="91">
        <f>IF($A63=Recto!$I$28,VLOOKUP($A63,Recto!$I$28:$L$44,4,FALSE),0)</f>
        <v>0</v>
      </c>
      <c r="C63" s="91">
        <f>IF($A63=Recto!$I$29,VLOOKUP($A63,Recto!$I$28:$L$44,4,FALSE),0)</f>
        <v>0</v>
      </c>
      <c r="D63" s="91">
        <f>IF($A63=Recto!$I$30,VLOOKUP($A63,Recto!$I$28:$L$44,4,FALSE),0)</f>
        <v>0</v>
      </c>
      <c r="E63" s="91">
        <f>IF($A63=Recto!$I$31,VLOOKUP($A63,Recto!$I$28:$L$44,4,FALSE),0)</f>
        <v>0</v>
      </c>
      <c r="F63" s="91">
        <f>IF($A63=Recto!$I$32,VLOOKUP($A63,Recto!$I$28:$L$44,4,FALSE),0)</f>
        <v>0</v>
      </c>
      <c r="G63" s="91">
        <f>IF($A63=Recto!$I$33,VLOOKUP($A63,Recto!$I$28:$L$44,4,FALSE),0)</f>
        <v>0</v>
      </c>
      <c r="H63" s="91">
        <f>IF($A63=Recto!$I$34,VLOOKUP($A63,Recto!$I$28:$L$44,4,FALSE),0)</f>
        <v>0</v>
      </c>
      <c r="I63" s="91">
        <f>IF($A63=Recto!$I$35,VLOOKUP($A63,Recto!$I$28:$L$44,4,FALSE),0)</f>
        <v>0</v>
      </c>
      <c r="J63" s="91">
        <f>IF($A63=Recto!$I$36,VLOOKUP($A63,Recto!$I$28:$L$44,4,FALSE),0)</f>
        <v>0</v>
      </c>
      <c r="K63" s="91">
        <f>IF($A63=Recto!$I$37,VLOOKUP($A63,Recto!$I$28:$L$44,4,FALSE),0)</f>
        <v>0</v>
      </c>
      <c r="L63" s="91">
        <f>IF($A63=Recto!$I$38,VLOOKUP($A63,Recto!$I$28:$L$44,4,FALSE),0)</f>
        <v>0</v>
      </c>
      <c r="M63" s="91">
        <f>IF($A63=Recto!$I$39,VLOOKUP($A63,Recto!$I$28:$L$44,4,FALSE),0)</f>
        <v>0</v>
      </c>
      <c r="N63" s="91">
        <f>IF($A63=Recto!$I$40,VLOOKUP($A63,Recto!$I$28:$L$44,4,FALSE),0)</f>
        <v>0</v>
      </c>
      <c r="O63" s="91">
        <f>IF($A63=Recto!$I$41,VLOOKUP($A63,Recto!$I$28:$L$44,4,FALSE),0)</f>
        <v>0</v>
      </c>
      <c r="P63" s="91">
        <f>IF($A63=Recto!$I$42,VLOOKUP($A63,Recto!$I$28:$L$44,4,FALSE),0)</f>
        <v>0</v>
      </c>
      <c r="Q63" s="91">
        <f>IF($A63=Recto!$I$43,VLOOKUP($A63,Recto!$I$28:$L$44,4,FALSE),0)</f>
        <v>0</v>
      </c>
      <c r="R63" s="91">
        <f>IF($A63=Recto!$I$44,VLOOKUP($A63,Recto!$I$28:$L$44,4,FALSE),0)</f>
        <v>0</v>
      </c>
      <c r="S63" s="295">
        <f t="shared" si="1"/>
        <v>0</v>
      </c>
      <c r="T63" s="294"/>
    </row>
    <row r="64" spans="1:20" x14ac:dyDescent="0.25">
      <c r="A64" s="500" t="s">
        <v>400</v>
      </c>
      <c r="B64" s="91">
        <f>IF($A64=Recto!$I$28,VLOOKUP($A64,Recto!$I$28:$L$44,4,FALSE),0)</f>
        <v>0</v>
      </c>
      <c r="C64" s="91">
        <f>IF($A64=Recto!$I$29,VLOOKUP($A64,Recto!$I$28:$L$44,4,FALSE),0)</f>
        <v>0</v>
      </c>
      <c r="D64" s="91">
        <f>IF($A64=Recto!$I$30,VLOOKUP($A64,Recto!$I$28:$L$44,4,FALSE),0)</f>
        <v>0</v>
      </c>
      <c r="E64" s="91">
        <f>IF($A64=Recto!$I$31,VLOOKUP($A64,Recto!$I$28:$L$44,4,FALSE),0)</f>
        <v>0</v>
      </c>
      <c r="F64" s="91">
        <f>IF($A64=Recto!$I$32,VLOOKUP($A64,Recto!$I$28:$L$44,4,FALSE),0)</f>
        <v>0</v>
      </c>
      <c r="G64" s="91">
        <f>IF($A64=Recto!$I$33,VLOOKUP($A64,Recto!$I$28:$L$44,4,FALSE),0)</f>
        <v>0</v>
      </c>
      <c r="H64" s="91">
        <f>IF($A64=Recto!$I$34,VLOOKUP($A64,Recto!$I$28:$L$44,4,FALSE),0)</f>
        <v>0</v>
      </c>
      <c r="I64" s="91">
        <f>IF($A64=Recto!$I$35,VLOOKUP($A64,Recto!$I$28:$L$44,4,FALSE),0)</f>
        <v>0</v>
      </c>
      <c r="J64" s="91">
        <f>IF($A64=Recto!$I$36,VLOOKUP($A64,Recto!$I$28:$L$44,4,FALSE),0)</f>
        <v>0</v>
      </c>
      <c r="K64" s="91">
        <f>IF($A64=Recto!$I$37,VLOOKUP($A64,Recto!$I$28:$L$44,4,FALSE),0)</f>
        <v>0</v>
      </c>
      <c r="L64" s="91">
        <f>IF($A64=Recto!$I$38,VLOOKUP($A64,Recto!$I$28:$L$44,4,FALSE),0)</f>
        <v>0</v>
      </c>
      <c r="M64" s="91">
        <f>IF($A64=Recto!$I$39,VLOOKUP($A64,Recto!$I$28:$L$44,4,FALSE),0)</f>
        <v>0</v>
      </c>
      <c r="N64" s="91">
        <f>IF($A64=Recto!$I$40,VLOOKUP($A64,Recto!$I$28:$L$44,4,FALSE),0)</f>
        <v>0</v>
      </c>
      <c r="O64" s="91">
        <f>IF($A64=Recto!$I$41,VLOOKUP($A64,Recto!$I$28:$L$44,4,FALSE),0)</f>
        <v>0</v>
      </c>
      <c r="P64" s="91">
        <f>IF($A64=Recto!$I$42,VLOOKUP($A64,Recto!$I$28:$L$44,4,FALSE),0)</f>
        <v>0</v>
      </c>
      <c r="Q64" s="91">
        <f>IF($A64=Recto!$I$43,VLOOKUP($A64,Recto!$I$28:$L$44,4,FALSE),0)</f>
        <v>0</v>
      </c>
      <c r="R64" s="91">
        <f>IF($A64=Recto!$I$44,VLOOKUP($A64,Recto!$I$28:$L$44,4,FALSE),0)</f>
        <v>0</v>
      </c>
      <c r="S64" s="295">
        <f t="shared" si="1"/>
        <v>0</v>
      </c>
    </row>
    <row r="65" spans="1:19" x14ac:dyDescent="0.25">
      <c r="A65" s="500" t="s">
        <v>5988</v>
      </c>
      <c r="B65" s="91">
        <f>IF($A65=Recto!$I$28,VLOOKUP($A65,Recto!$I$28:$L$44,4,FALSE),0)</f>
        <v>0</v>
      </c>
      <c r="C65" s="91">
        <f>IF($A65=Recto!$I$29,VLOOKUP($A65,Recto!$I$28:$L$44,4,FALSE),0)</f>
        <v>0</v>
      </c>
      <c r="D65" s="91">
        <f>IF($A65=Recto!$I$30,VLOOKUP($A65,Recto!$I$28:$L$44,4,FALSE),0)</f>
        <v>0</v>
      </c>
      <c r="E65" s="91">
        <f>IF($A65=Recto!$I$31,VLOOKUP($A65,Recto!$I$28:$L$44,4,FALSE),0)</f>
        <v>0</v>
      </c>
      <c r="F65" s="91">
        <f>IF($A65=Recto!$I$32,VLOOKUP($A65,Recto!$I$28:$L$44,4,FALSE),0)</f>
        <v>0</v>
      </c>
      <c r="G65" s="91">
        <f>IF($A65=Recto!$I$33,VLOOKUP($A65,Recto!$I$28:$L$44,4,FALSE),0)</f>
        <v>0</v>
      </c>
      <c r="H65" s="91">
        <f>IF($A65=Recto!$I$34,VLOOKUP($A65,Recto!$I$28:$L$44,4,FALSE),0)</f>
        <v>0</v>
      </c>
      <c r="I65" s="91">
        <f>IF($A65=Recto!$I$35,VLOOKUP($A65,Recto!$I$28:$L$44,4,FALSE),0)</f>
        <v>0</v>
      </c>
      <c r="J65" s="91">
        <f>IF($A65=Recto!$I$36,VLOOKUP($A65,Recto!$I$28:$L$44,4,FALSE),0)</f>
        <v>0</v>
      </c>
      <c r="K65" s="91">
        <f>IF($A65=Recto!$I$37,VLOOKUP($A65,Recto!$I$28:$L$44,4,FALSE),0)</f>
        <v>0</v>
      </c>
      <c r="L65" s="91">
        <f>IF($A65=Recto!$I$38,VLOOKUP($A65,Recto!$I$28:$L$44,4,FALSE),0)</f>
        <v>0</v>
      </c>
      <c r="M65" s="91">
        <f>IF($A65=Recto!$I$39,VLOOKUP($A65,Recto!$I$28:$L$44,4,FALSE),0)</f>
        <v>0</v>
      </c>
      <c r="N65" s="91">
        <f>IF($A65=Recto!$I$40,VLOOKUP($A65,Recto!$I$28:$L$44,4,FALSE),0)</f>
        <v>0</v>
      </c>
      <c r="O65" s="91">
        <f>IF($A65=Recto!$I$41,VLOOKUP($A65,Recto!$I$28:$L$44,4,FALSE),0)</f>
        <v>0</v>
      </c>
      <c r="P65" s="91">
        <f>IF($A65=Recto!$I$42,VLOOKUP($A65,Recto!$I$28:$L$44,4,FALSE),0)</f>
        <v>0</v>
      </c>
      <c r="Q65" s="91">
        <f>IF($A65=Recto!$I$43,VLOOKUP($A65,Recto!$I$28:$L$44,4,FALSE),0)</f>
        <v>0</v>
      </c>
      <c r="R65" s="91">
        <f>IF($A65=Recto!$I$44,VLOOKUP($A65,Recto!$I$28:$L$44,4,FALSE),0)</f>
        <v>0</v>
      </c>
      <c r="S65" s="295">
        <f t="shared" si="1"/>
        <v>0</v>
      </c>
    </row>
    <row r="66" spans="1:19" x14ac:dyDescent="0.25">
      <c r="A66" s="500" t="s">
        <v>1329</v>
      </c>
      <c r="B66" s="91">
        <f>IF($A66=Recto!$I$28,VLOOKUP($A66,Recto!$I$28:$L$44,4,FALSE),0)</f>
        <v>0</v>
      </c>
      <c r="C66" s="91">
        <f>IF($A66=Recto!$I$29,VLOOKUP($A66,Recto!$I$28:$L$44,4,FALSE),0)</f>
        <v>0</v>
      </c>
      <c r="D66" s="91">
        <f>IF($A66=Recto!$I$30,VLOOKUP($A66,Recto!$I$28:$L$44,4,FALSE),0)</f>
        <v>0</v>
      </c>
      <c r="E66" s="91">
        <f>IF($A66=Recto!$I$31,VLOOKUP($A66,Recto!$I$28:$L$44,4,FALSE),0)</f>
        <v>0</v>
      </c>
      <c r="F66" s="91">
        <f>IF($A66=Recto!$I$32,VLOOKUP($A66,Recto!$I$28:$L$44,4,FALSE),0)</f>
        <v>0</v>
      </c>
      <c r="G66" s="91">
        <f>IF($A66=Recto!$I$33,VLOOKUP($A66,Recto!$I$28:$L$44,4,FALSE),0)</f>
        <v>0</v>
      </c>
      <c r="H66" s="91">
        <f>IF($A66=Recto!$I$34,VLOOKUP($A66,Recto!$I$28:$L$44,4,FALSE),0)</f>
        <v>0</v>
      </c>
      <c r="I66" s="91">
        <f>IF($A66=Recto!$I$35,VLOOKUP($A66,Recto!$I$28:$L$44,4,FALSE),0)</f>
        <v>0</v>
      </c>
      <c r="J66" s="91">
        <f>IF($A66=Recto!$I$36,VLOOKUP($A66,Recto!$I$28:$L$44,4,FALSE),0)</f>
        <v>0</v>
      </c>
      <c r="K66" s="91">
        <f>IF($A66=Recto!$I$37,VLOOKUP($A66,Recto!$I$28:$L$44,4,FALSE),0)</f>
        <v>0</v>
      </c>
      <c r="L66" s="91">
        <f>IF($A66=Recto!$I$38,VLOOKUP($A66,Recto!$I$28:$L$44,4,FALSE),0)</f>
        <v>0</v>
      </c>
      <c r="M66" s="91">
        <f>IF($A66=Recto!$I$39,VLOOKUP($A66,Recto!$I$28:$L$44,4,FALSE),0)</f>
        <v>0</v>
      </c>
      <c r="N66" s="91">
        <f>IF($A66=Recto!$I$40,VLOOKUP($A66,Recto!$I$28:$L$44,4,FALSE),0)</f>
        <v>0</v>
      </c>
      <c r="O66" s="91">
        <f>IF($A66=Recto!$I$41,VLOOKUP($A66,Recto!$I$28:$L$44,4,FALSE),0)</f>
        <v>0</v>
      </c>
      <c r="P66" s="91">
        <f>IF($A66=Recto!$I$42,VLOOKUP($A66,Recto!$I$28:$L$44,4,FALSE),0)</f>
        <v>0</v>
      </c>
      <c r="Q66" s="91">
        <f>IF($A66=Recto!$I$43,VLOOKUP($A66,Recto!$I$28:$L$44,4,FALSE),0)</f>
        <v>0</v>
      </c>
      <c r="R66" s="91">
        <f>IF($A66=Recto!$I$44,VLOOKUP($A66,Recto!$I$28:$L$44,4,FALSE),0)</f>
        <v>0</v>
      </c>
      <c r="S66" s="295">
        <f t="shared" si="1"/>
        <v>0</v>
      </c>
    </row>
    <row r="67" spans="1:19" x14ac:dyDescent="0.25">
      <c r="A67" s="500" t="s">
        <v>1328</v>
      </c>
      <c r="B67" s="91">
        <f>IF($A67=Recto!$I$28,VLOOKUP($A67,Recto!$I$28:$L$44,4,FALSE),0)</f>
        <v>0</v>
      </c>
      <c r="C67" s="91">
        <f>IF($A67=Recto!$I$29,VLOOKUP($A67,Recto!$I$28:$L$44,4,FALSE),0)</f>
        <v>0</v>
      </c>
      <c r="D67" s="91">
        <f>IF($A67=Recto!$I$30,VLOOKUP($A67,Recto!$I$28:$L$44,4,FALSE),0)</f>
        <v>0</v>
      </c>
      <c r="E67" s="91">
        <f>IF($A67=Recto!$I$31,VLOOKUP($A67,Recto!$I$28:$L$44,4,FALSE),0)</f>
        <v>0</v>
      </c>
      <c r="F67" s="91">
        <f>IF($A67=Recto!$I$32,VLOOKUP($A67,Recto!$I$28:$L$44,4,FALSE),0)</f>
        <v>0</v>
      </c>
      <c r="G67" s="91">
        <f>IF($A67=Recto!$I$33,VLOOKUP($A67,Recto!$I$28:$L$44,4,FALSE),0)</f>
        <v>0</v>
      </c>
      <c r="H67" s="91">
        <f>IF($A67=Recto!$I$34,VLOOKUP($A67,Recto!$I$28:$L$44,4,FALSE),0)</f>
        <v>0</v>
      </c>
      <c r="I67" s="91">
        <f>IF($A67=Recto!$I$35,VLOOKUP($A67,Recto!$I$28:$L$44,4,FALSE),0)</f>
        <v>0</v>
      </c>
      <c r="J67" s="91">
        <f>IF($A67=Recto!$I$36,VLOOKUP($A67,Recto!$I$28:$L$44,4,FALSE),0)</f>
        <v>0</v>
      </c>
      <c r="K67" s="91">
        <f>IF($A67=Recto!$I$37,VLOOKUP($A67,Recto!$I$28:$L$44,4,FALSE),0)</f>
        <v>0</v>
      </c>
      <c r="L67" s="91">
        <f>IF($A67=Recto!$I$38,VLOOKUP($A67,Recto!$I$28:$L$44,4,FALSE),0)</f>
        <v>0</v>
      </c>
      <c r="M67" s="91">
        <f>IF($A67=Recto!$I$39,VLOOKUP($A67,Recto!$I$28:$L$44,4,FALSE),0)</f>
        <v>0</v>
      </c>
      <c r="N67" s="91">
        <f>IF($A67=Recto!$I$40,VLOOKUP($A67,Recto!$I$28:$L$44,4,FALSE),0)</f>
        <v>0</v>
      </c>
      <c r="O67" s="91">
        <f>IF($A67=Recto!$I$41,VLOOKUP($A67,Recto!$I$28:$L$44,4,FALSE),0)</f>
        <v>0</v>
      </c>
      <c r="P67" s="91">
        <f>IF($A67=Recto!$I$42,VLOOKUP($A67,Recto!$I$28:$L$44,4,FALSE),0)</f>
        <v>0</v>
      </c>
      <c r="Q67" s="91">
        <f>IF($A67=Recto!$I$43,VLOOKUP($A67,Recto!$I$28:$L$44,4,FALSE),0)</f>
        <v>0</v>
      </c>
      <c r="R67" s="91">
        <f>IF($A67=Recto!$I$44,VLOOKUP($A67,Recto!$I$28:$L$44,4,FALSE),0)</f>
        <v>0</v>
      </c>
      <c r="S67" s="295">
        <f t="shared" si="1"/>
        <v>0</v>
      </c>
    </row>
    <row r="68" spans="1:19" s="196" customFormat="1" x14ac:dyDescent="0.25">
      <c r="A68" s="136" t="s">
        <v>7695</v>
      </c>
      <c r="B68" s="91">
        <f>IF($A68=Recto!$I$28,VLOOKUP($A68,Recto!$I$28:$L$44,4,FALSE),0)</f>
        <v>0</v>
      </c>
      <c r="C68" s="91">
        <f>IF($A68=Recto!$I$29,VLOOKUP($A68,Recto!$I$28:$L$44,4,FALSE),0)</f>
        <v>0</v>
      </c>
      <c r="D68" s="91">
        <f>IF($A68=Recto!$I$30,VLOOKUP($A68,Recto!$I$28:$L$44,4,FALSE),0)</f>
        <v>0</v>
      </c>
      <c r="E68" s="91">
        <f>IF($A68=Recto!$I$31,VLOOKUP($A68,Recto!$I$28:$L$44,4,FALSE),0)</f>
        <v>0</v>
      </c>
      <c r="F68" s="91">
        <f>IF($A68=Recto!$I$32,VLOOKUP($A68,Recto!$I$28:$L$44,4,FALSE),0)</f>
        <v>0</v>
      </c>
      <c r="G68" s="91">
        <f>IF($A68=Recto!$I$33,VLOOKUP($A68,Recto!$I$28:$L$44,4,FALSE),0)</f>
        <v>0</v>
      </c>
      <c r="H68" s="91">
        <f>IF($A68=Recto!$I$34,VLOOKUP($A68,Recto!$I$28:$L$44,4,FALSE),0)</f>
        <v>0</v>
      </c>
      <c r="I68" s="91">
        <f>IF($A68=Recto!$I$35,VLOOKUP($A68,Recto!$I$28:$L$44,4,FALSE),0)</f>
        <v>0</v>
      </c>
      <c r="J68" s="91">
        <f>IF($A68=Recto!$I$36,VLOOKUP($A68,Recto!$I$28:$L$44,4,FALSE),0)</f>
        <v>0</v>
      </c>
      <c r="K68" s="91">
        <f>IF($A68=Recto!$I$37,VLOOKUP($A68,Recto!$I$28:$L$44,4,FALSE),0)</f>
        <v>0</v>
      </c>
      <c r="L68" s="91">
        <f>IF($A68=Recto!$I$38,VLOOKUP($A68,Recto!$I$28:$L$44,4,FALSE),0)</f>
        <v>0</v>
      </c>
      <c r="M68" s="91">
        <f>IF($A68=Recto!$I$39,VLOOKUP($A68,Recto!$I$28:$L$44,4,FALSE),0)</f>
        <v>0</v>
      </c>
      <c r="N68" s="91">
        <f>IF($A68=Recto!$I$40,VLOOKUP($A68,Recto!$I$28:$L$44,4,FALSE),0)</f>
        <v>0</v>
      </c>
      <c r="O68" s="91">
        <f>IF($A68=Recto!$I$41,VLOOKUP($A68,Recto!$I$28:$L$44,4,FALSE),0)</f>
        <v>0</v>
      </c>
      <c r="P68" s="91">
        <f>IF($A68=Recto!$I$42,VLOOKUP($A68,Recto!$I$28:$L$44,4,FALSE),0)</f>
        <v>0</v>
      </c>
      <c r="Q68" s="91">
        <f>IF($A68=Recto!$I$43,VLOOKUP($A68,Recto!$I$28:$L$44,4,FALSE),0)</f>
        <v>0</v>
      </c>
      <c r="R68" s="91">
        <f>IF($A68=Recto!$I$44,VLOOKUP($A68,Recto!$I$28:$L$44,4,FALSE),0)</f>
        <v>0</v>
      </c>
      <c r="S68" s="295">
        <f t="shared" si="1"/>
        <v>0</v>
      </c>
    </row>
    <row r="69" spans="1:19" s="196" customFormat="1" x14ac:dyDescent="0.25">
      <c r="A69" s="136" t="s">
        <v>7774</v>
      </c>
      <c r="B69" s="91">
        <f>IF($A69=Recto!$I$28,VLOOKUP($A69,Recto!$I$28:$L$44,4,FALSE),0)</f>
        <v>0</v>
      </c>
      <c r="C69" s="91">
        <f>IF($A69=Recto!$I$29,VLOOKUP($A69,Recto!$I$28:$L$44,4,FALSE),0)</f>
        <v>0</v>
      </c>
      <c r="D69" s="91">
        <f>IF($A69=Recto!$I$30,VLOOKUP($A69,Recto!$I$28:$L$44,4,FALSE),0)</f>
        <v>0</v>
      </c>
      <c r="E69" s="91">
        <f>IF($A69=Recto!$I$31,VLOOKUP($A69,Recto!$I$28:$L$44,4,FALSE),0)</f>
        <v>0</v>
      </c>
      <c r="F69" s="91">
        <f>IF($A69=Recto!$I$32,VLOOKUP($A69,Recto!$I$28:$L$44,4,FALSE),0)</f>
        <v>0</v>
      </c>
      <c r="G69" s="91">
        <f>IF($A69=Recto!$I$33,VLOOKUP($A69,Recto!$I$28:$L$44,4,FALSE),0)</f>
        <v>0</v>
      </c>
      <c r="H69" s="91">
        <f>IF($A69=Recto!$I$34,VLOOKUP($A69,Recto!$I$28:$L$44,4,FALSE),0)</f>
        <v>0</v>
      </c>
      <c r="I69" s="91">
        <f>IF($A69=Recto!$I$35,VLOOKUP($A69,Recto!$I$28:$L$44,4,FALSE),0)</f>
        <v>0</v>
      </c>
      <c r="J69" s="91">
        <f>IF($A69=Recto!$I$36,VLOOKUP($A69,Recto!$I$28:$L$44,4,FALSE),0)</f>
        <v>0</v>
      </c>
      <c r="K69" s="91">
        <f>IF($A69=Recto!$I$37,VLOOKUP($A69,Recto!$I$28:$L$44,4,FALSE),0)</f>
        <v>0</v>
      </c>
      <c r="L69" s="91">
        <f>IF($A69=Recto!$I$38,VLOOKUP($A69,Recto!$I$28:$L$44,4,FALSE),0)</f>
        <v>0</v>
      </c>
      <c r="M69" s="91">
        <f>IF($A69=Recto!$I$39,VLOOKUP($A69,Recto!$I$28:$L$44,4,FALSE),0)</f>
        <v>0</v>
      </c>
      <c r="N69" s="91">
        <f>IF($A69=Recto!$I$40,VLOOKUP($A69,Recto!$I$28:$L$44,4,FALSE),0)</f>
        <v>0</v>
      </c>
      <c r="O69" s="91">
        <f>IF($A69=Recto!$I$41,VLOOKUP($A69,Recto!$I$28:$L$44,4,FALSE),0)</f>
        <v>0</v>
      </c>
      <c r="P69" s="91">
        <f>IF($A69=Recto!$I$42,VLOOKUP($A69,Recto!$I$28:$L$44,4,FALSE),0)</f>
        <v>0</v>
      </c>
      <c r="Q69" s="91">
        <f>IF($A69=Recto!$I$43,VLOOKUP($A69,Recto!$I$28:$L$44,4,FALSE),0)</f>
        <v>0</v>
      </c>
      <c r="R69" s="91">
        <f>IF($A69=Recto!$I$44,VLOOKUP($A69,Recto!$I$28:$L$44,4,FALSE),0)</f>
        <v>0</v>
      </c>
      <c r="S69" s="295">
        <f t="shared" si="1"/>
        <v>0</v>
      </c>
    </row>
    <row r="70" spans="1:19" x14ac:dyDescent="0.25">
      <c r="A70" s="500" t="s">
        <v>115</v>
      </c>
      <c r="B70" s="91">
        <f>IF($A70=Recto!$I$28,VLOOKUP($A70,Recto!$I$28:$L$44,4,FALSE),0)</f>
        <v>0</v>
      </c>
      <c r="C70" s="91">
        <f>IF($A70=Recto!$I$29,VLOOKUP($A70,Recto!$I$28:$L$44,4,FALSE),0)</f>
        <v>0</v>
      </c>
      <c r="D70" s="91">
        <f>IF($A70=Recto!$I$30,VLOOKUP($A70,Recto!$I$28:$L$44,4,FALSE),0)</f>
        <v>0</v>
      </c>
      <c r="E70" s="91">
        <f>IF($A70=Recto!$I$31,VLOOKUP($A70,Recto!$I$28:$L$44,4,FALSE),0)</f>
        <v>0</v>
      </c>
      <c r="F70" s="91">
        <f>IF($A70=Recto!$I$32,VLOOKUP($A70,Recto!$I$28:$L$44,4,FALSE),0)</f>
        <v>0</v>
      </c>
      <c r="G70" s="91">
        <f>IF($A70=Recto!$I$33,VLOOKUP($A70,Recto!$I$28:$L$44,4,FALSE),0)</f>
        <v>0</v>
      </c>
      <c r="H70" s="91">
        <f>IF($A70=Recto!$I$34,VLOOKUP($A70,Recto!$I$28:$L$44,4,FALSE),0)</f>
        <v>0</v>
      </c>
      <c r="I70" s="91">
        <f>IF($A70=Recto!$I$35,VLOOKUP($A70,Recto!$I$28:$L$44,4,FALSE),0)</f>
        <v>0</v>
      </c>
      <c r="J70" s="91">
        <f>IF($A70=Recto!$I$36,VLOOKUP($A70,Recto!$I$28:$L$44,4,FALSE),0)</f>
        <v>0</v>
      </c>
      <c r="K70" s="91">
        <f>IF($A70=Recto!$I$37,VLOOKUP($A70,Recto!$I$28:$L$44,4,FALSE),0)</f>
        <v>0</v>
      </c>
      <c r="L70" s="91">
        <f>IF($A70=Recto!$I$38,VLOOKUP($A70,Recto!$I$28:$L$44,4,FALSE),0)</f>
        <v>0</v>
      </c>
      <c r="M70" s="91">
        <f>IF($A70=Recto!$I$39,VLOOKUP($A70,Recto!$I$28:$L$44,4,FALSE),0)</f>
        <v>0</v>
      </c>
      <c r="N70" s="91">
        <f>IF($A70=Recto!$I$40,VLOOKUP($A70,Recto!$I$28:$L$44,4,FALSE),0)</f>
        <v>0</v>
      </c>
      <c r="O70" s="91">
        <f>IF($A70=Recto!$I$41,VLOOKUP($A70,Recto!$I$28:$L$44,4,FALSE),0)</f>
        <v>0</v>
      </c>
      <c r="P70" s="91">
        <f>IF($A70=Recto!$I$42,VLOOKUP($A70,Recto!$I$28:$L$44,4,FALSE),0)</f>
        <v>0</v>
      </c>
      <c r="Q70" s="91">
        <f>IF($A70=Recto!$I$43,VLOOKUP($A70,Recto!$I$28:$L$44,4,FALSE),0)</f>
        <v>0</v>
      </c>
      <c r="R70" s="91">
        <f>IF($A70=Recto!$I$44,VLOOKUP($A70,Recto!$I$28:$L$44,4,FALSE),0)</f>
        <v>0</v>
      </c>
      <c r="S70" s="295">
        <f t="shared" si="1"/>
        <v>0</v>
      </c>
    </row>
    <row r="71" spans="1:19" x14ac:dyDescent="0.25">
      <c r="A71" s="500" t="s">
        <v>1362</v>
      </c>
      <c r="B71" s="91">
        <f>IF($A71=Recto!$I$28,VLOOKUP($A71,Recto!$I$28:$L$44,4,FALSE),0)</f>
        <v>0</v>
      </c>
      <c r="C71" s="91">
        <f>IF($A71=Recto!$I$29,VLOOKUP($A71,Recto!$I$28:$L$44,4,FALSE),0)</f>
        <v>0</v>
      </c>
      <c r="D71" s="91">
        <f>IF($A71=Recto!$I$30,VLOOKUP($A71,Recto!$I$28:$L$44,4,FALSE),0)</f>
        <v>0</v>
      </c>
      <c r="E71" s="91">
        <f>IF($A71=Recto!$I$31,VLOOKUP($A71,Recto!$I$28:$L$44,4,FALSE),0)</f>
        <v>0</v>
      </c>
      <c r="F71" s="91">
        <f>IF($A71=Recto!$I$32,VLOOKUP($A71,Recto!$I$28:$L$44,4,FALSE),0)</f>
        <v>0</v>
      </c>
      <c r="G71" s="91">
        <f>IF($A71=Recto!$I$33,VLOOKUP($A71,Recto!$I$28:$L$44,4,FALSE),0)</f>
        <v>0</v>
      </c>
      <c r="H71" s="91">
        <f>IF($A71=Recto!$I$34,VLOOKUP($A71,Recto!$I$28:$L$44,4,FALSE),0)</f>
        <v>0</v>
      </c>
      <c r="I71" s="91">
        <f>IF($A71=Recto!$I$35,VLOOKUP($A71,Recto!$I$28:$L$44,4,FALSE),0)</f>
        <v>0</v>
      </c>
      <c r="J71" s="91">
        <f>IF($A71=Recto!$I$36,VLOOKUP($A71,Recto!$I$28:$L$44,4,FALSE),0)</f>
        <v>0</v>
      </c>
      <c r="K71" s="91">
        <f>IF($A71=Recto!$I$37,VLOOKUP($A71,Recto!$I$28:$L$44,4,FALSE),0)</f>
        <v>0</v>
      </c>
      <c r="L71" s="91">
        <f>IF($A71=Recto!$I$38,VLOOKUP($A71,Recto!$I$28:$L$44,4,FALSE),0)</f>
        <v>0</v>
      </c>
      <c r="M71" s="91">
        <f>IF($A71=Recto!$I$39,VLOOKUP($A71,Recto!$I$28:$L$44,4,FALSE),0)</f>
        <v>0</v>
      </c>
      <c r="N71" s="91">
        <f>IF($A71=Recto!$I$40,VLOOKUP($A71,Recto!$I$28:$L$44,4,FALSE),0)</f>
        <v>0</v>
      </c>
      <c r="O71" s="91">
        <f>IF($A71=Recto!$I$41,VLOOKUP($A71,Recto!$I$28:$L$44,4,FALSE),0)</f>
        <v>0</v>
      </c>
      <c r="P71" s="91">
        <f>IF($A71=Recto!$I$42,VLOOKUP($A71,Recto!$I$28:$L$44,4,FALSE),0)</f>
        <v>0</v>
      </c>
      <c r="Q71" s="91">
        <f>IF($A71=Recto!$I$43,VLOOKUP($A71,Recto!$I$28:$L$44,4,FALSE),0)</f>
        <v>0</v>
      </c>
      <c r="R71" s="91">
        <f>IF($A71=Recto!$I$44,VLOOKUP($A71,Recto!$I$28:$L$44,4,FALSE),0)</f>
        <v>0</v>
      </c>
      <c r="S71" s="295">
        <f t="shared" si="1"/>
        <v>0</v>
      </c>
    </row>
    <row r="72" spans="1:19" x14ac:dyDescent="0.25">
      <c r="A72" s="500" t="s">
        <v>3197</v>
      </c>
      <c r="B72" s="91">
        <f>IF($A72=Recto!$I$28,VLOOKUP($A72,Recto!$I$28:$L$44,4,FALSE),0)</f>
        <v>0</v>
      </c>
      <c r="C72" s="91">
        <f>IF($A72=Recto!$I$29,VLOOKUP($A72,Recto!$I$28:$L$44,4,FALSE),0)</f>
        <v>0</v>
      </c>
      <c r="D72" s="91">
        <f>IF($A72=Recto!$I$30,VLOOKUP($A72,Recto!$I$28:$L$44,4,FALSE),0)</f>
        <v>0</v>
      </c>
      <c r="E72" s="91">
        <f>IF($A72=Recto!$I$31,VLOOKUP($A72,Recto!$I$28:$L$44,4,FALSE),0)</f>
        <v>0</v>
      </c>
      <c r="F72" s="91">
        <f>IF($A72=Recto!$I$32,VLOOKUP($A72,Recto!$I$28:$L$44,4,FALSE),0)</f>
        <v>0</v>
      </c>
      <c r="G72" s="91">
        <f>IF($A72=Recto!$I$33,VLOOKUP($A72,Recto!$I$28:$L$44,4,FALSE),0)</f>
        <v>0</v>
      </c>
      <c r="H72" s="91">
        <f>IF($A72=Recto!$I$34,VLOOKUP($A72,Recto!$I$28:$L$44,4,FALSE),0)</f>
        <v>0</v>
      </c>
      <c r="I72" s="91">
        <f>IF($A72=Recto!$I$35,VLOOKUP($A72,Recto!$I$28:$L$44,4,FALSE),0)</f>
        <v>0</v>
      </c>
      <c r="J72" s="91">
        <f>IF($A72=Recto!$I$36,VLOOKUP($A72,Recto!$I$28:$L$44,4,FALSE),0)</f>
        <v>0</v>
      </c>
      <c r="K72" s="91">
        <f>IF($A72=Recto!$I$37,VLOOKUP($A72,Recto!$I$28:$L$44,4,FALSE),0)</f>
        <v>0</v>
      </c>
      <c r="L72" s="91">
        <f>IF($A72=Recto!$I$38,VLOOKUP($A72,Recto!$I$28:$L$44,4,FALSE),0)</f>
        <v>0</v>
      </c>
      <c r="M72" s="91">
        <f>IF($A72=Recto!$I$39,VLOOKUP($A72,Recto!$I$28:$L$44,4,FALSE),0)</f>
        <v>0</v>
      </c>
      <c r="N72" s="91">
        <f>IF($A72=Recto!$I$40,VLOOKUP($A72,Recto!$I$28:$L$44,4,FALSE),0)</f>
        <v>0</v>
      </c>
      <c r="O72" s="91">
        <f>IF($A72=Recto!$I$41,VLOOKUP($A72,Recto!$I$28:$L$44,4,FALSE),0)</f>
        <v>0</v>
      </c>
      <c r="P72" s="91">
        <f>IF($A72=Recto!$I$42,VLOOKUP($A72,Recto!$I$28:$L$44,4,FALSE),0)</f>
        <v>0</v>
      </c>
      <c r="Q72" s="91">
        <f>IF($A72=Recto!$I$43,VLOOKUP($A72,Recto!$I$28:$L$44,4,FALSE),0)</f>
        <v>0</v>
      </c>
      <c r="R72" s="91">
        <f>IF($A72=Recto!$I$44,VLOOKUP($A72,Recto!$I$28:$L$44,4,FALSE),0)</f>
        <v>0</v>
      </c>
      <c r="S72" s="295">
        <f t="shared" si="1"/>
        <v>0</v>
      </c>
    </row>
    <row r="73" spans="1:19" x14ac:dyDescent="0.25">
      <c r="A73" s="500" t="s">
        <v>3198</v>
      </c>
      <c r="B73" s="91">
        <f>IF($A73=Recto!$I$28,VLOOKUP($A73,Recto!$I$28:$L$44,4,FALSE),0)</f>
        <v>0</v>
      </c>
      <c r="C73" s="91">
        <f>IF($A73=Recto!$I$29,VLOOKUP($A73,Recto!$I$28:$L$44,4,FALSE),0)</f>
        <v>0</v>
      </c>
      <c r="D73" s="91">
        <f>IF($A73=Recto!$I$30,VLOOKUP($A73,Recto!$I$28:$L$44,4,FALSE),0)</f>
        <v>0</v>
      </c>
      <c r="E73" s="91">
        <f>IF($A73=Recto!$I$31,VLOOKUP($A73,Recto!$I$28:$L$44,4,FALSE),0)</f>
        <v>0</v>
      </c>
      <c r="F73" s="91">
        <f>IF($A73=Recto!$I$32,VLOOKUP($A73,Recto!$I$28:$L$44,4,FALSE),0)</f>
        <v>0</v>
      </c>
      <c r="G73" s="91">
        <f>IF($A73=Recto!$I$33,VLOOKUP($A73,Recto!$I$28:$L$44,4,FALSE),0)</f>
        <v>0</v>
      </c>
      <c r="H73" s="91">
        <f>IF($A73=Recto!$I$34,VLOOKUP($A73,Recto!$I$28:$L$44,4,FALSE),0)</f>
        <v>0</v>
      </c>
      <c r="I73" s="91">
        <f>IF($A73=Recto!$I$35,VLOOKUP($A73,Recto!$I$28:$L$44,4,FALSE),0)</f>
        <v>0</v>
      </c>
      <c r="J73" s="91">
        <f>IF($A73=Recto!$I$36,VLOOKUP($A73,Recto!$I$28:$L$44,4,FALSE),0)</f>
        <v>0</v>
      </c>
      <c r="K73" s="91">
        <f>IF($A73=Recto!$I$37,VLOOKUP($A73,Recto!$I$28:$L$44,4,FALSE),0)</f>
        <v>0</v>
      </c>
      <c r="L73" s="91">
        <f>IF($A73=Recto!$I$38,VLOOKUP($A73,Recto!$I$28:$L$44,4,FALSE),0)</f>
        <v>0</v>
      </c>
      <c r="M73" s="91">
        <f>IF($A73=Recto!$I$39,VLOOKUP($A73,Recto!$I$28:$L$44,4,FALSE),0)</f>
        <v>0</v>
      </c>
      <c r="N73" s="91">
        <f>IF($A73=Recto!$I$40,VLOOKUP($A73,Recto!$I$28:$L$44,4,FALSE),0)</f>
        <v>0</v>
      </c>
      <c r="O73" s="91">
        <f>IF($A73=Recto!$I$41,VLOOKUP($A73,Recto!$I$28:$L$44,4,FALSE),0)</f>
        <v>0</v>
      </c>
      <c r="P73" s="91">
        <f>IF($A73=Recto!$I$42,VLOOKUP($A73,Recto!$I$28:$L$44,4,FALSE),0)</f>
        <v>0</v>
      </c>
      <c r="Q73" s="91">
        <f>IF($A73=Recto!$I$43,VLOOKUP($A73,Recto!$I$28:$L$44,4,FALSE),0)</f>
        <v>0</v>
      </c>
      <c r="R73" s="91">
        <f>IF($A73=Recto!$I$44,VLOOKUP($A73,Recto!$I$28:$L$44,4,FALSE),0)</f>
        <v>0</v>
      </c>
      <c r="S73" s="295">
        <f t="shared" si="1"/>
        <v>0</v>
      </c>
    </row>
    <row r="74" spans="1:19" x14ac:dyDescent="0.25">
      <c r="A74" s="500" t="s">
        <v>3199</v>
      </c>
      <c r="B74" s="91">
        <f>IF($A74=Recto!$I$28,VLOOKUP($A74,Recto!$I$28:$L$44,4,FALSE),0)</f>
        <v>0</v>
      </c>
      <c r="C74" s="91">
        <f>IF($A74=Recto!$I$29,VLOOKUP($A74,Recto!$I$28:$L$44,4,FALSE),0)</f>
        <v>0</v>
      </c>
      <c r="D74" s="91">
        <f>IF($A74=Recto!$I$30,VLOOKUP($A74,Recto!$I$28:$L$44,4,FALSE),0)</f>
        <v>0</v>
      </c>
      <c r="E74" s="91">
        <f>IF($A74=Recto!$I$31,VLOOKUP($A74,Recto!$I$28:$L$44,4,FALSE),0)</f>
        <v>0</v>
      </c>
      <c r="F74" s="91">
        <f>IF($A74=Recto!$I$32,VLOOKUP($A74,Recto!$I$28:$L$44,4,FALSE),0)</f>
        <v>0</v>
      </c>
      <c r="G74" s="91">
        <f>IF($A74=Recto!$I$33,VLOOKUP($A74,Recto!$I$28:$L$44,4,FALSE),0)</f>
        <v>0</v>
      </c>
      <c r="H74" s="91">
        <f>IF($A74=Recto!$I$34,VLOOKUP($A74,Recto!$I$28:$L$44,4,FALSE),0)</f>
        <v>0</v>
      </c>
      <c r="I74" s="91">
        <f>IF($A74=Recto!$I$35,VLOOKUP($A74,Recto!$I$28:$L$44,4,FALSE),0)</f>
        <v>0</v>
      </c>
      <c r="J74" s="91">
        <f>IF($A74=Recto!$I$36,VLOOKUP($A74,Recto!$I$28:$L$44,4,FALSE),0)</f>
        <v>0</v>
      </c>
      <c r="K74" s="91">
        <f>IF($A74=Recto!$I$37,VLOOKUP($A74,Recto!$I$28:$L$44,4,FALSE),0)</f>
        <v>0</v>
      </c>
      <c r="L74" s="91">
        <f>IF($A74=Recto!$I$38,VLOOKUP($A74,Recto!$I$28:$L$44,4,FALSE),0)</f>
        <v>0</v>
      </c>
      <c r="M74" s="91">
        <f>IF($A74=Recto!$I$39,VLOOKUP($A74,Recto!$I$28:$L$44,4,FALSE),0)</f>
        <v>0</v>
      </c>
      <c r="N74" s="91">
        <f>IF($A74=Recto!$I$40,VLOOKUP($A74,Recto!$I$28:$L$44,4,FALSE),0)</f>
        <v>0</v>
      </c>
      <c r="O74" s="91">
        <f>IF($A74=Recto!$I$41,VLOOKUP($A74,Recto!$I$28:$L$44,4,FALSE),0)</f>
        <v>0</v>
      </c>
      <c r="P74" s="91">
        <f>IF($A74=Recto!$I$42,VLOOKUP($A74,Recto!$I$28:$L$44,4,FALSE),0)</f>
        <v>0</v>
      </c>
      <c r="Q74" s="91">
        <f>IF($A74=Recto!$I$43,VLOOKUP($A74,Recto!$I$28:$L$44,4,FALSE),0)</f>
        <v>0</v>
      </c>
      <c r="R74" s="91">
        <f>IF($A74=Recto!$I$44,VLOOKUP($A74,Recto!$I$28:$L$44,4,FALSE),0)</f>
        <v>0</v>
      </c>
      <c r="S74" s="295">
        <f t="shared" si="1"/>
        <v>0</v>
      </c>
    </row>
    <row r="75" spans="1:19" x14ac:dyDescent="0.25">
      <c r="A75" s="500" t="s">
        <v>3200</v>
      </c>
      <c r="B75" s="91">
        <f>IF($A75=Recto!$I$28,VLOOKUP($A75,Recto!$I$28:$L$44,4,FALSE),0)</f>
        <v>0</v>
      </c>
      <c r="C75" s="91">
        <f>IF($A75=Recto!$I$29,VLOOKUP($A75,Recto!$I$28:$L$44,4,FALSE),0)</f>
        <v>0</v>
      </c>
      <c r="D75" s="91">
        <f>IF($A75=Recto!$I$30,VLOOKUP($A75,Recto!$I$28:$L$44,4,FALSE),0)</f>
        <v>0</v>
      </c>
      <c r="E75" s="91">
        <f>IF($A75=Recto!$I$31,VLOOKUP($A75,Recto!$I$28:$L$44,4,FALSE),0)</f>
        <v>0</v>
      </c>
      <c r="F75" s="91">
        <f>IF($A75=Recto!$I$32,VLOOKUP($A75,Recto!$I$28:$L$44,4,FALSE),0)</f>
        <v>0</v>
      </c>
      <c r="G75" s="91">
        <f>IF($A75=Recto!$I$33,VLOOKUP($A75,Recto!$I$28:$L$44,4,FALSE),0)</f>
        <v>0</v>
      </c>
      <c r="H75" s="91">
        <f>IF($A75=Recto!$I$34,VLOOKUP($A75,Recto!$I$28:$L$44,4,FALSE),0)</f>
        <v>0</v>
      </c>
      <c r="I75" s="91">
        <f>IF($A75=Recto!$I$35,VLOOKUP($A75,Recto!$I$28:$L$44,4,FALSE),0)</f>
        <v>0</v>
      </c>
      <c r="J75" s="91">
        <f>IF($A75=Recto!$I$36,VLOOKUP($A75,Recto!$I$28:$L$44,4,FALSE),0)</f>
        <v>0</v>
      </c>
      <c r="K75" s="91">
        <f>IF($A75=Recto!$I$37,VLOOKUP($A75,Recto!$I$28:$L$44,4,FALSE),0)</f>
        <v>0</v>
      </c>
      <c r="L75" s="91">
        <f>IF($A75=Recto!$I$38,VLOOKUP($A75,Recto!$I$28:$L$44,4,FALSE),0)</f>
        <v>0</v>
      </c>
      <c r="M75" s="91">
        <f>IF($A75=Recto!$I$39,VLOOKUP($A75,Recto!$I$28:$L$44,4,FALSE),0)</f>
        <v>0</v>
      </c>
      <c r="N75" s="91">
        <f>IF($A75=Recto!$I$40,VLOOKUP($A75,Recto!$I$28:$L$44,4,FALSE),0)</f>
        <v>0</v>
      </c>
      <c r="O75" s="91">
        <f>IF($A75=Recto!$I$41,VLOOKUP($A75,Recto!$I$28:$L$44,4,FALSE),0)</f>
        <v>0</v>
      </c>
      <c r="P75" s="91">
        <f>IF($A75=Recto!$I$42,VLOOKUP($A75,Recto!$I$28:$L$44,4,FALSE),0)</f>
        <v>0</v>
      </c>
      <c r="Q75" s="91">
        <f>IF($A75=Recto!$I$43,VLOOKUP($A75,Recto!$I$28:$L$44,4,FALSE),0)</f>
        <v>0</v>
      </c>
      <c r="R75" s="91">
        <f>IF($A75=Recto!$I$44,VLOOKUP($A75,Recto!$I$28:$L$44,4,FALSE),0)</f>
        <v>0</v>
      </c>
      <c r="S75" s="295">
        <f t="shared" si="1"/>
        <v>0</v>
      </c>
    </row>
    <row r="76" spans="1:19" x14ac:dyDescent="0.25">
      <c r="A76" s="500" t="s">
        <v>3201</v>
      </c>
      <c r="B76" s="91">
        <f>IF($A76=Recto!$I$28,VLOOKUP($A76,Recto!$I$28:$L$44,4,FALSE),0)</f>
        <v>0</v>
      </c>
      <c r="C76" s="91">
        <f>IF($A76=Recto!$I$29,VLOOKUP($A76,Recto!$I$28:$L$44,4,FALSE),0)</f>
        <v>0</v>
      </c>
      <c r="D76" s="91">
        <f>IF($A76=Recto!$I$30,VLOOKUP($A76,Recto!$I$28:$L$44,4,FALSE),0)</f>
        <v>0</v>
      </c>
      <c r="E76" s="91">
        <f>IF($A76=Recto!$I$31,VLOOKUP($A76,Recto!$I$28:$L$44,4,FALSE),0)</f>
        <v>0</v>
      </c>
      <c r="F76" s="91">
        <f>IF($A76=Recto!$I$32,VLOOKUP($A76,Recto!$I$28:$L$44,4,FALSE),0)</f>
        <v>0</v>
      </c>
      <c r="G76" s="91">
        <f>IF($A76=Recto!$I$33,VLOOKUP($A76,Recto!$I$28:$L$44,4,FALSE),0)</f>
        <v>0</v>
      </c>
      <c r="H76" s="91">
        <f>IF($A76=Recto!$I$34,VLOOKUP($A76,Recto!$I$28:$L$44,4,FALSE),0)</f>
        <v>0</v>
      </c>
      <c r="I76" s="91">
        <f>IF($A76=Recto!$I$35,VLOOKUP($A76,Recto!$I$28:$L$44,4,FALSE),0)</f>
        <v>0</v>
      </c>
      <c r="J76" s="91">
        <f>IF($A76=Recto!$I$36,VLOOKUP($A76,Recto!$I$28:$L$44,4,FALSE),0)</f>
        <v>0</v>
      </c>
      <c r="K76" s="91">
        <f>IF($A76=Recto!$I$37,VLOOKUP($A76,Recto!$I$28:$L$44,4,FALSE),0)</f>
        <v>0</v>
      </c>
      <c r="L76" s="91">
        <f>IF($A76=Recto!$I$38,VLOOKUP($A76,Recto!$I$28:$L$44,4,FALSE),0)</f>
        <v>0</v>
      </c>
      <c r="M76" s="91">
        <f>IF($A76=Recto!$I$39,VLOOKUP($A76,Recto!$I$28:$L$44,4,FALSE),0)</f>
        <v>0</v>
      </c>
      <c r="N76" s="91">
        <f>IF($A76=Recto!$I$40,VLOOKUP($A76,Recto!$I$28:$L$44,4,FALSE),0)</f>
        <v>0</v>
      </c>
      <c r="O76" s="91">
        <f>IF($A76=Recto!$I$41,VLOOKUP($A76,Recto!$I$28:$L$44,4,FALSE),0)</f>
        <v>0</v>
      </c>
      <c r="P76" s="91">
        <f>IF($A76=Recto!$I$42,VLOOKUP($A76,Recto!$I$28:$L$44,4,FALSE),0)</f>
        <v>0</v>
      </c>
      <c r="Q76" s="91">
        <f>IF($A76=Recto!$I$43,VLOOKUP($A76,Recto!$I$28:$L$44,4,FALSE),0)</f>
        <v>0</v>
      </c>
      <c r="R76" s="91">
        <f>IF($A76=Recto!$I$44,VLOOKUP($A76,Recto!$I$28:$L$44,4,FALSE),0)</f>
        <v>0</v>
      </c>
      <c r="S76" s="295">
        <f t="shared" si="1"/>
        <v>0</v>
      </c>
    </row>
    <row r="77" spans="1:19" x14ac:dyDescent="0.25">
      <c r="A77" s="500" t="s">
        <v>3202</v>
      </c>
      <c r="B77" s="91">
        <f>IF($A77=Recto!$I$28,VLOOKUP($A77,Recto!$I$28:$L$44,4,FALSE),0)</f>
        <v>0</v>
      </c>
      <c r="C77" s="91">
        <f>IF($A77=Recto!$I$29,VLOOKUP($A77,Recto!$I$28:$L$44,4,FALSE),0)</f>
        <v>0</v>
      </c>
      <c r="D77" s="91">
        <f>IF($A77=Recto!$I$30,VLOOKUP($A77,Recto!$I$28:$L$44,4,FALSE),0)</f>
        <v>0</v>
      </c>
      <c r="E77" s="91">
        <f>IF($A77=Recto!$I$31,VLOOKUP($A77,Recto!$I$28:$L$44,4,FALSE),0)</f>
        <v>0</v>
      </c>
      <c r="F77" s="91">
        <f>IF($A77=Recto!$I$32,VLOOKUP($A77,Recto!$I$28:$L$44,4,FALSE),0)</f>
        <v>0</v>
      </c>
      <c r="G77" s="91">
        <f>IF($A77=Recto!$I$33,VLOOKUP($A77,Recto!$I$28:$L$44,4,FALSE),0)</f>
        <v>0</v>
      </c>
      <c r="H77" s="91">
        <f>IF($A77=Recto!$I$34,VLOOKUP($A77,Recto!$I$28:$L$44,4,FALSE),0)</f>
        <v>0</v>
      </c>
      <c r="I77" s="91">
        <f>IF($A77=Recto!$I$35,VLOOKUP($A77,Recto!$I$28:$L$44,4,FALSE),0)</f>
        <v>0</v>
      </c>
      <c r="J77" s="91">
        <f>IF($A77=Recto!$I$36,VLOOKUP($A77,Recto!$I$28:$L$44,4,FALSE),0)</f>
        <v>0</v>
      </c>
      <c r="K77" s="91">
        <f>IF($A77=Recto!$I$37,VLOOKUP($A77,Recto!$I$28:$L$44,4,FALSE),0)</f>
        <v>0</v>
      </c>
      <c r="L77" s="91">
        <f>IF($A77=Recto!$I$38,VLOOKUP($A77,Recto!$I$28:$L$44,4,FALSE),0)</f>
        <v>0</v>
      </c>
      <c r="M77" s="91">
        <f>IF($A77=Recto!$I$39,VLOOKUP($A77,Recto!$I$28:$L$44,4,FALSE),0)</f>
        <v>0</v>
      </c>
      <c r="N77" s="91">
        <f>IF($A77=Recto!$I$40,VLOOKUP($A77,Recto!$I$28:$L$44,4,FALSE),0)</f>
        <v>0</v>
      </c>
      <c r="O77" s="91">
        <f>IF($A77=Recto!$I$41,VLOOKUP($A77,Recto!$I$28:$L$44,4,FALSE),0)</f>
        <v>0</v>
      </c>
      <c r="P77" s="91">
        <f>IF($A77=Recto!$I$42,VLOOKUP($A77,Recto!$I$28:$L$44,4,FALSE),0)</f>
        <v>0</v>
      </c>
      <c r="Q77" s="91">
        <f>IF($A77=Recto!$I$43,VLOOKUP($A77,Recto!$I$28:$L$44,4,FALSE),0)</f>
        <v>0</v>
      </c>
      <c r="R77" s="91">
        <f>IF($A77=Recto!$I$44,VLOOKUP($A77,Recto!$I$28:$L$44,4,FALSE),0)</f>
        <v>0</v>
      </c>
      <c r="S77" s="295">
        <f t="shared" si="1"/>
        <v>0</v>
      </c>
    </row>
    <row r="78" spans="1:19" x14ac:dyDescent="0.25">
      <c r="A78" s="500" t="s">
        <v>3203</v>
      </c>
      <c r="B78" s="91">
        <f>IF($A78=Recto!$I$28,VLOOKUP($A78,Recto!$I$28:$L$44,4,FALSE),0)</f>
        <v>0</v>
      </c>
      <c r="C78" s="91">
        <f>IF($A78=Recto!$I$29,VLOOKUP($A78,Recto!$I$28:$L$44,4,FALSE),0)</f>
        <v>0</v>
      </c>
      <c r="D78" s="91">
        <f>IF($A78=Recto!$I$30,VLOOKUP($A78,Recto!$I$28:$L$44,4,FALSE),0)</f>
        <v>0</v>
      </c>
      <c r="E78" s="91">
        <f>IF($A78=Recto!$I$31,VLOOKUP($A78,Recto!$I$28:$L$44,4,FALSE),0)</f>
        <v>0</v>
      </c>
      <c r="F78" s="91">
        <f>IF($A78=Recto!$I$32,VLOOKUP($A78,Recto!$I$28:$L$44,4,FALSE),0)</f>
        <v>0</v>
      </c>
      <c r="G78" s="91">
        <f>IF($A78=Recto!$I$33,VLOOKUP($A78,Recto!$I$28:$L$44,4,FALSE),0)</f>
        <v>0</v>
      </c>
      <c r="H78" s="91">
        <f>IF($A78=Recto!$I$34,VLOOKUP($A78,Recto!$I$28:$L$44,4,FALSE),0)</f>
        <v>0</v>
      </c>
      <c r="I78" s="91">
        <f>IF($A78=Recto!$I$35,VLOOKUP($A78,Recto!$I$28:$L$44,4,FALSE),0)</f>
        <v>0</v>
      </c>
      <c r="J78" s="91">
        <f>IF($A78=Recto!$I$36,VLOOKUP($A78,Recto!$I$28:$L$44,4,FALSE),0)</f>
        <v>0</v>
      </c>
      <c r="K78" s="91">
        <f>IF($A78=Recto!$I$37,VLOOKUP($A78,Recto!$I$28:$L$44,4,FALSE),0)</f>
        <v>0</v>
      </c>
      <c r="L78" s="91">
        <f>IF($A78=Recto!$I$38,VLOOKUP($A78,Recto!$I$28:$L$44,4,FALSE),0)</f>
        <v>0</v>
      </c>
      <c r="M78" s="91">
        <f>IF($A78=Recto!$I$39,VLOOKUP($A78,Recto!$I$28:$L$44,4,FALSE),0)</f>
        <v>0</v>
      </c>
      <c r="N78" s="91">
        <f>IF($A78=Recto!$I$40,VLOOKUP($A78,Recto!$I$28:$L$44,4,FALSE),0)</f>
        <v>0</v>
      </c>
      <c r="O78" s="91">
        <f>IF($A78=Recto!$I$41,VLOOKUP($A78,Recto!$I$28:$L$44,4,FALSE),0)</f>
        <v>0</v>
      </c>
      <c r="P78" s="91">
        <f>IF($A78=Recto!$I$42,VLOOKUP($A78,Recto!$I$28:$L$44,4,FALSE),0)</f>
        <v>0</v>
      </c>
      <c r="Q78" s="91">
        <f>IF($A78=Recto!$I$43,VLOOKUP($A78,Recto!$I$28:$L$44,4,FALSE),0)</f>
        <v>0</v>
      </c>
      <c r="R78" s="91">
        <f>IF($A78=Recto!$I$44,VLOOKUP($A78,Recto!$I$28:$L$44,4,FALSE),0)</f>
        <v>0</v>
      </c>
      <c r="S78" s="295">
        <f t="shared" si="1"/>
        <v>0</v>
      </c>
    </row>
    <row r="79" spans="1:19" x14ac:dyDescent="0.25">
      <c r="A79" s="500" t="s">
        <v>3204</v>
      </c>
      <c r="B79" s="91">
        <f>IF($A79=Recto!$I$28,VLOOKUP($A79,Recto!$I$28:$L$44,4,FALSE),0)</f>
        <v>0</v>
      </c>
      <c r="C79" s="91">
        <f>IF($A79=Recto!$I$29,VLOOKUP($A79,Recto!$I$28:$L$44,4,FALSE),0)</f>
        <v>0</v>
      </c>
      <c r="D79" s="91">
        <f>IF($A79=Recto!$I$30,VLOOKUP($A79,Recto!$I$28:$L$44,4,FALSE),0)</f>
        <v>0</v>
      </c>
      <c r="E79" s="91">
        <f>IF($A79=Recto!$I$31,VLOOKUP($A79,Recto!$I$28:$L$44,4,FALSE),0)</f>
        <v>0</v>
      </c>
      <c r="F79" s="91">
        <f>IF($A79=Recto!$I$32,VLOOKUP($A79,Recto!$I$28:$L$44,4,FALSE),0)</f>
        <v>0</v>
      </c>
      <c r="G79" s="91">
        <f>IF($A79=Recto!$I$33,VLOOKUP($A79,Recto!$I$28:$L$44,4,FALSE),0)</f>
        <v>0</v>
      </c>
      <c r="H79" s="91">
        <f>IF($A79=Recto!$I$34,VLOOKUP($A79,Recto!$I$28:$L$44,4,FALSE),0)</f>
        <v>0</v>
      </c>
      <c r="I79" s="91">
        <f>IF($A79=Recto!$I$35,VLOOKUP($A79,Recto!$I$28:$L$44,4,FALSE),0)</f>
        <v>0</v>
      </c>
      <c r="J79" s="91">
        <f>IF($A79=Recto!$I$36,VLOOKUP($A79,Recto!$I$28:$L$44,4,FALSE),0)</f>
        <v>0</v>
      </c>
      <c r="K79" s="91">
        <f>IF($A79=Recto!$I$37,VLOOKUP($A79,Recto!$I$28:$L$44,4,FALSE),0)</f>
        <v>0</v>
      </c>
      <c r="L79" s="91">
        <f>IF($A79=Recto!$I$38,VLOOKUP($A79,Recto!$I$28:$L$44,4,FALSE),0)</f>
        <v>0</v>
      </c>
      <c r="M79" s="91">
        <f>IF($A79=Recto!$I$39,VLOOKUP($A79,Recto!$I$28:$L$44,4,FALSE),0)</f>
        <v>0</v>
      </c>
      <c r="N79" s="91">
        <f>IF($A79=Recto!$I$40,VLOOKUP($A79,Recto!$I$28:$L$44,4,FALSE),0)</f>
        <v>0</v>
      </c>
      <c r="O79" s="91">
        <f>IF($A79=Recto!$I$41,VLOOKUP($A79,Recto!$I$28:$L$44,4,FALSE),0)</f>
        <v>0</v>
      </c>
      <c r="P79" s="91">
        <f>IF($A79=Recto!$I$42,VLOOKUP($A79,Recto!$I$28:$L$44,4,FALSE),0)</f>
        <v>0</v>
      </c>
      <c r="Q79" s="91">
        <f>IF($A79=Recto!$I$43,VLOOKUP($A79,Recto!$I$28:$L$44,4,FALSE),0)</f>
        <v>0</v>
      </c>
      <c r="R79" s="91">
        <f>IF($A79=Recto!$I$44,VLOOKUP($A79,Recto!$I$28:$L$44,4,FALSE),0)</f>
        <v>0</v>
      </c>
      <c r="S79" s="295">
        <f t="shared" si="1"/>
        <v>0</v>
      </c>
    </row>
    <row r="80" spans="1:19" x14ac:dyDescent="0.25">
      <c r="A80" s="500" t="s">
        <v>3205</v>
      </c>
      <c r="B80" s="91">
        <f>IF($A80=Recto!$I$28,VLOOKUP($A80,Recto!$I$28:$L$44,4,FALSE),0)</f>
        <v>0</v>
      </c>
      <c r="C80" s="91">
        <f>IF($A80=Recto!$I$29,VLOOKUP($A80,Recto!$I$28:$L$44,4,FALSE),0)</f>
        <v>0</v>
      </c>
      <c r="D80" s="91">
        <f>IF($A80=Recto!$I$30,VLOOKUP($A80,Recto!$I$28:$L$44,4,FALSE),0)</f>
        <v>0</v>
      </c>
      <c r="E80" s="91">
        <f>IF($A80=Recto!$I$31,VLOOKUP($A80,Recto!$I$28:$L$44,4,FALSE),0)</f>
        <v>0</v>
      </c>
      <c r="F80" s="91">
        <f>IF($A80=Recto!$I$32,VLOOKUP($A80,Recto!$I$28:$L$44,4,FALSE),0)</f>
        <v>0</v>
      </c>
      <c r="G80" s="91">
        <f>IF($A80=Recto!$I$33,VLOOKUP($A80,Recto!$I$28:$L$44,4,FALSE),0)</f>
        <v>0</v>
      </c>
      <c r="H80" s="91">
        <f>IF($A80=Recto!$I$34,VLOOKUP($A80,Recto!$I$28:$L$44,4,FALSE),0)</f>
        <v>0</v>
      </c>
      <c r="I80" s="91">
        <f>IF($A80=Recto!$I$35,VLOOKUP($A80,Recto!$I$28:$L$44,4,FALSE),0)</f>
        <v>0</v>
      </c>
      <c r="J80" s="91">
        <f>IF($A80=Recto!$I$36,VLOOKUP($A80,Recto!$I$28:$L$44,4,FALSE),0)</f>
        <v>0</v>
      </c>
      <c r="K80" s="91">
        <f>IF($A80=Recto!$I$37,VLOOKUP($A80,Recto!$I$28:$L$44,4,FALSE),0)</f>
        <v>0</v>
      </c>
      <c r="L80" s="91">
        <f>IF($A80=Recto!$I$38,VLOOKUP($A80,Recto!$I$28:$L$44,4,FALSE),0)</f>
        <v>0</v>
      </c>
      <c r="M80" s="91">
        <f>IF($A80=Recto!$I$39,VLOOKUP($A80,Recto!$I$28:$L$44,4,FALSE),0)</f>
        <v>0</v>
      </c>
      <c r="N80" s="91">
        <f>IF($A80=Recto!$I$40,VLOOKUP($A80,Recto!$I$28:$L$44,4,FALSE),0)</f>
        <v>0</v>
      </c>
      <c r="O80" s="91">
        <f>IF($A80=Recto!$I$41,VLOOKUP($A80,Recto!$I$28:$L$44,4,FALSE),0)</f>
        <v>0</v>
      </c>
      <c r="P80" s="91">
        <f>IF($A80=Recto!$I$42,VLOOKUP($A80,Recto!$I$28:$L$44,4,FALSE),0)</f>
        <v>0</v>
      </c>
      <c r="Q80" s="91">
        <f>IF($A80=Recto!$I$43,VLOOKUP($A80,Recto!$I$28:$L$44,4,FALSE),0)</f>
        <v>0</v>
      </c>
      <c r="R80" s="91">
        <f>IF($A80=Recto!$I$44,VLOOKUP($A80,Recto!$I$28:$L$44,4,FALSE),0)</f>
        <v>0</v>
      </c>
      <c r="S80" s="295">
        <f t="shared" si="1"/>
        <v>0</v>
      </c>
    </row>
    <row r="81" spans="1:19" x14ac:dyDescent="0.25">
      <c r="A81" s="500" t="s">
        <v>3293</v>
      </c>
      <c r="B81" s="91">
        <f>IF($A81=Recto!$I$28,VLOOKUP($A81,Recto!$I$28:$L$44,4,FALSE),0)</f>
        <v>0</v>
      </c>
      <c r="C81" s="91">
        <f>IF($A81=Recto!$I$29,VLOOKUP($A81,Recto!$I$28:$L$44,4,FALSE),0)</f>
        <v>0</v>
      </c>
      <c r="D81" s="91">
        <f>IF($A81=Recto!$I$30,VLOOKUP($A81,Recto!$I$28:$L$44,4,FALSE),0)</f>
        <v>0</v>
      </c>
      <c r="E81" s="91">
        <f>IF($A81=Recto!$I$31,VLOOKUP($A81,Recto!$I$28:$L$44,4,FALSE),0)</f>
        <v>0</v>
      </c>
      <c r="F81" s="91">
        <f>IF($A81=Recto!$I$32,VLOOKUP($A81,Recto!$I$28:$L$44,4,FALSE),0)</f>
        <v>0</v>
      </c>
      <c r="G81" s="91">
        <f>IF($A81=Recto!$I$33,VLOOKUP($A81,Recto!$I$28:$L$44,4,FALSE),0)</f>
        <v>0</v>
      </c>
      <c r="H81" s="91">
        <f>IF($A81=Recto!$I$34,VLOOKUP($A81,Recto!$I$28:$L$44,4,FALSE),0)</f>
        <v>0</v>
      </c>
      <c r="I81" s="91">
        <f>IF($A81=Recto!$I$35,VLOOKUP($A81,Recto!$I$28:$L$44,4,FALSE),0)</f>
        <v>0</v>
      </c>
      <c r="J81" s="91">
        <f>IF($A81=Recto!$I$36,VLOOKUP($A81,Recto!$I$28:$L$44,4,FALSE),0)</f>
        <v>0</v>
      </c>
      <c r="K81" s="91">
        <f>IF($A81=Recto!$I$37,VLOOKUP($A81,Recto!$I$28:$L$44,4,FALSE),0)</f>
        <v>0</v>
      </c>
      <c r="L81" s="91">
        <f>IF($A81=Recto!$I$38,VLOOKUP($A81,Recto!$I$28:$L$44,4,FALSE),0)</f>
        <v>0</v>
      </c>
      <c r="M81" s="91">
        <f>IF($A81=Recto!$I$39,VLOOKUP($A81,Recto!$I$28:$L$44,4,FALSE),0)</f>
        <v>0</v>
      </c>
      <c r="N81" s="91">
        <f>IF($A81=Recto!$I$40,VLOOKUP($A81,Recto!$I$28:$L$44,4,FALSE),0)</f>
        <v>0</v>
      </c>
      <c r="O81" s="91">
        <f>IF($A81=Recto!$I$41,VLOOKUP($A81,Recto!$I$28:$L$44,4,FALSE),0)</f>
        <v>0</v>
      </c>
      <c r="P81" s="91">
        <f>IF($A81=Recto!$I$42,VLOOKUP($A81,Recto!$I$28:$L$44,4,FALSE),0)</f>
        <v>0</v>
      </c>
      <c r="Q81" s="91">
        <f>IF($A81=Recto!$I$43,VLOOKUP($A81,Recto!$I$28:$L$44,4,FALSE),0)</f>
        <v>0</v>
      </c>
      <c r="R81" s="91">
        <f>IF($A81=Recto!$I$44,VLOOKUP($A81,Recto!$I$28:$L$44,4,FALSE),0)</f>
        <v>0</v>
      </c>
      <c r="S81" s="295">
        <f t="shared" si="1"/>
        <v>0</v>
      </c>
    </row>
    <row r="82" spans="1:19" s="196" customFormat="1" x14ac:dyDescent="0.25">
      <c r="A82" s="136" t="s">
        <v>7718</v>
      </c>
      <c r="B82" s="91">
        <f>IF($A82=Recto!$I$28,VLOOKUP($A82,Recto!$I$28:$L$44,4,FALSE),0)</f>
        <v>0</v>
      </c>
      <c r="C82" s="91">
        <f>IF($A82=Recto!$I$29,VLOOKUP($A82,Recto!$I$28:$L$44,4,FALSE),0)</f>
        <v>0</v>
      </c>
      <c r="D82" s="91">
        <f>IF($A82=Recto!$I$30,VLOOKUP($A82,Recto!$I$28:$L$44,4,FALSE),0)</f>
        <v>0</v>
      </c>
      <c r="E82" s="91">
        <f>IF($A82=Recto!$I$31,VLOOKUP($A82,Recto!$I$28:$L$44,4,FALSE),0)</f>
        <v>0</v>
      </c>
      <c r="F82" s="91">
        <f>IF($A82=Recto!$I$32,VLOOKUP($A82,Recto!$I$28:$L$44,4,FALSE),0)</f>
        <v>0</v>
      </c>
      <c r="G82" s="91">
        <f>IF($A82=Recto!$I$33,VLOOKUP($A82,Recto!$I$28:$L$44,4,FALSE),0)</f>
        <v>0</v>
      </c>
      <c r="H82" s="91">
        <f>IF($A82=Recto!$I$34,VLOOKUP($A82,Recto!$I$28:$L$44,4,FALSE),0)</f>
        <v>0</v>
      </c>
      <c r="I82" s="91">
        <f>IF($A82=Recto!$I$35,VLOOKUP($A82,Recto!$I$28:$L$44,4,FALSE),0)</f>
        <v>0</v>
      </c>
      <c r="J82" s="91">
        <f>IF($A82=Recto!$I$36,VLOOKUP($A82,Recto!$I$28:$L$44,4,FALSE),0)</f>
        <v>0</v>
      </c>
      <c r="K82" s="91">
        <f>IF($A82=Recto!$I$37,VLOOKUP($A82,Recto!$I$28:$L$44,4,FALSE),0)</f>
        <v>0</v>
      </c>
      <c r="L82" s="91">
        <f>IF($A82=Recto!$I$38,VLOOKUP($A82,Recto!$I$28:$L$44,4,FALSE),0)</f>
        <v>0</v>
      </c>
      <c r="M82" s="91">
        <f>IF($A82=Recto!$I$39,VLOOKUP($A82,Recto!$I$28:$L$44,4,FALSE),0)</f>
        <v>0</v>
      </c>
      <c r="N82" s="91">
        <f>IF($A82=Recto!$I$40,VLOOKUP($A82,Recto!$I$28:$L$44,4,FALSE),0)</f>
        <v>0</v>
      </c>
      <c r="O82" s="91">
        <f>IF($A82=Recto!$I$41,VLOOKUP($A82,Recto!$I$28:$L$44,4,FALSE),0)</f>
        <v>0</v>
      </c>
      <c r="P82" s="91">
        <f>IF($A82=Recto!$I$42,VLOOKUP($A82,Recto!$I$28:$L$44,4,FALSE),0)</f>
        <v>0</v>
      </c>
      <c r="Q82" s="91">
        <f>IF($A82=Recto!$I$43,VLOOKUP($A82,Recto!$I$28:$L$44,4,FALSE),0)</f>
        <v>0</v>
      </c>
      <c r="R82" s="91">
        <f>IF($A82=Recto!$I$44,VLOOKUP($A82,Recto!$I$28:$L$44,4,FALSE),0)</f>
        <v>0</v>
      </c>
      <c r="S82" s="295">
        <f>SUM(B82:R82)</f>
        <v>0</v>
      </c>
    </row>
    <row r="83" spans="1:19" x14ac:dyDescent="0.25">
      <c r="A83" s="500" t="s">
        <v>1290</v>
      </c>
      <c r="B83" s="91">
        <f>IF($A83=Recto!$I$28,VLOOKUP($A83,Recto!$I$28:$L$44,4,FALSE),0)</f>
        <v>0</v>
      </c>
      <c r="C83" s="91">
        <f>IF($A83=Recto!$I$29,VLOOKUP($A83,Recto!$I$28:$L$44,4,FALSE),0)</f>
        <v>0</v>
      </c>
      <c r="D83" s="91">
        <f>IF($A83=Recto!$I$30,VLOOKUP($A83,Recto!$I$28:$L$44,4,FALSE),0)</f>
        <v>0</v>
      </c>
      <c r="E83" s="91">
        <f>IF($A83=Recto!$I$31,VLOOKUP($A83,Recto!$I$28:$L$44,4,FALSE),0)</f>
        <v>0</v>
      </c>
      <c r="F83" s="91">
        <f>IF($A83=Recto!$I$32,VLOOKUP($A83,Recto!$I$28:$L$44,4,FALSE),0)</f>
        <v>0</v>
      </c>
      <c r="G83" s="91">
        <f>IF($A83=Recto!$I$33,VLOOKUP($A83,Recto!$I$28:$L$44,4,FALSE),0)</f>
        <v>0</v>
      </c>
      <c r="H83" s="91">
        <f>IF($A83=Recto!$I$34,VLOOKUP($A83,Recto!$I$28:$L$44,4,FALSE),0)</f>
        <v>0</v>
      </c>
      <c r="I83" s="91">
        <f>IF($A83=Recto!$I$35,VLOOKUP($A83,Recto!$I$28:$L$44,4,FALSE),0)</f>
        <v>0</v>
      </c>
      <c r="J83" s="91">
        <f>IF($A83=Recto!$I$36,VLOOKUP($A83,Recto!$I$28:$L$44,4,FALSE),0)</f>
        <v>0</v>
      </c>
      <c r="K83" s="91">
        <f>IF($A83=Recto!$I$37,VLOOKUP($A83,Recto!$I$28:$L$44,4,FALSE),0)</f>
        <v>0</v>
      </c>
      <c r="L83" s="91">
        <f>IF($A83=Recto!$I$38,VLOOKUP($A83,Recto!$I$28:$L$44,4,FALSE),0)</f>
        <v>0</v>
      </c>
      <c r="M83" s="91">
        <f>IF($A83=Recto!$I$39,VLOOKUP($A83,Recto!$I$28:$L$44,4,FALSE),0)</f>
        <v>0</v>
      </c>
      <c r="N83" s="91">
        <f>IF($A83=Recto!$I$40,VLOOKUP($A83,Recto!$I$28:$L$44,4,FALSE),0)</f>
        <v>0</v>
      </c>
      <c r="O83" s="91">
        <f>IF($A83=Recto!$I$41,VLOOKUP($A83,Recto!$I$28:$L$44,4,FALSE),0)</f>
        <v>0</v>
      </c>
      <c r="P83" s="91">
        <f>IF($A83=Recto!$I$42,VLOOKUP($A83,Recto!$I$28:$L$44,4,FALSE),0)</f>
        <v>0</v>
      </c>
      <c r="Q83" s="91">
        <f>IF($A83=Recto!$I$43,VLOOKUP($A83,Recto!$I$28:$L$44,4,FALSE),0)</f>
        <v>0</v>
      </c>
      <c r="R83" s="91">
        <f>IF($A83=Recto!$I$44,VLOOKUP($A83,Recto!$I$28:$L$44,4,FALSE),0)</f>
        <v>0</v>
      </c>
      <c r="S83" s="295">
        <f t="shared" si="1"/>
        <v>0</v>
      </c>
    </row>
    <row r="84" spans="1:19" x14ac:dyDescent="0.25">
      <c r="A84" s="500" t="s">
        <v>1316</v>
      </c>
      <c r="B84" s="91">
        <f>IF($A84=Recto!$I$28,VLOOKUP($A84,Recto!$I$28:$L$44,4,FALSE),0)</f>
        <v>0</v>
      </c>
      <c r="C84" s="91">
        <f>IF($A84=Recto!$I$29,VLOOKUP($A84,Recto!$I$28:$L$44,4,FALSE),0)</f>
        <v>0</v>
      </c>
      <c r="D84" s="91">
        <f>IF($A84=Recto!$I$30,VLOOKUP($A84,Recto!$I$28:$L$44,4,FALSE),0)</f>
        <v>0</v>
      </c>
      <c r="E84" s="91">
        <f>IF($A84=Recto!$I$31,VLOOKUP($A84,Recto!$I$28:$L$44,4,FALSE),0)</f>
        <v>0</v>
      </c>
      <c r="F84" s="91">
        <f>IF($A84=Recto!$I$32,VLOOKUP($A84,Recto!$I$28:$L$44,4,FALSE),0)</f>
        <v>0</v>
      </c>
      <c r="G84" s="91">
        <f>IF($A84=Recto!$I$33,VLOOKUP($A84,Recto!$I$28:$L$44,4,FALSE),0)</f>
        <v>0</v>
      </c>
      <c r="H84" s="91">
        <f>IF($A84=Recto!$I$34,VLOOKUP($A84,Recto!$I$28:$L$44,4,FALSE),0)</f>
        <v>0</v>
      </c>
      <c r="I84" s="91">
        <f>IF($A84=Recto!$I$35,VLOOKUP($A84,Recto!$I$28:$L$44,4,FALSE),0)</f>
        <v>0</v>
      </c>
      <c r="J84" s="91">
        <f>IF($A84=Recto!$I$36,VLOOKUP($A84,Recto!$I$28:$L$44,4,FALSE),0)</f>
        <v>0</v>
      </c>
      <c r="K84" s="91">
        <f>IF($A84=Recto!$I$37,VLOOKUP($A84,Recto!$I$28:$L$44,4,FALSE),0)</f>
        <v>0</v>
      </c>
      <c r="L84" s="91">
        <f>IF($A84=Recto!$I$38,VLOOKUP($A84,Recto!$I$28:$L$44,4,FALSE),0)</f>
        <v>0</v>
      </c>
      <c r="M84" s="91">
        <f>IF($A84=Recto!$I$39,VLOOKUP($A84,Recto!$I$28:$L$44,4,FALSE),0)</f>
        <v>0</v>
      </c>
      <c r="N84" s="91">
        <f>IF($A84=Recto!$I$40,VLOOKUP($A84,Recto!$I$28:$L$44,4,FALSE),0)</f>
        <v>0</v>
      </c>
      <c r="O84" s="91">
        <f>IF($A84=Recto!$I$41,VLOOKUP($A84,Recto!$I$28:$L$44,4,FALSE),0)</f>
        <v>0</v>
      </c>
      <c r="P84" s="91">
        <f>IF($A84=Recto!$I$42,VLOOKUP($A84,Recto!$I$28:$L$44,4,FALSE),0)</f>
        <v>0</v>
      </c>
      <c r="Q84" s="91">
        <f>IF($A84=Recto!$I$43,VLOOKUP($A84,Recto!$I$28:$L$44,4,FALSE),0)</f>
        <v>0</v>
      </c>
      <c r="R84" s="91">
        <f>IF($A84=Recto!$I$44,VLOOKUP($A84,Recto!$I$28:$L$44,4,FALSE),0)</f>
        <v>0</v>
      </c>
      <c r="S84" s="295">
        <f t="shared" si="1"/>
        <v>0</v>
      </c>
    </row>
    <row r="85" spans="1:19" s="196" customFormat="1" x14ac:dyDescent="0.25">
      <c r="A85" s="500" t="s">
        <v>1244</v>
      </c>
      <c r="B85" s="91">
        <f>IF($A85=Recto!$I$28,VLOOKUP($A85,Recto!$I$28:$L$44,4,FALSE),0)</f>
        <v>0</v>
      </c>
      <c r="C85" s="91">
        <f>IF($A85=Recto!$I$29,VLOOKUP($A85,Recto!$I$28:$L$44,4,FALSE),0)</f>
        <v>0</v>
      </c>
      <c r="D85" s="91">
        <f>IF($A85=Recto!$I$30,VLOOKUP($A85,Recto!$I$28:$L$44,4,FALSE),0)</f>
        <v>0</v>
      </c>
      <c r="E85" s="91">
        <f>IF($A85=Recto!$I$31,VLOOKUP($A85,Recto!$I$28:$L$44,4,FALSE),0)</f>
        <v>0</v>
      </c>
      <c r="F85" s="91">
        <f>IF($A85=Recto!$I$32,VLOOKUP($A85,Recto!$I$28:$L$44,4,FALSE),0)</f>
        <v>0</v>
      </c>
      <c r="G85" s="91">
        <f>IF($A85=Recto!$I$33,VLOOKUP($A85,Recto!$I$28:$L$44,4,FALSE),0)</f>
        <v>0</v>
      </c>
      <c r="H85" s="91">
        <f>IF($A85=Recto!$I$34,VLOOKUP($A85,Recto!$I$28:$L$44,4,FALSE),0)</f>
        <v>0</v>
      </c>
      <c r="I85" s="91">
        <f>IF($A85=Recto!$I$35,VLOOKUP($A85,Recto!$I$28:$L$44,4,FALSE),0)</f>
        <v>0</v>
      </c>
      <c r="J85" s="91">
        <f>IF($A85=Recto!$I$36,VLOOKUP($A85,Recto!$I$28:$L$44,4,FALSE),0)</f>
        <v>0</v>
      </c>
      <c r="K85" s="91">
        <f>IF($A85=Recto!$I$37,VLOOKUP($A85,Recto!$I$28:$L$44,4,FALSE),0)</f>
        <v>0</v>
      </c>
      <c r="L85" s="91">
        <f>IF($A85=Recto!$I$38,VLOOKUP($A85,Recto!$I$28:$L$44,4,FALSE),0)</f>
        <v>0</v>
      </c>
      <c r="M85" s="91">
        <f>IF($A85=Recto!$I$39,VLOOKUP($A85,Recto!$I$28:$L$44,4,FALSE),0)</f>
        <v>0</v>
      </c>
      <c r="N85" s="91">
        <f>IF($A85=Recto!$I$40,VLOOKUP($A85,Recto!$I$28:$L$44,4,FALSE),0)</f>
        <v>0</v>
      </c>
      <c r="O85" s="91">
        <f>IF($A85=Recto!$I$41,VLOOKUP($A85,Recto!$I$28:$L$44,4,FALSE),0)</f>
        <v>0</v>
      </c>
      <c r="P85" s="91">
        <f>IF($A85=Recto!$I$42,VLOOKUP($A85,Recto!$I$28:$L$44,4,FALSE),0)</f>
        <v>0</v>
      </c>
      <c r="Q85" s="91">
        <f>IF($A85=Recto!$I$43,VLOOKUP($A85,Recto!$I$28:$L$44,4,FALSE),0)</f>
        <v>0</v>
      </c>
      <c r="R85" s="91">
        <f>IF($A85=Recto!$I$44,VLOOKUP($A85,Recto!$I$28:$L$44,4,FALSE),0)</f>
        <v>0</v>
      </c>
      <c r="S85" s="295">
        <f t="shared" si="1"/>
        <v>0</v>
      </c>
    </row>
    <row r="86" spans="1:19" x14ac:dyDescent="0.25">
      <c r="A86" s="500" t="s">
        <v>1294</v>
      </c>
      <c r="B86" s="91">
        <f>IF($A86=Recto!$I$28,VLOOKUP($A86,Recto!$I$28:$L$44,4,FALSE),0)</f>
        <v>0</v>
      </c>
      <c r="C86" s="91">
        <f>IF($A86=Recto!$I$29,VLOOKUP($A86,Recto!$I$28:$L$44,4,FALSE),0)</f>
        <v>0</v>
      </c>
      <c r="D86" s="91">
        <f>IF($A86=Recto!$I$30,VLOOKUP($A86,Recto!$I$28:$L$44,4,FALSE),0)</f>
        <v>0</v>
      </c>
      <c r="E86" s="91">
        <f>IF($A86=Recto!$I$31,VLOOKUP($A86,Recto!$I$28:$L$44,4,FALSE),0)</f>
        <v>0</v>
      </c>
      <c r="F86" s="91">
        <f>IF($A86=Recto!$I$32,VLOOKUP($A86,Recto!$I$28:$L$44,4,FALSE),0)</f>
        <v>0</v>
      </c>
      <c r="G86" s="91">
        <f>IF($A86=Recto!$I$33,VLOOKUP($A86,Recto!$I$28:$L$44,4,FALSE),0)</f>
        <v>0</v>
      </c>
      <c r="H86" s="91">
        <f>IF($A86=Recto!$I$34,VLOOKUP($A86,Recto!$I$28:$L$44,4,FALSE),0)</f>
        <v>0</v>
      </c>
      <c r="I86" s="91">
        <f>IF($A86=Recto!$I$35,VLOOKUP($A86,Recto!$I$28:$L$44,4,FALSE),0)</f>
        <v>0</v>
      </c>
      <c r="J86" s="91">
        <f>IF($A86=Recto!$I$36,VLOOKUP($A86,Recto!$I$28:$L$44,4,FALSE),0)</f>
        <v>0</v>
      </c>
      <c r="K86" s="91">
        <f>IF($A86=Recto!$I$37,VLOOKUP($A86,Recto!$I$28:$L$44,4,FALSE),0)</f>
        <v>0</v>
      </c>
      <c r="L86" s="91">
        <f>IF($A86=Recto!$I$38,VLOOKUP($A86,Recto!$I$28:$L$44,4,FALSE),0)</f>
        <v>0</v>
      </c>
      <c r="M86" s="91">
        <f>IF($A86=Recto!$I$39,VLOOKUP($A86,Recto!$I$28:$L$44,4,FALSE),0)</f>
        <v>0</v>
      </c>
      <c r="N86" s="91">
        <f>IF($A86=Recto!$I$40,VLOOKUP($A86,Recto!$I$28:$L$44,4,FALSE),0)</f>
        <v>0</v>
      </c>
      <c r="O86" s="91">
        <f>IF($A86=Recto!$I$41,VLOOKUP($A86,Recto!$I$28:$L$44,4,FALSE),0)</f>
        <v>0</v>
      </c>
      <c r="P86" s="91">
        <f>IF($A86=Recto!$I$42,VLOOKUP($A86,Recto!$I$28:$L$44,4,FALSE),0)</f>
        <v>0</v>
      </c>
      <c r="Q86" s="91">
        <f>IF($A86=Recto!$I$43,VLOOKUP($A86,Recto!$I$28:$L$44,4,FALSE),0)</f>
        <v>0</v>
      </c>
      <c r="R86" s="91">
        <f>IF($A86=Recto!$I$44,VLOOKUP($A86,Recto!$I$28:$L$44,4,FALSE),0)</f>
        <v>0</v>
      </c>
      <c r="S86" s="295">
        <f t="shared" si="1"/>
        <v>0</v>
      </c>
    </row>
    <row r="87" spans="1:19" x14ac:dyDescent="0.25">
      <c r="A87" s="500" t="s">
        <v>3290</v>
      </c>
      <c r="B87" s="91">
        <f>IF($A87=Recto!$I$28,VLOOKUP($A87,Recto!$I$28:$L$44,4,FALSE),0)</f>
        <v>0</v>
      </c>
      <c r="C87" s="91">
        <f>IF($A87=Recto!$I$29,VLOOKUP($A87,Recto!$I$28:$L$44,4,FALSE),0)</f>
        <v>0</v>
      </c>
      <c r="D87" s="91">
        <f>IF($A87=Recto!$I$30,VLOOKUP($A87,Recto!$I$28:$L$44,4,FALSE),0)</f>
        <v>0</v>
      </c>
      <c r="E87" s="91">
        <f>IF($A87=Recto!$I$31,VLOOKUP($A87,Recto!$I$28:$L$44,4,FALSE),0)</f>
        <v>0</v>
      </c>
      <c r="F87" s="91">
        <f>IF($A87=Recto!$I$32,VLOOKUP($A87,Recto!$I$28:$L$44,4,FALSE),0)</f>
        <v>0</v>
      </c>
      <c r="G87" s="91">
        <f>IF($A87=Recto!$I$33,VLOOKUP($A87,Recto!$I$28:$L$44,4,FALSE),0)</f>
        <v>0</v>
      </c>
      <c r="H87" s="91">
        <f>IF($A87=Recto!$I$34,VLOOKUP($A87,Recto!$I$28:$L$44,4,FALSE),0)</f>
        <v>0</v>
      </c>
      <c r="I87" s="91">
        <f>IF($A87=Recto!$I$35,VLOOKUP($A87,Recto!$I$28:$L$44,4,FALSE),0)</f>
        <v>0</v>
      </c>
      <c r="J87" s="91">
        <f>IF($A87=Recto!$I$36,VLOOKUP($A87,Recto!$I$28:$L$44,4,FALSE),0)</f>
        <v>0</v>
      </c>
      <c r="K87" s="91">
        <f>IF($A87=Recto!$I$37,VLOOKUP($A87,Recto!$I$28:$L$44,4,FALSE),0)</f>
        <v>0</v>
      </c>
      <c r="L87" s="91">
        <f>IF($A87=Recto!$I$38,VLOOKUP($A87,Recto!$I$28:$L$44,4,FALSE),0)</f>
        <v>0</v>
      </c>
      <c r="M87" s="91">
        <f>IF($A87=Recto!$I$39,VLOOKUP($A87,Recto!$I$28:$L$44,4,FALSE),0)</f>
        <v>0</v>
      </c>
      <c r="N87" s="91">
        <f>IF($A87=Recto!$I$40,VLOOKUP($A87,Recto!$I$28:$L$44,4,FALSE),0)</f>
        <v>0</v>
      </c>
      <c r="O87" s="91">
        <f>IF($A87=Recto!$I$41,VLOOKUP($A87,Recto!$I$28:$L$44,4,FALSE),0)</f>
        <v>0</v>
      </c>
      <c r="P87" s="91">
        <f>IF($A87=Recto!$I$42,VLOOKUP($A87,Recto!$I$28:$L$44,4,FALSE),0)</f>
        <v>0</v>
      </c>
      <c r="Q87" s="91">
        <f>IF($A87=Recto!$I$43,VLOOKUP($A87,Recto!$I$28:$L$44,4,FALSE),0)</f>
        <v>0</v>
      </c>
      <c r="R87" s="91">
        <f>IF($A87=Recto!$I$44,VLOOKUP($A87,Recto!$I$28:$L$44,4,FALSE),0)</f>
        <v>0</v>
      </c>
      <c r="S87" s="295">
        <f t="shared" si="1"/>
        <v>0</v>
      </c>
    </row>
    <row r="88" spans="1:19" x14ac:dyDescent="0.25">
      <c r="A88" s="500" t="s">
        <v>1367</v>
      </c>
      <c r="B88" s="91">
        <f>IF($A88=Recto!$I$28,VLOOKUP($A88,Recto!$I$28:$L$44,4,FALSE),0)</f>
        <v>0</v>
      </c>
      <c r="C88" s="91">
        <f>IF($A88=Recto!$I$29,VLOOKUP($A88,Recto!$I$28:$L$44,4,FALSE),0)</f>
        <v>0</v>
      </c>
      <c r="D88" s="91">
        <f>IF($A88=Recto!$I$30,VLOOKUP($A88,Recto!$I$28:$L$44,4,FALSE),0)</f>
        <v>0</v>
      </c>
      <c r="E88" s="91">
        <f>IF($A88=Recto!$I$31,VLOOKUP($A88,Recto!$I$28:$L$44,4,FALSE),0)</f>
        <v>0</v>
      </c>
      <c r="F88" s="91">
        <f>IF($A88=Recto!$I$32,VLOOKUP($A88,Recto!$I$28:$L$44,4,FALSE),0)</f>
        <v>0</v>
      </c>
      <c r="G88" s="91">
        <f>IF($A88=Recto!$I$33,VLOOKUP($A88,Recto!$I$28:$L$44,4,FALSE),0)</f>
        <v>0</v>
      </c>
      <c r="H88" s="91">
        <f>IF($A88=Recto!$I$34,VLOOKUP($A88,Recto!$I$28:$L$44,4,FALSE),0)</f>
        <v>0</v>
      </c>
      <c r="I88" s="91">
        <f>IF($A88=Recto!$I$35,VLOOKUP($A88,Recto!$I$28:$L$44,4,FALSE),0)</f>
        <v>0</v>
      </c>
      <c r="J88" s="91">
        <f>IF($A88=Recto!$I$36,VLOOKUP($A88,Recto!$I$28:$L$44,4,FALSE),0)</f>
        <v>0</v>
      </c>
      <c r="K88" s="91">
        <f>IF($A88=Recto!$I$37,VLOOKUP($A88,Recto!$I$28:$L$44,4,FALSE),0)</f>
        <v>0</v>
      </c>
      <c r="L88" s="91">
        <f>IF($A88=Recto!$I$38,VLOOKUP($A88,Recto!$I$28:$L$44,4,FALSE),0)</f>
        <v>0</v>
      </c>
      <c r="M88" s="91">
        <f>IF($A88=Recto!$I$39,VLOOKUP($A88,Recto!$I$28:$L$44,4,FALSE),0)</f>
        <v>0</v>
      </c>
      <c r="N88" s="91">
        <f>IF($A88=Recto!$I$40,VLOOKUP($A88,Recto!$I$28:$L$44,4,FALSE),0)</f>
        <v>0</v>
      </c>
      <c r="O88" s="91">
        <f>IF($A88=Recto!$I$41,VLOOKUP($A88,Recto!$I$28:$L$44,4,FALSE),0)</f>
        <v>0</v>
      </c>
      <c r="P88" s="91">
        <f>IF($A88=Recto!$I$42,VLOOKUP($A88,Recto!$I$28:$L$44,4,FALSE),0)</f>
        <v>0</v>
      </c>
      <c r="Q88" s="91">
        <f>IF($A88=Recto!$I$43,VLOOKUP($A88,Recto!$I$28:$L$44,4,FALSE),0)</f>
        <v>0</v>
      </c>
      <c r="R88" s="91">
        <f>IF($A88=Recto!$I$44,VLOOKUP($A88,Recto!$I$28:$L$44,4,FALSE),0)</f>
        <v>0</v>
      </c>
      <c r="S88" s="295">
        <f t="shared" ref="S88:S154" si="3">SUM(B88:R88)</f>
        <v>0</v>
      </c>
    </row>
    <row r="89" spans="1:19" x14ac:dyDescent="0.25">
      <c r="A89" s="500" t="s">
        <v>341</v>
      </c>
      <c r="B89" s="91">
        <f>IF($A89=Recto!$I$28,VLOOKUP($A89,Recto!$I$28:$L$44,4,FALSE),0)</f>
        <v>0</v>
      </c>
      <c r="C89" s="91">
        <f>IF($A89=Recto!$I$29,VLOOKUP($A89,Recto!$I$28:$L$44,4,FALSE),0)</f>
        <v>0</v>
      </c>
      <c r="D89" s="91">
        <f>IF($A89=Recto!$I$30,VLOOKUP($A89,Recto!$I$28:$L$44,4,FALSE),0)</f>
        <v>0</v>
      </c>
      <c r="E89" s="91">
        <f>IF($A89=Recto!$I$31,VLOOKUP($A89,Recto!$I$28:$L$44,4,FALSE),0)</f>
        <v>0</v>
      </c>
      <c r="F89" s="91">
        <f>IF($A89=Recto!$I$32,VLOOKUP($A89,Recto!$I$28:$L$44,4,FALSE),0)</f>
        <v>0</v>
      </c>
      <c r="G89" s="91">
        <f>IF($A89=Recto!$I$33,VLOOKUP($A89,Recto!$I$28:$L$44,4,FALSE),0)</f>
        <v>0</v>
      </c>
      <c r="H89" s="91">
        <f>IF($A89=Recto!$I$34,VLOOKUP($A89,Recto!$I$28:$L$44,4,FALSE),0)</f>
        <v>0</v>
      </c>
      <c r="I89" s="91">
        <f>IF($A89=Recto!$I$35,VLOOKUP($A89,Recto!$I$28:$L$44,4,FALSE),0)</f>
        <v>0</v>
      </c>
      <c r="J89" s="91">
        <f>IF($A89=Recto!$I$36,VLOOKUP($A89,Recto!$I$28:$L$44,4,FALSE),0)</f>
        <v>0</v>
      </c>
      <c r="K89" s="91">
        <f>IF($A89=Recto!$I$37,VLOOKUP($A89,Recto!$I$28:$L$44,4,FALSE),0)</f>
        <v>0</v>
      </c>
      <c r="L89" s="91">
        <f>IF($A89=Recto!$I$38,VLOOKUP($A89,Recto!$I$28:$L$44,4,FALSE),0)</f>
        <v>0</v>
      </c>
      <c r="M89" s="91">
        <f>IF($A89=Recto!$I$39,VLOOKUP($A89,Recto!$I$28:$L$44,4,FALSE),0)</f>
        <v>0</v>
      </c>
      <c r="N89" s="91">
        <f>IF($A89=Recto!$I$40,VLOOKUP($A89,Recto!$I$28:$L$44,4,FALSE),0)</f>
        <v>0</v>
      </c>
      <c r="O89" s="91">
        <f>IF($A89=Recto!$I$41,VLOOKUP($A89,Recto!$I$28:$L$44,4,FALSE),0)</f>
        <v>0</v>
      </c>
      <c r="P89" s="91">
        <f>IF($A89=Recto!$I$42,VLOOKUP($A89,Recto!$I$28:$L$44,4,FALSE),0)</f>
        <v>0</v>
      </c>
      <c r="Q89" s="91">
        <f>IF($A89=Recto!$I$43,VLOOKUP($A89,Recto!$I$28:$L$44,4,FALSE),0)</f>
        <v>0</v>
      </c>
      <c r="R89" s="91">
        <f>IF($A89=Recto!$I$44,VLOOKUP($A89,Recto!$I$28:$L$44,4,FALSE),0)</f>
        <v>0</v>
      </c>
      <c r="S89" s="295">
        <f t="shared" si="3"/>
        <v>0</v>
      </c>
    </row>
    <row r="90" spans="1:19" x14ac:dyDescent="0.25">
      <c r="A90" s="500" t="s">
        <v>6001</v>
      </c>
      <c r="B90" s="91">
        <f>IF($A90=Recto!$I$28,VLOOKUP($A90,Recto!$I$28:$L$44,4,FALSE),0)</f>
        <v>0</v>
      </c>
      <c r="C90" s="91">
        <f>IF($A90=Recto!$I$29,VLOOKUP($A90,Recto!$I$28:$L$44,4,FALSE),0)</f>
        <v>0</v>
      </c>
      <c r="D90" s="91">
        <f>IF($A90=Recto!$I$30,VLOOKUP($A90,Recto!$I$28:$L$44,4,FALSE),0)</f>
        <v>0</v>
      </c>
      <c r="E90" s="91">
        <f>IF($A90=Recto!$I$31,VLOOKUP($A90,Recto!$I$28:$L$44,4,FALSE),0)</f>
        <v>0</v>
      </c>
      <c r="F90" s="91">
        <f>IF($A90=Recto!$I$32,VLOOKUP($A90,Recto!$I$28:$L$44,4,FALSE),0)</f>
        <v>0</v>
      </c>
      <c r="G90" s="91">
        <f>IF($A90=Recto!$I$33,VLOOKUP($A90,Recto!$I$28:$L$44,4,FALSE),0)</f>
        <v>0</v>
      </c>
      <c r="H90" s="91">
        <f>IF($A90=Recto!$I$34,VLOOKUP($A90,Recto!$I$28:$L$44,4,FALSE),0)</f>
        <v>0</v>
      </c>
      <c r="I90" s="91">
        <f>IF($A90=Recto!$I$35,VLOOKUP($A90,Recto!$I$28:$L$44,4,FALSE),0)</f>
        <v>0</v>
      </c>
      <c r="J90" s="91">
        <f>IF($A90=Recto!$I$36,VLOOKUP($A90,Recto!$I$28:$L$44,4,FALSE),0)</f>
        <v>0</v>
      </c>
      <c r="K90" s="91">
        <f>IF($A90=Recto!$I$37,VLOOKUP($A90,Recto!$I$28:$L$44,4,FALSE),0)</f>
        <v>0</v>
      </c>
      <c r="L90" s="91">
        <f>IF($A90=Recto!$I$38,VLOOKUP($A90,Recto!$I$28:$L$44,4,FALSE),0)</f>
        <v>0</v>
      </c>
      <c r="M90" s="91">
        <f>IF($A90=Recto!$I$39,VLOOKUP($A90,Recto!$I$28:$L$44,4,FALSE),0)</f>
        <v>0</v>
      </c>
      <c r="N90" s="91">
        <f>IF($A90=Recto!$I$40,VLOOKUP($A90,Recto!$I$28:$L$44,4,FALSE),0)</f>
        <v>0</v>
      </c>
      <c r="O90" s="91">
        <f>IF($A90=Recto!$I$41,VLOOKUP($A90,Recto!$I$28:$L$44,4,FALSE),0)</f>
        <v>0</v>
      </c>
      <c r="P90" s="91">
        <f>IF($A90=Recto!$I$42,VLOOKUP($A90,Recto!$I$28:$L$44,4,FALSE),0)</f>
        <v>0</v>
      </c>
      <c r="Q90" s="91">
        <f>IF($A90=Recto!$I$43,VLOOKUP($A90,Recto!$I$28:$L$44,4,FALSE),0)</f>
        <v>0</v>
      </c>
      <c r="R90" s="91">
        <f>IF($A90=Recto!$I$44,VLOOKUP($A90,Recto!$I$28:$L$44,4,FALSE),0)</f>
        <v>0</v>
      </c>
      <c r="S90" s="295">
        <f t="shared" si="3"/>
        <v>0</v>
      </c>
    </row>
    <row r="91" spans="1:19" x14ac:dyDescent="0.25">
      <c r="A91" s="500" t="s">
        <v>3286</v>
      </c>
      <c r="B91" s="91">
        <f>IF($A91=Recto!$I$28,VLOOKUP($A91,Recto!$I$28:$L$44,4,FALSE),0)</f>
        <v>0</v>
      </c>
      <c r="C91" s="91">
        <f>IF($A91=Recto!$I$29,VLOOKUP($A91,Recto!$I$28:$L$44,4,FALSE),0)</f>
        <v>0</v>
      </c>
      <c r="D91" s="91">
        <f>IF($A91=Recto!$I$30,VLOOKUP($A91,Recto!$I$28:$L$44,4,FALSE),0)</f>
        <v>0</v>
      </c>
      <c r="E91" s="91">
        <f>IF($A91=Recto!$I$31,VLOOKUP($A91,Recto!$I$28:$L$44,4,FALSE),0)</f>
        <v>0</v>
      </c>
      <c r="F91" s="91">
        <f>IF($A91=Recto!$I$32,VLOOKUP($A91,Recto!$I$28:$L$44,4,FALSE),0)</f>
        <v>0</v>
      </c>
      <c r="G91" s="91">
        <f>IF($A91=Recto!$I$33,VLOOKUP($A91,Recto!$I$28:$L$44,4,FALSE),0)</f>
        <v>0</v>
      </c>
      <c r="H91" s="91">
        <f>IF($A91=Recto!$I$34,VLOOKUP($A91,Recto!$I$28:$L$44,4,FALSE),0)</f>
        <v>0</v>
      </c>
      <c r="I91" s="91">
        <f>IF($A91=Recto!$I$35,VLOOKUP($A91,Recto!$I$28:$L$44,4,FALSE),0)</f>
        <v>0</v>
      </c>
      <c r="J91" s="91">
        <f>IF($A91=Recto!$I$36,VLOOKUP($A91,Recto!$I$28:$L$44,4,FALSE),0)</f>
        <v>0</v>
      </c>
      <c r="K91" s="91">
        <f>IF($A91=Recto!$I$37,VLOOKUP($A91,Recto!$I$28:$L$44,4,FALSE),0)</f>
        <v>0</v>
      </c>
      <c r="L91" s="91">
        <f>IF($A91=Recto!$I$38,VLOOKUP($A91,Recto!$I$28:$L$44,4,FALSE),0)</f>
        <v>0</v>
      </c>
      <c r="M91" s="91">
        <f>IF($A91=Recto!$I$39,VLOOKUP($A91,Recto!$I$28:$L$44,4,FALSE),0)</f>
        <v>0</v>
      </c>
      <c r="N91" s="91">
        <f>IF($A91=Recto!$I$40,VLOOKUP($A91,Recto!$I$28:$L$44,4,FALSE),0)</f>
        <v>0</v>
      </c>
      <c r="O91" s="91">
        <f>IF($A91=Recto!$I$41,VLOOKUP($A91,Recto!$I$28:$L$44,4,FALSE),0)</f>
        <v>0</v>
      </c>
      <c r="P91" s="91">
        <f>IF($A91=Recto!$I$42,VLOOKUP($A91,Recto!$I$28:$L$44,4,FALSE),0)</f>
        <v>0</v>
      </c>
      <c r="Q91" s="91">
        <f>IF($A91=Recto!$I$43,VLOOKUP($A91,Recto!$I$28:$L$44,4,FALSE),0)</f>
        <v>0</v>
      </c>
      <c r="R91" s="91">
        <f>IF($A91=Recto!$I$44,VLOOKUP($A91,Recto!$I$28:$L$44,4,FALSE),0)</f>
        <v>0</v>
      </c>
      <c r="S91" s="295">
        <f t="shared" si="3"/>
        <v>0</v>
      </c>
    </row>
    <row r="92" spans="1:19" x14ac:dyDescent="0.25">
      <c r="A92" s="500" t="s">
        <v>1324</v>
      </c>
      <c r="B92" s="91">
        <f>IF($A92=Recto!$I$28,VLOOKUP($A92,Recto!$I$28:$L$44,4,FALSE),0)</f>
        <v>0</v>
      </c>
      <c r="C92" s="91">
        <f>IF($A92=Recto!$I$29,VLOOKUP($A92,Recto!$I$28:$L$44,4,FALSE),0)</f>
        <v>0</v>
      </c>
      <c r="D92" s="91">
        <f>IF($A92=Recto!$I$30,VLOOKUP($A92,Recto!$I$28:$L$44,4,FALSE),0)</f>
        <v>0</v>
      </c>
      <c r="E92" s="91">
        <f>IF($A92=Recto!$I$31,VLOOKUP($A92,Recto!$I$28:$L$44,4,FALSE),0)</f>
        <v>0</v>
      </c>
      <c r="F92" s="91">
        <f>IF($A92=Recto!$I$32,VLOOKUP($A92,Recto!$I$28:$L$44,4,FALSE),0)</f>
        <v>0</v>
      </c>
      <c r="G92" s="91">
        <f>IF($A92=Recto!$I$33,VLOOKUP($A92,Recto!$I$28:$L$44,4,FALSE),0)</f>
        <v>0</v>
      </c>
      <c r="H92" s="91">
        <f>IF($A92=Recto!$I$34,VLOOKUP($A92,Recto!$I$28:$L$44,4,FALSE),0)</f>
        <v>0</v>
      </c>
      <c r="I92" s="91">
        <f>IF($A92=Recto!$I$35,VLOOKUP($A92,Recto!$I$28:$L$44,4,FALSE),0)</f>
        <v>0</v>
      </c>
      <c r="J92" s="91">
        <f>IF($A92=Recto!$I$36,VLOOKUP($A92,Recto!$I$28:$L$44,4,FALSE),0)</f>
        <v>0</v>
      </c>
      <c r="K92" s="91">
        <f>IF($A92=Recto!$I$37,VLOOKUP($A92,Recto!$I$28:$L$44,4,FALSE),0)</f>
        <v>0</v>
      </c>
      <c r="L92" s="91">
        <f>IF($A92=Recto!$I$38,VLOOKUP($A92,Recto!$I$28:$L$44,4,FALSE),0)</f>
        <v>0</v>
      </c>
      <c r="M92" s="91">
        <f>IF($A92=Recto!$I$39,VLOOKUP($A92,Recto!$I$28:$L$44,4,FALSE),0)</f>
        <v>0</v>
      </c>
      <c r="N92" s="91">
        <f>IF($A92=Recto!$I$40,VLOOKUP($A92,Recto!$I$28:$L$44,4,FALSE),0)</f>
        <v>0</v>
      </c>
      <c r="O92" s="91">
        <f>IF($A92=Recto!$I$41,VLOOKUP($A92,Recto!$I$28:$L$44,4,FALSE),0)</f>
        <v>0</v>
      </c>
      <c r="P92" s="91">
        <f>IF($A92=Recto!$I$42,VLOOKUP($A92,Recto!$I$28:$L$44,4,FALSE),0)</f>
        <v>0</v>
      </c>
      <c r="Q92" s="91">
        <f>IF($A92=Recto!$I$43,VLOOKUP($A92,Recto!$I$28:$L$44,4,FALSE),0)</f>
        <v>0</v>
      </c>
      <c r="R92" s="91">
        <f>IF($A92=Recto!$I$44,VLOOKUP($A92,Recto!$I$28:$L$44,4,FALSE),0)</f>
        <v>0</v>
      </c>
      <c r="S92" s="295">
        <f t="shared" si="3"/>
        <v>0</v>
      </c>
    </row>
    <row r="93" spans="1:19" x14ac:dyDescent="0.25">
      <c r="A93" s="500" t="s">
        <v>1334</v>
      </c>
      <c r="B93" s="91">
        <f>IF($A93=Recto!$I$28,VLOOKUP($A93,Recto!$I$28:$L$44,4,FALSE),0)</f>
        <v>0</v>
      </c>
      <c r="C93" s="91">
        <f>IF($A93=Recto!$I$29,VLOOKUP($A93,Recto!$I$28:$L$44,4,FALSE),0)</f>
        <v>0</v>
      </c>
      <c r="D93" s="91">
        <f>IF($A93=Recto!$I$30,VLOOKUP($A93,Recto!$I$28:$L$44,4,FALSE),0)</f>
        <v>0</v>
      </c>
      <c r="E93" s="91">
        <f>IF($A93=Recto!$I$31,VLOOKUP($A93,Recto!$I$28:$L$44,4,FALSE),0)</f>
        <v>0</v>
      </c>
      <c r="F93" s="91">
        <f>IF($A93=Recto!$I$32,VLOOKUP($A93,Recto!$I$28:$L$44,4,FALSE),0)</f>
        <v>0</v>
      </c>
      <c r="G93" s="91">
        <f>IF($A93=Recto!$I$33,VLOOKUP($A93,Recto!$I$28:$L$44,4,FALSE),0)</f>
        <v>0</v>
      </c>
      <c r="H93" s="91">
        <f>IF($A93=Recto!$I$34,VLOOKUP($A93,Recto!$I$28:$L$44,4,FALSE),0)</f>
        <v>0</v>
      </c>
      <c r="I93" s="91">
        <f>IF($A93=Recto!$I$35,VLOOKUP($A93,Recto!$I$28:$L$44,4,FALSE),0)</f>
        <v>0</v>
      </c>
      <c r="J93" s="91">
        <f>IF($A93=Recto!$I$36,VLOOKUP($A93,Recto!$I$28:$L$44,4,FALSE),0)</f>
        <v>0</v>
      </c>
      <c r="K93" s="91">
        <f>IF($A93=Recto!$I$37,VLOOKUP($A93,Recto!$I$28:$L$44,4,FALSE),0)</f>
        <v>0</v>
      </c>
      <c r="L93" s="91">
        <f>IF($A93=Recto!$I$38,VLOOKUP($A93,Recto!$I$28:$L$44,4,FALSE),0)</f>
        <v>0</v>
      </c>
      <c r="M93" s="91">
        <f>IF($A93=Recto!$I$39,VLOOKUP($A93,Recto!$I$28:$L$44,4,FALSE),0)</f>
        <v>0</v>
      </c>
      <c r="N93" s="91">
        <f>IF($A93=Recto!$I$40,VLOOKUP($A93,Recto!$I$28:$L$44,4,FALSE),0)</f>
        <v>0</v>
      </c>
      <c r="O93" s="91">
        <f>IF($A93=Recto!$I$41,VLOOKUP($A93,Recto!$I$28:$L$44,4,FALSE),0)</f>
        <v>0</v>
      </c>
      <c r="P93" s="91">
        <f>IF($A93=Recto!$I$42,VLOOKUP($A93,Recto!$I$28:$L$44,4,FALSE),0)</f>
        <v>0</v>
      </c>
      <c r="Q93" s="91">
        <f>IF($A93=Recto!$I$43,VLOOKUP($A93,Recto!$I$28:$L$44,4,FALSE),0)</f>
        <v>0</v>
      </c>
      <c r="R93" s="91">
        <f>IF($A93=Recto!$I$44,VLOOKUP($A93,Recto!$I$28:$L$44,4,FALSE),0)</f>
        <v>0</v>
      </c>
      <c r="S93" s="295">
        <f t="shared" si="3"/>
        <v>0</v>
      </c>
    </row>
    <row r="94" spans="1:19" x14ac:dyDescent="0.25">
      <c r="A94" s="500" t="s">
        <v>1338</v>
      </c>
      <c r="B94" s="91">
        <f>IF($A94=Recto!$I$28,VLOOKUP($A94,Recto!$I$28:$L$44,4,FALSE),0)</f>
        <v>0</v>
      </c>
      <c r="C94" s="91">
        <f>IF($A94=Recto!$I$29,VLOOKUP($A94,Recto!$I$28:$L$44,4,FALSE),0)</f>
        <v>0</v>
      </c>
      <c r="D94" s="91">
        <f>IF($A94=Recto!$I$30,VLOOKUP($A94,Recto!$I$28:$L$44,4,FALSE),0)</f>
        <v>0</v>
      </c>
      <c r="E94" s="91">
        <f>IF($A94=Recto!$I$31,VLOOKUP($A94,Recto!$I$28:$L$44,4,FALSE),0)</f>
        <v>0</v>
      </c>
      <c r="F94" s="91">
        <f>IF($A94=Recto!$I$32,VLOOKUP($A94,Recto!$I$28:$L$44,4,FALSE),0)</f>
        <v>0</v>
      </c>
      <c r="G94" s="91">
        <f>IF($A94=Recto!$I$33,VLOOKUP($A94,Recto!$I$28:$L$44,4,FALSE),0)</f>
        <v>0</v>
      </c>
      <c r="H94" s="91">
        <f>IF($A94=Recto!$I$34,VLOOKUP($A94,Recto!$I$28:$L$44,4,FALSE),0)</f>
        <v>0</v>
      </c>
      <c r="I94" s="91">
        <f>IF($A94=Recto!$I$35,VLOOKUP($A94,Recto!$I$28:$L$44,4,FALSE),0)</f>
        <v>0</v>
      </c>
      <c r="J94" s="91">
        <f>IF($A94=Recto!$I$36,VLOOKUP($A94,Recto!$I$28:$L$44,4,FALSE),0)</f>
        <v>0</v>
      </c>
      <c r="K94" s="91">
        <f>IF($A94=Recto!$I$37,VLOOKUP($A94,Recto!$I$28:$L$44,4,FALSE),0)</f>
        <v>0</v>
      </c>
      <c r="L94" s="91">
        <f>IF($A94=Recto!$I$38,VLOOKUP($A94,Recto!$I$28:$L$44,4,FALSE),0)</f>
        <v>0</v>
      </c>
      <c r="M94" s="91">
        <f>IF($A94=Recto!$I$39,VLOOKUP($A94,Recto!$I$28:$L$44,4,FALSE),0)</f>
        <v>0</v>
      </c>
      <c r="N94" s="91">
        <f>IF($A94=Recto!$I$40,VLOOKUP($A94,Recto!$I$28:$L$44,4,FALSE),0)</f>
        <v>0</v>
      </c>
      <c r="O94" s="91">
        <f>IF($A94=Recto!$I$41,VLOOKUP($A94,Recto!$I$28:$L$44,4,FALSE),0)</f>
        <v>0</v>
      </c>
      <c r="P94" s="91">
        <f>IF($A94=Recto!$I$42,VLOOKUP($A94,Recto!$I$28:$L$44,4,FALSE),0)</f>
        <v>0</v>
      </c>
      <c r="Q94" s="91">
        <f>IF($A94=Recto!$I$43,VLOOKUP($A94,Recto!$I$28:$L$44,4,FALSE),0)</f>
        <v>0</v>
      </c>
      <c r="R94" s="91">
        <f>IF($A94=Recto!$I$44,VLOOKUP($A94,Recto!$I$28:$L$44,4,FALSE),0)</f>
        <v>0</v>
      </c>
      <c r="S94" s="295">
        <f t="shared" si="3"/>
        <v>0</v>
      </c>
    </row>
    <row r="95" spans="1:19" x14ac:dyDescent="0.25">
      <c r="A95" s="500" t="s">
        <v>1299</v>
      </c>
      <c r="B95" s="91">
        <f>IF($A95=Recto!$I$28,VLOOKUP($A95,Recto!$I$28:$L$44,4,FALSE),0)</f>
        <v>0</v>
      </c>
      <c r="C95" s="91">
        <f>IF($A95=Recto!$I$29,VLOOKUP($A95,Recto!$I$28:$L$44,4,FALSE),0)</f>
        <v>0</v>
      </c>
      <c r="D95" s="91">
        <f>IF($A95=Recto!$I$30,VLOOKUP($A95,Recto!$I$28:$L$44,4,FALSE),0)</f>
        <v>0</v>
      </c>
      <c r="E95" s="91">
        <f>IF($A95=Recto!$I$31,VLOOKUP($A95,Recto!$I$28:$L$44,4,FALSE),0)</f>
        <v>0</v>
      </c>
      <c r="F95" s="91">
        <f>IF($A95=Recto!$I$32,VLOOKUP($A95,Recto!$I$28:$L$44,4,FALSE),0)</f>
        <v>0</v>
      </c>
      <c r="G95" s="91">
        <f>IF($A95=Recto!$I$33,VLOOKUP($A95,Recto!$I$28:$L$44,4,FALSE),0)</f>
        <v>0</v>
      </c>
      <c r="H95" s="91">
        <f>IF($A95=Recto!$I$34,VLOOKUP($A95,Recto!$I$28:$L$44,4,FALSE),0)</f>
        <v>0</v>
      </c>
      <c r="I95" s="91">
        <f>IF($A95=Recto!$I$35,VLOOKUP($A95,Recto!$I$28:$L$44,4,FALSE),0)</f>
        <v>0</v>
      </c>
      <c r="J95" s="91">
        <f>IF($A95=Recto!$I$36,VLOOKUP($A95,Recto!$I$28:$L$44,4,FALSE),0)</f>
        <v>0</v>
      </c>
      <c r="K95" s="91">
        <f>IF($A95=Recto!$I$37,VLOOKUP($A95,Recto!$I$28:$L$44,4,FALSE),0)</f>
        <v>0</v>
      </c>
      <c r="L95" s="91">
        <f>IF($A95=Recto!$I$38,VLOOKUP($A95,Recto!$I$28:$L$44,4,FALSE),0)</f>
        <v>0</v>
      </c>
      <c r="M95" s="91">
        <f>IF($A95=Recto!$I$39,VLOOKUP($A95,Recto!$I$28:$L$44,4,FALSE),0)</f>
        <v>0</v>
      </c>
      <c r="N95" s="91">
        <f>IF($A95=Recto!$I$40,VLOOKUP($A95,Recto!$I$28:$L$44,4,FALSE),0)</f>
        <v>0</v>
      </c>
      <c r="O95" s="91">
        <f>IF($A95=Recto!$I$41,VLOOKUP($A95,Recto!$I$28:$L$44,4,FALSE),0)</f>
        <v>0</v>
      </c>
      <c r="P95" s="91">
        <f>IF($A95=Recto!$I$42,VLOOKUP($A95,Recto!$I$28:$L$44,4,FALSE),0)</f>
        <v>0</v>
      </c>
      <c r="Q95" s="91">
        <f>IF($A95=Recto!$I$43,VLOOKUP($A95,Recto!$I$28:$L$44,4,FALSE),0)</f>
        <v>0</v>
      </c>
      <c r="R95" s="91">
        <f>IF($A95=Recto!$I$44,VLOOKUP($A95,Recto!$I$28:$L$44,4,FALSE),0)</f>
        <v>0</v>
      </c>
      <c r="S95" s="295">
        <f t="shared" si="3"/>
        <v>0</v>
      </c>
    </row>
    <row r="96" spans="1:19" x14ac:dyDescent="0.25">
      <c r="A96" s="500" t="s">
        <v>1332</v>
      </c>
      <c r="B96" s="91">
        <f>IF($A96=Recto!$I$28,VLOOKUP($A96,Recto!$I$28:$L$44,4,FALSE),0)</f>
        <v>0</v>
      </c>
      <c r="C96" s="91">
        <f>IF($A96=Recto!$I$29,VLOOKUP($A96,Recto!$I$28:$L$44,4,FALSE),0)</f>
        <v>0</v>
      </c>
      <c r="D96" s="91">
        <f>IF($A96=Recto!$I$30,VLOOKUP($A96,Recto!$I$28:$L$44,4,FALSE),0)</f>
        <v>0</v>
      </c>
      <c r="E96" s="91">
        <f>IF($A96=Recto!$I$31,VLOOKUP($A96,Recto!$I$28:$L$44,4,FALSE),0)</f>
        <v>0</v>
      </c>
      <c r="F96" s="91">
        <f>IF($A96=Recto!$I$32,VLOOKUP($A96,Recto!$I$28:$L$44,4,FALSE),0)</f>
        <v>0</v>
      </c>
      <c r="G96" s="91">
        <f>IF($A96=Recto!$I$33,VLOOKUP($A96,Recto!$I$28:$L$44,4,FALSE),0)</f>
        <v>0</v>
      </c>
      <c r="H96" s="91">
        <f>IF($A96=Recto!$I$34,VLOOKUP($A96,Recto!$I$28:$L$44,4,FALSE),0)</f>
        <v>0</v>
      </c>
      <c r="I96" s="91">
        <f>IF($A96=Recto!$I$35,VLOOKUP($A96,Recto!$I$28:$L$44,4,FALSE),0)</f>
        <v>0</v>
      </c>
      <c r="J96" s="91">
        <f>IF($A96=Recto!$I$36,VLOOKUP($A96,Recto!$I$28:$L$44,4,FALSE),0)</f>
        <v>0</v>
      </c>
      <c r="K96" s="91">
        <f>IF($A96=Recto!$I$37,VLOOKUP($A96,Recto!$I$28:$L$44,4,FALSE),0)</f>
        <v>0</v>
      </c>
      <c r="L96" s="91">
        <f>IF($A96=Recto!$I$38,VLOOKUP($A96,Recto!$I$28:$L$44,4,FALSE),0)</f>
        <v>0</v>
      </c>
      <c r="M96" s="91">
        <f>IF($A96=Recto!$I$39,VLOOKUP($A96,Recto!$I$28:$L$44,4,FALSE),0)</f>
        <v>0</v>
      </c>
      <c r="N96" s="91">
        <f>IF($A96=Recto!$I$40,VLOOKUP($A96,Recto!$I$28:$L$44,4,FALSE),0)</f>
        <v>0</v>
      </c>
      <c r="O96" s="91">
        <f>IF($A96=Recto!$I$41,VLOOKUP($A96,Recto!$I$28:$L$44,4,FALSE),0)</f>
        <v>0</v>
      </c>
      <c r="P96" s="91">
        <f>IF($A96=Recto!$I$42,VLOOKUP($A96,Recto!$I$28:$L$44,4,FALSE),0)</f>
        <v>0</v>
      </c>
      <c r="Q96" s="91">
        <f>IF($A96=Recto!$I$43,VLOOKUP($A96,Recto!$I$28:$L$44,4,FALSE),0)</f>
        <v>0</v>
      </c>
      <c r="R96" s="91">
        <f>IF($A96=Recto!$I$44,VLOOKUP($A96,Recto!$I$28:$L$44,4,FALSE),0)</f>
        <v>0</v>
      </c>
      <c r="S96" s="295">
        <f t="shared" si="3"/>
        <v>0</v>
      </c>
    </row>
    <row r="97" spans="1:19" x14ac:dyDescent="0.25">
      <c r="A97" s="500" t="s">
        <v>1383</v>
      </c>
      <c r="B97" s="91">
        <f>IF($A97=Recto!$I$28,VLOOKUP($A97,Recto!$I$28:$L$44,4,FALSE),0)</f>
        <v>0</v>
      </c>
      <c r="C97" s="91">
        <f>IF($A97=Recto!$I$29,VLOOKUP($A97,Recto!$I$28:$L$44,4,FALSE),0)</f>
        <v>0</v>
      </c>
      <c r="D97" s="91">
        <f>IF($A97=Recto!$I$30,VLOOKUP($A97,Recto!$I$28:$L$44,4,FALSE),0)</f>
        <v>0</v>
      </c>
      <c r="E97" s="91">
        <f>IF($A97=Recto!$I$31,VLOOKUP($A97,Recto!$I$28:$L$44,4,FALSE),0)</f>
        <v>0</v>
      </c>
      <c r="F97" s="91">
        <f>IF($A97=Recto!$I$32,VLOOKUP($A97,Recto!$I$28:$L$44,4,FALSE),0)</f>
        <v>0</v>
      </c>
      <c r="G97" s="91">
        <f>IF($A97=Recto!$I$33,VLOOKUP($A97,Recto!$I$28:$L$44,4,FALSE),0)</f>
        <v>0</v>
      </c>
      <c r="H97" s="91">
        <f>IF($A97=Recto!$I$34,VLOOKUP($A97,Recto!$I$28:$L$44,4,FALSE),0)</f>
        <v>0</v>
      </c>
      <c r="I97" s="91">
        <f>IF($A97=Recto!$I$35,VLOOKUP($A97,Recto!$I$28:$L$44,4,FALSE),0)</f>
        <v>0</v>
      </c>
      <c r="J97" s="91">
        <f>IF($A97=Recto!$I$36,VLOOKUP($A97,Recto!$I$28:$L$44,4,FALSE),0)</f>
        <v>0</v>
      </c>
      <c r="K97" s="91">
        <f>IF($A97=Recto!$I$37,VLOOKUP($A97,Recto!$I$28:$L$44,4,FALSE),0)</f>
        <v>0</v>
      </c>
      <c r="L97" s="91">
        <f>IF($A97=Recto!$I$38,VLOOKUP($A97,Recto!$I$28:$L$44,4,FALSE),0)</f>
        <v>0</v>
      </c>
      <c r="M97" s="91">
        <f>IF($A97=Recto!$I$39,VLOOKUP($A97,Recto!$I$28:$L$44,4,FALSE),0)</f>
        <v>0</v>
      </c>
      <c r="N97" s="91">
        <f>IF($A97=Recto!$I$40,VLOOKUP($A97,Recto!$I$28:$L$44,4,FALSE),0)</f>
        <v>0</v>
      </c>
      <c r="O97" s="91">
        <f>IF($A97=Recto!$I$41,VLOOKUP($A97,Recto!$I$28:$L$44,4,FALSE),0)</f>
        <v>0</v>
      </c>
      <c r="P97" s="91">
        <f>IF($A97=Recto!$I$42,VLOOKUP($A97,Recto!$I$28:$L$44,4,FALSE),0)</f>
        <v>0</v>
      </c>
      <c r="Q97" s="91">
        <f>IF($A97=Recto!$I$43,VLOOKUP($A97,Recto!$I$28:$L$44,4,FALSE),0)</f>
        <v>0</v>
      </c>
      <c r="R97" s="91">
        <f>IF($A97=Recto!$I$44,VLOOKUP($A97,Recto!$I$28:$L$44,4,FALSE),0)</f>
        <v>0</v>
      </c>
      <c r="S97" s="295">
        <f t="shared" si="3"/>
        <v>0</v>
      </c>
    </row>
    <row r="98" spans="1:19" x14ac:dyDescent="0.25">
      <c r="A98" s="500" t="s">
        <v>1300</v>
      </c>
      <c r="B98" s="91">
        <f>IF($A98=Recto!$I$28,VLOOKUP($A98,Recto!$I$28:$L$44,4,FALSE),0)</f>
        <v>0</v>
      </c>
      <c r="C98" s="91">
        <f>IF($A98=Recto!$I$29,VLOOKUP($A98,Recto!$I$28:$L$44,4,FALSE),0)</f>
        <v>0</v>
      </c>
      <c r="D98" s="91">
        <f>IF($A98=Recto!$I$30,VLOOKUP($A98,Recto!$I$28:$L$44,4,FALSE),0)</f>
        <v>0</v>
      </c>
      <c r="E98" s="91">
        <f>IF($A98=Recto!$I$31,VLOOKUP($A98,Recto!$I$28:$L$44,4,FALSE),0)</f>
        <v>0</v>
      </c>
      <c r="F98" s="91">
        <f>IF($A98=Recto!$I$32,VLOOKUP($A98,Recto!$I$28:$L$44,4,FALSE),0)</f>
        <v>0</v>
      </c>
      <c r="G98" s="91">
        <f>IF($A98=Recto!$I$33,VLOOKUP($A98,Recto!$I$28:$L$44,4,FALSE),0)</f>
        <v>0</v>
      </c>
      <c r="H98" s="91">
        <f>IF($A98=Recto!$I$34,VLOOKUP($A98,Recto!$I$28:$L$44,4,FALSE),0)</f>
        <v>0</v>
      </c>
      <c r="I98" s="91">
        <f>IF($A98=Recto!$I$35,VLOOKUP($A98,Recto!$I$28:$L$44,4,FALSE),0)</f>
        <v>0</v>
      </c>
      <c r="J98" s="91">
        <f>IF($A98=Recto!$I$36,VLOOKUP($A98,Recto!$I$28:$L$44,4,FALSE),0)</f>
        <v>0</v>
      </c>
      <c r="K98" s="91">
        <f>IF($A98=Recto!$I$37,VLOOKUP($A98,Recto!$I$28:$L$44,4,FALSE),0)</f>
        <v>0</v>
      </c>
      <c r="L98" s="91">
        <f>IF($A98=Recto!$I$38,VLOOKUP($A98,Recto!$I$28:$L$44,4,FALSE),0)</f>
        <v>0</v>
      </c>
      <c r="M98" s="91">
        <f>IF($A98=Recto!$I$39,VLOOKUP($A98,Recto!$I$28:$L$44,4,FALSE),0)</f>
        <v>0</v>
      </c>
      <c r="N98" s="91">
        <f>IF($A98=Recto!$I$40,VLOOKUP($A98,Recto!$I$28:$L$44,4,FALSE),0)</f>
        <v>0</v>
      </c>
      <c r="O98" s="91">
        <f>IF($A98=Recto!$I$41,VLOOKUP($A98,Recto!$I$28:$L$44,4,FALSE),0)</f>
        <v>0</v>
      </c>
      <c r="P98" s="91">
        <f>IF($A98=Recto!$I$42,VLOOKUP($A98,Recto!$I$28:$L$44,4,FALSE),0)</f>
        <v>0</v>
      </c>
      <c r="Q98" s="91">
        <f>IF($A98=Recto!$I$43,VLOOKUP($A98,Recto!$I$28:$L$44,4,FALSE),0)</f>
        <v>0</v>
      </c>
      <c r="R98" s="91">
        <f>IF($A98=Recto!$I$44,VLOOKUP($A98,Recto!$I$28:$L$44,4,FALSE),0)</f>
        <v>0</v>
      </c>
      <c r="S98" s="295">
        <f t="shared" si="3"/>
        <v>0</v>
      </c>
    </row>
    <row r="99" spans="1:19" x14ac:dyDescent="0.25">
      <c r="A99" s="500" t="s">
        <v>3277</v>
      </c>
      <c r="B99" s="91">
        <f>IF($A99=Recto!$I$28,VLOOKUP($A99,Recto!$I$28:$L$44,4,FALSE),0)</f>
        <v>0</v>
      </c>
      <c r="C99" s="91">
        <f>IF($A99=Recto!$I$29,VLOOKUP($A99,Recto!$I$28:$L$44,4,FALSE),0)</f>
        <v>0</v>
      </c>
      <c r="D99" s="91">
        <f>IF($A99=Recto!$I$30,VLOOKUP($A99,Recto!$I$28:$L$44,4,FALSE),0)</f>
        <v>0</v>
      </c>
      <c r="E99" s="91">
        <f>IF($A99=Recto!$I$31,VLOOKUP($A99,Recto!$I$28:$L$44,4,FALSE),0)</f>
        <v>0</v>
      </c>
      <c r="F99" s="91">
        <f>IF($A99=Recto!$I$32,VLOOKUP($A99,Recto!$I$28:$L$44,4,FALSE),0)</f>
        <v>0</v>
      </c>
      <c r="G99" s="91">
        <f>IF($A99=Recto!$I$33,VLOOKUP($A99,Recto!$I$28:$L$44,4,FALSE),0)</f>
        <v>0</v>
      </c>
      <c r="H99" s="91">
        <f>IF($A99=Recto!$I$34,VLOOKUP($A99,Recto!$I$28:$L$44,4,FALSE),0)</f>
        <v>0</v>
      </c>
      <c r="I99" s="91">
        <f>IF($A99=Recto!$I$35,VLOOKUP($A99,Recto!$I$28:$L$44,4,FALSE),0)</f>
        <v>0</v>
      </c>
      <c r="J99" s="91">
        <f>IF($A99=Recto!$I$36,VLOOKUP($A99,Recto!$I$28:$L$44,4,FALSE),0)</f>
        <v>0</v>
      </c>
      <c r="K99" s="91">
        <f>IF($A99=Recto!$I$37,VLOOKUP($A99,Recto!$I$28:$L$44,4,FALSE),0)</f>
        <v>0</v>
      </c>
      <c r="L99" s="91">
        <f>IF($A99=Recto!$I$38,VLOOKUP($A99,Recto!$I$28:$L$44,4,FALSE),0)</f>
        <v>0</v>
      </c>
      <c r="M99" s="91">
        <f>IF($A99=Recto!$I$39,VLOOKUP($A99,Recto!$I$28:$L$44,4,FALSE),0)</f>
        <v>0</v>
      </c>
      <c r="N99" s="91">
        <f>IF($A99=Recto!$I$40,VLOOKUP($A99,Recto!$I$28:$L$44,4,FALSE),0)</f>
        <v>0</v>
      </c>
      <c r="O99" s="91">
        <f>IF($A99=Recto!$I$41,VLOOKUP($A99,Recto!$I$28:$L$44,4,FALSE),0)</f>
        <v>0</v>
      </c>
      <c r="P99" s="91">
        <f>IF($A99=Recto!$I$42,VLOOKUP($A99,Recto!$I$28:$L$44,4,FALSE),0)</f>
        <v>0</v>
      </c>
      <c r="Q99" s="91">
        <f>IF($A99=Recto!$I$43,VLOOKUP($A99,Recto!$I$28:$L$44,4,FALSE),0)</f>
        <v>0</v>
      </c>
      <c r="R99" s="91">
        <f>IF($A99=Recto!$I$44,VLOOKUP($A99,Recto!$I$28:$L$44,4,FALSE),0)</f>
        <v>0</v>
      </c>
      <c r="S99" s="295">
        <f t="shared" si="3"/>
        <v>0</v>
      </c>
    </row>
    <row r="100" spans="1:19" x14ac:dyDescent="0.25">
      <c r="A100" s="500" t="s">
        <v>5991</v>
      </c>
      <c r="B100" s="91">
        <f>IF($A100=Recto!$I$28,VLOOKUP($A100,Recto!$I$28:$L$44,4,FALSE),0)</f>
        <v>0</v>
      </c>
      <c r="C100" s="91">
        <f>IF($A100=Recto!$I$29,VLOOKUP($A100,Recto!$I$28:$L$44,4,FALSE),0)</f>
        <v>0</v>
      </c>
      <c r="D100" s="91">
        <f>IF($A100=Recto!$I$30,VLOOKUP($A100,Recto!$I$28:$L$44,4,FALSE),0)</f>
        <v>0</v>
      </c>
      <c r="E100" s="91">
        <f>IF($A100=Recto!$I$31,VLOOKUP($A100,Recto!$I$28:$L$44,4,FALSE),0)</f>
        <v>0</v>
      </c>
      <c r="F100" s="91">
        <f>IF($A100=Recto!$I$32,VLOOKUP($A100,Recto!$I$28:$L$44,4,FALSE),0)</f>
        <v>0</v>
      </c>
      <c r="G100" s="91">
        <f>IF($A100=Recto!$I$33,VLOOKUP($A100,Recto!$I$28:$L$44,4,FALSE),0)</f>
        <v>0</v>
      </c>
      <c r="H100" s="91">
        <f>IF($A100=Recto!$I$34,VLOOKUP($A100,Recto!$I$28:$L$44,4,FALSE),0)</f>
        <v>0</v>
      </c>
      <c r="I100" s="91">
        <f>IF($A100=Recto!$I$35,VLOOKUP($A100,Recto!$I$28:$L$44,4,FALSE),0)</f>
        <v>0</v>
      </c>
      <c r="J100" s="91">
        <f>IF($A100=Recto!$I$36,VLOOKUP($A100,Recto!$I$28:$L$44,4,FALSE),0)</f>
        <v>0</v>
      </c>
      <c r="K100" s="91">
        <f>IF($A100=Recto!$I$37,VLOOKUP($A100,Recto!$I$28:$L$44,4,FALSE),0)</f>
        <v>0</v>
      </c>
      <c r="L100" s="91">
        <f>IF($A100=Recto!$I$38,VLOOKUP($A100,Recto!$I$28:$L$44,4,FALSE),0)</f>
        <v>0</v>
      </c>
      <c r="M100" s="91">
        <f>IF($A100=Recto!$I$39,VLOOKUP($A100,Recto!$I$28:$L$44,4,FALSE),0)</f>
        <v>0</v>
      </c>
      <c r="N100" s="91">
        <f>IF($A100=Recto!$I$40,VLOOKUP($A100,Recto!$I$28:$L$44,4,FALSE),0)</f>
        <v>0</v>
      </c>
      <c r="O100" s="91">
        <f>IF($A100=Recto!$I$41,VLOOKUP($A100,Recto!$I$28:$L$44,4,FALSE),0)</f>
        <v>0</v>
      </c>
      <c r="P100" s="91">
        <f>IF($A100=Recto!$I$42,VLOOKUP($A100,Recto!$I$28:$L$44,4,FALSE),0)</f>
        <v>0</v>
      </c>
      <c r="Q100" s="91">
        <f>IF($A100=Recto!$I$43,VLOOKUP($A100,Recto!$I$28:$L$44,4,FALSE),0)</f>
        <v>0</v>
      </c>
      <c r="R100" s="91">
        <f>IF($A100=Recto!$I$44,VLOOKUP($A100,Recto!$I$28:$L$44,4,FALSE),0)</f>
        <v>0</v>
      </c>
      <c r="S100" s="295">
        <f t="shared" si="3"/>
        <v>0</v>
      </c>
    </row>
    <row r="101" spans="1:19" x14ac:dyDescent="0.25">
      <c r="A101" s="500" t="s">
        <v>175</v>
      </c>
      <c r="B101" s="91">
        <f>IF($A101=Recto!$I$28,VLOOKUP($A101,Recto!$I$28:$L$44,4,FALSE),0)</f>
        <v>0</v>
      </c>
      <c r="C101" s="91">
        <f>IF($A101=Recto!$I$29,VLOOKUP($A101,Recto!$I$28:$L$44,4,FALSE),0)</f>
        <v>0</v>
      </c>
      <c r="D101" s="91">
        <f>IF($A101=Recto!$I$30,VLOOKUP($A101,Recto!$I$28:$L$44,4,FALSE),0)</f>
        <v>0</v>
      </c>
      <c r="E101" s="91">
        <f>IF($A101=Recto!$I$31,VLOOKUP($A101,Recto!$I$28:$L$44,4,FALSE),0)</f>
        <v>0</v>
      </c>
      <c r="F101" s="91">
        <f>IF($A101=Recto!$I$32,VLOOKUP($A101,Recto!$I$28:$L$44,4,FALSE),0)</f>
        <v>0</v>
      </c>
      <c r="G101" s="91">
        <f>IF($A101=Recto!$I$33,VLOOKUP($A101,Recto!$I$28:$L$44,4,FALSE),0)</f>
        <v>0</v>
      </c>
      <c r="H101" s="91">
        <f>IF($A101=Recto!$I$34,VLOOKUP($A101,Recto!$I$28:$L$44,4,FALSE),0)</f>
        <v>0</v>
      </c>
      <c r="I101" s="91">
        <f>IF($A101=Recto!$I$35,VLOOKUP($A101,Recto!$I$28:$L$44,4,FALSE),0)</f>
        <v>0</v>
      </c>
      <c r="J101" s="91">
        <f>IF($A101=Recto!$I$36,VLOOKUP($A101,Recto!$I$28:$L$44,4,FALSE),0)</f>
        <v>0</v>
      </c>
      <c r="K101" s="91">
        <f>IF($A101=Recto!$I$37,VLOOKUP($A101,Recto!$I$28:$L$44,4,FALSE),0)</f>
        <v>0</v>
      </c>
      <c r="L101" s="91">
        <f>IF($A101=Recto!$I$38,VLOOKUP($A101,Recto!$I$28:$L$44,4,FALSE),0)</f>
        <v>0</v>
      </c>
      <c r="M101" s="91">
        <f>IF($A101=Recto!$I$39,VLOOKUP($A101,Recto!$I$28:$L$44,4,FALSE),0)</f>
        <v>0</v>
      </c>
      <c r="N101" s="91">
        <f>IF($A101=Recto!$I$40,VLOOKUP($A101,Recto!$I$28:$L$44,4,FALSE),0)</f>
        <v>0</v>
      </c>
      <c r="O101" s="91">
        <f>IF($A101=Recto!$I$41,VLOOKUP($A101,Recto!$I$28:$L$44,4,FALSE),0)</f>
        <v>0</v>
      </c>
      <c r="P101" s="91">
        <f>IF($A101=Recto!$I$42,VLOOKUP($A101,Recto!$I$28:$L$44,4,FALSE),0)</f>
        <v>0</v>
      </c>
      <c r="Q101" s="91">
        <f>IF($A101=Recto!$I$43,VLOOKUP($A101,Recto!$I$28:$L$44,4,FALSE),0)</f>
        <v>0</v>
      </c>
      <c r="R101" s="91">
        <f>IF($A101=Recto!$I$44,VLOOKUP($A101,Recto!$I$28:$L$44,4,FALSE),0)</f>
        <v>0</v>
      </c>
      <c r="S101" s="295">
        <f t="shared" si="3"/>
        <v>0</v>
      </c>
    </row>
    <row r="102" spans="1:19" x14ac:dyDescent="0.25">
      <c r="A102" s="500" t="s">
        <v>4575</v>
      </c>
      <c r="B102" s="91">
        <f>IF($A102=Recto!$I$28,VLOOKUP($A102,Recto!$I$28:$L$44,4,FALSE),0)</f>
        <v>0</v>
      </c>
      <c r="C102" s="91">
        <f>IF($A102=Recto!$I$29,VLOOKUP($A102,Recto!$I$28:$L$44,4,FALSE),0)</f>
        <v>0</v>
      </c>
      <c r="D102" s="91">
        <f>IF($A102=Recto!$I$30,VLOOKUP($A102,Recto!$I$28:$L$44,4,FALSE),0)</f>
        <v>0</v>
      </c>
      <c r="E102" s="91">
        <f>IF($A102=Recto!$I$31,VLOOKUP($A102,Recto!$I$28:$L$44,4,FALSE),0)</f>
        <v>0</v>
      </c>
      <c r="F102" s="91">
        <f>IF($A102=Recto!$I$32,VLOOKUP($A102,Recto!$I$28:$L$44,4,FALSE),0)</f>
        <v>0</v>
      </c>
      <c r="G102" s="91">
        <f>IF($A102=Recto!$I$33,VLOOKUP($A102,Recto!$I$28:$L$44,4,FALSE),0)</f>
        <v>0</v>
      </c>
      <c r="H102" s="91">
        <f>IF($A102=Recto!$I$34,VLOOKUP($A102,Recto!$I$28:$L$44,4,FALSE),0)</f>
        <v>0</v>
      </c>
      <c r="I102" s="91">
        <f>IF($A102=Recto!$I$35,VLOOKUP($A102,Recto!$I$28:$L$44,4,FALSE),0)</f>
        <v>0</v>
      </c>
      <c r="J102" s="91">
        <f>IF($A102=Recto!$I$36,VLOOKUP($A102,Recto!$I$28:$L$44,4,FALSE),0)</f>
        <v>0</v>
      </c>
      <c r="K102" s="91">
        <f>IF($A102=Recto!$I$37,VLOOKUP($A102,Recto!$I$28:$L$44,4,FALSE),0)</f>
        <v>0</v>
      </c>
      <c r="L102" s="91">
        <f>IF($A102=Recto!$I$38,VLOOKUP($A102,Recto!$I$28:$L$44,4,FALSE),0)</f>
        <v>0</v>
      </c>
      <c r="M102" s="91">
        <f>IF($A102=Recto!$I$39,VLOOKUP($A102,Recto!$I$28:$L$44,4,FALSE),0)</f>
        <v>0</v>
      </c>
      <c r="N102" s="91">
        <f>IF($A102=Recto!$I$40,VLOOKUP($A102,Recto!$I$28:$L$44,4,FALSE),0)</f>
        <v>0</v>
      </c>
      <c r="O102" s="91">
        <f>IF($A102=Recto!$I$41,VLOOKUP($A102,Recto!$I$28:$L$44,4,FALSE),0)</f>
        <v>0</v>
      </c>
      <c r="P102" s="91">
        <f>IF($A102=Recto!$I$42,VLOOKUP($A102,Recto!$I$28:$L$44,4,FALSE),0)</f>
        <v>0</v>
      </c>
      <c r="Q102" s="91">
        <f>IF($A102=Recto!$I$43,VLOOKUP($A102,Recto!$I$28:$L$44,4,FALSE),0)</f>
        <v>0</v>
      </c>
      <c r="R102" s="91">
        <f>IF($A102=Recto!$I$44,VLOOKUP($A102,Recto!$I$28:$L$44,4,FALSE),0)</f>
        <v>0</v>
      </c>
      <c r="S102" s="295">
        <f t="shared" si="3"/>
        <v>0</v>
      </c>
    </row>
    <row r="103" spans="1:19" x14ac:dyDescent="0.25">
      <c r="A103" s="500" t="s">
        <v>3278</v>
      </c>
      <c r="B103" s="91">
        <f>IF($A103=Recto!$I$28,VLOOKUP($A103,Recto!$I$28:$L$44,4,FALSE),0)</f>
        <v>0</v>
      </c>
      <c r="C103" s="91">
        <f>IF($A103=Recto!$I$29,VLOOKUP($A103,Recto!$I$28:$L$44,4,FALSE),0)</f>
        <v>0</v>
      </c>
      <c r="D103" s="91">
        <f>IF($A103=Recto!$I$30,VLOOKUP($A103,Recto!$I$28:$L$44,4,FALSE),0)</f>
        <v>0</v>
      </c>
      <c r="E103" s="91">
        <f>IF($A103=Recto!$I$31,VLOOKUP($A103,Recto!$I$28:$L$44,4,FALSE),0)</f>
        <v>0</v>
      </c>
      <c r="F103" s="91">
        <f>IF($A103=Recto!$I$32,VLOOKUP($A103,Recto!$I$28:$L$44,4,FALSE),0)</f>
        <v>0</v>
      </c>
      <c r="G103" s="91">
        <f>IF($A103=Recto!$I$33,VLOOKUP($A103,Recto!$I$28:$L$44,4,FALSE),0)</f>
        <v>0</v>
      </c>
      <c r="H103" s="91">
        <f>IF($A103=Recto!$I$34,VLOOKUP($A103,Recto!$I$28:$L$44,4,FALSE),0)</f>
        <v>0</v>
      </c>
      <c r="I103" s="91">
        <f>IF($A103=Recto!$I$35,VLOOKUP($A103,Recto!$I$28:$L$44,4,FALSE),0)</f>
        <v>0</v>
      </c>
      <c r="J103" s="91">
        <f>IF($A103=Recto!$I$36,VLOOKUP($A103,Recto!$I$28:$L$44,4,FALSE),0)</f>
        <v>0</v>
      </c>
      <c r="K103" s="91">
        <f>IF($A103=Recto!$I$37,VLOOKUP($A103,Recto!$I$28:$L$44,4,FALSE),0)</f>
        <v>0</v>
      </c>
      <c r="L103" s="91">
        <f>IF($A103=Recto!$I$38,VLOOKUP($A103,Recto!$I$28:$L$44,4,FALSE),0)</f>
        <v>0</v>
      </c>
      <c r="M103" s="91">
        <f>IF($A103=Recto!$I$39,VLOOKUP($A103,Recto!$I$28:$L$44,4,FALSE),0)</f>
        <v>0</v>
      </c>
      <c r="N103" s="91">
        <f>IF($A103=Recto!$I$40,VLOOKUP($A103,Recto!$I$28:$L$44,4,FALSE),0)</f>
        <v>0</v>
      </c>
      <c r="O103" s="91">
        <f>IF($A103=Recto!$I$41,VLOOKUP($A103,Recto!$I$28:$L$44,4,FALSE),0)</f>
        <v>0</v>
      </c>
      <c r="P103" s="91">
        <f>IF($A103=Recto!$I$42,VLOOKUP($A103,Recto!$I$28:$L$44,4,FALSE),0)</f>
        <v>0</v>
      </c>
      <c r="Q103" s="91">
        <f>IF($A103=Recto!$I$43,VLOOKUP($A103,Recto!$I$28:$L$44,4,FALSE),0)</f>
        <v>0</v>
      </c>
      <c r="R103" s="91">
        <f>IF($A103=Recto!$I$44,VLOOKUP($A103,Recto!$I$28:$L$44,4,FALSE),0)</f>
        <v>0</v>
      </c>
      <c r="S103" s="295">
        <f t="shared" si="3"/>
        <v>0</v>
      </c>
    </row>
    <row r="104" spans="1:19" x14ac:dyDescent="0.25">
      <c r="A104" s="500" t="s">
        <v>1312</v>
      </c>
      <c r="B104" s="91">
        <f>IF($A104=Recto!$I$28,VLOOKUP($A104,Recto!$I$28:$L$44,4,FALSE),0)</f>
        <v>0</v>
      </c>
      <c r="C104" s="91">
        <f>IF($A104=Recto!$I$29,VLOOKUP($A104,Recto!$I$28:$L$44,4,FALSE),0)</f>
        <v>0</v>
      </c>
      <c r="D104" s="91">
        <f>IF($A104=Recto!$I$30,VLOOKUP($A104,Recto!$I$28:$L$44,4,FALSE),0)</f>
        <v>0</v>
      </c>
      <c r="E104" s="91">
        <f>IF($A104=Recto!$I$31,VLOOKUP($A104,Recto!$I$28:$L$44,4,FALSE),0)</f>
        <v>0</v>
      </c>
      <c r="F104" s="91">
        <f>IF($A104=Recto!$I$32,VLOOKUP($A104,Recto!$I$28:$L$44,4,FALSE),0)</f>
        <v>0</v>
      </c>
      <c r="G104" s="91">
        <f>IF($A104=Recto!$I$33,VLOOKUP($A104,Recto!$I$28:$L$44,4,FALSE),0)</f>
        <v>0</v>
      </c>
      <c r="H104" s="91">
        <f>IF($A104=Recto!$I$34,VLOOKUP($A104,Recto!$I$28:$L$44,4,FALSE),0)</f>
        <v>0</v>
      </c>
      <c r="I104" s="91">
        <f>IF($A104=Recto!$I$35,VLOOKUP($A104,Recto!$I$28:$L$44,4,FALSE),0)</f>
        <v>0</v>
      </c>
      <c r="J104" s="91">
        <f>IF($A104=Recto!$I$36,VLOOKUP($A104,Recto!$I$28:$L$44,4,FALSE),0)</f>
        <v>0</v>
      </c>
      <c r="K104" s="91">
        <f>IF($A104=Recto!$I$37,VLOOKUP($A104,Recto!$I$28:$L$44,4,FALSE),0)</f>
        <v>0</v>
      </c>
      <c r="L104" s="91">
        <f>IF($A104=Recto!$I$38,VLOOKUP($A104,Recto!$I$28:$L$44,4,FALSE),0)</f>
        <v>0</v>
      </c>
      <c r="M104" s="91">
        <f>IF($A104=Recto!$I$39,VLOOKUP($A104,Recto!$I$28:$L$44,4,FALSE),0)</f>
        <v>0</v>
      </c>
      <c r="N104" s="91">
        <f>IF($A104=Recto!$I$40,VLOOKUP($A104,Recto!$I$28:$L$44,4,FALSE),0)</f>
        <v>0</v>
      </c>
      <c r="O104" s="91">
        <f>IF($A104=Recto!$I$41,VLOOKUP($A104,Recto!$I$28:$L$44,4,FALSE),0)</f>
        <v>0</v>
      </c>
      <c r="P104" s="91">
        <f>IF($A104=Recto!$I$42,VLOOKUP($A104,Recto!$I$28:$L$44,4,FALSE),0)</f>
        <v>0</v>
      </c>
      <c r="Q104" s="91">
        <f>IF($A104=Recto!$I$43,VLOOKUP($A104,Recto!$I$28:$L$44,4,FALSE),0)</f>
        <v>0</v>
      </c>
      <c r="R104" s="91">
        <f>IF($A104=Recto!$I$44,VLOOKUP($A104,Recto!$I$28:$L$44,4,FALSE),0)</f>
        <v>0</v>
      </c>
      <c r="S104" s="295">
        <f t="shared" si="3"/>
        <v>0</v>
      </c>
    </row>
    <row r="105" spans="1:19" x14ac:dyDescent="0.25">
      <c r="A105" s="500" t="s">
        <v>1355</v>
      </c>
      <c r="B105" s="91">
        <f>IF($A105=Recto!$I$28,VLOOKUP($A105,Recto!$I$28:$L$44,4,FALSE),0)</f>
        <v>0</v>
      </c>
      <c r="C105" s="91">
        <f>IF($A105=Recto!$I$29,VLOOKUP($A105,Recto!$I$28:$L$44,4,FALSE),0)</f>
        <v>0</v>
      </c>
      <c r="D105" s="91">
        <f>IF($A105=Recto!$I$30,VLOOKUP($A105,Recto!$I$28:$L$44,4,FALSE),0)</f>
        <v>0</v>
      </c>
      <c r="E105" s="91">
        <f>IF($A105=Recto!$I$31,VLOOKUP($A105,Recto!$I$28:$L$44,4,FALSE),0)</f>
        <v>0</v>
      </c>
      <c r="F105" s="91">
        <f>IF($A105=Recto!$I$32,VLOOKUP($A105,Recto!$I$28:$L$44,4,FALSE),0)</f>
        <v>0</v>
      </c>
      <c r="G105" s="91">
        <f>IF($A105=Recto!$I$33,VLOOKUP($A105,Recto!$I$28:$L$44,4,FALSE),0)</f>
        <v>0</v>
      </c>
      <c r="H105" s="91">
        <f>IF($A105=Recto!$I$34,VLOOKUP($A105,Recto!$I$28:$L$44,4,FALSE),0)</f>
        <v>0</v>
      </c>
      <c r="I105" s="91">
        <f>IF($A105=Recto!$I$35,VLOOKUP($A105,Recto!$I$28:$L$44,4,FALSE),0)</f>
        <v>0</v>
      </c>
      <c r="J105" s="91">
        <f>IF($A105=Recto!$I$36,VLOOKUP($A105,Recto!$I$28:$L$44,4,FALSE),0)</f>
        <v>0</v>
      </c>
      <c r="K105" s="91">
        <f>IF($A105=Recto!$I$37,VLOOKUP($A105,Recto!$I$28:$L$44,4,FALSE),0)</f>
        <v>0</v>
      </c>
      <c r="L105" s="91">
        <f>IF($A105=Recto!$I$38,VLOOKUP($A105,Recto!$I$28:$L$44,4,FALSE),0)</f>
        <v>0</v>
      </c>
      <c r="M105" s="91">
        <f>IF($A105=Recto!$I$39,VLOOKUP($A105,Recto!$I$28:$L$44,4,FALSE),0)</f>
        <v>0</v>
      </c>
      <c r="N105" s="91">
        <f>IF($A105=Recto!$I$40,VLOOKUP($A105,Recto!$I$28:$L$44,4,FALSE),0)</f>
        <v>0</v>
      </c>
      <c r="O105" s="91">
        <f>IF($A105=Recto!$I$41,VLOOKUP($A105,Recto!$I$28:$L$44,4,FALSE),0)</f>
        <v>0</v>
      </c>
      <c r="P105" s="91">
        <f>IF($A105=Recto!$I$42,VLOOKUP($A105,Recto!$I$28:$L$44,4,FALSE),0)</f>
        <v>0</v>
      </c>
      <c r="Q105" s="91">
        <f>IF($A105=Recto!$I$43,VLOOKUP($A105,Recto!$I$28:$L$44,4,FALSE),0)</f>
        <v>0</v>
      </c>
      <c r="R105" s="91">
        <f>IF($A105=Recto!$I$44,VLOOKUP($A105,Recto!$I$28:$L$44,4,FALSE),0)</f>
        <v>0</v>
      </c>
      <c r="S105" s="295">
        <f t="shared" si="3"/>
        <v>0</v>
      </c>
    </row>
    <row r="106" spans="1:19" x14ac:dyDescent="0.25">
      <c r="A106" s="500" t="s">
        <v>3263</v>
      </c>
      <c r="B106" s="91">
        <f>IF($A106=Recto!$I$28,VLOOKUP($A106,Recto!$I$28:$L$44,4,FALSE),0)</f>
        <v>0</v>
      </c>
      <c r="C106" s="91">
        <f>IF($A106=Recto!$I$29,VLOOKUP($A106,Recto!$I$28:$L$44,4,FALSE),0)</f>
        <v>0</v>
      </c>
      <c r="D106" s="91">
        <f>IF($A106=Recto!$I$30,VLOOKUP($A106,Recto!$I$28:$L$44,4,FALSE),0)</f>
        <v>0</v>
      </c>
      <c r="E106" s="91">
        <f>IF($A106=Recto!$I$31,VLOOKUP($A106,Recto!$I$28:$L$44,4,FALSE),0)</f>
        <v>0</v>
      </c>
      <c r="F106" s="91">
        <f>IF($A106=Recto!$I$32,VLOOKUP($A106,Recto!$I$28:$L$44,4,FALSE),0)</f>
        <v>0</v>
      </c>
      <c r="G106" s="91">
        <f>IF($A106=Recto!$I$33,VLOOKUP($A106,Recto!$I$28:$L$44,4,FALSE),0)</f>
        <v>0</v>
      </c>
      <c r="H106" s="91">
        <f>IF($A106=Recto!$I$34,VLOOKUP($A106,Recto!$I$28:$L$44,4,FALSE),0)</f>
        <v>0</v>
      </c>
      <c r="I106" s="91">
        <f>IF($A106=Recto!$I$35,VLOOKUP($A106,Recto!$I$28:$L$44,4,FALSE),0)</f>
        <v>0</v>
      </c>
      <c r="J106" s="91">
        <f>IF($A106=Recto!$I$36,VLOOKUP($A106,Recto!$I$28:$L$44,4,FALSE),0)</f>
        <v>0</v>
      </c>
      <c r="K106" s="91">
        <f>IF($A106=Recto!$I$37,VLOOKUP($A106,Recto!$I$28:$L$44,4,FALSE),0)</f>
        <v>0</v>
      </c>
      <c r="L106" s="91">
        <f>IF($A106=Recto!$I$38,VLOOKUP($A106,Recto!$I$28:$L$44,4,FALSE),0)</f>
        <v>0</v>
      </c>
      <c r="M106" s="91">
        <f>IF($A106=Recto!$I$39,VLOOKUP($A106,Recto!$I$28:$L$44,4,FALSE),0)</f>
        <v>0</v>
      </c>
      <c r="N106" s="91">
        <f>IF($A106=Recto!$I$40,VLOOKUP($A106,Recto!$I$28:$L$44,4,FALSE),0)</f>
        <v>0</v>
      </c>
      <c r="O106" s="91">
        <f>IF($A106=Recto!$I$41,VLOOKUP($A106,Recto!$I$28:$L$44,4,FALSE),0)</f>
        <v>0</v>
      </c>
      <c r="P106" s="91">
        <f>IF($A106=Recto!$I$42,VLOOKUP($A106,Recto!$I$28:$L$44,4,FALSE),0)</f>
        <v>0</v>
      </c>
      <c r="Q106" s="91">
        <f>IF($A106=Recto!$I$43,VLOOKUP($A106,Recto!$I$28:$L$44,4,FALSE),0)</f>
        <v>0</v>
      </c>
      <c r="R106" s="91">
        <f>IF($A106=Recto!$I$44,VLOOKUP($A106,Recto!$I$28:$L$44,4,FALSE),0)</f>
        <v>0</v>
      </c>
      <c r="S106" s="295">
        <f t="shared" si="3"/>
        <v>0</v>
      </c>
    </row>
    <row r="107" spans="1:19" x14ac:dyDescent="0.25">
      <c r="A107" s="500" t="s">
        <v>3264</v>
      </c>
      <c r="B107" s="91">
        <f>IF($A107=Recto!$I$28,VLOOKUP($A107,Recto!$I$28:$L$44,4,FALSE),0)</f>
        <v>0</v>
      </c>
      <c r="C107" s="91">
        <f>IF($A107=Recto!$I$29,VLOOKUP($A107,Recto!$I$28:$L$44,4,FALSE),0)</f>
        <v>0</v>
      </c>
      <c r="D107" s="91">
        <f>IF($A107=Recto!$I$30,VLOOKUP($A107,Recto!$I$28:$L$44,4,FALSE),0)</f>
        <v>0</v>
      </c>
      <c r="E107" s="91">
        <f>IF($A107=Recto!$I$31,VLOOKUP($A107,Recto!$I$28:$L$44,4,FALSE),0)</f>
        <v>0</v>
      </c>
      <c r="F107" s="91">
        <f>IF($A107=Recto!$I$32,VLOOKUP($A107,Recto!$I$28:$L$44,4,FALSE),0)</f>
        <v>0</v>
      </c>
      <c r="G107" s="91">
        <f>IF($A107=Recto!$I$33,VLOOKUP($A107,Recto!$I$28:$L$44,4,FALSE),0)</f>
        <v>0</v>
      </c>
      <c r="H107" s="91">
        <f>IF($A107=Recto!$I$34,VLOOKUP($A107,Recto!$I$28:$L$44,4,FALSE),0)</f>
        <v>0</v>
      </c>
      <c r="I107" s="91">
        <f>IF($A107=Recto!$I$35,VLOOKUP($A107,Recto!$I$28:$L$44,4,FALSE),0)</f>
        <v>0</v>
      </c>
      <c r="J107" s="91">
        <f>IF($A107=Recto!$I$36,VLOOKUP($A107,Recto!$I$28:$L$44,4,FALSE),0)</f>
        <v>0</v>
      </c>
      <c r="K107" s="91">
        <f>IF($A107=Recto!$I$37,VLOOKUP($A107,Recto!$I$28:$L$44,4,FALSE),0)</f>
        <v>0</v>
      </c>
      <c r="L107" s="91">
        <f>IF($A107=Recto!$I$38,VLOOKUP($A107,Recto!$I$28:$L$44,4,FALSE),0)</f>
        <v>0</v>
      </c>
      <c r="M107" s="91">
        <f>IF($A107=Recto!$I$39,VLOOKUP($A107,Recto!$I$28:$L$44,4,FALSE),0)</f>
        <v>0</v>
      </c>
      <c r="N107" s="91">
        <f>IF($A107=Recto!$I$40,VLOOKUP($A107,Recto!$I$28:$L$44,4,FALSE),0)</f>
        <v>0</v>
      </c>
      <c r="O107" s="91">
        <f>IF($A107=Recto!$I$41,VLOOKUP($A107,Recto!$I$28:$L$44,4,FALSE),0)</f>
        <v>0</v>
      </c>
      <c r="P107" s="91">
        <f>IF($A107=Recto!$I$42,VLOOKUP($A107,Recto!$I$28:$L$44,4,FALSE),0)</f>
        <v>0</v>
      </c>
      <c r="Q107" s="91">
        <f>IF($A107=Recto!$I$43,VLOOKUP($A107,Recto!$I$28:$L$44,4,FALSE),0)</f>
        <v>0</v>
      </c>
      <c r="R107" s="91">
        <f>IF($A107=Recto!$I$44,VLOOKUP($A107,Recto!$I$28:$L$44,4,FALSE),0)</f>
        <v>0</v>
      </c>
      <c r="S107" s="295">
        <f t="shared" si="3"/>
        <v>0</v>
      </c>
    </row>
    <row r="108" spans="1:19" x14ac:dyDescent="0.25">
      <c r="A108" s="500" t="s">
        <v>228</v>
      </c>
      <c r="B108" s="91">
        <f>IF($A108=Recto!$I$28,VLOOKUP($A108,Recto!$I$28:$L$44,4,FALSE),0)</f>
        <v>0</v>
      </c>
      <c r="C108" s="91">
        <f>IF($A108=Recto!$I$29,VLOOKUP($A108,Recto!$I$28:$L$44,4,FALSE),0)</f>
        <v>0</v>
      </c>
      <c r="D108" s="91">
        <f>IF($A108=Recto!$I$30,VLOOKUP($A108,Recto!$I$28:$L$44,4,FALSE),0)</f>
        <v>0</v>
      </c>
      <c r="E108" s="91">
        <f>IF($A108=Recto!$I$31,VLOOKUP($A108,Recto!$I$28:$L$44,4,FALSE),0)</f>
        <v>0</v>
      </c>
      <c r="F108" s="91">
        <f>IF($A108=Recto!$I$32,VLOOKUP($A108,Recto!$I$28:$L$44,4,FALSE),0)</f>
        <v>0</v>
      </c>
      <c r="G108" s="91">
        <f>IF($A108=Recto!$I$33,VLOOKUP($A108,Recto!$I$28:$L$44,4,FALSE),0)</f>
        <v>0</v>
      </c>
      <c r="H108" s="91">
        <f>IF($A108=Recto!$I$34,VLOOKUP($A108,Recto!$I$28:$L$44,4,FALSE),0)</f>
        <v>0</v>
      </c>
      <c r="I108" s="91">
        <f>IF($A108=Recto!$I$35,VLOOKUP($A108,Recto!$I$28:$L$44,4,FALSE),0)</f>
        <v>0</v>
      </c>
      <c r="J108" s="91">
        <f>IF($A108=Recto!$I$36,VLOOKUP($A108,Recto!$I$28:$L$44,4,FALSE),0)</f>
        <v>0</v>
      </c>
      <c r="K108" s="91">
        <f>IF($A108=Recto!$I$37,VLOOKUP($A108,Recto!$I$28:$L$44,4,FALSE),0)</f>
        <v>0</v>
      </c>
      <c r="L108" s="91">
        <f>IF($A108=Recto!$I$38,VLOOKUP($A108,Recto!$I$28:$L$44,4,FALSE),0)</f>
        <v>0</v>
      </c>
      <c r="M108" s="91">
        <f>IF($A108=Recto!$I$39,VLOOKUP($A108,Recto!$I$28:$L$44,4,FALSE),0)</f>
        <v>0</v>
      </c>
      <c r="N108" s="91">
        <f>IF($A108=Recto!$I$40,VLOOKUP($A108,Recto!$I$28:$L$44,4,FALSE),0)</f>
        <v>0</v>
      </c>
      <c r="O108" s="91">
        <f>IF($A108=Recto!$I$41,VLOOKUP($A108,Recto!$I$28:$L$44,4,FALSE),0)</f>
        <v>0</v>
      </c>
      <c r="P108" s="91">
        <f>IF($A108=Recto!$I$42,VLOOKUP($A108,Recto!$I$28:$L$44,4,FALSE),0)</f>
        <v>0</v>
      </c>
      <c r="Q108" s="91">
        <f>IF($A108=Recto!$I$43,VLOOKUP($A108,Recto!$I$28:$L$44,4,FALSE),0)</f>
        <v>0</v>
      </c>
      <c r="R108" s="91">
        <f>IF($A108=Recto!$I$44,VLOOKUP($A108,Recto!$I$28:$L$44,4,FALSE),0)</f>
        <v>0</v>
      </c>
      <c r="S108" s="295">
        <f t="shared" si="3"/>
        <v>0</v>
      </c>
    </row>
    <row r="109" spans="1:19" s="196" customFormat="1" x14ac:dyDescent="0.25">
      <c r="A109" s="500" t="s">
        <v>7430</v>
      </c>
      <c r="B109" s="91">
        <f>IF($A109=Recto!$I$28,VLOOKUP($A109,Recto!$I$28:$L$44,4,FALSE),0)</f>
        <v>0</v>
      </c>
      <c r="C109" s="91">
        <f>IF($A109=Recto!$I$29,VLOOKUP($A109,Recto!$I$28:$L$44,4,FALSE),0)</f>
        <v>0</v>
      </c>
      <c r="D109" s="91">
        <f>IF($A109=Recto!$I$30,VLOOKUP($A109,Recto!$I$28:$L$44,4,FALSE),0)</f>
        <v>0</v>
      </c>
      <c r="E109" s="91">
        <f>IF($A109=Recto!$I$31,VLOOKUP($A109,Recto!$I$28:$L$44,4,FALSE),0)</f>
        <v>0</v>
      </c>
      <c r="F109" s="91">
        <f>IF($A109=Recto!$I$32,VLOOKUP($A109,Recto!$I$28:$L$44,4,FALSE),0)</f>
        <v>0</v>
      </c>
      <c r="G109" s="91">
        <f>IF($A109=Recto!$I$33,VLOOKUP($A109,Recto!$I$28:$L$44,4,FALSE),0)</f>
        <v>0</v>
      </c>
      <c r="H109" s="91">
        <f>IF($A109=Recto!$I$34,VLOOKUP($A109,Recto!$I$28:$L$44,4,FALSE),0)</f>
        <v>0</v>
      </c>
      <c r="I109" s="91">
        <f>IF($A109=Recto!$I$35,VLOOKUP($A109,Recto!$I$28:$L$44,4,FALSE),0)</f>
        <v>0</v>
      </c>
      <c r="J109" s="91">
        <f>IF($A109=Recto!$I$36,VLOOKUP($A109,Recto!$I$28:$L$44,4,FALSE),0)</f>
        <v>0</v>
      </c>
      <c r="K109" s="91">
        <f>IF($A109=Recto!$I$37,VLOOKUP($A109,Recto!$I$28:$L$44,4,FALSE),0)</f>
        <v>0</v>
      </c>
      <c r="L109" s="91">
        <f>IF($A109=Recto!$I$38,VLOOKUP($A109,Recto!$I$28:$L$44,4,FALSE),0)</f>
        <v>0</v>
      </c>
      <c r="M109" s="91">
        <f>IF($A109=Recto!$I$39,VLOOKUP($A109,Recto!$I$28:$L$44,4,FALSE),0)</f>
        <v>0</v>
      </c>
      <c r="N109" s="91">
        <f>IF($A109=Recto!$I$40,VLOOKUP($A109,Recto!$I$28:$L$44,4,FALSE),0)</f>
        <v>0</v>
      </c>
      <c r="O109" s="91">
        <f>IF($A109=Recto!$I$41,VLOOKUP($A109,Recto!$I$28:$L$44,4,FALSE),0)</f>
        <v>0</v>
      </c>
      <c r="P109" s="91">
        <f>IF($A109=Recto!$I$42,VLOOKUP($A109,Recto!$I$28:$L$44,4,FALSE),0)</f>
        <v>0</v>
      </c>
      <c r="Q109" s="91">
        <f>IF($A109=Recto!$I$43,VLOOKUP($A109,Recto!$I$28:$L$44,4,FALSE),0)</f>
        <v>0</v>
      </c>
      <c r="R109" s="91">
        <f>IF($A109=Recto!$I$44,VLOOKUP($A109,Recto!$I$28:$L$44,4,FALSE),0)</f>
        <v>0</v>
      </c>
      <c r="S109" s="295">
        <f>SUM(B109:R109)</f>
        <v>0</v>
      </c>
    </row>
    <row r="110" spans="1:19" x14ac:dyDescent="0.25">
      <c r="A110" s="500" t="s">
        <v>1369</v>
      </c>
      <c r="B110" s="91">
        <f>IF($A110=Recto!$I$28,VLOOKUP($A110,Recto!$I$28:$L$44,4,FALSE),0)</f>
        <v>0</v>
      </c>
      <c r="C110" s="91">
        <f>IF($A110=Recto!$I$29,VLOOKUP($A110,Recto!$I$28:$L$44,4,FALSE),0)</f>
        <v>0</v>
      </c>
      <c r="D110" s="91">
        <f>IF($A110=Recto!$I$30,VLOOKUP($A110,Recto!$I$28:$L$44,4,FALSE),0)</f>
        <v>0</v>
      </c>
      <c r="E110" s="91">
        <f>IF($A110=Recto!$I$31,VLOOKUP($A110,Recto!$I$28:$L$44,4,FALSE),0)</f>
        <v>0</v>
      </c>
      <c r="F110" s="91">
        <f>IF($A110=Recto!$I$32,VLOOKUP($A110,Recto!$I$28:$L$44,4,FALSE),0)</f>
        <v>0</v>
      </c>
      <c r="G110" s="91">
        <f>IF($A110=Recto!$I$33,VLOOKUP($A110,Recto!$I$28:$L$44,4,FALSE),0)</f>
        <v>0</v>
      </c>
      <c r="H110" s="91">
        <f>IF($A110=Recto!$I$34,VLOOKUP($A110,Recto!$I$28:$L$44,4,FALSE),0)</f>
        <v>0</v>
      </c>
      <c r="I110" s="91">
        <f>IF($A110=Recto!$I$35,VLOOKUP($A110,Recto!$I$28:$L$44,4,FALSE),0)</f>
        <v>0</v>
      </c>
      <c r="J110" s="91">
        <f>IF($A110=Recto!$I$36,VLOOKUP($A110,Recto!$I$28:$L$44,4,FALSE),0)</f>
        <v>0</v>
      </c>
      <c r="K110" s="91">
        <f>IF($A110=Recto!$I$37,VLOOKUP($A110,Recto!$I$28:$L$44,4,FALSE),0)</f>
        <v>0</v>
      </c>
      <c r="L110" s="91">
        <f>IF($A110=Recto!$I$38,VLOOKUP($A110,Recto!$I$28:$L$44,4,FALSE),0)</f>
        <v>0</v>
      </c>
      <c r="M110" s="91">
        <f>IF($A110=Recto!$I$39,VLOOKUP($A110,Recto!$I$28:$L$44,4,FALSE),0)</f>
        <v>0</v>
      </c>
      <c r="N110" s="91">
        <f>IF($A110=Recto!$I$40,VLOOKUP($A110,Recto!$I$28:$L$44,4,FALSE),0)</f>
        <v>0</v>
      </c>
      <c r="O110" s="91">
        <f>IF($A110=Recto!$I$41,VLOOKUP($A110,Recto!$I$28:$L$44,4,FALSE),0)</f>
        <v>0</v>
      </c>
      <c r="P110" s="91">
        <f>IF($A110=Recto!$I$42,VLOOKUP($A110,Recto!$I$28:$L$44,4,FALSE),0)</f>
        <v>0</v>
      </c>
      <c r="Q110" s="91">
        <f>IF($A110=Recto!$I$43,VLOOKUP($A110,Recto!$I$28:$L$44,4,FALSE),0)</f>
        <v>0</v>
      </c>
      <c r="R110" s="91">
        <f>IF($A110=Recto!$I$44,VLOOKUP($A110,Recto!$I$28:$L$44,4,FALSE),0)</f>
        <v>0</v>
      </c>
      <c r="S110" s="295">
        <f t="shared" si="3"/>
        <v>0</v>
      </c>
    </row>
    <row r="111" spans="1:19" s="196" customFormat="1" x14ac:dyDescent="0.25">
      <c r="A111" s="500" t="s">
        <v>7719</v>
      </c>
      <c r="B111" s="91">
        <f>IF($A111=Recto!$I$28,VLOOKUP($A111,Recto!$I$28:$L$44,4,FALSE),0)</f>
        <v>0</v>
      </c>
      <c r="C111" s="91">
        <f>IF($A111=Recto!$I$29,VLOOKUP($A111,Recto!$I$28:$L$44,4,FALSE),0)</f>
        <v>0</v>
      </c>
      <c r="D111" s="91">
        <f>IF($A111=Recto!$I$30,VLOOKUP($A111,Recto!$I$28:$L$44,4,FALSE),0)</f>
        <v>0</v>
      </c>
      <c r="E111" s="91">
        <f>IF($A111=Recto!$I$31,VLOOKUP($A111,Recto!$I$28:$L$44,4,FALSE),0)</f>
        <v>0</v>
      </c>
      <c r="F111" s="91">
        <f>IF($A111=Recto!$I$32,VLOOKUP($A111,Recto!$I$28:$L$44,4,FALSE),0)</f>
        <v>0</v>
      </c>
      <c r="G111" s="91">
        <f>IF($A111=Recto!$I$33,VLOOKUP($A111,Recto!$I$28:$L$44,4,FALSE),0)</f>
        <v>0</v>
      </c>
      <c r="H111" s="91">
        <f>IF($A111=Recto!$I$34,VLOOKUP($A111,Recto!$I$28:$L$44,4,FALSE),0)</f>
        <v>0</v>
      </c>
      <c r="I111" s="91">
        <f>IF($A111=Recto!$I$35,VLOOKUP($A111,Recto!$I$28:$L$44,4,FALSE),0)</f>
        <v>0</v>
      </c>
      <c r="J111" s="91">
        <f>IF($A111=Recto!$I$36,VLOOKUP($A111,Recto!$I$28:$L$44,4,FALSE),0)</f>
        <v>0</v>
      </c>
      <c r="K111" s="91">
        <f>IF($A111=Recto!$I$37,VLOOKUP($A111,Recto!$I$28:$L$44,4,FALSE),0)</f>
        <v>0</v>
      </c>
      <c r="L111" s="91">
        <f>IF($A111=Recto!$I$38,VLOOKUP($A111,Recto!$I$28:$L$44,4,FALSE),0)</f>
        <v>0</v>
      </c>
      <c r="M111" s="91">
        <f>IF($A111=Recto!$I$39,VLOOKUP($A111,Recto!$I$28:$L$44,4,FALSE),0)</f>
        <v>0</v>
      </c>
      <c r="N111" s="91">
        <f>IF($A111=Recto!$I$40,VLOOKUP($A111,Recto!$I$28:$L$44,4,FALSE),0)</f>
        <v>0</v>
      </c>
      <c r="O111" s="91">
        <f>IF($A111=Recto!$I$41,VLOOKUP($A111,Recto!$I$28:$L$44,4,FALSE),0)</f>
        <v>0</v>
      </c>
      <c r="P111" s="91">
        <f>IF($A111=Recto!$I$42,VLOOKUP($A111,Recto!$I$28:$L$44,4,FALSE),0)</f>
        <v>0</v>
      </c>
      <c r="Q111" s="91">
        <f>IF($A111=Recto!$I$43,VLOOKUP($A111,Recto!$I$28:$L$44,4,FALSE),0)</f>
        <v>0</v>
      </c>
      <c r="R111" s="91">
        <f>IF($A111=Recto!$I$44,VLOOKUP($A111,Recto!$I$28:$L$44,4,FALSE),0)</f>
        <v>0</v>
      </c>
      <c r="S111" s="295">
        <f t="shared" si="3"/>
        <v>0</v>
      </c>
    </row>
    <row r="112" spans="1:19" x14ac:dyDescent="0.25">
      <c r="A112" s="500" t="s">
        <v>1335</v>
      </c>
      <c r="B112" s="91">
        <f>IF($A112=Recto!$I$28,VLOOKUP($A112,Recto!$I$28:$L$44,4,FALSE),0)</f>
        <v>0</v>
      </c>
      <c r="C112" s="91">
        <f>IF($A112=Recto!$I$29,VLOOKUP($A112,Recto!$I$28:$L$44,4,FALSE),0)</f>
        <v>0</v>
      </c>
      <c r="D112" s="91">
        <f>IF($A112=Recto!$I$30,VLOOKUP($A112,Recto!$I$28:$L$44,4,FALSE),0)</f>
        <v>0</v>
      </c>
      <c r="E112" s="91">
        <f>IF($A112=Recto!$I$31,VLOOKUP($A112,Recto!$I$28:$L$44,4,FALSE),0)</f>
        <v>0</v>
      </c>
      <c r="F112" s="91">
        <f>IF($A112=Recto!$I$32,VLOOKUP($A112,Recto!$I$28:$L$44,4,FALSE),0)</f>
        <v>0</v>
      </c>
      <c r="G112" s="91">
        <f>IF($A112=Recto!$I$33,VLOOKUP($A112,Recto!$I$28:$L$44,4,FALSE),0)</f>
        <v>0</v>
      </c>
      <c r="H112" s="91">
        <f>IF($A112=Recto!$I$34,VLOOKUP($A112,Recto!$I$28:$L$44,4,FALSE),0)</f>
        <v>0</v>
      </c>
      <c r="I112" s="91">
        <f>IF($A112=Recto!$I$35,VLOOKUP($A112,Recto!$I$28:$L$44,4,FALSE),0)</f>
        <v>0</v>
      </c>
      <c r="J112" s="91">
        <f>IF($A112=Recto!$I$36,VLOOKUP($A112,Recto!$I$28:$L$44,4,FALSE),0)</f>
        <v>0</v>
      </c>
      <c r="K112" s="91">
        <f>IF($A112=Recto!$I$37,VLOOKUP($A112,Recto!$I$28:$L$44,4,FALSE),0)</f>
        <v>0</v>
      </c>
      <c r="L112" s="91">
        <f>IF($A112=Recto!$I$38,VLOOKUP($A112,Recto!$I$28:$L$44,4,FALSE),0)</f>
        <v>0</v>
      </c>
      <c r="M112" s="91">
        <f>IF($A112=Recto!$I$39,VLOOKUP($A112,Recto!$I$28:$L$44,4,FALSE),0)</f>
        <v>0</v>
      </c>
      <c r="N112" s="91">
        <f>IF($A112=Recto!$I$40,VLOOKUP($A112,Recto!$I$28:$L$44,4,FALSE),0)</f>
        <v>0</v>
      </c>
      <c r="O112" s="91">
        <f>IF($A112=Recto!$I$41,VLOOKUP($A112,Recto!$I$28:$L$44,4,FALSE),0)</f>
        <v>0</v>
      </c>
      <c r="P112" s="91">
        <f>IF($A112=Recto!$I$42,VLOOKUP($A112,Recto!$I$28:$L$44,4,FALSE),0)</f>
        <v>0</v>
      </c>
      <c r="Q112" s="91">
        <f>IF($A112=Recto!$I$43,VLOOKUP($A112,Recto!$I$28:$L$44,4,FALSE),0)</f>
        <v>0</v>
      </c>
      <c r="R112" s="91">
        <f>IF($A112=Recto!$I$44,VLOOKUP($A112,Recto!$I$28:$L$44,4,FALSE),0)</f>
        <v>0</v>
      </c>
      <c r="S112" s="295">
        <f t="shared" si="3"/>
        <v>0</v>
      </c>
    </row>
    <row r="113" spans="1:19" x14ac:dyDescent="0.25">
      <c r="A113" s="500" t="s">
        <v>1344</v>
      </c>
      <c r="B113" s="91">
        <f>IF($A113=Recto!$I$28,VLOOKUP($A113,Recto!$I$28:$L$44,4,FALSE),0)</f>
        <v>0</v>
      </c>
      <c r="C113" s="91">
        <f>IF($A113=Recto!$I$29,VLOOKUP($A113,Recto!$I$28:$L$44,4,FALSE),0)</f>
        <v>0</v>
      </c>
      <c r="D113" s="91">
        <f>IF($A113=Recto!$I$30,VLOOKUP($A113,Recto!$I$28:$L$44,4,FALSE),0)</f>
        <v>0</v>
      </c>
      <c r="E113" s="91">
        <f>IF($A113=Recto!$I$31,VLOOKUP($A113,Recto!$I$28:$L$44,4,FALSE),0)</f>
        <v>0</v>
      </c>
      <c r="F113" s="91">
        <f>IF($A113=Recto!$I$32,VLOOKUP($A113,Recto!$I$28:$L$44,4,FALSE),0)</f>
        <v>0</v>
      </c>
      <c r="G113" s="91">
        <f>IF($A113=Recto!$I$33,VLOOKUP($A113,Recto!$I$28:$L$44,4,FALSE),0)</f>
        <v>0</v>
      </c>
      <c r="H113" s="91">
        <f>IF($A113=Recto!$I$34,VLOOKUP($A113,Recto!$I$28:$L$44,4,FALSE),0)</f>
        <v>0</v>
      </c>
      <c r="I113" s="91">
        <f>IF($A113=Recto!$I$35,VLOOKUP($A113,Recto!$I$28:$L$44,4,FALSE),0)</f>
        <v>0</v>
      </c>
      <c r="J113" s="91">
        <f>IF($A113=Recto!$I$36,VLOOKUP($A113,Recto!$I$28:$L$44,4,FALSE),0)</f>
        <v>0</v>
      </c>
      <c r="K113" s="91">
        <f>IF($A113=Recto!$I$37,VLOOKUP($A113,Recto!$I$28:$L$44,4,FALSE),0)</f>
        <v>0</v>
      </c>
      <c r="L113" s="91">
        <f>IF($A113=Recto!$I$38,VLOOKUP($A113,Recto!$I$28:$L$44,4,FALSE),0)</f>
        <v>0</v>
      </c>
      <c r="M113" s="91">
        <f>IF($A113=Recto!$I$39,VLOOKUP($A113,Recto!$I$28:$L$44,4,FALSE),0)</f>
        <v>0</v>
      </c>
      <c r="N113" s="91">
        <f>IF($A113=Recto!$I$40,VLOOKUP($A113,Recto!$I$28:$L$44,4,FALSE),0)</f>
        <v>0</v>
      </c>
      <c r="O113" s="91">
        <f>IF($A113=Recto!$I$41,VLOOKUP($A113,Recto!$I$28:$L$44,4,FALSE),0)</f>
        <v>0</v>
      </c>
      <c r="P113" s="91">
        <f>IF($A113=Recto!$I$42,VLOOKUP($A113,Recto!$I$28:$L$44,4,FALSE),0)</f>
        <v>0</v>
      </c>
      <c r="Q113" s="91">
        <f>IF($A113=Recto!$I$43,VLOOKUP($A113,Recto!$I$28:$L$44,4,FALSE),0)</f>
        <v>0</v>
      </c>
      <c r="R113" s="91">
        <f>IF($A113=Recto!$I$44,VLOOKUP($A113,Recto!$I$28:$L$44,4,FALSE),0)</f>
        <v>0</v>
      </c>
      <c r="S113" s="295">
        <f t="shared" si="3"/>
        <v>0</v>
      </c>
    </row>
    <row r="114" spans="1:19" s="196" customFormat="1" x14ac:dyDescent="0.25">
      <c r="A114" s="500" t="s">
        <v>7442</v>
      </c>
      <c r="B114" s="91">
        <f>IF($A114=Recto!$I$28,VLOOKUP($A114,Recto!$I$28:$L$44,4,FALSE),0)</f>
        <v>0</v>
      </c>
      <c r="C114" s="91">
        <f>IF($A114=Recto!$I$29,VLOOKUP($A114,Recto!$I$28:$L$44,4,FALSE),0)</f>
        <v>0</v>
      </c>
      <c r="D114" s="91">
        <f>IF($A114=Recto!$I$30,VLOOKUP($A114,Recto!$I$28:$L$44,4,FALSE),0)</f>
        <v>0</v>
      </c>
      <c r="E114" s="91">
        <f>IF($A114=Recto!$I$31,VLOOKUP($A114,Recto!$I$28:$L$44,4,FALSE),0)</f>
        <v>0</v>
      </c>
      <c r="F114" s="91">
        <f>IF($A114=Recto!$I$32,VLOOKUP($A114,Recto!$I$28:$L$44,4,FALSE),0)</f>
        <v>0</v>
      </c>
      <c r="G114" s="91">
        <f>IF($A114=Recto!$I$33,VLOOKUP($A114,Recto!$I$28:$L$44,4,FALSE),0)</f>
        <v>0</v>
      </c>
      <c r="H114" s="91">
        <f>IF($A114=Recto!$I$34,VLOOKUP($A114,Recto!$I$28:$L$44,4,FALSE),0)</f>
        <v>0</v>
      </c>
      <c r="I114" s="91">
        <f>IF($A114=Recto!$I$35,VLOOKUP($A114,Recto!$I$28:$L$44,4,FALSE),0)</f>
        <v>0</v>
      </c>
      <c r="J114" s="91">
        <f>IF($A114=Recto!$I$36,VLOOKUP($A114,Recto!$I$28:$L$44,4,FALSE),0)</f>
        <v>0</v>
      </c>
      <c r="K114" s="91">
        <f>IF($A114=Recto!$I$37,VLOOKUP($A114,Recto!$I$28:$L$44,4,FALSE),0)</f>
        <v>0</v>
      </c>
      <c r="L114" s="91">
        <f>IF($A114=Recto!$I$38,VLOOKUP($A114,Recto!$I$28:$L$44,4,FALSE),0)</f>
        <v>0</v>
      </c>
      <c r="M114" s="91">
        <f>IF($A114=Recto!$I$39,VLOOKUP($A114,Recto!$I$28:$L$44,4,FALSE),0)</f>
        <v>0</v>
      </c>
      <c r="N114" s="91">
        <f>IF($A114=Recto!$I$40,VLOOKUP($A114,Recto!$I$28:$L$44,4,FALSE),0)</f>
        <v>0</v>
      </c>
      <c r="O114" s="91">
        <f>IF($A114=Recto!$I$41,VLOOKUP($A114,Recto!$I$28:$L$44,4,FALSE),0)</f>
        <v>0</v>
      </c>
      <c r="P114" s="91">
        <f>IF($A114=Recto!$I$42,VLOOKUP($A114,Recto!$I$28:$L$44,4,FALSE),0)</f>
        <v>0</v>
      </c>
      <c r="Q114" s="91">
        <f>IF($A114=Recto!$I$43,VLOOKUP($A114,Recto!$I$28:$L$44,4,FALSE),0)</f>
        <v>0</v>
      </c>
      <c r="R114" s="91">
        <f>IF($A114=Recto!$I$44,VLOOKUP($A114,Recto!$I$28:$L$44,4,FALSE),0)</f>
        <v>0</v>
      </c>
      <c r="S114" s="295">
        <f t="shared" si="3"/>
        <v>0</v>
      </c>
    </row>
    <row r="115" spans="1:19" x14ac:dyDescent="0.25">
      <c r="A115" s="500" t="s">
        <v>15</v>
      </c>
      <c r="B115" s="91">
        <f>IF($A115=Recto!$I$28,VLOOKUP($A115,Recto!$I$28:$L$44,4,FALSE),0)</f>
        <v>0</v>
      </c>
      <c r="C115" s="91">
        <f>IF($A115=Recto!$I$29,VLOOKUP($A115,Recto!$I$28:$L$44,4,FALSE),0)</f>
        <v>0</v>
      </c>
      <c r="D115" s="91">
        <f>IF($A115=Recto!$I$30,VLOOKUP($A115,Recto!$I$28:$L$44,4,FALSE),0)</f>
        <v>0</v>
      </c>
      <c r="E115" s="91">
        <f>IF($A115=Recto!$I$31,VLOOKUP($A115,Recto!$I$28:$L$44,4,FALSE),0)</f>
        <v>0</v>
      </c>
      <c r="F115" s="91">
        <f>IF($A115=Recto!$I$32,VLOOKUP($A115,Recto!$I$28:$L$44,4,FALSE),0)</f>
        <v>0</v>
      </c>
      <c r="G115" s="91">
        <f>IF($A115=Recto!$I$33,VLOOKUP($A115,Recto!$I$28:$L$44,4,FALSE),0)</f>
        <v>0</v>
      </c>
      <c r="H115" s="91">
        <f>IF($A115=Recto!$I$34,VLOOKUP($A115,Recto!$I$28:$L$44,4,FALSE),0)</f>
        <v>0</v>
      </c>
      <c r="I115" s="91">
        <f>IF($A115=Recto!$I$35,VLOOKUP($A115,Recto!$I$28:$L$44,4,FALSE),0)</f>
        <v>0</v>
      </c>
      <c r="J115" s="91">
        <f>IF($A115=Recto!$I$36,VLOOKUP($A115,Recto!$I$28:$L$44,4,FALSE),0)</f>
        <v>0</v>
      </c>
      <c r="K115" s="91">
        <f>IF($A115=Recto!$I$37,VLOOKUP($A115,Recto!$I$28:$L$44,4,FALSE),0)</f>
        <v>0</v>
      </c>
      <c r="L115" s="91">
        <f>IF($A115=Recto!$I$38,VLOOKUP($A115,Recto!$I$28:$L$44,4,FALSE),0)</f>
        <v>0</v>
      </c>
      <c r="M115" s="91">
        <f>IF($A115=Recto!$I$39,VLOOKUP($A115,Recto!$I$28:$L$44,4,FALSE),0)</f>
        <v>0</v>
      </c>
      <c r="N115" s="91">
        <f>IF($A115=Recto!$I$40,VLOOKUP($A115,Recto!$I$28:$L$44,4,FALSE),0)</f>
        <v>0</v>
      </c>
      <c r="O115" s="91">
        <f>IF($A115=Recto!$I$41,VLOOKUP($A115,Recto!$I$28:$L$44,4,FALSE),0)</f>
        <v>0</v>
      </c>
      <c r="P115" s="91">
        <f>IF($A115=Recto!$I$42,VLOOKUP($A115,Recto!$I$28:$L$44,4,FALSE),0)</f>
        <v>0</v>
      </c>
      <c r="Q115" s="91">
        <f>IF($A115=Recto!$I$43,VLOOKUP($A115,Recto!$I$28:$L$44,4,FALSE),0)</f>
        <v>0</v>
      </c>
      <c r="R115" s="91">
        <f>IF($A115=Recto!$I$44,VLOOKUP($A115,Recto!$I$28:$L$44,4,FALSE),0)</f>
        <v>0</v>
      </c>
      <c r="S115" s="295">
        <f t="shared" si="3"/>
        <v>0</v>
      </c>
    </row>
    <row r="116" spans="1:19" s="196" customFormat="1" x14ac:dyDescent="0.25">
      <c r="A116" s="500" t="s">
        <v>7409</v>
      </c>
      <c r="B116" s="91">
        <f>IF($A116=Recto!$I$28,VLOOKUP($A116,Recto!$I$28:$L$44,4,FALSE),0)</f>
        <v>0</v>
      </c>
      <c r="C116" s="91">
        <f>IF($A116=Recto!$I$29,VLOOKUP($A116,Recto!$I$28:$L$44,4,FALSE),0)</f>
        <v>0</v>
      </c>
      <c r="D116" s="91">
        <f>IF($A116=Recto!$I$30,VLOOKUP($A116,Recto!$I$28:$L$44,4,FALSE),0)</f>
        <v>0</v>
      </c>
      <c r="E116" s="91">
        <f>IF($A116=Recto!$I$31,VLOOKUP($A116,Recto!$I$28:$L$44,4,FALSE),0)</f>
        <v>0</v>
      </c>
      <c r="F116" s="91">
        <f>IF($A116=Recto!$I$32,VLOOKUP($A116,Recto!$I$28:$L$44,4,FALSE),0)</f>
        <v>0</v>
      </c>
      <c r="G116" s="91">
        <f>IF($A116=Recto!$I$33,VLOOKUP($A116,Recto!$I$28:$L$44,4,FALSE),0)</f>
        <v>0</v>
      </c>
      <c r="H116" s="91">
        <f>IF($A116=Recto!$I$34,VLOOKUP($A116,Recto!$I$28:$L$44,4,FALSE),0)</f>
        <v>0</v>
      </c>
      <c r="I116" s="91">
        <f>IF($A116=Recto!$I$35,VLOOKUP($A116,Recto!$I$28:$L$44,4,FALSE),0)</f>
        <v>0</v>
      </c>
      <c r="J116" s="91">
        <f>IF($A116=Recto!$I$36,VLOOKUP($A116,Recto!$I$28:$L$44,4,FALSE),0)</f>
        <v>0</v>
      </c>
      <c r="K116" s="91">
        <f>IF($A116=Recto!$I$37,VLOOKUP($A116,Recto!$I$28:$L$44,4,FALSE),0)</f>
        <v>0</v>
      </c>
      <c r="L116" s="91">
        <f>IF($A116=Recto!$I$38,VLOOKUP($A116,Recto!$I$28:$L$44,4,FALSE),0)</f>
        <v>0</v>
      </c>
      <c r="M116" s="91">
        <f>IF($A116=Recto!$I$39,VLOOKUP($A116,Recto!$I$28:$L$44,4,FALSE),0)</f>
        <v>0</v>
      </c>
      <c r="N116" s="91">
        <f>IF($A116=Recto!$I$40,VLOOKUP($A116,Recto!$I$28:$L$44,4,FALSE),0)</f>
        <v>0</v>
      </c>
      <c r="O116" s="91">
        <f>IF($A116=Recto!$I$41,VLOOKUP($A116,Recto!$I$28:$L$44,4,FALSE),0)</f>
        <v>0</v>
      </c>
      <c r="P116" s="91">
        <f>IF($A116=Recto!$I$42,VLOOKUP($A116,Recto!$I$28:$L$44,4,FALSE),0)</f>
        <v>0</v>
      </c>
      <c r="Q116" s="91">
        <f>IF($A116=Recto!$I$43,VLOOKUP($A116,Recto!$I$28:$L$44,4,FALSE),0)</f>
        <v>0</v>
      </c>
      <c r="R116" s="91">
        <f>IF($A116=Recto!$I$44,VLOOKUP($A116,Recto!$I$28:$L$44,4,FALSE),0)</f>
        <v>0</v>
      </c>
      <c r="S116" s="295">
        <f t="shared" si="3"/>
        <v>0</v>
      </c>
    </row>
    <row r="117" spans="1:19" x14ac:dyDescent="0.25">
      <c r="A117" s="500" t="s">
        <v>3189</v>
      </c>
      <c r="B117" s="91">
        <f>IF($A117=Recto!$I$28,VLOOKUP($A117,Recto!$I$28:$L$44,4,FALSE),0)</f>
        <v>0</v>
      </c>
      <c r="C117" s="91">
        <f>IF($A117=Recto!$I$29,VLOOKUP($A117,Recto!$I$28:$L$44,4,FALSE),0)</f>
        <v>0</v>
      </c>
      <c r="D117" s="91">
        <f>IF($A117=Recto!$I$30,VLOOKUP($A117,Recto!$I$28:$L$44,4,FALSE),0)</f>
        <v>0</v>
      </c>
      <c r="E117" s="91">
        <f>IF($A117=Recto!$I$31,VLOOKUP($A117,Recto!$I$28:$L$44,4,FALSE),0)</f>
        <v>0</v>
      </c>
      <c r="F117" s="91">
        <f>IF($A117=Recto!$I$32,VLOOKUP($A117,Recto!$I$28:$L$44,4,FALSE),0)</f>
        <v>0</v>
      </c>
      <c r="G117" s="91">
        <f>IF($A117=Recto!$I$33,VLOOKUP($A117,Recto!$I$28:$L$44,4,FALSE),0)</f>
        <v>0</v>
      </c>
      <c r="H117" s="91">
        <f>IF($A117=Recto!$I$34,VLOOKUP($A117,Recto!$I$28:$L$44,4,FALSE),0)</f>
        <v>0</v>
      </c>
      <c r="I117" s="91">
        <f>IF($A117=Recto!$I$35,VLOOKUP($A117,Recto!$I$28:$L$44,4,FALSE),0)</f>
        <v>0</v>
      </c>
      <c r="J117" s="91">
        <f>IF($A117=Recto!$I$36,VLOOKUP($A117,Recto!$I$28:$L$44,4,FALSE),0)</f>
        <v>0</v>
      </c>
      <c r="K117" s="91">
        <f>IF($A117=Recto!$I$37,VLOOKUP($A117,Recto!$I$28:$L$44,4,FALSE),0)</f>
        <v>0</v>
      </c>
      <c r="L117" s="91">
        <f>IF($A117=Recto!$I$38,VLOOKUP($A117,Recto!$I$28:$L$44,4,FALSE),0)</f>
        <v>0</v>
      </c>
      <c r="M117" s="91">
        <f>IF($A117=Recto!$I$39,VLOOKUP($A117,Recto!$I$28:$L$44,4,FALSE),0)</f>
        <v>0</v>
      </c>
      <c r="N117" s="91">
        <f>IF($A117=Recto!$I$40,VLOOKUP($A117,Recto!$I$28:$L$44,4,FALSE),0)</f>
        <v>0</v>
      </c>
      <c r="O117" s="91">
        <f>IF($A117=Recto!$I$41,VLOOKUP($A117,Recto!$I$28:$L$44,4,FALSE),0)</f>
        <v>0</v>
      </c>
      <c r="P117" s="91">
        <f>IF($A117=Recto!$I$42,VLOOKUP($A117,Recto!$I$28:$L$44,4,FALSE),0)</f>
        <v>0</v>
      </c>
      <c r="Q117" s="91">
        <f>IF($A117=Recto!$I$43,VLOOKUP($A117,Recto!$I$28:$L$44,4,FALSE),0)</f>
        <v>0</v>
      </c>
      <c r="R117" s="91">
        <f>IF($A117=Recto!$I$44,VLOOKUP($A117,Recto!$I$28:$L$44,4,FALSE),0)</f>
        <v>0</v>
      </c>
      <c r="S117" s="295">
        <f t="shared" si="3"/>
        <v>0</v>
      </c>
    </row>
    <row r="118" spans="1:19" x14ac:dyDescent="0.25">
      <c r="A118" s="500" t="s">
        <v>1374</v>
      </c>
      <c r="B118" s="91">
        <f>IF($A118=Recto!$I$28,VLOOKUP($A118,Recto!$I$28:$L$44,4,FALSE),0)</f>
        <v>0</v>
      </c>
      <c r="C118" s="91">
        <f>IF($A118=Recto!$I$29,VLOOKUP($A118,Recto!$I$28:$L$44,4,FALSE),0)</f>
        <v>0</v>
      </c>
      <c r="D118" s="91">
        <f>IF($A118=Recto!$I$30,VLOOKUP($A118,Recto!$I$28:$L$44,4,FALSE),0)</f>
        <v>0</v>
      </c>
      <c r="E118" s="91">
        <f>IF($A118=Recto!$I$31,VLOOKUP($A118,Recto!$I$28:$L$44,4,FALSE),0)</f>
        <v>0</v>
      </c>
      <c r="F118" s="91">
        <f>IF($A118=Recto!$I$32,VLOOKUP($A118,Recto!$I$28:$L$44,4,FALSE),0)</f>
        <v>0</v>
      </c>
      <c r="G118" s="91">
        <f>IF($A118=Recto!$I$33,VLOOKUP($A118,Recto!$I$28:$L$44,4,FALSE),0)</f>
        <v>0</v>
      </c>
      <c r="H118" s="91">
        <f>IF($A118=Recto!$I$34,VLOOKUP($A118,Recto!$I$28:$L$44,4,FALSE),0)</f>
        <v>0</v>
      </c>
      <c r="I118" s="91">
        <f>IF($A118=Recto!$I$35,VLOOKUP($A118,Recto!$I$28:$L$44,4,FALSE),0)</f>
        <v>0</v>
      </c>
      <c r="J118" s="91">
        <f>IF($A118=Recto!$I$36,VLOOKUP($A118,Recto!$I$28:$L$44,4,FALSE),0)</f>
        <v>0</v>
      </c>
      <c r="K118" s="91">
        <f>IF($A118=Recto!$I$37,VLOOKUP($A118,Recto!$I$28:$L$44,4,FALSE),0)</f>
        <v>0</v>
      </c>
      <c r="L118" s="91">
        <f>IF($A118=Recto!$I$38,VLOOKUP($A118,Recto!$I$28:$L$44,4,FALSE),0)</f>
        <v>0</v>
      </c>
      <c r="M118" s="91">
        <f>IF($A118=Recto!$I$39,VLOOKUP($A118,Recto!$I$28:$L$44,4,FALSE),0)</f>
        <v>0</v>
      </c>
      <c r="N118" s="91">
        <f>IF($A118=Recto!$I$40,VLOOKUP($A118,Recto!$I$28:$L$44,4,FALSE),0)</f>
        <v>0</v>
      </c>
      <c r="O118" s="91">
        <f>IF($A118=Recto!$I$41,VLOOKUP($A118,Recto!$I$28:$L$44,4,FALSE),0)</f>
        <v>0</v>
      </c>
      <c r="P118" s="91">
        <f>IF($A118=Recto!$I$42,VLOOKUP($A118,Recto!$I$28:$L$44,4,FALSE),0)</f>
        <v>0</v>
      </c>
      <c r="Q118" s="91">
        <f>IF($A118=Recto!$I$43,VLOOKUP($A118,Recto!$I$28:$L$44,4,FALSE),0)</f>
        <v>0</v>
      </c>
      <c r="R118" s="91">
        <f>IF($A118=Recto!$I$44,VLOOKUP($A118,Recto!$I$28:$L$44,4,FALSE),0)</f>
        <v>0</v>
      </c>
      <c r="S118" s="295">
        <f t="shared" si="3"/>
        <v>0</v>
      </c>
    </row>
    <row r="119" spans="1:19" s="196" customFormat="1" x14ac:dyDescent="0.25">
      <c r="A119" s="136" t="s">
        <v>7717</v>
      </c>
      <c r="B119" s="91">
        <f>IF($A119=Recto!$I$28,VLOOKUP($A119,Recto!$I$28:$L$44,4,FALSE),0)</f>
        <v>0</v>
      </c>
      <c r="C119" s="91">
        <f>IF($A119=Recto!$I$29,VLOOKUP($A119,Recto!$I$28:$L$44,4,FALSE),0)</f>
        <v>0</v>
      </c>
      <c r="D119" s="91">
        <f>IF($A119=Recto!$I$30,VLOOKUP($A119,Recto!$I$28:$L$44,4,FALSE),0)</f>
        <v>0</v>
      </c>
      <c r="E119" s="91">
        <f>IF($A119=Recto!$I$31,VLOOKUP($A119,Recto!$I$28:$L$44,4,FALSE),0)</f>
        <v>0</v>
      </c>
      <c r="F119" s="91">
        <f>IF($A119=Recto!$I$32,VLOOKUP($A119,Recto!$I$28:$L$44,4,FALSE),0)</f>
        <v>0</v>
      </c>
      <c r="G119" s="91">
        <f>IF($A119=Recto!$I$33,VLOOKUP($A119,Recto!$I$28:$L$44,4,FALSE),0)</f>
        <v>0</v>
      </c>
      <c r="H119" s="91">
        <f>IF($A119=Recto!$I$34,VLOOKUP($A119,Recto!$I$28:$L$44,4,FALSE),0)</f>
        <v>0</v>
      </c>
      <c r="I119" s="91">
        <f>IF($A119=Recto!$I$35,VLOOKUP($A119,Recto!$I$28:$L$44,4,FALSE),0)</f>
        <v>0</v>
      </c>
      <c r="J119" s="91">
        <f>IF($A119=Recto!$I$36,VLOOKUP($A119,Recto!$I$28:$L$44,4,FALSE),0)</f>
        <v>0</v>
      </c>
      <c r="K119" s="91">
        <f>IF($A119=Recto!$I$37,VLOOKUP($A119,Recto!$I$28:$L$44,4,FALSE),0)</f>
        <v>0</v>
      </c>
      <c r="L119" s="91">
        <f>IF($A119=Recto!$I$38,VLOOKUP($A119,Recto!$I$28:$L$44,4,FALSE),0)</f>
        <v>0</v>
      </c>
      <c r="M119" s="91">
        <f>IF($A119=Recto!$I$39,VLOOKUP($A119,Recto!$I$28:$L$44,4,FALSE),0)</f>
        <v>0</v>
      </c>
      <c r="N119" s="91">
        <f>IF($A119=Recto!$I$40,VLOOKUP($A119,Recto!$I$28:$L$44,4,FALSE),0)</f>
        <v>0</v>
      </c>
      <c r="O119" s="91">
        <f>IF($A119=Recto!$I$41,VLOOKUP($A119,Recto!$I$28:$L$44,4,FALSE),0)</f>
        <v>0</v>
      </c>
      <c r="P119" s="91">
        <f>IF($A119=Recto!$I$42,VLOOKUP($A119,Recto!$I$28:$L$44,4,FALSE),0)</f>
        <v>0</v>
      </c>
      <c r="Q119" s="91">
        <f>IF($A119=Recto!$I$43,VLOOKUP($A119,Recto!$I$28:$L$44,4,FALSE),0)</f>
        <v>0</v>
      </c>
      <c r="R119" s="91">
        <f>IF($A119=Recto!$I$44,VLOOKUP($A119,Recto!$I$28:$L$44,4,FALSE),0)</f>
        <v>0</v>
      </c>
      <c r="S119" s="295">
        <f>SUM(B119:R119)</f>
        <v>0</v>
      </c>
    </row>
    <row r="120" spans="1:19" x14ac:dyDescent="0.25">
      <c r="A120" s="500" t="s">
        <v>3190</v>
      </c>
      <c r="B120" s="91">
        <f>IF($A120=Recto!$I$28,VLOOKUP($A120,Recto!$I$28:$L$44,4,FALSE),0)</f>
        <v>0</v>
      </c>
      <c r="C120" s="91">
        <f>IF($A120=Recto!$I$29,VLOOKUP($A120,Recto!$I$28:$L$44,4,FALSE),0)</f>
        <v>0</v>
      </c>
      <c r="D120" s="91">
        <f>IF($A120=Recto!$I$30,VLOOKUP($A120,Recto!$I$28:$L$44,4,FALSE),0)</f>
        <v>0</v>
      </c>
      <c r="E120" s="91">
        <f>IF($A120=Recto!$I$31,VLOOKUP($A120,Recto!$I$28:$L$44,4,FALSE),0)</f>
        <v>0</v>
      </c>
      <c r="F120" s="91">
        <f>IF($A120=Recto!$I$32,VLOOKUP($A120,Recto!$I$28:$L$44,4,FALSE),0)</f>
        <v>0</v>
      </c>
      <c r="G120" s="91">
        <f>IF($A120=Recto!$I$33,VLOOKUP($A120,Recto!$I$28:$L$44,4,FALSE),0)</f>
        <v>0</v>
      </c>
      <c r="H120" s="91">
        <f>IF($A120=Recto!$I$34,VLOOKUP($A120,Recto!$I$28:$L$44,4,FALSE),0)</f>
        <v>0</v>
      </c>
      <c r="I120" s="91">
        <f>IF($A120=Recto!$I$35,VLOOKUP($A120,Recto!$I$28:$L$44,4,FALSE),0)</f>
        <v>0</v>
      </c>
      <c r="J120" s="91">
        <f>IF($A120=Recto!$I$36,VLOOKUP($A120,Recto!$I$28:$L$44,4,FALSE),0)</f>
        <v>0</v>
      </c>
      <c r="K120" s="91">
        <f>IF($A120=Recto!$I$37,VLOOKUP($A120,Recto!$I$28:$L$44,4,FALSE),0)</f>
        <v>0</v>
      </c>
      <c r="L120" s="91">
        <f>IF($A120=Recto!$I$38,VLOOKUP($A120,Recto!$I$28:$L$44,4,FALSE),0)</f>
        <v>0</v>
      </c>
      <c r="M120" s="91">
        <f>IF($A120=Recto!$I$39,VLOOKUP($A120,Recto!$I$28:$L$44,4,FALSE),0)</f>
        <v>0</v>
      </c>
      <c r="N120" s="91">
        <f>IF($A120=Recto!$I$40,VLOOKUP($A120,Recto!$I$28:$L$44,4,FALSE),0)</f>
        <v>0</v>
      </c>
      <c r="O120" s="91">
        <f>IF($A120=Recto!$I$41,VLOOKUP($A120,Recto!$I$28:$L$44,4,FALSE),0)</f>
        <v>0</v>
      </c>
      <c r="P120" s="91">
        <f>IF($A120=Recto!$I$42,VLOOKUP($A120,Recto!$I$28:$L$44,4,FALSE),0)</f>
        <v>0</v>
      </c>
      <c r="Q120" s="91">
        <f>IF($A120=Recto!$I$43,VLOOKUP($A120,Recto!$I$28:$L$44,4,FALSE),0)</f>
        <v>0</v>
      </c>
      <c r="R120" s="91">
        <f>IF($A120=Recto!$I$44,VLOOKUP($A120,Recto!$I$28:$L$44,4,FALSE),0)</f>
        <v>0</v>
      </c>
      <c r="S120" s="295">
        <f t="shared" si="3"/>
        <v>0</v>
      </c>
    </row>
    <row r="121" spans="1:19" s="196" customFormat="1" x14ac:dyDescent="0.25">
      <c r="A121" s="500" t="s">
        <v>8808</v>
      </c>
      <c r="B121" s="91">
        <f>IF($A121=Recto!$I$28,VLOOKUP($A121,Recto!$I$28:$L$44,4,FALSE),0)</f>
        <v>0</v>
      </c>
      <c r="C121" s="91">
        <f>IF($A121=Recto!$I$29,VLOOKUP($A121,Recto!$I$28:$L$44,4,FALSE),0)</f>
        <v>0</v>
      </c>
      <c r="D121" s="91">
        <f>IF($A121=Recto!$I$30,VLOOKUP($A121,Recto!$I$28:$L$44,4,FALSE),0)</f>
        <v>0</v>
      </c>
      <c r="E121" s="91">
        <f>IF($A121=Recto!$I$31,VLOOKUP($A121,Recto!$I$28:$L$44,4,FALSE),0)</f>
        <v>0</v>
      </c>
      <c r="F121" s="91">
        <f>IF($A121=Recto!$I$32,VLOOKUP($A121,Recto!$I$28:$L$44,4,FALSE),0)</f>
        <v>0</v>
      </c>
      <c r="G121" s="91">
        <f>IF($A121=Recto!$I$33,VLOOKUP($A121,Recto!$I$28:$L$44,4,FALSE),0)</f>
        <v>0</v>
      </c>
      <c r="H121" s="91">
        <f>IF($A121=Recto!$I$34,VLOOKUP($A121,Recto!$I$28:$L$44,4,FALSE),0)</f>
        <v>0</v>
      </c>
      <c r="I121" s="91">
        <f>IF($A121=Recto!$I$35,VLOOKUP($A121,Recto!$I$28:$L$44,4,FALSE),0)</f>
        <v>0</v>
      </c>
      <c r="J121" s="91">
        <f>IF($A121=Recto!$I$36,VLOOKUP($A121,Recto!$I$28:$L$44,4,FALSE),0)</f>
        <v>0</v>
      </c>
      <c r="K121" s="91">
        <f>IF($A121=Recto!$I$37,VLOOKUP($A121,Recto!$I$28:$L$44,4,FALSE),0)</f>
        <v>0</v>
      </c>
      <c r="L121" s="91">
        <f>IF($A121=Recto!$I$38,VLOOKUP($A121,Recto!$I$28:$L$44,4,FALSE),0)</f>
        <v>0</v>
      </c>
      <c r="M121" s="91">
        <f>IF($A121=Recto!$I$39,VLOOKUP($A121,Recto!$I$28:$L$44,4,FALSE),0)</f>
        <v>0</v>
      </c>
      <c r="N121" s="91">
        <f>IF($A121=Recto!$I$40,VLOOKUP($A121,Recto!$I$28:$L$44,4,FALSE),0)</f>
        <v>0</v>
      </c>
      <c r="O121" s="91">
        <f>IF($A121=Recto!$I$41,VLOOKUP($A121,Recto!$I$28:$L$44,4,FALSE),0)</f>
        <v>0</v>
      </c>
      <c r="P121" s="91">
        <f>IF($A121=Recto!$I$42,VLOOKUP($A121,Recto!$I$28:$L$44,4,FALSE),0)</f>
        <v>0</v>
      </c>
      <c r="Q121" s="91">
        <f>IF($A121=Recto!$I$43,VLOOKUP($A121,Recto!$I$28:$L$44,4,FALSE),0)</f>
        <v>0</v>
      </c>
      <c r="R121" s="91">
        <f>IF($A121=Recto!$I$44,VLOOKUP($A121,Recto!$I$28:$L$44,4,FALSE),0)</f>
        <v>0</v>
      </c>
      <c r="S121" s="295">
        <f t="shared" ref="S121" si="4">SUM(B121:R121)</f>
        <v>0</v>
      </c>
    </row>
    <row r="122" spans="1:19" x14ac:dyDescent="0.25">
      <c r="A122" s="500" t="s">
        <v>3261</v>
      </c>
      <c r="B122" s="91">
        <f>IF($A122=Recto!$I$28,VLOOKUP($A122,Recto!$I$28:$L$44,4,FALSE),0)</f>
        <v>0</v>
      </c>
      <c r="C122" s="91">
        <f>IF($A122=Recto!$I$29,VLOOKUP($A122,Recto!$I$28:$L$44,4,FALSE),0)</f>
        <v>0</v>
      </c>
      <c r="D122" s="91">
        <f>IF($A122=Recto!$I$30,VLOOKUP($A122,Recto!$I$28:$L$44,4,FALSE),0)</f>
        <v>0</v>
      </c>
      <c r="E122" s="91">
        <f>IF($A122=Recto!$I$31,VLOOKUP($A122,Recto!$I$28:$L$44,4,FALSE),0)</f>
        <v>0</v>
      </c>
      <c r="F122" s="91">
        <f>IF($A122=Recto!$I$32,VLOOKUP($A122,Recto!$I$28:$L$44,4,FALSE),0)</f>
        <v>0</v>
      </c>
      <c r="G122" s="91">
        <f>IF($A122=Recto!$I$33,VLOOKUP($A122,Recto!$I$28:$L$44,4,FALSE),0)</f>
        <v>0</v>
      </c>
      <c r="H122" s="91">
        <f>IF($A122=Recto!$I$34,VLOOKUP($A122,Recto!$I$28:$L$44,4,FALSE),0)</f>
        <v>0</v>
      </c>
      <c r="I122" s="91">
        <f>IF($A122=Recto!$I$35,VLOOKUP($A122,Recto!$I$28:$L$44,4,FALSE),0)</f>
        <v>0</v>
      </c>
      <c r="J122" s="91">
        <f>IF($A122=Recto!$I$36,VLOOKUP($A122,Recto!$I$28:$L$44,4,FALSE),0)</f>
        <v>0</v>
      </c>
      <c r="K122" s="91">
        <f>IF($A122=Recto!$I$37,VLOOKUP($A122,Recto!$I$28:$L$44,4,FALSE),0)</f>
        <v>0</v>
      </c>
      <c r="L122" s="91">
        <f>IF($A122=Recto!$I$38,VLOOKUP($A122,Recto!$I$28:$L$44,4,FALSE),0)</f>
        <v>0</v>
      </c>
      <c r="M122" s="91">
        <f>IF($A122=Recto!$I$39,VLOOKUP($A122,Recto!$I$28:$L$44,4,FALSE),0)</f>
        <v>0</v>
      </c>
      <c r="N122" s="91">
        <f>IF($A122=Recto!$I$40,VLOOKUP($A122,Recto!$I$28:$L$44,4,FALSE),0)</f>
        <v>0</v>
      </c>
      <c r="O122" s="91">
        <f>IF($A122=Recto!$I$41,VLOOKUP($A122,Recto!$I$28:$L$44,4,FALSE),0)</f>
        <v>0</v>
      </c>
      <c r="P122" s="91">
        <f>IF($A122=Recto!$I$42,VLOOKUP($A122,Recto!$I$28:$L$44,4,FALSE),0)</f>
        <v>0</v>
      </c>
      <c r="Q122" s="91">
        <f>IF($A122=Recto!$I$43,VLOOKUP($A122,Recto!$I$28:$L$44,4,FALSE),0)</f>
        <v>0</v>
      </c>
      <c r="R122" s="91">
        <f>IF($A122=Recto!$I$44,VLOOKUP($A122,Recto!$I$28:$L$44,4,FALSE),0)</f>
        <v>0</v>
      </c>
      <c r="S122" s="295">
        <f t="shared" si="3"/>
        <v>0</v>
      </c>
    </row>
    <row r="123" spans="1:19" s="196" customFormat="1" x14ac:dyDescent="0.25">
      <c r="A123" s="500" t="s">
        <v>7873</v>
      </c>
      <c r="B123" s="91">
        <f>IF($A123=Recto!$I$28,VLOOKUP($A123,Recto!$I$28:$L$44,4,FALSE),0)</f>
        <v>0</v>
      </c>
      <c r="C123" s="91">
        <f>IF($A123=Recto!$I$29,VLOOKUP($A123,Recto!$I$28:$L$44,4,FALSE),0)</f>
        <v>0</v>
      </c>
      <c r="D123" s="91">
        <f>IF($A123=Recto!$I$30,VLOOKUP($A123,Recto!$I$28:$L$44,4,FALSE),0)</f>
        <v>0</v>
      </c>
      <c r="E123" s="91">
        <f>IF($A123=Recto!$I$31,VLOOKUP($A123,Recto!$I$28:$L$44,4,FALSE),0)</f>
        <v>0</v>
      </c>
      <c r="F123" s="91">
        <f>IF($A123=Recto!$I$32,VLOOKUP($A123,Recto!$I$28:$L$44,4,FALSE),0)</f>
        <v>0</v>
      </c>
      <c r="G123" s="91">
        <f>IF($A123=Recto!$I$33,VLOOKUP($A123,Recto!$I$28:$L$44,4,FALSE),0)</f>
        <v>0</v>
      </c>
      <c r="H123" s="91">
        <f>IF($A123=Recto!$I$34,VLOOKUP($A123,Recto!$I$28:$L$44,4,FALSE),0)</f>
        <v>0</v>
      </c>
      <c r="I123" s="91">
        <f>IF($A123=Recto!$I$35,VLOOKUP($A123,Recto!$I$28:$L$44,4,FALSE),0)</f>
        <v>0</v>
      </c>
      <c r="J123" s="91">
        <f>IF($A123=Recto!$I$36,VLOOKUP($A123,Recto!$I$28:$L$44,4,FALSE),0)</f>
        <v>0</v>
      </c>
      <c r="K123" s="91">
        <f>IF($A123=Recto!$I$37,VLOOKUP($A123,Recto!$I$28:$L$44,4,FALSE),0)</f>
        <v>0</v>
      </c>
      <c r="L123" s="91">
        <f>IF($A123=Recto!$I$38,VLOOKUP($A123,Recto!$I$28:$L$44,4,FALSE),0)</f>
        <v>0</v>
      </c>
      <c r="M123" s="91">
        <f>IF($A123=Recto!$I$39,VLOOKUP($A123,Recto!$I$28:$L$44,4,FALSE),0)</f>
        <v>0</v>
      </c>
      <c r="N123" s="91">
        <f>IF($A123=Recto!$I$40,VLOOKUP($A123,Recto!$I$28:$L$44,4,FALSE),0)</f>
        <v>0</v>
      </c>
      <c r="O123" s="91">
        <f>IF($A123=Recto!$I$41,VLOOKUP($A123,Recto!$I$28:$L$44,4,FALSE),0)</f>
        <v>0</v>
      </c>
      <c r="P123" s="91">
        <f>IF($A123=Recto!$I$42,VLOOKUP($A123,Recto!$I$28:$L$44,4,FALSE),0)</f>
        <v>0</v>
      </c>
      <c r="Q123" s="91">
        <f>IF($A123=Recto!$I$43,VLOOKUP($A123,Recto!$I$28:$L$44,4,FALSE),0)</f>
        <v>0</v>
      </c>
      <c r="R123" s="91">
        <f>IF($A123=Recto!$I$44,VLOOKUP($A123,Recto!$I$28:$L$44,4,FALSE),0)</f>
        <v>0</v>
      </c>
      <c r="S123" s="295">
        <f t="shared" si="3"/>
        <v>0</v>
      </c>
    </row>
    <row r="124" spans="1:19" s="196" customFormat="1" x14ac:dyDescent="0.25">
      <c r="A124" s="136" t="s">
        <v>7422</v>
      </c>
      <c r="B124" s="91">
        <f>IF($A124=Recto!$I$28,VLOOKUP($A124,Recto!$I$28:$L$44,4,FALSE),0)</f>
        <v>0</v>
      </c>
      <c r="C124" s="91">
        <f>IF($A124=Recto!$I$29,VLOOKUP($A124,Recto!$I$28:$L$44,4,FALSE),0)</f>
        <v>0</v>
      </c>
      <c r="D124" s="91">
        <f>IF($A124=Recto!$I$30,VLOOKUP($A124,Recto!$I$28:$L$44,4,FALSE),0)</f>
        <v>0</v>
      </c>
      <c r="E124" s="91">
        <f>IF($A124=Recto!$I$31,VLOOKUP($A124,Recto!$I$28:$L$44,4,FALSE),0)</f>
        <v>0</v>
      </c>
      <c r="F124" s="91">
        <f>IF($A124=Recto!$I$32,VLOOKUP($A124,Recto!$I$28:$L$44,4,FALSE),0)</f>
        <v>0</v>
      </c>
      <c r="G124" s="91">
        <f>IF($A124=Recto!$I$33,VLOOKUP($A124,Recto!$I$28:$L$44,4,FALSE),0)</f>
        <v>0</v>
      </c>
      <c r="H124" s="91">
        <f>IF($A124=Recto!$I$34,VLOOKUP($A124,Recto!$I$28:$L$44,4,FALSE),0)</f>
        <v>0</v>
      </c>
      <c r="I124" s="91">
        <f>IF($A124=Recto!$I$35,VLOOKUP($A124,Recto!$I$28:$L$44,4,FALSE),0)</f>
        <v>0</v>
      </c>
      <c r="J124" s="91">
        <f>IF($A124=Recto!$I$36,VLOOKUP($A124,Recto!$I$28:$L$44,4,FALSE),0)</f>
        <v>0</v>
      </c>
      <c r="K124" s="91">
        <f>IF($A124=Recto!$I$37,VLOOKUP($A124,Recto!$I$28:$L$44,4,FALSE),0)</f>
        <v>0</v>
      </c>
      <c r="L124" s="91">
        <f>IF($A124=Recto!$I$38,VLOOKUP($A124,Recto!$I$28:$L$44,4,FALSE),0)</f>
        <v>0</v>
      </c>
      <c r="M124" s="91">
        <f>IF($A124=Recto!$I$39,VLOOKUP($A124,Recto!$I$28:$L$44,4,FALSE),0)</f>
        <v>0</v>
      </c>
      <c r="N124" s="91">
        <f>IF($A124=Recto!$I$40,VLOOKUP($A124,Recto!$I$28:$L$44,4,FALSE),0)</f>
        <v>0</v>
      </c>
      <c r="O124" s="91">
        <f>IF($A124=Recto!$I$41,VLOOKUP($A124,Recto!$I$28:$L$44,4,FALSE),0)</f>
        <v>0</v>
      </c>
      <c r="P124" s="91">
        <f>IF($A124=Recto!$I$42,VLOOKUP($A124,Recto!$I$28:$L$44,4,FALSE),0)</f>
        <v>0</v>
      </c>
      <c r="Q124" s="91">
        <f>IF($A124=Recto!$I$43,VLOOKUP($A124,Recto!$I$28:$L$44,4,FALSE),0)</f>
        <v>0</v>
      </c>
      <c r="R124" s="91">
        <f>IF($A124=Recto!$I$44,VLOOKUP($A124,Recto!$I$28:$L$44,4,FALSE),0)</f>
        <v>0</v>
      </c>
      <c r="S124" s="295">
        <f t="shared" si="3"/>
        <v>0</v>
      </c>
    </row>
    <row r="125" spans="1:19" s="196" customFormat="1" x14ac:dyDescent="0.25">
      <c r="A125" s="136" t="s">
        <v>7423</v>
      </c>
      <c r="B125" s="91">
        <f>IF($A125=Recto!$I$28,VLOOKUP($A125,Recto!$I$28:$L$44,4,FALSE),0)</f>
        <v>0</v>
      </c>
      <c r="C125" s="91">
        <f>IF($A125=Recto!$I$29,VLOOKUP($A125,Recto!$I$28:$L$44,4,FALSE),0)</f>
        <v>0</v>
      </c>
      <c r="D125" s="91">
        <f>IF($A125=Recto!$I$30,VLOOKUP($A125,Recto!$I$28:$L$44,4,FALSE),0)</f>
        <v>0</v>
      </c>
      <c r="E125" s="91">
        <f>IF($A125=Recto!$I$31,VLOOKUP($A125,Recto!$I$28:$L$44,4,FALSE),0)</f>
        <v>0</v>
      </c>
      <c r="F125" s="91">
        <f>IF($A125=Recto!$I$32,VLOOKUP($A125,Recto!$I$28:$L$44,4,FALSE),0)</f>
        <v>0</v>
      </c>
      <c r="G125" s="91">
        <f>IF($A125=Recto!$I$33,VLOOKUP($A125,Recto!$I$28:$L$44,4,FALSE),0)</f>
        <v>0</v>
      </c>
      <c r="H125" s="91">
        <f>IF($A125=Recto!$I$34,VLOOKUP($A125,Recto!$I$28:$L$44,4,FALSE),0)</f>
        <v>0</v>
      </c>
      <c r="I125" s="91">
        <f>IF($A125=Recto!$I$35,VLOOKUP($A125,Recto!$I$28:$L$44,4,FALSE),0)</f>
        <v>0</v>
      </c>
      <c r="J125" s="91">
        <f>IF($A125=Recto!$I$36,VLOOKUP($A125,Recto!$I$28:$L$44,4,FALSE),0)</f>
        <v>0</v>
      </c>
      <c r="K125" s="91">
        <f>IF($A125=Recto!$I$37,VLOOKUP($A125,Recto!$I$28:$L$44,4,FALSE),0)</f>
        <v>0</v>
      </c>
      <c r="L125" s="91">
        <f>IF($A125=Recto!$I$38,VLOOKUP($A125,Recto!$I$28:$L$44,4,FALSE),0)</f>
        <v>0</v>
      </c>
      <c r="M125" s="91">
        <f>IF($A125=Recto!$I$39,VLOOKUP($A125,Recto!$I$28:$L$44,4,FALSE),0)</f>
        <v>0</v>
      </c>
      <c r="N125" s="91">
        <f>IF($A125=Recto!$I$40,VLOOKUP($A125,Recto!$I$28:$L$44,4,FALSE),0)</f>
        <v>0</v>
      </c>
      <c r="O125" s="91">
        <f>IF($A125=Recto!$I$41,VLOOKUP($A125,Recto!$I$28:$L$44,4,FALSE),0)</f>
        <v>0</v>
      </c>
      <c r="P125" s="91">
        <f>IF($A125=Recto!$I$42,VLOOKUP($A125,Recto!$I$28:$L$44,4,FALSE),0)</f>
        <v>0</v>
      </c>
      <c r="Q125" s="91">
        <f>IF($A125=Recto!$I$43,VLOOKUP($A125,Recto!$I$28:$L$44,4,FALSE),0)</f>
        <v>0</v>
      </c>
      <c r="R125" s="91">
        <f>IF($A125=Recto!$I$44,VLOOKUP($A125,Recto!$I$28:$L$44,4,FALSE),0)</f>
        <v>0</v>
      </c>
      <c r="S125" s="295">
        <f t="shared" si="3"/>
        <v>0</v>
      </c>
    </row>
    <row r="126" spans="1:19" s="196" customFormat="1" x14ac:dyDescent="0.25">
      <c r="A126" s="136" t="s">
        <v>7437</v>
      </c>
      <c r="B126" s="91">
        <f>IF($A126=Recto!$I$28,VLOOKUP($A126,Recto!$I$28:$L$44,4,FALSE),0)</f>
        <v>0</v>
      </c>
      <c r="C126" s="91">
        <f>IF($A126=Recto!$I$29,VLOOKUP($A126,Recto!$I$28:$L$44,4,FALSE),0)</f>
        <v>0</v>
      </c>
      <c r="D126" s="91">
        <f>IF($A126=Recto!$I$30,VLOOKUP($A126,Recto!$I$28:$L$44,4,FALSE),0)</f>
        <v>0</v>
      </c>
      <c r="E126" s="91">
        <f>IF($A126=Recto!$I$31,VLOOKUP($A126,Recto!$I$28:$L$44,4,FALSE),0)</f>
        <v>0</v>
      </c>
      <c r="F126" s="91">
        <f>IF($A126=Recto!$I$32,VLOOKUP($A126,Recto!$I$28:$L$44,4,FALSE),0)</f>
        <v>0</v>
      </c>
      <c r="G126" s="91">
        <f>IF($A126=Recto!$I$33,VLOOKUP($A126,Recto!$I$28:$L$44,4,FALSE),0)</f>
        <v>0</v>
      </c>
      <c r="H126" s="91">
        <f>IF($A126=Recto!$I$34,VLOOKUP($A126,Recto!$I$28:$L$44,4,FALSE),0)</f>
        <v>0</v>
      </c>
      <c r="I126" s="91">
        <f>IF($A126=Recto!$I$35,VLOOKUP($A126,Recto!$I$28:$L$44,4,FALSE),0)</f>
        <v>0</v>
      </c>
      <c r="J126" s="91">
        <f>IF($A126=Recto!$I$36,VLOOKUP($A126,Recto!$I$28:$L$44,4,FALSE),0)</f>
        <v>0</v>
      </c>
      <c r="K126" s="91">
        <f>IF($A126=Recto!$I$37,VLOOKUP($A126,Recto!$I$28:$L$44,4,FALSE),0)</f>
        <v>0</v>
      </c>
      <c r="L126" s="91">
        <f>IF($A126=Recto!$I$38,VLOOKUP($A126,Recto!$I$28:$L$44,4,FALSE),0)</f>
        <v>0</v>
      </c>
      <c r="M126" s="91">
        <f>IF($A126=Recto!$I$39,VLOOKUP($A126,Recto!$I$28:$L$44,4,FALSE),0)</f>
        <v>0</v>
      </c>
      <c r="N126" s="91">
        <f>IF($A126=Recto!$I$40,VLOOKUP($A126,Recto!$I$28:$L$44,4,FALSE),0)</f>
        <v>0</v>
      </c>
      <c r="O126" s="91">
        <f>IF($A126=Recto!$I$41,VLOOKUP($A126,Recto!$I$28:$L$44,4,FALSE),0)</f>
        <v>0</v>
      </c>
      <c r="P126" s="91">
        <f>IF($A126=Recto!$I$42,VLOOKUP($A126,Recto!$I$28:$L$44,4,FALSE),0)</f>
        <v>0</v>
      </c>
      <c r="Q126" s="91">
        <f>IF($A126=Recto!$I$43,VLOOKUP($A126,Recto!$I$28:$L$44,4,FALSE),0)</f>
        <v>0</v>
      </c>
      <c r="R126" s="91">
        <f>IF($A126=Recto!$I$44,VLOOKUP($A126,Recto!$I$28:$L$44,4,FALSE),0)</f>
        <v>0</v>
      </c>
      <c r="S126" s="295">
        <f t="shared" si="3"/>
        <v>0</v>
      </c>
    </row>
    <row r="127" spans="1:19" x14ac:dyDescent="0.25">
      <c r="A127" s="500" t="s">
        <v>1340</v>
      </c>
      <c r="B127" s="91">
        <f>IF($A127=Recto!$I$28,VLOOKUP($A127,Recto!$I$28:$L$44,4,FALSE),0)</f>
        <v>0</v>
      </c>
      <c r="C127" s="91">
        <f>IF($A127=Recto!$I$29,VLOOKUP($A127,Recto!$I$28:$L$44,4,FALSE),0)</f>
        <v>0</v>
      </c>
      <c r="D127" s="91">
        <f>IF($A127=Recto!$I$30,VLOOKUP($A127,Recto!$I$28:$L$44,4,FALSE),0)</f>
        <v>0</v>
      </c>
      <c r="E127" s="91">
        <f>IF($A127=Recto!$I$31,VLOOKUP($A127,Recto!$I$28:$L$44,4,FALSE),0)</f>
        <v>0</v>
      </c>
      <c r="F127" s="91">
        <f>IF($A127=Recto!$I$32,VLOOKUP($A127,Recto!$I$28:$L$44,4,FALSE),0)</f>
        <v>0</v>
      </c>
      <c r="G127" s="91">
        <f>IF($A127=Recto!$I$33,VLOOKUP($A127,Recto!$I$28:$L$44,4,FALSE),0)</f>
        <v>0</v>
      </c>
      <c r="H127" s="91">
        <f>IF($A127=Recto!$I$34,VLOOKUP($A127,Recto!$I$28:$L$44,4,FALSE),0)</f>
        <v>0</v>
      </c>
      <c r="I127" s="91">
        <f>IF($A127=Recto!$I$35,VLOOKUP($A127,Recto!$I$28:$L$44,4,FALSE),0)</f>
        <v>0</v>
      </c>
      <c r="J127" s="91">
        <f>IF($A127=Recto!$I$36,VLOOKUP($A127,Recto!$I$28:$L$44,4,FALSE),0)</f>
        <v>0</v>
      </c>
      <c r="K127" s="91">
        <f>IF($A127=Recto!$I$37,VLOOKUP($A127,Recto!$I$28:$L$44,4,FALSE),0)</f>
        <v>0</v>
      </c>
      <c r="L127" s="91">
        <f>IF($A127=Recto!$I$38,VLOOKUP($A127,Recto!$I$28:$L$44,4,FALSE),0)</f>
        <v>0</v>
      </c>
      <c r="M127" s="91">
        <f>IF($A127=Recto!$I$39,VLOOKUP($A127,Recto!$I$28:$L$44,4,FALSE),0)</f>
        <v>0</v>
      </c>
      <c r="N127" s="91">
        <f>IF($A127=Recto!$I$40,VLOOKUP($A127,Recto!$I$28:$L$44,4,FALSE),0)</f>
        <v>0</v>
      </c>
      <c r="O127" s="91">
        <f>IF($A127=Recto!$I$41,VLOOKUP($A127,Recto!$I$28:$L$44,4,FALSE),0)</f>
        <v>0</v>
      </c>
      <c r="P127" s="91">
        <f>IF($A127=Recto!$I$42,VLOOKUP($A127,Recto!$I$28:$L$44,4,FALSE),0)</f>
        <v>0</v>
      </c>
      <c r="Q127" s="91">
        <f>IF($A127=Recto!$I$43,VLOOKUP($A127,Recto!$I$28:$L$44,4,FALSE),0)</f>
        <v>0</v>
      </c>
      <c r="R127" s="91">
        <f>IF($A127=Recto!$I$44,VLOOKUP($A127,Recto!$I$28:$L$44,4,FALSE),0)</f>
        <v>0</v>
      </c>
      <c r="S127" s="295">
        <f t="shared" si="3"/>
        <v>0</v>
      </c>
    </row>
    <row r="128" spans="1:19" x14ac:dyDescent="0.25">
      <c r="A128" s="500" t="s">
        <v>1388</v>
      </c>
      <c r="B128" s="91">
        <f>IF($A128=Recto!$I$28,VLOOKUP($A128,Recto!$I$28:$L$44,4,FALSE),0)</f>
        <v>0</v>
      </c>
      <c r="C128" s="91">
        <f>IF($A128=Recto!$I$29,VLOOKUP($A128,Recto!$I$28:$L$44,4,FALSE),0)</f>
        <v>0</v>
      </c>
      <c r="D128" s="91">
        <f>IF($A128=Recto!$I$30,VLOOKUP($A128,Recto!$I$28:$L$44,4,FALSE),0)</f>
        <v>0</v>
      </c>
      <c r="E128" s="91">
        <f>IF($A128=Recto!$I$31,VLOOKUP($A128,Recto!$I$28:$L$44,4,FALSE),0)</f>
        <v>0</v>
      </c>
      <c r="F128" s="91">
        <f>IF($A128=Recto!$I$32,VLOOKUP($A128,Recto!$I$28:$L$44,4,FALSE),0)</f>
        <v>0</v>
      </c>
      <c r="G128" s="91">
        <f>IF($A128=Recto!$I$33,VLOOKUP($A128,Recto!$I$28:$L$44,4,FALSE),0)</f>
        <v>0</v>
      </c>
      <c r="H128" s="91">
        <f>IF($A128=Recto!$I$34,VLOOKUP($A128,Recto!$I$28:$L$44,4,FALSE),0)</f>
        <v>0</v>
      </c>
      <c r="I128" s="91">
        <f>IF($A128=Recto!$I$35,VLOOKUP($A128,Recto!$I$28:$L$44,4,FALSE),0)</f>
        <v>0</v>
      </c>
      <c r="J128" s="91">
        <f>IF($A128=Recto!$I$36,VLOOKUP($A128,Recto!$I$28:$L$44,4,FALSE),0)</f>
        <v>0</v>
      </c>
      <c r="K128" s="91">
        <f>IF($A128=Recto!$I$37,VLOOKUP($A128,Recto!$I$28:$L$44,4,FALSE),0)</f>
        <v>0</v>
      </c>
      <c r="L128" s="91">
        <f>IF($A128=Recto!$I$38,VLOOKUP($A128,Recto!$I$28:$L$44,4,FALSE),0)</f>
        <v>0</v>
      </c>
      <c r="M128" s="91">
        <f>IF($A128=Recto!$I$39,VLOOKUP($A128,Recto!$I$28:$L$44,4,FALSE),0)</f>
        <v>0</v>
      </c>
      <c r="N128" s="91">
        <f>IF($A128=Recto!$I$40,VLOOKUP($A128,Recto!$I$28:$L$44,4,FALSE),0)</f>
        <v>0</v>
      </c>
      <c r="O128" s="91">
        <f>IF($A128=Recto!$I$41,VLOOKUP($A128,Recto!$I$28:$L$44,4,FALSE),0)</f>
        <v>0</v>
      </c>
      <c r="P128" s="91">
        <f>IF($A128=Recto!$I$42,VLOOKUP($A128,Recto!$I$28:$L$44,4,FALSE),0)</f>
        <v>0</v>
      </c>
      <c r="Q128" s="91">
        <f>IF($A128=Recto!$I$43,VLOOKUP($A128,Recto!$I$28:$L$44,4,FALSE),0)</f>
        <v>0</v>
      </c>
      <c r="R128" s="91">
        <f>IF($A128=Recto!$I$44,VLOOKUP($A128,Recto!$I$28:$L$44,4,FALSE),0)</f>
        <v>0</v>
      </c>
      <c r="S128" s="295">
        <f t="shared" si="3"/>
        <v>0</v>
      </c>
    </row>
    <row r="129" spans="1:19" x14ac:dyDescent="0.25">
      <c r="A129" s="500" t="s">
        <v>1384</v>
      </c>
      <c r="B129" s="91">
        <f>IF($A129=Recto!$I$28,VLOOKUP($A129,Recto!$I$28:$L$44,4,FALSE),0)</f>
        <v>0</v>
      </c>
      <c r="C129" s="91">
        <f>IF($A129=Recto!$I$29,VLOOKUP($A129,Recto!$I$28:$L$44,4,FALSE),0)</f>
        <v>0</v>
      </c>
      <c r="D129" s="91">
        <f>IF($A129=Recto!$I$30,VLOOKUP($A129,Recto!$I$28:$L$44,4,FALSE),0)</f>
        <v>0</v>
      </c>
      <c r="E129" s="91">
        <f>IF($A129=Recto!$I$31,VLOOKUP($A129,Recto!$I$28:$L$44,4,FALSE),0)</f>
        <v>0</v>
      </c>
      <c r="F129" s="91">
        <f>IF($A129=Recto!$I$32,VLOOKUP($A129,Recto!$I$28:$L$44,4,FALSE),0)</f>
        <v>0</v>
      </c>
      <c r="G129" s="91">
        <f>IF($A129=Recto!$I$33,VLOOKUP($A129,Recto!$I$28:$L$44,4,FALSE),0)</f>
        <v>0</v>
      </c>
      <c r="H129" s="91">
        <f>IF($A129=Recto!$I$34,VLOOKUP($A129,Recto!$I$28:$L$44,4,FALSE),0)</f>
        <v>0</v>
      </c>
      <c r="I129" s="91">
        <f>IF($A129=Recto!$I$35,VLOOKUP($A129,Recto!$I$28:$L$44,4,FALSE),0)</f>
        <v>0</v>
      </c>
      <c r="J129" s="91">
        <f>IF($A129=Recto!$I$36,VLOOKUP($A129,Recto!$I$28:$L$44,4,FALSE),0)</f>
        <v>0</v>
      </c>
      <c r="K129" s="91">
        <f>IF($A129=Recto!$I$37,VLOOKUP($A129,Recto!$I$28:$L$44,4,FALSE),0)</f>
        <v>0</v>
      </c>
      <c r="L129" s="91">
        <f>IF($A129=Recto!$I$38,VLOOKUP($A129,Recto!$I$28:$L$44,4,FALSE),0)</f>
        <v>0</v>
      </c>
      <c r="M129" s="91">
        <f>IF($A129=Recto!$I$39,VLOOKUP($A129,Recto!$I$28:$L$44,4,FALSE),0)</f>
        <v>0</v>
      </c>
      <c r="N129" s="91">
        <f>IF($A129=Recto!$I$40,VLOOKUP($A129,Recto!$I$28:$L$44,4,FALSE),0)</f>
        <v>0</v>
      </c>
      <c r="O129" s="91">
        <f>IF($A129=Recto!$I$41,VLOOKUP($A129,Recto!$I$28:$L$44,4,FALSE),0)</f>
        <v>0</v>
      </c>
      <c r="P129" s="91">
        <f>IF($A129=Recto!$I$42,VLOOKUP($A129,Recto!$I$28:$L$44,4,FALSE),0)</f>
        <v>0</v>
      </c>
      <c r="Q129" s="91">
        <f>IF($A129=Recto!$I$43,VLOOKUP($A129,Recto!$I$28:$L$44,4,FALSE),0)</f>
        <v>0</v>
      </c>
      <c r="R129" s="91">
        <f>IF($A129=Recto!$I$44,VLOOKUP($A129,Recto!$I$28:$L$44,4,FALSE),0)</f>
        <v>0</v>
      </c>
      <c r="S129" s="295">
        <f t="shared" si="3"/>
        <v>0</v>
      </c>
    </row>
    <row r="130" spans="1:19" x14ac:dyDescent="0.25">
      <c r="A130" s="500" t="s">
        <v>1317</v>
      </c>
      <c r="B130" s="91">
        <f>IF($A130=Recto!$I$28,VLOOKUP($A130,Recto!$I$28:$L$44,4,FALSE),0)</f>
        <v>0</v>
      </c>
      <c r="C130" s="91">
        <f>IF($A130=Recto!$I$29,VLOOKUP($A130,Recto!$I$28:$L$44,4,FALSE),0)</f>
        <v>0</v>
      </c>
      <c r="D130" s="91">
        <f>IF($A130=Recto!$I$30,VLOOKUP($A130,Recto!$I$28:$L$44,4,FALSE),0)</f>
        <v>0</v>
      </c>
      <c r="E130" s="91">
        <f>IF($A130=Recto!$I$31,VLOOKUP($A130,Recto!$I$28:$L$44,4,FALSE),0)</f>
        <v>0</v>
      </c>
      <c r="F130" s="91">
        <f>IF($A130=Recto!$I$32,VLOOKUP($A130,Recto!$I$28:$L$44,4,FALSE),0)</f>
        <v>0</v>
      </c>
      <c r="G130" s="91">
        <f>IF($A130=Recto!$I$33,VLOOKUP($A130,Recto!$I$28:$L$44,4,FALSE),0)</f>
        <v>0</v>
      </c>
      <c r="H130" s="91">
        <f>IF($A130=Recto!$I$34,VLOOKUP($A130,Recto!$I$28:$L$44,4,FALSE),0)</f>
        <v>0</v>
      </c>
      <c r="I130" s="91">
        <f>IF($A130=Recto!$I$35,VLOOKUP($A130,Recto!$I$28:$L$44,4,FALSE),0)</f>
        <v>0</v>
      </c>
      <c r="J130" s="91">
        <f>IF($A130=Recto!$I$36,VLOOKUP($A130,Recto!$I$28:$L$44,4,FALSE),0)</f>
        <v>0</v>
      </c>
      <c r="K130" s="91">
        <f>IF($A130=Recto!$I$37,VLOOKUP($A130,Recto!$I$28:$L$44,4,FALSE),0)</f>
        <v>0</v>
      </c>
      <c r="L130" s="91">
        <f>IF($A130=Recto!$I$38,VLOOKUP($A130,Recto!$I$28:$L$44,4,FALSE),0)</f>
        <v>0</v>
      </c>
      <c r="M130" s="91">
        <f>IF($A130=Recto!$I$39,VLOOKUP($A130,Recto!$I$28:$L$44,4,FALSE),0)</f>
        <v>0</v>
      </c>
      <c r="N130" s="91">
        <f>IF($A130=Recto!$I$40,VLOOKUP($A130,Recto!$I$28:$L$44,4,FALSE),0)</f>
        <v>0</v>
      </c>
      <c r="O130" s="91">
        <f>IF($A130=Recto!$I$41,VLOOKUP($A130,Recto!$I$28:$L$44,4,FALSE),0)</f>
        <v>0</v>
      </c>
      <c r="P130" s="91">
        <f>IF($A130=Recto!$I$42,VLOOKUP($A130,Recto!$I$28:$L$44,4,FALSE),0)</f>
        <v>0</v>
      </c>
      <c r="Q130" s="91">
        <f>IF($A130=Recto!$I$43,VLOOKUP($A130,Recto!$I$28:$L$44,4,FALSE),0)</f>
        <v>0</v>
      </c>
      <c r="R130" s="91">
        <f>IF($A130=Recto!$I$44,VLOOKUP($A130,Recto!$I$28:$L$44,4,FALSE),0)</f>
        <v>0</v>
      </c>
      <c r="S130" s="295">
        <f t="shared" si="3"/>
        <v>0</v>
      </c>
    </row>
    <row r="131" spans="1:19" x14ac:dyDescent="0.25">
      <c r="A131" s="500" t="s">
        <v>1331</v>
      </c>
      <c r="B131" s="91">
        <f>IF($A131=Recto!$I$28,VLOOKUP($A131,Recto!$I$28:$L$44,4,FALSE),0)</f>
        <v>0</v>
      </c>
      <c r="C131" s="91">
        <f>IF($A131=Recto!$I$29,VLOOKUP($A131,Recto!$I$28:$L$44,4,FALSE),0)</f>
        <v>0</v>
      </c>
      <c r="D131" s="91">
        <f>IF($A131=Recto!$I$30,VLOOKUP($A131,Recto!$I$28:$L$44,4,FALSE),0)</f>
        <v>0</v>
      </c>
      <c r="E131" s="91">
        <f>IF($A131=Recto!$I$31,VLOOKUP($A131,Recto!$I$28:$L$44,4,FALSE),0)</f>
        <v>0</v>
      </c>
      <c r="F131" s="91">
        <f>IF($A131=Recto!$I$32,VLOOKUP($A131,Recto!$I$28:$L$44,4,FALSE),0)</f>
        <v>0</v>
      </c>
      <c r="G131" s="91">
        <f>IF($A131=Recto!$I$33,VLOOKUP($A131,Recto!$I$28:$L$44,4,FALSE),0)</f>
        <v>0</v>
      </c>
      <c r="H131" s="91">
        <f>IF($A131=Recto!$I$34,VLOOKUP($A131,Recto!$I$28:$L$44,4,FALSE),0)</f>
        <v>0</v>
      </c>
      <c r="I131" s="91">
        <f>IF($A131=Recto!$I$35,VLOOKUP($A131,Recto!$I$28:$L$44,4,FALSE),0)</f>
        <v>0</v>
      </c>
      <c r="J131" s="91">
        <f>IF($A131=Recto!$I$36,VLOOKUP($A131,Recto!$I$28:$L$44,4,FALSE),0)</f>
        <v>0</v>
      </c>
      <c r="K131" s="91">
        <f>IF($A131=Recto!$I$37,VLOOKUP($A131,Recto!$I$28:$L$44,4,FALSE),0)</f>
        <v>0</v>
      </c>
      <c r="L131" s="91">
        <f>IF($A131=Recto!$I$38,VLOOKUP($A131,Recto!$I$28:$L$44,4,FALSE),0)</f>
        <v>0</v>
      </c>
      <c r="M131" s="91">
        <f>IF($A131=Recto!$I$39,VLOOKUP($A131,Recto!$I$28:$L$44,4,FALSE),0)</f>
        <v>0</v>
      </c>
      <c r="N131" s="91">
        <f>IF($A131=Recto!$I$40,VLOOKUP($A131,Recto!$I$28:$L$44,4,FALSE),0)</f>
        <v>0</v>
      </c>
      <c r="O131" s="91">
        <f>IF($A131=Recto!$I$41,VLOOKUP($A131,Recto!$I$28:$L$44,4,FALSE),0)</f>
        <v>0</v>
      </c>
      <c r="P131" s="91">
        <f>IF($A131=Recto!$I$42,VLOOKUP($A131,Recto!$I$28:$L$44,4,FALSE),0)</f>
        <v>0</v>
      </c>
      <c r="Q131" s="91">
        <f>IF($A131=Recto!$I$43,VLOOKUP($A131,Recto!$I$28:$L$44,4,FALSE),0)</f>
        <v>0</v>
      </c>
      <c r="R131" s="91">
        <f>IF($A131=Recto!$I$44,VLOOKUP($A131,Recto!$I$28:$L$44,4,FALSE),0)</f>
        <v>0</v>
      </c>
      <c r="S131" s="295">
        <f t="shared" si="3"/>
        <v>0</v>
      </c>
    </row>
    <row r="132" spans="1:19" x14ac:dyDescent="0.25">
      <c r="A132" s="500" t="s">
        <v>1368</v>
      </c>
      <c r="B132" s="91">
        <f>IF($A132=Recto!$I$28,VLOOKUP($A132,Recto!$I$28:$L$44,4,FALSE),0)</f>
        <v>0</v>
      </c>
      <c r="C132" s="91">
        <f>IF($A132=Recto!$I$29,VLOOKUP($A132,Recto!$I$28:$L$44,4,FALSE),0)</f>
        <v>0</v>
      </c>
      <c r="D132" s="91">
        <f>IF($A132=Recto!$I$30,VLOOKUP($A132,Recto!$I$28:$L$44,4,FALSE),0)</f>
        <v>0</v>
      </c>
      <c r="E132" s="91">
        <f>IF($A132=Recto!$I$31,VLOOKUP($A132,Recto!$I$28:$L$44,4,FALSE),0)</f>
        <v>0</v>
      </c>
      <c r="F132" s="91">
        <f>IF($A132=Recto!$I$32,VLOOKUP($A132,Recto!$I$28:$L$44,4,FALSE),0)</f>
        <v>0</v>
      </c>
      <c r="G132" s="91">
        <f>IF($A132=Recto!$I$33,VLOOKUP($A132,Recto!$I$28:$L$44,4,FALSE),0)</f>
        <v>0</v>
      </c>
      <c r="H132" s="91">
        <f>IF($A132=Recto!$I$34,VLOOKUP($A132,Recto!$I$28:$L$44,4,FALSE),0)</f>
        <v>0</v>
      </c>
      <c r="I132" s="91">
        <f>IF($A132=Recto!$I$35,VLOOKUP($A132,Recto!$I$28:$L$44,4,FALSE),0)</f>
        <v>0</v>
      </c>
      <c r="J132" s="91">
        <f>IF($A132=Recto!$I$36,VLOOKUP($A132,Recto!$I$28:$L$44,4,FALSE),0)</f>
        <v>0</v>
      </c>
      <c r="K132" s="91">
        <f>IF($A132=Recto!$I$37,VLOOKUP($A132,Recto!$I$28:$L$44,4,FALSE),0)</f>
        <v>0</v>
      </c>
      <c r="L132" s="91">
        <f>IF($A132=Recto!$I$38,VLOOKUP($A132,Recto!$I$28:$L$44,4,FALSE),0)</f>
        <v>0</v>
      </c>
      <c r="M132" s="91">
        <f>IF($A132=Recto!$I$39,VLOOKUP($A132,Recto!$I$28:$L$44,4,FALSE),0)</f>
        <v>0</v>
      </c>
      <c r="N132" s="91">
        <f>IF($A132=Recto!$I$40,VLOOKUP($A132,Recto!$I$28:$L$44,4,FALSE),0)</f>
        <v>0</v>
      </c>
      <c r="O132" s="91">
        <f>IF($A132=Recto!$I$41,VLOOKUP($A132,Recto!$I$28:$L$44,4,FALSE),0)</f>
        <v>0</v>
      </c>
      <c r="P132" s="91">
        <f>IF($A132=Recto!$I$42,VLOOKUP($A132,Recto!$I$28:$L$44,4,FALSE),0)</f>
        <v>0</v>
      </c>
      <c r="Q132" s="91">
        <f>IF($A132=Recto!$I$43,VLOOKUP($A132,Recto!$I$28:$L$44,4,FALSE),0)</f>
        <v>0</v>
      </c>
      <c r="R132" s="91">
        <f>IF($A132=Recto!$I$44,VLOOKUP($A132,Recto!$I$28:$L$44,4,FALSE),0)</f>
        <v>0</v>
      </c>
      <c r="S132" s="295">
        <f t="shared" si="3"/>
        <v>0</v>
      </c>
    </row>
    <row r="133" spans="1:19" x14ac:dyDescent="0.25">
      <c r="A133" s="500" t="s">
        <v>2977</v>
      </c>
      <c r="B133" s="91">
        <f>IF($A133=Recto!$I$28,VLOOKUP($A133,Recto!$I$28:$L$44,4,FALSE),0)</f>
        <v>0</v>
      </c>
      <c r="C133" s="91">
        <f>IF($A133=Recto!$I$29,VLOOKUP($A133,Recto!$I$28:$L$44,4,FALSE),0)</f>
        <v>0</v>
      </c>
      <c r="D133" s="91">
        <f>IF($A133=Recto!$I$30,VLOOKUP($A133,Recto!$I$28:$L$44,4,FALSE),0)</f>
        <v>0</v>
      </c>
      <c r="E133" s="91">
        <f>IF($A133=Recto!$I$31,VLOOKUP($A133,Recto!$I$28:$L$44,4,FALSE),0)</f>
        <v>0</v>
      </c>
      <c r="F133" s="91">
        <f>IF($A133=Recto!$I$32,VLOOKUP($A133,Recto!$I$28:$L$44,4,FALSE),0)</f>
        <v>0</v>
      </c>
      <c r="G133" s="91">
        <f>IF($A133=Recto!$I$33,VLOOKUP($A133,Recto!$I$28:$L$44,4,FALSE),0)</f>
        <v>0</v>
      </c>
      <c r="H133" s="91">
        <f>IF($A133=Recto!$I$34,VLOOKUP($A133,Recto!$I$28:$L$44,4,FALSE),0)</f>
        <v>0</v>
      </c>
      <c r="I133" s="91">
        <f>IF($A133=Recto!$I$35,VLOOKUP($A133,Recto!$I$28:$L$44,4,FALSE),0)</f>
        <v>0</v>
      </c>
      <c r="J133" s="91">
        <f>IF($A133=Recto!$I$36,VLOOKUP($A133,Recto!$I$28:$L$44,4,FALSE),0)</f>
        <v>0</v>
      </c>
      <c r="K133" s="91">
        <f>IF($A133=Recto!$I$37,VLOOKUP($A133,Recto!$I$28:$L$44,4,FALSE),0)</f>
        <v>0</v>
      </c>
      <c r="L133" s="91">
        <f>IF($A133=Recto!$I$38,VLOOKUP($A133,Recto!$I$28:$L$44,4,FALSE),0)</f>
        <v>0</v>
      </c>
      <c r="M133" s="91">
        <f>IF($A133=Recto!$I$39,VLOOKUP($A133,Recto!$I$28:$L$44,4,FALSE),0)</f>
        <v>0</v>
      </c>
      <c r="N133" s="91">
        <f>IF($A133=Recto!$I$40,VLOOKUP($A133,Recto!$I$28:$L$44,4,FALSE),0)</f>
        <v>0</v>
      </c>
      <c r="O133" s="91">
        <f>IF($A133=Recto!$I$41,VLOOKUP($A133,Recto!$I$28:$L$44,4,FALSE),0)</f>
        <v>0</v>
      </c>
      <c r="P133" s="91">
        <f>IF($A133=Recto!$I$42,VLOOKUP($A133,Recto!$I$28:$L$44,4,FALSE),0)</f>
        <v>0</v>
      </c>
      <c r="Q133" s="91">
        <f>IF($A133=Recto!$I$43,VLOOKUP($A133,Recto!$I$28:$L$44,4,FALSE),0)</f>
        <v>0</v>
      </c>
      <c r="R133" s="91">
        <f>IF($A133=Recto!$I$44,VLOOKUP($A133,Recto!$I$28:$L$44,4,FALSE),0)</f>
        <v>0</v>
      </c>
      <c r="S133" s="295">
        <f t="shared" si="3"/>
        <v>0</v>
      </c>
    </row>
    <row r="134" spans="1:19" x14ac:dyDescent="0.25">
      <c r="A134" s="500" t="s">
        <v>3182</v>
      </c>
      <c r="B134" s="91">
        <f>IF($A134=Recto!$I$28,VLOOKUP($A134,Recto!$I$28:$L$44,4,FALSE),0)</f>
        <v>0</v>
      </c>
      <c r="C134" s="91">
        <f>IF($A134=Recto!$I$29,VLOOKUP($A134,Recto!$I$28:$L$44,4,FALSE),0)</f>
        <v>0</v>
      </c>
      <c r="D134" s="91">
        <f>IF($A134=Recto!$I$30,VLOOKUP($A134,Recto!$I$28:$L$44,4,FALSE),0)</f>
        <v>0</v>
      </c>
      <c r="E134" s="91">
        <f>IF($A134=Recto!$I$31,VLOOKUP($A134,Recto!$I$28:$L$44,4,FALSE),0)</f>
        <v>0</v>
      </c>
      <c r="F134" s="91">
        <f>IF($A134=Recto!$I$32,VLOOKUP($A134,Recto!$I$28:$L$44,4,FALSE),0)</f>
        <v>0</v>
      </c>
      <c r="G134" s="91">
        <f>IF($A134=Recto!$I$33,VLOOKUP($A134,Recto!$I$28:$L$44,4,FALSE),0)</f>
        <v>0</v>
      </c>
      <c r="H134" s="91">
        <f>IF($A134=Recto!$I$34,VLOOKUP($A134,Recto!$I$28:$L$44,4,FALSE),0)</f>
        <v>0</v>
      </c>
      <c r="I134" s="91">
        <f>IF($A134=Recto!$I$35,VLOOKUP($A134,Recto!$I$28:$L$44,4,FALSE),0)</f>
        <v>0</v>
      </c>
      <c r="J134" s="91">
        <f>IF($A134=Recto!$I$36,VLOOKUP($A134,Recto!$I$28:$L$44,4,FALSE),0)</f>
        <v>0</v>
      </c>
      <c r="K134" s="91">
        <f>IF($A134=Recto!$I$37,VLOOKUP($A134,Recto!$I$28:$L$44,4,FALSE),0)</f>
        <v>0</v>
      </c>
      <c r="L134" s="91">
        <f>IF($A134=Recto!$I$38,VLOOKUP($A134,Recto!$I$28:$L$44,4,FALSE),0)</f>
        <v>0</v>
      </c>
      <c r="M134" s="91">
        <f>IF($A134=Recto!$I$39,VLOOKUP($A134,Recto!$I$28:$L$44,4,FALSE),0)</f>
        <v>0</v>
      </c>
      <c r="N134" s="91">
        <f>IF($A134=Recto!$I$40,VLOOKUP($A134,Recto!$I$28:$L$44,4,FALSE),0)</f>
        <v>0</v>
      </c>
      <c r="O134" s="91">
        <f>IF($A134=Recto!$I$41,VLOOKUP($A134,Recto!$I$28:$L$44,4,FALSE),0)</f>
        <v>0</v>
      </c>
      <c r="P134" s="91">
        <f>IF($A134=Recto!$I$42,VLOOKUP($A134,Recto!$I$28:$L$44,4,FALSE),0)</f>
        <v>0</v>
      </c>
      <c r="Q134" s="91">
        <f>IF($A134=Recto!$I$43,VLOOKUP($A134,Recto!$I$28:$L$44,4,FALSE),0)</f>
        <v>0</v>
      </c>
      <c r="R134" s="91">
        <f>IF($A134=Recto!$I$44,VLOOKUP($A134,Recto!$I$28:$L$44,4,FALSE),0)</f>
        <v>0</v>
      </c>
      <c r="S134" s="295">
        <f t="shared" si="3"/>
        <v>0</v>
      </c>
    </row>
    <row r="135" spans="1:19" x14ac:dyDescent="0.25">
      <c r="A135" s="500" t="s">
        <v>3183</v>
      </c>
      <c r="B135" s="91">
        <f>IF($A135=Recto!$I$28,VLOOKUP($A135,Recto!$I$28:$L$44,4,FALSE),0)</f>
        <v>0</v>
      </c>
      <c r="C135" s="91">
        <f>IF($A135=Recto!$I$29,VLOOKUP($A135,Recto!$I$28:$L$44,4,FALSE),0)</f>
        <v>0</v>
      </c>
      <c r="D135" s="91">
        <f>IF($A135=Recto!$I$30,VLOOKUP($A135,Recto!$I$28:$L$44,4,FALSE),0)</f>
        <v>0</v>
      </c>
      <c r="E135" s="91">
        <f>IF($A135=Recto!$I$31,VLOOKUP($A135,Recto!$I$28:$L$44,4,FALSE),0)</f>
        <v>0</v>
      </c>
      <c r="F135" s="91">
        <f>IF($A135=Recto!$I$32,VLOOKUP($A135,Recto!$I$28:$L$44,4,FALSE),0)</f>
        <v>0</v>
      </c>
      <c r="G135" s="91">
        <f>IF($A135=Recto!$I$33,VLOOKUP($A135,Recto!$I$28:$L$44,4,FALSE),0)</f>
        <v>0</v>
      </c>
      <c r="H135" s="91">
        <f>IF($A135=Recto!$I$34,VLOOKUP($A135,Recto!$I$28:$L$44,4,FALSE),0)</f>
        <v>0</v>
      </c>
      <c r="I135" s="91">
        <f>IF($A135=Recto!$I$35,VLOOKUP($A135,Recto!$I$28:$L$44,4,FALSE),0)</f>
        <v>0</v>
      </c>
      <c r="J135" s="91">
        <f>IF($A135=Recto!$I$36,VLOOKUP($A135,Recto!$I$28:$L$44,4,FALSE),0)</f>
        <v>0</v>
      </c>
      <c r="K135" s="91">
        <f>IF($A135=Recto!$I$37,VLOOKUP($A135,Recto!$I$28:$L$44,4,FALSE),0)</f>
        <v>0</v>
      </c>
      <c r="L135" s="91">
        <f>IF($A135=Recto!$I$38,VLOOKUP($A135,Recto!$I$28:$L$44,4,FALSE),0)</f>
        <v>0</v>
      </c>
      <c r="M135" s="91">
        <f>IF($A135=Recto!$I$39,VLOOKUP($A135,Recto!$I$28:$L$44,4,FALSE),0)</f>
        <v>0</v>
      </c>
      <c r="N135" s="91">
        <f>IF($A135=Recto!$I$40,VLOOKUP($A135,Recto!$I$28:$L$44,4,FALSE),0)</f>
        <v>0</v>
      </c>
      <c r="O135" s="91">
        <f>IF($A135=Recto!$I$41,VLOOKUP($A135,Recto!$I$28:$L$44,4,FALSE),0)</f>
        <v>0</v>
      </c>
      <c r="P135" s="91">
        <f>IF($A135=Recto!$I$42,VLOOKUP($A135,Recto!$I$28:$L$44,4,FALSE),0)</f>
        <v>0</v>
      </c>
      <c r="Q135" s="91">
        <f>IF($A135=Recto!$I$43,VLOOKUP($A135,Recto!$I$28:$L$44,4,FALSE),0)</f>
        <v>0</v>
      </c>
      <c r="R135" s="91">
        <f>IF($A135=Recto!$I$44,VLOOKUP($A135,Recto!$I$28:$L$44,4,FALSE),0)</f>
        <v>0</v>
      </c>
      <c r="S135" s="295">
        <f t="shared" si="3"/>
        <v>0</v>
      </c>
    </row>
    <row r="136" spans="1:19" s="196" customFormat="1" x14ac:dyDescent="0.25">
      <c r="A136" s="136" t="s">
        <v>7874</v>
      </c>
      <c r="B136" s="91">
        <f>IF($A136=Recto!$I$28,VLOOKUP($A136,Recto!$I$28:$L$44,4,FALSE),0)</f>
        <v>0</v>
      </c>
      <c r="C136" s="91">
        <f>IF($A136=Recto!$I$29,VLOOKUP($A136,Recto!$I$28:$L$44,4,FALSE),0)</f>
        <v>0</v>
      </c>
      <c r="D136" s="91">
        <f>IF($A136=Recto!$I$30,VLOOKUP($A136,Recto!$I$28:$L$44,4,FALSE),0)</f>
        <v>0</v>
      </c>
      <c r="E136" s="91">
        <f>IF($A136=Recto!$I$31,VLOOKUP($A136,Recto!$I$28:$L$44,4,FALSE),0)</f>
        <v>0</v>
      </c>
      <c r="F136" s="91">
        <f>IF($A136=Recto!$I$32,VLOOKUP($A136,Recto!$I$28:$L$44,4,FALSE),0)</f>
        <v>0</v>
      </c>
      <c r="G136" s="91">
        <f>IF($A136=Recto!$I$33,VLOOKUP($A136,Recto!$I$28:$L$44,4,FALSE),0)</f>
        <v>0</v>
      </c>
      <c r="H136" s="91">
        <f>IF($A136=Recto!$I$34,VLOOKUP($A136,Recto!$I$28:$L$44,4,FALSE),0)</f>
        <v>0</v>
      </c>
      <c r="I136" s="91">
        <f>IF($A136=Recto!$I$35,VLOOKUP($A136,Recto!$I$28:$L$44,4,FALSE),0)</f>
        <v>0</v>
      </c>
      <c r="J136" s="91">
        <f>IF($A136=Recto!$I$36,VLOOKUP($A136,Recto!$I$28:$L$44,4,FALSE),0)</f>
        <v>0</v>
      </c>
      <c r="K136" s="91">
        <f>IF($A136=Recto!$I$37,VLOOKUP($A136,Recto!$I$28:$L$44,4,FALSE),0)</f>
        <v>0</v>
      </c>
      <c r="L136" s="91">
        <f>IF($A136=Recto!$I$38,VLOOKUP($A136,Recto!$I$28:$L$44,4,FALSE),0)</f>
        <v>0</v>
      </c>
      <c r="M136" s="91">
        <f>IF($A136=Recto!$I$39,VLOOKUP($A136,Recto!$I$28:$L$44,4,FALSE),0)</f>
        <v>0</v>
      </c>
      <c r="N136" s="91">
        <f>IF($A136=Recto!$I$40,VLOOKUP($A136,Recto!$I$28:$L$44,4,FALSE),0)</f>
        <v>0</v>
      </c>
      <c r="O136" s="91">
        <f>IF($A136=Recto!$I$41,VLOOKUP($A136,Recto!$I$28:$L$44,4,FALSE),0)</f>
        <v>0</v>
      </c>
      <c r="P136" s="91">
        <f>IF($A136=Recto!$I$42,VLOOKUP($A136,Recto!$I$28:$L$44,4,FALSE),0)</f>
        <v>0</v>
      </c>
      <c r="Q136" s="91">
        <f>IF($A136=Recto!$I$43,VLOOKUP($A136,Recto!$I$28:$L$44,4,FALSE),0)</f>
        <v>0</v>
      </c>
      <c r="R136" s="91">
        <f>IF($A136=Recto!$I$44,VLOOKUP($A136,Recto!$I$28:$L$44,4,FALSE),0)</f>
        <v>0</v>
      </c>
      <c r="S136" s="295">
        <f t="shared" si="3"/>
        <v>0</v>
      </c>
    </row>
    <row r="137" spans="1:19" x14ac:dyDescent="0.25">
      <c r="A137" s="500" t="s">
        <v>3184</v>
      </c>
      <c r="B137" s="91">
        <f>IF($A137=Recto!$I$28,VLOOKUP($A137,Recto!$I$28:$L$44,4,FALSE),0)</f>
        <v>0</v>
      </c>
      <c r="C137" s="91">
        <f>IF($A137=Recto!$I$29,VLOOKUP($A137,Recto!$I$28:$L$44,4,FALSE),0)</f>
        <v>0</v>
      </c>
      <c r="D137" s="91">
        <f>IF($A137=Recto!$I$30,VLOOKUP($A137,Recto!$I$28:$L$44,4,FALSE),0)</f>
        <v>0</v>
      </c>
      <c r="E137" s="91">
        <f>IF($A137=Recto!$I$31,VLOOKUP($A137,Recto!$I$28:$L$44,4,FALSE),0)</f>
        <v>0</v>
      </c>
      <c r="F137" s="91">
        <f>IF($A137=Recto!$I$32,VLOOKUP($A137,Recto!$I$28:$L$44,4,FALSE),0)</f>
        <v>0</v>
      </c>
      <c r="G137" s="91">
        <f>IF($A137=Recto!$I$33,VLOOKUP($A137,Recto!$I$28:$L$44,4,FALSE),0)</f>
        <v>0</v>
      </c>
      <c r="H137" s="91">
        <f>IF($A137=Recto!$I$34,VLOOKUP($A137,Recto!$I$28:$L$44,4,FALSE),0)</f>
        <v>0</v>
      </c>
      <c r="I137" s="91">
        <f>IF($A137=Recto!$I$35,VLOOKUP($A137,Recto!$I$28:$L$44,4,FALSE),0)</f>
        <v>0</v>
      </c>
      <c r="J137" s="91">
        <f>IF($A137=Recto!$I$36,VLOOKUP($A137,Recto!$I$28:$L$44,4,FALSE),0)</f>
        <v>0</v>
      </c>
      <c r="K137" s="91">
        <f>IF($A137=Recto!$I$37,VLOOKUP($A137,Recto!$I$28:$L$44,4,FALSE),0)</f>
        <v>0</v>
      </c>
      <c r="L137" s="91">
        <f>IF($A137=Recto!$I$38,VLOOKUP($A137,Recto!$I$28:$L$44,4,FALSE),0)</f>
        <v>0</v>
      </c>
      <c r="M137" s="91">
        <f>IF($A137=Recto!$I$39,VLOOKUP($A137,Recto!$I$28:$L$44,4,FALSE),0)</f>
        <v>0</v>
      </c>
      <c r="N137" s="91">
        <f>IF($A137=Recto!$I$40,VLOOKUP($A137,Recto!$I$28:$L$44,4,FALSE),0)</f>
        <v>0</v>
      </c>
      <c r="O137" s="91">
        <f>IF($A137=Recto!$I$41,VLOOKUP($A137,Recto!$I$28:$L$44,4,FALSE),0)</f>
        <v>0</v>
      </c>
      <c r="P137" s="91">
        <f>IF($A137=Recto!$I$42,VLOOKUP($A137,Recto!$I$28:$L$44,4,FALSE),0)</f>
        <v>0</v>
      </c>
      <c r="Q137" s="91">
        <f>IF($A137=Recto!$I$43,VLOOKUP($A137,Recto!$I$28:$L$44,4,FALSE),0)</f>
        <v>0</v>
      </c>
      <c r="R137" s="91">
        <f>IF($A137=Recto!$I$44,VLOOKUP($A137,Recto!$I$28:$L$44,4,FALSE),0)</f>
        <v>0</v>
      </c>
      <c r="S137" s="295">
        <f t="shared" si="3"/>
        <v>0</v>
      </c>
    </row>
    <row r="138" spans="1:19" s="196" customFormat="1" x14ac:dyDescent="0.25">
      <c r="A138" s="500" t="s">
        <v>7875</v>
      </c>
      <c r="B138" s="91">
        <f>IF($A138=Recto!$I$28,VLOOKUP($A138,Recto!$I$28:$L$44,4,FALSE),0)</f>
        <v>0</v>
      </c>
      <c r="C138" s="91">
        <f>IF($A138=Recto!$I$29,VLOOKUP($A138,Recto!$I$28:$L$44,4,FALSE),0)</f>
        <v>0</v>
      </c>
      <c r="D138" s="91">
        <f>IF($A138=Recto!$I$30,VLOOKUP($A138,Recto!$I$28:$L$44,4,FALSE),0)</f>
        <v>0</v>
      </c>
      <c r="E138" s="91">
        <f>IF($A138=Recto!$I$31,VLOOKUP($A138,Recto!$I$28:$L$44,4,FALSE),0)</f>
        <v>0</v>
      </c>
      <c r="F138" s="91">
        <f>IF($A138=Recto!$I$32,VLOOKUP($A138,Recto!$I$28:$L$44,4,FALSE),0)</f>
        <v>0</v>
      </c>
      <c r="G138" s="91">
        <f>IF($A138=Recto!$I$33,VLOOKUP($A138,Recto!$I$28:$L$44,4,FALSE),0)</f>
        <v>0</v>
      </c>
      <c r="H138" s="91">
        <f>IF($A138=Recto!$I$34,VLOOKUP($A138,Recto!$I$28:$L$44,4,FALSE),0)</f>
        <v>0</v>
      </c>
      <c r="I138" s="91">
        <f>IF($A138=Recto!$I$35,VLOOKUP($A138,Recto!$I$28:$L$44,4,FALSE),0)</f>
        <v>0</v>
      </c>
      <c r="J138" s="91">
        <f>IF($A138=Recto!$I$36,VLOOKUP($A138,Recto!$I$28:$L$44,4,FALSE),0)</f>
        <v>0</v>
      </c>
      <c r="K138" s="91">
        <f>IF($A138=Recto!$I$37,VLOOKUP($A138,Recto!$I$28:$L$44,4,FALSE),0)</f>
        <v>0</v>
      </c>
      <c r="L138" s="91">
        <f>IF($A138=Recto!$I$38,VLOOKUP($A138,Recto!$I$28:$L$44,4,FALSE),0)</f>
        <v>0</v>
      </c>
      <c r="M138" s="91">
        <f>IF($A138=Recto!$I$39,VLOOKUP($A138,Recto!$I$28:$L$44,4,FALSE),0)</f>
        <v>0</v>
      </c>
      <c r="N138" s="91">
        <f>IF($A138=Recto!$I$40,VLOOKUP($A138,Recto!$I$28:$L$44,4,FALSE),0)</f>
        <v>0</v>
      </c>
      <c r="O138" s="91">
        <f>IF($A138=Recto!$I$41,VLOOKUP($A138,Recto!$I$28:$L$44,4,FALSE),0)</f>
        <v>0</v>
      </c>
      <c r="P138" s="91">
        <f>IF($A138=Recto!$I$42,VLOOKUP($A138,Recto!$I$28:$L$44,4,FALSE),0)</f>
        <v>0</v>
      </c>
      <c r="Q138" s="91">
        <f>IF($A138=Recto!$I$43,VLOOKUP($A138,Recto!$I$28:$L$44,4,FALSE),0)</f>
        <v>0</v>
      </c>
      <c r="R138" s="91">
        <f>IF($A138=Recto!$I$44,VLOOKUP($A138,Recto!$I$28:$L$44,4,FALSE),0)</f>
        <v>0</v>
      </c>
      <c r="S138" s="295">
        <f t="shared" si="3"/>
        <v>0</v>
      </c>
    </row>
    <row r="139" spans="1:19" x14ac:dyDescent="0.25">
      <c r="A139" s="500" t="s">
        <v>3297</v>
      </c>
      <c r="B139" s="91">
        <f>IF($A139=Recto!$I$28,VLOOKUP($A139,Recto!$I$28:$L$44,4,FALSE),0)</f>
        <v>0</v>
      </c>
      <c r="C139" s="91">
        <f>IF($A139=Recto!$I$29,VLOOKUP($A139,Recto!$I$28:$L$44,4,FALSE),0)</f>
        <v>0</v>
      </c>
      <c r="D139" s="91">
        <f>IF($A139=Recto!$I$30,VLOOKUP($A139,Recto!$I$28:$L$44,4,FALSE),0)</f>
        <v>0</v>
      </c>
      <c r="E139" s="91">
        <f>IF($A139=Recto!$I$31,VLOOKUP($A139,Recto!$I$28:$L$44,4,FALSE),0)</f>
        <v>0</v>
      </c>
      <c r="F139" s="91">
        <f>IF($A139=Recto!$I$32,VLOOKUP($A139,Recto!$I$28:$L$44,4,FALSE),0)</f>
        <v>0</v>
      </c>
      <c r="G139" s="91">
        <f>IF($A139=Recto!$I$33,VLOOKUP($A139,Recto!$I$28:$L$44,4,FALSE),0)</f>
        <v>0</v>
      </c>
      <c r="H139" s="91">
        <f>IF($A139=Recto!$I$34,VLOOKUP($A139,Recto!$I$28:$L$44,4,FALSE),0)</f>
        <v>0</v>
      </c>
      <c r="I139" s="91">
        <f>IF($A139=Recto!$I$35,VLOOKUP($A139,Recto!$I$28:$L$44,4,FALSE),0)</f>
        <v>0</v>
      </c>
      <c r="J139" s="91">
        <f>IF($A139=Recto!$I$36,VLOOKUP($A139,Recto!$I$28:$L$44,4,FALSE),0)</f>
        <v>0</v>
      </c>
      <c r="K139" s="91">
        <f>IF($A139=Recto!$I$37,VLOOKUP($A139,Recto!$I$28:$L$44,4,FALSE),0)</f>
        <v>0</v>
      </c>
      <c r="L139" s="91">
        <f>IF($A139=Recto!$I$38,VLOOKUP($A139,Recto!$I$28:$L$44,4,FALSE),0)</f>
        <v>0</v>
      </c>
      <c r="M139" s="91">
        <f>IF($A139=Recto!$I$39,VLOOKUP($A139,Recto!$I$28:$L$44,4,FALSE),0)</f>
        <v>0</v>
      </c>
      <c r="N139" s="91">
        <f>IF($A139=Recto!$I$40,VLOOKUP($A139,Recto!$I$28:$L$44,4,FALSE),0)</f>
        <v>0</v>
      </c>
      <c r="O139" s="91">
        <f>IF($A139=Recto!$I$41,VLOOKUP($A139,Recto!$I$28:$L$44,4,FALSE),0)</f>
        <v>0</v>
      </c>
      <c r="P139" s="91">
        <f>IF($A139=Recto!$I$42,VLOOKUP($A139,Recto!$I$28:$L$44,4,FALSE),0)</f>
        <v>0</v>
      </c>
      <c r="Q139" s="91">
        <f>IF($A139=Recto!$I$43,VLOOKUP($A139,Recto!$I$28:$L$44,4,FALSE),0)</f>
        <v>0</v>
      </c>
      <c r="R139" s="91">
        <f>IF($A139=Recto!$I$44,VLOOKUP($A139,Recto!$I$28:$L$44,4,FALSE),0)</f>
        <v>0</v>
      </c>
      <c r="S139" s="295">
        <f t="shared" si="3"/>
        <v>0</v>
      </c>
    </row>
    <row r="140" spans="1:19" x14ac:dyDescent="0.25">
      <c r="A140" s="500" t="s">
        <v>3191</v>
      </c>
      <c r="B140" s="91">
        <f>IF($A140=Recto!$I$28,VLOOKUP($A140,Recto!$I$28:$L$44,4,FALSE),0)</f>
        <v>0</v>
      </c>
      <c r="C140" s="91">
        <f>IF($A140=Recto!$I$29,VLOOKUP($A140,Recto!$I$28:$L$44,4,FALSE),0)</f>
        <v>0</v>
      </c>
      <c r="D140" s="91">
        <f>IF($A140=Recto!$I$30,VLOOKUP($A140,Recto!$I$28:$L$44,4,FALSE),0)</f>
        <v>0</v>
      </c>
      <c r="E140" s="91">
        <f>IF($A140=Recto!$I$31,VLOOKUP($A140,Recto!$I$28:$L$44,4,FALSE),0)</f>
        <v>0</v>
      </c>
      <c r="F140" s="91">
        <f>IF($A140=Recto!$I$32,VLOOKUP($A140,Recto!$I$28:$L$44,4,FALSE),0)</f>
        <v>0</v>
      </c>
      <c r="G140" s="91">
        <f>IF($A140=Recto!$I$33,VLOOKUP($A140,Recto!$I$28:$L$44,4,FALSE),0)</f>
        <v>0</v>
      </c>
      <c r="H140" s="91">
        <f>IF($A140=Recto!$I$34,VLOOKUP($A140,Recto!$I$28:$L$44,4,FALSE),0)</f>
        <v>0</v>
      </c>
      <c r="I140" s="91">
        <f>IF($A140=Recto!$I$35,VLOOKUP($A140,Recto!$I$28:$L$44,4,FALSE),0)</f>
        <v>0</v>
      </c>
      <c r="J140" s="91">
        <f>IF($A140=Recto!$I$36,VLOOKUP($A140,Recto!$I$28:$L$44,4,FALSE),0)</f>
        <v>0</v>
      </c>
      <c r="K140" s="91">
        <f>IF($A140=Recto!$I$37,VLOOKUP($A140,Recto!$I$28:$L$44,4,FALSE),0)</f>
        <v>0</v>
      </c>
      <c r="L140" s="91">
        <f>IF($A140=Recto!$I$38,VLOOKUP($A140,Recto!$I$28:$L$44,4,FALSE),0)</f>
        <v>0</v>
      </c>
      <c r="M140" s="91">
        <f>IF($A140=Recto!$I$39,VLOOKUP($A140,Recto!$I$28:$L$44,4,FALSE),0)</f>
        <v>0</v>
      </c>
      <c r="N140" s="91">
        <f>IF($A140=Recto!$I$40,VLOOKUP($A140,Recto!$I$28:$L$44,4,FALSE),0)</f>
        <v>0</v>
      </c>
      <c r="O140" s="91">
        <f>IF($A140=Recto!$I$41,VLOOKUP($A140,Recto!$I$28:$L$44,4,FALSE),0)</f>
        <v>0</v>
      </c>
      <c r="P140" s="91">
        <f>IF($A140=Recto!$I$42,VLOOKUP($A140,Recto!$I$28:$L$44,4,FALSE),0)</f>
        <v>0</v>
      </c>
      <c r="Q140" s="91">
        <f>IF($A140=Recto!$I$43,VLOOKUP($A140,Recto!$I$28:$L$44,4,FALSE),0)</f>
        <v>0</v>
      </c>
      <c r="R140" s="91">
        <f>IF($A140=Recto!$I$44,VLOOKUP($A140,Recto!$I$28:$L$44,4,FALSE),0)</f>
        <v>0</v>
      </c>
      <c r="S140" s="295">
        <f t="shared" si="3"/>
        <v>0</v>
      </c>
    </row>
    <row r="141" spans="1:19" x14ac:dyDescent="0.25">
      <c r="A141" s="500" t="s">
        <v>384</v>
      </c>
      <c r="B141" s="91">
        <f>IF($A141=Recto!$I$28,VLOOKUP($A141,Recto!$I$28:$L$44,4,FALSE),0)</f>
        <v>0</v>
      </c>
      <c r="C141" s="91">
        <f>IF($A141=Recto!$I$29,VLOOKUP($A141,Recto!$I$28:$L$44,4,FALSE),0)</f>
        <v>0</v>
      </c>
      <c r="D141" s="91">
        <f>IF($A141=Recto!$I$30,VLOOKUP($A141,Recto!$I$28:$L$44,4,FALSE),0)</f>
        <v>0</v>
      </c>
      <c r="E141" s="91">
        <f>IF($A141=Recto!$I$31,VLOOKUP($A141,Recto!$I$28:$L$44,4,FALSE),0)</f>
        <v>0</v>
      </c>
      <c r="F141" s="91">
        <f>IF($A141=Recto!$I$32,VLOOKUP($A141,Recto!$I$28:$L$44,4,FALSE),0)</f>
        <v>0</v>
      </c>
      <c r="G141" s="91">
        <f>IF($A141=Recto!$I$33,VLOOKUP($A141,Recto!$I$28:$L$44,4,FALSE),0)</f>
        <v>0</v>
      </c>
      <c r="H141" s="91">
        <f>IF($A141=Recto!$I$34,VLOOKUP($A141,Recto!$I$28:$L$44,4,FALSE),0)</f>
        <v>0</v>
      </c>
      <c r="I141" s="91">
        <f>IF($A141=Recto!$I$35,VLOOKUP($A141,Recto!$I$28:$L$44,4,FALSE),0)</f>
        <v>0</v>
      </c>
      <c r="J141" s="91">
        <f>IF($A141=Recto!$I$36,VLOOKUP($A141,Recto!$I$28:$L$44,4,FALSE),0)</f>
        <v>0</v>
      </c>
      <c r="K141" s="91">
        <f>IF($A141=Recto!$I$37,VLOOKUP($A141,Recto!$I$28:$L$44,4,FALSE),0)</f>
        <v>0</v>
      </c>
      <c r="L141" s="91">
        <f>IF($A141=Recto!$I$38,VLOOKUP($A141,Recto!$I$28:$L$44,4,FALSE),0)</f>
        <v>0</v>
      </c>
      <c r="M141" s="91">
        <f>IF($A141=Recto!$I$39,VLOOKUP($A141,Recto!$I$28:$L$44,4,FALSE),0)</f>
        <v>0</v>
      </c>
      <c r="N141" s="91">
        <f>IF($A141=Recto!$I$40,VLOOKUP($A141,Recto!$I$28:$L$44,4,FALSE),0)</f>
        <v>0</v>
      </c>
      <c r="O141" s="91">
        <f>IF($A141=Recto!$I$41,VLOOKUP($A141,Recto!$I$28:$L$44,4,FALSE),0)</f>
        <v>0</v>
      </c>
      <c r="P141" s="91">
        <f>IF($A141=Recto!$I$42,VLOOKUP($A141,Recto!$I$28:$L$44,4,FALSE),0)</f>
        <v>0</v>
      </c>
      <c r="Q141" s="91">
        <f>IF($A141=Recto!$I$43,VLOOKUP($A141,Recto!$I$28:$L$44,4,FALSE),0)</f>
        <v>0</v>
      </c>
      <c r="R141" s="91">
        <f>IF($A141=Recto!$I$44,VLOOKUP($A141,Recto!$I$28:$L$44,4,FALSE),0)</f>
        <v>0</v>
      </c>
      <c r="S141" s="295">
        <f t="shared" si="3"/>
        <v>0</v>
      </c>
    </row>
    <row r="142" spans="1:19" x14ac:dyDescent="0.25">
      <c r="A142" s="500" t="s">
        <v>1330</v>
      </c>
      <c r="B142" s="91">
        <f>IF($A142=Recto!$I$28,VLOOKUP($A142,Recto!$I$28:$L$44,4,FALSE),0)</f>
        <v>0</v>
      </c>
      <c r="C142" s="91">
        <f>IF($A142=Recto!$I$29,VLOOKUP($A142,Recto!$I$28:$L$44,4,FALSE),0)</f>
        <v>0</v>
      </c>
      <c r="D142" s="91">
        <f>IF($A142=Recto!$I$30,VLOOKUP($A142,Recto!$I$28:$L$44,4,FALSE),0)</f>
        <v>0</v>
      </c>
      <c r="E142" s="91">
        <f>IF($A142=Recto!$I$31,VLOOKUP($A142,Recto!$I$28:$L$44,4,FALSE),0)</f>
        <v>0</v>
      </c>
      <c r="F142" s="91">
        <f>IF($A142=Recto!$I$32,VLOOKUP($A142,Recto!$I$28:$L$44,4,FALSE),0)</f>
        <v>0</v>
      </c>
      <c r="G142" s="91">
        <f>IF($A142=Recto!$I$33,VLOOKUP($A142,Recto!$I$28:$L$44,4,FALSE),0)</f>
        <v>0</v>
      </c>
      <c r="H142" s="91">
        <f>IF($A142=Recto!$I$34,VLOOKUP($A142,Recto!$I$28:$L$44,4,FALSE),0)</f>
        <v>0</v>
      </c>
      <c r="I142" s="91">
        <f>IF($A142=Recto!$I$35,VLOOKUP($A142,Recto!$I$28:$L$44,4,FALSE),0)</f>
        <v>0</v>
      </c>
      <c r="J142" s="91">
        <f>IF($A142=Recto!$I$36,VLOOKUP($A142,Recto!$I$28:$L$44,4,FALSE),0)</f>
        <v>0</v>
      </c>
      <c r="K142" s="91">
        <f>IF($A142=Recto!$I$37,VLOOKUP($A142,Recto!$I$28:$L$44,4,FALSE),0)</f>
        <v>0</v>
      </c>
      <c r="L142" s="91">
        <f>IF($A142=Recto!$I$38,VLOOKUP($A142,Recto!$I$28:$L$44,4,FALSE),0)</f>
        <v>0</v>
      </c>
      <c r="M142" s="91">
        <f>IF($A142=Recto!$I$39,VLOOKUP($A142,Recto!$I$28:$L$44,4,FALSE),0)</f>
        <v>0</v>
      </c>
      <c r="N142" s="91">
        <f>IF($A142=Recto!$I$40,VLOOKUP($A142,Recto!$I$28:$L$44,4,FALSE),0)</f>
        <v>0</v>
      </c>
      <c r="O142" s="91">
        <f>IF($A142=Recto!$I$41,VLOOKUP($A142,Recto!$I$28:$L$44,4,FALSE),0)</f>
        <v>0</v>
      </c>
      <c r="P142" s="91">
        <f>IF($A142=Recto!$I$42,VLOOKUP($A142,Recto!$I$28:$L$44,4,FALSE),0)</f>
        <v>0</v>
      </c>
      <c r="Q142" s="91">
        <f>IF($A142=Recto!$I$43,VLOOKUP($A142,Recto!$I$28:$L$44,4,FALSE),0)</f>
        <v>0</v>
      </c>
      <c r="R142" s="91">
        <f>IF($A142=Recto!$I$44,VLOOKUP($A142,Recto!$I$28:$L$44,4,FALSE),0)</f>
        <v>0</v>
      </c>
      <c r="S142" s="295">
        <f t="shared" si="3"/>
        <v>0</v>
      </c>
    </row>
    <row r="143" spans="1:19" x14ac:dyDescent="0.25">
      <c r="A143" s="500" t="s">
        <v>1326</v>
      </c>
      <c r="B143" s="91">
        <f>IF($A143=Recto!$I$28,VLOOKUP($A143,Recto!$I$28:$L$44,4,FALSE),0)</f>
        <v>0</v>
      </c>
      <c r="C143" s="91">
        <f>IF($A143=Recto!$I$29,VLOOKUP($A143,Recto!$I$28:$L$44,4,FALSE),0)</f>
        <v>0</v>
      </c>
      <c r="D143" s="91">
        <f>IF($A143=Recto!$I$30,VLOOKUP($A143,Recto!$I$28:$L$44,4,FALSE),0)</f>
        <v>0</v>
      </c>
      <c r="E143" s="91">
        <f>IF($A143=Recto!$I$31,VLOOKUP($A143,Recto!$I$28:$L$44,4,FALSE),0)</f>
        <v>0</v>
      </c>
      <c r="F143" s="91">
        <f>IF($A143=Recto!$I$32,VLOOKUP($A143,Recto!$I$28:$L$44,4,FALSE),0)</f>
        <v>0</v>
      </c>
      <c r="G143" s="91">
        <f>IF($A143=Recto!$I$33,VLOOKUP($A143,Recto!$I$28:$L$44,4,FALSE),0)</f>
        <v>0</v>
      </c>
      <c r="H143" s="91">
        <f>IF($A143=Recto!$I$34,VLOOKUP($A143,Recto!$I$28:$L$44,4,FALSE),0)</f>
        <v>0</v>
      </c>
      <c r="I143" s="91">
        <f>IF($A143=Recto!$I$35,VLOOKUP($A143,Recto!$I$28:$L$44,4,FALSE),0)</f>
        <v>0</v>
      </c>
      <c r="J143" s="91">
        <f>IF($A143=Recto!$I$36,VLOOKUP($A143,Recto!$I$28:$L$44,4,FALSE),0)</f>
        <v>0</v>
      </c>
      <c r="K143" s="91">
        <f>IF($A143=Recto!$I$37,VLOOKUP($A143,Recto!$I$28:$L$44,4,FALSE),0)</f>
        <v>0</v>
      </c>
      <c r="L143" s="91">
        <f>IF($A143=Recto!$I$38,VLOOKUP($A143,Recto!$I$28:$L$44,4,FALSE),0)</f>
        <v>0</v>
      </c>
      <c r="M143" s="91">
        <f>IF($A143=Recto!$I$39,VLOOKUP($A143,Recto!$I$28:$L$44,4,FALSE),0)</f>
        <v>0</v>
      </c>
      <c r="N143" s="91">
        <f>IF($A143=Recto!$I$40,VLOOKUP($A143,Recto!$I$28:$L$44,4,FALSE),0)</f>
        <v>0</v>
      </c>
      <c r="O143" s="91">
        <f>IF($A143=Recto!$I$41,VLOOKUP($A143,Recto!$I$28:$L$44,4,FALSE),0)</f>
        <v>0</v>
      </c>
      <c r="P143" s="91">
        <f>IF($A143=Recto!$I$42,VLOOKUP($A143,Recto!$I$28:$L$44,4,FALSE),0)</f>
        <v>0</v>
      </c>
      <c r="Q143" s="91">
        <f>IF($A143=Recto!$I$43,VLOOKUP($A143,Recto!$I$28:$L$44,4,FALSE),0)</f>
        <v>0</v>
      </c>
      <c r="R143" s="91">
        <f>IF($A143=Recto!$I$44,VLOOKUP($A143,Recto!$I$28:$L$44,4,FALSE),0)</f>
        <v>0</v>
      </c>
      <c r="S143" s="295">
        <f t="shared" si="3"/>
        <v>0</v>
      </c>
    </row>
    <row r="144" spans="1:19" x14ac:dyDescent="0.25">
      <c r="A144" s="500" t="s">
        <v>1341</v>
      </c>
      <c r="B144" s="91">
        <f>IF($A144=Recto!$I$28,VLOOKUP($A144,Recto!$I$28:$L$44,4,FALSE),0)</f>
        <v>0</v>
      </c>
      <c r="C144" s="91">
        <f>IF($A144=Recto!$I$29,VLOOKUP($A144,Recto!$I$28:$L$44,4,FALSE),0)</f>
        <v>0</v>
      </c>
      <c r="D144" s="91">
        <f>IF($A144=Recto!$I$30,VLOOKUP($A144,Recto!$I$28:$L$44,4,FALSE),0)</f>
        <v>0</v>
      </c>
      <c r="E144" s="91">
        <f>IF($A144=Recto!$I$31,VLOOKUP($A144,Recto!$I$28:$L$44,4,FALSE),0)</f>
        <v>0</v>
      </c>
      <c r="F144" s="91">
        <f>IF($A144=Recto!$I$32,VLOOKUP($A144,Recto!$I$28:$L$44,4,FALSE),0)</f>
        <v>0</v>
      </c>
      <c r="G144" s="91">
        <f>IF($A144=Recto!$I$33,VLOOKUP($A144,Recto!$I$28:$L$44,4,FALSE),0)</f>
        <v>0</v>
      </c>
      <c r="H144" s="91">
        <f>IF($A144=Recto!$I$34,VLOOKUP($A144,Recto!$I$28:$L$44,4,FALSE),0)</f>
        <v>0</v>
      </c>
      <c r="I144" s="91">
        <f>IF($A144=Recto!$I$35,VLOOKUP($A144,Recto!$I$28:$L$44,4,FALSE),0)</f>
        <v>0</v>
      </c>
      <c r="J144" s="91">
        <f>IF($A144=Recto!$I$36,VLOOKUP($A144,Recto!$I$28:$L$44,4,FALSE),0)</f>
        <v>0</v>
      </c>
      <c r="K144" s="91">
        <f>IF($A144=Recto!$I$37,VLOOKUP($A144,Recto!$I$28:$L$44,4,FALSE),0)</f>
        <v>0</v>
      </c>
      <c r="L144" s="91">
        <f>IF($A144=Recto!$I$38,VLOOKUP($A144,Recto!$I$28:$L$44,4,FALSE),0)</f>
        <v>0</v>
      </c>
      <c r="M144" s="91">
        <f>IF($A144=Recto!$I$39,VLOOKUP($A144,Recto!$I$28:$L$44,4,FALSE),0)</f>
        <v>0</v>
      </c>
      <c r="N144" s="91">
        <f>IF($A144=Recto!$I$40,VLOOKUP($A144,Recto!$I$28:$L$44,4,FALSE),0)</f>
        <v>0</v>
      </c>
      <c r="O144" s="91">
        <f>IF($A144=Recto!$I$41,VLOOKUP($A144,Recto!$I$28:$L$44,4,FALSE),0)</f>
        <v>0</v>
      </c>
      <c r="P144" s="91">
        <f>IF($A144=Recto!$I$42,VLOOKUP($A144,Recto!$I$28:$L$44,4,FALSE),0)</f>
        <v>0</v>
      </c>
      <c r="Q144" s="91">
        <f>IF($A144=Recto!$I$43,VLOOKUP($A144,Recto!$I$28:$L$44,4,FALSE),0)</f>
        <v>0</v>
      </c>
      <c r="R144" s="91">
        <f>IF($A144=Recto!$I$44,VLOOKUP($A144,Recto!$I$28:$L$44,4,FALSE),0)</f>
        <v>0</v>
      </c>
      <c r="S144" s="295">
        <f t="shared" si="3"/>
        <v>0</v>
      </c>
    </row>
    <row r="145" spans="1:19" x14ac:dyDescent="0.25">
      <c r="A145" s="500" t="s">
        <v>3265</v>
      </c>
      <c r="B145" s="91">
        <f>IF($A145=Recto!$I$28,VLOOKUP($A145,Recto!$I$28:$L$44,4,FALSE),0)</f>
        <v>0</v>
      </c>
      <c r="C145" s="91">
        <f>IF($A145=Recto!$I$29,VLOOKUP($A145,Recto!$I$28:$L$44,4,FALSE),0)</f>
        <v>0</v>
      </c>
      <c r="D145" s="91">
        <f>IF($A145=Recto!$I$30,VLOOKUP($A145,Recto!$I$28:$L$44,4,FALSE),0)</f>
        <v>0</v>
      </c>
      <c r="E145" s="91">
        <f>IF($A145=Recto!$I$31,VLOOKUP($A145,Recto!$I$28:$L$44,4,FALSE),0)</f>
        <v>0</v>
      </c>
      <c r="F145" s="91">
        <f>IF($A145=Recto!$I$32,VLOOKUP($A145,Recto!$I$28:$L$44,4,FALSE),0)</f>
        <v>0</v>
      </c>
      <c r="G145" s="91">
        <f>IF($A145=Recto!$I$33,VLOOKUP($A145,Recto!$I$28:$L$44,4,FALSE),0)</f>
        <v>0</v>
      </c>
      <c r="H145" s="91">
        <f>IF($A145=Recto!$I$34,VLOOKUP($A145,Recto!$I$28:$L$44,4,FALSE),0)</f>
        <v>0</v>
      </c>
      <c r="I145" s="91">
        <f>IF($A145=Recto!$I$35,VLOOKUP($A145,Recto!$I$28:$L$44,4,FALSE),0)</f>
        <v>0</v>
      </c>
      <c r="J145" s="91">
        <f>IF($A145=Recto!$I$36,VLOOKUP($A145,Recto!$I$28:$L$44,4,FALSE),0)</f>
        <v>0</v>
      </c>
      <c r="K145" s="91">
        <f>IF($A145=Recto!$I$37,VLOOKUP($A145,Recto!$I$28:$L$44,4,FALSE),0)</f>
        <v>0</v>
      </c>
      <c r="L145" s="91">
        <f>IF($A145=Recto!$I$38,VLOOKUP($A145,Recto!$I$28:$L$44,4,FALSE),0)</f>
        <v>0</v>
      </c>
      <c r="M145" s="91">
        <f>IF($A145=Recto!$I$39,VLOOKUP($A145,Recto!$I$28:$L$44,4,FALSE),0)</f>
        <v>0</v>
      </c>
      <c r="N145" s="91">
        <f>IF($A145=Recto!$I$40,VLOOKUP($A145,Recto!$I$28:$L$44,4,FALSE),0)</f>
        <v>0</v>
      </c>
      <c r="O145" s="91">
        <f>IF($A145=Recto!$I$41,VLOOKUP($A145,Recto!$I$28:$L$44,4,FALSE),0)</f>
        <v>0</v>
      </c>
      <c r="P145" s="91">
        <f>IF($A145=Recto!$I$42,VLOOKUP($A145,Recto!$I$28:$L$44,4,FALSE),0)</f>
        <v>0</v>
      </c>
      <c r="Q145" s="91">
        <f>IF($A145=Recto!$I$43,VLOOKUP($A145,Recto!$I$28:$L$44,4,FALSE),0)</f>
        <v>0</v>
      </c>
      <c r="R145" s="91">
        <f>IF($A145=Recto!$I$44,VLOOKUP($A145,Recto!$I$28:$L$44,4,FALSE),0)</f>
        <v>0</v>
      </c>
      <c r="S145" s="295">
        <f t="shared" si="3"/>
        <v>0</v>
      </c>
    </row>
    <row r="146" spans="1:19" x14ac:dyDescent="0.25">
      <c r="A146" s="500" t="s">
        <v>369</v>
      </c>
      <c r="B146" s="91">
        <f>IF($A146=Recto!$I$28,VLOOKUP($A146,Recto!$I$28:$L$44,4,FALSE),0)</f>
        <v>0</v>
      </c>
      <c r="C146" s="91">
        <f>IF($A146=Recto!$I$29,VLOOKUP($A146,Recto!$I$28:$L$44,4,FALSE),0)</f>
        <v>0</v>
      </c>
      <c r="D146" s="91">
        <f>IF($A146=Recto!$I$30,VLOOKUP($A146,Recto!$I$28:$L$44,4,FALSE),0)</f>
        <v>0</v>
      </c>
      <c r="E146" s="91">
        <f>IF($A146=Recto!$I$31,VLOOKUP($A146,Recto!$I$28:$L$44,4,FALSE),0)</f>
        <v>0</v>
      </c>
      <c r="F146" s="91">
        <f>IF($A146=Recto!$I$32,VLOOKUP($A146,Recto!$I$28:$L$44,4,FALSE),0)</f>
        <v>0</v>
      </c>
      <c r="G146" s="91">
        <f>IF($A146=Recto!$I$33,VLOOKUP($A146,Recto!$I$28:$L$44,4,FALSE),0)</f>
        <v>0</v>
      </c>
      <c r="H146" s="91">
        <f>IF($A146=Recto!$I$34,VLOOKUP($A146,Recto!$I$28:$L$44,4,FALSE),0)</f>
        <v>0</v>
      </c>
      <c r="I146" s="91">
        <f>IF($A146=Recto!$I$35,VLOOKUP($A146,Recto!$I$28:$L$44,4,FALSE),0)</f>
        <v>0</v>
      </c>
      <c r="J146" s="91">
        <f>IF($A146=Recto!$I$36,VLOOKUP($A146,Recto!$I$28:$L$44,4,FALSE),0)</f>
        <v>0</v>
      </c>
      <c r="K146" s="91">
        <f>IF($A146=Recto!$I$37,VLOOKUP($A146,Recto!$I$28:$L$44,4,FALSE),0)</f>
        <v>0</v>
      </c>
      <c r="L146" s="91">
        <f>IF($A146=Recto!$I$38,VLOOKUP($A146,Recto!$I$28:$L$44,4,FALSE),0)</f>
        <v>0</v>
      </c>
      <c r="M146" s="91">
        <f>IF($A146=Recto!$I$39,VLOOKUP($A146,Recto!$I$28:$L$44,4,FALSE),0)</f>
        <v>0</v>
      </c>
      <c r="N146" s="91">
        <f>IF($A146=Recto!$I$40,VLOOKUP($A146,Recto!$I$28:$L$44,4,FALSE),0)</f>
        <v>0</v>
      </c>
      <c r="O146" s="91">
        <f>IF($A146=Recto!$I$41,VLOOKUP($A146,Recto!$I$28:$L$44,4,FALSE),0)</f>
        <v>0</v>
      </c>
      <c r="P146" s="91">
        <f>IF($A146=Recto!$I$42,VLOOKUP($A146,Recto!$I$28:$L$44,4,FALSE),0)</f>
        <v>0</v>
      </c>
      <c r="Q146" s="91">
        <f>IF($A146=Recto!$I$43,VLOOKUP($A146,Recto!$I$28:$L$44,4,FALSE),0)</f>
        <v>0</v>
      </c>
      <c r="R146" s="91">
        <f>IF($A146=Recto!$I$44,VLOOKUP($A146,Recto!$I$28:$L$44,4,FALSE),0)</f>
        <v>0</v>
      </c>
      <c r="S146" s="295">
        <f t="shared" si="3"/>
        <v>0</v>
      </c>
    </row>
    <row r="147" spans="1:19" x14ac:dyDescent="0.25">
      <c r="A147" s="500" t="s">
        <v>1953</v>
      </c>
      <c r="B147" s="91">
        <f>IF($A147=Recto!$I$28,VLOOKUP($A147,Recto!$I$28:$L$44,4,FALSE),0)</f>
        <v>0</v>
      </c>
      <c r="C147" s="91">
        <f>IF($A147=Recto!$I$29,VLOOKUP($A147,Recto!$I$28:$L$44,4,FALSE),0)</f>
        <v>0</v>
      </c>
      <c r="D147" s="91">
        <f>IF($A147=Recto!$I$30,VLOOKUP($A147,Recto!$I$28:$L$44,4,FALSE),0)</f>
        <v>0</v>
      </c>
      <c r="E147" s="91">
        <f>IF($A147=Recto!$I$31,VLOOKUP($A147,Recto!$I$28:$L$44,4,FALSE),0)</f>
        <v>0</v>
      </c>
      <c r="F147" s="91">
        <f>IF($A147=Recto!$I$32,VLOOKUP($A147,Recto!$I$28:$L$44,4,FALSE),0)</f>
        <v>0</v>
      </c>
      <c r="G147" s="91">
        <f>IF($A147=Recto!$I$33,VLOOKUP($A147,Recto!$I$28:$L$44,4,FALSE),0)</f>
        <v>0</v>
      </c>
      <c r="H147" s="91">
        <f>IF($A147=Recto!$I$34,VLOOKUP($A147,Recto!$I$28:$L$44,4,FALSE),0)</f>
        <v>0</v>
      </c>
      <c r="I147" s="91">
        <f>IF($A147=Recto!$I$35,VLOOKUP($A147,Recto!$I$28:$L$44,4,FALSE),0)</f>
        <v>0</v>
      </c>
      <c r="J147" s="91">
        <f>IF($A147=Recto!$I$36,VLOOKUP($A147,Recto!$I$28:$L$44,4,FALSE),0)</f>
        <v>0</v>
      </c>
      <c r="K147" s="91">
        <f>IF($A147=Recto!$I$37,VLOOKUP($A147,Recto!$I$28:$L$44,4,FALSE),0)</f>
        <v>0</v>
      </c>
      <c r="L147" s="91">
        <f>IF($A147=Recto!$I$38,VLOOKUP($A147,Recto!$I$28:$L$44,4,FALSE),0)</f>
        <v>0</v>
      </c>
      <c r="M147" s="91">
        <f>IF($A147=Recto!$I$39,VLOOKUP($A147,Recto!$I$28:$L$44,4,FALSE),0)</f>
        <v>0</v>
      </c>
      <c r="N147" s="91">
        <f>IF($A147=Recto!$I$40,VLOOKUP($A147,Recto!$I$28:$L$44,4,FALSE),0)</f>
        <v>0</v>
      </c>
      <c r="O147" s="91">
        <f>IF($A147=Recto!$I$41,VLOOKUP($A147,Recto!$I$28:$L$44,4,FALSE),0)</f>
        <v>0</v>
      </c>
      <c r="P147" s="91">
        <f>IF($A147=Recto!$I$42,VLOOKUP($A147,Recto!$I$28:$L$44,4,FALSE),0)</f>
        <v>0</v>
      </c>
      <c r="Q147" s="91">
        <f>IF($A147=Recto!$I$43,VLOOKUP($A147,Recto!$I$28:$L$44,4,FALSE),0)</f>
        <v>0</v>
      </c>
      <c r="R147" s="91">
        <f>IF($A147=Recto!$I$44,VLOOKUP($A147,Recto!$I$28:$L$44,4,FALSE),0)</f>
        <v>0</v>
      </c>
      <c r="S147" s="295">
        <f t="shared" si="3"/>
        <v>0</v>
      </c>
    </row>
    <row r="148" spans="1:19" x14ac:dyDescent="0.25">
      <c r="A148" s="500" t="s">
        <v>1302</v>
      </c>
      <c r="B148" s="91">
        <f>IF($A148=Recto!$I$28,VLOOKUP($A148,Recto!$I$28:$L$44,4,FALSE),0)</f>
        <v>0</v>
      </c>
      <c r="C148" s="91">
        <f>IF($A148=Recto!$I$29,VLOOKUP($A148,Recto!$I$28:$L$44,4,FALSE),0)</f>
        <v>0</v>
      </c>
      <c r="D148" s="91">
        <f>IF($A148=Recto!$I$30,VLOOKUP($A148,Recto!$I$28:$L$44,4,FALSE),0)</f>
        <v>0</v>
      </c>
      <c r="E148" s="91">
        <f>IF($A148=Recto!$I$31,VLOOKUP($A148,Recto!$I$28:$L$44,4,FALSE),0)</f>
        <v>0</v>
      </c>
      <c r="F148" s="91">
        <f>IF($A148=Recto!$I$32,VLOOKUP($A148,Recto!$I$28:$L$44,4,FALSE),0)</f>
        <v>0</v>
      </c>
      <c r="G148" s="91">
        <f>IF($A148=Recto!$I$33,VLOOKUP($A148,Recto!$I$28:$L$44,4,FALSE),0)</f>
        <v>0</v>
      </c>
      <c r="H148" s="91">
        <f>IF($A148=Recto!$I$34,VLOOKUP($A148,Recto!$I$28:$L$44,4,FALSE),0)</f>
        <v>0</v>
      </c>
      <c r="I148" s="91">
        <f>IF($A148=Recto!$I$35,VLOOKUP($A148,Recto!$I$28:$L$44,4,FALSE),0)</f>
        <v>0</v>
      </c>
      <c r="J148" s="91">
        <f>IF($A148=Recto!$I$36,VLOOKUP($A148,Recto!$I$28:$L$44,4,FALSE),0)</f>
        <v>0</v>
      </c>
      <c r="K148" s="91">
        <f>IF($A148=Recto!$I$37,VLOOKUP($A148,Recto!$I$28:$L$44,4,FALSE),0)</f>
        <v>0</v>
      </c>
      <c r="L148" s="91">
        <f>IF($A148=Recto!$I$38,VLOOKUP($A148,Recto!$I$28:$L$44,4,FALSE),0)</f>
        <v>0</v>
      </c>
      <c r="M148" s="91">
        <f>IF($A148=Recto!$I$39,VLOOKUP($A148,Recto!$I$28:$L$44,4,FALSE),0)</f>
        <v>0</v>
      </c>
      <c r="N148" s="91">
        <f>IF($A148=Recto!$I$40,VLOOKUP($A148,Recto!$I$28:$L$44,4,FALSE),0)</f>
        <v>0</v>
      </c>
      <c r="O148" s="91">
        <f>IF($A148=Recto!$I$41,VLOOKUP($A148,Recto!$I$28:$L$44,4,FALSE),0)</f>
        <v>0</v>
      </c>
      <c r="P148" s="91">
        <f>IF($A148=Recto!$I$42,VLOOKUP($A148,Recto!$I$28:$L$44,4,FALSE),0)</f>
        <v>0</v>
      </c>
      <c r="Q148" s="91">
        <f>IF($A148=Recto!$I$43,VLOOKUP($A148,Recto!$I$28:$L$44,4,FALSE),0)</f>
        <v>0</v>
      </c>
      <c r="R148" s="91">
        <f>IF($A148=Recto!$I$44,VLOOKUP($A148,Recto!$I$28:$L$44,4,FALSE),0)</f>
        <v>0</v>
      </c>
      <c r="S148" s="295">
        <f t="shared" si="3"/>
        <v>0</v>
      </c>
    </row>
    <row r="149" spans="1:19" x14ac:dyDescent="0.25">
      <c r="A149" s="500" t="s">
        <v>4549</v>
      </c>
      <c r="B149" s="91">
        <f>IF($A149=Recto!$I$28,VLOOKUP($A149,Recto!$I$28:$L$44,4,FALSE),0)</f>
        <v>0</v>
      </c>
      <c r="C149" s="91">
        <f>IF($A149=Recto!$I$29,VLOOKUP($A149,Recto!$I$28:$L$44,4,FALSE),0)</f>
        <v>0</v>
      </c>
      <c r="D149" s="91">
        <f>IF($A149=Recto!$I$30,VLOOKUP($A149,Recto!$I$28:$L$44,4,FALSE),0)</f>
        <v>0</v>
      </c>
      <c r="E149" s="91">
        <f>IF($A149=Recto!$I$31,VLOOKUP($A149,Recto!$I$28:$L$44,4,FALSE),0)</f>
        <v>0</v>
      </c>
      <c r="F149" s="91">
        <f>IF($A149=Recto!$I$32,VLOOKUP($A149,Recto!$I$28:$L$44,4,FALSE),0)</f>
        <v>0</v>
      </c>
      <c r="G149" s="91">
        <f>IF($A149=Recto!$I$33,VLOOKUP($A149,Recto!$I$28:$L$44,4,FALSE),0)</f>
        <v>0</v>
      </c>
      <c r="H149" s="91">
        <f>IF($A149=Recto!$I$34,VLOOKUP($A149,Recto!$I$28:$L$44,4,FALSE),0)</f>
        <v>0</v>
      </c>
      <c r="I149" s="91">
        <f>IF($A149=Recto!$I$35,VLOOKUP($A149,Recto!$I$28:$L$44,4,FALSE),0)</f>
        <v>0</v>
      </c>
      <c r="J149" s="91">
        <f>IF($A149=Recto!$I$36,VLOOKUP($A149,Recto!$I$28:$L$44,4,FALSE),0)</f>
        <v>0</v>
      </c>
      <c r="K149" s="91">
        <f>IF($A149=Recto!$I$37,VLOOKUP($A149,Recto!$I$28:$L$44,4,FALSE),0)</f>
        <v>0</v>
      </c>
      <c r="L149" s="91">
        <f>IF($A149=Recto!$I$38,VLOOKUP($A149,Recto!$I$28:$L$44,4,FALSE),0)</f>
        <v>0</v>
      </c>
      <c r="M149" s="91">
        <f>IF($A149=Recto!$I$39,VLOOKUP($A149,Recto!$I$28:$L$44,4,FALSE),0)</f>
        <v>0</v>
      </c>
      <c r="N149" s="91">
        <f>IF($A149=Recto!$I$40,VLOOKUP($A149,Recto!$I$28:$L$44,4,FALSE),0)</f>
        <v>0</v>
      </c>
      <c r="O149" s="91">
        <f>IF($A149=Recto!$I$41,VLOOKUP($A149,Recto!$I$28:$L$44,4,FALSE),0)</f>
        <v>0</v>
      </c>
      <c r="P149" s="91">
        <f>IF($A149=Recto!$I$42,VLOOKUP($A149,Recto!$I$28:$L$44,4,FALSE),0)</f>
        <v>0</v>
      </c>
      <c r="Q149" s="91">
        <f>IF($A149=Recto!$I$43,VLOOKUP($A149,Recto!$I$28:$L$44,4,FALSE),0)</f>
        <v>0</v>
      </c>
      <c r="R149" s="91">
        <f>IF($A149=Recto!$I$44,VLOOKUP($A149,Recto!$I$28:$L$44,4,FALSE),0)</f>
        <v>0</v>
      </c>
      <c r="S149" s="295">
        <f t="shared" si="3"/>
        <v>0</v>
      </c>
    </row>
    <row r="150" spans="1:19" x14ac:dyDescent="0.25">
      <c r="A150" s="500" t="s">
        <v>4576</v>
      </c>
      <c r="B150" s="91">
        <f>IF($A150=Recto!$I$28,VLOOKUP($A150,Recto!$I$28:$L$44,4,FALSE),0)</f>
        <v>0</v>
      </c>
      <c r="C150" s="91">
        <f>IF($A150=Recto!$I$29,VLOOKUP($A150,Recto!$I$28:$L$44,4,FALSE),0)</f>
        <v>0</v>
      </c>
      <c r="D150" s="91">
        <f>IF($A150=Recto!$I$30,VLOOKUP($A150,Recto!$I$28:$L$44,4,FALSE),0)</f>
        <v>0</v>
      </c>
      <c r="E150" s="91">
        <f>IF($A150=Recto!$I$31,VLOOKUP($A150,Recto!$I$28:$L$44,4,FALSE),0)</f>
        <v>0</v>
      </c>
      <c r="F150" s="91">
        <f>IF($A150=Recto!$I$32,VLOOKUP($A150,Recto!$I$28:$L$44,4,FALSE),0)</f>
        <v>0</v>
      </c>
      <c r="G150" s="91">
        <f>IF($A150=Recto!$I$33,VLOOKUP($A150,Recto!$I$28:$L$44,4,FALSE),0)</f>
        <v>0</v>
      </c>
      <c r="H150" s="91">
        <f>IF($A150=Recto!$I$34,VLOOKUP($A150,Recto!$I$28:$L$44,4,FALSE),0)</f>
        <v>0</v>
      </c>
      <c r="I150" s="91">
        <f>IF($A150=Recto!$I$35,VLOOKUP($A150,Recto!$I$28:$L$44,4,FALSE),0)</f>
        <v>0</v>
      </c>
      <c r="J150" s="91">
        <f>IF($A150=Recto!$I$36,VLOOKUP($A150,Recto!$I$28:$L$44,4,FALSE),0)</f>
        <v>0</v>
      </c>
      <c r="K150" s="91">
        <f>IF($A150=Recto!$I$37,VLOOKUP($A150,Recto!$I$28:$L$44,4,FALSE),0)</f>
        <v>0</v>
      </c>
      <c r="L150" s="91">
        <f>IF($A150=Recto!$I$38,VLOOKUP($A150,Recto!$I$28:$L$44,4,FALSE),0)</f>
        <v>0</v>
      </c>
      <c r="M150" s="91">
        <f>IF($A150=Recto!$I$39,VLOOKUP($A150,Recto!$I$28:$L$44,4,FALSE),0)</f>
        <v>0</v>
      </c>
      <c r="N150" s="91">
        <f>IF($A150=Recto!$I$40,VLOOKUP($A150,Recto!$I$28:$L$44,4,FALSE),0)</f>
        <v>0</v>
      </c>
      <c r="O150" s="91">
        <f>IF($A150=Recto!$I$41,VLOOKUP($A150,Recto!$I$28:$L$44,4,FALSE),0)</f>
        <v>0</v>
      </c>
      <c r="P150" s="91">
        <f>IF($A150=Recto!$I$42,VLOOKUP($A150,Recto!$I$28:$L$44,4,FALSE),0)</f>
        <v>0</v>
      </c>
      <c r="Q150" s="91">
        <f>IF($A150=Recto!$I$43,VLOOKUP($A150,Recto!$I$28:$L$44,4,FALSE),0)</f>
        <v>0</v>
      </c>
      <c r="R150" s="91">
        <f>IF($A150=Recto!$I$44,VLOOKUP($A150,Recto!$I$28:$L$44,4,FALSE),0)</f>
        <v>0</v>
      </c>
      <c r="S150" s="295">
        <f t="shared" si="3"/>
        <v>0</v>
      </c>
    </row>
    <row r="151" spans="1:19" x14ac:dyDescent="0.25">
      <c r="A151" s="500" t="s">
        <v>1342</v>
      </c>
      <c r="B151" s="91">
        <f>IF($A151=Recto!$I$28,VLOOKUP($A151,Recto!$I$28:$L$44,4,FALSE),0)</f>
        <v>0</v>
      </c>
      <c r="C151" s="91">
        <f>IF($A151=Recto!$I$29,VLOOKUP($A151,Recto!$I$28:$L$44,4,FALSE),0)</f>
        <v>0</v>
      </c>
      <c r="D151" s="91">
        <f>IF($A151=Recto!$I$30,VLOOKUP($A151,Recto!$I$28:$L$44,4,FALSE),0)</f>
        <v>0</v>
      </c>
      <c r="E151" s="91">
        <f>IF($A151=Recto!$I$31,VLOOKUP($A151,Recto!$I$28:$L$44,4,FALSE),0)</f>
        <v>0</v>
      </c>
      <c r="F151" s="91">
        <f>IF($A151=Recto!$I$32,VLOOKUP($A151,Recto!$I$28:$L$44,4,FALSE),0)</f>
        <v>0</v>
      </c>
      <c r="G151" s="91">
        <f>IF($A151=Recto!$I$33,VLOOKUP($A151,Recto!$I$28:$L$44,4,FALSE),0)</f>
        <v>0</v>
      </c>
      <c r="H151" s="91">
        <f>IF($A151=Recto!$I$34,VLOOKUP($A151,Recto!$I$28:$L$44,4,FALSE),0)</f>
        <v>0</v>
      </c>
      <c r="I151" s="91">
        <f>IF($A151=Recto!$I$35,VLOOKUP($A151,Recto!$I$28:$L$44,4,FALSE),0)</f>
        <v>0</v>
      </c>
      <c r="J151" s="91">
        <f>IF($A151=Recto!$I$36,VLOOKUP($A151,Recto!$I$28:$L$44,4,FALSE),0)</f>
        <v>0</v>
      </c>
      <c r="K151" s="91">
        <f>IF($A151=Recto!$I$37,VLOOKUP($A151,Recto!$I$28:$L$44,4,FALSE),0)</f>
        <v>0</v>
      </c>
      <c r="L151" s="91">
        <f>IF($A151=Recto!$I$38,VLOOKUP($A151,Recto!$I$28:$L$44,4,FALSE),0)</f>
        <v>0</v>
      </c>
      <c r="M151" s="91">
        <f>IF($A151=Recto!$I$39,VLOOKUP($A151,Recto!$I$28:$L$44,4,FALSE),0)</f>
        <v>0</v>
      </c>
      <c r="N151" s="91">
        <f>IF($A151=Recto!$I$40,VLOOKUP($A151,Recto!$I$28:$L$44,4,FALSE),0)</f>
        <v>0</v>
      </c>
      <c r="O151" s="91">
        <f>IF($A151=Recto!$I$41,VLOOKUP($A151,Recto!$I$28:$L$44,4,FALSE),0)</f>
        <v>0</v>
      </c>
      <c r="P151" s="91">
        <f>IF($A151=Recto!$I$42,VLOOKUP($A151,Recto!$I$28:$L$44,4,FALSE),0)</f>
        <v>0</v>
      </c>
      <c r="Q151" s="91">
        <f>IF($A151=Recto!$I$43,VLOOKUP($A151,Recto!$I$28:$L$44,4,FALSE),0)</f>
        <v>0</v>
      </c>
      <c r="R151" s="91">
        <f>IF($A151=Recto!$I$44,VLOOKUP($A151,Recto!$I$28:$L$44,4,FALSE),0)</f>
        <v>0</v>
      </c>
      <c r="S151" s="295">
        <f t="shared" si="3"/>
        <v>0</v>
      </c>
    </row>
    <row r="152" spans="1:19" x14ac:dyDescent="0.25">
      <c r="A152" s="500" t="s">
        <v>3220</v>
      </c>
      <c r="B152" s="91">
        <f>IF($A152=Recto!$I$28,VLOOKUP($A152,Recto!$I$28:$L$44,4,FALSE),0)</f>
        <v>0</v>
      </c>
      <c r="C152" s="91">
        <f>IF($A152=Recto!$I$29,VLOOKUP($A152,Recto!$I$28:$L$44,4,FALSE),0)</f>
        <v>0</v>
      </c>
      <c r="D152" s="91">
        <f>IF($A152=Recto!$I$30,VLOOKUP($A152,Recto!$I$28:$L$44,4,FALSE),0)</f>
        <v>0</v>
      </c>
      <c r="E152" s="91">
        <f>IF($A152=Recto!$I$31,VLOOKUP($A152,Recto!$I$28:$L$44,4,FALSE),0)</f>
        <v>0</v>
      </c>
      <c r="F152" s="91">
        <f>IF($A152=Recto!$I$32,VLOOKUP($A152,Recto!$I$28:$L$44,4,FALSE),0)</f>
        <v>0</v>
      </c>
      <c r="G152" s="91">
        <f>IF($A152=Recto!$I$33,VLOOKUP($A152,Recto!$I$28:$L$44,4,FALSE),0)</f>
        <v>0</v>
      </c>
      <c r="H152" s="91">
        <f>IF($A152=Recto!$I$34,VLOOKUP($A152,Recto!$I$28:$L$44,4,FALSE),0)</f>
        <v>0</v>
      </c>
      <c r="I152" s="91">
        <f>IF($A152=Recto!$I$35,VLOOKUP($A152,Recto!$I$28:$L$44,4,FALSE),0)</f>
        <v>0</v>
      </c>
      <c r="J152" s="91">
        <f>IF($A152=Recto!$I$36,VLOOKUP($A152,Recto!$I$28:$L$44,4,FALSE),0)</f>
        <v>0</v>
      </c>
      <c r="K152" s="91">
        <f>IF($A152=Recto!$I$37,VLOOKUP($A152,Recto!$I$28:$L$44,4,FALSE),0)</f>
        <v>0</v>
      </c>
      <c r="L152" s="91">
        <f>IF($A152=Recto!$I$38,VLOOKUP($A152,Recto!$I$28:$L$44,4,FALSE),0)</f>
        <v>0</v>
      </c>
      <c r="M152" s="91">
        <f>IF($A152=Recto!$I$39,VLOOKUP($A152,Recto!$I$28:$L$44,4,FALSE),0)</f>
        <v>0</v>
      </c>
      <c r="N152" s="91">
        <f>IF($A152=Recto!$I$40,VLOOKUP($A152,Recto!$I$28:$L$44,4,FALSE),0)</f>
        <v>0</v>
      </c>
      <c r="O152" s="91">
        <f>IF($A152=Recto!$I$41,VLOOKUP($A152,Recto!$I$28:$L$44,4,FALSE),0)</f>
        <v>0</v>
      </c>
      <c r="P152" s="91">
        <f>IF($A152=Recto!$I$42,VLOOKUP($A152,Recto!$I$28:$L$44,4,FALSE),0)</f>
        <v>0</v>
      </c>
      <c r="Q152" s="91">
        <f>IF($A152=Recto!$I$43,VLOOKUP($A152,Recto!$I$28:$L$44,4,FALSE),0)</f>
        <v>0</v>
      </c>
      <c r="R152" s="91">
        <f>IF($A152=Recto!$I$44,VLOOKUP($A152,Recto!$I$28:$L$44,4,FALSE),0)</f>
        <v>0</v>
      </c>
      <c r="S152" s="295">
        <f t="shared" si="3"/>
        <v>0</v>
      </c>
    </row>
    <row r="153" spans="1:19" x14ac:dyDescent="0.25">
      <c r="A153" s="500" t="s">
        <v>3317</v>
      </c>
      <c r="B153" s="91">
        <f>IF($A153=Recto!$I$28,VLOOKUP($A153,Recto!$I$28:$L$44,4,FALSE),0)</f>
        <v>0</v>
      </c>
      <c r="C153" s="91">
        <f>IF($A153=Recto!$I$29,VLOOKUP($A153,Recto!$I$28:$L$44,4,FALSE),0)</f>
        <v>0</v>
      </c>
      <c r="D153" s="91">
        <f>IF($A153=Recto!$I$30,VLOOKUP($A153,Recto!$I$28:$L$44,4,FALSE),0)</f>
        <v>0</v>
      </c>
      <c r="E153" s="91">
        <f>IF($A153=Recto!$I$31,VLOOKUP($A153,Recto!$I$28:$L$44,4,FALSE),0)</f>
        <v>0</v>
      </c>
      <c r="F153" s="91">
        <f>IF($A153=Recto!$I$32,VLOOKUP($A153,Recto!$I$28:$L$44,4,FALSE),0)</f>
        <v>0</v>
      </c>
      <c r="G153" s="91">
        <f>IF($A153=Recto!$I$33,VLOOKUP($A153,Recto!$I$28:$L$44,4,FALSE),0)</f>
        <v>0</v>
      </c>
      <c r="H153" s="91">
        <f>IF($A153=Recto!$I$34,VLOOKUP($A153,Recto!$I$28:$L$44,4,FALSE),0)</f>
        <v>0</v>
      </c>
      <c r="I153" s="91">
        <f>IF($A153=Recto!$I$35,VLOOKUP($A153,Recto!$I$28:$L$44,4,FALSE),0)</f>
        <v>0</v>
      </c>
      <c r="J153" s="91">
        <f>IF($A153=Recto!$I$36,VLOOKUP($A153,Recto!$I$28:$L$44,4,FALSE),0)</f>
        <v>0</v>
      </c>
      <c r="K153" s="91">
        <f>IF($A153=Recto!$I$37,VLOOKUP($A153,Recto!$I$28:$L$44,4,FALSE),0)</f>
        <v>0</v>
      </c>
      <c r="L153" s="91">
        <f>IF($A153=Recto!$I$38,VLOOKUP($A153,Recto!$I$28:$L$44,4,FALSE),0)</f>
        <v>0</v>
      </c>
      <c r="M153" s="91">
        <f>IF($A153=Recto!$I$39,VLOOKUP($A153,Recto!$I$28:$L$44,4,FALSE),0)</f>
        <v>0</v>
      </c>
      <c r="N153" s="91">
        <f>IF($A153=Recto!$I$40,VLOOKUP($A153,Recto!$I$28:$L$44,4,FALSE),0)</f>
        <v>0</v>
      </c>
      <c r="O153" s="91">
        <f>IF($A153=Recto!$I$41,VLOOKUP($A153,Recto!$I$28:$L$44,4,FALSE),0)</f>
        <v>0</v>
      </c>
      <c r="P153" s="91">
        <f>IF($A153=Recto!$I$42,VLOOKUP($A153,Recto!$I$28:$L$44,4,FALSE),0)</f>
        <v>0</v>
      </c>
      <c r="Q153" s="91">
        <f>IF($A153=Recto!$I$43,VLOOKUP($A153,Recto!$I$28:$L$44,4,FALSE),0)</f>
        <v>0</v>
      </c>
      <c r="R153" s="91">
        <f>IF($A153=Recto!$I$44,VLOOKUP($A153,Recto!$I$28:$L$44,4,FALSE),0)</f>
        <v>0</v>
      </c>
      <c r="S153" s="295">
        <f t="shared" si="3"/>
        <v>0</v>
      </c>
    </row>
    <row r="154" spans="1:19" x14ac:dyDescent="0.25">
      <c r="A154" s="500" t="s">
        <v>1389</v>
      </c>
      <c r="B154" s="91">
        <f>IF($A154=Recto!$I$28,VLOOKUP($A154,Recto!$I$28:$L$44,4,FALSE),0)</f>
        <v>0</v>
      </c>
      <c r="C154" s="91">
        <f>IF($A154=Recto!$I$29,VLOOKUP($A154,Recto!$I$28:$L$44,4,FALSE),0)</f>
        <v>0</v>
      </c>
      <c r="D154" s="91">
        <f>IF($A154=Recto!$I$30,VLOOKUP($A154,Recto!$I$28:$L$44,4,FALSE),0)</f>
        <v>0</v>
      </c>
      <c r="E154" s="91">
        <f>IF($A154=Recto!$I$31,VLOOKUP($A154,Recto!$I$28:$L$44,4,FALSE),0)</f>
        <v>0</v>
      </c>
      <c r="F154" s="91">
        <f>IF($A154=Recto!$I$32,VLOOKUP($A154,Recto!$I$28:$L$44,4,FALSE),0)</f>
        <v>0</v>
      </c>
      <c r="G154" s="91">
        <f>IF($A154=Recto!$I$33,VLOOKUP($A154,Recto!$I$28:$L$44,4,FALSE),0)</f>
        <v>0</v>
      </c>
      <c r="H154" s="91">
        <f>IF($A154=Recto!$I$34,VLOOKUP($A154,Recto!$I$28:$L$44,4,FALSE),0)</f>
        <v>0</v>
      </c>
      <c r="I154" s="91">
        <f>IF($A154=Recto!$I$35,VLOOKUP($A154,Recto!$I$28:$L$44,4,FALSE),0)</f>
        <v>0</v>
      </c>
      <c r="J154" s="91">
        <f>IF($A154=Recto!$I$36,VLOOKUP($A154,Recto!$I$28:$L$44,4,FALSE),0)</f>
        <v>0</v>
      </c>
      <c r="K154" s="91">
        <f>IF($A154=Recto!$I$37,VLOOKUP($A154,Recto!$I$28:$L$44,4,FALSE),0)</f>
        <v>0</v>
      </c>
      <c r="L154" s="91">
        <f>IF($A154=Recto!$I$38,VLOOKUP($A154,Recto!$I$28:$L$44,4,FALSE),0)</f>
        <v>0</v>
      </c>
      <c r="M154" s="91">
        <f>IF($A154=Recto!$I$39,VLOOKUP($A154,Recto!$I$28:$L$44,4,FALSE),0)</f>
        <v>0</v>
      </c>
      <c r="N154" s="91">
        <f>IF($A154=Recto!$I$40,VLOOKUP($A154,Recto!$I$28:$L$44,4,FALSE),0)</f>
        <v>0</v>
      </c>
      <c r="O154" s="91">
        <f>IF($A154=Recto!$I$41,VLOOKUP($A154,Recto!$I$28:$L$44,4,FALSE),0)</f>
        <v>0</v>
      </c>
      <c r="P154" s="91">
        <f>IF($A154=Recto!$I$42,VLOOKUP($A154,Recto!$I$28:$L$44,4,FALSE),0)</f>
        <v>0</v>
      </c>
      <c r="Q154" s="91">
        <f>IF($A154=Recto!$I$43,VLOOKUP($A154,Recto!$I$28:$L$44,4,FALSE),0)</f>
        <v>0</v>
      </c>
      <c r="R154" s="91">
        <f>IF($A154=Recto!$I$44,VLOOKUP($A154,Recto!$I$28:$L$44,4,FALSE),0)</f>
        <v>0</v>
      </c>
      <c r="S154" s="295">
        <f t="shared" si="3"/>
        <v>0</v>
      </c>
    </row>
    <row r="155" spans="1:19" x14ac:dyDescent="0.25">
      <c r="A155" s="500" t="s">
        <v>3171</v>
      </c>
      <c r="B155" s="91">
        <f>IF($A155=Recto!$I$28,VLOOKUP($A155,Recto!$I$28:$L$44,4,FALSE),0)</f>
        <v>0</v>
      </c>
      <c r="C155" s="91">
        <f>IF($A155=Recto!$I$29,VLOOKUP($A155,Recto!$I$28:$L$44,4,FALSE),0)</f>
        <v>0</v>
      </c>
      <c r="D155" s="91">
        <f>IF($A155=Recto!$I$30,VLOOKUP($A155,Recto!$I$28:$L$44,4,FALSE),0)</f>
        <v>0</v>
      </c>
      <c r="E155" s="91">
        <f>IF($A155=Recto!$I$31,VLOOKUP($A155,Recto!$I$28:$L$44,4,FALSE),0)</f>
        <v>0</v>
      </c>
      <c r="F155" s="91">
        <f>IF($A155=Recto!$I$32,VLOOKUP($A155,Recto!$I$28:$L$44,4,FALSE),0)</f>
        <v>0</v>
      </c>
      <c r="G155" s="91">
        <f>IF($A155=Recto!$I$33,VLOOKUP($A155,Recto!$I$28:$L$44,4,FALSE),0)</f>
        <v>0</v>
      </c>
      <c r="H155" s="91">
        <f>IF($A155=Recto!$I$34,VLOOKUP($A155,Recto!$I$28:$L$44,4,FALSE),0)</f>
        <v>0</v>
      </c>
      <c r="I155" s="91">
        <f>IF($A155=Recto!$I$35,VLOOKUP($A155,Recto!$I$28:$L$44,4,FALSE),0)</f>
        <v>0</v>
      </c>
      <c r="J155" s="91">
        <f>IF($A155=Recto!$I$36,VLOOKUP($A155,Recto!$I$28:$L$44,4,FALSE),0)</f>
        <v>0</v>
      </c>
      <c r="K155" s="91">
        <f>IF($A155=Recto!$I$37,VLOOKUP($A155,Recto!$I$28:$L$44,4,FALSE),0)</f>
        <v>0</v>
      </c>
      <c r="L155" s="91">
        <f>IF($A155=Recto!$I$38,VLOOKUP($A155,Recto!$I$28:$L$44,4,FALSE),0)</f>
        <v>0</v>
      </c>
      <c r="M155" s="91">
        <f>IF($A155=Recto!$I$39,VLOOKUP($A155,Recto!$I$28:$L$44,4,FALSE),0)</f>
        <v>0</v>
      </c>
      <c r="N155" s="91">
        <f>IF($A155=Recto!$I$40,VLOOKUP($A155,Recto!$I$28:$L$44,4,FALSE),0)</f>
        <v>0</v>
      </c>
      <c r="O155" s="91">
        <f>IF($A155=Recto!$I$41,VLOOKUP($A155,Recto!$I$28:$L$44,4,FALSE),0)</f>
        <v>0</v>
      </c>
      <c r="P155" s="91">
        <f>IF($A155=Recto!$I$42,VLOOKUP($A155,Recto!$I$28:$L$44,4,FALSE),0)</f>
        <v>0</v>
      </c>
      <c r="Q155" s="91">
        <f>IF($A155=Recto!$I$43,VLOOKUP($A155,Recto!$I$28:$L$44,4,FALSE),0)</f>
        <v>0</v>
      </c>
      <c r="R155" s="91">
        <f>IF($A155=Recto!$I$44,VLOOKUP($A155,Recto!$I$28:$L$44,4,FALSE),0)</f>
        <v>0</v>
      </c>
      <c r="S155" s="295">
        <f t="shared" ref="S155:S220" si="5">SUM(B155:R155)</f>
        <v>0</v>
      </c>
    </row>
    <row r="156" spans="1:19" x14ac:dyDescent="0.25">
      <c r="A156" s="500" t="s">
        <v>4577</v>
      </c>
      <c r="B156" s="91">
        <f>IF($A156=Recto!$I$28,VLOOKUP($A156,Recto!$I$28:$L$44,4,FALSE),0)</f>
        <v>0</v>
      </c>
      <c r="C156" s="91">
        <f>IF($A156=Recto!$I$29,VLOOKUP($A156,Recto!$I$28:$L$44,4,FALSE),0)</f>
        <v>0</v>
      </c>
      <c r="D156" s="91">
        <f>IF($A156=Recto!$I$30,VLOOKUP($A156,Recto!$I$28:$L$44,4,FALSE),0)</f>
        <v>0</v>
      </c>
      <c r="E156" s="91">
        <f>IF($A156=Recto!$I$31,VLOOKUP($A156,Recto!$I$28:$L$44,4,FALSE),0)</f>
        <v>0</v>
      </c>
      <c r="F156" s="91">
        <f>IF($A156=Recto!$I$32,VLOOKUP($A156,Recto!$I$28:$L$44,4,FALSE),0)</f>
        <v>0</v>
      </c>
      <c r="G156" s="91">
        <f>IF($A156=Recto!$I$33,VLOOKUP($A156,Recto!$I$28:$L$44,4,FALSE),0)</f>
        <v>0</v>
      </c>
      <c r="H156" s="91">
        <f>IF($A156=Recto!$I$34,VLOOKUP($A156,Recto!$I$28:$L$44,4,FALSE),0)</f>
        <v>0</v>
      </c>
      <c r="I156" s="91">
        <f>IF($A156=Recto!$I$35,VLOOKUP($A156,Recto!$I$28:$L$44,4,FALSE),0)</f>
        <v>0</v>
      </c>
      <c r="J156" s="91">
        <f>IF($A156=Recto!$I$36,VLOOKUP($A156,Recto!$I$28:$L$44,4,FALSE),0)</f>
        <v>0</v>
      </c>
      <c r="K156" s="91">
        <f>IF($A156=Recto!$I$37,VLOOKUP($A156,Recto!$I$28:$L$44,4,FALSE),0)</f>
        <v>0</v>
      </c>
      <c r="L156" s="91">
        <f>IF($A156=Recto!$I$38,VLOOKUP($A156,Recto!$I$28:$L$44,4,FALSE),0)</f>
        <v>0</v>
      </c>
      <c r="M156" s="91">
        <f>IF($A156=Recto!$I$39,VLOOKUP($A156,Recto!$I$28:$L$44,4,FALSE),0)</f>
        <v>0</v>
      </c>
      <c r="N156" s="91">
        <f>IF($A156=Recto!$I$40,VLOOKUP($A156,Recto!$I$28:$L$44,4,FALSE),0)</f>
        <v>0</v>
      </c>
      <c r="O156" s="91">
        <f>IF($A156=Recto!$I$41,VLOOKUP($A156,Recto!$I$28:$L$44,4,FALSE),0)</f>
        <v>0</v>
      </c>
      <c r="P156" s="91">
        <f>IF($A156=Recto!$I$42,VLOOKUP($A156,Recto!$I$28:$L$44,4,FALSE),0)</f>
        <v>0</v>
      </c>
      <c r="Q156" s="91">
        <f>IF($A156=Recto!$I$43,VLOOKUP($A156,Recto!$I$28:$L$44,4,FALSE),0)</f>
        <v>0</v>
      </c>
      <c r="R156" s="91">
        <f>IF($A156=Recto!$I$44,VLOOKUP($A156,Recto!$I$28:$L$44,4,FALSE),0)</f>
        <v>0</v>
      </c>
      <c r="S156" s="295">
        <f t="shared" si="5"/>
        <v>0</v>
      </c>
    </row>
    <row r="157" spans="1:19" x14ac:dyDescent="0.25">
      <c r="A157" s="500" t="s">
        <v>176</v>
      </c>
      <c r="B157" s="91">
        <f>IF($A157=Recto!$I$28,VLOOKUP($A157,Recto!$I$28:$L$44,4,FALSE),0)</f>
        <v>0</v>
      </c>
      <c r="C157" s="91">
        <f>IF($A157=Recto!$I$29,VLOOKUP($A157,Recto!$I$28:$L$44,4,FALSE),0)</f>
        <v>0</v>
      </c>
      <c r="D157" s="91">
        <f>IF($A157=Recto!$I$30,VLOOKUP($A157,Recto!$I$28:$L$44,4,FALSE),0)</f>
        <v>0</v>
      </c>
      <c r="E157" s="91">
        <f>IF($A157=Recto!$I$31,VLOOKUP($A157,Recto!$I$28:$L$44,4,FALSE),0)</f>
        <v>0</v>
      </c>
      <c r="F157" s="91">
        <f>IF($A157=Recto!$I$32,VLOOKUP($A157,Recto!$I$28:$L$44,4,FALSE),0)</f>
        <v>0</v>
      </c>
      <c r="G157" s="91">
        <f>IF($A157=Recto!$I$33,VLOOKUP($A157,Recto!$I$28:$L$44,4,FALSE),0)</f>
        <v>0</v>
      </c>
      <c r="H157" s="91">
        <f>IF($A157=Recto!$I$34,VLOOKUP($A157,Recto!$I$28:$L$44,4,FALSE),0)</f>
        <v>0</v>
      </c>
      <c r="I157" s="91">
        <f>IF($A157=Recto!$I$35,VLOOKUP($A157,Recto!$I$28:$L$44,4,FALSE),0)</f>
        <v>0</v>
      </c>
      <c r="J157" s="91">
        <f>IF($A157=Recto!$I$36,VLOOKUP($A157,Recto!$I$28:$L$44,4,FALSE),0)</f>
        <v>0</v>
      </c>
      <c r="K157" s="91">
        <f>IF($A157=Recto!$I$37,VLOOKUP($A157,Recto!$I$28:$L$44,4,FALSE),0)</f>
        <v>0</v>
      </c>
      <c r="L157" s="91">
        <f>IF($A157=Recto!$I$38,VLOOKUP($A157,Recto!$I$28:$L$44,4,FALSE),0)</f>
        <v>0</v>
      </c>
      <c r="M157" s="91">
        <f>IF($A157=Recto!$I$39,VLOOKUP($A157,Recto!$I$28:$L$44,4,FALSE),0)</f>
        <v>0</v>
      </c>
      <c r="N157" s="91">
        <f>IF($A157=Recto!$I$40,VLOOKUP($A157,Recto!$I$28:$L$44,4,FALSE),0)</f>
        <v>0</v>
      </c>
      <c r="O157" s="91">
        <f>IF($A157=Recto!$I$41,VLOOKUP($A157,Recto!$I$28:$L$44,4,FALSE),0)</f>
        <v>0</v>
      </c>
      <c r="P157" s="91">
        <f>IF($A157=Recto!$I$42,VLOOKUP($A157,Recto!$I$28:$L$44,4,FALSE),0)</f>
        <v>0</v>
      </c>
      <c r="Q157" s="91">
        <f>IF($A157=Recto!$I$43,VLOOKUP($A157,Recto!$I$28:$L$44,4,FALSE),0)</f>
        <v>0</v>
      </c>
      <c r="R157" s="91">
        <f>IF($A157=Recto!$I$44,VLOOKUP($A157,Recto!$I$28:$L$44,4,FALSE),0)</f>
        <v>0</v>
      </c>
      <c r="S157" s="295">
        <f t="shared" si="5"/>
        <v>0</v>
      </c>
    </row>
    <row r="158" spans="1:19" x14ac:dyDescent="0.25">
      <c r="A158" s="500" t="s">
        <v>2103</v>
      </c>
      <c r="B158" s="91">
        <f>IF($A158=Recto!$I$28,VLOOKUP($A158,Recto!$I$28:$L$44,4,FALSE),0)</f>
        <v>0</v>
      </c>
      <c r="C158" s="91">
        <f>IF($A158=Recto!$I$29,VLOOKUP($A158,Recto!$I$28:$L$44,4,FALSE),0)</f>
        <v>0</v>
      </c>
      <c r="D158" s="91">
        <f>IF($A158=Recto!$I$30,VLOOKUP($A158,Recto!$I$28:$L$44,4,FALSE),0)</f>
        <v>0</v>
      </c>
      <c r="E158" s="91">
        <f>IF($A158=Recto!$I$31,VLOOKUP($A158,Recto!$I$28:$L$44,4,FALSE),0)</f>
        <v>0</v>
      </c>
      <c r="F158" s="91">
        <f>IF($A158=Recto!$I$32,VLOOKUP($A158,Recto!$I$28:$L$44,4,FALSE),0)</f>
        <v>0</v>
      </c>
      <c r="G158" s="91">
        <f>IF($A158=Recto!$I$33,VLOOKUP($A158,Recto!$I$28:$L$44,4,FALSE),0)</f>
        <v>0</v>
      </c>
      <c r="H158" s="91">
        <f>IF($A158=Recto!$I$34,VLOOKUP($A158,Recto!$I$28:$L$44,4,FALSE),0)</f>
        <v>0</v>
      </c>
      <c r="I158" s="91">
        <f>IF($A158=Recto!$I$35,VLOOKUP($A158,Recto!$I$28:$L$44,4,FALSE),0)</f>
        <v>0</v>
      </c>
      <c r="J158" s="91">
        <f>IF($A158=Recto!$I$36,VLOOKUP($A158,Recto!$I$28:$L$44,4,FALSE),0)</f>
        <v>0</v>
      </c>
      <c r="K158" s="91">
        <f>IF($A158=Recto!$I$37,VLOOKUP($A158,Recto!$I$28:$L$44,4,FALSE),0)</f>
        <v>0</v>
      </c>
      <c r="L158" s="91">
        <f>IF($A158=Recto!$I$38,VLOOKUP($A158,Recto!$I$28:$L$44,4,FALSE),0)</f>
        <v>0</v>
      </c>
      <c r="M158" s="91">
        <f>IF($A158=Recto!$I$39,VLOOKUP($A158,Recto!$I$28:$L$44,4,FALSE),0)</f>
        <v>0</v>
      </c>
      <c r="N158" s="91">
        <f>IF($A158=Recto!$I$40,VLOOKUP($A158,Recto!$I$28:$L$44,4,FALSE),0)</f>
        <v>0</v>
      </c>
      <c r="O158" s="91">
        <f>IF($A158=Recto!$I$41,VLOOKUP($A158,Recto!$I$28:$L$44,4,FALSE),0)</f>
        <v>0</v>
      </c>
      <c r="P158" s="91">
        <f>IF($A158=Recto!$I$42,VLOOKUP($A158,Recto!$I$28:$L$44,4,FALSE),0)</f>
        <v>0</v>
      </c>
      <c r="Q158" s="91">
        <f>IF($A158=Recto!$I$43,VLOOKUP($A158,Recto!$I$28:$L$44,4,FALSE),0)</f>
        <v>0</v>
      </c>
      <c r="R158" s="91">
        <f>IF($A158=Recto!$I$44,VLOOKUP($A158,Recto!$I$28:$L$44,4,FALSE),0)</f>
        <v>0</v>
      </c>
      <c r="S158" s="295">
        <f t="shared" si="5"/>
        <v>0</v>
      </c>
    </row>
    <row r="159" spans="1:19" x14ac:dyDescent="0.25">
      <c r="A159" s="500" t="s">
        <v>3192</v>
      </c>
      <c r="B159" s="91">
        <f>IF($A159=Recto!$I$28,VLOOKUP($A159,Recto!$I$28:$L$44,4,FALSE),0)</f>
        <v>0</v>
      </c>
      <c r="C159" s="91">
        <f>IF($A159=Recto!$I$29,VLOOKUP($A159,Recto!$I$28:$L$44,4,FALSE),0)</f>
        <v>0</v>
      </c>
      <c r="D159" s="91">
        <f>IF($A159=Recto!$I$30,VLOOKUP($A159,Recto!$I$28:$L$44,4,FALSE),0)</f>
        <v>0</v>
      </c>
      <c r="E159" s="91">
        <f>IF($A159=Recto!$I$31,VLOOKUP($A159,Recto!$I$28:$L$44,4,FALSE),0)</f>
        <v>0</v>
      </c>
      <c r="F159" s="91">
        <f>IF($A159=Recto!$I$32,VLOOKUP($A159,Recto!$I$28:$L$44,4,FALSE),0)</f>
        <v>0</v>
      </c>
      <c r="G159" s="91">
        <f>IF($A159=Recto!$I$33,VLOOKUP($A159,Recto!$I$28:$L$44,4,FALSE),0)</f>
        <v>0</v>
      </c>
      <c r="H159" s="91">
        <f>IF($A159=Recto!$I$34,VLOOKUP($A159,Recto!$I$28:$L$44,4,FALSE),0)</f>
        <v>0</v>
      </c>
      <c r="I159" s="91">
        <f>IF($A159=Recto!$I$35,VLOOKUP($A159,Recto!$I$28:$L$44,4,FALSE),0)</f>
        <v>0</v>
      </c>
      <c r="J159" s="91">
        <f>IF($A159=Recto!$I$36,VLOOKUP($A159,Recto!$I$28:$L$44,4,FALSE),0)</f>
        <v>0</v>
      </c>
      <c r="K159" s="91">
        <f>IF($A159=Recto!$I$37,VLOOKUP($A159,Recto!$I$28:$L$44,4,FALSE),0)</f>
        <v>0</v>
      </c>
      <c r="L159" s="91">
        <f>IF($A159=Recto!$I$38,VLOOKUP($A159,Recto!$I$28:$L$44,4,FALSE),0)</f>
        <v>0</v>
      </c>
      <c r="M159" s="91">
        <f>IF($A159=Recto!$I$39,VLOOKUP($A159,Recto!$I$28:$L$44,4,FALSE),0)</f>
        <v>0</v>
      </c>
      <c r="N159" s="91">
        <f>IF($A159=Recto!$I$40,VLOOKUP($A159,Recto!$I$28:$L$44,4,FALSE),0)</f>
        <v>0</v>
      </c>
      <c r="O159" s="91">
        <f>IF($A159=Recto!$I$41,VLOOKUP($A159,Recto!$I$28:$L$44,4,FALSE),0)</f>
        <v>0</v>
      </c>
      <c r="P159" s="91">
        <f>IF($A159=Recto!$I$42,VLOOKUP($A159,Recto!$I$28:$L$44,4,FALSE),0)</f>
        <v>0</v>
      </c>
      <c r="Q159" s="91">
        <f>IF($A159=Recto!$I$43,VLOOKUP($A159,Recto!$I$28:$L$44,4,FALSE),0)</f>
        <v>0</v>
      </c>
      <c r="R159" s="91">
        <f>IF($A159=Recto!$I$44,VLOOKUP($A159,Recto!$I$28:$L$44,4,FALSE),0)</f>
        <v>0</v>
      </c>
      <c r="S159" s="295">
        <f t="shared" si="5"/>
        <v>0</v>
      </c>
    </row>
    <row r="160" spans="1:19" s="196" customFormat="1" x14ac:dyDescent="0.25">
      <c r="A160" s="500" t="s">
        <v>7877</v>
      </c>
      <c r="B160" s="91">
        <f>IF($A160=Recto!$I$28,VLOOKUP($A160,Recto!$I$28:$L$44,4,FALSE),0)</f>
        <v>0</v>
      </c>
      <c r="C160" s="91">
        <f>IF($A160=Recto!$I$29,VLOOKUP($A160,Recto!$I$28:$L$44,4,FALSE),0)</f>
        <v>0</v>
      </c>
      <c r="D160" s="91">
        <f>IF($A160=Recto!$I$30,VLOOKUP($A160,Recto!$I$28:$L$44,4,FALSE),0)</f>
        <v>0</v>
      </c>
      <c r="E160" s="91">
        <f>IF($A160=Recto!$I$31,VLOOKUP($A160,Recto!$I$28:$L$44,4,FALSE),0)</f>
        <v>0</v>
      </c>
      <c r="F160" s="91">
        <f>IF($A160=Recto!$I$32,VLOOKUP($A160,Recto!$I$28:$L$44,4,FALSE),0)</f>
        <v>0</v>
      </c>
      <c r="G160" s="91">
        <f>IF($A160=Recto!$I$33,VLOOKUP($A160,Recto!$I$28:$L$44,4,FALSE),0)</f>
        <v>0</v>
      </c>
      <c r="H160" s="91">
        <f>IF($A160=Recto!$I$34,VLOOKUP($A160,Recto!$I$28:$L$44,4,FALSE),0)</f>
        <v>0</v>
      </c>
      <c r="I160" s="91">
        <f>IF($A160=Recto!$I$35,VLOOKUP($A160,Recto!$I$28:$L$44,4,FALSE),0)</f>
        <v>0</v>
      </c>
      <c r="J160" s="91">
        <f>IF($A160=Recto!$I$36,VLOOKUP($A160,Recto!$I$28:$L$44,4,FALSE),0)</f>
        <v>0</v>
      </c>
      <c r="K160" s="91">
        <f>IF($A160=Recto!$I$37,VLOOKUP($A160,Recto!$I$28:$L$44,4,FALSE),0)</f>
        <v>0</v>
      </c>
      <c r="L160" s="91">
        <f>IF($A160=Recto!$I$38,VLOOKUP($A160,Recto!$I$28:$L$44,4,FALSE),0)</f>
        <v>0</v>
      </c>
      <c r="M160" s="91">
        <f>IF($A160=Recto!$I$39,VLOOKUP($A160,Recto!$I$28:$L$44,4,FALSE),0)</f>
        <v>0</v>
      </c>
      <c r="N160" s="91">
        <f>IF($A160=Recto!$I$40,VLOOKUP($A160,Recto!$I$28:$L$44,4,FALSE),0)</f>
        <v>0</v>
      </c>
      <c r="O160" s="91">
        <f>IF($A160=Recto!$I$41,VLOOKUP($A160,Recto!$I$28:$L$44,4,FALSE),0)</f>
        <v>0</v>
      </c>
      <c r="P160" s="91">
        <f>IF($A160=Recto!$I$42,VLOOKUP($A160,Recto!$I$28:$L$44,4,FALSE),0)</f>
        <v>0</v>
      </c>
      <c r="Q160" s="91">
        <f>IF($A160=Recto!$I$43,VLOOKUP($A160,Recto!$I$28:$L$44,4,FALSE),0)</f>
        <v>0</v>
      </c>
      <c r="R160" s="91">
        <f>IF($A160=Recto!$I$44,VLOOKUP($A160,Recto!$I$28:$L$44,4,FALSE),0)</f>
        <v>0</v>
      </c>
      <c r="S160" s="295">
        <f t="shared" si="5"/>
        <v>0</v>
      </c>
    </row>
    <row r="161" spans="1:19" x14ac:dyDescent="0.25">
      <c r="A161" s="500" t="s">
        <v>1356</v>
      </c>
      <c r="B161" s="91">
        <f>IF($A161=Recto!$I$28,VLOOKUP($A161,Recto!$I$28:$L$44,4,FALSE),0)</f>
        <v>0</v>
      </c>
      <c r="C161" s="91">
        <f>IF($A161=Recto!$I$29,VLOOKUP($A161,Recto!$I$28:$L$44,4,FALSE),0)</f>
        <v>0</v>
      </c>
      <c r="D161" s="91">
        <f>IF($A161=Recto!$I$30,VLOOKUP($A161,Recto!$I$28:$L$44,4,FALSE),0)</f>
        <v>0</v>
      </c>
      <c r="E161" s="91">
        <f>IF($A161=Recto!$I$31,VLOOKUP($A161,Recto!$I$28:$L$44,4,FALSE),0)</f>
        <v>0</v>
      </c>
      <c r="F161" s="91">
        <f>IF($A161=Recto!$I$32,VLOOKUP($A161,Recto!$I$28:$L$44,4,FALSE),0)</f>
        <v>0</v>
      </c>
      <c r="G161" s="91">
        <f>IF($A161=Recto!$I$33,VLOOKUP($A161,Recto!$I$28:$L$44,4,FALSE),0)</f>
        <v>0</v>
      </c>
      <c r="H161" s="91">
        <f>IF($A161=Recto!$I$34,VLOOKUP($A161,Recto!$I$28:$L$44,4,FALSE),0)</f>
        <v>0</v>
      </c>
      <c r="I161" s="91">
        <f>IF($A161=Recto!$I$35,VLOOKUP($A161,Recto!$I$28:$L$44,4,FALSE),0)</f>
        <v>0</v>
      </c>
      <c r="J161" s="91">
        <f>IF($A161=Recto!$I$36,VLOOKUP($A161,Recto!$I$28:$L$44,4,FALSE),0)</f>
        <v>0</v>
      </c>
      <c r="K161" s="91">
        <f>IF($A161=Recto!$I$37,VLOOKUP($A161,Recto!$I$28:$L$44,4,FALSE),0)</f>
        <v>0</v>
      </c>
      <c r="L161" s="91">
        <f>IF($A161=Recto!$I$38,VLOOKUP($A161,Recto!$I$28:$L$44,4,FALSE),0)</f>
        <v>0</v>
      </c>
      <c r="M161" s="91">
        <f>IF($A161=Recto!$I$39,VLOOKUP($A161,Recto!$I$28:$L$44,4,FALSE),0)</f>
        <v>0</v>
      </c>
      <c r="N161" s="91">
        <f>IF($A161=Recto!$I$40,VLOOKUP($A161,Recto!$I$28:$L$44,4,FALSE),0)</f>
        <v>0</v>
      </c>
      <c r="O161" s="91">
        <f>IF($A161=Recto!$I$41,VLOOKUP($A161,Recto!$I$28:$L$44,4,FALSE),0)</f>
        <v>0</v>
      </c>
      <c r="P161" s="91">
        <f>IF($A161=Recto!$I$42,VLOOKUP($A161,Recto!$I$28:$L$44,4,FALSE),0)</f>
        <v>0</v>
      </c>
      <c r="Q161" s="91">
        <f>IF($A161=Recto!$I$43,VLOOKUP($A161,Recto!$I$28:$L$44,4,FALSE),0)</f>
        <v>0</v>
      </c>
      <c r="R161" s="91">
        <f>IF($A161=Recto!$I$44,VLOOKUP($A161,Recto!$I$28:$L$44,4,FALSE),0)</f>
        <v>0</v>
      </c>
      <c r="S161" s="295">
        <f t="shared" si="5"/>
        <v>0</v>
      </c>
    </row>
    <row r="162" spans="1:19" x14ac:dyDescent="0.25">
      <c r="A162" s="500" t="s">
        <v>1291</v>
      </c>
      <c r="B162" s="91">
        <f>IF($A162=Recto!$I$28,VLOOKUP($A162,Recto!$I$28:$L$44,4,FALSE),0)</f>
        <v>0</v>
      </c>
      <c r="C162" s="91">
        <f>IF($A162=Recto!$I$29,VLOOKUP($A162,Recto!$I$28:$L$44,4,FALSE),0)</f>
        <v>0</v>
      </c>
      <c r="D162" s="91">
        <f>IF($A162=Recto!$I$30,VLOOKUP($A162,Recto!$I$28:$L$44,4,FALSE),0)</f>
        <v>0</v>
      </c>
      <c r="E162" s="91">
        <f>IF($A162=Recto!$I$31,VLOOKUP($A162,Recto!$I$28:$L$44,4,FALSE),0)</f>
        <v>0</v>
      </c>
      <c r="F162" s="91">
        <f>IF($A162=Recto!$I$32,VLOOKUP($A162,Recto!$I$28:$L$44,4,FALSE),0)</f>
        <v>0</v>
      </c>
      <c r="G162" s="91">
        <f>IF($A162=Recto!$I$33,VLOOKUP($A162,Recto!$I$28:$L$44,4,FALSE),0)</f>
        <v>0</v>
      </c>
      <c r="H162" s="91">
        <f>IF($A162=Recto!$I$34,VLOOKUP($A162,Recto!$I$28:$L$44,4,FALSE),0)</f>
        <v>0</v>
      </c>
      <c r="I162" s="91">
        <f>IF($A162=Recto!$I$35,VLOOKUP($A162,Recto!$I$28:$L$44,4,FALSE),0)</f>
        <v>0</v>
      </c>
      <c r="J162" s="91">
        <f>IF($A162=Recto!$I$36,VLOOKUP($A162,Recto!$I$28:$L$44,4,FALSE),0)</f>
        <v>0</v>
      </c>
      <c r="K162" s="91">
        <f>IF($A162=Recto!$I$37,VLOOKUP($A162,Recto!$I$28:$L$44,4,FALSE),0)</f>
        <v>0</v>
      </c>
      <c r="L162" s="91">
        <f>IF($A162=Recto!$I$38,VLOOKUP($A162,Recto!$I$28:$L$44,4,FALSE),0)</f>
        <v>0</v>
      </c>
      <c r="M162" s="91">
        <f>IF($A162=Recto!$I$39,VLOOKUP($A162,Recto!$I$28:$L$44,4,FALSE),0)</f>
        <v>0</v>
      </c>
      <c r="N162" s="91">
        <f>IF($A162=Recto!$I$40,VLOOKUP($A162,Recto!$I$28:$L$44,4,FALSE),0)</f>
        <v>0</v>
      </c>
      <c r="O162" s="91">
        <f>IF($A162=Recto!$I$41,VLOOKUP($A162,Recto!$I$28:$L$44,4,FALSE),0)</f>
        <v>0</v>
      </c>
      <c r="P162" s="91">
        <f>IF($A162=Recto!$I$42,VLOOKUP($A162,Recto!$I$28:$L$44,4,FALSE),0)</f>
        <v>0</v>
      </c>
      <c r="Q162" s="91">
        <f>IF($A162=Recto!$I$43,VLOOKUP($A162,Recto!$I$28:$L$44,4,FALSE),0)</f>
        <v>0</v>
      </c>
      <c r="R162" s="91">
        <f>IF($A162=Recto!$I$44,VLOOKUP($A162,Recto!$I$28:$L$44,4,FALSE),0)</f>
        <v>0</v>
      </c>
      <c r="S162" s="295">
        <f t="shared" si="5"/>
        <v>0</v>
      </c>
    </row>
    <row r="163" spans="1:19" s="196" customFormat="1" x14ac:dyDescent="0.25">
      <c r="A163" s="500" t="s">
        <v>7440</v>
      </c>
      <c r="B163" s="91">
        <f>IF($A163=Recto!$I$28,VLOOKUP($A163,Recto!$I$28:$L$44,4,FALSE),0)</f>
        <v>0</v>
      </c>
      <c r="C163" s="91">
        <f>IF($A163=Recto!$I$29,VLOOKUP($A163,Recto!$I$28:$L$44,4,FALSE),0)</f>
        <v>0</v>
      </c>
      <c r="D163" s="91">
        <f>IF($A163=Recto!$I$30,VLOOKUP($A163,Recto!$I$28:$L$44,4,FALSE),0)</f>
        <v>0</v>
      </c>
      <c r="E163" s="91">
        <f>IF($A163=Recto!$I$31,VLOOKUP($A163,Recto!$I$28:$L$44,4,FALSE),0)</f>
        <v>0</v>
      </c>
      <c r="F163" s="91">
        <f>IF($A163=Recto!$I$32,VLOOKUP($A163,Recto!$I$28:$L$44,4,FALSE),0)</f>
        <v>0</v>
      </c>
      <c r="G163" s="91">
        <f>IF($A163=Recto!$I$33,VLOOKUP($A163,Recto!$I$28:$L$44,4,FALSE),0)</f>
        <v>0</v>
      </c>
      <c r="H163" s="91">
        <f>IF($A163=Recto!$I$34,VLOOKUP($A163,Recto!$I$28:$L$44,4,FALSE),0)</f>
        <v>0</v>
      </c>
      <c r="I163" s="91">
        <f>IF($A163=Recto!$I$35,VLOOKUP($A163,Recto!$I$28:$L$44,4,FALSE),0)</f>
        <v>0</v>
      </c>
      <c r="J163" s="91">
        <f>IF($A163=Recto!$I$36,VLOOKUP($A163,Recto!$I$28:$L$44,4,FALSE),0)</f>
        <v>0</v>
      </c>
      <c r="K163" s="91">
        <f>IF($A163=Recto!$I$37,VLOOKUP($A163,Recto!$I$28:$L$44,4,FALSE),0)</f>
        <v>0</v>
      </c>
      <c r="L163" s="91">
        <f>IF($A163=Recto!$I$38,VLOOKUP($A163,Recto!$I$28:$L$44,4,FALSE),0)</f>
        <v>0</v>
      </c>
      <c r="M163" s="91">
        <f>IF($A163=Recto!$I$39,VLOOKUP($A163,Recto!$I$28:$L$44,4,FALSE),0)</f>
        <v>0</v>
      </c>
      <c r="N163" s="91">
        <f>IF($A163=Recto!$I$40,VLOOKUP($A163,Recto!$I$28:$L$44,4,FALSE),0)</f>
        <v>0</v>
      </c>
      <c r="O163" s="91">
        <f>IF($A163=Recto!$I$41,VLOOKUP($A163,Recto!$I$28:$L$44,4,FALSE),0)</f>
        <v>0</v>
      </c>
      <c r="P163" s="91">
        <f>IF($A163=Recto!$I$42,VLOOKUP($A163,Recto!$I$28:$L$44,4,FALSE),0)</f>
        <v>0</v>
      </c>
      <c r="Q163" s="91">
        <f>IF($A163=Recto!$I$43,VLOOKUP($A163,Recto!$I$28:$L$44,4,FALSE),0)</f>
        <v>0</v>
      </c>
      <c r="R163" s="91">
        <f>IF($A163=Recto!$I$44,VLOOKUP($A163,Recto!$I$28:$L$44,4,FALSE),0)</f>
        <v>0</v>
      </c>
      <c r="S163" s="295">
        <f t="shared" si="5"/>
        <v>0</v>
      </c>
    </row>
    <row r="164" spans="1:19" x14ac:dyDescent="0.25">
      <c r="A164" s="500" t="s">
        <v>3193</v>
      </c>
      <c r="B164" s="91">
        <f>IF($A164=Recto!$I$28,VLOOKUP($A164,Recto!$I$28:$L$44,4,FALSE),0)</f>
        <v>0</v>
      </c>
      <c r="C164" s="91">
        <f>IF($A164=Recto!$I$29,VLOOKUP($A164,Recto!$I$28:$L$44,4,FALSE),0)</f>
        <v>0</v>
      </c>
      <c r="D164" s="91">
        <f>IF($A164=Recto!$I$30,VLOOKUP($A164,Recto!$I$28:$L$44,4,FALSE),0)</f>
        <v>0</v>
      </c>
      <c r="E164" s="91">
        <f>IF($A164=Recto!$I$31,VLOOKUP($A164,Recto!$I$28:$L$44,4,FALSE),0)</f>
        <v>0</v>
      </c>
      <c r="F164" s="91">
        <f>IF($A164=Recto!$I$32,VLOOKUP($A164,Recto!$I$28:$L$44,4,FALSE),0)</f>
        <v>0</v>
      </c>
      <c r="G164" s="91">
        <f>IF($A164=Recto!$I$33,VLOOKUP($A164,Recto!$I$28:$L$44,4,FALSE),0)</f>
        <v>0</v>
      </c>
      <c r="H164" s="91">
        <f>IF($A164=Recto!$I$34,VLOOKUP($A164,Recto!$I$28:$L$44,4,FALSE),0)</f>
        <v>0</v>
      </c>
      <c r="I164" s="91">
        <f>IF($A164=Recto!$I$35,VLOOKUP($A164,Recto!$I$28:$L$44,4,FALSE),0)</f>
        <v>0</v>
      </c>
      <c r="J164" s="91">
        <f>IF($A164=Recto!$I$36,VLOOKUP($A164,Recto!$I$28:$L$44,4,FALSE),0)</f>
        <v>0</v>
      </c>
      <c r="K164" s="91">
        <f>IF($A164=Recto!$I$37,VLOOKUP($A164,Recto!$I$28:$L$44,4,FALSE),0)</f>
        <v>0</v>
      </c>
      <c r="L164" s="91">
        <f>IF($A164=Recto!$I$38,VLOOKUP($A164,Recto!$I$28:$L$44,4,FALSE),0)</f>
        <v>0</v>
      </c>
      <c r="M164" s="91">
        <f>IF($A164=Recto!$I$39,VLOOKUP($A164,Recto!$I$28:$L$44,4,FALSE),0)</f>
        <v>0</v>
      </c>
      <c r="N164" s="91">
        <f>IF($A164=Recto!$I$40,VLOOKUP($A164,Recto!$I$28:$L$44,4,FALSE),0)</f>
        <v>0</v>
      </c>
      <c r="O164" s="91">
        <f>IF($A164=Recto!$I$41,VLOOKUP($A164,Recto!$I$28:$L$44,4,FALSE),0)</f>
        <v>0</v>
      </c>
      <c r="P164" s="91">
        <f>IF($A164=Recto!$I$42,VLOOKUP($A164,Recto!$I$28:$L$44,4,FALSE),0)</f>
        <v>0</v>
      </c>
      <c r="Q164" s="91">
        <f>IF($A164=Recto!$I$43,VLOOKUP($A164,Recto!$I$28:$L$44,4,FALSE),0)</f>
        <v>0</v>
      </c>
      <c r="R164" s="91">
        <f>IF($A164=Recto!$I$44,VLOOKUP($A164,Recto!$I$28:$L$44,4,FALSE),0)</f>
        <v>0</v>
      </c>
      <c r="S164" s="295">
        <f t="shared" si="5"/>
        <v>0</v>
      </c>
    </row>
    <row r="165" spans="1:19" x14ac:dyDescent="0.25">
      <c r="A165" s="500" t="s">
        <v>1323</v>
      </c>
      <c r="B165" s="91">
        <f>IF($A165=Recto!$I$28,VLOOKUP($A165,Recto!$I$28:$L$44,4,FALSE),0)</f>
        <v>0</v>
      </c>
      <c r="C165" s="91">
        <f>IF($A165=Recto!$I$29,VLOOKUP($A165,Recto!$I$28:$L$44,4,FALSE),0)</f>
        <v>0</v>
      </c>
      <c r="D165" s="91">
        <f>IF($A165=Recto!$I$30,VLOOKUP($A165,Recto!$I$28:$L$44,4,FALSE),0)</f>
        <v>0</v>
      </c>
      <c r="E165" s="91">
        <f>IF($A165=Recto!$I$31,VLOOKUP($A165,Recto!$I$28:$L$44,4,FALSE),0)</f>
        <v>0</v>
      </c>
      <c r="F165" s="91">
        <f>IF($A165=Recto!$I$32,VLOOKUP($A165,Recto!$I$28:$L$44,4,FALSE),0)</f>
        <v>0</v>
      </c>
      <c r="G165" s="91">
        <f>IF($A165=Recto!$I$33,VLOOKUP($A165,Recto!$I$28:$L$44,4,FALSE),0)</f>
        <v>0</v>
      </c>
      <c r="H165" s="91">
        <f>IF($A165=Recto!$I$34,VLOOKUP($A165,Recto!$I$28:$L$44,4,FALSE),0)</f>
        <v>0</v>
      </c>
      <c r="I165" s="91">
        <f>IF($A165=Recto!$I$35,VLOOKUP($A165,Recto!$I$28:$L$44,4,FALSE),0)</f>
        <v>0</v>
      </c>
      <c r="J165" s="91">
        <f>IF($A165=Recto!$I$36,VLOOKUP($A165,Recto!$I$28:$L$44,4,FALSE),0)</f>
        <v>0</v>
      </c>
      <c r="K165" s="91">
        <f>IF($A165=Recto!$I$37,VLOOKUP($A165,Recto!$I$28:$L$44,4,FALSE),0)</f>
        <v>0</v>
      </c>
      <c r="L165" s="91">
        <f>IF($A165=Recto!$I$38,VLOOKUP($A165,Recto!$I$28:$L$44,4,FALSE),0)</f>
        <v>0</v>
      </c>
      <c r="M165" s="91">
        <f>IF($A165=Recto!$I$39,VLOOKUP($A165,Recto!$I$28:$L$44,4,FALSE),0)</f>
        <v>0</v>
      </c>
      <c r="N165" s="91">
        <f>IF($A165=Recto!$I$40,VLOOKUP($A165,Recto!$I$28:$L$44,4,FALSE),0)</f>
        <v>0</v>
      </c>
      <c r="O165" s="91">
        <f>IF($A165=Recto!$I$41,VLOOKUP($A165,Recto!$I$28:$L$44,4,FALSE),0)</f>
        <v>0</v>
      </c>
      <c r="P165" s="91">
        <f>IF($A165=Recto!$I$42,VLOOKUP($A165,Recto!$I$28:$L$44,4,FALSE),0)</f>
        <v>0</v>
      </c>
      <c r="Q165" s="91">
        <f>IF($A165=Recto!$I$43,VLOOKUP($A165,Recto!$I$28:$L$44,4,FALSE),0)</f>
        <v>0</v>
      </c>
      <c r="R165" s="91">
        <f>IF($A165=Recto!$I$44,VLOOKUP($A165,Recto!$I$28:$L$44,4,FALSE),0)</f>
        <v>0</v>
      </c>
      <c r="S165" s="295">
        <f t="shared" si="5"/>
        <v>0</v>
      </c>
    </row>
    <row r="166" spans="1:19" s="196" customFormat="1" x14ac:dyDescent="0.25">
      <c r="A166" s="136" t="s">
        <v>7691</v>
      </c>
      <c r="B166" s="91">
        <f>IF($A166=Recto!$I$28,VLOOKUP($A166,Recto!$I$28:$L$44,4,FALSE),0)</f>
        <v>0</v>
      </c>
      <c r="C166" s="91">
        <f>IF($A166=Recto!$I$29,VLOOKUP($A166,Recto!$I$28:$L$44,4,FALSE),0)</f>
        <v>0</v>
      </c>
      <c r="D166" s="91">
        <f>IF($A166=Recto!$I$30,VLOOKUP($A166,Recto!$I$28:$L$44,4,FALSE),0)</f>
        <v>0</v>
      </c>
      <c r="E166" s="91">
        <f>IF($A166=Recto!$I$31,VLOOKUP($A166,Recto!$I$28:$L$44,4,FALSE),0)</f>
        <v>0</v>
      </c>
      <c r="F166" s="91">
        <f>IF($A166=Recto!$I$32,VLOOKUP($A166,Recto!$I$28:$L$44,4,FALSE),0)</f>
        <v>0</v>
      </c>
      <c r="G166" s="91">
        <f>IF($A166=Recto!$I$33,VLOOKUP($A166,Recto!$I$28:$L$44,4,FALSE),0)</f>
        <v>0</v>
      </c>
      <c r="H166" s="91">
        <f>IF($A166=Recto!$I$34,VLOOKUP($A166,Recto!$I$28:$L$44,4,FALSE),0)</f>
        <v>0</v>
      </c>
      <c r="I166" s="91">
        <f>IF($A166=Recto!$I$35,VLOOKUP($A166,Recto!$I$28:$L$44,4,FALSE),0)</f>
        <v>0</v>
      </c>
      <c r="J166" s="91">
        <f>IF($A166=Recto!$I$36,VLOOKUP($A166,Recto!$I$28:$L$44,4,FALSE),0)</f>
        <v>0</v>
      </c>
      <c r="K166" s="91">
        <f>IF($A166=Recto!$I$37,VLOOKUP($A166,Recto!$I$28:$L$44,4,FALSE),0)</f>
        <v>0</v>
      </c>
      <c r="L166" s="91">
        <f>IF($A166=Recto!$I$38,VLOOKUP($A166,Recto!$I$28:$L$44,4,FALSE),0)</f>
        <v>0</v>
      </c>
      <c r="M166" s="91">
        <f>IF($A166=Recto!$I$39,VLOOKUP($A166,Recto!$I$28:$L$44,4,FALSE),0)</f>
        <v>0</v>
      </c>
      <c r="N166" s="91">
        <f>IF($A166=Recto!$I$40,VLOOKUP($A166,Recto!$I$28:$L$44,4,FALSE),0)</f>
        <v>0</v>
      </c>
      <c r="O166" s="91">
        <f>IF($A166=Recto!$I$41,VLOOKUP($A166,Recto!$I$28:$L$44,4,FALSE),0)</f>
        <v>0</v>
      </c>
      <c r="P166" s="91">
        <f>IF($A166=Recto!$I$42,VLOOKUP($A166,Recto!$I$28:$L$44,4,FALSE),0)</f>
        <v>0</v>
      </c>
      <c r="Q166" s="91">
        <f>IF($A166=Recto!$I$43,VLOOKUP($A166,Recto!$I$28:$L$44,4,FALSE),0)</f>
        <v>0</v>
      </c>
      <c r="R166" s="91">
        <f>IF($A166=Recto!$I$44,VLOOKUP($A166,Recto!$I$28:$L$44,4,FALSE),0)</f>
        <v>0</v>
      </c>
      <c r="S166" s="295">
        <f t="shared" si="5"/>
        <v>0</v>
      </c>
    </row>
    <row r="167" spans="1:19" x14ac:dyDescent="0.25">
      <c r="A167" s="500" t="s">
        <v>6322</v>
      </c>
      <c r="B167" s="91">
        <f>IF($A167=Recto!$I$28,VLOOKUP($A167,Recto!$I$28:$L$44,4,FALSE),0)</f>
        <v>0</v>
      </c>
      <c r="C167" s="91">
        <f>IF($A167=Recto!$I$29,VLOOKUP($A167,Recto!$I$28:$L$44,4,FALSE),0)</f>
        <v>0</v>
      </c>
      <c r="D167" s="91">
        <f>IF($A167=Recto!$I$30,VLOOKUP($A167,Recto!$I$28:$L$44,4,FALSE),0)</f>
        <v>0</v>
      </c>
      <c r="E167" s="91">
        <f>IF($A167=Recto!$I$31,VLOOKUP($A167,Recto!$I$28:$L$44,4,FALSE),0)</f>
        <v>0</v>
      </c>
      <c r="F167" s="91">
        <f>IF($A167=Recto!$I$32,VLOOKUP($A167,Recto!$I$28:$L$44,4,FALSE),0)</f>
        <v>0</v>
      </c>
      <c r="G167" s="91">
        <f>IF($A167=Recto!$I$33,VLOOKUP($A167,Recto!$I$28:$L$44,4,FALSE),0)</f>
        <v>0</v>
      </c>
      <c r="H167" s="91">
        <f>IF($A167=Recto!$I$34,VLOOKUP($A167,Recto!$I$28:$L$44,4,FALSE),0)</f>
        <v>0</v>
      </c>
      <c r="I167" s="91">
        <f>IF($A167=Recto!$I$35,VLOOKUP($A167,Recto!$I$28:$L$44,4,FALSE),0)</f>
        <v>0</v>
      </c>
      <c r="J167" s="91">
        <f>IF($A167=Recto!$I$36,VLOOKUP($A167,Recto!$I$28:$L$44,4,FALSE),0)</f>
        <v>0</v>
      </c>
      <c r="K167" s="91">
        <f>IF($A167=Recto!$I$37,VLOOKUP($A167,Recto!$I$28:$L$44,4,FALSE),0)</f>
        <v>0</v>
      </c>
      <c r="L167" s="91">
        <f>IF($A167=Recto!$I$38,VLOOKUP($A167,Recto!$I$28:$L$44,4,FALSE),0)</f>
        <v>0</v>
      </c>
      <c r="M167" s="91">
        <f>IF($A167=Recto!$I$39,VLOOKUP($A167,Recto!$I$28:$L$44,4,FALSE),0)</f>
        <v>0</v>
      </c>
      <c r="N167" s="91">
        <f>IF($A167=Recto!$I$40,VLOOKUP($A167,Recto!$I$28:$L$44,4,FALSE),0)</f>
        <v>0</v>
      </c>
      <c r="O167" s="91">
        <f>IF($A167=Recto!$I$41,VLOOKUP($A167,Recto!$I$28:$L$44,4,FALSE),0)</f>
        <v>0</v>
      </c>
      <c r="P167" s="91">
        <f>IF($A167=Recto!$I$42,VLOOKUP($A167,Recto!$I$28:$L$44,4,FALSE),0)</f>
        <v>0</v>
      </c>
      <c r="Q167" s="91">
        <f>IF($A167=Recto!$I$43,VLOOKUP($A167,Recto!$I$28:$L$44,4,FALSE),0)</f>
        <v>0</v>
      </c>
      <c r="R167" s="91">
        <f>IF($A167=Recto!$I$44,VLOOKUP($A167,Recto!$I$28:$L$44,4,FALSE),0)</f>
        <v>0</v>
      </c>
      <c r="S167" s="295">
        <f t="shared" si="5"/>
        <v>0</v>
      </c>
    </row>
    <row r="168" spans="1:19" x14ac:dyDescent="0.25">
      <c r="A168" s="500" t="s">
        <v>6331</v>
      </c>
      <c r="B168" s="91">
        <f>IF($A168=Recto!$I$28,VLOOKUP($A168,Recto!$I$28:$L$44,4,FALSE),0)</f>
        <v>0</v>
      </c>
      <c r="C168" s="91">
        <f>IF($A168=Recto!$I$29,VLOOKUP($A168,Recto!$I$28:$L$44,4,FALSE),0)</f>
        <v>0</v>
      </c>
      <c r="D168" s="91">
        <f>IF($A168=Recto!$I$30,VLOOKUP($A168,Recto!$I$28:$L$44,4,FALSE),0)</f>
        <v>0</v>
      </c>
      <c r="E168" s="91">
        <f>IF($A168=Recto!$I$31,VLOOKUP($A168,Recto!$I$28:$L$44,4,FALSE),0)</f>
        <v>0</v>
      </c>
      <c r="F168" s="91">
        <f>IF($A168=Recto!$I$32,VLOOKUP($A168,Recto!$I$28:$L$44,4,FALSE),0)</f>
        <v>0</v>
      </c>
      <c r="G168" s="91">
        <f>IF($A168=Recto!$I$33,VLOOKUP($A168,Recto!$I$28:$L$44,4,FALSE),0)</f>
        <v>0</v>
      </c>
      <c r="H168" s="91">
        <f>IF($A168=Recto!$I$34,VLOOKUP($A168,Recto!$I$28:$L$44,4,FALSE),0)</f>
        <v>0</v>
      </c>
      <c r="I168" s="91">
        <f>IF($A168=Recto!$I$35,VLOOKUP($A168,Recto!$I$28:$L$44,4,FALSE),0)</f>
        <v>0</v>
      </c>
      <c r="J168" s="91">
        <f>IF($A168=Recto!$I$36,VLOOKUP($A168,Recto!$I$28:$L$44,4,FALSE),0)</f>
        <v>0</v>
      </c>
      <c r="K168" s="91">
        <f>IF($A168=Recto!$I$37,VLOOKUP($A168,Recto!$I$28:$L$44,4,FALSE),0)</f>
        <v>0</v>
      </c>
      <c r="L168" s="91">
        <f>IF($A168=Recto!$I$38,VLOOKUP($A168,Recto!$I$28:$L$44,4,FALSE),0)</f>
        <v>0</v>
      </c>
      <c r="M168" s="91">
        <f>IF($A168=Recto!$I$39,VLOOKUP($A168,Recto!$I$28:$L$44,4,FALSE),0)</f>
        <v>0</v>
      </c>
      <c r="N168" s="91">
        <f>IF($A168=Recto!$I$40,VLOOKUP($A168,Recto!$I$28:$L$44,4,FALSE),0)</f>
        <v>0</v>
      </c>
      <c r="O168" s="91">
        <f>IF($A168=Recto!$I$41,VLOOKUP($A168,Recto!$I$28:$L$44,4,FALSE),0)</f>
        <v>0</v>
      </c>
      <c r="P168" s="91">
        <f>IF($A168=Recto!$I$42,VLOOKUP($A168,Recto!$I$28:$L$44,4,FALSE),0)</f>
        <v>0</v>
      </c>
      <c r="Q168" s="91">
        <f>IF($A168=Recto!$I$43,VLOOKUP($A168,Recto!$I$28:$L$44,4,FALSE),0)</f>
        <v>0</v>
      </c>
      <c r="R168" s="91">
        <f>IF($A168=Recto!$I$44,VLOOKUP($A168,Recto!$I$28:$L$44,4,FALSE),0)</f>
        <v>0</v>
      </c>
      <c r="S168" s="295">
        <f t="shared" si="5"/>
        <v>0</v>
      </c>
    </row>
    <row r="169" spans="1:19" x14ac:dyDescent="0.25">
      <c r="A169" s="500" t="s">
        <v>6323</v>
      </c>
      <c r="B169" s="91">
        <f>IF($A169=Recto!$I$28,VLOOKUP($A169,Recto!$I$28:$L$44,4,FALSE),0)</f>
        <v>0</v>
      </c>
      <c r="C169" s="91">
        <f>IF($A169=Recto!$I$29,VLOOKUP($A169,Recto!$I$28:$L$44,4,FALSE),0)</f>
        <v>0</v>
      </c>
      <c r="D169" s="91">
        <f>IF($A169=Recto!$I$30,VLOOKUP($A169,Recto!$I$28:$L$44,4,FALSE),0)</f>
        <v>0</v>
      </c>
      <c r="E169" s="91">
        <f>IF($A169=Recto!$I$31,VLOOKUP($A169,Recto!$I$28:$L$44,4,FALSE),0)</f>
        <v>0</v>
      </c>
      <c r="F169" s="91">
        <f>IF($A169=Recto!$I$32,VLOOKUP($A169,Recto!$I$28:$L$44,4,FALSE),0)</f>
        <v>0</v>
      </c>
      <c r="G169" s="91">
        <f>IF($A169=Recto!$I$33,VLOOKUP($A169,Recto!$I$28:$L$44,4,FALSE),0)</f>
        <v>0</v>
      </c>
      <c r="H169" s="91">
        <f>IF($A169=Recto!$I$34,VLOOKUP($A169,Recto!$I$28:$L$44,4,FALSE),0)</f>
        <v>0</v>
      </c>
      <c r="I169" s="91">
        <f>IF($A169=Recto!$I$35,VLOOKUP($A169,Recto!$I$28:$L$44,4,FALSE),0)</f>
        <v>0</v>
      </c>
      <c r="J169" s="91">
        <f>IF($A169=Recto!$I$36,VLOOKUP($A169,Recto!$I$28:$L$44,4,FALSE),0)</f>
        <v>0</v>
      </c>
      <c r="K169" s="91">
        <f>IF($A169=Recto!$I$37,VLOOKUP($A169,Recto!$I$28:$L$44,4,FALSE),0)</f>
        <v>0</v>
      </c>
      <c r="L169" s="91">
        <f>IF($A169=Recto!$I$38,VLOOKUP($A169,Recto!$I$28:$L$44,4,FALSE),0)</f>
        <v>0</v>
      </c>
      <c r="M169" s="91">
        <f>IF($A169=Recto!$I$39,VLOOKUP($A169,Recto!$I$28:$L$44,4,FALSE),0)</f>
        <v>0</v>
      </c>
      <c r="N169" s="91">
        <f>IF($A169=Recto!$I$40,VLOOKUP($A169,Recto!$I$28:$L$44,4,FALSE),0)</f>
        <v>0</v>
      </c>
      <c r="O169" s="91">
        <f>IF($A169=Recto!$I$41,VLOOKUP($A169,Recto!$I$28:$L$44,4,FALSE),0)</f>
        <v>0</v>
      </c>
      <c r="P169" s="91">
        <f>IF($A169=Recto!$I$42,VLOOKUP($A169,Recto!$I$28:$L$44,4,FALSE),0)</f>
        <v>0</v>
      </c>
      <c r="Q169" s="91">
        <f>IF($A169=Recto!$I$43,VLOOKUP($A169,Recto!$I$28:$L$44,4,FALSE),0)</f>
        <v>0</v>
      </c>
      <c r="R169" s="91">
        <f>IF($A169=Recto!$I$44,VLOOKUP($A169,Recto!$I$28:$L$44,4,FALSE),0)</f>
        <v>0</v>
      </c>
      <c r="S169" s="295">
        <f t="shared" si="5"/>
        <v>0</v>
      </c>
    </row>
    <row r="170" spans="1:19" x14ac:dyDescent="0.25">
      <c r="A170" s="500" t="s">
        <v>6324</v>
      </c>
      <c r="B170" s="91">
        <f>IF($A170=Recto!$I$28,VLOOKUP($A170,Recto!$I$28:$L$44,4,FALSE),0)</f>
        <v>0</v>
      </c>
      <c r="C170" s="91">
        <f>IF($A170=Recto!$I$29,VLOOKUP($A170,Recto!$I$28:$L$44,4,FALSE),0)</f>
        <v>0</v>
      </c>
      <c r="D170" s="91">
        <f>IF($A170=Recto!$I$30,VLOOKUP($A170,Recto!$I$28:$L$44,4,FALSE),0)</f>
        <v>0</v>
      </c>
      <c r="E170" s="91">
        <f>IF($A170=Recto!$I$31,VLOOKUP($A170,Recto!$I$28:$L$44,4,FALSE),0)</f>
        <v>0</v>
      </c>
      <c r="F170" s="91">
        <f>IF($A170=Recto!$I$32,VLOOKUP($A170,Recto!$I$28:$L$44,4,FALSE),0)</f>
        <v>0</v>
      </c>
      <c r="G170" s="91">
        <f>IF($A170=Recto!$I$33,VLOOKUP($A170,Recto!$I$28:$L$44,4,FALSE),0)</f>
        <v>0</v>
      </c>
      <c r="H170" s="91">
        <f>IF($A170=Recto!$I$34,VLOOKUP($A170,Recto!$I$28:$L$44,4,FALSE),0)</f>
        <v>0</v>
      </c>
      <c r="I170" s="91">
        <f>IF($A170=Recto!$I$35,VLOOKUP($A170,Recto!$I$28:$L$44,4,FALSE),0)</f>
        <v>0</v>
      </c>
      <c r="J170" s="91">
        <f>IF($A170=Recto!$I$36,VLOOKUP($A170,Recto!$I$28:$L$44,4,FALSE),0)</f>
        <v>0</v>
      </c>
      <c r="K170" s="91">
        <f>IF($A170=Recto!$I$37,VLOOKUP($A170,Recto!$I$28:$L$44,4,FALSE),0)</f>
        <v>0</v>
      </c>
      <c r="L170" s="91">
        <f>IF($A170=Recto!$I$38,VLOOKUP($A170,Recto!$I$28:$L$44,4,FALSE),0)</f>
        <v>0</v>
      </c>
      <c r="M170" s="91">
        <f>IF($A170=Recto!$I$39,VLOOKUP($A170,Recto!$I$28:$L$44,4,FALSE),0)</f>
        <v>0</v>
      </c>
      <c r="N170" s="91">
        <f>IF($A170=Recto!$I$40,VLOOKUP($A170,Recto!$I$28:$L$44,4,FALSE),0)</f>
        <v>0</v>
      </c>
      <c r="O170" s="91">
        <f>IF($A170=Recto!$I$41,VLOOKUP($A170,Recto!$I$28:$L$44,4,FALSE),0)</f>
        <v>0</v>
      </c>
      <c r="P170" s="91">
        <f>IF($A170=Recto!$I$42,VLOOKUP($A170,Recto!$I$28:$L$44,4,FALSE),0)</f>
        <v>0</v>
      </c>
      <c r="Q170" s="91">
        <f>IF($A170=Recto!$I$43,VLOOKUP($A170,Recto!$I$28:$L$44,4,FALSE),0)</f>
        <v>0</v>
      </c>
      <c r="R170" s="91">
        <f>IF($A170=Recto!$I$44,VLOOKUP($A170,Recto!$I$28:$L$44,4,FALSE),0)</f>
        <v>0</v>
      </c>
      <c r="S170" s="295">
        <f t="shared" si="5"/>
        <v>0</v>
      </c>
    </row>
    <row r="171" spans="1:19" x14ac:dyDescent="0.25">
      <c r="A171" s="500" t="str">
        <f>IF(Contexte_jeu="L'Aube de l'Empire","Hist. Ki-Rin","Hist. Licorne")</f>
        <v>Hist. Licorne</v>
      </c>
      <c r="B171" s="91">
        <f>IF($A171=Recto!$I$28,VLOOKUP($A171,Recto!$I$28:$L$44,4,FALSE),0)</f>
        <v>0</v>
      </c>
      <c r="C171" s="91">
        <f>IF($A171=Recto!$I$29,VLOOKUP($A171,Recto!$I$28:$L$44,4,FALSE),0)</f>
        <v>0</v>
      </c>
      <c r="D171" s="91">
        <f>IF($A171=Recto!$I$30,VLOOKUP($A171,Recto!$I$28:$L$44,4,FALSE),0)</f>
        <v>0</v>
      </c>
      <c r="E171" s="91">
        <f>IF($A171=Recto!$I$31,VLOOKUP($A171,Recto!$I$28:$L$44,4,FALSE),0)</f>
        <v>0</v>
      </c>
      <c r="F171" s="91">
        <f>IF($A171=Recto!$I$32,VLOOKUP($A171,Recto!$I$28:$L$44,4,FALSE),0)</f>
        <v>0</v>
      </c>
      <c r="G171" s="91">
        <f>IF($A171=Recto!$I$33,VLOOKUP($A171,Recto!$I$28:$L$44,4,FALSE),0)</f>
        <v>0</v>
      </c>
      <c r="H171" s="91">
        <f>IF($A171=Recto!$I$34,VLOOKUP($A171,Recto!$I$28:$L$44,4,FALSE),0)</f>
        <v>0</v>
      </c>
      <c r="I171" s="91">
        <f>IF($A171=Recto!$I$35,VLOOKUP($A171,Recto!$I$28:$L$44,4,FALSE),0)</f>
        <v>0</v>
      </c>
      <c r="J171" s="91">
        <f>IF($A171=Recto!$I$36,VLOOKUP($A171,Recto!$I$28:$L$44,4,FALSE),0)</f>
        <v>0</v>
      </c>
      <c r="K171" s="91">
        <f>IF($A171=Recto!$I$37,VLOOKUP($A171,Recto!$I$28:$L$44,4,FALSE),0)</f>
        <v>0</v>
      </c>
      <c r="L171" s="91">
        <f>IF($A171=Recto!$I$38,VLOOKUP($A171,Recto!$I$28:$L$44,4,FALSE),0)</f>
        <v>0</v>
      </c>
      <c r="M171" s="91">
        <f>IF($A171=Recto!$I$39,VLOOKUP($A171,Recto!$I$28:$L$44,4,FALSE),0)</f>
        <v>0</v>
      </c>
      <c r="N171" s="91">
        <f>IF($A171=Recto!$I$40,VLOOKUP($A171,Recto!$I$28:$L$44,4,FALSE),0)</f>
        <v>0</v>
      </c>
      <c r="O171" s="91">
        <f>IF($A171=Recto!$I$41,VLOOKUP($A171,Recto!$I$28:$L$44,4,FALSE),0)</f>
        <v>0</v>
      </c>
      <c r="P171" s="91">
        <f>IF($A171=Recto!$I$42,VLOOKUP($A171,Recto!$I$28:$L$44,4,FALSE),0)</f>
        <v>0</v>
      </c>
      <c r="Q171" s="91">
        <f>IF($A171=Recto!$I$43,VLOOKUP($A171,Recto!$I$28:$L$44,4,FALSE),0)</f>
        <v>0</v>
      </c>
      <c r="R171" s="91">
        <f>IF($A171=Recto!$I$44,VLOOKUP($A171,Recto!$I$28:$L$44,4,FALSE),0)</f>
        <v>0</v>
      </c>
      <c r="S171" s="295">
        <f t="shared" si="5"/>
        <v>0</v>
      </c>
    </row>
    <row r="172" spans="1:19" x14ac:dyDescent="0.25">
      <c r="A172" s="500" t="s">
        <v>6325</v>
      </c>
      <c r="B172" s="91">
        <f>IF($A172=Recto!$I$28,VLOOKUP($A172,Recto!$I$28:$L$44,4,FALSE),0)</f>
        <v>0</v>
      </c>
      <c r="C172" s="91">
        <f>IF($A172=Recto!$I$29,VLOOKUP($A172,Recto!$I$28:$L$44,4,FALSE),0)</f>
        <v>0</v>
      </c>
      <c r="D172" s="91">
        <f>IF($A172=Recto!$I$30,VLOOKUP($A172,Recto!$I$28:$L$44,4,FALSE),0)</f>
        <v>0</v>
      </c>
      <c r="E172" s="91">
        <f>IF($A172=Recto!$I$31,VLOOKUP($A172,Recto!$I$28:$L$44,4,FALSE),0)</f>
        <v>0</v>
      </c>
      <c r="F172" s="91">
        <f>IF($A172=Recto!$I$32,VLOOKUP($A172,Recto!$I$28:$L$44,4,FALSE),0)</f>
        <v>0</v>
      </c>
      <c r="G172" s="91">
        <f>IF($A172=Recto!$I$33,VLOOKUP($A172,Recto!$I$28:$L$44,4,FALSE),0)</f>
        <v>0</v>
      </c>
      <c r="H172" s="91">
        <f>IF($A172=Recto!$I$34,VLOOKUP($A172,Recto!$I$28:$L$44,4,FALSE),0)</f>
        <v>0</v>
      </c>
      <c r="I172" s="91">
        <f>IF($A172=Recto!$I$35,VLOOKUP($A172,Recto!$I$28:$L$44,4,FALSE),0)</f>
        <v>0</v>
      </c>
      <c r="J172" s="91">
        <f>IF($A172=Recto!$I$36,VLOOKUP($A172,Recto!$I$28:$L$44,4,FALSE),0)</f>
        <v>0</v>
      </c>
      <c r="K172" s="91">
        <f>IF($A172=Recto!$I$37,VLOOKUP($A172,Recto!$I$28:$L$44,4,FALSE),0)</f>
        <v>0</v>
      </c>
      <c r="L172" s="91">
        <f>IF($A172=Recto!$I$38,VLOOKUP($A172,Recto!$I$28:$L$44,4,FALSE),0)</f>
        <v>0</v>
      </c>
      <c r="M172" s="91">
        <f>IF($A172=Recto!$I$39,VLOOKUP($A172,Recto!$I$28:$L$44,4,FALSE),0)</f>
        <v>0</v>
      </c>
      <c r="N172" s="91">
        <f>IF($A172=Recto!$I$40,VLOOKUP($A172,Recto!$I$28:$L$44,4,FALSE),0)</f>
        <v>0</v>
      </c>
      <c r="O172" s="91">
        <f>IF($A172=Recto!$I$41,VLOOKUP($A172,Recto!$I$28:$L$44,4,FALSE),0)</f>
        <v>0</v>
      </c>
      <c r="P172" s="91">
        <f>IF($A172=Recto!$I$42,VLOOKUP($A172,Recto!$I$28:$L$44,4,FALSE),0)</f>
        <v>0</v>
      </c>
      <c r="Q172" s="91">
        <f>IF($A172=Recto!$I$43,VLOOKUP($A172,Recto!$I$28:$L$44,4,FALSE),0)</f>
        <v>0</v>
      </c>
      <c r="R172" s="91">
        <f>IF($A172=Recto!$I$44,VLOOKUP($A172,Recto!$I$28:$L$44,4,FALSE),0)</f>
        <v>0</v>
      </c>
      <c r="S172" s="295">
        <f t="shared" si="5"/>
        <v>0</v>
      </c>
    </row>
    <row r="173" spans="1:19" x14ac:dyDescent="0.25">
      <c r="A173" s="500" t="s">
        <v>6321</v>
      </c>
      <c r="B173" s="91">
        <f>IF($A173=Recto!$I$28,VLOOKUP($A173,Recto!$I$28:$L$44,4,FALSE),0)</f>
        <v>0</v>
      </c>
      <c r="C173" s="91">
        <f>IF($A173=Recto!$I$29,VLOOKUP($A173,Recto!$I$28:$L$44,4,FALSE),0)</f>
        <v>0</v>
      </c>
      <c r="D173" s="91">
        <f>IF($A173=Recto!$I$30,VLOOKUP($A173,Recto!$I$28:$L$44,4,FALSE),0)</f>
        <v>0</v>
      </c>
      <c r="E173" s="91">
        <f>IF($A173=Recto!$I$31,VLOOKUP($A173,Recto!$I$28:$L$44,4,FALSE),0)</f>
        <v>0</v>
      </c>
      <c r="F173" s="91">
        <f>IF($A173=Recto!$I$32,VLOOKUP($A173,Recto!$I$28:$L$44,4,FALSE),0)</f>
        <v>0</v>
      </c>
      <c r="G173" s="91">
        <f>IF($A173=Recto!$I$33,VLOOKUP($A173,Recto!$I$28:$L$44,4,FALSE),0)</f>
        <v>0</v>
      </c>
      <c r="H173" s="91">
        <f>IF($A173=Recto!$I$34,VLOOKUP($A173,Recto!$I$28:$L$44,4,FALSE),0)</f>
        <v>0</v>
      </c>
      <c r="I173" s="91">
        <f>IF($A173=Recto!$I$35,VLOOKUP($A173,Recto!$I$28:$L$44,4,FALSE),0)</f>
        <v>0</v>
      </c>
      <c r="J173" s="91">
        <f>IF($A173=Recto!$I$36,VLOOKUP($A173,Recto!$I$28:$L$44,4,FALSE),0)</f>
        <v>0</v>
      </c>
      <c r="K173" s="91">
        <f>IF($A173=Recto!$I$37,VLOOKUP($A173,Recto!$I$28:$L$44,4,FALSE),0)</f>
        <v>0</v>
      </c>
      <c r="L173" s="91">
        <f>IF($A173=Recto!$I$38,VLOOKUP($A173,Recto!$I$28:$L$44,4,FALSE),0)</f>
        <v>0</v>
      </c>
      <c r="M173" s="91">
        <f>IF($A173=Recto!$I$39,VLOOKUP($A173,Recto!$I$28:$L$44,4,FALSE),0)</f>
        <v>0</v>
      </c>
      <c r="N173" s="91">
        <f>IF($A173=Recto!$I$40,VLOOKUP($A173,Recto!$I$28:$L$44,4,FALSE),0)</f>
        <v>0</v>
      </c>
      <c r="O173" s="91">
        <f>IF($A173=Recto!$I$41,VLOOKUP($A173,Recto!$I$28:$L$44,4,FALSE),0)</f>
        <v>0</v>
      </c>
      <c r="P173" s="91">
        <f>IF($A173=Recto!$I$42,VLOOKUP($A173,Recto!$I$28:$L$44,4,FALSE),0)</f>
        <v>0</v>
      </c>
      <c r="Q173" s="91">
        <f>IF($A173=Recto!$I$43,VLOOKUP($A173,Recto!$I$28:$L$44,4,FALSE),0)</f>
        <v>0</v>
      </c>
      <c r="R173" s="91">
        <f>IF($A173=Recto!$I$44,VLOOKUP($A173,Recto!$I$28:$L$44,4,FALSE),0)</f>
        <v>0</v>
      </c>
      <c r="S173" s="295">
        <f t="shared" si="5"/>
        <v>0</v>
      </c>
    </row>
    <row r="174" spans="1:19" x14ac:dyDescent="0.25">
      <c r="A174" s="500" t="s">
        <v>6326</v>
      </c>
      <c r="B174" s="91">
        <f>IF($A174=Recto!$I$28,VLOOKUP($A174,Recto!$I$28:$L$44,4,FALSE),0)</f>
        <v>0</v>
      </c>
      <c r="C174" s="91">
        <f>IF($A174=Recto!$I$29,VLOOKUP($A174,Recto!$I$28:$L$44,4,FALSE),0)</f>
        <v>0</v>
      </c>
      <c r="D174" s="91">
        <f>IF($A174=Recto!$I$30,VLOOKUP($A174,Recto!$I$28:$L$44,4,FALSE),0)</f>
        <v>0</v>
      </c>
      <c r="E174" s="91">
        <f>IF($A174=Recto!$I$31,VLOOKUP($A174,Recto!$I$28:$L$44,4,FALSE),0)</f>
        <v>0</v>
      </c>
      <c r="F174" s="91">
        <f>IF($A174=Recto!$I$32,VLOOKUP($A174,Recto!$I$28:$L$44,4,FALSE),0)</f>
        <v>0</v>
      </c>
      <c r="G174" s="91">
        <f>IF($A174=Recto!$I$33,VLOOKUP($A174,Recto!$I$28:$L$44,4,FALSE),0)</f>
        <v>0</v>
      </c>
      <c r="H174" s="91">
        <f>IF($A174=Recto!$I$34,VLOOKUP($A174,Recto!$I$28:$L$44,4,FALSE),0)</f>
        <v>0</v>
      </c>
      <c r="I174" s="91">
        <f>IF($A174=Recto!$I$35,VLOOKUP($A174,Recto!$I$28:$L$44,4,FALSE),0)</f>
        <v>0</v>
      </c>
      <c r="J174" s="91">
        <f>IF($A174=Recto!$I$36,VLOOKUP($A174,Recto!$I$28:$L$44,4,FALSE),0)</f>
        <v>0</v>
      </c>
      <c r="K174" s="91">
        <f>IF($A174=Recto!$I$37,VLOOKUP($A174,Recto!$I$28:$L$44,4,FALSE),0)</f>
        <v>0</v>
      </c>
      <c r="L174" s="91">
        <f>IF($A174=Recto!$I$38,VLOOKUP($A174,Recto!$I$28:$L$44,4,FALSE),0)</f>
        <v>0</v>
      </c>
      <c r="M174" s="91">
        <f>IF($A174=Recto!$I$39,VLOOKUP($A174,Recto!$I$28:$L$44,4,FALSE),0)</f>
        <v>0</v>
      </c>
      <c r="N174" s="91">
        <f>IF($A174=Recto!$I$40,VLOOKUP($A174,Recto!$I$28:$L$44,4,FALSE),0)</f>
        <v>0</v>
      </c>
      <c r="O174" s="91">
        <f>IF($A174=Recto!$I$41,VLOOKUP($A174,Recto!$I$28:$L$44,4,FALSE),0)</f>
        <v>0</v>
      </c>
      <c r="P174" s="91">
        <f>IF($A174=Recto!$I$42,VLOOKUP($A174,Recto!$I$28:$L$44,4,FALSE),0)</f>
        <v>0</v>
      </c>
      <c r="Q174" s="91">
        <f>IF($A174=Recto!$I$43,VLOOKUP($A174,Recto!$I$28:$L$44,4,FALSE),0)</f>
        <v>0</v>
      </c>
      <c r="R174" s="91">
        <f>IF($A174=Recto!$I$44,VLOOKUP($A174,Recto!$I$28:$L$44,4,FALSE),0)</f>
        <v>0</v>
      </c>
      <c r="S174" s="295">
        <f t="shared" si="5"/>
        <v>0</v>
      </c>
    </row>
    <row r="175" spans="1:19" x14ac:dyDescent="0.25">
      <c r="A175" s="500" t="s">
        <v>6327</v>
      </c>
      <c r="B175" s="91">
        <f>IF($A175=Recto!$I$28,VLOOKUP($A175,Recto!$I$28:$L$44,4,FALSE),0)</f>
        <v>0</v>
      </c>
      <c r="C175" s="91">
        <f>IF($A175=Recto!$I$29,VLOOKUP($A175,Recto!$I$28:$L$44,4,FALSE),0)</f>
        <v>0</v>
      </c>
      <c r="D175" s="91">
        <f>IF($A175=Recto!$I$30,VLOOKUP($A175,Recto!$I$28:$L$44,4,FALSE),0)</f>
        <v>0</v>
      </c>
      <c r="E175" s="91">
        <f>IF($A175=Recto!$I$31,VLOOKUP($A175,Recto!$I$28:$L$44,4,FALSE),0)</f>
        <v>0</v>
      </c>
      <c r="F175" s="91">
        <f>IF($A175=Recto!$I$32,VLOOKUP($A175,Recto!$I$28:$L$44,4,FALSE),0)</f>
        <v>0</v>
      </c>
      <c r="G175" s="91">
        <f>IF($A175=Recto!$I$33,VLOOKUP($A175,Recto!$I$28:$L$44,4,FALSE),0)</f>
        <v>0</v>
      </c>
      <c r="H175" s="91">
        <f>IF($A175=Recto!$I$34,VLOOKUP($A175,Recto!$I$28:$L$44,4,FALSE),0)</f>
        <v>0</v>
      </c>
      <c r="I175" s="91">
        <f>IF($A175=Recto!$I$35,VLOOKUP($A175,Recto!$I$28:$L$44,4,FALSE),0)</f>
        <v>0</v>
      </c>
      <c r="J175" s="91">
        <f>IF($A175=Recto!$I$36,VLOOKUP($A175,Recto!$I$28:$L$44,4,FALSE),0)</f>
        <v>0</v>
      </c>
      <c r="K175" s="91">
        <f>IF($A175=Recto!$I$37,VLOOKUP($A175,Recto!$I$28:$L$44,4,FALSE),0)</f>
        <v>0</v>
      </c>
      <c r="L175" s="91">
        <f>IF($A175=Recto!$I$38,VLOOKUP($A175,Recto!$I$28:$L$44,4,FALSE),0)</f>
        <v>0</v>
      </c>
      <c r="M175" s="91">
        <f>IF($A175=Recto!$I$39,VLOOKUP($A175,Recto!$I$28:$L$44,4,FALSE),0)</f>
        <v>0</v>
      </c>
      <c r="N175" s="91">
        <f>IF($A175=Recto!$I$40,VLOOKUP($A175,Recto!$I$28:$L$44,4,FALSE),0)</f>
        <v>0</v>
      </c>
      <c r="O175" s="91">
        <f>IF($A175=Recto!$I$41,VLOOKUP($A175,Recto!$I$28:$L$44,4,FALSE),0)</f>
        <v>0</v>
      </c>
      <c r="P175" s="91">
        <f>IF($A175=Recto!$I$42,VLOOKUP($A175,Recto!$I$28:$L$44,4,FALSE),0)</f>
        <v>0</v>
      </c>
      <c r="Q175" s="91">
        <f>IF($A175=Recto!$I$43,VLOOKUP($A175,Recto!$I$28:$L$44,4,FALSE),0)</f>
        <v>0</v>
      </c>
      <c r="R175" s="91">
        <f>IF($A175=Recto!$I$44,VLOOKUP($A175,Recto!$I$28:$L$44,4,FALSE),0)</f>
        <v>0</v>
      </c>
      <c r="S175" s="295">
        <f t="shared" si="5"/>
        <v>0</v>
      </c>
    </row>
    <row r="176" spans="1:19" x14ac:dyDescent="0.25">
      <c r="A176" s="500" t="s">
        <v>3508</v>
      </c>
      <c r="B176" s="91">
        <f>IF($A176=Recto!$I$28,VLOOKUP($A176,Recto!$I$28:$L$44,4,FALSE),0)</f>
        <v>0</v>
      </c>
      <c r="C176" s="91">
        <f>IF($A176=Recto!$I$29,VLOOKUP($A176,Recto!$I$28:$L$44,4,FALSE),0)</f>
        <v>0</v>
      </c>
      <c r="D176" s="91">
        <f>IF($A176=Recto!$I$30,VLOOKUP($A176,Recto!$I$28:$L$44,4,FALSE),0)</f>
        <v>0</v>
      </c>
      <c r="E176" s="91">
        <f>IF($A176=Recto!$I$31,VLOOKUP($A176,Recto!$I$28:$L$44,4,FALSE),0)</f>
        <v>0</v>
      </c>
      <c r="F176" s="91">
        <f>IF($A176=Recto!$I$32,VLOOKUP($A176,Recto!$I$28:$L$44,4,FALSE),0)</f>
        <v>0</v>
      </c>
      <c r="G176" s="91">
        <f>IF($A176=Recto!$I$33,VLOOKUP($A176,Recto!$I$28:$L$44,4,FALSE),0)</f>
        <v>0</v>
      </c>
      <c r="H176" s="91">
        <f>IF($A176=Recto!$I$34,VLOOKUP($A176,Recto!$I$28:$L$44,4,FALSE),0)</f>
        <v>0</v>
      </c>
      <c r="I176" s="91">
        <f>IF($A176=Recto!$I$35,VLOOKUP($A176,Recto!$I$28:$L$44,4,FALSE),0)</f>
        <v>0</v>
      </c>
      <c r="J176" s="91">
        <f>IF($A176=Recto!$I$36,VLOOKUP($A176,Recto!$I$28:$L$44,4,FALSE),0)</f>
        <v>0</v>
      </c>
      <c r="K176" s="91">
        <f>IF($A176=Recto!$I$37,VLOOKUP($A176,Recto!$I$28:$L$44,4,FALSE),0)</f>
        <v>0</v>
      </c>
      <c r="L176" s="91">
        <f>IF($A176=Recto!$I$38,VLOOKUP($A176,Recto!$I$28:$L$44,4,FALSE),0)</f>
        <v>0</v>
      </c>
      <c r="M176" s="91">
        <f>IF($A176=Recto!$I$39,VLOOKUP($A176,Recto!$I$28:$L$44,4,FALSE),0)</f>
        <v>0</v>
      </c>
      <c r="N176" s="91">
        <f>IF($A176=Recto!$I$40,VLOOKUP($A176,Recto!$I$28:$L$44,4,FALSE),0)</f>
        <v>0</v>
      </c>
      <c r="O176" s="91">
        <f>IF($A176=Recto!$I$41,VLOOKUP($A176,Recto!$I$28:$L$44,4,FALSE),0)</f>
        <v>0</v>
      </c>
      <c r="P176" s="91">
        <f>IF($A176=Recto!$I$42,VLOOKUP($A176,Recto!$I$28:$L$44,4,FALSE),0)</f>
        <v>0</v>
      </c>
      <c r="Q176" s="91">
        <f>IF($A176=Recto!$I$43,VLOOKUP($A176,Recto!$I$28:$L$44,4,FALSE),0)</f>
        <v>0</v>
      </c>
      <c r="R176" s="91">
        <f>IF($A176=Recto!$I$44,VLOOKUP($A176,Recto!$I$28:$L$44,4,FALSE),0)</f>
        <v>0</v>
      </c>
      <c r="S176" s="295">
        <f t="shared" si="5"/>
        <v>0</v>
      </c>
    </row>
    <row r="177" spans="1:19" s="196" customFormat="1" x14ac:dyDescent="0.25">
      <c r="A177" s="136" t="s">
        <v>7424</v>
      </c>
      <c r="B177" s="91">
        <f>IF($A177=Recto!$I$28,VLOOKUP($A177,Recto!$I$28:$L$44,4,FALSE),0)</f>
        <v>0</v>
      </c>
      <c r="C177" s="91">
        <f>IF($A177=Recto!$I$29,VLOOKUP($A177,Recto!$I$28:$L$44,4,FALSE),0)</f>
        <v>0</v>
      </c>
      <c r="D177" s="91">
        <f>IF($A177=Recto!$I$30,VLOOKUP($A177,Recto!$I$28:$L$44,4,FALSE),0)</f>
        <v>0</v>
      </c>
      <c r="E177" s="91">
        <f>IF($A177=Recto!$I$31,VLOOKUP($A177,Recto!$I$28:$L$44,4,FALSE),0)</f>
        <v>0</v>
      </c>
      <c r="F177" s="91">
        <f>IF($A177=Recto!$I$32,VLOOKUP($A177,Recto!$I$28:$L$44,4,FALSE),0)</f>
        <v>0</v>
      </c>
      <c r="G177" s="91">
        <f>IF($A177=Recto!$I$33,VLOOKUP($A177,Recto!$I$28:$L$44,4,FALSE),0)</f>
        <v>0</v>
      </c>
      <c r="H177" s="91">
        <f>IF($A177=Recto!$I$34,VLOOKUP($A177,Recto!$I$28:$L$44,4,FALSE),0)</f>
        <v>0</v>
      </c>
      <c r="I177" s="91">
        <f>IF($A177=Recto!$I$35,VLOOKUP($A177,Recto!$I$28:$L$44,4,FALSE),0)</f>
        <v>0</v>
      </c>
      <c r="J177" s="91">
        <f>IF($A177=Recto!$I$36,VLOOKUP($A177,Recto!$I$28:$L$44,4,FALSE),0)</f>
        <v>0</v>
      </c>
      <c r="K177" s="91">
        <f>IF($A177=Recto!$I$37,VLOOKUP($A177,Recto!$I$28:$L$44,4,FALSE),0)</f>
        <v>0</v>
      </c>
      <c r="L177" s="91">
        <f>IF($A177=Recto!$I$38,VLOOKUP($A177,Recto!$I$28:$L$44,4,FALSE),0)</f>
        <v>0</v>
      </c>
      <c r="M177" s="91">
        <f>IF($A177=Recto!$I$39,VLOOKUP($A177,Recto!$I$28:$L$44,4,FALSE),0)</f>
        <v>0</v>
      </c>
      <c r="N177" s="91">
        <f>IF($A177=Recto!$I$40,VLOOKUP($A177,Recto!$I$28:$L$44,4,FALSE),0)</f>
        <v>0</v>
      </c>
      <c r="O177" s="91">
        <f>IF($A177=Recto!$I$41,VLOOKUP($A177,Recto!$I$28:$L$44,4,FALSE),0)</f>
        <v>0</v>
      </c>
      <c r="P177" s="91">
        <f>IF($A177=Recto!$I$42,VLOOKUP($A177,Recto!$I$28:$L$44,4,FALSE),0)</f>
        <v>0</v>
      </c>
      <c r="Q177" s="91">
        <f>IF($A177=Recto!$I$43,VLOOKUP($A177,Recto!$I$28:$L$44,4,FALSE),0)</f>
        <v>0</v>
      </c>
      <c r="R177" s="91">
        <f>IF($A177=Recto!$I$44,VLOOKUP($A177,Recto!$I$28:$L$44,4,FALSE),0)</f>
        <v>0</v>
      </c>
      <c r="S177" s="295">
        <f t="shared" si="5"/>
        <v>0</v>
      </c>
    </row>
    <row r="178" spans="1:19" x14ac:dyDescent="0.25">
      <c r="A178" s="500" t="s">
        <v>1319</v>
      </c>
      <c r="B178" s="91">
        <f>IF($A178=Recto!$I$28,VLOOKUP($A178,Recto!$I$28:$L$44,4,FALSE),0)</f>
        <v>0</v>
      </c>
      <c r="C178" s="91">
        <f>IF($A178=Recto!$I$29,VLOOKUP($A178,Recto!$I$28:$L$44,4,FALSE),0)</f>
        <v>0</v>
      </c>
      <c r="D178" s="91">
        <f>IF($A178=Recto!$I$30,VLOOKUP($A178,Recto!$I$28:$L$44,4,FALSE),0)</f>
        <v>0</v>
      </c>
      <c r="E178" s="91">
        <f>IF($A178=Recto!$I$31,VLOOKUP($A178,Recto!$I$28:$L$44,4,FALSE),0)</f>
        <v>0</v>
      </c>
      <c r="F178" s="91">
        <f>IF($A178=Recto!$I$32,VLOOKUP($A178,Recto!$I$28:$L$44,4,FALSE),0)</f>
        <v>0</v>
      </c>
      <c r="G178" s="91">
        <f>IF($A178=Recto!$I$33,VLOOKUP($A178,Recto!$I$28:$L$44,4,FALSE),0)</f>
        <v>0</v>
      </c>
      <c r="H178" s="91">
        <f>IF($A178=Recto!$I$34,VLOOKUP($A178,Recto!$I$28:$L$44,4,FALSE),0)</f>
        <v>0</v>
      </c>
      <c r="I178" s="91">
        <f>IF($A178=Recto!$I$35,VLOOKUP($A178,Recto!$I$28:$L$44,4,FALSE),0)</f>
        <v>0</v>
      </c>
      <c r="J178" s="91">
        <f>IF($A178=Recto!$I$36,VLOOKUP($A178,Recto!$I$28:$L$44,4,FALSE),0)</f>
        <v>0</v>
      </c>
      <c r="K178" s="91">
        <f>IF($A178=Recto!$I$37,VLOOKUP($A178,Recto!$I$28:$L$44,4,FALSE),0)</f>
        <v>0</v>
      </c>
      <c r="L178" s="91">
        <f>IF($A178=Recto!$I$38,VLOOKUP($A178,Recto!$I$28:$L$44,4,FALSE),0)</f>
        <v>0</v>
      </c>
      <c r="M178" s="91">
        <f>IF($A178=Recto!$I$39,VLOOKUP($A178,Recto!$I$28:$L$44,4,FALSE),0)</f>
        <v>0</v>
      </c>
      <c r="N178" s="91">
        <f>IF($A178=Recto!$I$40,VLOOKUP($A178,Recto!$I$28:$L$44,4,FALSE),0)</f>
        <v>0</v>
      </c>
      <c r="O178" s="91">
        <f>IF($A178=Recto!$I$41,VLOOKUP($A178,Recto!$I$28:$L$44,4,FALSE),0)</f>
        <v>0</v>
      </c>
      <c r="P178" s="91">
        <f>IF($A178=Recto!$I$42,VLOOKUP($A178,Recto!$I$28:$L$44,4,FALSE),0)</f>
        <v>0</v>
      </c>
      <c r="Q178" s="91">
        <f>IF($A178=Recto!$I$43,VLOOKUP($A178,Recto!$I$28:$L$44,4,FALSE),0)</f>
        <v>0</v>
      </c>
      <c r="R178" s="91">
        <f>IF($A178=Recto!$I$44,VLOOKUP($A178,Recto!$I$28:$L$44,4,FALSE),0)</f>
        <v>0</v>
      </c>
      <c r="S178" s="295">
        <f t="shared" si="5"/>
        <v>0</v>
      </c>
    </row>
    <row r="179" spans="1:19" s="196" customFormat="1" x14ac:dyDescent="0.25">
      <c r="A179" s="500" t="s">
        <v>7403</v>
      </c>
      <c r="B179" s="91">
        <f>IF($A179=Recto!$I$28,VLOOKUP($A179,Recto!$I$28:$L$44,4,FALSE),0)</f>
        <v>0</v>
      </c>
      <c r="C179" s="91">
        <f>IF($A179=Recto!$I$29,VLOOKUP($A179,Recto!$I$28:$L$44,4,FALSE),0)</f>
        <v>0</v>
      </c>
      <c r="D179" s="91">
        <f>IF($A179=Recto!$I$30,VLOOKUP($A179,Recto!$I$28:$L$44,4,FALSE),0)</f>
        <v>0</v>
      </c>
      <c r="E179" s="91">
        <f>IF($A179=Recto!$I$31,VLOOKUP($A179,Recto!$I$28:$L$44,4,FALSE),0)</f>
        <v>0</v>
      </c>
      <c r="F179" s="91">
        <f>IF($A179=Recto!$I$32,VLOOKUP($A179,Recto!$I$28:$L$44,4,FALSE),0)</f>
        <v>0</v>
      </c>
      <c r="G179" s="91">
        <f>IF($A179=Recto!$I$33,VLOOKUP($A179,Recto!$I$28:$L$44,4,FALSE),0)</f>
        <v>0</v>
      </c>
      <c r="H179" s="91">
        <f>IF($A179=Recto!$I$34,VLOOKUP($A179,Recto!$I$28:$L$44,4,FALSE),0)</f>
        <v>0</v>
      </c>
      <c r="I179" s="91">
        <f>IF($A179=Recto!$I$35,VLOOKUP($A179,Recto!$I$28:$L$44,4,FALSE),0)</f>
        <v>0</v>
      </c>
      <c r="J179" s="91">
        <f>IF($A179=Recto!$I$36,VLOOKUP($A179,Recto!$I$28:$L$44,4,FALSE),0)</f>
        <v>0</v>
      </c>
      <c r="K179" s="91">
        <f>IF($A179=Recto!$I$37,VLOOKUP($A179,Recto!$I$28:$L$44,4,FALSE),0)</f>
        <v>0</v>
      </c>
      <c r="L179" s="91">
        <f>IF($A179=Recto!$I$38,VLOOKUP($A179,Recto!$I$28:$L$44,4,FALSE),0)</f>
        <v>0</v>
      </c>
      <c r="M179" s="91">
        <f>IF($A179=Recto!$I$39,VLOOKUP($A179,Recto!$I$28:$L$44,4,FALSE),0)</f>
        <v>0</v>
      </c>
      <c r="N179" s="91">
        <f>IF($A179=Recto!$I$40,VLOOKUP($A179,Recto!$I$28:$L$44,4,FALSE),0)</f>
        <v>0</v>
      </c>
      <c r="O179" s="91">
        <f>IF($A179=Recto!$I$41,VLOOKUP($A179,Recto!$I$28:$L$44,4,FALSE),0)</f>
        <v>0</v>
      </c>
      <c r="P179" s="91">
        <f>IF($A179=Recto!$I$42,VLOOKUP($A179,Recto!$I$28:$L$44,4,FALSE),0)</f>
        <v>0</v>
      </c>
      <c r="Q179" s="91">
        <f>IF($A179=Recto!$I$43,VLOOKUP($A179,Recto!$I$28:$L$44,4,FALSE),0)</f>
        <v>0</v>
      </c>
      <c r="R179" s="91">
        <f>IF($A179=Recto!$I$44,VLOOKUP($A179,Recto!$I$28:$L$44,4,FALSE),0)</f>
        <v>0</v>
      </c>
      <c r="S179" s="295">
        <f t="shared" si="5"/>
        <v>0</v>
      </c>
    </row>
    <row r="180" spans="1:19" x14ac:dyDescent="0.25">
      <c r="A180" s="500" t="s">
        <v>3176</v>
      </c>
      <c r="B180" s="91">
        <f>IF($A180=Recto!$I$28,VLOOKUP($A180,Recto!$I$28:$L$44,4,FALSE),0)</f>
        <v>0</v>
      </c>
      <c r="C180" s="91">
        <f>IF($A180=Recto!$I$29,VLOOKUP($A180,Recto!$I$28:$L$44,4,FALSE),0)</f>
        <v>0</v>
      </c>
      <c r="D180" s="91">
        <f>IF($A180=Recto!$I$30,VLOOKUP($A180,Recto!$I$28:$L$44,4,FALSE),0)</f>
        <v>0</v>
      </c>
      <c r="E180" s="91">
        <f>IF($A180=Recto!$I$31,VLOOKUP($A180,Recto!$I$28:$L$44,4,FALSE),0)</f>
        <v>0</v>
      </c>
      <c r="F180" s="91">
        <f>IF($A180=Recto!$I$32,VLOOKUP($A180,Recto!$I$28:$L$44,4,FALSE),0)</f>
        <v>0</v>
      </c>
      <c r="G180" s="91">
        <f>IF($A180=Recto!$I$33,VLOOKUP($A180,Recto!$I$28:$L$44,4,FALSE),0)</f>
        <v>0</v>
      </c>
      <c r="H180" s="91">
        <f>IF($A180=Recto!$I$34,VLOOKUP($A180,Recto!$I$28:$L$44,4,FALSE),0)</f>
        <v>0</v>
      </c>
      <c r="I180" s="91">
        <f>IF($A180=Recto!$I$35,VLOOKUP($A180,Recto!$I$28:$L$44,4,FALSE),0)</f>
        <v>0</v>
      </c>
      <c r="J180" s="91">
        <f>IF($A180=Recto!$I$36,VLOOKUP($A180,Recto!$I$28:$L$44,4,FALSE),0)</f>
        <v>0</v>
      </c>
      <c r="K180" s="91">
        <f>IF($A180=Recto!$I$37,VLOOKUP($A180,Recto!$I$28:$L$44,4,FALSE),0)</f>
        <v>0</v>
      </c>
      <c r="L180" s="91">
        <f>IF($A180=Recto!$I$38,VLOOKUP($A180,Recto!$I$28:$L$44,4,FALSE),0)</f>
        <v>0</v>
      </c>
      <c r="M180" s="91">
        <f>IF($A180=Recto!$I$39,VLOOKUP($A180,Recto!$I$28:$L$44,4,FALSE),0)</f>
        <v>0</v>
      </c>
      <c r="N180" s="91">
        <f>IF($A180=Recto!$I$40,VLOOKUP($A180,Recto!$I$28:$L$44,4,FALSE),0)</f>
        <v>0</v>
      </c>
      <c r="O180" s="91">
        <f>IF($A180=Recto!$I$41,VLOOKUP($A180,Recto!$I$28:$L$44,4,FALSE),0)</f>
        <v>0</v>
      </c>
      <c r="P180" s="91">
        <f>IF($A180=Recto!$I$42,VLOOKUP($A180,Recto!$I$28:$L$44,4,FALSE),0)</f>
        <v>0</v>
      </c>
      <c r="Q180" s="91">
        <f>IF($A180=Recto!$I$43,VLOOKUP($A180,Recto!$I$28:$L$44,4,FALSE),0)</f>
        <v>0</v>
      </c>
      <c r="R180" s="91">
        <f>IF($A180=Recto!$I$44,VLOOKUP($A180,Recto!$I$28:$L$44,4,FALSE),0)</f>
        <v>0</v>
      </c>
      <c r="S180" s="295">
        <f t="shared" si="5"/>
        <v>0</v>
      </c>
    </row>
    <row r="181" spans="1:19" x14ac:dyDescent="0.25">
      <c r="A181" s="500" t="s">
        <v>1343</v>
      </c>
      <c r="B181" s="91">
        <f>IF($A181=Recto!$I$28,VLOOKUP($A181,Recto!$I$28:$L$44,4,FALSE),0)</f>
        <v>0</v>
      </c>
      <c r="C181" s="91">
        <f>IF($A181=Recto!$I$29,VLOOKUP($A181,Recto!$I$28:$L$44,4,FALSE),0)</f>
        <v>0</v>
      </c>
      <c r="D181" s="91">
        <f>IF($A181=Recto!$I$30,VLOOKUP($A181,Recto!$I$28:$L$44,4,FALSE),0)</f>
        <v>0</v>
      </c>
      <c r="E181" s="91">
        <f>IF($A181=Recto!$I$31,VLOOKUP($A181,Recto!$I$28:$L$44,4,FALSE),0)</f>
        <v>0</v>
      </c>
      <c r="F181" s="91">
        <f>IF($A181=Recto!$I$32,VLOOKUP($A181,Recto!$I$28:$L$44,4,FALSE),0)</f>
        <v>0</v>
      </c>
      <c r="G181" s="91">
        <f>IF($A181=Recto!$I$33,VLOOKUP($A181,Recto!$I$28:$L$44,4,FALSE),0)</f>
        <v>0</v>
      </c>
      <c r="H181" s="91">
        <f>IF($A181=Recto!$I$34,VLOOKUP($A181,Recto!$I$28:$L$44,4,FALSE),0)</f>
        <v>0</v>
      </c>
      <c r="I181" s="91">
        <f>IF($A181=Recto!$I$35,VLOOKUP($A181,Recto!$I$28:$L$44,4,FALSE),0)</f>
        <v>0</v>
      </c>
      <c r="J181" s="91">
        <f>IF($A181=Recto!$I$36,VLOOKUP($A181,Recto!$I$28:$L$44,4,FALSE),0)</f>
        <v>0</v>
      </c>
      <c r="K181" s="91">
        <f>IF($A181=Recto!$I$37,VLOOKUP($A181,Recto!$I$28:$L$44,4,FALSE),0)</f>
        <v>0</v>
      </c>
      <c r="L181" s="91">
        <f>IF($A181=Recto!$I$38,VLOOKUP($A181,Recto!$I$28:$L$44,4,FALSE),0)</f>
        <v>0</v>
      </c>
      <c r="M181" s="91">
        <f>IF($A181=Recto!$I$39,VLOOKUP($A181,Recto!$I$28:$L$44,4,FALSE),0)</f>
        <v>0</v>
      </c>
      <c r="N181" s="91">
        <f>IF($A181=Recto!$I$40,VLOOKUP($A181,Recto!$I$28:$L$44,4,FALSE),0)</f>
        <v>0</v>
      </c>
      <c r="O181" s="91">
        <f>IF($A181=Recto!$I$41,VLOOKUP($A181,Recto!$I$28:$L$44,4,FALSE),0)</f>
        <v>0</v>
      </c>
      <c r="P181" s="91">
        <f>IF($A181=Recto!$I$42,VLOOKUP($A181,Recto!$I$28:$L$44,4,FALSE),0)</f>
        <v>0</v>
      </c>
      <c r="Q181" s="91">
        <f>IF($A181=Recto!$I$43,VLOOKUP($A181,Recto!$I$28:$L$44,4,FALSE),0)</f>
        <v>0</v>
      </c>
      <c r="R181" s="91">
        <f>IF($A181=Recto!$I$44,VLOOKUP($A181,Recto!$I$28:$L$44,4,FALSE),0)</f>
        <v>0</v>
      </c>
      <c r="S181" s="295">
        <f t="shared" si="5"/>
        <v>0</v>
      </c>
    </row>
    <row r="182" spans="1:19" x14ac:dyDescent="0.25">
      <c r="A182" s="500" t="s">
        <v>1303</v>
      </c>
      <c r="B182" s="91">
        <f>IF($A182=Recto!$I$28,VLOOKUP($A182,Recto!$I$28:$L$44,4,FALSE),0)</f>
        <v>0</v>
      </c>
      <c r="C182" s="91">
        <f>IF($A182=Recto!$I$29,VLOOKUP($A182,Recto!$I$28:$L$44,4,FALSE),0)</f>
        <v>0</v>
      </c>
      <c r="D182" s="91">
        <f>IF($A182=Recto!$I$30,VLOOKUP($A182,Recto!$I$28:$L$44,4,FALSE),0)</f>
        <v>0</v>
      </c>
      <c r="E182" s="91">
        <f>IF($A182=Recto!$I$31,VLOOKUP($A182,Recto!$I$28:$L$44,4,FALSE),0)</f>
        <v>0</v>
      </c>
      <c r="F182" s="91">
        <f>IF($A182=Recto!$I$32,VLOOKUP($A182,Recto!$I$28:$L$44,4,FALSE),0)</f>
        <v>0</v>
      </c>
      <c r="G182" s="91">
        <f>IF($A182=Recto!$I$33,VLOOKUP($A182,Recto!$I$28:$L$44,4,FALSE),0)</f>
        <v>0</v>
      </c>
      <c r="H182" s="91">
        <f>IF($A182=Recto!$I$34,VLOOKUP($A182,Recto!$I$28:$L$44,4,FALSE),0)</f>
        <v>0</v>
      </c>
      <c r="I182" s="91">
        <f>IF($A182=Recto!$I$35,VLOOKUP($A182,Recto!$I$28:$L$44,4,FALSE),0)</f>
        <v>0</v>
      </c>
      <c r="J182" s="91">
        <f>IF($A182=Recto!$I$36,VLOOKUP($A182,Recto!$I$28:$L$44,4,FALSE),0)</f>
        <v>0</v>
      </c>
      <c r="K182" s="91">
        <f>IF($A182=Recto!$I$37,VLOOKUP($A182,Recto!$I$28:$L$44,4,FALSE),0)</f>
        <v>0</v>
      </c>
      <c r="L182" s="91">
        <f>IF($A182=Recto!$I$38,VLOOKUP($A182,Recto!$I$28:$L$44,4,FALSE),0)</f>
        <v>0</v>
      </c>
      <c r="M182" s="91">
        <f>IF($A182=Recto!$I$39,VLOOKUP($A182,Recto!$I$28:$L$44,4,FALSE),0)</f>
        <v>0</v>
      </c>
      <c r="N182" s="91">
        <f>IF($A182=Recto!$I$40,VLOOKUP($A182,Recto!$I$28:$L$44,4,FALSE),0)</f>
        <v>0</v>
      </c>
      <c r="O182" s="91">
        <f>IF($A182=Recto!$I$41,VLOOKUP($A182,Recto!$I$28:$L$44,4,FALSE),0)</f>
        <v>0</v>
      </c>
      <c r="P182" s="91">
        <f>IF($A182=Recto!$I$42,VLOOKUP($A182,Recto!$I$28:$L$44,4,FALSE),0)</f>
        <v>0</v>
      </c>
      <c r="Q182" s="91">
        <f>IF($A182=Recto!$I$43,VLOOKUP($A182,Recto!$I$28:$L$44,4,FALSE),0)</f>
        <v>0</v>
      </c>
      <c r="R182" s="91">
        <f>IF($A182=Recto!$I$44,VLOOKUP($A182,Recto!$I$28:$L$44,4,FALSE),0)</f>
        <v>0</v>
      </c>
      <c r="S182" s="295">
        <f t="shared" si="5"/>
        <v>0</v>
      </c>
    </row>
    <row r="183" spans="1:19" x14ac:dyDescent="0.25">
      <c r="A183" s="500" t="s">
        <v>3312</v>
      </c>
      <c r="B183" s="91">
        <f>IF($A183=Recto!$I$28,VLOOKUP($A183,Recto!$I$28:$L$44,4,FALSE),0)</f>
        <v>0</v>
      </c>
      <c r="C183" s="91">
        <f>IF($A183=Recto!$I$29,VLOOKUP($A183,Recto!$I$28:$L$44,4,FALSE),0)</f>
        <v>0</v>
      </c>
      <c r="D183" s="91">
        <f>IF($A183=Recto!$I$30,VLOOKUP($A183,Recto!$I$28:$L$44,4,FALSE),0)</f>
        <v>0</v>
      </c>
      <c r="E183" s="91">
        <f>IF($A183=Recto!$I$31,VLOOKUP($A183,Recto!$I$28:$L$44,4,FALSE),0)</f>
        <v>0</v>
      </c>
      <c r="F183" s="91">
        <f>IF($A183=Recto!$I$32,VLOOKUP($A183,Recto!$I$28:$L$44,4,FALSE),0)</f>
        <v>0</v>
      </c>
      <c r="G183" s="91">
        <f>IF($A183=Recto!$I$33,VLOOKUP($A183,Recto!$I$28:$L$44,4,FALSE),0)</f>
        <v>0</v>
      </c>
      <c r="H183" s="91">
        <f>IF($A183=Recto!$I$34,VLOOKUP($A183,Recto!$I$28:$L$44,4,FALSE),0)</f>
        <v>0</v>
      </c>
      <c r="I183" s="91">
        <f>IF($A183=Recto!$I$35,VLOOKUP($A183,Recto!$I$28:$L$44,4,FALSE),0)</f>
        <v>0</v>
      </c>
      <c r="J183" s="91">
        <f>IF($A183=Recto!$I$36,VLOOKUP($A183,Recto!$I$28:$L$44,4,FALSE),0)</f>
        <v>0</v>
      </c>
      <c r="K183" s="91">
        <f>IF($A183=Recto!$I$37,VLOOKUP($A183,Recto!$I$28:$L$44,4,FALSE),0)</f>
        <v>0</v>
      </c>
      <c r="L183" s="91">
        <f>IF($A183=Recto!$I$38,VLOOKUP($A183,Recto!$I$28:$L$44,4,FALSE),0)</f>
        <v>0</v>
      </c>
      <c r="M183" s="91">
        <f>IF($A183=Recto!$I$39,VLOOKUP($A183,Recto!$I$28:$L$44,4,FALSE),0)</f>
        <v>0</v>
      </c>
      <c r="N183" s="91">
        <f>IF($A183=Recto!$I$40,VLOOKUP($A183,Recto!$I$28:$L$44,4,FALSE),0)</f>
        <v>0</v>
      </c>
      <c r="O183" s="91">
        <f>IF($A183=Recto!$I$41,VLOOKUP($A183,Recto!$I$28:$L$44,4,FALSE),0)</f>
        <v>0</v>
      </c>
      <c r="P183" s="91">
        <f>IF($A183=Recto!$I$42,VLOOKUP($A183,Recto!$I$28:$L$44,4,FALSE),0)</f>
        <v>0</v>
      </c>
      <c r="Q183" s="91">
        <f>IF($A183=Recto!$I$43,VLOOKUP($A183,Recto!$I$28:$L$44,4,FALSE),0)</f>
        <v>0</v>
      </c>
      <c r="R183" s="91">
        <f>IF($A183=Recto!$I$44,VLOOKUP($A183,Recto!$I$28:$L$44,4,FALSE),0)</f>
        <v>0</v>
      </c>
      <c r="S183" s="295">
        <f t="shared" si="5"/>
        <v>0</v>
      </c>
    </row>
    <row r="184" spans="1:19" x14ac:dyDescent="0.25">
      <c r="A184" s="500" t="s">
        <v>1318</v>
      </c>
      <c r="B184" s="91">
        <f>IF($A184=Recto!$I$28,VLOOKUP($A184,Recto!$I$28:$L$44,4,FALSE),0)</f>
        <v>0</v>
      </c>
      <c r="C184" s="91">
        <f>IF($A184=Recto!$I$29,VLOOKUP($A184,Recto!$I$28:$L$44,4,FALSE),0)</f>
        <v>0</v>
      </c>
      <c r="D184" s="91">
        <f>IF($A184=Recto!$I$30,VLOOKUP($A184,Recto!$I$28:$L$44,4,FALSE),0)</f>
        <v>0</v>
      </c>
      <c r="E184" s="91">
        <f>IF($A184=Recto!$I$31,VLOOKUP($A184,Recto!$I$28:$L$44,4,FALSE),0)</f>
        <v>0</v>
      </c>
      <c r="F184" s="91">
        <f>IF($A184=Recto!$I$32,VLOOKUP($A184,Recto!$I$28:$L$44,4,FALSE),0)</f>
        <v>0</v>
      </c>
      <c r="G184" s="91">
        <f>IF($A184=Recto!$I$33,VLOOKUP($A184,Recto!$I$28:$L$44,4,FALSE),0)</f>
        <v>0</v>
      </c>
      <c r="H184" s="91">
        <f>IF($A184=Recto!$I$34,VLOOKUP($A184,Recto!$I$28:$L$44,4,FALSE),0)</f>
        <v>0</v>
      </c>
      <c r="I184" s="91">
        <f>IF($A184=Recto!$I$35,VLOOKUP($A184,Recto!$I$28:$L$44,4,FALSE),0)</f>
        <v>0</v>
      </c>
      <c r="J184" s="91">
        <f>IF($A184=Recto!$I$36,VLOOKUP($A184,Recto!$I$28:$L$44,4,FALSE),0)</f>
        <v>0</v>
      </c>
      <c r="K184" s="91">
        <f>IF($A184=Recto!$I$37,VLOOKUP($A184,Recto!$I$28:$L$44,4,FALSE),0)</f>
        <v>0</v>
      </c>
      <c r="L184" s="91">
        <f>IF($A184=Recto!$I$38,VLOOKUP($A184,Recto!$I$28:$L$44,4,FALSE),0)</f>
        <v>0</v>
      </c>
      <c r="M184" s="91">
        <f>IF($A184=Recto!$I$39,VLOOKUP($A184,Recto!$I$28:$L$44,4,FALSE),0)</f>
        <v>0</v>
      </c>
      <c r="N184" s="91">
        <f>IF($A184=Recto!$I$40,VLOOKUP($A184,Recto!$I$28:$L$44,4,FALSE),0)</f>
        <v>0</v>
      </c>
      <c r="O184" s="91">
        <f>IF($A184=Recto!$I$41,VLOOKUP($A184,Recto!$I$28:$L$44,4,FALSE),0)</f>
        <v>0</v>
      </c>
      <c r="P184" s="91">
        <f>IF($A184=Recto!$I$42,VLOOKUP($A184,Recto!$I$28:$L$44,4,FALSE),0)</f>
        <v>0</v>
      </c>
      <c r="Q184" s="91">
        <f>IF($A184=Recto!$I$43,VLOOKUP($A184,Recto!$I$28:$L$44,4,FALSE),0)</f>
        <v>0</v>
      </c>
      <c r="R184" s="91">
        <f>IF($A184=Recto!$I$44,VLOOKUP($A184,Recto!$I$28:$L$44,4,FALSE),0)</f>
        <v>0</v>
      </c>
      <c r="S184" s="295">
        <f t="shared" si="5"/>
        <v>0</v>
      </c>
    </row>
    <row r="185" spans="1:19" s="196" customFormat="1" x14ac:dyDescent="0.25">
      <c r="A185" s="500" t="s">
        <v>7449</v>
      </c>
      <c r="B185" s="91">
        <f>IF($A185=Recto!$I$28,VLOOKUP($A185,Recto!$I$28:$L$44,4,FALSE),0)</f>
        <v>0</v>
      </c>
      <c r="C185" s="91">
        <f>IF($A185=Recto!$I$29,VLOOKUP($A185,Recto!$I$28:$L$44,4,FALSE),0)</f>
        <v>0</v>
      </c>
      <c r="D185" s="91">
        <f>IF($A185=Recto!$I$30,VLOOKUP($A185,Recto!$I$28:$L$44,4,FALSE),0)</f>
        <v>0</v>
      </c>
      <c r="E185" s="91">
        <f>IF($A185=Recto!$I$31,VLOOKUP($A185,Recto!$I$28:$L$44,4,FALSE),0)</f>
        <v>0</v>
      </c>
      <c r="F185" s="91">
        <f>IF($A185=Recto!$I$32,VLOOKUP($A185,Recto!$I$28:$L$44,4,FALSE),0)</f>
        <v>0</v>
      </c>
      <c r="G185" s="91">
        <f>IF($A185=Recto!$I$33,VLOOKUP($A185,Recto!$I$28:$L$44,4,FALSE),0)</f>
        <v>0</v>
      </c>
      <c r="H185" s="91">
        <f>IF($A185=Recto!$I$34,VLOOKUP($A185,Recto!$I$28:$L$44,4,FALSE),0)</f>
        <v>0</v>
      </c>
      <c r="I185" s="91">
        <f>IF($A185=Recto!$I$35,VLOOKUP($A185,Recto!$I$28:$L$44,4,FALSE),0)</f>
        <v>0</v>
      </c>
      <c r="J185" s="91">
        <f>IF($A185=Recto!$I$36,VLOOKUP($A185,Recto!$I$28:$L$44,4,FALSE),0)</f>
        <v>0</v>
      </c>
      <c r="K185" s="91">
        <f>IF($A185=Recto!$I$37,VLOOKUP($A185,Recto!$I$28:$L$44,4,FALSE),0)</f>
        <v>0</v>
      </c>
      <c r="L185" s="91">
        <f>IF($A185=Recto!$I$38,VLOOKUP($A185,Recto!$I$28:$L$44,4,FALSE),0)</f>
        <v>0</v>
      </c>
      <c r="M185" s="91">
        <f>IF($A185=Recto!$I$39,VLOOKUP($A185,Recto!$I$28:$L$44,4,FALSE),0)</f>
        <v>0</v>
      </c>
      <c r="N185" s="91">
        <f>IF($A185=Recto!$I$40,VLOOKUP($A185,Recto!$I$28:$L$44,4,FALSE),0)</f>
        <v>0</v>
      </c>
      <c r="O185" s="91">
        <f>IF($A185=Recto!$I$41,VLOOKUP($A185,Recto!$I$28:$L$44,4,FALSE),0)</f>
        <v>0</v>
      </c>
      <c r="P185" s="91">
        <f>IF($A185=Recto!$I$42,VLOOKUP($A185,Recto!$I$28:$L$44,4,FALSE),0)</f>
        <v>0</v>
      </c>
      <c r="Q185" s="91">
        <f>IF($A185=Recto!$I$43,VLOOKUP($A185,Recto!$I$28:$L$44,4,FALSE),0)</f>
        <v>0</v>
      </c>
      <c r="R185" s="91">
        <f>IF($A185=Recto!$I$44,VLOOKUP($A185,Recto!$I$28:$L$44,4,FALSE),0)</f>
        <v>0</v>
      </c>
      <c r="S185" s="295">
        <f>SUM(B185:R185)</f>
        <v>0</v>
      </c>
    </row>
    <row r="186" spans="1:19" x14ac:dyDescent="0.25">
      <c r="A186" s="500" t="s">
        <v>3221</v>
      </c>
      <c r="B186" s="91">
        <f>IF($A186=Recto!$I$28,VLOOKUP($A186,Recto!$I$28:$L$44,4,FALSE),0)</f>
        <v>0</v>
      </c>
      <c r="C186" s="91">
        <f>IF($A186=Recto!$I$29,VLOOKUP($A186,Recto!$I$28:$L$44,4,FALSE),0)</f>
        <v>0</v>
      </c>
      <c r="D186" s="91">
        <f>IF($A186=Recto!$I$30,VLOOKUP($A186,Recto!$I$28:$L$44,4,FALSE),0)</f>
        <v>0</v>
      </c>
      <c r="E186" s="91">
        <f>IF($A186=Recto!$I$31,VLOOKUP($A186,Recto!$I$28:$L$44,4,FALSE),0)</f>
        <v>0</v>
      </c>
      <c r="F186" s="91">
        <f>IF($A186=Recto!$I$32,VLOOKUP($A186,Recto!$I$28:$L$44,4,FALSE),0)</f>
        <v>0</v>
      </c>
      <c r="G186" s="91">
        <f>IF($A186=Recto!$I$33,VLOOKUP($A186,Recto!$I$28:$L$44,4,FALSE),0)</f>
        <v>0</v>
      </c>
      <c r="H186" s="91">
        <f>IF($A186=Recto!$I$34,VLOOKUP($A186,Recto!$I$28:$L$44,4,FALSE),0)</f>
        <v>0</v>
      </c>
      <c r="I186" s="91">
        <f>IF($A186=Recto!$I$35,VLOOKUP($A186,Recto!$I$28:$L$44,4,FALSE),0)</f>
        <v>0</v>
      </c>
      <c r="J186" s="91">
        <f>IF($A186=Recto!$I$36,VLOOKUP($A186,Recto!$I$28:$L$44,4,FALSE),0)</f>
        <v>0</v>
      </c>
      <c r="K186" s="91">
        <f>IF($A186=Recto!$I$37,VLOOKUP($A186,Recto!$I$28:$L$44,4,FALSE),0)</f>
        <v>0</v>
      </c>
      <c r="L186" s="91">
        <f>IF($A186=Recto!$I$38,VLOOKUP($A186,Recto!$I$28:$L$44,4,FALSE),0)</f>
        <v>0</v>
      </c>
      <c r="M186" s="91">
        <f>IF($A186=Recto!$I$39,VLOOKUP($A186,Recto!$I$28:$L$44,4,FALSE),0)</f>
        <v>0</v>
      </c>
      <c r="N186" s="91">
        <f>IF($A186=Recto!$I$40,VLOOKUP($A186,Recto!$I$28:$L$44,4,FALSE),0)</f>
        <v>0</v>
      </c>
      <c r="O186" s="91">
        <f>IF($A186=Recto!$I$41,VLOOKUP($A186,Recto!$I$28:$L$44,4,FALSE),0)</f>
        <v>0</v>
      </c>
      <c r="P186" s="91">
        <f>IF($A186=Recto!$I$42,VLOOKUP($A186,Recto!$I$28:$L$44,4,FALSE),0)</f>
        <v>0</v>
      </c>
      <c r="Q186" s="91">
        <f>IF($A186=Recto!$I$43,VLOOKUP($A186,Recto!$I$28:$L$44,4,FALSE),0)</f>
        <v>0</v>
      </c>
      <c r="R186" s="91">
        <f>IF($A186=Recto!$I$44,VLOOKUP($A186,Recto!$I$28:$L$44,4,FALSE),0)</f>
        <v>0</v>
      </c>
      <c r="S186" s="295">
        <f t="shared" si="5"/>
        <v>0</v>
      </c>
    </row>
    <row r="187" spans="1:19" x14ac:dyDescent="0.25">
      <c r="A187" s="500" t="s">
        <v>4466</v>
      </c>
      <c r="B187" s="91">
        <f>IF($A187=Recto!$I$28,VLOOKUP($A187,Recto!$I$28:$L$44,4,FALSE),0)</f>
        <v>0</v>
      </c>
      <c r="C187" s="91">
        <f>IF($A187=Recto!$I$29,VLOOKUP($A187,Recto!$I$28:$L$44,4,FALSE),0)</f>
        <v>0</v>
      </c>
      <c r="D187" s="91">
        <f>IF($A187=Recto!$I$30,VLOOKUP($A187,Recto!$I$28:$L$44,4,FALSE),0)</f>
        <v>0</v>
      </c>
      <c r="E187" s="91">
        <f>IF($A187=Recto!$I$31,VLOOKUP($A187,Recto!$I$28:$L$44,4,FALSE),0)</f>
        <v>0</v>
      </c>
      <c r="F187" s="91">
        <f>IF($A187=Recto!$I$32,VLOOKUP($A187,Recto!$I$28:$L$44,4,FALSE),0)</f>
        <v>0</v>
      </c>
      <c r="G187" s="91">
        <f>IF($A187=Recto!$I$33,VLOOKUP($A187,Recto!$I$28:$L$44,4,FALSE),0)</f>
        <v>0</v>
      </c>
      <c r="H187" s="91">
        <f>IF($A187=Recto!$I$34,VLOOKUP($A187,Recto!$I$28:$L$44,4,FALSE),0)</f>
        <v>0</v>
      </c>
      <c r="I187" s="91">
        <f>IF($A187=Recto!$I$35,VLOOKUP($A187,Recto!$I$28:$L$44,4,FALSE),0)</f>
        <v>0</v>
      </c>
      <c r="J187" s="91">
        <f>IF($A187=Recto!$I$36,VLOOKUP($A187,Recto!$I$28:$L$44,4,FALSE),0)</f>
        <v>0</v>
      </c>
      <c r="K187" s="91">
        <f>IF($A187=Recto!$I$37,VLOOKUP($A187,Recto!$I$28:$L$44,4,FALSE),0)</f>
        <v>0</v>
      </c>
      <c r="L187" s="91">
        <f>IF($A187=Recto!$I$38,VLOOKUP($A187,Recto!$I$28:$L$44,4,FALSE),0)</f>
        <v>0</v>
      </c>
      <c r="M187" s="91">
        <f>IF($A187=Recto!$I$39,VLOOKUP($A187,Recto!$I$28:$L$44,4,FALSE),0)</f>
        <v>0</v>
      </c>
      <c r="N187" s="91">
        <f>IF($A187=Recto!$I$40,VLOOKUP($A187,Recto!$I$28:$L$44,4,FALSE),0)</f>
        <v>0</v>
      </c>
      <c r="O187" s="91">
        <f>IF($A187=Recto!$I$41,VLOOKUP($A187,Recto!$I$28:$L$44,4,FALSE),0)</f>
        <v>0</v>
      </c>
      <c r="P187" s="91">
        <f>IF($A187=Recto!$I$42,VLOOKUP($A187,Recto!$I$28:$L$44,4,FALSE),0)</f>
        <v>0</v>
      </c>
      <c r="Q187" s="91">
        <f>IF($A187=Recto!$I$43,VLOOKUP($A187,Recto!$I$28:$L$44,4,FALSE),0)</f>
        <v>0</v>
      </c>
      <c r="R187" s="91">
        <f>IF($A187=Recto!$I$44,VLOOKUP($A187,Recto!$I$28:$L$44,4,FALSE),0)</f>
        <v>0</v>
      </c>
      <c r="S187" s="295">
        <f t="shared" si="5"/>
        <v>0</v>
      </c>
    </row>
    <row r="188" spans="1:19" x14ac:dyDescent="0.25">
      <c r="A188" s="500" t="s">
        <v>1378</v>
      </c>
      <c r="B188" s="91">
        <f>IF($A188=Recto!$I$28,VLOOKUP($A188,Recto!$I$28:$L$44,4,FALSE),0)</f>
        <v>0</v>
      </c>
      <c r="C188" s="91">
        <f>IF($A188=Recto!$I$29,VLOOKUP($A188,Recto!$I$28:$L$44,4,FALSE),0)</f>
        <v>0</v>
      </c>
      <c r="D188" s="91">
        <f>IF($A188=Recto!$I$30,VLOOKUP($A188,Recto!$I$28:$L$44,4,FALSE),0)</f>
        <v>0</v>
      </c>
      <c r="E188" s="91">
        <f>IF($A188=Recto!$I$31,VLOOKUP($A188,Recto!$I$28:$L$44,4,FALSE),0)</f>
        <v>0</v>
      </c>
      <c r="F188" s="91">
        <f>IF($A188=Recto!$I$32,VLOOKUP($A188,Recto!$I$28:$L$44,4,FALSE),0)</f>
        <v>0</v>
      </c>
      <c r="G188" s="91">
        <f>IF($A188=Recto!$I$33,VLOOKUP($A188,Recto!$I$28:$L$44,4,FALSE),0)</f>
        <v>0</v>
      </c>
      <c r="H188" s="91">
        <f>IF($A188=Recto!$I$34,VLOOKUP($A188,Recto!$I$28:$L$44,4,FALSE),0)</f>
        <v>0</v>
      </c>
      <c r="I188" s="91">
        <f>IF($A188=Recto!$I$35,VLOOKUP($A188,Recto!$I$28:$L$44,4,FALSE),0)</f>
        <v>0</v>
      </c>
      <c r="J188" s="91">
        <f>IF($A188=Recto!$I$36,VLOOKUP($A188,Recto!$I$28:$L$44,4,FALSE),0)</f>
        <v>0</v>
      </c>
      <c r="K188" s="91">
        <f>IF($A188=Recto!$I$37,VLOOKUP($A188,Recto!$I$28:$L$44,4,FALSE),0)</f>
        <v>0</v>
      </c>
      <c r="L188" s="91">
        <f>IF($A188=Recto!$I$38,VLOOKUP($A188,Recto!$I$28:$L$44,4,FALSE),0)</f>
        <v>0</v>
      </c>
      <c r="M188" s="91">
        <f>IF($A188=Recto!$I$39,VLOOKUP($A188,Recto!$I$28:$L$44,4,FALSE),0)</f>
        <v>0</v>
      </c>
      <c r="N188" s="91">
        <f>IF($A188=Recto!$I$40,VLOOKUP($A188,Recto!$I$28:$L$44,4,FALSE),0)</f>
        <v>0</v>
      </c>
      <c r="O188" s="91">
        <f>IF($A188=Recto!$I$41,VLOOKUP($A188,Recto!$I$28:$L$44,4,FALSE),0)</f>
        <v>0</v>
      </c>
      <c r="P188" s="91">
        <f>IF($A188=Recto!$I$42,VLOOKUP($A188,Recto!$I$28:$L$44,4,FALSE),0)</f>
        <v>0</v>
      </c>
      <c r="Q188" s="91">
        <f>IF($A188=Recto!$I$43,VLOOKUP($A188,Recto!$I$28:$L$44,4,FALSE),0)</f>
        <v>0</v>
      </c>
      <c r="R188" s="91">
        <f>IF($A188=Recto!$I$44,VLOOKUP($A188,Recto!$I$28:$L$44,4,FALSE),0)</f>
        <v>0</v>
      </c>
      <c r="S188" s="295">
        <f t="shared" si="5"/>
        <v>0</v>
      </c>
    </row>
    <row r="189" spans="1:19" x14ac:dyDescent="0.25">
      <c r="A189" s="500" t="s">
        <v>5738</v>
      </c>
      <c r="B189" s="91">
        <f>IF($A189=Recto!$I$28,VLOOKUP($A189,Recto!$I$28:$L$44,4,FALSE),0)</f>
        <v>0</v>
      </c>
      <c r="C189" s="91">
        <f>IF($A189=Recto!$I$29,VLOOKUP($A189,Recto!$I$28:$L$44,4,FALSE),0)</f>
        <v>0</v>
      </c>
      <c r="D189" s="91">
        <f>IF($A189=Recto!$I$30,VLOOKUP($A189,Recto!$I$28:$L$44,4,FALSE),0)</f>
        <v>0</v>
      </c>
      <c r="E189" s="91">
        <f>IF($A189=Recto!$I$31,VLOOKUP($A189,Recto!$I$28:$L$44,4,FALSE),0)</f>
        <v>0</v>
      </c>
      <c r="F189" s="91">
        <f>IF($A189=Recto!$I$32,VLOOKUP($A189,Recto!$I$28:$L$44,4,FALSE),0)</f>
        <v>0</v>
      </c>
      <c r="G189" s="91">
        <f>IF($A189=Recto!$I$33,VLOOKUP($A189,Recto!$I$28:$L$44,4,FALSE),0)</f>
        <v>0</v>
      </c>
      <c r="H189" s="91">
        <f>IF($A189=Recto!$I$34,VLOOKUP($A189,Recto!$I$28:$L$44,4,FALSE),0)</f>
        <v>0</v>
      </c>
      <c r="I189" s="91">
        <f>IF($A189=Recto!$I$35,VLOOKUP($A189,Recto!$I$28:$L$44,4,FALSE),0)</f>
        <v>0</v>
      </c>
      <c r="J189" s="91">
        <f>IF($A189=Recto!$I$36,VLOOKUP($A189,Recto!$I$28:$L$44,4,FALSE),0)</f>
        <v>0</v>
      </c>
      <c r="K189" s="91">
        <f>IF($A189=Recto!$I$37,VLOOKUP($A189,Recto!$I$28:$L$44,4,FALSE),0)</f>
        <v>0</v>
      </c>
      <c r="L189" s="91">
        <f>IF($A189=Recto!$I$38,VLOOKUP($A189,Recto!$I$28:$L$44,4,FALSE),0)</f>
        <v>0</v>
      </c>
      <c r="M189" s="91">
        <f>IF($A189=Recto!$I$39,VLOOKUP($A189,Recto!$I$28:$L$44,4,FALSE),0)</f>
        <v>0</v>
      </c>
      <c r="N189" s="91">
        <f>IF($A189=Recto!$I$40,VLOOKUP($A189,Recto!$I$28:$L$44,4,FALSE),0)</f>
        <v>0</v>
      </c>
      <c r="O189" s="91">
        <f>IF($A189=Recto!$I$41,VLOOKUP($A189,Recto!$I$28:$L$44,4,FALSE),0)</f>
        <v>0</v>
      </c>
      <c r="P189" s="91">
        <f>IF($A189=Recto!$I$42,VLOOKUP($A189,Recto!$I$28:$L$44,4,FALSE),0)</f>
        <v>0</v>
      </c>
      <c r="Q189" s="91">
        <f>IF($A189=Recto!$I$43,VLOOKUP($A189,Recto!$I$28:$L$44,4,FALSE),0)</f>
        <v>0</v>
      </c>
      <c r="R189" s="91">
        <f>IF($A189=Recto!$I$44,VLOOKUP($A189,Recto!$I$28:$L$44,4,FALSE),0)</f>
        <v>0</v>
      </c>
      <c r="S189" s="295">
        <f t="shared" si="5"/>
        <v>0</v>
      </c>
    </row>
    <row r="190" spans="1:19" x14ac:dyDescent="0.25">
      <c r="A190" s="500" t="s">
        <v>1372</v>
      </c>
      <c r="B190" s="91">
        <f>IF($A190=Recto!$I$28,VLOOKUP($A190,Recto!$I$28:$L$44,4,FALSE),0)</f>
        <v>0</v>
      </c>
      <c r="C190" s="91">
        <f>IF($A190=Recto!$I$29,VLOOKUP($A190,Recto!$I$28:$L$44,4,FALSE),0)</f>
        <v>0</v>
      </c>
      <c r="D190" s="91">
        <f>IF($A190=Recto!$I$30,VLOOKUP($A190,Recto!$I$28:$L$44,4,FALSE),0)</f>
        <v>0</v>
      </c>
      <c r="E190" s="91">
        <f>IF($A190=Recto!$I$31,VLOOKUP($A190,Recto!$I$28:$L$44,4,FALSE),0)</f>
        <v>0</v>
      </c>
      <c r="F190" s="91">
        <f>IF($A190=Recto!$I$32,VLOOKUP($A190,Recto!$I$28:$L$44,4,FALSE),0)</f>
        <v>0</v>
      </c>
      <c r="G190" s="91">
        <f>IF($A190=Recto!$I$33,VLOOKUP($A190,Recto!$I$28:$L$44,4,FALSE),0)</f>
        <v>0</v>
      </c>
      <c r="H190" s="91">
        <f>IF($A190=Recto!$I$34,VLOOKUP($A190,Recto!$I$28:$L$44,4,FALSE),0)</f>
        <v>0</v>
      </c>
      <c r="I190" s="91">
        <f>IF($A190=Recto!$I$35,VLOOKUP($A190,Recto!$I$28:$L$44,4,FALSE),0)</f>
        <v>0</v>
      </c>
      <c r="J190" s="91">
        <f>IF($A190=Recto!$I$36,VLOOKUP($A190,Recto!$I$28:$L$44,4,FALSE),0)</f>
        <v>0</v>
      </c>
      <c r="K190" s="91">
        <f>IF($A190=Recto!$I$37,VLOOKUP($A190,Recto!$I$28:$L$44,4,FALSE),0)</f>
        <v>0</v>
      </c>
      <c r="L190" s="91">
        <f>IF($A190=Recto!$I$38,VLOOKUP($A190,Recto!$I$28:$L$44,4,FALSE),0)</f>
        <v>0</v>
      </c>
      <c r="M190" s="91">
        <f>IF($A190=Recto!$I$39,VLOOKUP($A190,Recto!$I$28:$L$44,4,FALSE),0)</f>
        <v>0</v>
      </c>
      <c r="N190" s="91">
        <f>IF($A190=Recto!$I$40,VLOOKUP($A190,Recto!$I$28:$L$44,4,FALSE),0)</f>
        <v>0</v>
      </c>
      <c r="O190" s="91">
        <f>IF($A190=Recto!$I$41,VLOOKUP($A190,Recto!$I$28:$L$44,4,FALSE),0)</f>
        <v>0</v>
      </c>
      <c r="P190" s="91">
        <f>IF($A190=Recto!$I$42,VLOOKUP($A190,Recto!$I$28:$L$44,4,FALSE),0)</f>
        <v>0</v>
      </c>
      <c r="Q190" s="91">
        <f>IF($A190=Recto!$I$43,VLOOKUP($A190,Recto!$I$28:$L$44,4,FALSE),0)</f>
        <v>0</v>
      </c>
      <c r="R190" s="91">
        <f>IF($A190=Recto!$I$44,VLOOKUP($A190,Recto!$I$28:$L$44,4,FALSE),0)</f>
        <v>0</v>
      </c>
      <c r="S190" s="295">
        <f t="shared" si="5"/>
        <v>0</v>
      </c>
    </row>
    <row r="191" spans="1:19" s="196" customFormat="1" x14ac:dyDescent="0.25">
      <c r="A191" s="500" t="s">
        <v>8809</v>
      </c>
      <c r="B191" s="91">
        <f>IF($A191=Recto!$I$28,VLOOKUP($A191,Recto!$I$28:$L$44,4,FALSE),0)</f>
        <v>0</v>
      </c>
      <c r="C191" s="91">
        <f>IF($A191=Recto!$I$29,VLOOKUP($A191,Recto!$I$28:$L$44,4,FALSE),0)</f>
        <v>0</v>
      </c>
      <c r="D191" s="91">
        <f>IF($A191=Recto!$I$30,VLOOKUP($A191,Recto!$I$28:$L$44,4,FALSE),0)</f>
        <v>0</v>
      </c>
      <c r="E191" s="91">
        <f>IF($A191=Recto!$I$31,VLOOKUP($A191,Recto!$I$28:$L$44,4,FALSE),0)</f>
        <v>0</v>
      </c>
      <c r="F191" s="91">
        <f>IF($A191=Recto!$I$32,VLOOKUP($A191,Recto!$I$28:$L$44,4,FALSE),0)</f>
        <v>0</v>
      </c>
      <c r="G191" s="91">
        <f>IF($A191=Recto!$I$33,VLOOKUP($A191,Recto!$I$28:$L$44,4,FALSE),0)</f>
        <v>0</v>
      </c>
      <c r="H191" s="91">
        <f>IF($A191=Recto!$I$34,VLOOKUP($A191,Recto!$I$28:$L$44,4,FALSE),0)</f>
        <v>0</v>
      </c>
      <c r="I191" s="91">
        <f>IF($A191=Recto!$I$35,VLOOKUP($A191,Recto!$I$28:$L$44,4,FALSE),0)</f>
        <v>0</v>
      </c>
      <c r="J191" s="91">
        <f>IF($A191=Recto!$I$36,VLOOKUP($A191,Recto!$I$28:$L$44,4,FALSE),0)</f>
        <v>0</v>
      </c>
      <c r="K191" s="91">
        <f>IF($A191=Recto!$I$37,VLOOKUP($A191,Recto!$I$28:$L$44,4,FALSE),0)</f>
        <v>0</v>
      </c>
      <c r="L191" s="91">
        <f>IF($A191=Recto!$I$38,VLOOKUP($A191,Recto!$I$28:$L$44,4,FALSE),0)</f>
        <v>0</v>
      </c>
      <c r="M191" s="91">
        <f>IF($A191=Recto!$I$39,VLOOKUP($A191,Recto!$I$28:$L$44,4,FALSE),0)</f>
        <v>0</v>
      </c>
      <c r="N191" s="91">
        <f>IF($A191=Recto!$I$40,VLOOKUP($A191,Recto!$I$28:$L$44,4,FALSE),0)</f>
        <v>0</v>
      </c>
      <c r="O191" s="91">
        <f>IF($A191=Recto!$I$41,VLOOKUP($A191,Recto!$I$28:$L$44,4,FALSE),0)</f>
        <v>0</v>
      </c>
      <c r="P191" s="91">
        <f>IF($A191=Recto!$I$42,VLOOKUP($A191,Recto!$I$28:$L$44,4,FALSE),0)</f>
        <v>0</v>
      </c>
      <c r="Q191" s="91">
        <f>IF($A191=Recto!$I$43,VLOOKUP($A191,Recto!$I$28:$L$44,4,FALSE),0)</f>
        <v>0</v>
      </c>
      <c r="R191" s="91">
        <f>IF($A191=Recto!$I$44,VLOOKUP($A191,Recto!$I$28:$L$44,4,FALSE),0)</f>
        <v>0</v>
      </c>
      <c r="S191" s="295">
        <f t="shared" ref="S191" si="6">SUM(B191:R191)</f>
        <v>0</v>
      </c>
    </row>
    <row r="192" spans="1:19" x14ac:dyDescent="0.25">
      <c r="A192" s="500" t="s">
        <v>1358</v>
      </c>
      <c r="B192" s="91">
        <f>IF($A192=Recto!$I$28,VLOOKUP($A192,Recto!$I$28:$L$44,4,FALSE),0)</f>
        <v>0</v>
      </c>
      <c r="C192" s="91">
        <f>IF($A192=Recto!$I$29,VLOOKUP($A192,Recto!$I$28:$L$44,4,FALSE),0)</f>
        <v>0</v>
      </c>
      <c r="D192" s="91">
        <f>IF($A192=Recto!$I$30,VLOOKUP($A192,Recto!$I$28:$L$44,4,FALSE),0)</f>
        <v>0</v>
      </c>
      <c r="E192" s="91">
        <f>IF($A192=Recto!$I$31,VLOOKUP($A192,Recto!$I$28:$L$44,4,FALSE),0)</f>
        <v>0</v>
      </c>
      <c r="F192" s="91">
        <f>IF($A192=Recto!$I$32,VLOOKUP($A192,Recto!$I$28:$L$44,4,FALSE),0)</f>
        <v>0</v>
      </c>
      <c r="G192" s="91">
        <f>IF($A192=Recto!$I$33,VLOOKUP($A192,Recto!$I$28:$L$44,4,FALSE),0)</f>
        <v>0</v>
      </c>
      <c r="H192" s="91">
        <f>IF($A192=Recto!$I$34,VLOOKUP($A192,Recto!$I$28:$L$44,4,FALSE),0)</f>
        <v>0</v>
      </c>
      <c r="I192" s="91">
        <f>IF($A192=Recto!$I$35,VLOOKUP($A192,Recto!$I$28:$L$44,4,FALSE),0)</f>
        <v>0</v>
      </c>
      <c r="J192" s="91">
        <f>IF($A192=Recto!$I$36,VLOOKUP($A192,Recto!$I$28:$L$44,4,FALSE),0)</f>
        <v>0</v>
      </c>
      <c r="K192" s="91">
        <f>IF($A192=Recto!$I$37,VLOOKUP($A192,Recto!$I$28:$L$44,4,FALSE),0)</f>
        <v>0</v>
      </c>
      <c r="L192" s="91">
        <f>IF($A192=Recto!$I$38,VLOOKUP($A192,Recto!$I$28:$L$44,4,FALSE),0)</f>
        <v>0</v>
      </c>
      <c r="M192" s="91">
        <f>IF($A192=Recto!$I$39,VLOOKUP($A192,Recto!$I$28:$L$44,4,FALSE),0)</f>
        <v>0</v>
      </c>
      <c r="N192" s="91">
        <f>IF($A192=Recto!$I$40,VLOOKUP($A192,Recto!$I$28:$L$44,4,FALSE),0)</f>
        <v>0</v>
      </c>
      <c r="O192" s="91">
        <f>IF($A192=Recto!$I$41,VLOOKUP($A192,Recto!$I$28:$L$44,4,FALSE),0)</f>
        <v>0</v>
      </c>
      <c r="P192" s="91">
        <f>IF($A192=Recto!$I$42,VLOOKUP($A192,Recto!$I$28:$L$44,4,FALSE),0)</f>
        <v>0</v>
      </c>
      <c r="Q192" s="91">
        <f>IF($A192=Recto!$I$43,VLOOKUP($A192,Recto!$I$28:$L$44,4,FALSE),0)</f>
        <v>0</v>
      </c>
      <c r="R192" s="91">
        <f>IF($A192=Recto!$I$44,VLOOKUP($A192,Recto!$I$28:$L$44,4,FALSE),0)</f>
        <v>0</v>
      </c>
      <c r="S192" s="295">
        <f t="shared" si="5"/>
        <v>0</v>
      </c>
    </row>
    <row r="193" spans="1:19" x14ac:dyDescent="0.25">
      <c r="A193" s="500" t="s">
        <v>1297</v>
      </c>
      <c r="B193" s="91">
        <f>IF($A193=Recto!$I$28,VLOOKUP($A193,Recto!$I$28:$L$44,4,FALSE),0)</f>
        <v>0</v>
      </c>
      <c r="C193" s="91">
        <f>IF($A193=Recto!$I$29,VLOOKUP($A193,Recto!$I$28:$L$44,4,FALSE),0)</f>
        <v>0</v>
      </c>
      <c r="D193" s="91">
        <f>IF($A193=Recto!$I$30,VLOOKUP($A193,Recto!$I$28:$L$44,4,FALSE),0)</f>
        <v>0</v>
      </c>
      <c r="E193" s="91">
        <f>IF($A193=Recto!$I$31,VLOOKUP($A193,Recto!$I$28:$L$44,4,FALSE),0)</f>
        <v>0</v>
      </c>
      <c r="F193" s="91">
        <f>IF($A193=Recto!$I$32,VLOOKUP($A193,Recto!$I$28:$L$44,4,FALSE),0)</f>
        <v>0</v>
      </c>
      <c r="G193" s="91">
        <f>IF($A193=Recto!$I$33,VLOOKUP($A193,Recto!$I$28:$L$44,4,FALSE),0)</f>
        <v>0</v>
      </c>
      <c r="H193" s="91">
        <f>IF($A193=Recto!$I$34,VLOOKUP($A193,Recto!$I$28:$L$44,4,FALSE),0)</f>
        <v>0</v>
      </c>
      <c r="I193" s="91">
        <f>IF($A193=Recto!$I$35,VLOOKUP($A193,Recto!$I$28:$L$44,4,FALSE),0)</f>
        <v>0</v>
      </c>
      <c r="J193" s="91">
        <f>IF($A193=Recto!$I$36,VLOOKUP($A193,Recto!$I$28:$L$44,4,FALSE),0)</f>
        <v>0</v>
      </c>
      <c r="K193" s="91">
        <f>IF($A193=Recto!$I$37,VLOOKUP($A193,Recto!$I$28:$L$44,4,FALSE),0)</f>
        <v>0</v>
      </c>
      <c r="L193" s="91">
        <f>IF($A193=Recto!$I$38,VLOOKUP($A193,Recto!$I$28:$L$44,4,FALSE),0)</f>
        <v>0</v>
      </c>
      <c r="M193" s="91">
        <f>IF($A193=Recto!$I$39,VLOOKUP($A193,Recto!$I$28:$L$44,4,FALSE),0)</f>
        <v>0</v>
      </c>
      <c r="N193" s="91">
        <f>IF($A193=Recto!$I$40,VLOOKUP($A193,Recto!$I$28:$L$44,4,FALSE),0)</f>
        <v>0</v>
      </c>
      <c r="O193" s="91">
        <f>IF($A193=Recto!$I$41,VLOOKUP($A193,Recto!$I$28:$L$44,4,FALSE),0)</f>
        <v>0</v>
      </c>
      <c r="P193" s="91">
        <f>IF($A193=Recto!$I$42,VLOOKUP($A193,Recto!$I$28:$L$44,4,FALSE),0)</f>
        <v>0</v>
      </c>
      <c r="Q193" s="91">
        <f>IF($A193=Recto!$I$43,VLOOKUP($A193,Recto!$I$28:$L$44,4,FALSE),0)</f>
        <v>0</v>
      </c>
      <c r="R193" s="91">
        <f>IF($A193=Recto!$I$44,VLOOKUP($A193,Recto!$I$28:$L$44,4,FALSE),0)</f>
        <v>0</v>
      </c>
      <c r="S193" s="295">
        <f t="shared" si="5"/>
        <v>0</v>
      </c>
    </row>
    <row r="194" spans="1:19" x14ac:dyDescent="0.25">
      <c r="A194" s="500" t="s">
        <v>3398</v>
      </c>
      <c r="B194" s="91">
        <f>IF($A194=Recto!$I$28,VLOOKUP($A194,Recto!$I$28:$L$44,4,FALSE),0)</f>
        <v>0</v>
      </c>
      <c r="C194" s="91">
        <f>IF($A194=Recto!$I$29,VLOOKUP($A194,Recto!$I$28:$L$44,4,FALSE),0)</f>
        <v>0</v>
      </c>
      <c r="D194" s="91">
        <f>IF($A194=Recto!$I$30,VLOOKUP($A194,Recto!$I$28:$L$44,4,FALSE),0)</f>
        <v>0</v>
      </c>
      <c r="E194" s="91">
        <f>IF($A194=Recto!$I$31,VLOOKUP($A194,Recto!$I$28:$L$44,4,FALSE),0)</f>
        <v>0</v>
      </c>
      <c r="F194" s="91">
        <f>IF($A194=Recto!$I$32,VLOOKUP($A194,Recto!$I$28:$L$44,4,FALSE),0)</f>
        <v>0</v>
      </c>
      <c r="G194" s="91">
        <f>IF($A194=Recto!$I$33,VLOOKUP($A194,Recto!$I$28:$L$44,4,FALSE),0)</f>
        <v>0</v>
      </c>
      <c r="H194" s="91">
        <f>IF($A194=Recto!$I$34,VLOOKUP($A194,Recto!$I$28:$L$44,4,FALSE),0)</f>
        <v>0</v>
      </c>
      <c r="I194" s="91">
        <f>IF($A194=Recto!$I$35,VLOOKUP($A194,Recto!$I$28:$L$44,4,FALSE),0)</f>
        <v>0</v>
      </c>
      <c r="J194" s="91">
        <f>IF($A194=Recto!$I$36,VLOOKUP($A194,Recto!$I$28:$L$44,4,FALSE),0)</f>
        <v>0</v>
      </c>
      <c r="K194" s="91">
        <f>IF($A194=Recto!$I$37,VLOOKUP($A194,Recto!$I$28:$L$44,4,FALSE),0)</f>
        <v>0</v>
      </c>
      <c r="L194" s="91">
        <f>IF($A194=Recto!$I$38,VLOOKUP($A194,Recto!$I$28:$L$44,4,FALSE),0)</f>
        <v>0</v>
      </c>
      <c r="M194" s="91">
        <f>IF($A194=Recto!$I$39,VLOOKUP($A194,Recto!$I$28:$L$44,4,FALSE),0)</f>
        <v>0</v>
      </c>
      <c r="N194" s="91">
        <f>IF($A194=Recto!$I$40,VLOOKUP($A194,Recto!$I$28:$L$44,4,FALSE),0)</f>
        <v>0</v>
      </c>
      <c r="O194" s="91">
        <f>IF($A194=Recto!$I$41,VLOOKUP($A194,Recto!$I$28:$L$44,4,FALSE),0)</f>
        <v>0</v>
      </c>
      <c r="P194" s="91">
        <f>IF($A194=Recto!$I$42,VLOOKUP($A194,Recto!$I$28:$L$44,4,FALSE),0)</f>
        <v>0</v>
      </c>
      <c r="Q194" s="91">
        <f>IF($A194=Recto!$I$43,VLOOKUP($A194,Recto!$I$28:$L$44,4,FALSE),0)</f>
        <v>0</v>
      </c>
      <c r="R194" s="91">
        <f>IF($A194=Recto!$I$44,VLOOKUP($A194,Recto!$I$28:$L$44,4,FALSE),0)</f>
        <v>0</v>
      </c>
      <c r="S194" s="295">
        <f t="shared" si="5"/>
        <v>0</v>
      </c>
    </row>
    <row r="195" spans="1:19" x14ac:dyDescent="0.25">
      <c r="A195" s="500" t="s">
        <v>3273</v>
      </c>
      <c r="B195" s="91">
        <f>IF($A195=Recto!$I$28,VLOOKUP($A195,Recto!$I$28:$L$44,4,FALSE),0)</f>
        <v>0</v>
      </c>
      <c r="C195" s="91">
        <f>IF($A195=Recto!$I$29,VLOOKUP($A195,Recto!$I$28:$L$44,4,FALSE),0)</f>
        <v>0</v>
      </c>
      <c r="D195" s="91">
        <f>IF($A195=Recto!$I$30,VLOOKUP($A195,Recto!$I$28:$L$44,4,FALSE),0)</f>
        <v>0</v>
      </c>
      <c r="E195" s="91">
        <f>IF($A195=Recto!$I$31,VLOOKUP($A195,Recto!$I$28:$L$44,4,FALSE),0)</f>
        <v>0</v>
      </c>
      <c r="F195" s="91">
        <f>IF($A195=Recto!$I$32,VLOOKUP($A195,Recto!$I$28:$L$44,4,FALSE),0)</f>
        <v>0</v>
      </c>
      <c r="G195" s="91">
        <f>IF($A195=Recto!$I$33,VLOOKUP($A195,Recto!$I$28:$L$44,4,FALSE),0)</f>
        <v>0</v>
      </c>
      <c r="H195" s="91">
        <f>IF($A195=Recto!$I$34,VLOOKUP($A195,Recto!$I$28:$L$44,4,FALSE),0)</f>
        <v>0</v>
      </c>
      <c r="I195" s="91">
        <f>IF($A195=Recto!$I$35,VLOOKUP($A195,Recto!$I$28:$L$44,4,FALSE),0)</f>
        <v>0</v>
      </c>
      <c r="J195" s="91">
        <f>IF($A195=Recto!$I$36,VLOOKUP($A195,Recto!$I$28:$L$44,4,FALSE),0)</f>
        <v>0</v>
      </c>
      <c r="K195" s="91">
        <f>IF($A195=Recto!$I$37,VLOOKUP($A195,Recto!$I$28:$L$44,4,FALSE),0)</f>
        <v>0</v>
      </c>
      <c r="L195" s="91">
        <f>IF($A195=Recto!$I$38,VLOOKUP($A195,Recto!$I$28:$L$44,4,FALSE),0)</f>
        <v>0</v>
      </c>
      <c r="M195" s="91">
        <f>IF($A195=Recto!$I$39,VLOOKUP($A195,Recto!$I$28:$L$44,4,FALSE),0)</f>
        <v>0</v>
      </c>
      <c r="N195" s="91">
        <f>IF($A195=Recto!$I$40,VLOOKUP($A195,Recto!$I$28:$L$44,4,FALSE),0)</f>
        <v>0</v>
      </c>
      <c r="O195" s="91">
        <f>IF($A195=Recto!$I$41,VLOOKUP($A195,Recto!$I$28:$L$44,4,FALSE),0)</f>
        <v>0</v>
      </c>
      <c r="P195" s="91">
        <f>IF($A195=Recto!$I$42,VLOOKUP($A195,Recto!$I$28:$L$44,4,FALSE),0)</f>
        <v>0</v>
      </c>
      <c r="Q195" s="91">
        <f>IF($A195=Recto!$I$43,VLOOKUP($A195,Recto!$I$28:$L$44,4,FALSE),0)</f>
        <v>0</v>
      </c>
      <c r="R195" s="91">
        <f>IF($A195=Recto!$I$44,VLOOKUP($A195,Recto!$I$28:$L$44,4,FALSE),0)</f>
        <v>0</v>
      </c>
      <c r="S195" s="295">
        <f t="shared" si="5"/>
        <v>0</v>
      </c>
    </row>
    <row r="196" spans="1:19" s="196" customFormat="1" x14ac:dyDescent="0.25">
      <c r="A196" s="136" t="s">
        <v>7692</v>
      </c>
      <c r="B196" s="91">
        <f>IF($A196=Recto!$I$28,VLOOKUP($A196,Recto!$I$28:$L$44,4,FALSE),0)</f>
        <v>0</v>
      </c>
      <c r="C196" s="91">
        <f>IF($A196=Recto!$I$29,VLOOKUP($A196,Recto!$I$28:$L$44,4,FALSE),0)</f>
        <v>0</v>
      </c>
      <c r="D196" s="91">
        <f>IF($A196=Recto!$I$30,VLOOKUP($A196,Recto!$I$28:$L$44,4,FALSE),0)</f>
        <v>0</v>
      </c>
      <c r="E196" s="91">
        <f>IF($A196=Recto!$I$31,VLOOKUP($A196,Recto!$I$28:$L$44,4,FALSE),0)</f>
        <v>0</v>
      </c>
      <c r="F196" s="91">
        <f>IF($A196=Recto!$I$32,VLOOKUP($A196,Recto!$I$28:$L$44,4,FALSE),0)</f>
        <v>0</v>
      </c>
      <c r="G196" s="91">
        <f>IF($A196=Recto!$I$33,VLOOKUP($A196,Recto!$I$28:$L$44,4,FALSE),0)</f>
        <v>0</v>
      </c>
      <c r="H196" s="91">
        <f>IF($A196=Recto!$I$34,VLOOKUP($A196,Recto!$I$28:$L$44,4,FALSE),0)</f>
        <v>0</v>
      </c>
      <c r="I196" s="91">
        <f>IF($A196=Recto!$I$35,VLOOKUP($A196,Recto!$I$28:$L$44,4,FALSE),0)</f>
        <v>0</v>
      </c>
      <c r="J196" s="91">
        <f>IF($A196=Recto!$I$36,VLOOKUP($A196,Recto!$I$28:$L$44,4,FALSE),0)</f>
        <v>0</v>
      </c>
      <c r="K196" s="91">
        <f>IF($A196=Recto!$I$37,VLOOKUP($A196,Recto!$I$28:$L$44,4,FALSE),0)</f>
        <v>0</v>
      </c>
      <c r="L196" s="91">
        <f>IF($A196=Recto!$I$38,VLOOKUP($A196,Recto!$I$28:$L$44,4,FALSE),0)</f>
        <v>0</v>
      </c>
      <c r="M196" s="91">
        <f>IF($A196=Recto!$I$39,VLOOKUP($A196,Recto!$I$28:$L$44,4,FALSE),0)</f>
        <v>0</v>
      </c>
      <c r="N196" s="91">
        <f>IF($A196=Recto!$I$40,VLOOKUP($A196,Recto!$I$28:$L$44,4,FALSE),0)</f>
        <v>0</v>
      </c>
      <c r="O196" s="91">
        <f>IF($A196=Recto!$I$41,VLOOKUP($A196,Recto!$I$28:$L$44,4,FALSE),0)</f>
        <v>0</v>
      </c>
      <c r="P196" s="91">
        <f>IF($A196=Recto!$I$42,VLOOKUP($A196,Recto!$I$28:$L$44,4,FALSE),0)</f>
        <v>0</v>
      </c>
      <c r="Q196" s="91">
        <f>IF($A196=Recto!$I$43,VLOOKUP($A196,Recto!$I$28:$L$44,4,FALSE),0)</f>
        <v>0</v>
      </c>
      <c r="R196" s="91">
        <f>IF($A196=Recto!$I$44,VLOOKUP($A196,Recto!$I$28:$L$44,4,FALSE),0)</f>
        <v>0</v>
      </c>
      <c r="S196" s="295">
        <f t="shared" si="5"/>
        <v>0</v>
      </c>
    </row>
    <row r="197" spans="1:19" x14ac:dyDescent="0.25">
      <c r="A197" s="500" t="s">
        <v>1940</v>
      </c>
      <c r="B197" s="91">
        <f>IF($A197=Recto!$I$28,VLOOKUP($A197,Recto!$I$28:$L$44,4,FALSE),0)</f>
        <v>0</v>
      </c>
      <c r="C197" s="91">
        <f>IF($A197=Recto!$I$29,VLOOKUP($A197,Recto!$I$28:$L$44,4,FALSE),0)</f>
        <v>0</v>
      </c>
      <c r="D197" s="91">
        <f>IF($A197=Recto!$I$30,VLOOKUP($A197,Recto!$I$28:$L$44,4,FALSE),0)</f>
        <v>0</v>
      </c>
      <c r="E197" s="91">
        <f>IF($A197=Recto!$I$31,VLOOKUP($A197,Recto!$I$28:$L$44,4,FALSE),0)</f>
        <v>0</v>
      </c>
      <c r="F197" s="91">
        <f>IF($A197=Recto!$I$32,VLOOKUP($A197,Recto!$I$28:$L$44,4,FALSE),0)</f>
        <v>0</v>
      </c>
      <c r="G197" s="91">
        <f>IF($A197=Recto!$I$33,VLOOKUP($A197,Recto!$I$28:$L$44,4,FALSE),0)</f>
        <v>0</v>
      </c>
      <c r="H197" s="91">
        <f>IF($A197=Recto!$I$34,VLOOKUP($A197,Recto!$I$28:$L$44,4,FALSE),0)</f>
        <v>0</v>
      </c>
      <c r="I197" s="91">
        <f>IF($A197=Recto!$I$35,VLOOKUP($A197,Recto!$I$28:$L$44,4,FALSE),0)</f>
        <v>0</v>
      </c>
      <c r="J197" s="91">
        <f>IF($A197=Recto!$I$36,VLOOKUP($A197,Recto!$I$28:$L$44,4,FALSE),0)</f>
        <v>0</v>
      </c>
      <c r="K197" s="91">
        <f>IF($A197=Recto!$I$37,VLOOKUP($A197,Recto!$I$28:$L$44,4,FALSE),0)</f>
        <v>0</v>
      </c>
      <c r="L197" s="91">
        <f>IF($A197=Recto!$I$38,VLOOKUP($A197,Recto!$I$28:$L$44,4,FALSE),0)</f>
        <v>0</v>
      </c>
      <c r="M197" s="91">
        <f>IF($A197=Recto!$I$39,VLOOKUP($A197,Recto!$I$28:$L$44,4,FALSE),0)</f>
        <v>0</v>
      </c>
      <c r="N197" s="91">
        <f>IF($A197=Recto!$I$40,VLOOKUP($A197,Recto!$I$28:$L$44,4,FALSE),0)</f>
        <v>0</v>
      </c>
      <c r="O197" s="91">
        <f>IF($A197=Recto!$I$41,VLOOKUP($A197,Recto!$I$28:$L$44,4,FALSE),0)</f>
        <v>0</v>
      </c>
      <c r="P197" s="91">
        <f>IF($A197=Recto!$I$42,VLOOKUP($A197,Recto!$I$28:$L$44,4,FALSE),0)</f>
        <v>0</v>
      </c>
      <c r="Q197" s="91">
        <f>IF($A197=Recto!$I$43,VLOOKUP($A197,Recto!$I$28:$L$44,4,FALSE),0)</f>
        <v>0</v>
      </c>
      <c r="R197" s="91">
        <f>IF($A197=Recto!$I$44,VLOOKUP($A197,Recto!$I$28:$L$44,4,FALSE),0)</f>
        <v>0</v>
      </c>
      <c r="S197" s="295">
        <f t="shared" si="5"/>
        <v>0</v>
      </c>
    </row>
    <row r="198" spans="1:19" x14ac:dyDescent="0.25">
      <c r="A198" s="500" t="s">
        <v>23</v>
      </c>
      <c r="B198" s="91">
        <f>IF($A198=Recto!$I$28,VLOOKUP($A198,Recto!$I$28:$L$44,4,FALSE),0)</f>
        <v>0</v>
      </c>
      <c r="C198" s="91">
        <f>IF($A198=Recto!$I$29,VLOOKUP($A198,Recto!$I$28:$L$44,4,FALSE),0)</f>
        <v>0</v>
      </c>
      <c r="D198" s="91">
        <f>IF($A198=Recto!$I$30,VLOOKUP($A198,Recto!$I$28:$L$44,4,FALSE),0)</f>
        <v>0</v>
      </c>
      <c r="E198" s="91">
        <f>IF($A198=Recto!$I$31,VLOOKUP($A198,Recto!$I$28:$L$44,4,FALSE),0)</f>
        <v>0</v>
      </c>
      <c r="F198" s="91">
        <f>IF($A198=Recto!$I$32,VLOOKUP($A198,Recto!$I$28:$L$44,4,FALSE),0)</f>
        <v>0</v>
      </c>
      <c r="G198" s="91">
        <f>IF($A198=Recto!$I$33,VLOOKUP($A198,Recto!$I$28:$L$44,4,FALSE),0)</f>
        <v>0</v>
      </c>
      <c r="H198" s="91">
        <f>IF($A198=Recto!$I$34,VLOOKUP($A198,Recto!$I$28:$L$44,4,FALSE),0)</f>
        <v>0</v>
      </c>
      <c r="I198" s="91">
        <f>IF($A198=Recto!$I$35,VLOOKUP($A198,Recto!$I$28:$L$44,4,FALSE),0)</f>
        <v>0</v>
      </c>
      <c r="J198" s="91">
        <f>IF($A198=Recto!$I$36,VLOOKUP($A198,Recto!$I$28:$L$44,4,FALSE),0)</f>
        <v>0</v>
      </c>
      <c r="K198" s="91">
        <f>IF($A198=Recto!$I$37,VLOOKUP($A198,Recto!$I$28:$L$44,4,FALSE),0)</f>
        <v>0</v>
      </c>
      <c r="L198" s="91">
        <f>IF($A198=Recto!$I$38,VLOOKUP($A198,Recto!$I$28:$L$44,4,FALSE),0)</f>
        <v>0</v>
      </c>
      <c r="M198" s="91">
        <f>IF($A198=Recto!$I$39,VLOOKUP($A198,Recto!$I$28:$L$44,4,FALSE),0)</f>
        <v>0</v>
      </c>
      <c r="N198" s="91">
        <f>IF($A198=Recto!$I$40,VLOOKUP($A198,Recto!$I$28:$L$44,4,FALSE),0)</f>
        <v>0</v>
      </c>
      <c r="O198" s="91">
        <f>IF($A198=Recto!$I$41,VLOOKUP($A198,Recto!$I$28:$L$44,4,FALSE),0)</f>
        <v>0</v>
      </c>
      <c r="P198" s="91">
        <f>IF($A198=Recto!$I$42,VLOOKUP($A198,Recto!$I$28:$L$44,4,FALSE),0)</f>
        <v>0</v>
      </c>
      <c r="Q198" s="91">
        <f>IF($A198=Recto!$I$43,VLOOKUP($A198,Recto!$I$28:$L$44,4,FALSE),0)</f>
        <v>0</v>
      </c>
      <c r="R198" s="91">
        <f>IF($A198=Recto!$I$44,VLOOKUP($A198,Recto!$I$28:$L$44,4,FALSE),0)</f>
        <v>0</v>
      </c>
      <c r="S198" s="295">
        <f t="shared" si="5"/>
        <v>0</v>
      </c>
    </row>
    <row r="199" spans="1:19" s="196" customFormat="1" x14ac:dyDescent="0.25">
      <c r="A199" s="136" t="s">
        <v>7690</v>
      </c>
      <c r="B199" s="91">
        <f>IF($A199=Recto!$I$28,VLOOKUP($A199,Recto!$I$28:$L$44,4,FALSE),0)</f>
        <v>0</v>
      </c>
      <c r="C199" s="91">
        <f>IF($A199=Recto!$I$29,VLOOKUP($A199,Recto!$I$28:$L$44,4,FALSE),0)</f>
        <v>0</v>
      </c>
      <c r="D199" s="91">
        <f>IF($A199=Recto!$I$30,VLOOKUP($A199,Recto!$I$28:$L$44,4,FALSE),0)</f>
        <v>0</v>
      </c>
      <c r="E199" s="91">
        <f>IF($A199=Recto!$I$31,VLOOKUP($A199,Recto!$I$28:$L$44,4,FALSE),0)</f>
        <v>0</v>
      </c>
      <c r="F199" s="91">
        <f>IF($A199=Recto!$I$32,VLOOKUP($A199,Recto!$I$28:$L$44,4,FALSE),0)</f>
        <v>0</v>
      </c>
      <c r="G199" s="91">
        <f>IF($A199=Recto!$I$33,VLOOKUP($A199,Recto!$I$28:$L$44,4,FALSE),0)</f>
        <v>0</v>
      </c>
      <c r="H199" s="91">
        <f>IF($A199=Recto!$I$34,VLOOKUP($A199,Recto!$I$28:$L$44,4,FALSE),0)</f>
        <v>0</v>
      </c>
      <c r="I199" s="91">
        <f>IF($A199=Recto!$I$35,VLOOKUP($A199,Recto!$I$28:$L$44,4,FALSE),0)</f>
        <v>0</v>
      </c>
      <c r="J199" s="91">
        <f>IF($A199=Recto!$I$36,VLOOKUP($A199,Recto!$I$28:$L$44,4,FALSE),0)</f>
        <v>0</v>
      </c>
      <c r="K199" s="91">
        <f>IF($A199=Recto!$I$37,VLOOKUP($A199,Recto!$I$28:$L$44,4,FALSE),0)</f>
        <v>0</v>
      </c>
      <c r="L199" s="91">
        <f>IF($A199=Recto!$I$38,VLOOKUP($A199,Recto!$I$28:$L$44,4,FALSE),0)</f>
        <v>0</v>
      </c>
      <c r="M199" s="91">
        <f>IF($A199=Recto!$I$39,VLOOKUP($A199,Recto!$I$28:$L$44,4,FALSE),0)</f>
        <v>0</v>
      </c>
      <c r="N199" s="91">
        <f>IF($A199=Recto!$I$40,VLOOKUP($A199,Recto!$I$28:$L$44,4,FALSE),0)</f>
        <v>0</v>
      </c>
      <c r="O199" s="91">
        <f>IF($A199=Recto!$I$41,VLOOKUP($A199,Recto!$I$28:$L$44,4,FALSE),0)</f>
        <v>0</v>
      </c>
      <c r="P199" s="91">
        <f>IF($A199=Recto!$I$42,VLOOKUP($A199,Recto!$I$28:$L$44,4,FALSE),0)</f>
        <v>0</v>
      </c>
      <c r="Q199" s="91">
        <f>IF($A199=Recto!$I$43,VLOOKUP($A199,Recto!$I$28:$L$44,4,FALSE),0)</f>
        <v>0</v>
      </c>
      <c r="R199" s="91">
        <f>IF($A199=Recto!$I$44,VLOOKUP($A199,Recto!$I$28:$L$44,4,FALSE),0)</f>
        <v>0</v>
      </c>
      <c r="S199" s="295">
        <f t="shared" si="5"/>
        <v>0</v>
      </c>
    </row>
    <row r="200" spans="1:19" x14ac:dyDescent="0.25">
      <c r="A200" s="500" t="s">
        <v>64</v>
      </c>
      <c r="B200" s="91">
        <f>IF($A200=Recto!$I$28,VLOOKUP($A200,Recto!$I$28:$L$44,4,FALSE),0)</f>
        <v>0</v>
      </c>
      <c r="C200" s="91">
        <f>IF($A200=Recto!$I$29,VLOOKUP($A200,Recto!$I$28:$L$44,4,FALSE),0)</f>
        <v>0</v>
      </c>
      <c r="D200" s="91">
        <f>IF($A200=Recto!$I$30,VLOOKUP($A200,Recto!$I$28:$L$44,4,FALSE),0)</f>
        <v>0</v>
      </c>
      <c r="E200" s="91">
        <f>IF($A200=Recto!$I$31,VLOOKUP($A200,Recto!$I$28:$L$44,4,FALSE),0)</f>
        <v>0</v>
      </c>
      <c r="F200" s="91">
        <f>IF($A200=Recto!$I$32,VLOOKUP($A200,Recto!$I$28:$L$44,4,FALSE),0)</f>
        <v>0</v>
      </c>
      <c r="G200" s="91">
        <f>IF($A200=Recto!$I$33,VLOOKUP($A200,Recto!$I$28:$L$44,4,FALSE),0)</f>
        <v>0</v>
      </c>
      <c r="H200" s="91">
        <f>IF($A200=Recto!$I$34,VLOOKUP($A200,Recto!$I$28:$L$44,4,FALSE),0)</f>
        <v>0</v>
      </c>
      <c r="I200" s="91">
        <f>IF($A200=Recto!$I$35,VLOOKUP($A200,Recto!$I$28:$L$44,4,FALSE),0)</f>
        <v>0</v>
      </c>
      <c r="J200" s="91">
        <f>IF($A200=Recto!$I$36,VLOOKUP($A200,Recto!$I$28:$L$44,4,FALSE),0)</f>
        <v>0</v>
      </c>
      <c r="K200" s="91">
        <f>IF($A200=Recto!$I$37,VLOOKUP($A200,Recto!$I$28:$L$44,4,FALSE),0)</f>
        <v>0</v>
      </c>
      <c r="L200" s="91">
        <f>IF($A200=Recto!$I$38,VLOOKUP($A200,Recto!$I$28:$L$44,4,FALSE),0)</f>
        <v>0</v>
      </c>
      <c r="M200" s="91">
        <f>IF($A200=Recto!$I$39,VLOOKUP($A200,Recto!$I$28:$L$44,4,FALSE),0)</f>
        <v>0</v>
      </c>
      <c r="N200" s="91">
        <f>IF($A200=Recto!$I$40,VLOOKUP($A200,Recto!$I$28:$L$44,4,FALSE),0)</f>
        <v>0</v>
      </c>
      <c r="O200" s="91">
        <f>IF($A200=Recto!$I$41,VLOOKUP($A200,Recto!$I$28:$L$44,4,FALSE),0)</f>
        <v>0</v>
      </c>
      <c r="P200" s="91">
        <f>IF($A200=Recto!$I$42,VLOOKUP($A200,Recto!$I$28:$L$44,4,FALSE),0)</f>
        <v>0</v>
      </c>
      <c r="Q200" s="91">
        <f>IF($A200=Recto!$I$43,VLOOKUP($A200,Recto!$I$28:$L$44,4,FALSE),0)</f>
        <v>0</v>
      </c>
      <c r="R200" s="91">
        <f>IF($A200=Recto!$I$44,VLOOKUP($A200,Recto!$I$28:$L$44,4,FALSE),0)</f>
        <v>0</v>
      </c>
      <c r="S200" s="295">
        <f t="shared" si="5"/>
        <v>0</v>
      </c>
    </row>
    <row r="201" spans="1:19" s="196" customFormat="1" x14ac:dyDescent="0.25">
      <c r="A201" s="500" t="s">
        <v>7710</v>
      </c>
      <c r="B201" s="91">
        <f>IF($A201=Recto!$I$28,VLOOKUP($A201,Recto!$I$28:$L$44,4,FALSE),0)</f>
        <v>0</v>
      </c>
      <c r="C201" s="91">
        <f>IF($A201=Recto!$I$29,VLOOKUP($A201,Recto!$I$28:$L$44,4,FALSE),0)</f>
        <v>0</v>
      </c>
      <c r="D201" s="91">
        <f>IF($A201=Recto!$I$30,VLOOKUP($A201,Recto!$I$28:$L$44,4,FALSE),0)</f>
        <v>0</v>
      </c>
      <c r="E201" s="91">
        <f>IF($A201=Recto!$I$31,VLOOKUP($A201,Recto!$I$28:$L$44,4,FALSE),0)</f>
        <v>0</v>
      </c>
      <c r="F201" s="91">
        <f>IF($A201=Recto!$I$32,VLOOKUP($A201,Recto!$I$28:$L$44,4,FALSE),0)</f>
        <v>0</v>
      </c>
      <c r="G201" s="91">
        <f>IF($A201=Recto!$I$33,VLOOKUP($A201,Recto!$I$28:$L$44,4,FALSE),0)</f>
        <v>0</v>
      </c>
      <c r="H201" s="91">
        <f>IF($A201=Recto!$I$34,VLOOKUP($A201,Recto!$I$28:$L$44,4,FALSE),0)</f>
        <v>0</v>
      </c>
      <c r="I201" s="91">
        <f>IF($A201=Recto!$I$35,VLOOKUP($A201,Recto!$I$28:$L$44,4,FALSE),0)</f>
        <v>0</v>
      </c>
      <c r="J201" s="91">
        <f>IF($A201=Recto!$I$36,VLOOKUP($A201,Recto!$I$28:$L$44,4,FALSE),0)</f>
        <v>0</v>
      </c>
      <c r="K201" s="91">
        <f>IF($A201=Recto!$I$37,VLOOKUP($A201,Recto!$I$28:$L$44,4,FALSE),0)</f>
        <v>0</v>
      </c>
      <c r="L201" s="91">
        <f>IF($A201=Recto!$I$38,VLOOKUP($A201,Recto!$I$28:$L$44,4,FALSE),0)</f>
        <v>0</v>
      </c>
      <c r="M201" s="91">
        <f>IF($A201=Recto!$I$39,VLOOKUP($A201,Recto!$I$28:$L$44,4,FALSE),0)</f>
        <v>0</v>
      </c>
      <c r="N201" s="91">
        <f>IF($A201=Recto!$I$40,VLOOKUP($A201,Recto!$I$28:$L$44,4,FALSE),0)</f>
        <v>0</v>
      </c>
      <c r="O201" s="91">
        <f>IF($A201=Recto!$I$41,VLOOKUP($A201,Recto!$I$28:$L$44,4,FALSE),0)</f>
        <v>0</v>
      </c>
      <c r="P201" s="91">
        <f>IF($A201=Recto!$I$42,VLOOKUP($A201,Recto!$I$28:$L$44,4,FALSE),0)</f>
        <v>0</v>
      </c>
      <c r="Q201" s="91">
        <f>IF($A201=Recto!$I$43,VLOOKUP($A201,Recto!$I$28:$L$44,4,FALSE),0)</f>
        <v>0</v>
      </c>
      <c r="R201" s="91">
        <f>IF($A201=Recto!$I$44,VLOOKUP($A201,Recto!$I$28:$L$44,4,FALSE),0)</f>
        <v>0</v>
      </c>
      <c r="S201" s="295">
        <f t="shared" si="5"/>
        <v>0</v>
      </c>
    </row>
    <row r="202" spans="1:19" x14ac:dyDescent="0.25">
      <c r="A202" s="500" t="s">
        <v>1352</v>
      </c>
      <c r="B202" s="91">
        <f>IF($A202=Recto!$I$28,VLOOKUP($A202,Recto!$I$28:$L$44,4,FALSE),0)</f>
        <v>0</v>
      </c>
      <c r="C202" s="91">
        <f>IF($A202=Recto!$I$29,VLOOKUP($A202,Recto!$I$28:$L$44,4,FALSE),0)</f>
        <v>0</v>
      </c>
      <c r="D202" s="91">
        <f>IF($A202=Recto!$I$30,VLOOKUP($A202,Recto!$I$28:$L$44,4,FALSE),0)</f>
        <v>0</v>
      </c>
      <c r="E202" s="91">
        <f>IF($A202=Recto!$I$31,VLOOKUP($A202,Recto!$I$28:$L$44,4,FALSE),0)</f>
        <v>0</v>
      </c>
      <c r="F202" s="91">
        <f>IF($A202=Recto!$I$32,VLOOKUP($A202,Recto!$I$28:$L$44,4,FALSE),0)</f>
        <v>0</v>
      </c>
      <c r="G202" s="91">
        <f>IF($A202=Recto!$I$33,VLOOKUP($A202,Recto!$I$28:$L$44,4,FALSE),0)</f>
        <v>0</v>
      </c>
      <c r="H202" s="91">
        <f>IF($A202=Recto!$I$34,VLOOKUP($A202,Recto!$I$28:$L$44,4,FALSE),0)</f>
        <v>0</v>
      </c>
      <c r="I202" s="91">
        <f>IF($A202=Recto!$I$35,VLOOKUP($A202,Recto!$I$28:$L$44,4,FALSE),0)</f>
        <v>0</v>
      </c>
      <c r="J202" s="91">
        <f>IF($A202=Recto!$I$36,VLOOKUP($A202,Recto!$I$28:$L$44,4,FALSE),0)</f>
        <v>0</v>
      </c>
      <c r="K202" s="91">
        <f>IF($A202=Recto!$I$37,VLOOKUP($A202,Recto!$I$28:$L$44,4,FALSE),0)</f>
        <v>0</v>
      </c>
      <c r="L202" s="91">
        <f>IF($A202=Recto!$I$38,VLOOKUP($A202,Recto!$I$28:$L$44,4,FALSE),0)</f>
        <v>0</v>
      </c>
      <c r="M202" s="91">
        <f>IF($A202=Recto!$I$39,VLOOKUP($A202,Recto!$I$28:$L$44,4,FALSE),0)</f>
        <v>0</v>
      </c>
      <c r="N202" s="91">
        <f>IF($A202=Recto!$I$40,VLOOKUP($A202,Recto!$I$28:$L$44,4,FALSE),0)</f>
        <v>0</v>
      </c>
      <c r="O202" s="91">
        <f>IF($A202=Recto!$I$41,VLOOKUP($A202,Recto!$I$28:$L$44,4,FALSE),0)</f>
        <v>0</v>
      </c>
      <c r="P202" s="91">
        <f>IF($A202=Recto!$I$42,VLOOKUP($A202,Recto!$I$28:$L$44,4,FALSE),0)</f>
        <v>0</v>
      </c>
      <c r="Q202" s="91">
        <f>IF($A202=Recto!$I$43,VLOOKUP($A202,Recto!$I$28:$L$44,4,FALSE),0)</f>
        <v>0</v>
      </c>
      <c r="R202" s="91">
        <f>IF($A202=Recto!$I$44,VLOOKUP($A202,Recto!$I$28:$L$44,4,FALSE),0)</f>
        <v>0</v>
      </c>
      <c r="S202" s="295">
        <f t="shared" si="5"/>
        <v>0</v>
      </c>
    </row>
    <row r="203" spans="1:19" x14ac:dyDescent="0.25">
      <c r="A203" s="500" t="s">
        <v>4928</v>
      </c>
      <c r="B203" s="91">
        <f>IF($A203=Recto!$I$28,VLOOKUP($A203,Recto!$I$28:$L$44,4,FALSE),0)</f>
        <v>0</v>
      </c>
      <c r="C203" s="91">
        <f>IF($A203=Recto!$I$29,VLOOKUP($A203,Recto!$I$28:$L$44,4,FALSE),0)</f>
        <v>0</v>
      </c>
      <c r="D203" s="91">
        <f>IF($A203=Recto!$I$30,VLOOKUP($A203,Recto!$I$28:$L$44,4,FALSE),0)</f>
        <v>0</v>
      </c>
      <c r="E203" s="91">
        <f>IF($A203=Recto!$I$31,VLOOKUP($A203,Recto!$I$28:$L$44,4,FALSE),0)</f>
        <v>0</v>
      </c>
      <c r="F203" s="91">
        <f>IF($A203=Recto!$I$32,VLOOKUP($A203,Recto!$I$28:$L$44,4,FALSE),0)</f>
        <v>0</v>
      </c>
      <c r="G203" s="91">
        <f>IF($A203=Recto!$I$33,VLOOKUP($A203,Recto!$I$28:$L$44,4,FALSE),0)</f>
        <v>0</v>
      </c>
      <c r="H203" s="91">
        <f>IF($A203=Recto!$I$34,VLOOKUP($A203,Recto!$I$28:$L$44,4,FALSE),0)</f>
        <v>0</v>
      </c>
      <c r="I203" s="91">
        <f>IF($A203=Recto!$I$35,VLOOKUP($A203,Recto!$I$28:$L$44,4,FALSE),0)</f>
        <v>0</v>
      </c>
      <c r="J203" s="91">
        <f>IF($A203=Recto!$I$36,VLOOKUP($A203,Recto!$I$28:$L$44,4,FALSE),0)</f>
        <v>0</v>
      </c>
      <c r="K203" s="91">
        <f>IF($A203=Recto!$I$37,VLOOKUP($A203,Recto!$I$28:$L$44,4,FALSE),0)</f>
        <v>0</v>
      </c>
      <c r="L203" s="91">
        <f>IF($A203=Recto!$I$38,VLOOKUP($A203,Recto!$I$28:$L$44,4,FALSE),0)</f>
        <v>0</v>
      </c>
      <c r="M203" s="91">
        <f>IF($A203=Recto!$I$39,VLOOKUP($A203,Recto!$I$28:$L$44,4,FALSE),0)</f>
        <v>0</v>
      </c>
      <c r="N203" s="91">
        <f>IF($A203=Recto!$I$40,VLOOKUP($A203,Recto!$I$28:$L$44,4,FALSE),0)</f>
        <v>0</v>
      </c>
      <c r="O203" s="91">
        <f>IF($A203=Recto!$I$41,VLOOKUP($A203,Recto!$I$28:$L$44,4,FALSE),0)</f>
        <v>0</v>
      </c>
      <c r="P203" s="91">
        <f>IF($A203=Recto!$I$42,VLOOKUP($A203,Recto!$I$28:$L$44,4,FALSE),0)</f>
        <v>0</v>
      </c>
      <c r="Q203" s="91">
        <f>IF($A203=Recto!$I$43,VLOOKUP($A203,Recto!$I$28:$L$44,4,FALSE),0)</f>
        <v>0</v>
      </c>
      <c r="R203" s="91">
        <f>IF($A203=Recto!$I$44,VLOOKUP($A203,Recto!$I$28:$L$44,4,FALSE),0)</f>
        <v>0</v>
      </c>
      <c r="S203" s="295">
        <f t="shared" si="5"/>
        <v>0</v>
      </c>
    </row>
    <row r="204" spans="1:19" x14ac:dyDescent="0.25">
      <c r="A204" s="500" t="s">
        <v>1304</v>
      </c>
      <c r="B204" s="91">
        <f>IF($A204=Recto!$I$28,VLOOKUP($A204,Recto!$I$28:$L$44,4,FALSE),0)</f>
        <v>0</v>
      </c>
      <c r="C204" s="91">
        <f>IF($A204=Recto!$I$29,VLOOKUP($A204,Recto!$I$28:$L$44,4,FALSE),0)</f>
        <v>0</v>
      </c>
      <c r="D204" s="91">
        <f>IF($A204=Recto!$I$30,VLOOKUP($A204,Recto!$I$28:$L$44,4,FALSE),0)</f>
        <v>0</v>
      </c>
      <c r="E204" s="91">
        <f>IF($A204=Recto!$I$31,VLOOKUP($A204,Recto!$I$28:$L$44,4,FALSE),0)</f>
        <v>0</v>
      </c>
      <c r="F204" s="91">
        <f>IF($A204=Recto!$I$32,VLOOKUP($A204,Recto!$I$28:$L$44,4,FALSE),0)</f>
        <v>0</v>
      </c>
      <c r="G204" s="91">
        <f>IF($A204=Recto!$I$33,VLOOKUP($A204,Recto!$I$28:$L$44,4,FALSE),0)</f>
        <v>0</v>
      </c>
      <c r="H204" s="91">
        <f>IF($A204=Recto!$I$34,VLOOKUP($A204,Recto!$I$28:$L$44,4,FALSE),0)</f>
        <v>0</v>
      </c>
      <c r="I204" s="91">
        <f>IF($A204=Recto!$I$35,VLOOKUP($A204,Recto!$I$28:$L$44,4,FALSE),0)</f>
        <v>0</v>
      </c>
      <c r="J204" s="91">
        <f>IF($A204=Recto!$I$36,VLOOKUP($A204,Recto!$I$28:$L$44,4,FALSE),0)</f>
        <v>0</v>
      </c>
      <c r="K204" s="91">
        <f>IF($A204=Recto!$I$37,VLOOKUP($A204,Recto!$I$28:$L$44,4,FALSE),0)</f>
        <v>0</v>
      </c>
      <c r="L204" s="91">
        <f>IF($A204=Recto!$I$38,VLOOKUP($A204,Recto!$I$28:$L$44,4,FALSE),0)</f>
        <v>0</v>
      </c>
      <c r="M204" s="91">
        <f>IF($A204=Recto!$I$39,VLOOKUP($A204,Recto!$I$28:$L$44,4,FALSE),0)</f>
        <v>0</v>
      </c>
      <c r="N204" s="91">
        <f>IF($A204=Recto!$I$40,VLOOKUP($A204,Recto!$I$28:$L$44,4,FALSE),0)</f>
        <v>0</v>
      </c>
      <c r="O204" s="91">
        <f>IF($A204=Recto!$I$41,VLOOKUP($A204,Recto!$I$28:$L$44,4,FALSE),0)</f>
        <v>0</v>
      </c>
      <c r="P204" s="91">
        <f>IF($A204=Recto!$I$42,VLOOKUP($A204,Recto!$I$28:$L$44,4,FALSE),0)</f>
        <v>0</v>
      </c>
      <c r="Q204" s="91">
        <f>IF($A204=Recto!$I$43,VLOOKUP($A204,Recto!$I$28:$L$44,4,FALSE),0)</f>
        <v>0</v>
      </c>
      <c r="R204" s="91">
        <f>IF($A204=Recto!$I$44,VLOOKUP($A204,Recto!$I$28:$L$44,4,FALSE),0)</f>
        <v>0</v>
      </c>
      <c r="S204" s="295">
        <f t="shared" si="5"/>
        <v>0</v>
      </c>
    </row>
    <row r="205" spans="1:19" x14ac:dyDescent="0.25">
      <c r="A205" s="500" t="s">
        <v>1305</v>
      </c>
      <c r="B205" s="91">
        <f>IF($A205=Recto!$I$28,VLOOKUP($A205,Recto!$I$28:$L$44,4,FALSE),0)</f>
        <v>0</v>
      </c>
      <c r="C205" s="91">
        <f>IF($A205=Recto!$I$29,VLOOKUP($A205,Recto!$I$28:$L$44,4,FALSE),0)</f>
        <v>0</v>
      </c>
      <c r="D205" s="91">
        <f>IF($A205=Recto!$I$30,VLOOKUP($A205,Recto!$I$28:$L$44,4,FALSE),0)</f>
        <v>0</v>
      </c>
      <c r="E205" s="91">
        <f>IF($A205=Recto!$I$31,VLOOKUP($A205,Recto!$I$28:$L$44,4,FALSE),0)</f>
        <v>0</v>
      </c>
      <c r="F205" s="91">
        <f>IF($A205=Recto!$I$32,VLOOKUP($A205,Recto!$I$28:$L$44,4,FALSE),0)</f>
        <v>0</v>
      </c>
      <c r="G205" s="91">
        <f>IF($A205=Recto!$I$33,VLOOKUP($A205,Recto!$I$28:$L$44,4,FALSE),0)</f>
        <v>0</v>
      </c>
      <c r="H205" s="91">
        <f>IF($A205=Recto!$I$34,VLOOKUP($A205,Recto!$I$28:$L$44,4,FALSE),0)</f>
        <v>0</v>
      </c>
      <c r="I205" s="91">
        <f>IF($A205=Recto!$I$35,VLOOKUP($A205,Recto!$I$28:$L$44,4,FALSE),0)</f>
        <v>0</v>
      </c>
      <c r="J205" s="91">
        <f>IF($A205=Recto!$I$36,VLOOKUP($A205,Recto!$I$28:$L$44,4,FALSE),0)</f>
        <v>0</v>
      </c>
      <c r="K205" s="91">
        <f>IF($A205=Recto!$I$37,VLOOKUP($A205,Recto!$I$28:$L$44,4,FALSE),0)</f>
        <v>0</v>
      </c>
      <c r="L205" s="91">
        <f>IF($A205=Recto!$I$38,VLOOKUP($A205,Recto!$I$28:$L$44,4,FALSE),0)</f>
        <v>0</v>
      </c>
      <c r="M205" s="91">
        <f>IF($A205=Recto!$I$39,VLOOKUP($A205,Recto!$I$28:$L$44,4,FALSE),0)</f>
        <v>0</v>
      </c>
      <c r="N205" s="91">
        <f>IF($A205=Recto!$I$40,VLOOKUP($A205,Recto!$I$28:$L$44,4,FALSE),0)</f>
        <v>0</v>
      </c>
      <c r="O205" s="91">
        <f>IF($A205=Recto!$I$41,VLOOKUP($A205,Recto!$I$28:$L$44,4,FALSE),0)</f>
        <v>0</v>
      </c>
      <c r="P205" s="91">
        <f>IF($A205=Recto!$I$42,VLOOKUP($A205,Recto!$I$28:$L$44,4,FALSE),0)</f>
        <v>0</v>
      </c>
      <c r="Q205" s="91">
        <f>IF($A205=Recto!$I$43,VLOOKUP($A205,Recto!$I$28:$L$44,4,FALSE),0)</f>
        <v>0</v>
      </c>
      <c r="R205" s="91">
        <f>IF($A205=Recto!$I$44,VLOOKUP($A205,Recto!$I$28:$L$44,4,FALSE),0)</f>
        <v>0</v>
      </c>
      <c r="S205" s="295">
        <f t="shared" si="5"/>
        <v>0</v>
      </c>
    </row>
    <row r="206" spans="1:19" x14ac:dyDescent="0.25">
      <c r="A206" s="500" t="s">
        <v>3069</v>
      </c>
      <c r="B206" s="91">
        <f>IF($A206=Recto!$I$28,VLOOKUP($A206,Recto!$I$28:$L$44,4,FALSE),0)</f>
        <v>0</v>
      </c>
      <c r="C206" s="91">
        <f>IF($A206=Recto!$I$29,VLOOKUP($A206,Recto!$I$28:$L$44,4,FALSE),0)</f>
        <v>0</v>
      </c>
      <c r="D206" s="91">
        <f>IF($A206=Recto!$I$30,VLOOKUP($A206,Recto!$I$28:$L$44,4,FALSE),0)</f>
        <v>0</v>
      </c>
      <c r="E206" s="91">
        <f>IF($A206=Recto!$I$31,VLOOKUP($A206,Recto!$I$28:$L$44,4,FALSE),0)</f>
        <v>0</v>
      </c>
      <c r="F206" s="91">
        <f>IF($A206=Recto!$I$32,VLOOKUP($A206,Recto!$I$28:$L$44,4,FALSE),0)</f>
        <v>0</v>
      </c>
      <c r="G206" s="91">
        <f>IF($A206=Recto!$I$33,VLOOKUP($A206,Recto!$I$28:$L$44,4,FALSE),0)</f>
        <v>0</v>
      </c>
      <c r="H206" s="91">
        <f>IF($A206=Recto!$I$34,VLOOKUP($A206,Recto!$I$28:$L$44,4,FALSE),0)</f>
        <v>0</v>
      </c>
      <c r="I206" s="91">
        <f>IF($A206=Recto!$I$35,VLOOKUP($A206,Recto!$I$28:$L$44,4,FALSE),0)</f>
        <v>0</v>
      </c>
      <c r="J206" s="91">
        <f>IF($A206=Recto!$I$36,VLOOKUP($A206,Recto!$I$28:$L$44,4,FALSE),0)</f>
        <v>0</v>
      </c>
      <c r="K206" s="91">
        <f>IF($A206=Recto!$I$37,VLOOKUP($A206,Recto!$I$28:$L$44,4,FALSE),0)</f>
        <v>0</v>
      </c>
      <c r="L206" s="91">
        <f>IF($A206=Recto!$I$38,VLOOKUP($A206,Recto!$I$28:$L$44,4,FALSE),0)</f>
        <v>0</v>
      </c>
      <c r="M206" s="91">
        <f>IF($A206=Recto!$I$39,VLOOKUP($A206,Recto!$I$28:$L$44,4,FALSE),0)</f>
        <v>0</v>
      </c>
      <c r="N206" s="91">
        <f>IF($A206=Recto!$I$40,VLOOKUP($A206,Recto!$I$28:$L$44,4,FALSE),0)</f>
        <v>0</v>
      </c>
      <c r="O206" s="91">
        <f>IF($A206=Recto!$I$41,VLOOKUP($A206,Recto!$I$28:$L$44,4,FALSE),0)</f>
        <v>0</v>
      </c>
      <c r="P206" s="91">
        <f>IF($A206=Recto!$I$42,VLOOKUP($A206,Recto!$I$28:$L$44,4,FALSE),0)</f>
        <v>0</v>
      </c>
      <c r="Q206" s="91">
        <f>IF($A206=Recto!$I$43,VLOOKUP($A206,Recto!$I$28:$L$44,4,FALSE),0)</f>
        <v>0</v>
      </c>
      <c r="R206" s="91">
        <f>IF($A206=Recto!$I$44,VLOOKUP($A206,Recto!$I$28:$L$44,4,FALSE),0)</f>
        <v>0</v>
      </c>
      <c r="S206" s="295">
        <f t="shared" si="5"/>
        <v>0</v>
      </c>
    </row>
    <row r="207" spans="1:19" x14ac:dyDescent="0.25">
      <c r="A207" s="500" t="s">
        <v>4652</v>
      </c>
      <c r="B207" s="91">
        <f>IF($A207=Recto!$I$28,VLOOKUP($A207,Recto!$I$28:$L$44,4,FALSE),0)</f>
        <v>0</v>
      </c>
      <c r="C207" s="91">
        <f>IF($A207=Recto!$I$29,VLOOKUP($A207,Recto!$I$28:$L$44,4,FALSE),0)</f>
        <v>0</v>
      </c>
      <c r="D207" s="91">
        <f>IF($A207=Recto!$I$30,VLOOKUP($A207,Recto!$I$28:$L$44,4,FALSE),0)</f>
        <v>0</v>
      </c>
      <c r="E207" s="91">
        <f>IF($A207=Recto!$I$31,VLOOKUP($A207,Recto!$I$28:$L$44,4,FALSE),0)</f>
        <v>0</v>
      </c>
      <c r="F207" s="91">
        <f>IF($A207=Recto!$I$32,VLOOKUP($A207,Recto!$I$28:$L$44,4,FALSE),0)</f>
        <v>0</v>
      </c>
      <c r="G207" s="91">
        <f>IF($A207=Recto!$I$33,VLOOKUP($A207,Recto!$I$28:$L$44,4,FALSE),0)</f>
        <v>0</v>
      </c>
      <c r="H207" s="91">
        <f>IF($A207=Recto!$I$34,VLOOKUP($A207,Recto!$I$28:$L$44,4,FALSE),0)</f>
        <v>0</v>
      </c>
      <c r="I207" s="91">
        <f>IF($A207=Recto!$I$35,VLOOKUP($A207,Recto!$I$28:$L$44,4,FALSE),0)</f>
        <v>0</v>
      </c>
      <c r="J207" s="91">
        <f>IF($A207=Recto!$I$36,VLOOKUP($A207,Recto!$I$28:$L$44,4,FALSE),0)</f>
        <v>0</v>
      </c>
      <c r="K207" s="91">
        <f>IF($A207=Recto!$I$37,VLOOKUP($A207,Recto!$I$28:$L$44,4,FALSE),0)</f>
        <v>0</v>
      </c>
      <c r="L207" s="91">
        <f>IF($A207=Recto!$I$38,VLOOKUP($A207,Recto!$I$28:$L$44,4,FALSE),0)</f>
        <v>0</v>
      </c>
      <c r="M207" s="91">
        <f>IF($A207=Recto!$I$39,VLOOKUP($A207,Recto!$I$28:$L$44,4,FALSE),0)</f>
        <v>0</v>
      </c>
      <c r="N207" s="91">
        <f>IF($A207=Recto!$I$40,VLOOKUP($A207,Recto!$I$28:$L$44,4,FALSE),0)</f>
        <v>0</v>
      </c>
      <c r="O207" s="91">
        <f>IF($A207=Recto!$I$41,VLOOKUP($A207,Recto!$I$28:$L$44,4,FALSE),0)</f>
        <v>0</v>
      </c>
      <c r="P207" s="91">
        <f>IF($A207=Recto!$I$42,VLOOKUP($A207,Recto!$I$28:$L$44,4,FALSE),0)</f>
        <v>0</v>
      </c>
      <c r="Q207" s="91">
        <f>IF($A207=Recto!$I$43,VLOOKUP($A207,Recto!$I$28:$L$44,4,FALSE),0)</f>
        <v>0</v>
      </c>
      <c r="R207" s="91">
        <f>IF($A207=Recto!$I$44,VLOOKUP($A207,Recto!$I$28:$L$44,4,FALSE),0)</f>
        <v>0</v>
      </c>
      <c r="S207" s="295">
        <f t="shared" si="5"/>
        <v>0</v>
      </c>
    </row>
    <row r="208" spans="1:19" x14ac:dyDescent="0.25">
      <c r="A208" s="500" t="s">
        <v>3053</v>
      </c>
      <c r="B208" s="91">
        <f>IF($A208=Recto!$I$28,VLOOKUP($A208,Recto!$I$28:$L$44,4,FALSE),0)</f>
        <v>0</v>
      </c>
      <c r="C208" s="91">
        <f>IF($A208=Recto!$I$29,VLOOKUP($A208,Recto!$I$28:$L$44,4,FALSE),0)</f>
        <v>0</v>
      </c>
      <c r="D208" s="91">
        <f>IF($A208=Recto!$I$30,VLOOKUP($A208,Recto!$I$28:$L$44,4,FALSE),0)</f>
        <v>0</v>
      </c>
      <c r="E208" s="91">
        <f>IF($A208=Recto!$I$31,VLOOKUP($A208,Recto!$I$28:$L$44,4,FALSE),0)</f>
        <v>0</v>
      </c>
      <c r="F208" s="91">
        <f>IF($A208=Recto!$I$32,VLOOKUP($A208,Recto!$I$28:$L$44,4,FALSE),0)</f>
        <v>0</v>
      </c>
      <c r="G208" s="91">
        <f>IF($A208=Recto!$I$33,VLOOKUP($A208,Recto!$I$28:$L$44,4,FALSE),0)</f>
        <v>0</v>
      </c>
      <c r="H208" s="91">
        <f>IF($A208=Recto!$I$34,VLOOKUP($A208,Recto!$I$28:$L$44,4,FALSE),0)</f>
        <v>0</v>
      </c>
      <c r="I208" s="91">
        <f>IF($A208=Recto!$I$35,VLOOKUP($A208,Recto!$I$28:$L$44,4,FALSE),0)</f>
        <v>0</v>
      </c>
      <c r="J208" s="91">
        <f>IF($A208=Recto!$I$36,VLOOKUP($A208,Recto!$I$28:$L$44,4,FALSE),0)</f>
        <v>0</v>
      </c>
      <c r="K208" s="91">
        <f>IF($A208=Recto!$I$37,VLOOKUP($A208,Recto!$I$28:$L$44,4,FALSE),0)</f>
        <v>0</v>
      </c>
      <c r="L208" s="91">
        <f>IF($A208=Recto!$I$38,VLOOKUP($A208,Recto!$I$28:$L$44,4,FALSE),0)</f>
        <v>0</v>
      </c>
      <c r="M208" s="91">
        <f>IF($A208=Recto!$I$39,VLOOKUP($A208,Recto!$I$28:$L$44,4,FALSE),0)</f>
        <v>0</v>
      </c>
      <c r="N208" s="91">
        <f>IF($A208=Recto!$I$40,VLOOKUP($A208,Recto!$I$28:$L$44,4,FALSE),0)</f>
        <v>0</v>
      </c>
      <c r="O208" s="91">
        <f>IF($A208=Recto!$I$41,VLOOKUP($A208,Recto!$I$28:$L$44,4,FALSE),0)</f>
        <v>0</v>
      </c>
      <c r="P208" s="91">
        <f>IF($A208=Recto!$I$42,VLOOKUP($A208,Recto!$I$28:$L$44,4,FALSE),0)</f>
        <v>0</v>
      </c>
      <c r="Q208" s="91">
        <f>IF($A208=Recto!$I$43,VLOOKUP($A208,Recto!$I$28:$L$44,4,FALSE),0)</f>
        <v>0</v>
      </c>
      <c r="R208" s="91">
        <f>IF($A208=Recto!$I$44,VLOOKUP($A208,Recto!$I$28:$L$44,4,FALSE),0)</f>
        <v>0</v>
      </c>
      <c r="S208" s="295">
        <f t="shared" si="5"/>
        <v>0</v>
      </c>
    </row>
    <row r="209" spans="1:20" x14ac:dyDescent="0.25">
      <c r="A209" s="500" t="s">
        <v>1385</v>
      </c>
      <c r="B209" s="91">
        <f>IF($A209=Recto!$I$28,VLOOKUP($A209,Recto!$I$28:$L$44,4,FALSE),0)</f>
        <v>0</v>
      </c>
      <c r="C209" s="91">
        <f>IF($A209=Recto!$I$29,VLOOKUP($A209,Recto!$I$28:$L$44,4,FALSE),0)</f>
        <v>0</v>
      </c>
      <c r="D209" s="91">
        <f>IF($A209=Recto!$I$30,VLOOKUP($A209,Recto!$I$28:$L$44,4,FALSE),0)</f>
        <v>0</v>
      </c>
      <c r="E209" s="91">
        <f>IF($A209=Recto!$I$31,VLOOKUP($A209,Recto!$I$28:$L$44,4,FALSE),0)</f>
        <v>0</v>
      </c>
      <c r="F209" s="91">
        <f>IF($A209=Recto!$I$32,VLOOKUP($A209,Recto!$I$28:$L$44,4,FALSE),0)</f>
        <v>0</v>
      </c>
      <c r="G209" s="91">
        <f>IF($A209=Recto!$I$33,VLOOKUP($A209,Recto!$I$28:$L$44,4,FALSE),0)</f>
        <v>0</v>
      </c>
      <c r="H209" s="91">
        <f>IF($A209=Recto!$I$34,VLOOKUP($A209,Recto!$I$28:$L$44,4,FALSE),0)</f>
        <v>0</v>
      </c>
      <c r="I209" s="91">
        <f>IF($A209=Recto!$I$35,VLOOKUP($A209,Recto!$I$28:$L$44,4,FALSE),0)</f>
        <v>0</v>
      </c>
      <c r="J209" s="91">
        <f>IF($A209=Recto!$I$36,VLOOKUP($A209,Recto!$I$28:$L$44,4,FALSE),0)</f>
        <v>0</v>
      </c>
      <c r="K209" s="91">
        <f>IF($A209=Recto!$I$37,VLOOKUP($A209,Recto!$I$28:$L$44,4,FALSE),0)</f>
        <v>0</v>
      </c>
      <c r="L209" s="91">
        <f>IF($A209=Recto!$I$38,VLOOKUP($A209,Recto!$I$28:$L$44,4,FALSE),0)</f>
        <v>0</v>
      </c>
      <c r="M209" s="91">
        <f>IF($A209=Recto!$I$39,VLOOKUP($A209,Recto!$I$28:$L$44,4,FALSE),0)</f>
        <v>0</v>
      </c>
      <c r="N209" s="91">
        <f>IF($A209=Recto!$I$40,VLOOKUP($A209,Recto!$I$28:$L$44,4,FALSE),0)</f>
        <v>0</v>
      </c>
      <c r="O209" s="91">
        <f>IF($A209=Recto!$I$41,VLOOKUP($A209,Recto!$I$28:$L$44,4,FALSE),0)</f>
        <v>0</v>
      </c>
      <c r="P209" s="91">
        <f>IF($A209=Recto!$I$42,VLOOKUP($A209,Recto!$I$28:$L$44,4,FALSE),0)</f>
        <v>0</v>
      </c>
      <c r="Q209" s="91">
        <f>IF($A209=Recto!$I$43,VLOOKUP($A209,Recto!$I$28:$L$44,4,FALSE),0)</f>
        <v>0</v>
      </c>
      <c r="R209" s="91">
        <f>IF($A209=Recto!$I$44,VLOOKUP($A209,Recto!$I$28:$L$44,4,FALSE),0)</f>
        <v>0</v>
      </c>
      <c r="S209" s="295">
        <f t="shared" si="5"/>
        <v>0</v>
      </c>
    </row>
    <row r="210" spans="1:20" s="196" customFormat="1" x14ac:dyDescent="0.25">
      <c r="A210" s="500" t="s">
        <v>7782</v>
      </c>
      <c r="B210" s="91">
        <f>IF($A210=Recto!$I$28,VLOOKUP($A210,Recto!$I$28:$L$44,4,FALSE),0)</f>
        <v>0</v>
      </c>
      <c r="C210" s="91">
        <f>IF($A210=Recto!$I$29,VLOOKUP($A210,Recto!$I$28:$L$44,4,FALSE),0)</f>
        <v>0</v>
      </c>
      <c r="D210" s="91">
        <f>IF($A210=Recto!$I$30,VLOOKUP($A210,Recto!$I$28:$L$44,4,FALSE),0)</f>
        <v>0</v>
      </c>
      <c r="E210" s="91">
        <f>IF($A210=Recto!$I$31,VLOOKUP($A210,Recto!$I$28:$L$44,4,FALSE),0)</f>
        <v>0</v>
      </c>
      <c r="F210" s="91">
        <f>IF($A210=Recto!$I$32,VLOOKUP($A210,Recto!$I$28:$L$44,4,FALSE),0)</f>
        <v>0</v>
      </c>
      <c r="G210" s="91">
        <f>IF($A210=Recto!$I$33,VLOOKUP($A210,Recto!$I$28:$L$44,4,FALSE),0)</f>
        <v>0</v>
      </c>
      <c r="H210" s="91">
        <f>IF($A210=Recto!$I$34,VLOOKUP($A210,Recto!$I$28:$L$44,4,FALSE),0)</f>
        <v>0</v>
      </c>
      <c r="I210" s="91">
        <f>IF($A210=Recto!$I$35,VLOOKUP($A210,Recto!$I$28:$L$44,4,FALSE),0)</f>
        <v>0</v>
      </c>
      <c r="J210" s="91">
        <f>IF($A210=Recto!$I$36,VLOOKUP($A210,Recto!$I$28:$L$44,4,FALSE),0)</f>
        <v>0</v>
      </c>
      <c r="K210" s="91">
        <f>IF($A210=Recto!$I$37,VLOOKUP($A210,Recto!$I$28:$L$44,4,FALSE),0)</f>
        <v>0</v>
      </c>
      <c r="L210" s="91">
        <f>IF($A210=Recto!$I$38,VLOOKUP($A210,Recto!$I$28:$L$44,4,FALSE),0)</f>
        <v>0</v>
      </c>
      <c r="M210" s="91">
        <f>IF($A210=Recto!$I$39,VLOOKUP($A210,Recto!$I$28:$L$44,4,FALSE),0)</f>
        <v>0</v>
      </c>
      <c r="N210" s="91">
        <f>IF($A210=Recto!$I$40,VLOOKUP($A210,Recto!$I$28:$L$44,4,FALSE),0)</f>
        <v>0</v>
      </c>
      <c r="O210" s="91">
        <f>IF($A210=Recto!$I$41,VLOOKUP($A210,Recto!$I$28:$L$44,4,FALSE),0)</f>
        <v>0</v>
      </c>
      <c r="P210" s="91">
        <f>IF($A210=Recto!$I$42,VLOOKUP($A210,Recto!$I$28:$L$44,4,FALSE),0)</f>
        <v>0</v>
      </c>
      <c r="Q210" s="91">
        <f>IF($A210=Recto!$I$43,VLOOKUP($A210,Recto!$I$28:$L$44,4,FALSE),0)</f>
        <v>0</v>
      </c>
      <c r="R210" s="91">
        <f>IF($A210=Recto!$I$44,VLOOKUP($A210,Recto!$I$28:$L$44,4,FALSE),0)</f>
        <v>0</v>
      </c>
      <c r="S210" s="295">
        <f t="shared" si="5"/>
        <v>0</v>
      </c>
    </row>
    <row r="211" spans="1:20" s="196" customFormat="1" x14ac:dyDescent="0.25">
      <c r="A211" s="500" t="s">
        <v>7704</v>
      </c>
      <c r="B211" s="91">
        <f>IF($A211=Recto!$I$28,VLOOKUP($A211,Recto!$I$28:$L$44,4,FALSE),0)</f>
        <v>0</v>
      </c>
      <c r="C211" s="91">
        <f>IF($A211=Recto!$I$29,VLOOKUP($A211,Recto!$I$28:$L$44,4,FALSE),0)</f>
        <v>0</v>
      </c>
      <c r="D211" s="91">
        <f>IF($A211=Recto!$I$30,VLOOKUP($A211,Recto!$I$28:$L$44,4,FALSE),0)</f>
        <v>0</v>
      </c>
      <c r="E211" s="91">
        <f>IF($A211=Recto!$I$31,VLOOKUP($A211,Recto!$I$28:$L$44,4,FALSE),0)</f>
        <v>0</v>
      </c>
      <c r="F211" s="91">
        <f>IF($A211=Recto!$I$32,VLOOKUP($A211,Recto!$I$28:$L$44,4,FALSE),0)</f>
        <v>0</v>
      </c>
      <c r="G211" s="91">
        <f>IF($A211=Recto!$I$33,VLOOKUP($A211,Recto!$I$28:$L$44,4,FALSE),0)</f>
        <v>0</v>
      </c>
      <c r="H211" s="91">
        <f>IF($A211=Recto!$I$34,VLOOKUP($A211,Recto!$I$28:$L$44,4,FALSE),0)</f>
        <v>0</v>
      </c>
      <c r="I211" s="91">
        <f>IF($A211=Recto!$I$35,VLOOKUP($A211,Recto!$I$28:$L$44,4,FALSE),0)</f>
        <v>0</v>
      </c>
      <c r="J211" s="91">
        <f>IF($A211=Recto!$I$36,VLOOKUP($A211,Recto!$I$28:$L$44,4,FALSE),0)</f>
        <v>0</v>
      </c>
      <c r="K211" s="91">
        <f>IF($A211=Recto!$I$37,VLOOKUP($A211,Recto!$I$28:$L$44,4,FALSE),0)</f>
        <v>0</v>
      </c>
      <c r="L211" s="91">
        <f>IF($A211=Recto!$I$38,VLOOKUP($A211,Recto!$I$28:$L$44,4,FALSE),0)</f>
        <v>0</v>
      </c>
      <c r="M211" s="91">
        <f>IF($A211=Recto!$I$39,VLOOKUP($A211,Recto!$I$28:$L$44,4,FALSE),0)</f>
        <v>0</v>
      </c>
      <c r="N211" s="91">
        <f>IF($A211=Recto!$I$40,VLOOKUP($A211,Recto!$I$28:$L$44,4,FALSE),0)</f>
        <v>0</v>
      </c>
      <c r="O211" s="91">
        <f>IF($A211=Recto!$I$41,VLOOKUP($A211,Recto!$I$28:$L$44,4,FALSE),0)</f>
        <v>0</v>
      </c>
      <c r="P211" s="91">
        <f>IF($A211=Recto!$I$42,VLOOKUP($A211,Recto!$I$28:$L$44,4,FALSE),0)</f>
        <v>0</v>
      </c>
      <c r="Q211" s="91">
        <f>IF($A211=Recto!$I$43,VLOOKUP($A211,Recto!$I$28:$L$44,4,FALSE),0)</f>
        <v>0</v>
      </c>
      <c r="R211" s="91">
        <f>IF($A211=Recto!$I$44,VLOOKUP($A211,Recto!$I$28:$L$44,4,FALSE),0)</f>
        <v>0</v>
      </c>
      <c r="S211" s="295">
        <f t="shared" si="5"/>
        <v>0</v>
      </c>
    </row>
    <row r="212" spans="1:20" x14ac:dyDescent="0.25">
      <c r="A212" s="500" t="s">
        <v>335</v>
      </c>
      <c r="B212" s="91">
        <f>IF($A212=Recto!$I$28,VLOOKUP($A212,Recto!$I$28:$L$44,4,FALSE),0)</f>
        <v>0</v>
      </c>
      <c r="C212" s="91">
        <f>IF($A212=Recto!$I$29,VLOOKUP($A212,Recto!$I$28:$L$44,4,FALSE),0)</f>
        <v>0</v>
      </c>
      <c r="D212" s="91">
        <f>IF($A212=Recto!$I$30,VLOOKUP($A212,Recto!$I$28:$L$44,4,FALSE),0)</f>
        <v>0</v>
      </c>
      <c r="E212" s="91">
        <f>IF($A212=Recto!$I$31,VLOOKUP($A212,Recto!$I$28:$L$44,4,FALSE),0)</f>
        <v>0</v>
      </c>
      <c r="F212" s="91">
        <f>IF($A212=Recto!$I$32,VLOOKUP($A212,Recto!$I$28:$L$44,4,FALSE),0)</f>
        <v>0</v>
      </c>
      <c r="G212" s="91">
        <f>IF($A212=Recto!$I$33,VLOOKUP($A212,Recto!$I$28:$L$44,4,FALSE),0)</f>
        <v>0</v>
      </c>
      <c r="H212" s="91">
        <f>IF($A212=Recto!$I$34,VLOOKUP($A212,Recto!$I$28:$L$44,4,FALSE),0)</f>
        <v>0</v>
      </c>
      <c r="I212" s="91">
        <f>IF($A212=Recto!$I$35,VLOOKUP($A212,Recto!$I$28:$L$44,4,FALSE),0)</f>
        <v>0</v>
      </c>
      <c r="J212" s="91">
        <f>IF($A212=Recto!$I$36,VLOOKUP($A212,Recto!$I$28:$L$44,4,FALSE),0)</f>
        <v>0</v>
      </c>
      <c r="K212" s="91">
        <f>IF($A212=Recto!$I$37,VLOOKUP($A212,Recto!$I$28:$L$44,4,FALSE),0)</f>
        <v>0</v>
      </c>
      <c r="L212" s="91">
        <f>IF($A212=Recto!$I$38,VLOOKUP($A212,Recto!$I$28:$L$44,4,FALSE),0)</f>
        <v>0</v>
      </c>
      <c r="M212" s="91">
        <f>IF($A212=Recto!$I$39,VLOOKUP($A212,Recto!$I$28:$L$44,4,FALSE),0)</f>
        <v>0</v>
      </c>
      <c r="N212" s="91">
        <f>IF($A212=Recto!$I$40,VLOOKUP($A212,Recto!$I$28:$L$44,4,FALSE),0)</f>
        <v>0</v>
      </c>
      <c r="O212" s="91">
        <f>IF($A212=Recto!$I$41,VLOOKUP($A212,Recto!$I$28:$L$44,4,FALSE),0)</f>
        <v>0</v>
      </c>
      <c r="P212" s="91">
        <f>IF($A212=Recto!$I$42,VLOOKUP($A212,Recto!$I$28:$L$44,4,FALSE),0)</f>
        <v>0</v>
      </c>
      <c r="Q212" s="91">
        <f>IF($A212=Recto!$I$43,VLOOKUP($A212,Recto!$I$28:$L$44,4,FALSE),0)</f>
        <v>0</v>
      </c>
      <c r="R212" s="91">
        <f>IF($A212=Recto!$I$44,VLOOKUP($A212,Recto!$I$28:$L$44,4,FALSE),0)</f>
        <v>0</v>
      </c>
      <c r="S212" s="295">
        <f t="shared" si="5"/>
        <v>0</v>
      </c>
    </row>
    <row r="213" spans="1:20" x14ac:dyDescent="0.25">
      <c r="A213" s="500" t="str">
        <f>IF(Contexte_jeu="L'Aube de l'Empire","Ki-Rin","Licorne")</f>
        <v>Licorne</v>
      </c>
      <c r="B213" s="91">
        <f>IF($A213=Recto!$I$28,VLOOKUP($A213,Recto!$I$28:$L$44,4,FALSE),0)</f>
        <v>0</v>
      </c>
      <c r="C213" s="91">
        <f>IF($A213=Recto!$I$29,VLOOKUP($A213,Recto!$I$28:$L$44,4,FALSE),0)</f>
        <v>0</v>
      </c>
      <c r="D213" s="91">
        <f>IF($A213=Recto!$I$30,VLOOKUP($A213,Recto!$I$28:$L$44,4,FALSE),0)</f>
        <v>0</v>
      </c>
      <c r="E213" s="91">
        <f>IF($A213=Recto!$I$31,VLOOKUP($A213,Recto!$I$28:$L$44,4,FALSE),0)</f>
        <v>0</v>
      </c>
      <c r="F213" s="91">
        <f>IF($A213=Recto!$I$32,VLOOKUP($A213,Recto!$I$28:$L$44,4,FALSE),0)</f>
        <v>0</v>
      </c>
      <c r="G213" s="91">
        <f>IF($A213=Recto!$I$33,VLOOKUP($A213,Recto!$I$28:$L$44,4,FALSE),0)</f>
        <v>0</v>
      </c>
      <c r="H213" s="91">
        <f>IF($A213=Recto!$I$34,VLOOKUP($A213,Recto!$I$28:$L$44,4,FALSE),0)</f>
        <v>0</v>
      </c>
      <c r="I213" s="91">
        <f>IF($A213=Recto!$I$35,VLOOKUP($A213,Recto!$I$28:$L$44,4,FALSE),0)</f>
        <v>0</v>
      </c>
      <c r="J213" s="91">
        <f>IF($A213=Recto!$I$36,VLOOKUP($A213,Recto!$I$28:$L$44,4,FALSE),0)</f>
        <v>0</v>
      </c>
      <c r="K213" s="91">
        <f>IF($A213=Recto!$I$37,VLOOKUP($A213,Recto!$I$28:$L$44,4,FALSE),0)</f>
        <v>0</v>
      </c>
      <c r="L213" s="91">
        <f>IF($A213=Recto!$I$38,VLOOKUP($A213,Recto!$I$28:$L$44,4,FALSE),0)</f>
        <v>0</v>
      </c>
      <c r="M213" s="91">
        <f>IF($A213=Recto!$I$39,VLOOKUP($A213,Recto!$I$28:$L$44,4,FALSE),0)</f>
        <v>0</v>
      </c>
      <c r="N213" s="91">
        <f>IF($A213=Recto!$I$40,VLOOKUP($A213,Recto!$I$28:$L$44,4,FALSE),0)</f>
        <v>0</v>
      </c>
      <c r="O213" s="91">
        <f>IF($A213=Recto!$I$41,VLOOKUP($A213,Recto!$I$28:$L$44,4,FALSE),0)</f>
        <v>0</v>
      </c>
      <c r="P213" s="91">
        <f>IF($A213=Recto!$I$42,VLOOKUP($A213,Recto!$I$28:$L$44,4,FALSE),0)</f>
        <v>0</v>
      </c>
      <c r="Q213" s="91">
        <f>IF($A213=Recto!$I$43,VLOOKUP($A213,Recto!$I$28:$L$44,4,FALSE),0)</f>
        <v>0</v>
      </c>
      <c r="R213" s="91">
        <f>IF($A213=Recto!$I$44,VLOOKUP($A213,Recto!$I$28:$L$44,4,FALSE),0)</f>
        <v>0</v>
      </c>
      <c r="S213" s="295">
        <f t="shared" si="5"/>
        <v>0</v>
      </c>
    </row>
    <row r="214" spans="1:20" x14ac:dyDescent="0.25">
      <c r="A214" s="500" t="s">
        <v>184</v>
      </c>
      <c r="B214" s="91">
        <f>IF($A214=Recto!$I$28,VLOOKUP($A214,Recto!$I$28:$L$44,4,FALSE),0)</f>
        <v>0</v>
      </c>
      <c r="C214" s="91">
        <f>IF($A214=Recto!$I$29,VLOOKUP($A214,Recto!$I$28:$L$44,4,FALSE),0)</f>
        <v>0</v>
      </c>
      <c r="D214" s="91">
        <f>IF($A214=Recto!$I$30,VLOOKUP($A214,Recto!$I$28:$L$44,4,FALSE),0)</f>
        <v>0</v>
      </c>
      <c r="E214" s="91">
        <f>IF($A214=Recto!$I$31,VLOOKUP($A214,Recto!$I$28:$L$44,4,FALSE),0)</f>
        <v>0</v>
      </c>
      <c r="F214" s="91">
        <f>IF($A214=Recto!$I$32,VLOOKUP($A214,Recto!$I$28:$L$44,4,FALSE),0)</f>
        <v>0</v>
      </c>
      <c r="G214" s="91">
        <f>IF($A214=Recto!$I$33,VLOOKUP($A214,Recto!$I$28:$L$44,4,FALSE),0)</f>
        <v>0</v>
      </c>
      <c r="H214" s="91">
        <f>IF($A214=Recto!$I$34,VLOOKUP($A214,Recto!$I$28:$L$44,4,FALSE),0)</f>
        <v>0</v>
      </c>
      <c r="I214" s="91">
        <f>IF($A214=Recto!$I$35,VLOOKUP($A214,Recto!$I$28:$L$44,4,FALSE),0)</f>
        <v>0</v>
      </c>
      <c r="J214" s="91">
        <f>IF($A214=Recto!$I$36,VLOOKUP($A214,Recto!$I$28:$L$44,4,FALSE),0)</f>
        <v>0</v>
      </c>
      <c r="K214" s="91">
        <f>IF($A214=Recto!$I$37,VLOOKUP($A214,Recto!$I$28:$L$44,4,FALSE),0)</f>
        <v>0</v>
      </c>
      <c r="L214" s="91">
        <f>IF($A214=Recto!$I$38,VLOOKUP($A214,Recto!$I$28:$L$44,4,FALSE),0)</f>
        <v>0</v>
      </c>
      <c r="M214" s="91">
        <f>IF($A214=Recto!$I$39,VLOOKUP($A214,Recto!$I$28:$L$44,4,FALSE),0)</f>
        <v>0</v>
      </c>
      <c r="N214" s="91">
        <f>IF($A214=Recto!$I$40,VLOOKUP($A214,Recto!$I$28:$L$44,4,FALSE),0)</f>
        <v>0</v>
      </c>
      <c r="O214" s="91">
        <f>IF($A214=Recto!$I$41,VLOOKUP($A214,Recto!$I$28:$L$44,4,FALSE),0)</f>
        <v>0</v>
      </c>
      <c r="P214" s="91">
        <f>IF($A214=Recto!$I$42,VLOOKUP($A214,Recto!$I$28:$L$44,4,FALSE),0)</f>
        <v>0</v>
      </c>
      <c r="Q214" s="91">
        <f>IF($A214=Recto!$I$43,VLOOKUP($A214,Recto!$I$28:$L$44,4,FALSE),0)</f>
        <v>0</v>
      </c>
      <c r="R214" s="91">
        <f>IF($A214=Recto!$I$44,VLOOKUP($A214,Recto!$I$28:$L$44,4,FALSE),0)</f>
        <v>0</v>
      </c>
      <c r="S214" s="295">
        <f t="shared" si="5"/>
        <v>0</v>
      </c>
    </row>
    <row r="215" spans="1:20" x14ac:dyDescent="0.25">
      <c r="A215" s="500" t="s">
        <v>20</v>
      </c>
      <c r="B215" s="91">
        <f>IF($A215=Recto!$I$28,VLOOKUP($A215,Recto!$I$28:$L$44,4,FALSE),0)</f>
        <v>0</v>
      </c>
      <c r="C215" s="91">
        <f>IF($A215=Recto!$I$29,VLOOKUP($A215,Recto!$I$28:$L$44,4,FALSE),0)</f>
        <v>0</v>
      </c>
      <c r="D215" s="91">
        <f>IF($A215=Recto!$I$30,VLOOKUP($A215,Recto!$I$28:$L$44,4,FALSE),0)</f>
        <v>0</v>
      </c>
      <c r="E215" s="91">
        <f>IF($A215=Recto!$I$31,VLOOKUP($A215,Recto!$I$28:$L$44,4,FALSE),0)</f>
        <v>0</v>
      </c>
      <c r="F215" s="91">
        <f>IF($A215=Recto!$I$32,VLOOKUP($A215,Recto!$I$28:$L$44,4,FALSE),0)</f>
        <v>0</v>
      </c>
      <c r="G215" s="91">
        <f>IF($A215=Recto!$I$33,VLOOKUP($A215,Recto!$I$28:$L$44,4,FALSE),0)</f>
        <v>0</v>
      </c>
      <c r="H215" s="91">
        <f>IF($A215=Recto!$I$34,VLOOKUP($A215,Recto!$I$28:$L$44,4,FALSE),0)</f>
        <v>0</v>
      </c>
      <c r="I215" s="91">
        <f>IF($A215=Recto!$I$35,VLOOKUP($A215,Recto!$I$28:$L$44,4,FALSE),0)</f>
        <v>0</v>
      </c>
      <c r="J215" s="91">
        <f>IF($A215=Recto!$I$36,VLOOKUP($A215,Recto!$I$28:$L$44,4,FALSE),0)</f>
        <v>0</v>
      </c>
      <c r="K215" s="91">
        <f>IF($A215=Recto!$I$37,VLOOKUP($A215,Recto!$I$28:$L$44,4,FALSE),0)</f>
        <v>0</v>
      </c>
      <c r="L215" s="91">
        <f>IF($A215=Recto!$I$38,VLOOKUP($A215,Recto!$I$28:$L$44,4,FALSE),0)</f>
        <v>0</v>
      </c>
      <c r="M215" s="91">
        <f>IF($A215=Recto!$I$39,VLOOKUP($A215,Recto!$I$28:$L$44,4,FALSE),0)</f>
        <v>0</v>
      </c>
      <c r="N215" s="91">
        <f>IF($A215=Recto!$I$40,VLOOKUP($A215,Recto!$I$28:$L$44,4,FALSE),0)</f>
        <v>0</v>
      </c>
      <c r="O215" s="91">
        <f>IF($A215=Recto!$I$41,VLOOKUP($A215,Recto!$I$28:$L$44,4,FALSE),0)</f>
        <v>0</v>
      </c>
      <c r="P215" s="91">
        <f>IF($A215=Recto!$I$42,VLOOKUP($A215,Recto!$I$28:$L$44,4,FALSE),0)</f>
        <v>0</v>
      </c>
      <c r="Q215" s="91">
        <f>IF($A215=Recto!$I$43,VLOOKUP($A215,Recto!$I$28:$L$44,4,FALSE),0)</f>
        <v>0</v>
      </c>
      <c r="R215" s="91">
        <f>IF($A215=Recto!$I$44,VLOOKUP($A215,Recto!$I$28:$L$44,4,FALSE),0)</f>
        <v>0</v>
      </c>
      <c r="S215" s="295">
        <f t="shared" si="5"/>
        <v>0</v>
      </c>
    </row>
    <row r="216" spans="1:20" s="196" customFormat="1" x14ac:dyDescent="0.25">
      <c r="A216" s="495" t="s">
        <v>6483</v>
      </c>
      <c r="B216" s="91">
        <f>IF($A216=Recto!$I$28,VLOOKUP($A216,Recto!$I$28:$L$44,4,FALSE),0)</f>
        <v>0</v>
      </c>
      <c r="C216" s="91">
        <f>IF($A216=Recto!$I$29,VLOOKUP($A216,Recto!$I$28:$L$44,4,FALSE),0)</f>
        <v>0</v>
      </c>
      <c r="D216" s="91">
        <f>IF($A216=Recto!$I$30,VLOOKUP($A216,Recto!$I$28:$L$44,4,FALSE),0)</f>
        <v>0</v>
      </c>
      <c r="E216" s="91">
        <f>IF($A216=Recto!$I$31,VLOOKUP($A216,Recto!$I$28:$L$44,4,FALSE),0)</f>
        <v>0</v>
      </c>
      <c r="F216" s="91">
        <f>IF($A216=Recto!$I$32,VLOOKUP($A216,Recto!$I$28:$L$44,4,FALSE),0)</f>
        <v>0</v>
      </c>
      <c r="G216" s="91">
        <f>IF($A216=Recto!$I$33,VLOOKUP($A216,Recto!$I$28:$L$44,4,FALSE),0)</f>
        <v>0</v>
      </c>
      <c r="H216" s="91">
        <f>IF($A216=Recto!$I$34,VLOOKUP($A216,Recto!$I$28:$L$44,4,FALSE),0)</f>
        <v>0</v>
      </c>
      <c r="I216" s="91">
        <f>IF($A216=Recto!$I$35,VLOOKUP($A216,Recto!$I$28:$L$44,4,FALSE),0)</f>
        <v>0</v>
      </c>
      <c r="J216" s="91">
        <f>IF($A216=Recto!$I$36,VLOOKUP($A216,Recto!$I$28:$L$44,4,FALSE),0)</f>
        <v>0</v>
      </c>
      <c r="K216" s="91">
        <f>IF($A216=Recto!$I$37,VLOOKUP($A216,Recto!$I$28:$L$44,4,FALSE),0)</f>
        <v>0</v>
      </c>
      <c r="L216" s="91">
        <f>IF($A216=Recto!$I$38,VLOOKUP($A216,Recto!$I$28:$L$44,4,FALSE),0)</f>
        <v>0</v>
      </c>
      <c r="M216" s="91">
        <f>IF($A216=Recto!$I$39,VLOOKUP($A216,Recto!$I$28:$L$44,4,FALSE),0)</f>
        <v>0</v>
      </c>
      <c r="N216" s="91">
        <f>IF($A216=Recto!$I$40,VLOOKUP($A216,Recto!$I$28:$L$44,4,FALSE),0)</f>
        <v>0</v>
      </c>
      <c r="O216" s="91">
        <f>IF($A216=Recto!$I$41,VLOOKUP($A216,Recto!$I$28:$L$44,4,FALSE),0)</f>
        <v>0</v>
      </c>
      <c r="P216" s="91">
        <f>IF($A216=Recto!$I$42,VLOOKUP($A216,Recto!$I$28:$L$44,4,FALSE),0)</f>
        <v>0</v>
      </c>
      <c r="Q216" s="91">
        <f>IF($A216=Recto!$I$43,VLOOKUP($A216,Recto!$I$28:$L$44,4,FALSE),0)</f>
        <v>0</v>
      </c>
      <c r="R216" s="91">
        <f>IF($A216=Recto!$I$44,VLOOKUP($A216,Recto!$I$28:$L$44,4,FALSE),0)</f>
        <v>0</v>
      </c>
      <c r="S216" s="295">
        <f t="shared" si="5"/>
        <v>0</v>
      </c>
      <c r="T216" s="294"/>
    </row>
    <row r="217" spans="1:20" x14ac:dyDescent="0.25">
      <c r="A217" s="500" t="s">
        <v>337</v>
      </c>
      <c r="B217" s="91">
        <f>IF($A217=Recto!$I$28,VLOOKUP($A217,Recto!$I$28:$L$44,4,FALSE),0)</f>
        <v>0</v>
      </c>
      <c r="C217" s="91">
        <f>IF($A217=Recto!$I$29,VLOOKUP($A217,Recto!$I$28:$L$44,4,FALSE),0)</f>
        <v>0</v>
      </c>
      <c r="D217" s="91">
        <f>IF($A217=Recto!$I$30,VLOOKUP($A217,Recto!$I$28:$L$44,4,FALSE),0)</f>
        <v>0</v>
      </c>
      <c r="E217" s="91">
        <f>IF($A217=Recto!$I$31,VLOOKUP($A217,Recto!$I$28:$L$44,4,FALSE),0)</f>
        <v>0</v>
      </c>
      <c r="F217" s="91">
        <f>IF($A217=Recto!$I$32,VLOOKUP($A217,Recto!$I$28:$L$44,4,FALSE),0)</f>
        <v>0</v>
      </c>
      <c r="G217" s="91">
        <f>IF($A217=Recto!$I$33,VLOOKUP($A217,Recto!$I$28:$L$44,4,FALSE),0)</f>
        <v>0</v>
      </c>
      <c r="H217" s="91">
        <f>IF($A217=Recto!$I$34,VLOOKUP($A217,Recto!$I$28:$L$44,4,FALSE),0)</f>
        <v>0</v>
      </c>
      <c r="I217" s="91">
        <f>IF($A217=Recto!$I$35,VLOOKUP($A217,Recto!$I$28:$L$44,4,FALSE),0)</f>
        <v>0</v>
      </c>
      <c r="J217" s="91">
        <f>IF($A217=Recto!$I$36,VLOOKUP($A217,Recto!$I$28:$L$44,4,FALSE),0)</f>
        <v>0</v>
      </c>
      <c r="K217" s="91">
        <f>IF($A217=Recto!$I$37,VLOOKUP($A217,Recto!$I$28:$L$44,4,FALSE),0)</f>
        <v>0</v>
      </c>
      <c r="L217" s="91">
        <f>IF($A217=Recto!$I$38,VLOOKUP($A217,Recto!$I$28:$L$44,4,FALSE),0)</f>
        <v>0</v>
      </c>
      <c r="M217" s="91">
        <f>IF($A217=Recto!$I$39,VLOOKUP($A217,Recto!$I$28:$L$44,4,FALSE),0)</f>
        <v>0</v>
      </c>
      <c r="N217" s="91">
        <f>IF($A217=Recto!$I$40,VLOOKUP($A217,Recto!$I$28:$L$44,4,FALSE),0)</f>
        <v>0</v>
      </c>
      <c r="O217" s="91">
        <f>IF($A217=Recto!$I$41,VLOOKUP($A217,Recto!$I$28:$L$44,4,FALSE),0)</f>
        <v>0</v>
      </c>
      <c r="P217" s="91">
        <f>IF($A217=Recto!$I$42,VLOOKUP($A217,Recto!$I$28:$L$44,4,FALSE),0)</f>
        <v>0</v>
      </c>
      <c r="Q217" s="91">
        <f>IF($A217=Recto!$I$43,VLOOKUP($A217,Recto!$I$28:$L$44,4,FALSE),0)</f>
        <v>0</v>
      </c>
      <c r="R217" s="91">
        <f>IF($A217=Recto!$I$44,VLOOKUP($A217,Recto!$I$28:$L$44,4,FALSE),0)</f>
        <v>0</v>
      </c>
      <c r="S217" s="295">
        <f t="shared" si="5"/>
        <v>0</v>
      </c>
    </row>
    <row r="218" spans="1:20" s="196" customFormat="1" x14ac:dyDescent="0.25">
      <c r="A218" s="500" t="s">
        <v>7152</v>
      </c>
      <c r="B218" s="91">
        <f>IF($A218=Recto!$I$28,VLOOKUP($A218,Recto!$I$28:$L$44,4,FALSE),0)</f>
        <v>0</v>
      </c>
      <c r="C218" s="91">
        <f>IF($A218=Recto!$I$29,VLOOKUP($A218,Recto!$I$28:$L$44,4,FALSE),0)</f>
        <v>0</v>
      </c>
      <c r="D218" s="91">
        <f>IF($A218=Recto!$I$30,VLOOKUP($A218,Recto!$I$28:$L$44,4,FALSE),0)</f>
        <v>0</v>
      </c>
      <c r="E218" s="91">
        <f>IF($A218=Recto!$I$31,VLOOKUP($A218,Recto!$I$28:$L$44,4,FALSE),0)</f>
        <v>0</v>
      </c>
      <c r="F218" s="91">
        <f>IF($A218=Recto!$I$32,VLOOKUP($A218,Recto!$I$28:$L$44,4,FALSE),0)</f>
        <v>0</v>
      </c>
      <c r="G218" s="91">
        <f>IF($A218=Recto!$I$33,VLOOKUP($A218,Recto!$I$28:$L$44,4,FALSE),0)</f>
        <v>0</v>
      </c>
      <c r="H218" s="91">
        <f>IF($A218=Recto!$I$34,VLOOKUP($A218,Recto!$I$28:$L$44,4,FALSE),0)</f>
        <v>0</v>
      </c>
      <c r="I218" s="91">
        <f>IF($A218=Recto!$I$35,VLOOKUP($A218,Recto!$I$28:$L$44,4,FALSE),0)</f>
        <v>0</v>
      </c>
      <c r="J218" s="91">
        <f>IF($A218=Recto!$I$36,VLOOKUP($A218,Recto!$I$28:$L$44,4,FALSE),0)</f>
        <v>0</v>
      </c>
      <c r="K218" s="91">
        <f>IF($A218=Recto!$I$37,VLOOKUP($A218,Recto!$I$28:$L$44,4,FALSE),0)</f>
        <v>0</v>
      </c>
      <c r="L218" s="91">
        <f>IF($A218=Recto!$I$38,VLOOKUP($A218,Recto!$I$28:$L$44,4,FALSE),0)</f>
        <v>0</v>
      </c>
      <c r="M218" s="91">
        <f>IF($A218=Recto!$I$39,VLOOKUP($A218,Recto!$I$28:$L$44,4,FALSE),0)</f>
        <v>0</v>
      </c>
      <c r="N218" s="91">
        <f>IF($A218=Recto!$I$40,VLOOKUP($A218,Recto!$I$28:$L$44,4,FALSE),0)</f>
        <v>0</v>
      </c>
      <c r="O218" s="91">
        <f>IF($A218=Recto!$I$41,VLOOKUP($A218,Recto!$I$28:$L$44,4,FALSE),0)</f>
        <v>0</v>
      </c>
      <c r="P218" s="91">
        <f>IF($A218=Recto!$I$42,VLOOKUP($A218,Recto!$I$28:$L$44,4,FALSE),0)</f>
        <v>0</v>
      </c>
      <c r="Q218" s="91">
        <f>IF($A218=Recto!$I$43,VLOOKUP($A218,Recto!$I$28:$L$44,4,FALSE),0)</f>
        <v>0</v>
      </c>
      <c r="R218" s="91">
        <f>IF($A218=Recto!$I$44,VLOOKUP($A218,Recto!$I$28:$L$44,4,FALSE),0)</f>
        <v>0</v>
      </c>
      <c r="S218" s="295">
        <f t="shared" si="5"/>
        <v>0</v>
      </c>
    </row>
    <row r="219" spans="1:20" x14ac:dyDescent="0.25">
      <c r="A219" s="500" t="s">
        <v>1366</v>
      </c>
      <c r="B219" s="91">
        <f>IF($A219=Recto!$I$28,VLOOKUP($A219,Recto!$I$28:$L$44,4,FALSE),0)</f>
        <v>0</v>
      </c>
      <c r="C219" s="91">
        <f>IF($A219=Recto!$I$29,VLOOKUP($A219,Recto!$I$28:$L$44,4,FALSE),0)</f>
        <v>0</v>
      </c>
      <c r="D219" s="91">
        <f>IF($A219=Recto!$I$30,VLOOKUP($A219,Recto!$I$28:$L$44,4,FALSE),0)</f>
        <v>0</v>
      </c>
      <c r="E219" s="91">
        <f>IF($A219=Recto!$I$31,VLOOKUP($A219,Recto!$I$28:$L$44,4,FALSE),0)</f>
        <v>0</v>
      </c>
      <c r="F219" s="91">
        <f>IF($A219=Recto!$I$32,VLOOKUP($A219,Recto!$I$28:$L$44,4,FALSE),0)</f>
        <v>0</v>
      </c>
      <c r="G219" s="91">
        <f>IF($A219=Recto!$I$33,VLOOKUP($A219,Recto!$I$28:$L$44,4,FALSE),0)</f>
        <v>0</v>
      </c>
      <c r="H219" s="91">
        <f>IF($A219=Recto!$I$34,VLOOKUP($A219,Recto!$I$28:$L$44,4,FALSE),0)</f>
        <v>0</v>
      </c>
      <c r="I219" s="91">
        <f>IF($A219=Recto!$I$35,VLOOKUP($A219,Recto!$I$28:$L$44,4,FALSE),0)</f>
        <v>0</v>
      </c>
      <c r="J219" s="91">
        <f>IF($A219=Recto!$I$36,VLOOKUP($A219,Recto!$I$28:$L$44,4,FALSE),0)</f>
        <v>0</v>
      </c>
      <c r="K219" s="91">
        <f>IF($A219=Recto!$I$37,VLOOKUP($A219,Recto!$I$28:$L$44,4,FALSE),0)</f>
        <v>0</v>
      </c>
      <c r="L219" s="91">
        <f>IF($A219=Recto!$I$38,VLOOKUP($A219,Recto!$I$28:$L$44,4,FALSE),0)</f>
        <v>0</v>
      </c>
      <c r="M219" s="91">
        <f>IF($A219=Recto!$I$39,VLOOKUP($A219,Recto!$I$28:$L$44,4,FALSE),0)</f>
        <v>0</v>
      </c>
      <c r="N219" s="91">
        <f>IF($A219=Recto!$I$40,VLOOKUP($A219,Recto!$I$28:$L$44,4,FALSE),0)</f>
        <v>0</v>
      </c>
      <c r="O219" s="91">
        <f>IF($A219=Recto!$I$41,VLOOKUP($A219,Recto!$I$28:$L$44,4,FALSE),0)</f>
        <v>0</v>
      </c>
      <c r="P219" s="91">
        <f>IF($A219=Recto!$I$42,VLOOKUP($A219,Recto!$I$28:$L$44,4,FALSE),0)</f>
        <v>0</v>
      </c>
      <c r="Q219" s="91">
        <f>IF($A219=Recto!$I$43,VLOOKUP($A219,Recto!$I$28:$L$44,4,FALSE),0)</f>
        <v>0</v>
      </c>
      <c r="R219" s="91">
        <f>IF($A219=Recto!$I$44,VLOOKUP($A219,Recto!$I$28:$L$44,4,FALSE),0)</f>
        <v>0</v>
      </c>
      <c r="S219" s="295">
        <f t="shared" si="5"/>
        <v>0</v>
      </c>
    </row>
    <row r="220" spans="1:20" x14ac:dyDescent="0.25">
      <c r="A220" s="500" t="s">
        <v>1379</v>
      </c>
      <c r="B220" s="91">
        <f>IF($A220=Recto!$I$28,VLOOKUP($A220,Recto!$I$28:$L$44,4,FALSE),0)</f>
        <v>0</v>
      </c>
      <c r="C220" s="91">
        <f>IF($A220=Recto!$I$29,VLOOKUP($A220,Recto!$I$28:$L$44,4,FALSE),0)</f>
        <v>0</v>
      </c>
      <c r="D220" s="91">
        <f>IF($A220=Recto!$I$30,VLOOKUP($A220,Recto!$I$28:$L$44,4,FALSE),0)</f>
        <v>0</v>
      </c>
      <c r="E220" s="91">
        <f>IF($A220=Recto!$I$31,VLOOKUP($A220,Recto!$I$28:$L$44,4,FALSE),0)</f>
        <v>0</v>
      </c>
      <c r="F220" s="91">
        <f>IF($A220=Recto!$I$32,VLOOKUP($A220,Recto!$I$28:$L$44,4,FALSE),0)</f>
        <v>0</v>
      </c>
      <c r="G220" s="91">
        <f>IF($A220=Recto!$I$33,VLOOKUP($A220,Recto!$I$28:$L$44,4,FALSE),0)</f>
        <v>0</v>
      </c>
      <c r="H220" s="91">
        <f>IF($A220=Recto!$I$34,VLOOKUP($A220,Recto!$I$28:$L$44,4,FALSE),0)</f>
        <v>0</v>
      </c>
      <c r="I220" s="91">
        <f>IF($A220=Recto!$I$35,VLOOKUP($A220,Recto!$I$28:$L$44,4,FALSE),0)</f>
        <v>0</v>
      </c>
      <c r="J220" s="91">
        <f>IF($A220=Recto!$I$36,VLOOKUP($A220,Recto!$I$28:$L$44,4,FALSE),0)</f>
        <v>0</v>
      </c>
      <c r="K220" s="91">
        <f>IF($A220=Recto!$I$37,VLOOKUP($A220,Recto!$I$28:$L$44,4,FALSE),0)</f>
        <v>0</v>
      </c>
      <c r="L220" s="91">
        <f>IF($A220=Recto!$I$38,VLOOKUP($A220,Recto!$I$28:$L$44,4,FALSE),0)</f>
        <v>0</v>
      </c>
      <c r="M220" s="91">
        <f>IF($A220=Recto!$I$39,VLOOKUP($A220,Recto!$I$28:$L$44,4,FALSE),0)</f>
        <v>0</v>
      </c>
      <c r="N220" s="91">
        <f>IF($A220=Recto!$I$40,VLOOKUP($A220,Recto!$I$28:$L$44,4,FALSE),0)</f>
        <v>0</v>
      </c>
      <c r="O220" s="91">
        <f>IF($A220=Recto!$I$41,VLOOKUP($A220,Recto!$I$28:$L$44,4,FALSE),0)</f>
        <v>0</v>
      </c>
      <c r="P220" s="91">
        <f>IF($A220=Recto!$I$42,VLOOKUP($A220,Recto!$I$28:$L$44,4,FALSE),0)</f>
        <v>0</v>
      </c>
      <c r="Q220" s="91">
        <f>IF($A220=Recto!$I$43,VLOOKUP($A220,Recto!$I$28:$L$44,4,FALSE),0)</f>
        <v>0</v>
      </c>
      <c r="R220" s="91">
        <f>IF($A220=Recto!$I$44,VLOOKUP($A220,Recto!$I$28:$L$44,4,FALSE),0)</f>
        <v>0</v>
      </c>
      <c r="S220" s="295">
        <f t="shared" si="5"/>
        <v>0</v>
      </c>
    </row>
    <row r="221" spans="1:20" x14ac:dyDescent="0.25">
      <c r="A221" s="500" t="s">
        <v>3287</v>
      </c>
      <c r="B221" s="91">
        <f>IF($A221=Recto!$I$28,VLOOKUP($A221,Recto!$I$28:$L$44,4,FALSE),0)</f>
        <v>0</v>
      </c>
      <c r="C221" s="91">
        <f>IF($A221=Recto!$I$29,VLOOKUP($A221,Recto!$I$28:$L$44,4,FALSE),0)</f>
        <v>0</v>
      </c>
      <c r="D221" s="91">
        <f>IF($A221=Recto!$I$30,VLOOKUP($A221,Recto!$I$28:$L$44,4,FALSE),0)</f>
        <v>0</v>
      </c>
      <c r="E221" s="91">
        <f>IF($A221=Recto!$I$31,VLOOKUP($A221,Recto!$I$28:$L$44,4,FALSE),0)</f>
        <v>0</v>
      </c>
      <c r="F221" s="91">
        <f>IF($A221=Recto!$I$32,VLOOKUP($A221,Recto!$I$28:$L$44,4,FALSE),0)</f>
        <v>0</v>
      </c>
      <c r="G221" s="91">
        <f>IF($A221=Recto!$I$33,VLOOKUP($A221,Recto!$I$28:$L$44,4,FALSE),0)</f>
        <v>0</v>
      </c>
      <c r="H221" s="91">
        <f>IF($A221=Recto!$I$34,VLOOKUP($A221,Recto!$I$28:$L$44,4,FALSE),0)</f>
        <v>0</v>
      </c>
      <c r="I221" s="91">
        <f>IF($A221=Recto!$I$35,VLOOKUP($A221,Recto!$I$28:$L$44,4,FALSE),0)</f>
        <v>0</v>
      </c>
      <c r="J221" s="91">
        <f>IF($A221=Recto!$I$36,VLOOKUP($A221,Recto!$I$28:$L$44,4,FALSE),0)</f>
        <v>0</v>
      </c>
      <c r="K221" s="91">
        <f>IF($A221=Recto!$I$37,VLOOKUP($A221,Recto!$I$28:$L$44,4,FALSE),0)</f>
        <v>0</v>
      </c>
      <c r="L221" s="91">
        <f>IF($A221=Recto!$I$38,VLOOKUP($A221,Recto!$I$28:$L$44,4,FALSE),0)</f>
        <v>0</v>
      </c>
      <c r="M221" s="91">
        <f>IF($A221=Recto!$I$39,VLOOKUP($A221,Recto!$I$28:$L$44,4,FALSE),0)</f>
        <v>0</v>
      </c>
      <c r="N221" s="91">
        <f>IF($A221=Recto!$I$40,VLOOKUP($A221,Recto!$I$28:$L$44,4,FALSE),0)</f>
        <v>0</v>
      </c>
      <c r="O221" s="91">
        <f>IF($A221=Recto!$I$41,VLOOKUP($A221,Recto!$I$28:$L$44,4,FALSE),0)</f>
        <v>0</v>
      </c>
      <c r="P221" s="91">
        <f>IF($A221=Recto!$I$42,VLOOKUP($A221,Recto!$I$28:$L$44,4,FALSE),0)</f>
        <v>0</v>
      </c>
      <c r="Q221" s="91">
        <f>IF($A221=Recto!$I$43,VLOOKUP($A221,Recto!$I$28:$L$44,4,FALSE),0)</f>
        <v>0</v>
      </c>
      <c r="R221" s="91">
        <f>IF($A221=Recto!$I$44,VLOOKUP($A221,Recto!$I$28:$L$44,4,FALSE),0)</f>
        <v>0</v>
      </c>
      <c r="S221" s="295">
        <f t="shared" ref="S221:S234" si="7">SUM(B221:R221)</f>
        <v>0</v>
      </c>
    </row>
    <row r="222" spans="1:20" x14ac:dyDescent="0.25">
      <c r="A222" s="500" t="s">
        <v>159</v>
      </c>
      <c r="B222" s="91">
        <f>IF($A222=Recto!$I$28,VLOOKUP($A222,Recto!$I$28:$L$44,4,FALSE),0)</f>
        <v>0</v>
      </c>
      <c r="C222" s="91">
        <f>IF($A222=Recto!$I$29,VLOOKUP($A222,Recto!$I$28:$L$44,4,FALSE),0)</f>
        <v>0</v>
      </c>
      <c r="D222" s="91">
        <f>IF($A222=Recto!$I$30,VLOOKUP($A222,Recto!$I$28:$L$44,4,FALSE),0)</f>
        <v>0</v>
      </c>
      <c r="E222" s="91">
        <f>IF($A222=Recto!$I$31,VLOOKUP($A222,Recto!$I$28:$L$44,4,FALSE),0)</f>
        <v>0</v>
      </c>
      <c r="F222" s="91">
        <f>IF($A222=Recto!$I$32,VLOOKUP($A222,Recto!$I$28:$L$44,4,FALSE),0)</f>
        <v>0</v>
      </c>
      <c r="G222" s="91">
        <f>IF($A222=Recto!$I$33,VLOOKUP($A222,Recto!$I$28:$L$44,4,FALSE),0)</f>
        <v>0</v>
      </c>
      <c r="H222" s="91">
        <f>IF($A222=Recto!$I$34,VLOOKUP($A222,Recto!$I$28:$L$44,4,FALSE),0)</f>
        <v>0</v>
      </c>
      <c r="I222" s="91">
        <f>IF($A222=Recto!$I$35,VLOOKUP($A222,Recto!$I$28:$L$44,4,FALSE),0)</f>
        <v>0</v>
      </c>
      <c r="J222" s="91">
        <f>IF($A222=Recto!$I$36,VLOOKUP($A222,Recto!$I$28:$L$44,4,FALSE),0)</f>
        <v>0</v>
      </c>
      <c r="K222" s="91">
        <f>IF($A222=Recto!$I$37,VLOOKUP($A222,Recto!$I$28:$L$44,4,FALSE),0)</f>
        <v>0</v>
      </c>
      <c r="L222" s="91">
        <f>IF($A222=Recto!$I$38,VLOOKUP($A222,Recto!$I$28:$L$44,4,FALSE),0)</f>
        <v>0</v>
      </c>
      <c r="M222" s="91">
        <f>IF($A222=Recto!$I$39,VLOOKUP($A222,Recto!$I$28:$L$44,4,FALSE),0)</f>
        <v>0</v>
      </c>
      <c r="N222" s="91">
        <f>IF($A222=Recto!$I$40,VLOOKUP($A222,Recto!$I$28:$L$44,4,FALSE),0)</f>
        <v>0</v>
      </c>
      <c r="O222" s="91">
        <f>IF($A222=Recto!$I$41,VLOOKUP($A222,Recto!$I$28:$L$44,4,FALSE),0)</f>
        <v>0</v>
      </c>
      <c r="P222" s="91">
        <f>IF($A222=Recto!$I$42,VLOOKUP($A222,Recto!$I$28:$L$44,4,FALSE),0)</f>
        <v>0</v>
      </c>
      <c r="Q222" s="91">
        <f>IF($A222=Recto!$I$43,VLOOKUP($A222,Recto!$I$28:$L$44,4,FALSE),0)</f>
        <v>0</v>
      </c>
      <c r="R222" s="91">
        <f>IF($A222=Recto!$I$44,VLOOKUP($A222,Recto!$I$28:$L$44,4,FALSE),0)</f>
        <v>0</v>
      </c>
      <c r="S222" s="295">
        <f t="shared" si="7"/>
        <v>0</v>
      </c>
    </row>
    <row r="223" spans="1:20" x14ac:dyDescent="0.25">
      <c r="A223" s="500" t="s">
        <v>1351</v>
      </c>
      <c r="B223" s="91">
        <f>IF($A223=Recto!$I$28,VLOOKUP($A223,Recto!$I$28:$L$44,4,FALSE),0)</f>
        <v>0</v>
      </c>
      <c r="C223" s="91">
        <f>IF($A223=Recto!$I$29,VLOOKUP($A223,Recto!$I$28:$L$44,4,FALSE),0)</f>
        <v>0</v>
      </c>
      <c r="D223" s="91">
        <f>IF($A223=Recto!$I$30,VLOOKUP($A223,Recto!$I$28:$L$44,4,FALSE),0)</f>
        <v>0</v>
      </c>
      <c r="E223" s="91">
        <f>IF($A223=Recto!$I$31,VLOOKUP($A223,Recto!$I$28:$L$44,4,FALSE),0)</f>
        <v>0</v>
      </c>
      <c r="F223" s="91">
        <f>IF($A223=Recto!$I$32,VLOOKUP($A223,Recto!$I$28:$L$44,4,FALSE),0)</f>
        <v>0</v>
      </c>
      <c r="G223" s="91">
        <f>IF($A223=Recto!$I$33,VLOOKUP($A223,Recto!$I$28:$L$44,4,FALSE),0)</f>
        <v>0</v>
      </c>
      <c r="H223" s="91">
        <f>IF($A223=Recto!$I$34,VLOOKUP($A223,Recto!$I$28:$L$44,4,FALSE),0)</f>
        <v>0</v>
      </c>
      <c r="I223" s="91">
        <f>IF($A223=Recto!$I$35,VLOOKUP($A223,Recto!$I$28:$L$44,4,FALSE),0)</f>
        <v>0</v>
      </c>
      <c r="J223" s="91">
        <f>IF($A223=Recto!$I$36,VLOOKUP($A223,Recto!$I$28:$L$44,4,FALSE),0)</f>
        <v>0</v>
      </c>
      <c r="K223" s="91">
        <f>IF($A223=Recto!$I$37,VLOOKUP($A223,Recto!$I$28:$L$44,4,FALSE),0)</f>
        <v>0</v>
      </c>
      <c r="L223" s="91">
        <f>IF($A223=Recto!$I$38,VLOOKUP($A223,Recto!$I$28:$L$44,4,FALSE),0)</f>
        <v>0</v>
      </c>
      <c r="M223" s="91">
        <f>IF($A223=Recto!$I$39,VLOOKUP($A223,Recto!$I$28:$L$44,4,FALSE),0)</f>
        <v>0</v>
      </c>
      <c r="N223" s="91">
        <f>IF($A223=Recto!$I$40,VLOOKUP($A223,Recto!$I$28:$L$44,4,FALSE),0)</f>
        <v>0</v>
      </c>
      <c r="O223" s="91">
        <f>IF($A223=Recto!$I$41,VLOOKUP($A223,Recto!$I$28:$L$44,4,FALSE),0)</f>
        <v>0</v>
      </c>
      <c r="P223" s="91">
        <f>IF($A223=Recto!$I$42,VLOOKUP($A223,Recto!$I$28:$L$44,4,FALSE),0)</f>
        <v>0</v>
      </c>
      <c r="Q223" s="91">
        <f>IF($A223=Recto!$I$43,VLOOKUP($A223,Recto!$I$28:$L$44,4,FALSE),0)</f>
        <v>0</v>
      </c>
      <c r="R223" s="91">
        <f>IF($A223=Recto!$I$44,VLOOKUP($A223,Recto!$I$28:$L$44,4,FALSE),0)</f>
        <v>0</v>
      </c>
      <c r="S223" s="295">
        <f t="shared" si="7"/>
        <v>0</v>
      </c>
    </row>
    <row r="224" spans="1:20" x14ac:dyDescent="0.25">
      <c r="A224" s="500" t="s">
        <v>3222</v>
      </c>
      <c r="B224" s="91">
        <f>IF($A224=Recto!$I$28,VLOOKUP($A224,Recto!$I$28:$L$44,4,FALSE),0)</f>
        <v>0</v>
      </c>
      <c r="C224" s="91">
        <f>IF($A224=Recto!$I$29,VLOOKUP($A224,Recto!$I$28:$L$44,4,FALSE),0)</f>
        <v>0</v>
      </c>
      <c r="D224" s="91">
        <f>IF($A224=Recto!$I$30,VLOOKUP($A224,Recto!$I$28:$L$44,4,FALSE),0)</f>
        <v>0</v>
      </c>
      <c r="E224" s="91">
        <f>IF($A224=Recto!$I$31,VLOOKUP($A224,Recto!$I$28:$L$44,4,FALSE),0)</f>
        <v>0</v>
      </c>
      <c r="F224" s="91">
        <f>IF($A224=Recto!$I$32,VLOOKUP($A224,Recto!$I$28:$L$44,4,FALSE),0)</f>
        <v>0</v>
      </c>
      <c r="G224" s="91">
        <f>IF($A224=Recto!$I$33,VLOOKUP($A224,Recto!$I$28:$L$44,4,FALSE),0)</f>
        <v>0</v>
      </c>
      <c r="H224" s="91">
        <f>IF($A224=Recto!$I$34,VLOOKUP($A224,Recto!$I$28:$L$44,4,FALSE),0)</f>
        <v>0</v>
      </c>
      <c r="I224" s="91">
        <f>IF($A224=Recto!$I$35,VLOOKUP($A224,Recto!$I$28:$L$44,4,FALSE),0)</f>
        <v>0</v>
      </c>
      <c r="J224" s="91">
        <f>IF($A224=Recto!$I$36,VLOOKUP($A224,Recto!$I$28:$L$44,4,FALSE),0)</f>
        <v>0</v>
      </c>
      <c r="K224" s="91">
        <f>IF($A224=Recto!$I$37,VLOOKUP($A224,Recto!$I$28:$L$44,4,FALSE),0)</f>
        <v>0</v>
      </c>
      <c r="L224" s="91">
        <f>IF($A224=Recto!$I$38,VLOOKUP($A224,Recto!$I$28:$L$44,4,FALSE),0)</f>
        <v>0</v>
      </c>
      <c r="M224" s="91">
        <f>IF($A224=Recto!$I$39,VLOOKUP($A224,Recto!$I$28:$L$44,4,FALSE),0)</f>
        <v>0</v>
      </c>
      <c r="N224" s="91">
        <f>IF($A224=Recto!$I$40,VLOOKUP($A224,Recto!$I$28:$L$44,4,FALSE),0)</f>
        <v>0</v>
      </c>
      <c r="O224" s="91">
        <f>IF($A224=Recto!$I$41,VLOOKUP($A224,Recto!$I$28:$L$44,4,FALSE),0)</f>
        <v>0</v>
      </c>
      <c r="P224" s="91">
        <f>IF($A224=Recto!$I$42,VLOOKUP($A224,Recto!$I$28:$L$44,4,FALSE),0)</f>
        <v>0</v>
      </c>
      <c r="Q224" s="91">
        <f>IF($A224=Recto!$I$43,VLOOKUP($A224,Recto!$I$28:$L$44,4,FALSE),0)</f>
        <v>0</v>
      </c>
      <c r="R224" s="91">
        <f>IF($A224=Recto!$I$44,VLOOKUP($A224,Recto!$I$28:$L$44,4,FALSE),0)</f>
        <v>0</v>
      </c>
      <c r="S224" s="295">
        <f t="shared" si="7"/>
        <v>0</v>
      </c>
    </row>
    <row r="225" spans="1:19" x14ac:dyDescent="0.25">
      <c r="A225" s="500" t="s">
        <v>1322</v>
      </c>
      <c r="B225" s="91">
        <f>IF($A225=Recto!$I$28,VLOOKUP($A225,Recto!$I$28:$L$44,4,FALSE),0)</f>
        <v>0</v>
      </c>
      <c r="C225" s="91">
        <f>IF($A225=Recto!$I$29,VLOOKUP($A225,Recto!$I$28:$L$44,4,FALSE),0)</f>
        <v>0</v>
      </c>
      <c r="D225" s="91">
        <f>IF($A225=Recto!$I$30,VLOOKUP($A225,Recto!$I$28:$L$44,4,FALSE),0)</f>
        <v>0</v>
      </c>
      <c r="E225" s="91">
        <f>IF($A225=Recto!$I$31,VLOOKUP($A225,Recto!$I$28:$L$44,4,FALSE),0)</f>
        <v>0</v>
      </c>
      <c r="F225" s="91">
        <f>IF($A225=Recto!$I$32,VLOOKUP($A225,Recto!$I$28:$L$44,4,FALSE),0)</f>
        <v>0</v>
      </c>
      <c r="G225" s="91">
        <f>IF($A225=Recto!$I$33,VLOOKUP($A225,Recto!$I$28:$L$44,4,FALSE),0)</f>
        <v>0</v>
      </c>
      <c r="H225" s="91">
        <f>IF($A225=Recto!$I$34,VLOOKUP($A225,Recto!$I$28:$L$44,4,FALSE),0)</f>
        <v>0</v>
      </c>
      <c r="I225" s="91">
        <f>IF($A225=Recto!$I$35,VLOOKUP($A225,Recto!$I$28:$L$44,4,FALSE),0)</f>
        <v>0</v>
      </c>
      <c r="J225" s="91">
        <f>IF($A225=Recto!$I$36,VLOOKUP($A225,Recto!$I$28:$L$44,4,FALSE),0)</f>
        <v>0</v>
      </c>
      <c r="K225" s="91">
        <f>IF($A225=Recto!$I$37,VLOOKUP($A225,Recto!$I$28:$L$44,4,FALSE),0)</f>
        <v>0</v>
      </c>
      <c r="L225" s="91">
        <f>IF($A225=Recto!$I$38,VLOOKUP($A225,Recto!$I$28:$L$44,4,FALSE),0)</f>
        <v>0</v>
      </c>
      <c r="M225" s="91">
        <f>IF($A225=Recto!$I$39,VLOOKUP($A225,Recto!$I$28:$L$44,4,FALSE),0)</f>
        <v>0</v>
      </c>
      <c r="N225" s="91">
        <f>IF($A225=Recto!$I$40,VLOOKUP($A225,Recto!$I$28:$L$44,4,FALSE),0)</f>
        <v>0</v>
      </c>
      <c r="O225" s="91">
        <f>IF($A225=Recto!$I$41,VLOOKUP($A225,Recto!$I$28:$L$44,4,FALSE),0)</f>
        <v>0</v>
      </c>
      <c r="P225" s="91">
        <f>IF($A225=Recto!$I$42,VLOOKUP($A225,Recto!$I$28:$L$44,4,FALSE),0)</f>
        <v>0</v>
      </c>
      <c r="Q225" s="91">
        <f>IF($A225=Recto!$I$43,VLOOKUP($A225,Recto!$I$28:$L$44,4,FALSE),0)</f>
        <v>0</v>
      </c>
      <c r="R225" s="91">
        <f>IF($A225=Recto!$I$44,VLOOKUP($A225,Recto!$I$28:$L$44,4,FALSE),0)</f>
        <v>0</v>
      </c>
      <c r="S225" s="295">
        <f t="shared" si="7"/>
        <v>0</v>
      </c>
    </row>
    <row r="226" spans="1:19" x14ac:dyDescent="0.25">
      <c r="A226" s="500" t="s">
        <v>1295</v>
      </c>
      <c r="B226" s="91">
        <f>IF($A226=Recto!$I$28,VLOOKUP($A226,Recto!$I$28:$L$44,4,FALSE),0)</f>
        <v>0</v>
      </c>
      <c r="C226" s="91">
        <f>IF($A226=Recto!$I$29,VLOOKUP($A226,Recto!$I$28:$L$44,4,FALSE),0)</f>
        <v>0</v>
      </c>
      <c r="D226" s="91">
        <f>IF($A226=Recto!$I$30,VLOOKUP($A226,Recto!$I$28:$L$44,4,FALSE),0)</f>
        <v>0</v>
      </c>
      <c r="E226" s="91">
        <f>IF($A226=Recto!$I$31,VLOOKUP($A226,Recto!$I$28:$L$44,4,FALSE),0)</f>
        <v>0</v>
      </c>
      <c r="F226" s="91">
        <f>IF($A226=Recto!$I$32,VLOOKUP($A226,Recto!$I$28:$L$44,4,FALSE),0)</f>
        <v>0</v>
      </c>
      <c r="G226" s="91">
        <f>IF($A226=Recto!$I$33,VLOOKUP($A226,Recto!$I$28:$L$44,4,FALSE),0)</f>
        <v>0</v>
      </c>
      <c r="H226" s="91">
        <f>IF($A226=Recto!$I$34,VLOOKUP($A226,Recto!$I$28:$L$44,4,FALSE),0)</f>
        <v>0</v>
      </c>
      <c r="I226" s="91">
        <f>IF($A226=Recto!$I$35,VLOOKUP($A226,Recto!$I$28:$L$44,4,FALSE),0)</f>
        <v>0</v>
      </c>
      <c r="J226" s="91">
        <f>IF($A226=Recto!$I$36,VLOOKUP($A226,Recto!$I$28:$L$44,4,FALSE),0)</f>
        <v>0</v>
      </c>
      <c r="K226" s="91">
        <f>IF($A226=Recto!$I$37,VLOOKUP($A226,Recto!$I$28:$L$44,4,FALSE),0)</f>
        <v>0</v>
      </c>
      <c r="L226" s="91">
        <f>IF($A226=Recto!$I$38,VLOOKUP($A226,Recto!$I$28:$L$44,4,FALSE),0)</f>
        <v>0</v>
      </c>
      <c r="M226" s="91">
        <f>IF($A226=Recto!$I$39,VLOOKUP($A226,Recto!$I$28:$L$44,4,FALSE),0)</f>
        <v>0</v>
      </c>
      <c r="N226" s="91">
        <f>IF($A226=Recto!$I$40,VLOOKUP($A226,Recto!$I$28:$L$44,4,FALSE),0)</f>
        <v>0</v>
      </c>
      <c r="O226" s="91">
        <f>IF($A226=Recto!$I$41,VLOOKUP($A226,Recto!$I$28:$L$44,4,FALSE),0)</f>
        <v>0</v>
      </c>
      <c r="P226" s="91">
        <f>IF($A226=Recto!$I$42,VLOOKUP($A226,Recto!$I$28:$L$44,4,FALSE),0)</f>
        <v>0</v>
      </c>
      <c r="Q226" s="91">
        <f>IF($A226=Recto!$I$43,VLOOKUP($A226,Recto!$I$28:$L$44,4,FALSE),0)</f>
        <v>0</v>
      </c>
      <c r="R226" s="91">
        <f>IF($A226=Recto!$I$44,VLOOKUP($A226,Recto!$I$28:$L$44,4,FALSE),0)</f>
        <v>0</v>
      </c>
      <c r="S226" s="295">
        <f t="shared" si="7"/>
        <v>0</v>
      </c>
    </row>
    <row r="227" spans="1:19" x14ac:dyDescent="0.25">
      <c r="A227" s="500" t="s">
        <v>1306</v>
      </c>
      <c r="B227" s="91">
        <f>IF($A227=Recto!$I$28,VLOOKUP($A227,Recto!$I$28:$L$44,4,FALSE),0)</f>
        <v>0</v>
      </c>
      <c r="C227" s="91">
        <f>IF($A227=Recto!$I$29,VLOOKUP($A227,Recto!$I$28:$L$44,4,FALSE),0)</f>
        <v>0</v>
      </c>
      <c r="D227" s="91">
        <f>IF($A227=Recto!$I$30,VLOOKUP($A227,Recto!$I$28:$L$44,4,FALSE),0)</f>
        <v>0</v>
      </c>
      <c r="E227" s="91">
        <f>IF($A227=Recto!$I$31,VLOOKUP($A227,Recto!$I$28:$L$44,4,FALSE),0)</f>
        <v>0</v>
      </c>
      <c r="F227" s="91">
        <f>IF($A227=Recto!$I$32,VLOOKUP($A227,Recto!$I$28:$L$44,4,FALSE),0)</f>
        <v>0</v>
      </c>
      <c r="G227" s="91">
        <f>IF($A227=Recto!$I$33,VLOOKUP($A227,Recto!$I$28:$L$44,4,FALSE),0)</f>
        <v>0</v>
      </c>
      <c r="H227" s="91">
        <f>IF($A227=Recto!$I$34,VLOOKUP($A227,Recto!$I$28:$L$44,4,FALSE),0)</f>
        <v>0</v>
      </c>
      <c r="I227" s="91">
        <f>IF($A227=Recto!$I$35,VLOOKUP($A227,Recto!$I$28:$L$44,4,FALSE),0)</f>
        <v>0</v>
      </c>
      <c r="J227" s="91">
        <f>IF($A227=Recto!$I$36,VLOOKUP($A227,Recto!$I$28:$L$44,4,FALSE),0)</f>
        <v>0</v>
      </c>
      <c r="K227" s="91">
        <f>IF($A227=Recto!$I$37,VLOOKUP($A227,Recto!$I$28:$L$44,4,FALSE),0)</f>
        <v>0</v>
      </c>
      <c r="L227" s="91">
        <f>IF($A227=Recto!$I$38,VLOOKUP($A227,Recto!$I$28:$L$44,4,FALSE),0)</f>
        <v>0</v>
      </c>
      <c r="M227" s="91">
        <f>IF($A227=Recto!$I$39,VLOOKUP($A227,Recto!$I$28:$L$44,4,FALSE),0)</f>
        <v>0</v>
      </c>
      <c r="N227" s="91">
        <f>IF($A227=Recto!$I$40,VLOOKUP($A227,Recto!$I$28:$L$44,4,FALSE),0)</f>
        <v>0</v>
      </c>
      <c r="O227" s="91">
        <f>IF($A227=Recto!$I$41,VLOOKUP($A227,Recto!$I$28:$L$44,4,FALSE),0)</f>
        <v>0</v>
      </c>
      <c r="P227" s="91">
        <f>IF($A227=Recto!$I$42,VLOOKUP($A227,Recto!$I$28:$L$44,4,FALSE),0)</f>
        <v>0</v>
      </c>
      <c r="Q227" s="91">
        <f>IF($A227=Recto!$I$43,VLOOKUP($A227,Recto!$I$28:$L$44,4,FALSE),0)</f>
        <v>0</v>
      </c>
      <c r="R227" s="91">
        <f>IF($A227=Recto!$I$44,VLOOKUP($A227,Recto!$I$28:$L$44,4,FALSE),0)</f>
        <v>0</v>
      </c>
      <c r="S227" s="295">
        <f t="shared" si="7"/>
        <v>0</v>
      </c>
    </row>
    <row r="228" spans="1:19" x14ac:dyDescent="0.25">
      <c r="A228" s="500" t="s">
        <v>178</v>
      </c>
      <c r="B228" s="91">
        <f>IF($A228=Recto!$I$28,VLOOKUP($A228,Recto!$I$28:$L$44,4,FALSE),0)</f>
        <v>0</v>
      </c>
      <c r="C228" s="91">
        <f>IF($A228=Recto!$I$29,VLOOKUP($A228,Recto!$I$28:$L$44,4,FALSE),0)</f>
        <v>0</v>
      </c>
      <c r="D228" s="91">
        <f>IF($A228=Recto!$I$30,VLOOKUP($A228,Recto!$I$28:$L$44,4,FALSE),0)</f>
        <v>0</v>
      </c>
      <c r="E228" s="91">
        <f>IF($A228=Recto!$I$31,VLOOKUP($A228,Recto!$I$28:$L$44,4,FALSE),0)</f>
        <v>0</v>
      </c>
      <c r="F228" s="91">
        <f>IF($A228=Recto!$I$32,VLOOKUP($A228,Recto!$I$28:$L$44,4,FALSE),0)</f>
        <v>0</v>
      </c>
      <c r="G228" s="91">
        <f>IF($A228=Recto!$I$33,VLOOKUP($A228,Recto!$I$28:$L$44,4,FALSE),0)</f>
        <v>0</v>
      </c>
      <c r="H228" s="91">
        <f>IF($A228=Recto!$I$34,VLOOKUP($A228,Recto!$I$28:$L$44,4,FALSE),0)</f>
        <v>0</v>
      </c>
      <c r="I228" s="91">
        <f>IF($A228=Recto!$I$35,VLOOKUP($A228,Recto!$I$28:$L$44,4,FALSE),0)</f>
        <v>0</v>
      </c>
      <c r="J228" s="91">
        <f>IF($A228=Recto!$I$36,VLOOKUP($A228,Recto!$I$28:$L$44,4,FALSE),0)</f>
        <v>0</v>
      </c>
      <c r="K228" s="91">
        <f>IF($A228=Recto!$I$37,VLOOKUP($A228,Recto!$I$28:$L$44,4,FALSE),0)</f>
        <v>0</v>
      </c>
      <c r="L228" s="91">
        <f>IF($A228=Recto!$I$38,VLOOKUP($A228,Recto!$I$28:$L$44,4,FALSE),0)</f>
        <v>0</v>
      </c>
      <c r="M228" s="91">
        <f>IF($A228=Recto!$I$39,VLOOKUP($A228,Recto!$I$28:$L$44,4,FALSE),0)</f>
        <v>0</v>
      </c>
      <c r="N228" s="91">
        <f>IF($A228=Recto!$I$40,VLOOKUP($A228,Recto!$I$28:$L$44,4,FALSE),0)</f>
        <v>0</v>
      </c>
      <c r="O228" s="91">
        <f>IF($A228=Recto!$I$41,VLOOKUP($A228,Recto!$I$28:$L$44,4,FALSE),0)</f>
        <v>0</v>
      </c>
      <c r="P228" s="91">
        <f>IF($A228=Recto!$I$42,VLOOKUP($A228,Recto!$I$28:$L$44,4,FALSE),0)</f>
        <v>0</v>
      </c>
      <c r="Q228" s="91">
        <f>IF($A228=Recto!$I$43,VLOOKUP($A228,Recto!$I$28:$L$44,4,FALSE),0)</f>
        <v>0</v>
      </c>
      <c r="R228" s="91">
        <f>IF($A228=Recto!$I$44,VLOOKUP($A228,Recto!$I$28:$L$44,4,FALSE),0)</f>
        <v>0</v>
      </c>
      <c r="S228" s="295">
        <f t="shared" si="7"/>
        <v>0</v>
      </c>
    </row>
    <row r="229" spans="1:19" x14ac:dyDescent="0.25">
      <c r="A229" s="500" t="s">
        <v>4468</v>
      </c>
      <c r="B229" s="91">
        <f>IF($A229=Recto!$I$28,VLOOKUP($A229,Recto!$I$28:$L$44,4,FALSE),0)</f>
        <v>0</v>
      </c>
      <c r="C229" s="91">
        <f>IF($A229=Recto!$I$29,VLOOKUP($A229,Recto!$I$28:$L$44,4,FALSE),0)</f>
        <v>0</v>
      </c>
      <c r="D229" s="91">
        <f>IF($A229=Recto!$I$30,VLOOKUP($A229,Recto!$I$28:$L$44,4,FALSE),0)</f>
        <v>0</v>
      </c>
      <c r="E229" s="91">
        <f>IF($A229=Recto!$I$31,VLOOKUP($A229,Recto!$I$28:$L$44,4,FALSE),0)</f>
        <v>0</v>
      </c>
      <c r="F229" s="91">
        <f>IF($A229=Recto!$I$32,VLOOKUP($A229,Recto!$I$28:$L$44,4,FALSE),0)</f>
        <v>0</v>
      </c>
      <c r="G229" s="91">
        <f>IF($A229=Recto!$I$33,VLOOKUP($A229,Recto!$I$28:$L$44,4,FALSE),0)</f>
        <v>0</v>
      </c>
      <c r="H229" s="91">
        <f>IF($A229=Recto!$I$34,VLOOKUP($A229,Recto!$I$28:$L$44,4,FALSE),0)</f>
        <v>0</v>
      </c>
      <c r="I229" s="91">
        <f>IF($A229=Recto!$I$35,VLOOKUP($A229,Recto!$I$28:$L$44,4,FALSE),0)</f>
        <v>0</v>
      </c>
      <c r="J229" s="91">
        <f>IF($A229=Recto!$I$36,VLOOKUP($A229,Recto!$I$28:$L$44,4,FALSE),0)</f>
        <v>0</v>
      </c>
      <c r="K229" s="91">
        <f>IF($A229=Recto!$I$37,VLOOKUP($A229,Recto!$I$28:$L$44,4,FALSE),0)</f>
        <v>0</v>
      </c>
      <c r="L229" s="91">
        <f>IF($A229=Recto!$I$38,VLOOKUP($A229,Recto!$I$28:$L$44,4,FALSE),0)</f>
        <v>0</v>
      </c>
      <c r="M229" s="91">
        <f>IF($A229=Recto!$I$39,VLOOKUP($A229,Recto!$I$28:$L$44,4,FALSE),0)</f>
        <v>0</v>
      </c>
      <c r="N229" s="91">
        <f>IF($A229=Recto!$I$40,VLOOKUP($A229,Recto!$I$28:$L$44,4,FALSE),0)</f>
        <v>0</v>
      </c>
      <c r="O229" s="91">
        <f>IF($A229=Recto!$I$41,VLOOKUP($A229,Recto!$I$28:$L$44,4,FALSE),0)</f>
        <v>0</v>
      </c>
      <c r="P229" s="91">
        <f>IF($A229=Recto!$I$42,VLOOKUP($A229,Recto!$I$28:$L$44,4,FALSE),0)</f>
        <v>0</v>
      </c>
      <c r="Q229" s="91">
        <f>IF($A229=Recto!$I$43,VLOOKUP($A229,Recto!$I$28:$L$44,4,FALSE),0)</f>
        <v>0</v>
      </c>
      <c r="R229" s="91">
        <f>IF($A229=Recto!$I$44,VLOOKUP($A229,Recto!$I$28:$L$44,4,FALSE),0)</f>
        <v>0</v>
      </c>
      <c r="S229" s="295">
        <f t="shared" si="7"/>
        <v>0</v>
      </c>
    </row>
    <row r="230" spans="1:19" x14ac:dyDescent="0.25">
      <c r="A230" s="500" t="s">
        <v>3299</v>
      </c>
      <c r="B230" s="91">
        <f>IF($A230=Recto!$I$28,VLOOKUP($A230,Recto!$I$28:$L$44,4,FALSE),0)</f>
        <v>0</v>
      </c>
      <c r="C230" s="91">
        <f>IF($A230=Recto!$I$29,VLOOKUP($A230,Recto!$I$28:$L$44,4,FALSE),0)</f>
        <v>0</v>
      </c>
      <c r="D230" s="91">
        <f>IF($A230=Recto!$I$30,VLOOKUP($A230,Recto!$I$28:$L$44,4,FALSE),0)</f>
        <v>0</v>
      </c>
      <c r="E230" s="91">
        <f>IF($A230=Recto!$I$31,VLOOKUP($A230,Recto!$I$28:$L$44,4,FALSE),0)</f>
        <v>0</v>
      </c>
      <c r="F230" s="91">
        <f>IF($A230=Recto!$I$32,VLOOKUP($A230,Recto!$I$28:$L$44,4,FALSE),0)</f>
        <v>0</v>
      </c>
      <c r="G230" s="91">
        <f>IF($A230=Recto!$I$33,VLOOKUP($A230,Recto!$I$28:$L$44,4,FALSE),0)</f>
        <v>0</v>
      </c>
      <c r="H230" s="91">
        <f>IF($A230=Recto!$I$34,VLOOKUP($A230,Recto!$I$28:$L$44,4,FALSE),0)</f>
        <v>0</v>
      </c>
      <c r="I230" s="91">
        <f>IF($A230=Recto!$I$35,VLOOKUP($A230,Recto!$I$28:$L$44,4,FALSE),0)</f>
        <v>0</v>
      </c>
      <c r="J230" s="91">
        <f>IF($A230=Recto!$I$36,VLOOKUP($A230,Recto!$I$28:$L$44,4,FALSE),0)</f>
        <v>0</v>
      </c>
      <c r="K230" s="91">
        <f>IF($A230=Recto!$I$37,VLOOKUP($A230,Recto!$I$28:$L$44,4,FALSE),0)</f>
        <v>0</v>
      </c>
      <c r="L230" s="91">
        <f>IF($A230=Recto!$I$38,VLOOKUP($A230,Recto!$I$28:$L$44,4,FALSE),0)</f>
        <v>0</v>
      </c>
      <c r="M230" s="91">
        <f>IF($A230=Recto!$I$39,VLOOKUP($A230,Recto!$I$28:$L$44,4,FALSE),0)</f>
        <v>0</v>
      </c>
      <c r="N230" s="91">
        <f>IF($A230=Recto!$I$40,VLOOKUP($A230,Recto!$I$28:$L$44,4,FALSE),0)</f>
        <v>0</v>
      </c>
      <c r="O230" s="91">
        <f>IF($A230=Recto!$I$41,VLOOKUP($A230,Recto!$I$28:$L$44,4,FALSE),0)</f>
        <v>0</v>
      </c>
      <c r="P230" s="91">
        <f>IF($A230=Recto!$I$42,VLOOKUP($A230,Recto!$I$28:$L$44,4,FALSE),0)</f>
        <v>0</v>
      </c>
      <c r="Q230" s="91">
        <f>IF($A230=Recto!$I$43,VLOOKUP($A230,Recto!$I$28:$L$44,4,FALSE),0)</f>
        <v>0</v>
      </c>
      <c r="R230" s="91">
        <f>IF($A230=Recto!$I$44,VLOOKUP($A230,Recto!$I$28:$L$44,4,FALSE),0)</f>
        <v>0</v>
      </c>
      <c r="S230" s="295">
        <f t="shared" si="7"/>
        <v>0</v>
      </c>
    </row>
    <row r="231" spans="1:19" s="196" customFormat="1" x14ac:dyDescent="0.25">
      <c r="A231" s="136" t="s">
        <v>7693</v>
      </c>
      <c r="B231" s="91">
        <f>IF($A231=Recto!$I$28,VLOOKUP($A231,Recto!$I$28:$L$44,4,FALSE),0)</f>
        <v>0</v>
      </c>
      <c r="C231" s="91">
        <f>IF($A231=Recto!$I$29,VLOOKUP($A231,Recto!$I$28:$L$44,4,FALSE),0)</f>
        <v>0</v>
      </c>
      <c r="D231" s="91">
        <f>IF($A231=Recto!$I$30,VLOOKUP($A231,Recto!$I$28:$L$44,4,FALSE),0)</f>
        <v>0</v>
      </c>
      <c r="E231" s="91">
        <f>IF($A231=Recto!$I$31,VLOOKUP($A231,Recto!$I$28:$L$44,4,FALSE),0)</f>
        <v>0</v>
      </c>
      <c r="F231" s="91">
        <f>IF($A231=Recto!$I$32,VLOOKUP($A231,Recto!$I$28:$L$44,4,FALSE),0)</f>
        <v>0</v>
      </c>
      <c r="G231" s="91">
        <f>IF($A231=Recto!$I$33,VLOOKUP($A231,Recto!$I$28:$L$44,4,FALSE),0)</f>
        <v>0</v>
      </c>
      <c r="H231" s="91">
        <f>IF($A231=Recto!$I$34,VLOOKUP($A231,Recto!$I$28:$L$44,4,FALSE),0)</f>
        <v>0</v>
      </c>
      <c r="I231" s="91">
        <f>IF($A231=Recto!$I$35,VLOOKUP($A231,Recto!$I$28:$L$44,4,FALSE),0)</f>
        <v>0</v>
      </c>
      <c r="J231" s="91">
        <f>IF($A231=Recto!$I$36,VLOOKUP($A231,Recto!$I$28:$L$44,4,FALSE),0)</f>
        <v>0</v>
      </c>
      <c r="K231" s="91">
        <f>IF($A231=Recto!$I$37,VLOOKUP($A231,Recto!$I$28:$L$44,4,FALSE),0)</f>
        <v>0</v>
      </c>
      <c r="L231" s="91">
        <f>IF($A231=Recto!$I$38,VLOOKUP($A231,Recto!$I$28:$L$44,4,FALSE),0)</f>
        <v>0</v>
      </c>
      <c r="M231" s="91">
        <f>IF($A231=Recto!$I$39,VLOOKUP($A231,Recto!$I$28:$L$44,4,FALSE),0)</f>
        <v>0</v>
      </c>
      <c r="N231" s="91">
        <f>IF($A231=Recto!$I$40,VLOOKUP($A231,Recto!$I$28:$L$44,4,FALSE),0)</f>
        <v>0</v>
      </c>
      <c r="O231" s="91">
        <f>IF($A231=Recto!$I$41,VLOOKUP($A231,Recto!$I$28:$L$44,4,FALSE),0)</f>
        <v>0</v>
      </c>
      <c r="P231" s="91">
        <f>IF($A231=Recto!$I$42,VLOOKUP($A231,Recto!$I$28:$L$44,4,FALSE),0)</f>
        <v>0</v>
      </c>
      <c r="Q231" s="91">
        <f>IF($A231=Recto!$I$43,VLOOKUP($A231,Recto!$I$28:$L$44,4,FALSE),0)</f>
        <v>0</v>
      </c>
      <c r="R231" s="91">
        <f>IF($A231=Recto!$I$44,VLOOKUP($A231,Recto!$I$28:$L$44,4,FALSE),0)</f>
        <v>0</v>
      </c>
      <c r="S231" s="295">
        <f t="shared" si="7"/>
        <v>0</v>
      </c>
    </row>
    <row r="232" spans="1:19" x14ac:dyDescent="0.25">
      <c r="A232" s="500" t="s">
        <v>1313</v>
      </c>
      <c r="B232" s="91">
        <f>IF($A232=Recto!$I$28,VLOOKUP($A232,Recto!$I$28:$L$44,4,FALSE),0)</f>
        <v>0</v>
      </c>
      <c r="C232" s="91">
        <f>IF($A232=Recto!$I$29,VLOOKUP($A232,Recto!$I$28:$L$44,4,FALSE),0)</f>
        <v>0</v>
      </c>
      <c r="D232" s="91">
        <f>IF($A232=Recto!$I$30,VLOOKUP($A232,Recto!$I$28:$L$44,4,FALSE),0)</f>
        <v>0</v>
      </c>
      <c r="E232" s="91">
        <f>IF($A232=Recto!$I$31,VLOOKUP($A232,Recto!$I$28:$L$44,4,FALSE),0)</f>
        <v>0</v>
      </c>
      <c r="F232" s="91">
        <f>IF($A232=Recto!$I$32,VLOOKUP($A232,Recto!$I$28:$L$44,4,FALSE),0)</f>
        <v>0</v>
      </c>
      <c r="G232" s="91">
        <f>IF($A232=Recto!$I$33,VLOOKUP($A232,Recto!$I$28:$L$44,4,FALSE),0)</f>
        <v>0</v>
      </c>
      <c r="H232" s="91">
        <f>IF($A232=Recto!$I$34,VLOOKUP($A232,Recto!$I$28:$L$44,4,FALSE),0)</f>
        <v>0</v>
      </c>
      <c r="I232" s="91">
        <f>IF($A232=Recto!$I$35,VLOOKUP($A232,Recto!$I$28:$L$44,4,FALSE),0)</f>
        <v>0</v>
      </c>
      <c r="J232" s="91">
        <f>IF($A232=Recto!$I$36,VLOOKUP($A232,Recto!$I$28:$L$44,4,FALSE),0)</f>
        <v>0</v>
      </c>
      <c r="K232" s="91">
        <f>IF($A232=Recto!$I$37,VLOOKUP($A232,Recto!$I$28:$L$44,4,FALSE),0)</f>
        <v>0</v>
      </c>
      <c r="L232" s="91">
        <f>IF($A232=Recto!$I$38,VLOOKUP($A232,Recto!$I$28:$L$44,4,FALSE),0)</f>
        <v>0</v>
      </c>
      <c r="M232" s="91">
        <f>IF($A232=Recto!$I$39,VLOOKUP($A232,Recto!$I$28:$L$44,4,FALSE),0)</f>
        <v>0</v>
      </c>
      <c r="N232" s="91">
        <f>IF($A232=Recto!$I$40,VLOOKUP($A232,Recto!$I$28:$L$44,4,FALSE),0)</f>
        <v>0</v>
      </c>
      <c r="O232" s="91">
        <f>IF($A232=Recto!$I$41,VLOOKUP($A232,Recto!$I$28:$L$44,4,FALSE),0)</f>
        <v>0</v>
      </c>
      <c r="P232" s="91">
        <f>IF($A232=Recto!$I$42,VLOOKUP($A232,Recto!$I$28:$L$44,4,FALSE),0)</f>
        <v>0</v>
      </c>
      <c r="Q232" s="91">
        <f>IF($A232=Recto!$I$43,VLOOKUP($A232,Recto!$I$28:$L$44,4,FALSE),0)</f>
        <v>0</v>
      </c>
      <c r="R232" s="91">
        <f>IF($A232=Recto!$I$44,VLOOKUP($A232,Recto!$I$28:$L$44,4,FALSE),0)</f>
        <v>0</v>
      </c>
      <c r="S232" s="295">
        <f t="shared" si="7"/>
        <v>0</v>
      </c>
    </row>
    <row r="233" spans="1:19" s="196" customFormat="1" x14ac:dyDescent="0.25">
      <c r="A233" s="500" t="s">
        <v>7876</v>
      </c>
      <c r="B233" s="91">
        <f>IF($A233=Recto!$I$28,VLOOKUP($A233,Recto!$I$28:$L$44,4,FALSE),0)</f>
        <v>0</v>
      </c>
      <c r="C233" s="91">
        <f>IF($A233=Recto!$I$29,VLOOKUP($A233,Recto!$I$28:$L$44,4,FALSE),0)</f>
        <v>0</v>
      </c>
      <c r="D233" s="91">
        <f>IF($A233=Recto!$I$30,VLOOKUP($A233,Recto!$I$28:$L$44,4,FALSE),0)</f>
        <v>0</v>
      </c>
      <c r="E233" s="91">
        <f>IF($A233=Recto!$I$31,VLOOKUP($A233,Recto!$I$28:$L$44,4,FALSE),0)</f>
        <v>0</v>
      </c>
      <c r="F233" s="91">
        <f>IF($A233=Recto!$I$32,VLOOKUP($A233,Recto!$I$28:$L$44,4,FALSE),0)</f>
        <v>0</v>
      </c>
      <c r="G233" s="91">
        <f>IF($A233=Recto!$I$33,VLOOKUP($A233,Recto!$I$28:$L$44,4,FALSE),0)</f>
        <v>0</v>
      </c>
      <c r="H233" s="91">
        <f>IF($A233=Recto!$I$34,VLOOKUP($A233,Recto!$I$28:$L$44,4,FALSE),0)</f>
        <v>0</v>
      </c>
      <c r="I233" s="91">
        <f>IF($A233=Recto!$I$35,VLOOKUP($A233,Recto!$I$28:$L$44,4,FALSE),0)</f>
        <v>0</v>
      </c>
      <c r="J233" s="91">
        <f>IF($A233=Recto!$I$36,VLOOKUP($A233,Recto!$I$28:$L$44,4,FALSE),0)</f>
        <v>0</v>
      </c>
      <c r="K233" s="91">
        <f>IF($A233=Recto!$I$37,VLOOKUP($A233,Recto!$I$28:$L$44,4,FALSE),0)</f>
        <v>0</v>
      </c>
      <c r="L233" s="91">
        <f>IF($A233=Recto!$I$38,VLOOKUP($A233,Recto!$I$28:$L$44,4,FALSE),0)</f>
        <v>0</v>
      </c>
      <c r="M233" s="91">
        <f>IF($A233=Recto!$I$39,VLOOKUP($A233,Recto!$I$28:$L$44,4,FALSE),0)</f>
        <v>0</v>
      </c>
      <c r="N233" s="91">
        <f>IF($A233=Recto!$I$40,VLOOKUP($A233,Recto!$I$28:$L$44,4,FALSE),0)</f>
        <v>0</v>
      </c>
      <c r="O233" s="91">
        <f>IF($A233=Recto!$I$41,VLOOKUP($A233,Recto!$I$28:$L$44,4,FALSE),0)</f>
        <v>0</v>
      </c>
      <c r="P233" s="91">
        <f>IF($A233=Recto!$I$42,VLOOKUP($A233,Recto!$I$28:$L$44,4,FALSE),0)</f>
        <v>0</v>
      </c>
      <c r="Q233" s="91">
        <f>IF($A233=Recto!$I$43,VLOOKUP($A233,Recto!$I$28:$L$44,4,FALSE),0)</f>
        <v>0</v>
      </c>
      <c r="R233" s="91">
        <f>IF($A233=Recto!$I$44,VLOOKUP($A233,Recto!$I$28:$L$44,4,FALSE),0)</f>
        <v>0</v>
      </c>
      <c r="S233" s="295">
        <f t="shared" si="7"/>
        <v>0</v>
      </c>
    </row>
    <row r="234" spans="1:19" x14ac:dyDescent="0.25">
      <c r="A234" s="500" t="s">
        <v>3295</v>
      </c>
      <c r="B234" s="91">
        <f>IF($A234=Recto!$I$28,VLOOKUP($A234,Recto!$I$28:$L$44,4,FALSE),0)</f>
        <v>0</v>
      </c>
      <c r="C234" s="91">
        <f>IF($A234=Recto!$I$29,VLOOKUP($A234,Recto!$I$28:$L$44,4,FALSE),0)</f>
        <v>0</v>
      </c>
      <c r="D234" s="91">
        <f>IF($A234=Recto!$I$30,VLOOKUP($A234,Recto!$I$28:$L$44,4,FALSE),0)</f>
        <v>0</v>
      </c>
      <c r="E234" s="91">
        <f>IF($A234=Recto!$I$31,VLOOKUP($A234,Recto!$I$28:$L$44,4,FALSE),0)</f>
        <v>0</v>
      </c>
      <c r="F234" s="91">
        <f>IF($A234=Recto!$I$32,VLOOKUP($A234,Recto!$I$28:$L$44,4,FALSE),0)</f>
        <v>0</v>
      </c>
      <c r="G234" s="91">
        <f>IF($A234=Recto!$I$33,VLOOKUP($A234,Recto!$I$28:$L$44,4,FALSE),0)</f>
        <v>0</v>
      </c>
      <c r="H234" s="91">
        <f>IF($A234=Recto!$I$34,VLOOKUP($A234,Recto!$I$28:$L$44,4,FALSE),0)</f>
        <v>0</v>
      </c>
      <c r="I234" s="91">
        <f>IF($A234=Recto!$I$35,VLOOKUP($A234,Recto!$I$28:$L$44,4,FALSE),0)</f>
        <v>0</v>
      </c>
      <c r="J234" s="91">
        <f>IF($A234=Recto!$I$36,VLOOKUP($A234,Recto!$I$28:$L$44,4,FALSE),0)</f>
        <v>0</v>
      </c>
      <c r="K234" s="91">
        <f>IF($A234=Recto!$I$37,VLOOKUP($A234,Recto!$I$28:$L$44,4,FALSE),0)</f>
        <v>0</v>
      </c>
      <c r="L234" s="91">
        <f>IF($A234=Recto!$I$38,VLOOKUP($A234,Recto!$I$28:$L$44,4,FALSE),0)</f>
        <v>0</v>
      </c>
      <c r="M234" s="91">
        <f>IF($A234=Recto!$I$39,VLOOKUP($A234,Recto!$I$28:$L$44,4,FALSE),0)</f>
        <v>0</v>
      </c>
      <c r="N234" s="91">
        <f>IF($A234=Recto!$I$40,VLOOKUP($A234,Recto!$I$28:$L$44,4,FALSE),0)</f>
        <v>0</v>
      </c>
      <c r="O234" s="91">
        <f>IF($A234=Recto!$I$41,VLOOKUP($A234,Recto!$I$28:$L$44,4,FALSE),0)</f>
        <v>0</v>
      </c>
      <c r="P234" s="91">
        <f>IF($A234=Recto!$I$42,VLOOKUP($A234,Recto!$I$28:$L$44,4,FALSE),0)</f>
        <v>0</v>
      </c>
      <c r="Q234" s="91">
        <f>IF($A234=Recto!$I$43,VLOOKUP($A234,Recto!$I$28:$L$44,4,FALSE),0)</f>
        <v>0</v>
      </c>
      <c r="R234" s="91">
        <f>IF($A234=Recto!$I$44,VLOOKUP($A234,Recto!$I$28:$L$44,4,FALSE),0)</f>
        <v>0</v>
      </c>
      <c r="S234" s="295">
        <f t="shared" si="7"/>
        <v>0</v>
      </c>
    </row>
    <row r="235" spans="1:19" s="196" customFormat="1" x14ac:dyDescent="0.25">
      <c r="A235" s="136" t="s">
        <v>7447</v>
      </c>
      <c r="B235" s="91">
        <f>IF($A235=Recto!$I$28,VLOOKUP($A235,Recto!$I$28:$L$44,4,FALSE),0)</f>
        <v>0</v>
      </c>
      <c r="C235" s="91">
        <f>IF($A235=Recto!$I$29,VLOOKUP($A235,Recto!$I$28:$L$44,4,FALSE),0)</f>
        <v>0</v>
      </c>
      <c r="D235" s="91">
        <f>IF($A235=Recto!$I$30,VLOOKUP($A235,Recto!$I$28:$L$44,4,FALSE),0)</f>
        <v>0</v>
      </c>
      <c r="E235" s="91">
        <f>IF($A235=Recto!$I$31,VLOOKUP($A235,Recto!$I$28:$L$44,4,FALSE),0)</f>
        <v>0</v>
      </c>
      <c r="F235" s="91">
        <f>IF($A235=Recto!$I$32,VLOOKUP($A235,Recto!$I$28:$L$44,4,FALSE),0)</f>
        <v>0</v>
      </c>
      <c r="G235" s="91">
        <f>IF($A235=Recto!$I$33,VLOOKUP($A235,Recto!$I$28:$L$44,4,FALSE),0)</f>
        <v>0</v>
      </c>
      <c r="H235" s="91">
        <f>IF($A235=Recto!$I$34,VLOOKUP($A235,Recto!$I$28:$L$44,4,FALSE),0)</f>
        <v>0</v>
      </c>
      <c r="I235" s="91">
        <f>IF($A235=Recto!$I$35,VLOOKUP($A235,Recto!$I$28:$L$44,4,FALSE),0)</f>
        <v>0</v>
      </c>
      <c r="J235" s="91">
        <f>IF($A235=Recto!$I$36,VLOOKUP($A235,Recto!$I$28:$L$44,4,FALSE),0)</f>
        <v>0</v>
      </c>
      <c r="K235" s="91">
        <f>IF($A235=Recto!$I$37,VLOOKUP($A235,Recto!$I$28:$L$44,4,FALSE),0)</f>
        <v>0</v>
      </c>
      <c r="L235" s="91">
        <f>IF($A235=Recto!$I$38,VLOOKUP($A235,Recto!$I$28:$L$44,4,FALSE),0)</f>
        <v>0</v>
      </c>
      <c r="M235" s="91">
        <f>IF($A235=Recto!$I$39,VLOOKUP($A235,Recto!$I$28:$L$44,4,FALSE),0)</f>
        <v>0</v>
      </c>
      <c r="N235" s="91">
        <f>IF($A235=Recto!$I$40,VLOOKUP($A235,Recto!$I$28:$L$44,4,FALSE),0)</f>
        <v>0</v>
      </c>
      <c r="O235" s="91">
        <f>IF($A235=Recto!$I$41,VLOOKUP($A235,Recto!$I$28:$L$44,4,FALSE),0)</f>
        <v>0</v>
      </c>
      <c r="P235" s="91">
        <f>IF($A235=Recto!$I$42,VLOOKUP($A235,Recto!$I$28:$L$44,4,FALSE),0)</f>
        <v>0</v>
      </c>
      <c r="Q235" s="91">
        <f>IF($A235=Recto!$I$43,VLOOKUP($A235,Recto!$I$28:$L$44,4,FALSE),0)</f>
        <v>0</v>
      </c>
      <c r="R235" s="91">
        <f>IF($A235=Recto!$I$44,VLOOKUP($A235,Recto!$I$28:$L$44,4,FALSE),0)</f>
        <v>0</v>
      </c>
      <c r="S235" s="295">
        <f>SUM(B235:R235)</f>
        <v>0</v>
      </c>
    </row>
    <row r="236" spans="1:19" s="196" customFormat="1" x14ac:dyDescent="0.25">
      <c r="A236" s="136" t="s">
        <v>6852</v>
      </c>
      <c r="B236" s="91">
        <f>IF($A236=Recto!$I$28,VLOOKUP($A236,Recto!$I$28:$L$44,4,FALSE),0)</f>
        <v>0</v>
      </c>
      <c r="C236" s="91">
        <f>IF($A236=Recto!$I$29,VLOOKUP($A236,Recto!$I$28:$L$44,4,FALSE),0)</f>
        <v>0</v>
      </c>
      <c r="D236" s="91">
        <f>IF($A236=Recto!$I$30,VLOOKUP($A236,Recto!$I$28:$L$44,4,FALSE),0)</f>
        <v>0</v>
      </c>
      <c r="E236" s="91">
        <f>IF($A236=Recto!$I$31,VLOOKUP($A236,Recto!$I$28:$L$44,4,FALSE),0)</f>
        <v>0</v>
      </c>
      <c r="F236" s="91">
        <f>IF($A236=Recto!$I$32,VLOOKUP($A236,Recto!$I$28:$L$44,4,FALSE),0)</f>
        <v>0</v>
      </c>
      <c r="G236" s="91">
        <f>IF($A236=Recto!$I$33,VLOOKUP($A236,Recto!$I$28:$L$44,4,FALSE),0)</f>
        <v>0</v>
      </c>
      <c r="H236" s="91">
        <f>IF($A236=Recto!$I$34,VLOOKUP($A236,Recto!$I$28:$L$44,4,FALSE),0)</f>
        <v>0</v>
      </c>
      <c r="I236" s="91">
        <f>IF($A236=Recto!$I$35,VLOOKUP($A236,Recto!$I$28:$L$44,4,FALSE),0)</f>
        <v>0</v>
      </c>
      <c r="J236" s="91">
        <f>IF($A236=Recto!$I$36,VLOOKUP($A236,Recto!$I$28:$L$44,4,FALSE),0)</f>
        <v>0</v>
      </c>
      <c r="K236" s="91">
        <f>IF($A236=Recto!$I$37,VLOOKUP($A236,Recto!$I$28:$L$44,4,FALSE),0)</f>
        <v>0</v>
      </c>
      <c r="L236" s="91">
        <f>IF($A236=Recto!$I$38,VLOOKUP($A236,Recto!$I$28:$L$44,4,FALSE),0)</f>
        <v>0</v>
      </c>
      <c r="M236" s="91">
        <f>IF($A236=Recto!$I$39,VLOOKUP($A236,Recto!$I$28:$L$44,4,FALSE),0)</f>
        <v>0</v>
      </c>
      <c r="N236" s="91">
        <f>IF($A236=Recto!$I$40,VLOOKUP($A236,Recto!$I$28:$L$44,4,FALSE),0)</f>
        <v>0</v>
      </c>
      <c r="O236" s="91">
        <f>IF($A236=Recto!$I$41,VLOOKUP($A236,Recto!$I$28:$L$44,4,FALSE),0)</f>
        <v>0</v>
      </c>
      <c r="P236" s="91">
        <f>IF($A236=Recto!$I$42,VLOOKUP($A236,Recto!$I$28:$L$44,4,FALSE),0)</f>
        <v>0</v>
      </c>
      <c r="Q236" s="91">
        <f>IF($A236=Recto!$I$43,VLOOKUP($A236,Recto!$I$28:$L$44,4,FALSE),0)</f>
        <v>0</v>
      </c>
      <c r="R236" s="91">
        <f>IF($A236=Recto!$I$44,VLOOKUP($A236,Recto!$I$28:$L$44,4,FALSE),0)</f>
        <v>0</v>
      </c>
      <c r="S236" s="295">
        <f t="shared" ref="S236:S300" si="8">SUM(B236:R236)</f>
        <v>0</v>
      </c>
    </row>
    <row r="237" spans="1:19" x14ac:dyDescent="0.25">
      <c r="A237" s="500" t="s">
        <v>114</v>
      </c>
      <c r="B237" s="91">
        <f>IF($A237=Recto!$I$28,VLOOKUP($A237,Recto!$I$28:$L$44,4,FALSE),0)</f>
        <v>0</v>
      </c>
      <c r="C237" s="91">
        <f>IF($A237=Recto!$I$29,VLOOKUP($A237,Recto!$I$28:$L$44,4,FALSE),0)</f>
        <v>0</v>
      </c>
      <c r="D237" s="91">
        <f>IF($A237=Recto!$I$30,VLOOKUP($A237,Recto!$I$28:$L$44,4,FALSE),0)</f>
        <v>0</v>
      </c>
      <c r="E237" s="91">
        <f>IF($A237=Recto!$I$31,VLOOKUP($A237,Recto!$I$28:$L$44,4,FALSE),0)</f>
        <v>0</v>
      </c>
      <c r="F237" s="91">
        <f>IF($A237=Recto!$I$32,VLOOKUP($A237,Recto!$I$28:$L$44,4,FALSE),0)</f>
        <v>0</v>
      </c>
      <c r="G237" s="91">
        <f>IF($A237=Recto!$I$33,VLOOKUP($A237,Recto!$I$28:$L$44,4,FALSE),0)</f>
        <v>0</v>
      </c>
      <c r="H237" s="91">
        <f>IF($A237=Recto!$I$34,VLOOKUP($A237,Recto!$I$28:$L$44,4,FALSE),0)</f>
        <v>0</v>
      </c>
      <c r="I237" s="91">
        <f>IF($A237=Recto!$I$35,VLOOKUP($A237,Recto!$I$28:$L$44,4,FALSE),0)</f>
        <v>0</v>
      </c>
      <c r="J237" s="91">
        <f>IF($A237=Recto!$I$36,VLOOKUP($A237,Recto!$I$28:$L$44,4,FALSE),0)</f>
        <v>0</v>
      </c>
      <c r="K237" s="91">
        <f>IF($A237=Recto!$I$37,VLOOKUP($A237,Recto!$I$28:$L$44,4,FALSE),0)</f>
        <v>0</v>
      </c>
      <c r="L237" s="91">
        <f>IF($A237=Recto!$I$38,VLOOKUP($A237,Recto!$I$28:$L$44,4,FALSE),0)</f>
        <v>0</v>
      </c>
      <c r="M237" s="91">
        <f>IF($A237=Recto!$I$39,VLOOKUP($A237,Recto!$I$28:$L$44,4,FALSE),0)</f>
        <v>0</v>
      </c>
      <c r="N237" s="91">
        <f>IF($A237=Recto!$I$40,VLOOKUP($A237,Recto!$I$28:$L$44,4,FALSE),0)</f>
        <v>0</v>
      </c>
      <c r="O237" s="91">
        <f>IF($A237=Recto!$I$41,VLOOKUP($A237,Recto!$I$28:$L$44,4,FALSE),0)</f>
        <v>0</v>
      </c>
      <c r="P237" s="91">
        <f>IF($A237=Recto!$I$42,VLOOKUP($A237,Recto!$I$28:$L$44,4,FALSE),0)</f>
        <v>0</v>
      </c>
      <c r="Q237" s="91">
        <f>IF($A237=Recto!$I$43,VLOOKUP($A237,Recto!$I$28:$L$44,4,FALSE),0)</f>
        <v>0</v>
      </c>
      <c r="R237" s="91">
        <f>IF($A237=Recto!$I$44,VLOOKUP($A237,Recto!$I$28:$L$44,4,FALSE),0)</f>
        <v>0</v>
      </c>
      <c r="S237" s="295">
        <f t="shared" si="8"/>
        <v>0</v>
      </c>
    </row>
    <row r="238" spans="1:19" x14ac:dyDescent="0.25">
      <c r="A238" s="500" t="s">
        <v>3394</v>
      </c>
      <c r="B238" s="91">
        <f>IF($A238=Recto!$I$28,VLOOKUP($A238,Recto!$I$28:$L$44,4,FALSE),0)</f>
        <v>0</v>
      </c>
      <c r="C238" s="91">
        <f>IF($A238=Recto!$I$29,VLOOKUP($A238,Recto!$I$28:$L$44,4,FALSE),0)</f>
        <v>0</v>
      </c>
      <c r="D238" s="91">
        <f>IF($A238=Recto!$I$30,VLOOKUP($A238,Recto!$I$28:$L$44,4,FALSE),0)</f>
        <v>0</v>
      </c>
      <c r="E238" s="91">
        <f>IF($A238=Recto!$I$31,VLOOKUP($A238,Recto!$I$28:$L$44,4,FALSE),0)</f>
        <v>0</v>
      </c>
      <c r="F238" s="91">
        <f>IF($A238=Recto!$I$32,VLOOKUP($A238,Recto!$I$28:$L$44,4,FALSE),0)</f>
        <v>0</v>
      </c>
      <c r="G238" s="91">
        <f>IF($A238=Recto!$I$33,VLOOKUP($A238,Recto!$I$28:$L$44,4,FALSE),0)</f>
        <v>0</v>
      </c>
      <c r="H238" s="91">
        <f>IF($A238=Recto!$I$34,VLOOKUP($A238,Recto!$I$28:$L$44,4,FALSE),0)</f>
        <v>0</v>
      </c>
      <c r="I238" s="91">
        <f>IF($A238=Recto!$I$35,VLOOKUP($A238,Recto!$I$28:$L$44,4,FALSE),0)</f>
        <v>0</v>
      </c>
      <c r="J238" s="91">
        <f>IF($A238=Recto!$I$36,VLOOKUP($A238,Recto!$I$28:$L$44,4,FALSE),0)</f>
        <v>0</v>
      </c>
      <c r="K238" s="91">
        <f>IF($A238=Recto!$I$37,VLOOKUP($A238,Recto!$I$28:$L$44,4,FALSE),0)</f>
        <v>0</v>
      </c>
      <c r="L238" s="91">
        <f>IF($A238=Recto!$I$38,VLOOKUP($A238,Recto!$I$28:$L$44,4,FALSE),0)</f>
        <v>0</v>
      </c>
      <c r="M238" s="91">
        <f>IF($A238=Recto!$I$39,VLOOKUP($A238,Recto!$I$28:$L$44,4,FALSE),0)</f>
        <v>0</v>
      </c>
      <c r="N238" s="91">
        <f>IF($A238=Recto!$I$40,VLOOKUP($A238,Recto!$I$28:$L$44,4,FALSE),0)</f>
        <v>0</v>
      </c>
      <c r="O238" s="91">
        <f>IF($A238=Recto!$I$41,VLOOKUP($A238,Recto!$I$28:$L$44,4,FALSE),0)</f>
        <v>0</v>
      </c>
      <c r="P238" s="91">
        <f>IF($A238=Recto!$I$42,VLOOKUP($A238,Recto!$I$28:$L$44,4,FALSE),0)</f>
        <v>0</v>
      </c>
      <c r="Q238" s="91">
        <f>IF($A238=Recto!$I$43,VLOOKUP($A238,Recto!$I$28:$L$44,4,FALSE),0)</f>
        <v>0</v>
      </c>
      <c r="R238" s="91">
        <f>IF($A238=Recto!$I$44,VLOOKUP($A238,Recto!$I$28:$L$44,4,FALSE),0)</f>
        <v>0</v>
      </c>
      <c r="S238" s="295">
        <f t="shared" si="8"/>
        <v>0</v>
      </c>
    </row>
    <row r="239" spans="1:19" x14ac:dyDescent="0.25">
      <c r="A239" s="500" t="s">
        <v>3764</v>
      </c>
      <c r="B239" s="91">
        <f>IF($A239=Recto!$I$28,VLOOKUP($A239,Recto!$I$28:$L$44,4,FALSE),0)</f>
        <v>0</v>
      </c>
      <c r="C239" s="91">
        <f>IF($A239=Recto!$I$29,VLOOKUP($A239,Recto!$I$28:$L$44,4,FALSE),0)</f>
        <v>0</v>
      </c>
      <c r="D239" s="91">
        <f>IF($A239=Recto!$I$30,VLOOKUP($A239,Recto!$I$28:$L$44,4,FALSE),0)</f>
        <v>0</v>
      </c>
      <c r="E239" s="91">
        <f>IF($A239=Recto!$I$31,VLOOKUP($A239,Recto!$I$28:$L$44,4,FALSE),0)</f>
        <v>0</v>
      </c>
      <c r="F239" s="91">
        <f>IF($A239=Recto!$I$32,VLOOKUP($A239,Recto!$I$28:$L$44,4,FALSE),0)</f>
        <v>0</v>
      </c>
      <c r="G239" s="91">
        <f>IF($A239=Recto!$I$33,VLOOKUP($A239,Recto!$I$28:$L$44,4,FALSE),0)</f>
        <v>0</v>
      </c>
      <c r="H239" s="91">
        <f>IF($A239=Recto!$I$34,VLOOKUP($A239,Recto!$I$28:$L$44,4,FALSE),0)</f>
        <v>0</v>
      </c>
      <c r="I239" s="91">
        <f>IF($A239=Recto!$I$35,VLOOKUP($A239,Recto!$I$28:$L$44,4,FALSE),0)</f>
        <v>0</v>
      </c>
      <c r="J239" s="91">
        <f>IF($A239=Recto!$I$36,VLOOKUP($A239,Recto!$I$28:$L$44,4,FALSE),0)</f>
        <v>0</v>
      </c>
      <c r="K239" s="91">
        <f>IF($A239=Recto!$I$37,VLOOKUP($A239,Recto!$I$28:$L$44,4,FALSE),0)</f>
        <v>0</v>
      </c>
      <c r="L239" s="91">
        <f>IF($A239=Recto!$I$38,VLOOKUP($A239,Recto!$I$28:$L$44,4,FALSE),0)</f>
        <v>0</v>
      </c>
      <c r="M239" s="91">
        <f>IF($A239=Recto!$I$39,VLOOKUP($A239,Recto!$I$28:$L$44,4,FALSE),0)</f>
        <v>0</v>
      </c>
      <c r="N239" s="91">
        <f>IF($A239=Recto!$I$40,VLOOKUP($A239,Recto!$I$28:$L$44,4,FALSE),0)</f>
        <v>0</v>
      </c>
      <c r="O239" s="91">
        <f>IF($A239=Recto!$I$41,VLOOKUP($A239,Recto!$I$28:$L$44,4,FALSE),0)</f>
        <v>0</v>
      </c>
      <c r="P239" s="91">
        <f>IF($A239=Recto!$I$42,VLOOKUP($A239,Recto!$I$28:$L$44,4,FALSE),0)</f>
        <v>0</v>
      </c>
      <c r="Q239" s="91">
        <f>IF($A239=Recto!$I$43,VLOOKUP($A239,Recto!$I$28:$L$44,4,FALSE),0)</f>
        <v>0</v>
      </c>
      <c r="R239" s="91">
        <f>IF($A239=Recto!$I$44,VLOOKUP($A239,Recto!$I$28:$L$44,4,FALSE),0)</f>
        <v>0</v>
      </c>
      <c r="S239" s="295">
        <f t="shared" si="8"/>
        <v>0</v>
      </c>
    </row>
    <row r="240" spans="1:19" x14ac:dyDescent="0.25">
      <c r="A240" s="500" t="s">
        <v>3211</v>
      </c>
      <c r="B240" s="91">
        <f>IF($A240=Recto!$I$28,VLOOKUP($A240,Recto!$I$28:$L$44,4,FALSE),0)</f>
        <v>0</v>
      </c>
      <c r="C240" s="91">
        <f>IF($A240=Recto!$I$29,VLOOKUP($A240,Recto!$I$28:$L$44,4,FALSE),0)</f>
        <v>0</v>
      </c>
      <c r="D240" s="91">
        <f>IF($A240=Recto!$I$30,VLOOKUP($A240,Recto!$I$28:$L$44,4,FALSE),0)</f>
        <v>0</v>
      </c>
      <c r="E240" s="91">
        <f>IF($A240=Recto!$I$31,VLOOKUP($A240,Recto!$I$28:$L$44,4,FALSE),0)</f>
        <v>0</v>
      </c>
      <c r="F240" s="91">
        <f>IF($A240=Recto!$I$32,VLOOKUP($A240,Recto!$I$28:$L$44,4,FALSE),0)</f>
        <v>0</v>
      </c>
      <c r="G240" s="91">
        <f>IF($A240=Recto!$I$33,VLOOKUP($A240,Recto!$I$28:$L$44,4,FALSE),0)</f>
        <v>0</v>
      </c>
      <c r="H240" s="91">
        <f>IF($A240=Recto!$I$34,VLOOKUP($A240,Recto!$I$28:$L$44,4,FALSE),0)</f>
        <v>0</v>
      </c>
      <c r="I240" s="91">
        <f>IF($A240=Recto!$I$35,VLOOKUP($A240,Recto!$I$28:$L$44,4,FALSE),0)</f>
        <v>0</v>
      </c>
      <c r="J240" s="91">
        <f>IF($A240=Recto!$I$36,VLOOKUP($A240,Recto!$I$28:$L$44,4,FALSE),0)</f>
        <v>0</v>
      </c>
      <c r="K240" s="91">
        <f>IF($A240=Recto!$I$37,VLOOKUP($A240,Recto!$I$28:$L$44,4,FALSE),0)</f>
        <v>0</v>
      </c>
      <c r="L240" s="91">
        <f>IF($A240=Recto!$I$38,VLOOKUP($A240,Recto!$I$28:$L$44,4,FALSE),0)</f>
        <v>0</v>
      </c>
      <c r="M240" s="91">
        <f>IF($A240=Recto!$I$39,VLOOKUP($A240,Recto!$I$28:$L$44,4,FALSE),0)</f>
        <v>0</v>
      </c>
      <c r="N240" s="91">
        <f>IF($A240=Recto!$I$40,VLOOKUP($A240,Recto!$I$28:$L$44,4,FALSE),0)</f>
        <v>0</v>
      </c>
      <c r="O240" s="91">
        <f>IF($A240=Recto!$I$41,VLOOKUP($A240,Recto!$I$28:$L$44,4,FALSE),0)</f>
        <v>0</v>
      </c>
      <c r="P240" s="91">
        <f>IF($A240=Recto!$I$42,VLOOKUP($A240,Recto!$I$28:$L$44,4,FALSE),0)</f>
        <v>0</v>
      </c>
      <c r="Q240" s="91">
        <f>IF($A240=Recto!$I$43,VLOOKUP($A240,Recto!$I$28:$L$44,4,FALSE),0)</f>
        <v>0</v>
      </c>
      <c r="R240" s="91">
        <f>IF($A240=Recto!$I$44,VLOOKUP($A240,Recto!$I$28:$L$44,4,FALSE),0)</f>
        <v>0</v>
      </c>
      <c r="S240" s="295">
        <f t="shared" si="8"/>
        <v>0</v>
      </c>
    </row>
    <row r="241" spans="1:19" x14ac:dyDescent="0.25">
      <c r="A241" s="500" t="s">
        <v>322</v>
      </c>
      <c r="B241" s="91">
        <f>IF($A241=Recto!$I$28,VLOOKUP($A241,Recto!$I$28:$L$44,4,FALSE),0)</f>
        <v>0</v>
      </c>
      <c r="C241" s="91">
        <f>IF($A241=Recto!$I$29,VLOOKUP($A241,Recto!$I$28:$L$44,4,FALSE),0)</f>
        <v>0</v>
      </c>
      <c r="D241" s="91">
        <f>IF($A241=Recto!$I$30,VLOOKUP($A241,Recto!$I$28:$L$44,4,FALSE),0)</f>
        <v>0</v>
      </c>
      <c r="E241" s="91">
        <f>IF($A241=Recto!$I$31,VLOOKUP($A241,Recto!$I$28:$L$44,4,FALSE),0)</f>
        <v>0</v>
      </c>
      <c r="F241" s="91">
        <f>IF($A241=Recto!$I$32,VLOOKUP($A241,Recto!$I$28:$L$44,4,FALSE),0)</f>
        <v>0</v>
      </c>
      <c r="G241" s="91">
        <f>IF($A241=Recto!$I$33,VLOOKUP($A241,Recto!$I$28:$L$44,4,FALSE),0)</f>
        <v>0</v>
      </c>
      <c r="H241" s="91">
        <f>IF($A241=Recto!$I$34,VLOOKUP($A241,Recto!$I$28:$L$44,4,FALSE),0)</f>
        <v>0</v>
      </c>
      <c r="I241" s="91">
        <f>IF($A241=Recto!$I$35,VLOOKUP($A241,Recto!$I$28:$L$44,4,FALSE),0)</f>
        <v>0</v>
      </c>
      <c r="J241" s="91">
        <f>IF($A241=Recto!$I$36,VLOOKUP($A241,Recto!$I$28:$L$44,4,FALSE),0)</f>
        <v>0</v>
      </c>
      <c r="K241" s="91">
        <f>IF($A241=Recto!$I$37,VLOOKUP($A241,Recto!$I$28:$L$44,4,FALSE),0)</f>
        <v>0</v>
      </c>
      <c r="L241" s="91">
        <f>IF($A241=Recto!$I$38,VLOOKUP($A241,Recto!$I$28:$L$44,4,FALSE),0)</f>
        <v>0</v>
      </c>
      <c r="M241" s="91">
        <f>IF($A241=Recto!$I$39,VLOOKUP($A241,Recto!$I$28:$L$44,4,FALSE),0)</f>
        <v>0</v>
      </c>
      <c r="N241" s="91">
        <f>IF($A241=Recto!$I$40,VLOOKUP($A241,Recto!$I$28:$L$44,4,FALSE),0)</f>
        <v>0</v>
      </c>
      <c r="O241" s="91">
        <f>IF($A241=Recto!$I$41,VLOOKUP($A241,Recto!$I$28:$L$44,4,FALSE),0)</f>
        <v>0</v>
      </c>
      <c r="P241" s="91">
        <f>IF($A241=Recto!$I$42,VLOOKUP($A241,Recto!$I$28:$L$44,4,FALSE),0)</f>
        <v>0</v>
      </c>
      <c r="Q241" s="91">
        <f>IF($A241=Recto!$I$43,VLOOKUP($A241,Recto!$I$28:$L$44,4,FALSE),0)</f>
        <v>0</v>
      </c>
      <c r="R241" s="91">
        <f>IF($A241=Recto!$I$44,VLOOKUP($A241,Recto!$I$28:$L$44,4,FALSE),0)</f>
        <v>0</v>
      </c>
      <c r="S241" s="295">
        <f t="shared" si="8"/>
        <v>0</v>
      </c>
    </row>
    <row r="242" spans="1:19" s="196" customFormat="1" x14ac:dyDescent="0.25">
      <c r="A242" s="500" t="s">
        <v>7427</v>
      </c>
      <c r="B242" s="91">
        <f>IF($A242=Recto!$I$28,VLOOKUP($A242,Recto!$I$28:$L$44,4,FALSE),0)</f>
        <v>0</v>
      </c>
      <c r="C242" s="91">
        <f>IF($A242=Recto!$I$29,VLOOKUP($A242,Recto!$I$28:$L$44,4,FALSE),0)</f>
        <v>0</v>
      </c>
      <c r="D242" s="91">
        <f>IF($A242=Recto!$I$30,VLOOKUP($A242,Recto!$I$28:$L$44,4,FALSE),0)</f>
        <v>0</v>
      </c>
      <c r="E242" s="91">
        <f>IF($A242=Recto!$I$31,VLOOKUP($A242,Recto!$I$28:$L$44,4,FALSE),0)</f>
        <v>0</v>
      </c>
      <c r="F242" s="91">
        <f>IF($A242=Recto!$I$32,VLOOKUP($A242,Recto!$I$28:$L$44,4,FALSE),0)</f>
        <v>0</v>
      </c>
      <c r="G242" s="91">
        <f>IF($A242=Recto!$I$33,VLOOKUP($A242,Recto!$I$28:$L$44,4,FALSE),0)</f>
        <v>0</v>
      </c>
      <c r="H242" s="91">
        <f>IF($A242=Recto!$I$34,VLOOKUP($A242,Recto!$I$28:$L$44,4,FALSE),0)</f>
        <v>0</v>
      </c>
      <c r="I242" s="91">
        <f>IF($A242=Recto!$I$35,VLOOKUP($A242,Recto!$I$28:$L$44,4,FALSE),0)</f>
        <v>0</v>
      </c>
      <c r="J242" s="91">
        <f>IF($A242=Recto!$I$36,VLOOKUP($A242,Recto!$I$28:$L$44,4,FALSE),0)</f>
        <v>0</v>
      </c>
      <c r="K242" s="91">
        <f>IF($A242=Recto!$I$37,VLOOKUP($A242,Recto!$I$28:$L$44,4,FALSE),0)</f>
        <v>0</v>
      </c>
      <c r="L242" s="91">
        <f>IF($A242=Recto!$I$38,VLOOKUP($A242,Recto!$I$28:$L$44,4,FALSE),0)</f>
        <v>0</v>
      </c>
      <c r="M242" s="91">
        <f>IF($A242=Recto!$I$39,VLOOKUP($A242,Recto!$I$28:$L$44,4,FALSE),0)</f>
        <v>0</v>
      </c>
      <c r="N242" s="91">
        <f>IF($A242=Recto!$I$40,VLOOKUP($A242,Recto!$I$28:$L$44,4,FALSE),0)</f>
        <v>0</v>
      </c>
      <c r="O242" s="91">
        <f>IF($A242=Recto!$I$41,VLOOKUP($A242,Recto!$I$28:$L$44,4,FALSE),0)</f>
        <v>0</v>
      </c>
      <c r="P242" s="91">
        <f>IF($A242=Recto!$I$42,VLOOKUP($A242,Recto!$I$28:$L$44,4,FALSE),0)</f>
        <v>0</v>
      </c>
      <c r="Q242" s="91">
        <f>IF($A242=Recto!$I$43,VLOOKUP($A242,Recto!$I$28:$L$44,4,FALSE),0)</f>
        <v>0</v>
      </c>
      <c r="R242" s="91">
        <f>IF($A242=Recto!$I$44,VLOOKUP($A242,Recto!$I$28:$L$44,4,FALSE),0)</f>
        <v>0</v>
      </c>
      <c r="S242" s="295">
        <f>SUM(B242:R242)</f>
        <v>0</v>
      </c>
    </row>
    <row r="243" spans="1:19" x14ac:dyDescent="0.25">
      <c r="A243" s="500" t="s">
        <v>5873</v>
      </c>
      <c r="B243" s="91">
        <f>IF($A243=Recto!$I$28,VLOOKUP($A243,Recto!$I$28:$L$44,4,FALSE),0)</f>
        <v>0</v>
      </c>
      <c r="C243" s="91">
        <f>IF($A243=Recto!$I$29,VLOOKUP($A243,Recto!$I$28:$L$44,4,FALSE),0)</f>
        <v>0</v>
      </c>
      <c r="D243" s="91">
        <f>IF($A243=Recto!$I$30,VLOOKUP($A243,Recto!$I$28:$L$44,4,FALSE),0)</f>
        <v>0</v>
      </c>
      <c r="E243" s="91">
        <f>IF($A243=Recto!$I$31,VLOOKUP($A243,Recto!$I$28:$L$44,4,FALSE),0)</f>
        <v>0</v>
      </c>
      <c r="F243" s="91">
        <f>IF($A243=Recto!$I$32,VLOOKUP($A243,Recto!$I$28:$L$44,4,FALSE),0)</f>
        <v>0</v>
      </c>
      <c r="G243" s="91">
        <f>IF($A243=Recto!$I$33,VLOOKUP($A243,Recto!$I$28:$L$44,4,FALSE),0)</f>
        <v>0</v>
      </c>
      <c r="H243" s="91">
        <f>IF($A243=Recto!$I$34,VLOOKUP($A243,Recto!$I$28:$L$44,4,FALSE),0)</f>
        <v>0</v>
      </c>
      <c r="I243" s="91">
        <f>IF($A243=Recto!$I$35,VLOOKUP($A243,Recto!$I$28:$L$44,4,FALSE),0)</f>
        <v>0</v>
      </c>
      <c r="J243" s="91">
        <f>IF($A243=Recto!$I$36,VLOOKUP($A243,Recto!$I$28:$L$44,4,FALSE),0)</f>
        <v>0</v>
      </c>
      <c r="K243" s="91">
        <f>IF($A243=Recto!$I$37,VLOOKUP($A243,Recto!$I$28:$L$44,4,FALSE),0)</f>
        <v>0</v>
      </c>
      <c r="L243" s="91">
        <f>IF($A243=Recto!$I$38,VLOOKUP($A243,Recto!$I$28:$L$44,4,FALSE),0)</f>
        <v>0</v>
      </c>
      <c r="M243" s="91">
        <f>IF($A243=Recto!$I$39,VLOOKUP($A243,Recto!$I$28:$L$44,4,FALSE),0)</f>
        <v>0</v>
      </c>
      <c r="N243" s="91">
        <f>IF($A243=Recto!$I$40,VLOOKUP($A243,Recto!$I$28:$L$44,4,FALSE),0)</f>
        <v>0</v>
      </c>
      <c r="O243" s="91">
        <f>IF($A243=Recto!$I$41,VLOOKUP($A243,Recto!$I$28:$L$44,4,FALSE),0)</f>
        <v>0</v>
      </c>
      <c r="P243" s="91">
        <f>IF($A243=Recto!$I$42,VLOOKUP($A243,Recto!$I$28:$L$44,4,FALSE),0)</f>
        <v>0</v>
      </c>
      <c r="Q243" s="91">
        <f>IF($A243=Recto!$I$43,VLOOKUP($A243,Recto!$I$28:$L$44,4,FALSE),0)</f>
        <v>0</v>
      </c>
      <c r="R243" s="91">
        <f>IF($A243=Recto!$I$44,VLOOKUP($A243,Recto!$I$28:$L$44,4,FALSE),0)</f>
        <v>0</v>
      </c>
      <c r="S243" s="295">
        <f t="shared" si="8"/>
        <v>0</v>
      </c>
    </row>
    <row r="244" spans="1:19" s="196" customFormat="1" x14ac:dyDescent="0.25">
      <c r="A244" s="500" t="s">
        <v>7872</v>
      </c>
      <c r="B244" s="91">
        <f>IF($A244=Recto!$I$28,VLOOKUP($A244,Recto!$I$28:$L$44,4,FALSE),0)</f>
        <v>0</v>
      </c>
      <c r="C244" s="91">
        <f>IF($A244=Recto!$I$29,VLOOKUP($A244,Recto!$I$28:$L$44,4,FALSE),0)</f>
        <v>0</v>
      </c>
      <c r="D244" s="91">
        <f>IF($A244=Recto!$I$30,VLOOKUP($A244,Recto!$I$28:$L$44,4,FALSE),0)</f>
        <v>0</v>
      </c>
      <c r="E244" s="91">
        <f>IF($A244=Recto!$I$31,VLOOKUP($A244,Recto!$I$28:$L$44,4,FALSE),0)</f>
        <v>0</v>
      </c>
      <c r="F244" s="91">
        <f>IF($A244=Recto!$I$32,VLOOKUP($A244,Recto!$I$28:$L$44,4,FALSE),0)</f>
        <v>0</v>
      </c>
      <c r="G244" s="91">
        <f>IF($A244=Recto!$I$33,VLOOKUP($A244,Recto!$I$28:$L$44,4,FALSE),0)</f>
        <v>0</v>
      </c>
      <c r="H244" s="91">
        <f>IF($A244=Recto!$I$34,VLOOKUP($A244,Recto!$I$28:$L$44,4,FALSE),0)</f>
        <v>0</v>
      </c>
      <c r="I244" s="91">
        <f>IF($A244=Recto!$I$35,VLOOKUP($A244,Recto!$I$28:$L$44,4,FALSE),0)</f>
        <v>0</v>
      </c>
      <c r="J244" s="91">
        <f>IF($A244=Recto!$I$36,VLOOKUP($A244,Recto!$I$28:$L$44,4,FALSE),0)</f>
        <v>0</v>
      </c>
      <c r="K244" s="91">
        <f>IF($A244=Recto!$I$37,VLOOKUP($A244,Recto!$I$28:$L$44,4,FALSE),0)</f>
        <v>0</v>
      </c>
      <c r="L244" s="91">
        <f>IF($A244=Recto!$I$38,VLOOKUP($A244,Recto!$I$28:$L$44,4,FALSE),0)</f>
        <v>0</v>
      </c>
      <c r="M244" s="91">
        <f>IF($A244=Recto!$I$39,VLOOKUP($A244,Recto!$I$28:$L$44,4,FALSE),0)</f>
        <v>0</v>
      </c>
      <c r="N244" s="91">
        <f>IF($A244=Recto!$I$40,VLOOKUP($A244,Recto!$I$28:$L$44,4,FALSE),0)</f>
        <v>0</v>
      </c>
      <c r="O244" s="91">
        <f>IF($A244=Recto!$I$41,VLOOKUP($A244,Recto!$I$28:$L$44,4,FALSE),0)</f>
        <v>0</v>
      </c>
      <c r="P244" s="91">
        <f>IF($A244=Recto!$I$42,VLOOKUP($A244,Recto!$I$28:$L$44,4,FALSE),0)</f>
        <v>0</v>
      </c>
      <c r="Q244" s="91">
        <f>IF($A244=Recto!$I$43,VLOOKUP($A244,Recto!$I$28:$L$44,4,FALSE),0)</f>
        <v>0</v>
      </c>
      <c r="R244" s="91">
        <f>IF($A244=Recto!$I$44,VLOOKUP($A244,Recto!$I$28:$L$44,4,FALSE),0)</f>
        <v>0</v>
      </c>
      <c r="S244" s="295">
        <f t="shared" si="8"/>
        <v>0</v>
      </c>
    </row>
    <row r="245" spans="1:19" x14ac:dyDescent="0.25">
      <c r="A245" s="500" t="s">
        <v>339</v>
      </c>
      <c r="B245" s="91">
        <f>IF($A245=Recto!$I$28,VLOOKUP($A245,Recto!$I$28:$L$44,4,FALSE),0)</f>
        <v>0</v>
      </c>
      <c r="C245" s="91">
        <f>IF($A245=Recto!$I$29,VLOOKUP($A245,Recto!$I$28:$L$44,4,FALSE),0)</f>
        <v>0</v>
      </c>
      <c r="D245" s="91">
        <f>IF($A245=Recto!$I$30,VLOOKUP($A245,Recto!$I$28:$L$44,4,FALSE),0)</f>
        <v>0</v>
      </c>
      <c r="E245" s="91">
        <f>IF($A245=Recto!$I$31,VLOOKUP($A245,Recto!$I$28:$L$44,4,FALSE),0)</f>
        <v>0</v>
      </c>
      <c r="F245" s="91">
        <f>IF($A245=Recto!$I$32,VLOOKUP($A245,Recto!$I$28:$L$44,4,FALSE),0)</f>
        <v>0</v>
      </c>
      <c r="G245" s="91">
        <f>IF($A245=Recto!$I$33,VLOOKUP($A245,Recto!$I$28:$L$44,4,FALSE),0)</f>
        <v>0</v>
      </c>
      <c r="H245" s="91">
        <f>IF($A245=Recto!$I$34,VLOOKUP($A245,Recto!$I$28:$L$44,4,FALSE),0)</f>
        <v>0</v>
      </c>
      <c r="I245" s="91">
        <f>IF($A245=Recto!$I$35,VLOOKUP($A245,Recto!$I$28:$L$44,4,FALSE),0)</f>
        <v>0</v>
      </c>
      <c r="J245" s="91">
        <f>IF($A245=Recto!$I$36,VLOOKUP($A245,Recto!$I$28:$L$44,4,FALSE),0)</f>
        <v>0</v>
      </c>
      <c r="K245" s="91">
        <f>IF($A245=Recto!$I$37,VLOOKUP($A245,Recto!$I$28:$L$44,4,FALSE),0)</f>
        <v>0</v>
      </c>
      <c r="L245" s="91">
        <f>IF($A245=Recto!$I$38,VLOOKUP($A245,Recto!$I$28:$L$44,4,FALSE),0)</f>
        <v>0</v>
      </c>
      <c r="M245" s="91">
        <f>IF($A245=Recto!$I$39,VLOOKUP($A245,Recto!$I$28:$L$44,4,FALSE),0)</f>
        <v>0</v>
      </c>
      <c r="N245" s="91">
        <f>IF($A245=Recto!$I$40,VLOOKUP($A245,Recto!$I$28:$L$44,4,FALSE),0)</f>
        <v>0</v>
      </c>
      <c r="O245" s="91">
        <f>IF($A245=Recto!$I$41,VLOOKUP($A245,Recto!$I$28:$L$44,4,FALSE),0)</f>
        <v>0</v>
      </c>
      <c r="P245" s="91">
        <f>IF($A245=Recto!$I$42,VLOOKUP($A245,Recto!$I$28:$L$44,4,FALSE),0)</f>
        <v>0</v>
      </c>
      <c r="Q245" s="91">
        <f>IF($A245=Recto!$I$43,VLOOKUP($A245,Recto!$I$28:$L$44,4,FALSE),0)</f>
        <v>0</v>
      </c>
      <c r="R245" s="91">
        <f>IF($A245=Recto!$I$44,VLOOKUP($A245,Recto!$I$28:$L$44,4,FALSE),0)</f>
        <v>0</v>
      </c>
      <c r="S245" s="295">
        <f t="shared" si="8"/>
        <v>0</v>
      </c>
    </row>
    <row r="246" spans="1:19" x14ac:dyDescent="0.25">
      <c r="A246" s="500" t="s">
        <v>1347</v>
      </c>
      <c r="B246" s="91">
        <f>IF($A246=Recto!$I$28,VLOOKUP($A246,Recto!$I$28:$L$44,4,FALSE),0)</f>
        <v>0</v>
      </c>
      <c r="C246" s="91">
        <f>IF($A246=Recto!$I$29,VLOOKUP($A246,Recto!$I$28:$L$44,4,FALSE),0)</f>
        <v>0</v>
      </c>
      <c r="D246" s="91">
        <f>IF($A246=Recto!$I$30,VLOOKUP($A246,Recto!$I$28:$L$44,4,FALSE),0)</f>
        <v>0</v>
      </c>
      <c r="E246" s="91">
        <f>IF($A246=Recto!$I$31,VLOOKUP($A246,Recto!$I$28:$L$44,4,FALSE),0)</f>
        <v>0</v>
      </c>
      <c r="F246" s="91">
        <f>IF($A246=Recto!$I$32,VLOOKUP($A246,Recto!$I$28:$L$44,4,FALSE),0)</f>
        <v>0</v>
      </c>
      <c r="G246" s="91">
        <f>IF($A246=Recto!$I$33,VLOOKUP($A246,Recto!$I$28:$L$44,4,FALSE),0)</f>
        <v>0</v>
      </c>
      <c r="H246" s="91">
        <f>IF($A246=Recto!$I$34,VLOOKUP($A246,Recto!$I$28:$L$44,4,FALSE),0)</f>
        <v>0</v>
      </c>
      <c r="I246" s="91">
        <f>IF($A246=Recto!$I$35,VLOOKUP($A246,Recto!$I$28:$L$44,4,FALSE),0)</f>
        <v>0</v>
      </c>
      <c r="J246" s="91">
        <f>IF($A246=Recto!$I$36,VLOOKUP($A246,Recto!$I$28:$L$44,4,FALSE),0)</f>
        <v>0</v>
      </c>
      <c r="K246" s="91">
        <f>IF($A246=Recto!$I$37,VLOOKUP($A246,Recto!$I$28:$L$44,4,FALSE),0)</f>
        <v>0</v>
      </c>
      <c r="L246" s="91">
        <f>IF($A246=Recto!$I$38,VLOOKUP($A246,Recto!$I$28:$L$44,4,FALSE),0)</f>
        <v>0</v>
      </c>
      <c r="M246" s="91">
        <f>IF($A246=Recto!$I$39,VLOOKUP($A246,Recto!$I$28:$L$44,4,FALSE),0)</f>
        <v>0</v>
      </c>
      <c r="N246" s="91">
        <f>IF($A246=Recto!$I$40,VLOOKUP($A246,Recto!$I$28:$L$44,4,FALSE),0)</f>
        <v>0</v>
      </c>
      <c r="O246" s="91">
        <f>IF($A246=Recto!$I$41,VLOOKUP($A246,Recto!$I$28:$L$44,4,FALSE),0)</f>
        <v>0</v>
      </c>
      <c r="P246" s="91">
        <f>IF($A246=Recto!$I$42,VLOOKUP($A246,Recto!$I$28:$L$44,4,FALSE),0)</f>
        <v>0</v>
      </c>
      <c r="Q246" s="91">
        <f>IF($A246=Recto!$I$43,VLOOKUP($A246,Recto!$I$28:$L$44,4,FALSE),0)</f>
        <v>0</v>
      </c>
      <c r="R246" s="91">
        <f>IF($A246=Recto!$I$44,VLOOKUP($A246,Recto!$I$28:$L$44,4,FALSE),0)</f>
        <v>0</v>
      </c>
      <c r="S246" s="295">
        <f t="shared" si="8"/>
        <v>0</v>
      </c>
    </row>
    <row r="247" spans="1:19" s="196" customFormat="1" x14ac:dyDescent="0.25">
      <c r="A247" s="500" t="s">
        <v>7720</v>
      </c>
      <c r="B247" s="91">
        <f>IF($A247=Recto!$I$28,VLOOKUP($A247,Recto!$I$28:$L$44,4,FALSE),0)</f>
        <v>0</v>
      </c>
      <c r="C247" s="91">
        <f>IF($A247=Recto!$I$29,VLOOKUP($A247,Recto!$I$28:$L$44,4,FALSE),0)</f>
        <v>0</v>
      </c>
      <c r="D247" s="91">
        <f>IF($A247=Recto!$I$30,VLOOKUP($A247,Recto!$I$28:$L$44,4,FALSE),0)</f>
        <v>0</v>
      </c>
      <c r="E247" s="91">
        <f>IF($A247=Recto!$I$31,VLOOKUP($A247,Recto!$I$28:$L$44,4,FALSE),0)</f>
        <v>0</v>
      </c>
      <c r="F247" s="91">
        <f>IF($A247=Recto!$I$32,VLOOKUP($A247,Recto!$I$28:$L$44,4,FALSE),0)</f>
        <v>0</v>
      </c>
      <c r="G247" s="91">
        <f>IF($A247=Recto!$I$33,VLOOKUP($A247,Recto!$I$28:$L$44,4,FALSE),0)</f>
        <v>0</v>
      </c>
      <c r="H247" s="91">
        <f>IF($A247=Recto!$I$34,VLOOKUP($A247,Recto!$I$28:$L$44,4,FALSE),0)</f>
        <v>0</v>
      </c>
      <c r="I247" s="91">
        <f>IF($A247=Recto!$I$35,VLOOKUP($A247,Recto!$I$28:$L$44,4,FALSE),0)</f>
        <v>0</v>
      </c>
      <c r="J247" s="91">
        <f>IF($A247=Recto!$I$36,VLOOKUP($A247,Recto!$I$28:$L$44,4,FALSE),0)</f>
        <v>0</v>
      </c>
      <c r="K247" s="91">
        <f>IF($A247=Recto!$I$37,VLOOKUP($A247,Recto!$I$28:$L$44,4,FALSE),0)</f>
        <v>0</v>
      </c>
      <c r="L247" s="91">
        <f>IF($A247=Recto!$I$38,VLOOKUP($A247,Recto!$I$28:$L$44,4,FALSE),0)</f>
        <v>0</v>
      </c>
      <c r="M247" s="91">
        <f>IF($A247=Recto!$I$39,VLOOKUP($A247,Recto!$I$28:$L$44,4,FALSE),0)</f>
        <v>0</v>
      </c>
      <c r="N247" s="91">
        <f>IF($A247=Recto!$I$40,VLOOKUP($A247,Recto!$I$28:$L$44,4,FALSE),0)</f>
        <v>0</v>
      </c>
      <c r="O247" s="91">
        <f>IF($A247=Recto!$I$41,VLOOKUP($A247,Recto!$I$28:$L$44,4,FALSE),0)</f>
        <v>0</v>
      </c>
      <c r="P247" s="91">
        <f>IF($A247=Recto!$I$42,VLOOKUP($A247,Recto!$I$28:$L$44,4,FALSE),0)</f>
        <v>0</v>
      </c>
      <c r="Q247" s="91">
        <f>IF($A247=Recto!$I$43,VLOOKUP($A247,Recto!$I$28:$L$44,4,FALSE),0)</f>
        <v>0</v>
      </c>
      <c r="R247" s="91">
        <f>IF($A247=Recto!$I$44,VLOOKUP($A247,Recto!$I$28:$L$44,4,FALSE),0)</f>
        <v>0</v>
      </c>
      <c r="S247" s="295">
        <f t="shared" si="8"/>
        <v>0</v>
      </c>
    </row>
    <row r="248" spans="1:19" x14ac:dyDescent="0.25">
      <c r="A248" s="500" t="s">
        <v>4555</v>
      </c>
      <c r="B248" s="91">
        <f>IF($A248=Recto!$I$28,VLOOKUP($A248,Recto!$I$28:$L$44,4,FALSE),0)</f>
        <v>0</v>
      </c>
      <c r="C248" s="91">
        <f>IF($A248=Recto!$I$29,VLOOKUP($A248,Recto!$I$28:$L$44,4,FALSE),0)</f>
        <v>0</v>
      </c>
      <c r="D248" s="91">
        <f>IF($A248=Recto!$I$30,VLOOKUP($A248,Recto!$I$28:$L$44,4,FALSE),0)</f>
        <v>0</v>
      </c>
      <c r="E248" s="91">
        <f>IF($A248=Recto!$I$31,VLOOKUP($A248,Recto!$I$28:$L$44,4,FALSE),0)</f>
        <v>0</v>
      </c>
      <c r="F248" s="91">
        <f>IF($A248=Recto!$I$32,VLOOKUP($A248,Recto!$I$28:$L$44,4,FALSE),0)</f>
        <v>0</v>
      </c>
      <c r="G248" s="91">
        <f>IF($A248=Recto!$I$33,VLOOKUP($A248,Recto!$I$28:$L$44,4,FALSE),0)</f>
        <v>0</v>
      </c>
      <c r="H248" s="91">
        <f>IF($A248=Recto!$I$34,VLOOKUP($A248,Recto!$I$28:$L$44,4,FALSE),0)</f>
        <v>0</v>
      </c>
      <c r="I248" s="91">
        <f>IF($A248=Recto!$I$35,VLOOKUP($A248,Recto!$I$28:$L$44,4,FALSE),0)</f>
        <v>0</v>
      </c>
      <c r="J248" s="91">
        <f>IF($A248=Recto!$I$36,VLOOKUP($A248,Recto!$I$28:$L$44,4,FALSE),0)</f>
        <v>0</v>
      </c>
      <c r="K248" s="91">
        <f>IF($A248=Recto!$I$37,VLOOKUP($A248,Recto!$I$28:$L$44,4,FALSE),0)</f>
        <v>0</v>
      </c>
      <c r="L248" s="91">
        <f>IF($A248=Recto!$I$38,VLOOKUP($A248,Recto!$I$28:$L$44,4,FALSE),0)</f>
        <v>0</v>
      </c>
      <c r="M248" s="91">
        <f>IF($A248=Recto!$I$39,VLOOKUP($A248,Recto!$I$28:$L$44,4,FALSE),0)</f>
        <v>0</v>
      </c>
      <c r="N248" s="91">
        <f>IF($A248=Recto!$I$40,VLOOKUP($A248,Recto!$I$28:$L$44,4,FALSE),0)</f>
        <v>0</v>
      </c>
      <c r="O248" s="91">
        <f>IF($A248=Recto!$I$41,VLOOKUP($A248,Recto!$I$28:$L$44,4,FALSE),0)</f>
        <v>0</v>
      </c>
      <c r="P248" s="91">
        <f>IF($A248=Recto!$I$42,VLOOKUP($A248,Recto!$I$28:$L$44,4,FALSE),0)</f>
        <v>0</v>
      </c>
      <c r="Q248" s="91">
        <f>IF($A248=Recto!$I$43,VLOOKUP($A248,Recto!$I$28:$L$44,4,FALSE),0)</f>
        <v>0</v>
      </c>
      <c r="R248" s="91">
        <f>IF($A248=Recto!$I$44,VLOOKUP($A248,Recto!$I$28:$L$44,4,FALSE),0)</f>
        <v>0</v>
      </c>
      <c r="S248" s="295">
        <f t="shared" si="8"/>
        <v>0</v>
      </c>
    </row>
    <row r="249" spans="1:19" x14ac:dyDescent="0.25">
      <c r="A249" s="500" t="s">
        <v>4929</v>
      </c>
      <c r="B249" s="91">
        <f>IF($A249=Recto!$I$28,VLOOKUP($A249,Recto!$I$28:$L$44,4,FALSE),0)</f>
        <v>0</v>
      </c>
      <c r="C249" s="91">
        <f>IF($A249=Recto!$I$29,VLOOKUP($A249,Recto!$I$28:$L$44,4,FALSE),0)</f>
        <v>0</v>
      </c>
      <c r="D249" s="91">
        <f>IF($A249=Recto!$I$30,VLOOKUP($A249,Recto!$I$28:$L$44,4,FALSE),0)</f>
        <v>0</v>
      </c>
      <c r="E249" s="91">
        <f>IF($A249=Recto!$I$31,VLOOKUP($A249,Recto!$I$28:$L$44,4,FALSE),0)</f>
        <v>0</v>
      </c>
      <c r="F249" s="91">
        <f>IF($A249=Recto!$I$32,VLOOKUP($A249,Recto!$I$28:$L$44,4,FALSE),0)</f>
        <v>0</v>
      </c>
      <c r="G249" s="91">
        <f>IF($A249=Recto!$I$33,VLOOKUP($A249,Recto!$I$28:$L$44,4,FALSE),0)</f>
        <v>0</v>
      </c>
      <c r="H249" s="91">
        <f>IF($A249=Recto!$I$34,VLOOKUP($A249,Recto!$I$28:$L$44,4,FALSE),0)</f>
        <v>0</v>
      </c>
      <c r="I249" s="91">
        <f>IF($A249=Recto!$I$35,VLOOKUP($A249,Recto!$I$28:$L$44,4,FALSE),0)</f>
        <v>0</v>
      </c>
      <c r="J249" s="91">
        <f>IF($A249=Recto!$I$36,VLOOKUP($A249,Recto!$I$28:$L$44,4,FALSE),0)</f>
        <v>0</v>
      </c>
      <c r="K249" s="91">
        <f>IF($A249=Recto!$I$37,VLOOKUP($A249,Recto!$I$28:$L$44,4,FALSE),0)</f>
        <v>0</v>
      </c>
      <c r="L249" s="91">
        <f>IF($A249=Recto!$I$38,VLOOKUP($A249,Recto!$I$28:$L$44,4,FALSE),0)</f>
        <v>0</v>
      </c>
      <c r="M249" s="91">
        <f>IF($A249=Recto!$I$39,VLOOKUP($A249,Recto!$I$28:$L$44,4,FALSE),0)</f>
        <v>0</v>
      </c>
      <c r="N249" s="91">
        <f>IF($A249=Recto!$I$40,VLOOKUP($A249,Recto!$I$28:$L$44,4,FALSE),0)</f>
        <v>0</v>
      </c>
      <c r="O249" s="91">
        <f>IF($A249=Recto!$I$41,VLOOKUP($A249,Recto!$I$28:$L$44,4,FALSE),0)</f>
        <v>0</v>
      </c>
      <c r="P249" s="91">
        <f>IF($A249=Recto!$I$42,VLOOKUP($A249,Recto!$I$28:$L$44,4,FALSE),0)</f>
        <v>0</v>
      </c>
      <c r="Q249" s="91">
        <f>IF($A249=Recto!$I$43,VLOOKUP($A249,Recto!$I$28:$L$44,4,FALSE),0)</f>
        <v>0</v>
      </c>
      <c r="R249" s="91">
        <f>IF($A249=Recto!$I$44,VLOOKUP($A249,Recto!$I$28:$L$44,4,FALSE),0)</f>
        <v>0</v>
      </c>
      <c r="S249" s="295">
        <f t="shared" si="8"/>
        <v>0</v>
      </c>
    </row>
    <row r="250" spans="1:19" x14ac:dyDescent="0.25">
      <c r="A250" s="500" t="s">
        <v>53</v>
      </c>
      <c r="B250" s="91">
        <f>IF($A250=Recto!$I$28,VLOOKUP($A250,Recto!$I$28:$L$44,4,FALSE),0)</f>
        <v>0</v>
      </c>
      <c r="C250" s="91">
        <f>IF($A250=Recto!$I$29,VLOOKUP($A250,Recto!$I$28:$L$44,4,FALSE),0)</f>
        <v>0</v>
      </c>
      <c r="D250" s="91">
        <f>IF($A250=Recto!$I$30,VLOOKUP($A250,Recto!$I$28:$L$44,4,FALSE),0)</f>
        <v>0</v>
      </c>
      <c r="E250" s="91">
        <f>IF($A250=Recto!$I$31,VLOOKUP($A250,Recto!$I$28:$L$44,4,FALSE),0)</f>
        <v>0</v>
      </c>
      <c r="F250" s="91">
        <f>IF($A250=Recto!$I$32,VLOOKUP($A250,Recto!$I$28:$L$44,4,FALSE),0)</f>
        <v>0</v>
      </c>
      <c r="G250" s="91">
        <f>IF($A250=Recto!$I$33,VLOOKUP($A250,Recto!$I$28:$L$44,4,FALSE),0)</f>
        <v>0</v>
      </c>
      <c r="H250" s="91">
        <f>IF($A250=Recto!$I$34,VLOOKUP($A250,Recto!$I$28:$L$44,4,FALSE),0)</f>
        <v>0</v>
      </c>
      <c r="I250" s="91">
        <f>IF($A250=Recto!$I$35,VLOOKUP($A250,Recto!$I$28:$L$44,4,FALSE),0)</f>
        <v>0</v>
      </c>
      <c r="J250" s="91">
        <f>IF($A250=Recto!$I$36,VLOOKUP($A250,Recto!$I$28:$L$44,4,FALSE),0)</f>
        <v>0</v>
      </c>
      <c r="K250" s="91">
        <f>IF($A250=Recto!$I$37,VLOOKUP($A250,Recto!$I$28:$L$44,4,FALSE),0)</f>
        <v>0</v>
      </c>
      <c r="L250" s="91">
        <f>IF($A250=Recto!$I$38,VLOOKUP($A250,Recto!$I$28:$L$44,4,FALSE),0)</f>
        <v>0</v>
      </c>
      <c r="M250" s="91">
        <f>IF($A250=Recto!$I$39,VLOOKUP($A250,Recto!$I$28:$L$44,4,FALSE),0)</f>
        <v>0</v>
      </c>
      <c r="N250" s="91">
        <f>IF($A250=Recto!$I$40,VLOOKUP($A250,Recto!$I$28:$L$44,4,FALSE),0)</f>
        <v>0</v>
      </c>
      <c r="O250" s="91">
        <f>IF($A250=Recto!$I$41,VLOOKUP($A250,Recto!$I$28:$L$44,4,FALSE),0)</f>
        <v>0</v>
      </c>
      <c r="P250" s="91">
        <f>IF($A250=Recto!$I$42,VLOOKUP($A250,Recto!$I$28:$L$44,4,FALSE),0)</f>
        <v>0</v>
      </c>
      <c r="Q250" s="91">
        <f>IF($A250=Recto!$I$43,VLOOKUP($A250,Recto!$I$28:$L$44,4,FALSE),0)</f>
        <v>0</v>
      </c>
      <c r="R250" s="91">
        <f>IF($A250=Recto!$I$44,VLOOKUP($A250,Recto!$I$28:$L$44,4,FALSE),0)</f>
        <v>0</v>
      </c>
      <c r="S250" s="295">
        <f t="shared" si="8"/>
        <v>0</v>
      </c>
    </row>
    <row r="251" spans="1:19" s="196" customFormat="1" x14ac:dyDescent="0.25">
      <c r="A251" s="136" t="s">
        <v>7696</v>
      </c>
      <c r="B251" s="91">
        <f>IF($A251=Recto!$I$28,VLOOKUP($A251,Recto!$I$28:$L$44,4,FALSE),0)</f>
        <v>0</v>
      </c>
      <c r="C251" s="91">
        <f>IF($A251=Recto!$I$29,VLOOKUP($A251,Recto!$I$28:$L$44,4,FALSE),0)</f>
        <v>0</v>
      </c>
      <c r="D251" s="91">
        <f>IF($A251=Recto!$I$30,VLOOKUP($A251,Recto!$I$28:$L$44,4,FALSE),0)</f>
        <v>0</v>
      </c>
      <c r="E251" s="91">
        <f>IF($A251=Recto!$I$31,VLOOKUP($A251,Recto!$I$28:$L$44,4,FALSE),0)</f>
        <v>0</v>
      </c>
      <c r="F251" s="91">
        <f>IF($A251=Recto!$I$32,VLOOKUP($A251,Recto!$I$28:$L$44,4,FALSE),0)</f>
        <v>0</v>
      </c>
      <c r="G251" s="91">
        <f>IF($A251=Recto!$I$33,VLOOKUP($A251,Recto!$I$28:$L$44,4,FALSE),0)</f>
        <v>0</v>
      </c>
      <c r="H251" s="91">
        <f>IF($A251=Recto!$I$34,VLOOKUP($A251,Recto!$I$28:$L$44,4,FALSE),0)</f>
        <v>0</v>
      </c>
      <c r="I251" s="91">
        <f>IF($A251=Recto!$I$35,VLOOKUP($A251,Recto!$I$28:$L$44,4,FALSE),0)</f>
        <v>0</v>
      </c>
      <c r="J251" s="91">
        <f>IF($A251=Recto!$I$36,VLOOKUP($A251,Recto!$I$28:$L$44,4,FALSE),0)</f>
        <v>0</v>
      </c>
      <c r="K251" s="91">
        <f>IF($A251=Recto!$I$37,VLOOKUP($A251,Recto!$I$28:$L$44,4,FALSE),0)</f>
        <v>0</v>
      </c>
      <c r="L251" s="91">
        <f>IF($A251=Recto!$I$38,VLOOKUP($A251,Recto!$I$28:$L$44,4,FALSE),0)</f>
        <v>0</v>
      </c>
      <c r="M251" s="91">
        <f>IF($A251=Recto!$I$39,VLOOKUP($A251,Recto!$I$28:$L$44,4,FALSE),0)</f>
        <v>0</v>
      </c>
      <c r="N251" s="91">
        <f>IF($A251=Recto!$I$40,VLOOKUP($A251,Recto!$I$28:$L$44,4,FALSE),0)</f>
        <v>0</v>
      </c>
      <c r="O251" s="91">
        <f>IF($A251=Recto!$I$41,VLOOKUP($A251,Recto!$I$28:$L$44,4,FALSE),0)</f>
        <v>0</v>
      </c>
      <c r="P251" s="91">
        <f>IF($A251=Recto!$I$42,VLOOKUP($A251,Recto!$I$28:$L$44,4,FALSE),0)</f>
        <v>0</v>
      </c>
      <c r="Q251" s="91">
        <f>IF($A251=Recto!$I$43,VLOOKUP($A251,Recto!$I$28:$L$44,4,FALSE),0)</f>
        <v>0</v>
      </c>
      <c r="R251" s="91">
        <f>IF($A251=Recto!$I$44,VLOOKUP($A251,Recto!$I$28:$L$44,4,FALSE),0)</f>
        <v>0</v>
      </c>
      <c r="S251" s="295">
        <f t="shared" si="8"/>
        <v>0</v>
      </c>
    </row>
    <row r="252" spans="1:19" x14ac:dyDescent="0.25">
      <c r="A252" s="500" t="s">
        <v>1308</v>
      </c>
      <c r="B252" s="91">
        <f>IF($A252=Recto!$I$28,VLOOKUP($A252,Recto!$I$28:$L$44,4,FALSE),0)</f>
        <v>0</v>
      </c>
      <c r="C252" s="91">
        <f>IF($A252=Recto!$I$29,VLOOKUP($A252,Recto!$I$28:$L$44,4,FALSE),0)</f>
        <v>0</v>
      </c>
      <c r="D252" s="91">
        <f>IF($A252=Recto!$I$30,VLOOKUP($A252,Recto!$I$28:$L$44,4,FALSE),0)</f>
        <v>0</v>
      </c>
      <c r="E252" s="91">
        <f>IF($A252=Recto!$I$31,VLOOKUP($A252,Recto!$I$28:$L$44,4,FALSE),0)</f>
        <v>0</v>
      </c>
      <c r="F252" s="91">
        <f>IF($A252=Recto!$I$32,VLOOKUP($A252,Recto!$I$28:$L$44,4,FALSE),0)</f>
        <v>0</v>
      </c>
      <c r="G252" s="91">
        <f>IF($A252=Recto!$I$33,VLOOKUP($A252,Recto!$I$28:$L$44,4,FALSE),0)</f>
        <v>0</v>
      </c>
      <c r="H252" s="91">
        <f>IF($A252=Recto!$I$34,VLOOKUP($A252,Recto!$I$28:$L$44,4,FALSE),0)</f>
        <v>0</v>
      </c>
      <c r="I252" s="91">
        <f>IF($A252=Recto!$I$35,VLOOKUP($A252,Recto!$I$28:$L$44,4,FALSE),0)</f>
        <v>0</v>
      </c>
      <c r="J252" s="91">
        <f>IF($A252=Recto!$I$36,VLOOKUP($A252,Recto!$I$28:$L$44,4,FALSE),0)</f>
        <v>0</v>
      </c>
      <c r="K252" s="91">
        <f>IF($A252=Recto!$I$37,VLOOKUP($A252,Recto!$I$28:$L$44,4,FALSE),0)</f>
        <v>0</v>
      </c>
      <c r="L252" s="91">
        <f>IF($A252=Recto!$I$38,VLOOKUP($A252,Recto!$I$28:$L$44,4,FALSE),0)</f>
        <v>0</v>
      </c>
      <c r="M252" s="91">
        <f>IF($A252=Recto!$I$39,VLOOKUP($A252,Recto!$I$28:$L$44,4,FALSE),0)</f>
        <v>0</v>
      </c>
      <c r="N252" s="91">
        <f>IF($A252=Recto!$I$40,VLOOKUP($A252,Recto!$I$28:$L$44,4,FALSE),0)</f>
        <v>0</v>
      </c>
      <c r="O252" s="91">
        <f>IF($A252=Recto!$I$41,VLOOKUP($A252,Recto!$I$28:$L$44,4,FALSE),0)</f>
        <v>0</v>
      </c>
      <c r="P252" s="91">
        <f>IF($A252=Recto!$I$42,VLOOKUP($A252,Recto!$I$28:$L$44,4,FALSE),0)</f>
        <v>0</v>
      </c>
      <c r="Q252" s="91">
        <f>IF($A252=Recto!$I$43,VLOOKUP($A252,Recto!$I$28:$L$44,4,FALSE),0)</f>
        <v>0</v>
      </c>
      <c r="R252" s="91">
        <f>IF($A252=Recto!$I$44,VLOOKUP($A252,Recto!$I$28:$L$44,4,FALSE),0)</f>
        <v>0</v>
      </c>
      <c r="S252" s="295">
        <f t="shared" si="8"/>
        <v>0</v>
      </c>
    </row>
    <row r="253" spans="1:19" x14ac:dyDescent="0.25">
      <c r="A253" s="500" t="s">
        <v>1354</v>
      </c>
      <c r="B253" s="91">
        <f>IF($A253=Recto!$I$28,VLOOKUP($A253,Recto!$I$28:$L$44,4,FALSE),0)</f>
        <v>0</v>
      </c>
      <c r="C253" s="91">
        <f>IF($A253=Recto!$I$29,VLOOKUP($A253,Recto!$I$28:$L$44,4,FALSE),0)</f>
        <v>0</v>
      </c>
      <c r="D253" s="91">
        <f>IF($A253=Recto!$I$30,VLOOKUP($A253,Recto!$I$28:$L$44,4,FALSE),0)</f>
        <v>0</v>
      </c>
      <c r="E253" s="91">
        <f>IF($A253=Recto!$I$31,VLOOKUP($A253,Recto!$I$28:$L$44,4,FALSE),0)</f>
        <v>0</v>
      </c>
      <c r="F253" s="91">
        <f>IF($A253=Recto!$I$32,VLOOKUP($A253,Recto!$I$28:$L$44,4,FALSE),0)</f>
        <v>0</v>
      </c>
      <c r="G253" s="91">
        <f>IF($A253=Recto!$I$33,VLOOKUP($A253,Recto!$I$28:$L$44,4,FALSE),0)</f>
        <v>0</v>
      </c>
      <c r="H253" s="91">
        <f>IF($A253=Recto!$I$34,VLOOKUP($A253,Recto!$I$28:$L$44,4,FALSE),0)</f>
        <v>0</v>
      </c>
      <c r="I253" s="91">
        <f>IF($A253=Recto!$I$35,VLOOKUP($A253,Recto!$I$28:$L$44,4,FALSE),0)</f>
        <v>0</v>
      </c>
      <c r="J253" s="91">
        <f>IF($A253=Recto!$I$36,VLOOKUP($A253,Recto!$I$28:$L$44,4,FALSE),0)</f>
        <v>0</v>
      </c>
      <c r="K253" s="91">
        <f>IF($A253=Recto!$I$37,VLOOKUP($A253,Recto!$I$28:$L$44,4,FALSE),0)</f>
        <v>0</v>
      </c>
      <c r="L253" s="91">
        <f>IF($A253=Recto!$I$38,VLOOKUP($A253,Recto!$I$28:$L$44,4,FALSE),0)</f>
        <v>0</v>
      </c>
      <c r="M253" s="91">
        <f>IF($A253=Recto!$I$39,VLOOKUP($A253,Recto!$I$28:$L$44,4,FALSE),0)</f>
        <v>0</v>
      </c>
      <c r="N253" s="91">
        <f>IF($A253=Recto!$I$40,VLOOKUP($A253,Recto!$I$28:$L$44,4,FALSE),0)</f>
        <v>0</v>
      </c>
      <c r="O253" s="91">
        <f>IF($A253=Recto!$I$41,VLOOKUP($A253,Recto!$I$28:$L$44,4,FALSE),0)</f>
        <v>0</v>
      </c>
      <c r="P253" s="91">
        <f>IF($A253=Recto!$I$42,VLOOKUP($A253,Recto!$I$28:$L$44,4,FALSE),0)</f>
        <v>0</v>
      </c>
      <c r="Q253" s="91">
        <f>IF($A253=Recto!$I$43,VLOOKUP($A253,Recto!$I$28:$L$44,4,FALSE),0)</f>
        <v>0</v>
      </c>
      <c r="R253" s="91">
        <f>IF($A253=Recto!$I$44,VLOOKUP($A253,Recto!$I$28:$L$44,4,FALSE),0)</f>
        <v>0</v>
      </c>
      <c r="S253" s="295">
        <f t="shared" si="8"/>
        <v>0</v>
      </c>
    </row>
    <row r="254" spans="1:19" x14ac:dyDescent="0.25">
      <c r="A254" s="500" t="s">
        <v>1309</v>
      </c>
      <c r="B254" s="91">
        <f>IF($A254=Recto!$I$28,VLOOKUP($A254,Recto!$I$28:$L$44,4,FALSE),0)</f>
        <v>0</v>
      </c>
      <c r="C254" s="91">
        <f>IF($A254=Recto!$I$29,VLOOKUP($A254,Recto!$I$28:$L$44,4,FALSE),0)</f>
        <v>0</v>
      </c>
      <c r="D254" s="91">
        <f>IF($A254=Recto!$I$30,VLOOKUP($A254,Recto!$I$28:$L$44,4,FALSE),0)</f>
        <v>0</v>
      </c>
      <c r="E254" s="91">
        <f>IF($A254=Recto!$I$31,VLOOKUP($A254,Recto!$I$28:$L$44,4,FALSE),0)</f>
        <v>0</v>
      </c>
      <c r="F254" s="91">
        <f>IF($A254=Recto!$I$32,VLOOKUP($A254,Recto!$I$28:$L$44,4,FALSE),0)</f>
        <v>0</v>
      </c>
      <c r="G254" s="91">
        <f>IF($A254=Recto!$I$33,VLOOKUP($A254,Recto!$I$28:$L$44,4,FALSE),0)</f>
        <v>0</v>
      </c>
      <c r="H254" s="91">
        <f>IF($A254=Recto!$I$34,VLOOKUP($A254,Recto!$I$28:$L$44,4,FALSE),0)</f>
        <v>0</v>
      </c>
      <c r="I254" s="91">
        <f>IF($A254=Recto!$I$35,VLOOKUP($A254,Recto!$I$28:$L$44,4,FALSE),0)</f>
        <v>0</v>
      </c>
      <c r="J254" s="91">
        <f>IF($A254=Recto!$I$36,VLOOKUP($A254,Recto!$I$28:$L$44,4,FALSE),0)</f>
        <v>0</v>
      </c>
      <c r="K254" s="91">
        <f>IF($A254=Recto!$I$37,VLOOKUP($A254,Recto!$I$28:$L$44,4,FALSE),0)</f>
        <v>0</v>
      </c>
      <c r="L254" s="91">
        <f>IF($A254=Recto!$I$38,VLOOKUP($A254,Recto!$I$28:$L$44,4,FALSE),0)</f>
        <v>0</v>
      </c>
      <c r="M254" s="91">
        <f>IF($A254=Recto!$I$39,VLOOKUP($A254,Recto!$I$28:$L$44,4,FALSE),0)</f>
        <v>0</v>
      </c>
      <c r="N254" s="91">
        <f>IF($A254=Recto!$I$40,VLOOKUP($A254,Recto!$I$28:$L$44,4,FALSE),0)</f>
        <v>0</v>
      </c>
      <c r="O254" s="91">
        <f>IF($A254=Recto!$I$41,VLOOKUP($A254,Recto!$I$28:$L$44,4,FALSE),0)</f>
        <v>0</v>
      </c>
      <c r="P254" s="91">
        <f>IF($A254=Recto!$I$42,VLOOKUP($A254,Recto!$I$28:$L$44,4,FALSE),0)</f>
        <v>0</v>
      </c>
      <c r="Q254" s="91">
        <f>IF($A254=Recto!$I$43,VLOOKUP($A254,Recto!$I$28:$L$44,4,FALSE),0)</f>
        <v>0</v>
      </c>
      <c r="R254" s="91">
        <f>IF($A254=Recto!$I$44,VLOOKUP($A254,Recto!$I$28:$L$44,4,FALSE),0)</f>
        <v>0</v>
      </c>
      <c r="S254" s="295">
        <f t="shared" si="8"/>
        <v>0</v>
      </c>
    </row>
    <row r="255" spans="1:19" x14ac:dyDescent="0.25">
      <c r="A255" s="500" t="s">
        <v>1386</v>
      </c>
      <c r="B255" s="91">
        <f>IF($A255=Recto!$I$28,VLOOKUP($A255,Recto!$I$28:$L$44,4,FALSE),0)</f>
        <v>0</v>
      </c>
      <c r="C255" s="91">
        <f>IF($A255=Recto!$I$29,VLOOKUP($A255,Recto!$I$28:$L$44,4,FALSE),0)</f>
        <v>0</v>
      </c>
      <c r="D255" s="91">
        <f>IF($A255=Recto!$I$30,VLOOKUP($A255,Recto!$I$28:$L$44,4,FALSE),0)</f>
        <v>0</v>
      </c>
      <c r="E255" s="91">
        <f>IF($A255=Recto!$I$31,VLOOKUP($A255,Recto!$I$28:$L$44,4,FALSE),0)</f>
        <v>0</v>
      </c>
      <c r="F255" s="91">
        <f>IF($A255=Recto!$I$32,VLOOKUP($A255,Recto!$I$28:$L$44,4,FALSE),0)</f>
        <v>0</v>
      </c>
      <c r="G255" s="91">
        <f>IF($A255=Recto!$I$33,VLOOKUP($A255,Recto!$I$28:$L$44,4,FALSE),0)</f>
        <v>0</v>
      </c>
      <c r="H255" s="91">
        <f>IF($A255=Recto!$I$34,VLOOKUP($A255,Recto!$I$28:$L$44,4,FALSE),0)</f>
        <v>0</v>
      </c>
      <c r="I255" s="91">
        <f>IF($A255=Recto!$I$35,VLOOKUP($A255,Recto!$I$28:$L$44,4,FALSE),0)</f>
        <v>0</v>
      </c>
      <c r="J255" s="91">
        <f>IF($A255=Recto!$I$36,VLOOKUP($A255,Recto!$I$28:$L$44,4,FALSE),0)</f>
        <v>0</v>
      </c>
      <c r="K255" s="91">
        <f>IF($A255=Recto!$I$37,VLOOKUP($A255,Recto!$I$28:$L$44,4,FALSE),0)</f>
        <v>0</v>
      </c>
      <c r="L255" s="91">
        <f>IF($A255=Recto!$I$38,VLOOKUP($A255,Recto!$I$28:$L$44,4,FALSE),0)</f>
        <v>0</v>
      </c>
      <c r="M255" s="91">
        <f>IF($A255=Recto!$I$39,VLOOKUP($A255,Recto!$I$28:$L$44,4,FALSE),0)</f>
        <v>0</v>
      </c>
      <c r="N255" s="91">
        <f>IF($A255=Recto!$I$40,VLOOKUP($A255,Recto!$I$28:$L$44,4,FALSE),0)</f>
        <v>0</v>
      </c>
      <c r="O255" s="91">
        <f>IF($A255=Recto!$I$41,VLOOKUP($A255,Recto!$I$28:$L$44,4,FALSE),0)</f>
        <v>0</v>
      </c>
      <c r="P255" s="91">
        <f>IF($A255=Recto!$I$42,VLOOKUP($A255,Recto!$I$28:$L$44,4,FALSE),0)</f>
        <v>0</v>
      </c>
      <c r="Q255" s="91">
        <f>IF($A255=Recto!$I$43,VLOOKUP($A255,Recto!$I$28:$L$44,4,FALSE),0)</f>
        <v>0</v>
      </c>
      <c r="R255" s="91">
        <f>IF($A255=Recto!$I$44,VLOOKUP($A255,Recto!$I$28:$L$44,4,FALSE),0)</f>
        <v>0</v>
      </c>
      <c r="S255" s="295">
        <f t="shared" si="8"/>
        <v>0</v>
      </c>
    </row>
    <row r="256" spans="1:19" x14ac:dyDescent="0.25">
      <c r="A256" s="500" t="s">
        <v>3212</v>
      </c>
      <c r="B256" s="91">
        <f>IF($A256=Recto!$I$28,VLOOKUP($A256,Recto!$I$28:$L$44,4,FALSE),0)</f>
        <v>0</v>
      </c>
      <c r="C256" s="91">
        <f>IF($A256=Recto!$I$29,VLOOKUP($A256,Recto!$I$28:$L$44,4,FALSE),0)</f>
        <v>0</v>
      </c>
      <c r="D256" s="91">
        <f>IF($A256=Recto!$I$30,VLOOKUP($A256,Recto!$I$28:$L$44,4,FALSE),0)</f>
        <v>0</v>
      </c>
      <c r="E256" s="91">
        <f>IF($A256=Recto!$I$31,VLOOKUP($A256,Recto!$I$28:$L$44,4,FALSE),0)</f>
        <v>0</v>
      </c>
      <c r="F256" s="91">
        <f>IF($A256=Recto!$I$32,VLOOKUP($A256,Recto!$I$28:$L$44,4,FALSE),0)</f>
        <v>0</v>
      </c>
      <c r="G256" s="91">
        <f>IF($A256=Recto!$I$33,VLOOKUP($A256,Recto!$I$28:$L$44,4,FALSE),0)</f>
        <v>0</v>
      </c>
      <c r="H256" s="91">
        <f>IF($A256=Recto!$I$34,VLOOKUP($A256,Recto!$I$28:$L$44,4,FALSE),0)</f>
        <v>0</v>
      </c>
      <c r="I256" s="91">
        <f>IF($A256=Recto!$I$35,VLOOKUP($A256,Recto!$I$28:$L$44,4,FALSE),0)</f>
        <v>0</v>
      </c>
      <c r="J256" s="91">
        <f>IF($A256=Recto!$I$36,VLOOKUP($A256,Recto!$I$28:$L$44,4,FALSE),0)</f>
        <v>0</v>
      </c>
      <c r="K256" s="91">
        <f>IF($A256=Recto!$I$37,VLOOKUP($A256,Recto!$I$28:$L$44,4,FALSE),0)</f>
        <v>0</v>
      </c>
      <c r="L256" s="91">
        <f>IF($A256=Recto!$I$38,VLOOKUP($A256,Recto!$I$28:$L$44,4,FALSE),0)</f>
        <v>0</v>
      </c>
      <c r="M256" s="91">
        <f>IF($A256=Recto!$I$39,VLOOKUP($A256,Recto!$I$28:$L$44,4,FALSE),0)</f>
        <v>0</v>
      </c>
      <c r="N256" s="91">
        <f>IF($A256=Recto!$I$40,VLOOKUP($A256,Recto!$I$28:$L$44,4,FALSE),0)</f>
        <v>0</v>
      </c>
      <c r="O256" s="91">
        <f>IF($A256=Recto!$I$41,VLOOKUP($A256,Recto!$I$28:$L$44,4,FALSE),0)</f>
        <v>0</v>
      </c>
      <c r="P256" s="91">
        <f>IF($A256=Recto!$I$42,VLOOKUP($A256,Recto!$I$28:$L$44,4,FALSE),0)</f>
        <v>0</v>
      </c>
      <c r="Q256" s="91">
        <f>IF($A256=Recto!$I$43,VLOOKUP($A256,Recto!$I$28:$L$44,4,FALSE),0)</f>
        <v>0</v>
      </c>
      <c r="R256" s="91">
        <f>IF($A256=Recto!$I$44,VLOOKUP($A256,Recto!$I$28:$L$44,4,FALSE),0)</f>
        <v>0</v>
      </c>
      <c r="S256" s="295">
        <f t="shared" si="8"/>
        <v>0</v>
      </c>
    </row>
    <row r="257" spans="1:20" x14ac:dyDescent="0.25">
      <c r="A257" s="500" t="s">
        <v>56</v>
      </c>
      <c r="B257" s="91">
        <f>IF($A257=Recto!$I$28,VLOOKUP($A257,Recto!$I$28:$L$44,4,FALSE),0)</f>
        <v>0</v>
      </c>
      <c r="C257" s="91">
        <f>IF($A257=Recto!$I$29,VLOOKUP($A257,Recto!$I$28:$L$44,4,FALSE),0)</f>
        <v>0</v>
      </c>
      <c r="D257" s="91">
        <f>IF($A257=Recto!$I$30,VLOOKUP($A257,Recto!$I$28:$L$44,4,FALSE),0)</f>
        <v>0</v>
      </c>
      <c r="E257" s="91">
        <f>IF($A257=Recto!$I$31,VLOOKUP($A257,Recto!$I$28:$L$44,4,FALSE),0)</f>
        <v>0</v>
      </c>
      <c r="F257" s="91">
        <f>IF($A257=Recto!$I$32,VLOOKUP($A257,Recto!$I$28:$L$44,4,FALSE),0)</f>
        <v>0</v>
      </c>
      <c r="G257" s="91">
        <f>IF($A257=Recto!$I$33,VLOOKUP($A257,Recto!$I$28:$L$44,4,FALSE),0)</f>
        <v>0</v>
      </c>
      <c r="H257" s="91">
        <f>IF($A257=Recto!$I$34,VLOOKUP($A257,Recto!$I$28:$L$44,4,FALSE),0)</f>
        <v>0</v>
      </c>
      <c r="I257" s="91">
        <f>IF($A257=Recto!$I$35,VLOOKUP($A257,Recto!$I$28:$L$44,4,FALSE),0)</f>
        <v>0</v>
      </c>
      <c r="J257" s="91">
        <f>IF($A257=Recto!$I$36,VLOOKUP($A257,Recto!$I$28:$L$44,4,FALSE),0)</f>
        <v>0</v>
      </c>
      <c r="K257" s="91">
        <f>IF($A257=Recto!$I$37,VLOOKUP($A257,Recto!$I$28:$L$44,4,FALSE),0)</f>
        <v>0</v>
      </c>
      <c r="L257" s="91">
        <f>IF($A257=Recto!$I$38,VLOOKUP($A257,Recto!$I$28:$L$44,4,FALSE),0)</f>
        <v>0</v>
      </c>
      <c r="M257" s="91">
        <f>IF($A257=Recto!$I$39,VLOOKUP($A257,Recto!$I$28:$L$44,4,FALSE),0)</f>
        <v>0</v>
      </c>
      <c r="N257" s="91">
        <f>IF($A257=Recto!$I$40,VLOOKUP($A257,Recto!$I$28:$L$44,4,FALSE),0)</f>
        <v>0</v>
      </c>
      <c r="O257" s="91">
        <f>IF($A257=Recto!$I$41,VLOOKUP($A257,Recto!$I$28:$L$44,4,FALSE),0)</f>
        <v>0</v>
      </c>
      <c r="P257" s="91">
        <f>IF($A257=Recto!$I$42,VLOOKUP($A257,Recto!$I$28:$L$44,4,FALSE),0)</f>
        <v>0</v>
      </c>
      <c r="Q257" s="91">
        <f>IF($A257=Recto!$I$43,VLOOKUP($A257,Recto!$I$28:$L$44,4,FALSE),0)</f>
        <v>0</v>
      </c>
      <c r="R257" s="91">
        <f>IF($A257=Recto!$I$44,VLOOKUP($A257,Recto!$I$28:$L$44,4,FALSE),0)</f>
        <v>0</v>
      </c>
      <c r="S257" s="295">
        <f t="shared" si="8"/>
        <v>0</v>
      </c>
    </row>
    <row r="258" spans="1:20" x14ac:dyDescent="0.25">
      <c r="A258" s="500" t="s">
        <v>56</v>
      </c>
      <c r="B258" s="91">
        <f>IF($A258=Recto!$I$28,VLOOKUP($A258,Recto!$I$28:$L$44,4,FALSE),0)</f>
        <v>0</v>
      </c>
      <c r="C258" s="91">
        <f>IF($A258=Recto!$I$29,VLOOKUP($A258,Recto!$I$28:$L$44,4,FALSE),0)</f>
        <v>0</v>
      </c>
      <c r="D258" s="91">
        <f>IF($A258=Recto!$I$30,VLOOKUP($A258,Recto!$I$28:$L$44,4,FALSE),0)</f>
        <v>0</v>
      </c>
      <c r="E258" s="91">
        <f>IF($A258=Recto!$I$31,VLOOKUP($A258,Recto!$I$28:$L$44,4,FALSE),0)</f>
        <v>0</v>
      </c>
      <c r="F258" s="91">
        <f>IF($A258=Recto!$I$32,VLOOKUP($A258,Recto!$I$28:$L$44,4,FALSE),0)</f>
        <v>0</v>
      </c>
      <c r="G258" s="91">
        <f>IF($A258=Recto!$I$33,VLOOKUP($A258,Recto!$I$28:$L$44,4,FALSE),0)</f>
        <v>0</v>
      </c>
      <c r="H258" s="91">
        <f>IF($A258=Recto!$I$34,VLOOKUP($A258,Recto!$I$28:$L$44,4,FALSE),0)</f>
        <v>0</v>
      </c>
      <c r="I258" s="91">
        <f>IF($A258=Recto!$I$35,VLOOKUP($A258,Recto!$I$28:$L$44,4,FALSE),0)</f>
        <v>0</v>
      </c>
      <c r="J258" s="91">
        <f>IF($A258=Recto!$I$36,VLOOKUP($A258,Recto!$I$28:$L$44,4,FALSE),0)</f>
        <v>0</v>
      </c>
      <c r="K258" s="91">
        <f>IF($A258=Recto!$I$37,VLOOKUP($A258,Recto!$I$28:$L$44,4,FALSE),0)</f>
        <v>0</v>
      </c>
      <c r="L258" s="91">
        <f>IF($A258=Recto!$I$38,VLOOKUP($A258,Recto!$I$28:$L$44,4,FALSE),0)</f>
        <v>0</v>
      </c>
      <c r="M258" s="91">
        <f>IF($A258=Recto!$I$39,VLOOKUP($A258,Recto!$I$28:$L$44,4,FALSE),0)</f>
        <v>0</v>
      </c>
      <c r="N258" s="91">
        <f>IF($A258=Recto!$I$40,VLOOKUP($A258,Recto!$I$28:$L$44,4,FALSE),0)</f>
        <v>0</v>
      </c>
      <c r="O258" s="91">
        <f>IF($A258=Recto!$I$41,VLOOKUP($A258,Recto!$I$28:$L$44,4,FALSE),0)</f>
        <v>0</v>
      </c>
      <c r="P258" s="91">
        <f>IF($A258=Recto!$I$42,VLOOKUP($A258,Recto!$I$28:$L$44,4,FALSE),0)</f>
        <v>0</v>
      </c>
      <c r="Q258" s="91">
        <f>IF($A258=Recto!$I$43,VLOOKUP($A258,Recto!$I$28:$L$44,4,FALSE),0)</f>
        <v>0</v>
      </c>
      <c r="R258" s="91">
        <f>IF($A258=Recto!$I$44,VLOOKUP($A258,Recto!$I$28:$L$44,4,FALSE),0)</f>
        <v>0</v>
      </c>
      <c r="S258" s="295">
        <f t="shared" si="8"/>
        <v>0</v>
      </c>
    </row>
    <row r="259" spans="1:20" x14ac:dyDescent="0.25">
      <c r="A259" s="500" t="s">
        <v>4930</v>
      </c>
      <c r="B259" s="91">
        <f>IF($A259=Recto!$I$28,VLOOKUP($A259,Recto!$I$28:$L$44,4,FALSE),0)</f>
        <v>0</v>
      </c>
      <c r="C259" s="91">
        <f>IF($A259=Recto!$I$29,VLOOKUP($A259,Recto!$I$28:$L$44,4,FALSE),0)</f>
        <v>0</v>
      </c>
      <c r="D259" s="91">
        <f>IF($A259=Recto!$I$30,VLOOKUP($A259,Recto!$I$28:$L$44,4,FALSE),0)</f>
        <v>0</v>
      </c>
      <c r="E259" s="91">
        <f>IF($A259=Recto!$I$31,VLOOKUP($A259,Recto!$I$28:$L$44,4,FALSE),0)</f>
        <v>0</v>
      </c>
      <c r="F259" s="91">
        <f>IF($A259=Recto!$I$32,VLOOKUP($A259,Recto!$I$28:$L$44,4,FALSE),0)</f>
        <v>0</v>
      </c>
      <c r="G259" s="91">
        <f>IF($A259=Recto!$I$33,VLOOKUP($A259,Recto!$I$28:$L$44,4,FALSE),0)</f>
        <v>0</v>
      </c>
      <c r="H259" s="91">
        <f>IF($A259=Recto!$I$34,VLOOKUP($A259,Recto!$I$28:$L$44,4,FALSE),0)</f>
        <v>0</v>
      </c>
      <c r="I259" s="91">
        <f>IF($A259=Recto!$I$35,VLOOKUP($A259,Recto!$I$28:$L$44,4,FALSE),0)</f>
        <v>0</v>
      </c>
      <c r="J259" s="91">
        <f>IF($A259=Recto!$I$36,VLOOKUP($A259,Recto!$I$28:$L$44,4,FALSE),0)</f>
        <v>0</v>
      </c>
      <c r="K259" s="91">
        <f>IF($A259=Recto!$I$37,VLOOKUP($A259,Recto!$I$28:$L$44,4,FALSE),0)</f>
        <v>0</v>
      </c>
      <c r="L259" s="91">
        <f>IF($A259=Recto!$I$38,VLOOKUP($A259,Recto!$I$28:$L$44,4,FALSE),0)</f>
        <v>0</v>
      </c>
      <c r="M259" s="91">
        <f>IF($A259=Recto!$I$39,VLOOKUP($A259,Recto!$I$28:$L$44,4,FALSE),0)</f>
        <v>0</v>
      </c>
      <c r="N259" s="91">
        <f>IF($A259=Recto!$I$40,VLOOKUP($A259,Recto!$I$28:$L$44,4,FALSE),0)</f>
        <v>0</v>
      </c>
      <c r="O259" s="91">
        <f>IF($A259=Recto!$I$41,VLOOKUP($A259,Recto!$I$28:$L$44,4,FALSE),0)</f>
        <v>0</v>
      </c>
      <c r="P259" s="91">
        <f>IF($A259=Recto!$I$42,VLOOKUP($A259,Recto!$I$28:$L$44,4,FALSE),0)</f>
        <v>0</v>
      </c>
      <c r="Q259" s="91">
        <f>IF($A259=Recto!$I$43,VLOOKUP($A259,Recto!$I$28:$L$44,4,FALSE),0)</f>
        <v>0</v>
      </c>
      <c r="R259" s="91">
        <f>IF($A259=Recto!$I$44,VLOOKUP($A259,Recto!$I$28:$L$44,4,FALSE),0)</f>
        <v>0</v>
      </c>
      <c r="S259" s="295">
        <f t="shared" si="8"/>
        <v>0</v>
      </c>
    </row>
    <row r="260" spans="1:20" x14ac:dyDescent="0.25">
      <c r="A260" s="500" t="s">
        <v>1359</v>
      </c>
      <c r="B260" s="91">
        <f>IF($A260=Recto!$I$28,VLOOKUP($A260,Recto!$I$28:$L$44,4,FALSE),0)</f>
        <v>0</v>
      </c>
      <c r="C260" s="91">
        <f>IF($A260=Recto!$I$29,VLOOKUP($A260,Recto!$I$28:$L$44,4,FALSE),0)</f>
        <v>0</v>
      </c>
      <c r="D260" s="91">
        <f>IF($A260=Recto!$I$30,VLOOKUP($A260,Recto!$I$28:$L$44,4,FALSE),0)</f>
        <v>0</v>
      </c>
      <c r="E260" s="91">
        <f>IF($A260=Recto!$I$31,VLOOKUP($A260,Recto!$I$28:$L$44,4,FALSE),0)</f>
        <v>0</v>
      </c>
      <c r="F260" s="91">
        <f>IF($A260=Recto!$I$32,VLOOKUP($A260,Recto!$I$28:$L$44,4,FALSE),0)</f>
        <v>0</v>
      </c>
      <c r="G260" s="91">
        <f>IF($A260=Recto!$I$33,VLOOKUP($A260,Recto!$I$28:$L$44,4,FALSE),0)</f>
        <v>0</v>
      </c>
      <c r="H260" s="91">
        <f>IF($A260=Recto!$I$34,VLOOKUP($A260,Recto!$I$28:$L$44,4,FALSE),0)</f>
        <v>0</v>
      </c>
      <c r="I260" s="91">
        <f>IF($A260=Recto!$I$35,VLOOKUP($A260,Recto!$I$28:$L$44,4,FALSE),0)</f>
        <v>0</v>
      </c>
      <c r="J260" s="91">
        <f>IF($A260=Recto!$I$36,VLOOKUP($A260,Recto!$I$28:$L$44,4,FALSE),0)</f>
        <v>0</v>
      </c>
      <c r="K260" s="91">
        <f>IF($A260=Recto!$I$37,VLOOKUP($A260,Recto!$I$28:$L$44,4,FALSE),0)</f>
        <v>0</v>
      </c>
      <c r="L260" s="91">
        <f>IF($A260=Recto!$I$38,VLOOKUP($A260,Recto!$I$28:$L$44,4,FALSE),0)</f>
        <v>0</v>
      </c>
      <c r="M260" s="91">
        <f>IF($A260=Recto!$I$39,VLOOKUP($A260,Recto!$I$28:$L$44,4,FALSE),0)</f>
        <v>0</v>
      </c>
      <c r="N260" s="91">
        <f>IF($A260=Recto!$I$40,VLOOKUP($A260,Recto!$I$28:$L$44,4,FALSE),0)</f>
        <v>0</v>
      </c>
      <c r="O260" s="91">
        <f>IF($A260=Recto!$I$41,VLOOKUP($A260,Recto!$I$28:$L$44,4,FALSE),0)</f>
        <v>0</v>
      </c>
      <c r="P260" s="91">
        <f>IF($A260=Recto!$I$42,VLOOKUP($A260,Recto!$I$28:$L$44,4,FALSE),0)</f>
        <v>0</v>
      </c>
      <c r="Q260" s="91">
        <f>IF($A260=Recto!$I$43,VLOOKUP($A260,Recto!$I$28:$L$44,4,FALSE),0)</f>
        <v>0</v>
      </c>
      <c r="R260" s="91">
        <f>IF($A260=Recto!$I$44,VLOOKUP($A260,Recto!$I$28:$L$44,4,FALSE),0)</f>
        <v>0</v>
      </c>
      <c r="S260" s="295">
        <f t="shared" si="8"/>
        <v>0</v>
      </c>
    </row>
    <row r="261" spans="1:20" x14ac:dyDescent="0.25">
      <c r="A261" s="500" t="s">
        <v>1360</v>
      </c>
      <c r="B261" s="91">
        <f>IF($A261=Recto!$I$28,VLOOKUP($A261,Recto!$I$28:$L$44,4,FALSE),0)</f>
        <v>0</v>
      </c>
      <c r="C261" s="91">
        <f>IF($A261=Recto!$I$29,VLOOKUP($A261,Recto!$I$28:$L$44,4,FALSE),0)</f>
        <v>0</v>
      </c>
      <c r="D261" s="91">
        <f>IF($A261=Recto!$I$30,VLOOKUP($A261,Recto!$I$28:$L$44,4,FALSE),0)</f>
        <v>0</v>
      </c>
      <c r="E261" s="91">
        <f>IF($A261=Recto!$I$31,VLOOKUP($A261,Recto!$I$28:$L$44,4,FALSE),0)</f>
        <v>0</v>
      </c>
      <c r="F261" s="91">
        <f>IF($A261=Recto!$I$32,VLOOKUP($A261,Recto!$I$28:$L$44,4,FALSE),0)</f>
        <v>0</v>
      </c>
      <c r="G261" s="91">
        <f>IF($A261=Recto!$I$33,VLOOKUP($A261,Recto!$I$28:$L$44,4,FALSE),0)</f>
        <v>0</v>
      </c>
      <c r="H261" s="91">
        <f>IF($A261=Recto!$I$34,VLOOKUP($A261,Recto!$I$28:$L$44,4,FALSE),0)</f>
        <v>0</v>
      </c>
      <c r="I261" s="91">
        <f>IF($A261=Recto!$I$35,VLOOKUP($A261,Recto!$I$28:$L$44,4,FALSE),0)</f>
        <v>0</v>
      </c>
      <c r="J261" s="91">
        <f>IF($A261=Recto!$I$36,VLOOKUP($A261,Recto!$I$28:$L$44,4,FALSE),0)</f>
        <v>0</v>
      </c>
      <c r="K261" s="91">
        <f>IF($A261=Recto!$I$37,VLOOKUP($A261,Recto!$I$28:$L$44,4,FALSE),0)</f>
        <v>0</v>
      </c>
      <c r="L261" s="91">
        <f>IF($A261=Recto!$I$38,VLOOKUP($A261,Recto!$I$28:$L$44,4,FALSE),0)</f>
        <v>0</v>
      </c>
      <c r="M261" s="91">
        <f>IF($A261=Recto!$I$39,VLOOKUP($A261,Recto!$I$28:$L$44,4,FALSE),0)</f>
        <v>0</v>
      </c>
      <c r="N261" s="91">
        <f>IF($A261=Recto!$I$40,VLOOKUP($A261,Recto!$I$28:$L$44,4,FALSE),0)</f>
        <v>0</v>
      </c>
      <c r="O261" s="91">
        <f>IF($A261=Recto!$I$41,VLOOKUP($A261,Recto!$I$28:$L$44,4,FALSE),0)</f>
        <v>0</v>
      </c>
      <c r="P261" s="91">
        <f>IF($A261=Recto!$I$42,VLOOKUP($A261,Recto!$I$28:$L$44,4,FALSE),0)</f>
        <v>0</v>
      </c>
      <c r="Q261" s="91">
        <f>IF($A261=Recto!$I$43,VLOOKUP($A261,Recto!$I$28:$L$44,4,FALSE),0)</f>
        <v>0</v>
      </c>
      <c r="R261" s="91">
        <f>IF($A261=Recto!$I$44,VLOOKUP($A261,Recto!$I$28:$L$44,4,FALSE),0)</f>
        <v>0</v>
      </c>
      <c r="S261" s="295">
        <f t="shared" si="8"/>
        <v>0</v>
      </c>
    </row>
    <row r="262" spans="1:20" x14ac:dyDescent="0.25">
      <c r="A262" s="500" t="s">
        <v>3294</v>
      </c>
      <c r="B262" s="91">
        <f>IF($A262=Recto!$I$28,VLOOKUP($A262,Recto!$I$28:$L$44,4,FALSE),0)</f>
        <v>0</v>
      </c>
      <c r="C262" s="91">
        <f>IF($A262=Recto!$I$29,VLOOKUP($A262,Recto!$I$28:$L$44,4,FALSE),0)</f>
        <v>0</v>
      </c>
      <c r="D262" s="91">
        <f>IF($A262=Recto!$I$30,VLOOKUP($A262,Recto!$I$28:$L$44,4,FALSE),0)</f>
        <v>0</v>
      </c>
      <c r="E262" s="91">
        <f>IF($A262=Recto!$I$31,VLOOKUP($A262,Recto!$I$28:$L$44,4,FALSE),0)</f>
        <v>0</v>
      </c>
      <c r="F262" s="91">
        <f>IF($A262=Recto!$I$32,VLOOKUP($A262,Recto!$I$28:$L$44,4,FALSE),0)</f>
        <v>0</v>
      </c>
      <c r="G262" s="91">
        <f>IF($A262=Recto!$I$33,VLOOKUP($A262,Recto!$I$28:$L$44,4,FALSE),0)</f>
        <v>0</v>
      </c>
      <c r="H262" s="91">
        <f>IF($A262=Recto!$I$34,VLOOKUP($A262,Recto!$I$28:$L$44,4,FALSE),0)</f>
        <v>0</v>
      </c>
      <c r="I262" s="91">
        <f>IF($A262=Recto!$I$35,VLOOKUP($A262,Recto!$I$28:$L$44,4,FALSE),0)</f>
        <v>0</v>
      </c>
      <c r="J262" s="91">
        <f>IF($A262=Recto!$I$36,VLOOKUP($A262,Recto!$I$28:$L$44,4,FALSE),0)</f>
        <v>0</v>
      </c>
      <c r="K262" s="91">
        <f>IF($A262=Recto!$I$37,VLOOKUP($A262,Recto!$I$28:$L$44,4,FALSE),0)</f>
        <v>0</v>
      </c>
      <c r="L262" s="91">
        <f>IF($A262=Recto!$I$38,VLOOKUP($A262,Recto!$I$28:$L$44,4,FALSE),0)</f>
        <v>0</v>
      </c>
      <c r="M262" s="91">
        <f>IF($A262=Recto!$I$39,VLOOKUP($A262,Recto!$I$28:$L$44,4,FALSE),0)</f>
        <v>0</v>
      </c>
      <c r="N262" s="91">
        <f>IF($A262=Recto!$I$40,VLOOKUP($A262,Recto!$I$28:$L$44,4,FALSE),0)</f>
        <v>0</v>
      </c>
      <c r="O262" s="91">
        <f>IF($A262=Recto!$I$41,VLOOKUP($A262,Recto!$I$28:$L$44,4,FALSE),0)</f>
        <v>0</v>
      </c>
      <c r="P262" s="91">
        <f>IF($A262=Recto!$I$42,VLOOKUP($A262,Recto!$I$28:$L$44,4,FALSE),0)</f>
        <v>0</v>
      </c>
      <c r="Q262" s="91">
        <f>IF($A262=Recto!$I$43,VLOOKUP($A262,Recto!$I$28:$L$44,4,FALSE),0)</f>
        <v>0</v>
      </c>
      <c r="R262" s="91">
        <f>IF($A262=Recto!$I$44,VLOOKUP($A262,Recto!$I$28:$L$44,4,FALSE),0)</f>
        <v>0</v>
      </c>
      <c r="S262" s="295">
        <f t="shared" si="8"/>
        <v>0</v>
      </c>
    </row>
    <row r="263" spans="1:20" s="196" customFormat="1" x14ac:dyDescent="0.25">
      <c r="A263" s="136" t="s">
        <v>7404</v>
      </c>
      <c r="B263" s="91">
        <f>IF($A263=Recto!$I$28,VLOOKUP($A263,Recto!$I$28:$L$44,4,FALSE),0)</f>
        <v>0</v>
      </c>
      <c r="C263" s="91">
        <f>IF($A263=Recto!$I$29,VLOOKUP($A263,Recto!$I$28:$L$44,4,FALSE),0)</f>
        <v>0</v>
      </c>
      <c r="D263" s="91">
        <f>IF($A263=Recto!$I$30,VLOOKUP($A263,Recto!$I$28:$L$44,4,FALSE),0)</f>
        <v>0</v>
      </c>
      <c r="E263" s="91">
        <f>IF($A263=Recto!$I$31,VLOOKUP($A263,Recto!$I$28:$L$44,4,FALSE),0)</f>
        <v>0</v>
      </c>
      <c r="F263" s="91">
        <f>IF($A263=Recto!$I$32,VLOOKUP($A263,Recto!$I$28:$L$44,4,FALSE),0)</f>
        <v>0</v>
      </c>
      <c r="G263" s="91">
        <f>IF($A263=Recto!$I$33,VLOOKUP($A263,Recto!$I$28:$L$44,4,FALSE),0)</f>
        <v>0</v>
      </c>
      <c r="H263" s="91">
        <f>IF($A263=Recto!$I$34,VLOOKUP($A263,Recto!$I$28:$L$44,4,FALSE),0)</f>
        <v>0</v>
      </c>
      <c r="I263" s="91">
        <f>IF($A263=Recto!$I$35,VLOOKUP($A263,Recto!$I$28:$L$44,4,FALSE),0)</f>
        <v>0</v>
      </c>
      <c r="J263" s="91">
        <f>IF($A263=Recto!$I$36,VLOOKUP($A263,Recto!$I$28:$L$44,4,FALSE),0)</f>
        <v>0</v>
      </c>
      <c r="K263" s="91">
        <f>IF($A263=Recto!$I$37,VLOOKUP($A263,Recto!$I$28:$L$44,4,FALSE),0)</f>
        <v>0</v>
      </c>
      <c r="L263" s="91">
        <f>IF($A263=Recto!$I$38,VLOOKUP($A263,Recto!$I$28:$L$44,4,FALSE),0)</f>
        <v>0</v>
      </c>
      <c r="M263" s="91">
        <f>IF($A263=Recto!$I$39,VLOOKUP($A263,Recto!$I$28:$L$44,4,FALSE),0)</f>
        <v>0</v>
      </c>
      <c r="N263" s="91">
        <f>IF($A263=Recto!$I$40,VLOOKUP($A263,Recto!$I$28:$L$44,4,FALSE),0)</f>
        <v>0</v>
      </c>
      <c r="O263" s="91">
        <f>IF($A263=Recto!$I$41,VLOOKUP($A263,Recto!$I$28:$L$44,4,FALSE),0)</f>
        <v>0</v>
      </c>
      <c r="P263" s="91">
        <f>IF($A263=Recto!$I$42,VLOOKUP($A263,Recto!$I$28:$L$44,4,FALSE),0)</f>
        <v>0</v>
      </c>
      <c r="Q263" s="91">
        <f>IF($A263=Recto!$I$43,VLOOKUP($A263,Recto!$I$28:$L$44,4,FALSE),0)</f>
        <v>0</v>
      </c>
      <c r="R263" s="91">
        <f>IF($A263=Recto!$I$44,VLOOKUP($A263,Recto!$I$28:$L$44,4,FALSE),0)</f>
        <v>0</v>
      </c>
      <c r="S263" s="295">
        <f t="shared" si="8"/>
        <v>0</v>
      </c>
    </row>
    <row r="264" spans="1:20" x14ac:dyDescent="0.25">
      <c r="A264" s="500" t="s">
        <v>1380</v>
      </c>
      <c r="B264" s="91">
        <f>IF($A264=Recto!$I$28,VLOOKUP($A264,Recto!$I$28:$L$44,4,FALSE),0)</f>
        <v>0</v>
      </c>
      <c r="C264" s="91">
        <f>IF($A264=Recto!$I$29,VLOOKUP($A264,Recto!$I$28:$L$44,4,FALSE),0)</f>
        <v>0</v>
      </c>
      <c r="D264" s="91">
        <f>IF($A264=Recto!$I$30,VLOOKUP($A264,Recto!$I$28:$L$44,4,FALSE),0)</f>
        <v>0</v>
      </c>
      <c r="E264" s="91">
        <f>IF($A264=Recto!$I$31,VLOOKUP($A264,Recto!$I$28:$L$44,4,FALSE),0)</f>
        <v>0</v>
      </c>
      <c r="F264" s="91">
        <f>IF($A264=Recto!$I$32,VLOOKUP($A264,Recto!$I$28:$L$44,4,FALSE),0)</f>
        <v>0</v>
      </c>
      <c r="G264" s="91">
        <f>IF($A264=Recto!$I$33,VLOOKUP($A264,Recto!$I$28:$L$44,4,FALSE),0)</f>
        <v>0</v>
      </c>
      <c r="H264" s="91">
        <f>IF($A264=Recto!$I$34,VLOOKUP($A264,Recto!$I$28:$L$44,4,FALSE),0)</f>
        <v>0</v>
      </c>
      <c r="I264" s="91">
        <f>IF($A264=Recto!$I$35,VLOOKUP($A264,Recto!$I$28:$L$44,4,FALSE),0)</f>
        <v>0</v>
      </c>
      <c r="J264" s="91">
        <f>IF($A264=Recto!$I$36,VLOOKUP($A264,Recto!$I$28:$L$44,4,FALSE),0)</f>
        <v>0</v>
      </c>
      <c r="K264" s="91">
        <f>IF($A264=Recto!$I$37,VLOOKUP($A264,Recto!$I$28:$L$44,4,FALSE),0)</f>
        <v>0</v>
      </c>
      <c r="L264" s="91">
        <f>IF($A264=Recto!$I$38,VLOOKUP($A264,Recto!$I$28:$L$44,4,FALSE),0)</f>
        <v>0</v>
      </c>
      <c r="M264" s="91">
        <f>IF($A264=Recto!$I$39,VLOOKUP($A264,Recto!$I$28:$L$44,4,FALSE),0)</f>
        <v>0</v>
      </c>
      <c r="N264" s="91">
        <f>IF($A264=Recto!$I$40,VLOOKUP($A264,Recto!$I$28:$L$44,4,FALSE),0)</f>
        <v>0</v>
      </c>
      <c r="O264" s="91">
        <f>IF($A264=Recto!$I$41,VLOOKUP($A264,Recto!$I$28:$L$44,4,FALSE),0)</f>
        <v>0</v>
      </c>
      <c r="P264" s="91">
        <f>IF($A264=Recto!$I$42,VLOOKUP($A264,Recto!$I$28:$L$44,4,FALSE),0)</f>
        <v>0</v>
      </c>
      <c r="Q264" s="91">
        <f>IF($A264=Recto!$I$43,VLOOKUP($A264,Recto!$I$28:$L$44,4,FALSE),0)</f>
        <v>0</v>
      </c>
      <c r="R264" s="91">
        <f>IF($A264=Recto!$I$44,VLOOKUP($A264,Recto!$I$28:$L$44,4,FALSE),0)</f>
        <v>0</v>
      </c>
      <c r="S264" s="295">
        <f t="shared" si="8"/>
        <v>0</v>
      </c>
    </row>
    <row r="265" spans="1:20" x14ac:dyDescent="0.25">
      <c r="A265" s="500" t="s">
        <v>1346</v>
      </c>
      <c r="B265" s="91">
        <f>IF($A265=Recto!$I$28,VLOOKUP($A265,Recto!$I$28:$L$44,4,FALSE),0)</f>
        <v>0</v>
      </c>
      <c r="C265" s="91">
        <f>IF($A265=Recto!$I$29,VLOOKUP($A265,Recto!$I$28:$L$44,4,FALSE),0)</f>
        <v>0</v>
      </c>
      <c r="D265" s="91">
        <f>IF($A265=Recto!$I$30,VLOOKUP($A265,Recto!$I$28:$L$44,4,FALSE),0)</f>
        <v>0</v>
      </c>
      <c r="E265" s="91">
        <f>IF($A265=Recto!$I$31,VLOOKUP($A265,Recto!$I$28:$L$44,4,FALSE),0)</f>
        <v>0</v>
      </c>
      <c r="F265" s="91">
        <f>IF($A265=Recto!$I$32,VLOOKUP($A265,Recto!$I$28:$L$44,4,FALSE),0)</f>
        <v>0</v>
      </c>
      <c r="G265" s="91">
        <f>IF($A265=Recto!$I$33,VLOOKUP($A265,Recto!$I$28:$L$44,4,FALSE),0)</f>
        <v>0</v>
      </c>
      <c r="H265" s="91">
        <f>IF($A265=Recto!$I$34,VLOOKUP($A265,Recto!$I$28:$L$44,4,FALSE),0)</f>
        <v>0</v>
      </c>
      <c r="I265" s="91">
        <f>IF($A265=Recto!$I$35,VLOOKUP($A265,Recto!$I$28:$L$44,4,FALSE),0)</f>
        <v>0</v>
      </c>
      <c r="J265" s="91">
        <f>IF($A265=Recto!$I$36,VLOOKUP($A265,Recto!$I$28:$L$44,4,FALSE),0)</f>
        <v>0</v>
      </c>
      <c r="K265" s="91">
        <f>IF($A265=Recto!$I$37,VLOOKUP($A265,Recto!$I$28:$L$44,4,FALSE),0)</f>
        <v>0</v>
      </c>
      <c r="L265" s="91">
        <f>IF($A265=Recto!$I$38,VLOOKUP($A265,Recto!$I$28:$L$44,4,FALSE),0)</f>
        <v>0</v>
      </c>
      <c r="M265" s="91">
        <f>IF($A265=Recto!$I$39,VLOOKUP($A265,Recto!$I$28:$L$44,4,FALSE),0)</f>
        <v>0</v>
      </c>
      <c r="N265" s="91">
        <f>IF($A265=Recto!$I$40,VLOOKUP($A265,Recto!$I$28:$L$44,4,FALSE),0)</f>
        <v>0</v>
      </c>
      <c r="O265" s="91">
        <f>IF($A265=Recto!$I$41,VLOOKUP($A265,Recto!$I$28:$L$44,4,FALSE),0)</f>
        <v>0</v>
      </c>
      <c r="P265" s="91">
        <f>IF($A265=Recto!$I$42,VLOOKUP($A265,Recto!$I$28:$L$44,4,FALSE),0)</f>
        <v>0</v>
      </c>
      <c r="Q265" s="91">
        <f>IF($A265=Recto!$I$43,VLOOKUP($A265,Recto!$I$28:$L$44,4,FALSE),0)</f>
        <v>0</v>
      </c>
      <c r="R265" s="91">
        <f>IF($A265=Recto!$I$44,VLOOKUP($A265,Recto!$I$28:$L$44,4,FALSE),0)</f>
        <v>0</v>
      </c>
      <c r="S265" s="295">
        <f t="shared" si="8"/>
        <v>0</v>
      </c>
    </row>
    <row r="266" spans="1:20" x14ac:dyDescent="0.25">
      <c r="A266" s="500" t="s">
        <v>3169</v>
      </c>
      <c r="B266" s="91">
        <f>IF($A266=Recto!$I$28,VLOOKUP($A266,Recto!$I$28:$L$44,4,FALSE),0)</f>
        <v>0</v>
      </c>
      <c r="C266" s="91">
        <f>IF($A266=Recto!$I$29,VLOOKUP($A266,Recto!$I$28:$L$44,4,FALSE),0)</f>
        <v>0</v>
      </c>
      <c r="D266" s="91">
        <f>IF($A266=Recto!$I$30,VLOOKUP($A266,Recto!$I$28:$L$44,4,FALSE),0)</f>
        <v>0</v>
      </c>
      <c r="E266" s="91">
        <f>IF($A266=Recto!$I$31,VLOOKUP($A266,Recto!$I$28:$L$44,4,FALSE),0)</f>
        <v>0</v>
      </c>
      <c r="F266" s="91">
        <f>IF($A266=Recto!$I$32,VLOOKUP($A266,Recto!$I$28:$L$44,4,FALSE),0)</f>
        <v>0</v>
      </c>
      <c r="G266" s="91">
        <f>IF($A266=Recto!$I$33,VLOOKUP($A266,Recto!$I$28:$L$44,4,FALSE),0)</f>
        <v>0</v>
      </c>
      <c r="H266" s="91">
        <f>IF($A266=Recto!$I$34,VLOOKUP($A266,Recto!$I$28:$L$44,4,FALSE),0)</f>
        <v>0</v>
      </c>
      <c r="I266" s="91">
        <f>IF($A266=Recto!$I$35,VLOOKUP($A266,Recto!$I$28:$L$44,4,FALSE),0)</f>
        <v>0</v>
      </c>
      <c r="J266" s="91">
        <f>IF($A266=Recto!$I$36,VLOOKUP($A266,Recto!$I$28:$L$44,4,FALSE),0)</f>
        <v>0</v>
      </c>
      <c r="K266" s="91">
        <f>IF($A266=Recto!$I$37,VLOOKUP($A266,Recto!$I$28:$L$44,4,FALSE),0)</f>
        <v>0</v>
      </c>
      <c r="L266" s="91">
        <f>IF($A266=Recto!$I$38,VLOOKUP($A266,Recto!$I$28:$L$44,4,FALSE),0)</f>
        <v>0</v>
      </c>
      <c r="M266" s="91">
        <f>IF($A266=Recto!$I$39,VLOOKUP($A266,Recto!$I$28:$L$44,4,FALSE),0)</f>
        <v>0</v>
      </c>
      <c r="N266" s="91">
        <f>IF($A266=Recto!$I$40,VLOOKUP($A266,Recto!$I$28:$L$44,4,FALSE),0)</f>
        <v>0</v>
      </c>
      <c r="O266" s="91">
        <f>IF($A266=Recto!$I$41,VLOOKUP($A266,Recto!$I$28:$L$44,4,FALSE),0)</f>
        <v>0</v>
      </c>
      <c r="P266" s="91">
        <f>IF($A266=Recto!$I$42,VLOOKUP($A266,Recto!$I$28:$L$44,4,FALSE),0)</f>
        <v>0</v>
      </c>
      <c r="Q266" s="91">
        <f>IF($A266=Recto!$I$43,VLOOKUP($A266,Recto!$I$28:$L$44,4,FALSE),0)</f>
        <v>0</v>
      </c>
      <c r="R266" s="91">
        <f>IF($A266=Recto!$I$44,VLOOKUP($A266,Recto!$I$28:$L$44,4,FALSE),0)</f>
        <v>0</v>
      </c>
      <c r="S266" s="295">
        <f t="shared" si="8"/>
        <v>0</v>
      </c>
    </row>
    <row r="267" spans="1:20" x14ac:dyDescent="0.25">
      <c r="A267" s="500" t="s">
        <v>1314</v>
      </c>
      <c r="B267" s="91">
        <f>IF($A267=Recto!$I$28,VLOOKUP($A267,Recto!$I$28:$L$44,4,FALSE),0)</f>
        <v>0</v>
      </c>
      <c r="C267" s="91">
        <f>IF($A267=Recto!$I$29,VLOOKUP($A267,Recto!$I$28:$L$44,4,FALSE),0)</f>
        <v>0</v>
      </c>
      <c r="D267" s="91">
        <f>IF($A267=Recto!$I$30,VLOOKUP($A267,Recto!$I$28:$L$44,4,FALSE),0)</f>
        <v>0</v>
      </c>
      <c r="E267" s="91">
        <f>IF($A267=Recto!$I$31,VLOOKUP($A267,Recto!$I$28:$L$44,4,FALSE),0)</f>
        <v>0</v>
      </c>
      <c r="F267" s="91">
        <f>IF($A267=Recto!$I$32,VLOOKUP($A267,Recto!$I$28:$L$44,4,FALSE),0)</f>
        <v>0</v>
      </c>
      <c r="G267" s="91">
        <f>IF($A267=Recto!$I$33,VLOOKUP($A267,Recto!$I$28:$L$44,4,FALSE),0)</f>
        <v>0</v>
      </c>
      <c r="H267" s="91">
        <f>IF($A267=Recto!$I$34,VLOOKUP($A267,Recto!$I$28:$L$44,4,FALSE),0)</f>
        <v>0</v>
      </c>
      <c r="I267" s="91">
        <f>IF($A267=Recto!$I$35,VLOOKUP($A267,Recto!$I$28:$L$44,4,FALSE),0)</f>
        <v>0</v>
      </c>
      <c r="J267" s="91">
        <f>IF($A267=Recto!$I$36,VLOOKUP($A267,Recto!$I$28:$L$44,4,FALSE),0)</f>
        <v>0</v>
      </c>
      <c r="K267" s="91">
        <f>IF($A267=Recto!$I$37,VLOOKUP($A267,Recto!$I$28:$L$44,4,FALSE),0)</f>
        <v>0</v>
      </c>
      <c r="L267" s="91">
        <f>IF($A267=Recto!$I$38,VLOOKUP($A267,Recto!$I$28:$L$44,4,FALSE),0)</f>
        <v>0</v>
      </c>
      <c r="M267" s="91">
        <f>IF($A267=Recto!$I$39,VLOOKUP($A267,Recto!$I$28:$L$44,4,FALSE),0)</f>
        <v>0</v>
      </c>
      <c r="N267" s="91">
        <f>IF($A267=Recto!$I$40,VLOOKUP($A267,Recto!$I$28:$L$44,4,FALSE),0)</f>
        <v>0</v>
      </c>
      <c r="O267" s="91">
        <f>IF($A267=Recto!$I$41,VLOOKUP($A267,Recto!$I$28:$L$44,4,FALSE),0)</f>
        <v>0</v>
      </c>
      <c r="P267" s="91">
        <f>IF($A267=Recto!$I$42,VLOOKUP($A267,Recto!$I$28:$L$44,4,FALSE),0)</f>
        <v>0</v>
      </c>
      <c r="Q267" s="91">
        <f>IF($A267=Recto!$I$43,VLOOKUP($A267,Recto!$I$28:$L$44,4,FALSE),0)</f>
        <v>0</v>
      </c>
      <c r="R267" s="91">
        <f>IF($A267=Recto!$I$44,VLOOKUP($A267,Recto!$I$28:$L$44,4,FALSE),0)</f>
        <v>0</v>
      </c>
      <c r="S267" s="295">
        <f t="shared" si="8"/>
        <v>0</v>
      </c>
    </row>
    <row r="268" spans="1:20" x14ac:dyDescent="0.25">
      <c r="A268" s="500" t="s">
        <v>3275</v>
      </c>
      <c r="B268" s="91">
        <f>IF($A268=Recto!$I$28,VLOOKUP($A268,Recto!$I$28:$L$44,4,FALSE),0)</f>
        <v>0</v>
      </c>
      <c r="C268" s="91">
        <f>IF($A268=Recto!$I$29,VLOOKUP($A268,Recto!$I$28:$L$44,4,FALSE),0)</f>
        <v>0</v>
      </c>
      <c r="D268" s="91">
        <f>IF($A268=Recto!$I$30,VLOOKUP($A268,Recto!$I$28:$L$44,4,FALSE),0)</f>
        <v>0</v>
      </c>
      <c r="E268" s="91">
        <f>IF($A268=Recto!$I$31,VLOOKUP($A268,Recto!$I$28:$L$44,4,FALSE),0)</f>
        <v>0</v>
      </c>
      <c r="F268" s="91">
        <f>IF($A268=Recto!$I$32,VLOOKUP($A268,Recto!$I$28:$L$44,4,FALSE),0)</f>
        <v>0</v>
      </c>
      <c r="G268" s="91">
        <f>IF($A268=Recto!$I$33,VLOOKUP($A268,Recto!$I$28:$L$44,4,FALSE),0)</f>
        <v>0</v>
      </c>
      <c r="H268" s="91">
        <f>IF($A268=Recto!$I$34,VLOOKUP($A268,Recto!$I$28:$L$44,4,FALSE),0)</f>
        <v>0</v>
      </c>
      <c r="I268" s="91">
        <f>IF($A268=Recto!$I$35,VLOOKUP($A268,Recto!$I$28:$L$44,4,FALSE),0)</f>
        <v>0</v>
      </c>
      <c r="J268" s="91">
        <f>IF($A268=Recto!$I$36,VLOOKUP($A268,Recto!$I$28:$L$44,4,FALSE),0)</f>
        <v>0</v>
      </c>
      <c r="K268" s="91">
        <f>IF($A268=Recto!$I$37,VLOOKUP($A268,Recto!$I$28:$L$44,4,FALSE),0)</f>
        <v>0</v>
      </c>
      <c r="L268" s="91">
        <f>IF($A268=Recto!$I$38,VLOOKUP($A268,Recto!$I$28:$L$44,4,FALSE),0)</f>
        <v>0</v>
      </c>
      <c r="M268" s="91">
        <f>IF($A268=Recto!$I$39,VLOOKUP($A268,Recto!$I$28:$L$44,4,FALSE),0)</f>
        <v>0</v>
      </c>
      <c r="N268" s="91">
        <f>IF($A268=Recto!$I$40,VLOOKUP($A268,Recto!$I$28:$L$44,4,FALSE),0)</f>
        <v>0</v>
      </c>
      <c r="O268" s="91">
        <f>IF($A268=Recto!$I$41,VLOOKUP($A268,Recto!$I$28:$L$44,4,FALSE),0)</f>
        <v>0</v>
      </c>
      <c r="P268" s="91">
        <f>IF($A268=Recto!$I$42,VLOOKUP($A268,Recto!$I$28:$L$44,4,FALSE),0)</f>
        <v>0</v>
      </c>
      <c r="Q268" s="91">
        <f>IF($A268=Recto!$I$43,VLOOKUP($A268,Recto!$I$28:$L$44,4,FALSE),0)</f>
        <v>0</v>
      </c>
      <c r="R268" s="91">
        <f>IF($A268=Recto!$I$44,VLOOKUP($A268,Recto!$I$28:$L$44,4,FALSE),0)</f>
        <v>0</v>
      </c>
      <c r="S268" s="295">
        <f t="shared" si="8"/>
        <v>0</v>
      </c>
    </row>
    <row r="269" spans="1:20" x14ac:dyDescent="0.25">
      <c r="A269" s="500" t="s">
        <v>3177</v>
      </c>
      <c r="B269" s="91">
        <f>IF($A269=Recto!$I$28,VLOOKUP($A269,Recto!$I$28:$L$44,4,FALSE),0)</f>
        <v>0</v>
      </c>
      <c r="C269" s="91">
        <f>IF($A269=Recto!$I$29,VLOOKUP($A269,Recto!$I$28:$L$44,4,FALSE),0)</f>
        <v>0</v>
      </c>
      <c r="D269" s="91">
        <f>IF($A269=Recto!$I$30,VLOOKUP($A269,Recto!$I$28:$L$44,4,FALSE),0)</f>
        <v>0</v>
      </c>
      <c r="E269" s="91">
        <f>IF($A269=Recto!$I$31,VLOOKUP($A269,Recto!$I$28:$L$44,4,FALSE),0)</f>
        <v>0</v>
      </c>
      <c r="F269" s="91">
        <f>IF($A269=Recto!$I$32,VLOOKUP($A269,Recto!$I$28:$L$44,4,FALSE),0)</f>
        <v>0</v>
      </c>
      <c r="G269" s="91">
        <f>IF($A269=Recto!$I$33,VLOOKUP($A269,Recto!$I$28:$L$44,4,FALSE),0)</f>
        <v>0</v>
      </c>
      <c r="H269" s="91">
        <f>IF($A269=Recto!$I$34,VLOOKUP($A269,Recto!$I$28:$L$44,4,FALSE),0)</f>
        <v>0</v>
      </c>
      <c r="I269" s="91">
        <f>IF($A269=Recto!$I$35,VLOOKUP($A269,Recto!$I$28:$L$44,4,FALSE),0)</f>
        <v>0</v>
      </c>
      <c r="J269" s="91">
        <f>IF($A269=Recto!$I$36,VLOOKUP($A269,Recto!$I$28:$L$44,4,FALSE),0)</f>
        <v>0</v>
      </c>
      <c r="K269" s="91">
        <f>IF($A269=Recto!$I$37,VLOOKUP($A269,Recto!$I$28:$L$44,4,FALSE),0)</f>
        <v>0</v>
      </c>
      <c r="L269" s="91">
        <f>IF($A269=Recto!$I$38,VLOOKUP($A269,Recto!$I$28:$L$44,4,FALSE),0)</f>
        <v>0</v>
      </c>
      <c r="M269" s="91">
        <f>IF($A269=Recto!$I$39,VLOOKUP($A269,Recto!$I$28:$L$44,4,FALSE),0)</f>
        <v>0</v>
      </c>
      <c r="N269" s="91">
        <f>IF($A269=Recto!$I$40,VLOOKUP($A269,Recto!$I$28:$L$44,4,FALSE),0)</f>
        <v>0</v>
      </c>
      <c r="O269" s="91">
        <f>IF($A269=Recto!$I$41,VLOOKUP($A269,Recto!$I$28:$L$44,4,FALSE),0)</f>
        <v>0</v>
      </c>
      <c r="P269" s="91">
        <f>IF($A269=Recto!$I$42,VLOOKUP($A269,Recto!$I$28:$L$44,4,FALSE),0)</f>
        <v>0</v>
      </c>
      <c r="Q269" s="91">
        <f>IF($A269=Recto!$I$43,VLOOKUP($A269,Recto!$I$28:$L$44,4,FALSE),0)</f>
        <v>0</v>
      </c>
      <c r="R269" s="91">
        <f>IF($A269=Recto!$I$44,VLOOKUP($A269,Recto!$I$28:$L$44,4,FALSE),0)</f>
        <v>0</v>
      </c>
      <c r="S269" s="295">
        <f t="shared" si="8"/>
        <v>0</v>
      </c>
    </row>
    <row r="270" spans="1:20" x14ac:dyDescent="0.25">
      <c r="A270" s="500" t="s">
        <v>3170</v>
      </c>
      <c r="B270" s="91">
        <f>IF($A270=Recto!$I$28,VLOOKUP($A270,Recto!$I$28:$L$44,4,FALSE),0)</f>
        <v>0</v>
      </c>
      <c r="C270" s="91">
        <f>IF($A270=Recto!$I$29,VLOOKUP($A270,Recto!$I$28:$L$44,4,FALSE),0)</f>
        <v>0</v>
      </c>
      <c r="D270" s="91">
        <f>IF($A270=Recto!$I$30,VLOOKUP($A270,Recto!$I$28:$L$44,4,FALSE),0)</f>
        <v>0</v>
      </c>
      <c r="E270" s="91">
        <f>IF($A270=Recto!$I$31,VLOOKUP($A270,Recto!$I$28:$L$44,4,FALSE),0)</f>
        <v>0</v>
      </c>
      <c r="F270" s="91">
        <f>IF($A270=Recto!$I$32,VLOOKUP($A270,Recto!$I$28:$L$44,4,FALSE),0)</f>
        <v>0</v>
      </c>
      <c r="G270" s="91">
        <f>IF($A270=Recto!$I$33,VLOOKUP($A270,Recto!$I$28:$L$44,4,FALSE),0)</f>
        <v>0</v>
      </c>
      <c r="H270" s="91">
        <f>IF($A270=Recto!$I$34,VLOOKUP($A270,Recto!$I$28:$L$44,4,FALSE),0)</f>
        <v>0</v>
      </c>
      <c r="I270" s="91">
        <f>IF($A270=Recto!$I$35,VLOOKUP($A270,Recto!$I$28:$L$44,4,FALSE),0)</f>
        <v>0</v>
      </c>
      <c r="J270" s="91">
        <f>IF($A270=Recto!$I$36,VLOOKUP($A270,Recto!$I$28:$L$44,4,FALSE),0)</f>
        <v>0</v>
      </c>
      <c r="K270" s="91">
        <f>IF($A270=Recto!$I$37,VLOOKUP($A270,Recto!$I$28:$L$44,4,FALSE),0)</f>
        <v>0</v>
      </c>
      <c r="L270" s="91">
        <f>IF($A270=Recto!$I$38,VLOOKUP($A270,Recto!$I$28:$L$44,4,FALSE),0)</f>
        <v>0</v>
      </c>
      <c r="M270" s="91">
        <f>IF($A270=Recto!$I$39,VLOOKUP($A270,Recto!$I$28:$L$44,4,FALSE),0)</f>
        <v>0</v>
      </c>
      <c r="N270" s="91">
        <f>IF($A270=Recto!$I$40,VLOOKUP($A270,Recto!$I$28:$L$44,4,FALSE),0)</f>
        <v>0</v>
      </c>
      <c r="O270" s="91">
        <f>IF($A270=Recto!$I$41,VLOOKUP($A270,Recto!$I$28:$L$44,4,FALSE),0)</f>
        <v>0</v>
      </c>
      <c r="P270" s="91">
        <f>IF($A270=Recto!$I$42,VLOOKUP($A270,Recto!$I$28:$L$44,4,FALSE),0)</f>
        <v>0</v>
      </c>
      <c r="Q270" s="91">
        <f>IF($A270=Recto!$I$43,VLOOKUP($A270,Recto!$I$28:$L$44,4,FALSE),0)</f>
        <v>0</v>
      </c>
      <c r="R270" s="91">
        <f>IF($A270=Recto!$I$44,VLOOKUP($A270,Recto!$I$28:$L$44,4,FALSE),0)</f>
        <v>0</v>
      </c>
      <c r="S270" s="295">
        <f t="shared" si="8"/>
        <v>0</v>
      </c>
    </row>
    <row r="271" spans="1:20" s="196" customFormat="1" x14ac:dyDescent="0.25">
      <c r="A271" s="501" t="s">
        <v>6518</v>
      </c>
      <c r="B271" s="91">
        <f>IF($A271=Recto!$I$28,VLOOKUP($A271,Recto!$I$28:$L$44,4,FALSE),0)</f>
        <v>0</v>
      </c>
      <c r="C271" s="91">
        <f>IF($A271=Recto!$I$29,VLOOKUP($A271,Recto!$I$28:$L$44,4,FALSE),0)</f>
        <v>0</v>
      </c>
      <c r="D271" s="91">
        <f>IF($A271=Recto!$I$30,VLOOKUP($A271,Recto!$I$28:$L$44,4,FALSE),0)</f>
        <v>0</v>
      </c>
      <c r="E271" s="91">
        <f>IF($A271=Recto!$I$31,VLOOKUP($A271,Recto!$I$28:$L$44,4,FALSE),0)</f>
        <v>0</v>
      </c>
      <c r="F271" s="91">
        <f>IF($A271=Recto!$I$32,VLOOKUP($A271,Recto!$I$28:$L$44,4,FALSE),0)</f>
        <v>0</v>
      </c>
      <c r="G271" s="91">
        <f>IF($A271=Recto!$I$33,VLOOKUP($A271,Recto!$I$28:$L$44,4,FALSE),0)</f>
        <v>0</v>
      </c>
      <c r="H271" s="91">
        <f>IF($A271=Recto!$I$34,VLOOKUP($A271,Recto!$I$28:$L$44,4,FALSE),0)</f>
        <v>0</v>
      </c>
      <c r="I271" s="91">
        <f>IF($A271=Recto!$I$35,VLOOKUP($A271,Recto!$I$28:$L$44,4,FALSE),0)</f>
        <v>0</v>
      </c>
      <c r="J271" s="91">
        <f>IF($A271=Recto!$I$36,VLOOKUP($A271,Recto!$I$28:$L$44,4,FALSE),0)</f>
        <v>0</v>
      </c>
      <c r="K271" s="91">
        <f>IF($A271=Recto!$I$37,VLOOKUP($A271,Recto!$I$28:$L$44,4,FALSE),0)</f>
        <v>0</v>
      </c>
      <c r="L271" s="91">
        <f>IF($A271=Recto!$I$38,VLOOKUP($A271,Recto!$I$28:$L$44,4,FALSE),0)</f>
        <v>0</v>
      </c>
      <c r="M271" s="91">
        <f>IF($A271=Recto!$I$39,VLOOKUP($A271,Recto!$I$28:$L$44,4,FALSE),0)</f>
        <v>0</v>
      </c>
      <c r="N271" s="91">
        <f>IF($A271=Recto!$I$40,VLOOKUP($A271,Recto!$I$28:$L$44,4,FALSE),0)</f>
        <v>0</v>
      </c>
      <c r="O271" s="91">
        <f>IF($A271=Recto!$I$41,VLOOKUP($A271,Recto!$I$28:$L$44,4,FALSE),0)</f>
        <v>0</v>
      </c>
      <c r="P271" s="91">
        <f>IF($A271=Recto!$I$42,VLOOKUP($A271,Recto!$I$28:$L$44,4,FALSE),0)</f>
        <v>0</v>
      </c>
      <c r="Q271" s="91">
        <f>IF($A271=Recto!$I$43,VLOOKUP($A271,Recto!$I$28:$L$44,4,FALSE),0)</f>
        <v>0</v>
      </c>
      <c r="R271" s="91">
        <f>IF($A271=Recto!$I$44,VLOOKUP($A271,Recto!$I$28:$L$44,4,FALSE),0)</f>
        <v>0</v>
      </c>
      <c r="S271" s="295">
        <f t="shared" si="8"/>
        <v>0</v>
      </c>
    </row>
    <row r="272" spans="1:20" s="196" customFormat="1" x14ac:dyDescent="0.25">
      <c r="A272" s="495" t="s">
        <v>6484</v>
      </c>
      <c r="B272" s="91">
        <f>IF($A272=Recto!$I$28,VLOOKUP($A272,Recto!$I$28:$L$44,4,FALSE),0)</f>
        <v>0</v>
      </c>
      <c r="C272" s="91">
        <f>IF($A272=Recto!$I$29,VLOOKUP($A272,Recto!$I$28:$L$44,4,FALSE),0)</f>
        <v>0</v>
      </c>
      <c r="D272" s="91">
        <f>IF($A272=Recto!$I$30,VLOOKUP($A272,Recto!$I$28:$L$44,4,FALSE),0)</f>
        <v>0</v>
      </c>
      <c r="E272" s="91">
        <f>IF($A272=Recto!$I$31,VLOOKUP($A272,Recto!$I$28:$L$44,4,FALSE),0)</f>
        <v>0</v>
      </c>
      <c r="F272" s="91">
        <f>IF($A272=Recto!$I$32,VLOOKUP($A272,Recto!$I$28:$L$44,4,FALSE),0)</f>
        <v>0</v>
      </c>
      <c r="G272" s="91">
        <f>IF($A272=Recto!$I$33,VLOOKUP($A272,Recto!$I$28:$L$44,4,FALSE),0)</f>
        <v>0</v>
      </c>
      <c r="H272" s="91">
        <f>IF($A272=Recto!$I$34,VLOOKUP($A272,Recto!$I$28:$L$44,4,FALSE),0)</f>
        <v>0</v>
      </c>
      <c r="I272" s="91">
        <f>IF($A272=Recto!$I$35,VLOOKUP($A272,Recto!$I$28:$L$44,4,FALSE),0)</f>
        <v>0</v>
      </c>
      <c r="J272" s="91">
        <f>IF($A272=Recto!$I$36,VLOOKUP($A272,Recto!$I$28:$L$44,4,FALSE),0)</f>
        <v>0</v>
      </c>
      <c r="K272" s="91">
        <f>IF($A272=Recto!$I$37,VLOOKUP($A272,Recto!$I$28:$L$44,4,FALSE),0)</f>
        <v>0</v>
      </c>
      <c r="L272" s="91">
        <f>IF($A272=Recto!$I$38,VLOOKUP($A272,Recto!$I$28:$L$44,4,FALSE),0)</f>
        <v>0</v>
      </c>
      <c r="M272" s="91">
        <f>IF($A272=Recto!$I$39,VLOOKUP($A272,Recto!$I$28:$L$44,4,FALSE),0)</f>
        <v>0</v>
      </c>
      <c r="N272" s="91">
        <f>IF($A272=Recto!$I$40,VLOOKUP($A272,Recto!$I$28:$L$44,4,FALSE),0)</f>
        <v>0</v>
      </c>
      <c r="O272" s="91">
        <f>IF($A272=Recto!$I$41,VLOOKUP($A272,Recto!$I$28:$L$44,4,FALSE),0)</f>
        <v>0</v>
      </c>
      <c r="P272" s="91">
        <f>IF($A272=Recto!$I$42,VLOOKUP($A272,Recto!$I$28:$L$44,4,FALSE),0)</f>
        <v>0</v>
      </c>
      <c r="Q272" s="91">
        <f>IF($A272=Recto!$I$43,VLOOKUP($A272,Recto!$I$28:$L$44,4,FALSE),0)</f>
        <v>0</v>
      </c>
      <c r="R272" s="91">
        <f>IF($A272=Recto!$I$44,VLOOKUP($A272,Recto!$I$28:$L$44,4,FALSE),0)</f>
        <v>0</v>
      </c>
      <c r="S272" s="295">
        <f t="shared" si="8"/>
        <v>0</v>
      </c>
      <c r="T272" s="294"/>
    </row>
    <row r="273" spans="1:19" s="196" customFormat="1" x14ac:dyDescent="0.25">
      <c r="A273" s="500" t="s">
        <v>7103</v>
      </c>
      <c r="B273" s="91">
        <f>IF($A273=Recto!$I$28,VLOOKUP($A273,Recto!$I$28:$L$44,4,FALSE),0)</f>
        <v>0</v>
      </c>
      <c r="C273" s="91">
        <f>IF($A273=Recto!$I$29,VLOOKUP($A273,Recto!$I$28:$L$44,4,FALSE),0)</f>
        <v>0</v>
      </c>
      <c r="D273" s="91">
        <f>IF($A273=Recto!$I$30,VLOOKUP($A273,Recto!$I$28:$L$44,4,FALSE),0)</f>
        <v>0</v>
      </c>
      <c r="E273" s="91">
        <f>IF($A273=Recto!$I$31,VLOOKUP($A273,Recto!$I$28:$L$44,4,FALSE),0)</f>
        <v>0</v>
      </c>
      <c r="F273" s="91">
        <f>IF($A273=Recto!$I$32,VLOOKUP($A273,Recto!$I$28:$L$44,4,FALSE),0)</f>
        <v>0</v>
      </c>
      <c r="G273" s="91">
        <f>IF($A273=Recto!$I$33,VLOOKUP($A273,Recto!$I$28:$L$44,4,FALSE),0)</f>
        <v>0</v>
      </c>
      <c r="H273" s="91">
        <f>IF($A273=Recto!$I$34,VLOOKUP($A273,Recto!$I$28:$L$44,4,FALSE),0)</f>
        <v>0</v>
      </c>
      <c r="I273" s="91">
        <f>IF($A273=Recto!$I$35,VLOOKUP($A273,Recto!$I$28:$L$44,4,FALSE),0)</f>
        <v>0</v>
      </c>
      <c r="J273" s="91">
        <f>IF($A273=Recto!$I$36,VLOOKUP($A273,Recto!$I$28:$L$44,4,FALSE),0)</f>
        <v>0</v>
      </c>
      <c r="K273" s="91">
        <f>IF($A273=Recto!$I$37,VLOOKUP($A273,Recto!$I$28:$L$44,4,FALSE),0)</f>
        <v>0</v>
      </c>
      <c r="L273" s="91">
        <f>IF($A273=Recto!$I$38,VLOOKUP($A273,Recto!$I$28:$L$44,4,FALSE),0)</f>
        <v>0</v>
      </c>
      <c r="M273" s="91">
        <f>IF($A273=Recto!$I$39,VLOOKUP($A273,Recto!$I$28:$L$44,4,FALSE),0)</f>
        <v>0</v>
      </c>
      <c r="N273" s="91">
        <f>IF($A273=Recto!$I$40,VLOOKUP($A273,Recto!$I$28:$L$44,4,FALSE),0)</f>
        <v>0</v>
      </c>
      <c r="O273" s="91">
        <f>IF($A273=Recto!$I$41,VLOOKUP($A273,Recto!$I$28:$L$44,4,FALSE),0)</f>
        <v>0</v>
      </c>
      <c r="P273" s="91">
        <f>IF($A273=Recto!$I$42,VLOOKUP($A273,Recto!$I$28:$L$44,4,FALSE),0)</f>
        <v>0</v>
      </c>
      <c r="Q273" s="91">
        <f>IF($A273=Recto!$I$43,VLOOKUP($A273,Recto!$I$28:$L$44,4,FALSE),0)</f>
        <v>0</v>
      </c>
      <c r="R273" s="91">
        <f>IF($A273=Recto!$I$44,VLOOKUP($A273,Recto!$I$28:$L$44,4,FALSE),0)</f>
        <v>0</v>
      </c>
      <c r="S273" s="295">
        <f t="shared" si="8"/>
        <v>0</v>
      </c>
    </row>
    <row r="274" spans="1:19" x14ac:dyDescent="0.25">
      <c r="A274" s="500" t="s">
        <v>1361</v>
      </c>
      <c r="B274" s="91">
        <f>IF($A274=Recto!$I$28,VLOOKUP($A274,Recto!$I$28:$L$44,4,FALSE),0)</f>
        <v>0</v>
      </c>
      <c r="C274" s="91">
        <f>IF($A274=Recto!$I$29,VLOOKUP($A274,Recto!$I$28:$L$44,4,FALSE),0)</f>
        <v>0</v>
      </c>
      <c r="D274" s="91">
        <f>IF($A274=Recto!$I$30,VLOOKUP($A274,Recto!$I$28:$L$44,4,FALSE),0)</f>
        <v>0</v>
      </c>
      <c r="E274" s="91">
        <f>IF($A274=Recto!$I$31,VLOOKUP($A274,Recto!$I$28:$L$44,4,FALSE),0)</f>
        <v>0</v>
      </c>
      <c r="F274" s="91">
        <f>IF($A274=Recto!$I$32,VLOOKUP($A274,Recto!$I$28:$L$44,4,FALSE),0)</f>
        <v>0</v>
      </c>
      <c r="G274" s="91">
        <f>IF($A274=Recto!$I$33,VLOOKUP($A274,Recto!$I$28:$L$44,4,FALSE),0)</f>
        <v>0</v>
      </c>
      <c r="H274" s="91">
        <f>IF($A274=Recto!$I$34,VLOOKUP($A274,Recto!$I$28:$L$44,4,FALSE),0)</f>
        <v>0</v>
      </c>
      <c r="I274" s="91">
        <f>IF($A274=Recto!$I$35,VLOOKUP($A274,Recto!$I$28:$L$44,4,FALSE),0)</f>
        <v>0</v>
      </c>
      <c r="J274" s="91">
        <f>IF($A274=Recto!$I$36,VLOOKUP($A274,Recto!$I$28:$L$44,4,FALSE),0)</f>
        <v>0</v>
      </c>
      <c r="K274" s="91">
        <f>IF($A274=Recto!$I$37,VLOOKUP($A274,Recto!$I$28:$L$44,4,FALSE),0)</f>
        <v>0</v>
      </c>
      <c r="L274" s="91">
        <f>IF($A274=Recto!$I$38,VLOOKUP($A274,Recto!$I$28:$L$44,4,FALSE),0)</f>
        <v>0</v>
      </c>
      <c r="M274" s="91">
        <f>IF($A274=Recto!$I$39,VLOOKUP($A274,Recto!$I$28:$L$44,4,FALSE),0)</f>
        <v>0</v>
      </c>
      <c r="N274" s="91">
        <f>IF($A274=Recto!$I$40,VLOOKUP($A274,Recto!$I$28:$L$44,4,FALSE),0)</f>
        <v>0</v>
      </c>
      <c r="O274" s="91">
        <f>IF($A274=Recto!$I$41,VLOOKUP($A274,Recto!$I$28:$L$44,4,FALSE),0)</f>
        <v>0</v>
      </c>
      <c r="P274" s="91">
        <f>IF($A274=Recto!$I$42,VLOOKUP($A274,Recto!$I$28:$L$44,4,FALSE),0)</f>
        <v>0</v>
      </c>
      <c r="Q274" s="91">
        <f>IF($A274=Recto!$I$43,VLOOKUP($A274,Recto!$I$28:$L$44,4,FALSE),0)</f>
        <v>0</v>
      </c>
      <c r="R274" s="91">
        <f>IF($A274=Recto!$I$44,VLOOKUP($A274,Recto!$I$28:$L$44,4,FALSE),0)</f>
        <v>0</v>
      </c>
      <c r="S274" s="295">
        <f t="shared" si="8"/>
        <v>0</v>
      </c>
    </row>
    <row r="275" spans="1:19" x14ac:dyDescent="0.25">
      <c r="A275" s="500" t="s">
        <v>3288</v>
      </c>
      <c r="B275" s="91">
        <f>IF($A275=Recto!$I$28,VLOOKUP($A275,Recto!$I$28:$L$44,4,FALSE),0)</f>
        <v>0</v>
      </c>
      <c r="C275" s="91">
        <f>IF($A275=Recto!$I$29,VLOOKUP($A275,Recto!$I$28:$L$44,4,FALSE),0)</f>
        <v>0</v>
      </c>
      <c r="D275" s="91">
        <f>IF($A275=Recto!$I$30,VLOOKUP($A275,Recto!$I$28:$L$44,4,FALSE),0)</f>
        <v>0</v>
      </c>
      <c r="E275" s="91">
        <f>IF($A275=Recto!$I$31,VLOOKUP($A275,Recto!$I$28:$L$44,4,FALSE),0)</f>
        <v>0</v>
      </c>
      <c r="F275" s="91">
        <f>IF($A275=Recto!$I$32,VLOOKUP($A275,Recto!$I$28:$L$44,4,FALSE),0)</f>
        <v>0</v>
      </c>
      <c r="G275" s="91">
        <f>IF($A275=Recto!$I$33,VLOOKUP($A275,Recto!$I$28:$L$44,4,FALSE),0)</f>
        <v>0</v>
      </c>
      <c r="H275" s="91">
        <f>IF($A275=Recto!$I$34,VLOOKUP($A275,Recto!$I$28:$L$44,4,FALSE),0)</f>
        <v>0</v>
      </c>
      <c r="I275" s="91">
        <f>IF($A275=Recto!$I$35,VLOOKUP($A275,Recto!$I$28:$L$44,4,FALSE),0)</f>
        <v>0</v>
      </c>
      <c r="J275" s="91">
        <f>IF($A275=Recto!$I$36,VLOOKUP($A275,Recto!$I$28:$L$44,4,FALSE),0)</f>
        <v>0</v>
      </c>
      <c r="K275" s="91">
        <f>IF($A275=Recto!$I$37,VLOOKUP($A275,Recto!$I$28:$L$44,4,FALSE),0)</f>
        <v>0</v>
      </c>
      <c r="L275" s="91">
        <f>IF($A275=Recto!$I$38,VLOOKUP($A275,Recto!$I$28:$L$44,4,FALSE),0)</f>
        <v>0</v>
      </c>
      <c r="M275" s="91">
        <f>IF($A275=Recto!$I$39,VLOOKUP($A275,Recto!$I$28:$L$44,4,FALSE),0)</f>
        <v>0</v>
      </c>
      <c r="N275" s="91">
        <f>IF($A275=Recto!$I$40,VLOOKUP($A275,Recto!$I$28:$L$44,4,FALSE),0)</f>
        <v>0</v>
      </c>
      <c r="O275" s="91">
        <f>IF($A275=Recto!$I$41,VLOOKUP($A275,Recto!$I$28:$L$44,4,FALSE),0)</f>
        <v>0</v>
      </c>
      <c r="P275" s="91">
        <f>IF($A275=Recto!$I$42,VLOOKUP($A275,Recto!$I$28:$L$44,4,FALSE),0)</f>
        <v>0</v>
      </c>
      <c r="Q275" s="91">
        <f>IF($A275=Recto!$I$43,VLOOKUP($A275,Recto!$I$28:$L$44,4,FALSE),0)</f>
        <v>0</v>
      </c>
      <c r="R275" s="91">
        <f>IF($A275=Recto!$I$44,VLOOKUP($A275,Recto!$I$28:$L$44,4,FALSE),0)</f>
        <v>0</v>
      </c>
      <c r="S275" s="295">
        <f t="shared" si="8"/>
        <v>0</v>
      </c>
    </row>
    <row r="276" spans="1:19" x14ac:dyDescent="0.25">
      <c r="A276" s="500" t="s">
        <v>3172</v>
      </c>
      <c r="B276" s="91">
        <f>IF($A276=Recto!$I$28,VLOOKUP($A276,Recto!$I$28:$L$44,4,FALSE),0)</f>
        <v>0</v>
      </c>
      <c r="C276" s="91">
        <f>IF($A276=Recto!$I$29,VLOOKUP($A276,Recto!$I$28:$L$44,4,FALSE),0)</f>
        <v>0</v>
      </c>
      <c r="D276" s="91">
        <f>IF($A276=Recto!$I$30,VLOOKUP($A276,Recto!$I$28:$L$44,4,FALSE),0)</f>
        <v>0</v>
      </c>
      <c r="E276" s="91">
        <f>IF($A276=Recto!$I$31,VLOOKUP($A276,Recto!$I$28:$L$44,4,FALSE),0)</f>
        <v>0</v>
      </c>
      <c r="F276" s="91">
        <f>IF($A276=Recto!$I$32,VLOOKUP($A276,Recto!$I$28:$L$44,4,FALSE),0)</f>
        <v>0</v>
      </c>
      <c r="G276" s="91">
        <f>IF($A276=Recto!$I$33,VLOOKUP($A276,Recto!$I$28:$L$44,4,FALSE),0)</f>
        <v>0</v>
      </c>
      <c r="H276" s="91">
        <f>IF($A276=Recto!$I$34,VLOOKUP($A276,Recto!$I$28:$L$44,4,FALSE),0)</f>
        <v>0</v>
      </c>
      <c r="I276" s="91">
        <f>IF($A276=Recto!$I$35,VLOOKUP($A276,Recto!$I$28:$L$44,4,FALSE),0)</f>
        <v>0</v>
      </c>
      <c r="J276" s="91">
        <f>IF($A276=Recto!$I$36,VLOOKUP($A276,Recto!$I$28:$L$44,4,FALSE),0)</f>
        <v>0</v>
      </c>
      <c r="K276" s="91">
        <f>IF($A276=Recto!$I$37,VLOOKUP($A276,Recto!$I$28:$L$44,4,FALSE),0)</f>
        <v>0</v>
      </c>
      <c r="L276" s="91">
        <f>IF($A276=Recto!$I$38,VLOOKUP($A276,Recto!$I$28:$L$44,4,FALSE),0)</f>
        <v>0</v>
      </c>
      <c r="M276" s="91">
        <f>IF($A276=Recto!$I$39,VLOOKUP($A276,Recto!$I$28:$L$44,4,FALSE),0)</f>
        <v>0</v>
      </c>
      <c r="N276" s="91">
        <f>IF($A276=Recto!$I$40,VLOOKUP($A276,Recto!$I$28:$L$44,4,FALSE),0)</f>
        <v>0</v>
      </c>
      <c r="O276" s="91">
        <f>IF($A276=Recto!$I$41,VLOOKUP($A276,Recto!$I$28:$L$44,4,FALSE),0)</f>
        <v>0</v>
      </c>
      <c r="P276" s="91">
        <f>IF($A276=Recto!$I$42,VLOOKUP($A276,Recto!$I$28:$L$44,4,FALSE),0)</f>
        <v>0</v>
      </c>
      <c r="Q276" s="91">
        <f>IF($A276=Recto!$I$43,VLOOKUP($A276,Recto!$I$28:$L$44,4,FALSE),0)</f>
        <v>0</v>
      </c>
      <c r="R276" s="91">
        <f>IF($A276=Recto!$I$44,VLOOKUP($A276,Recto!$I$28:$L$44,4,FALSE),0)</f>
        <v>0</v>
      </c>
      <c r="S276" s="295">
        <f t="shared" si="8"/>
        <v>0</v>
      </c>
    </row>
    <row r="277" spans="1:19" x14ac:dyDescent="0.25">
      <c r="A277" s="500" t="s">
        <v>3178</v>
      </c>
      <c r="B277" s="91">
        <f>IF($A277=Recto!$I$28,VLOOKUP($A277,Recto!$I$28:$L$44,4,FALSE),0)</f>
        <v>0</v>
      </c>
      <c r="C277" s="91">
        <f>IF($A277=Recto!$I$29,VLOOKUP($A277,Recto!$I$28:$L$44,4,FALSE),0)</f>
        <v>0</v>
      </c>
      <c r="D277" s="91">
        <f>IF($A277=Recto!$I$30,VLOOKUP($A277,Recto!$I$28:$L$44,4,FALSE),0)</f>
        <v>0</v>
      </c>
      <c r="E277" s="91">
        <f>IF($A277=Recto!$I$31,VLOOKUP($A277,Recto!$I$28:$L$44,4,FALSE),0)</f>
        <v>0</v>
      </c>
      <c r="F277" s="91">
        <f>IF($A277=Recto!$I$32,VLOOKUP($A277,Recto!$I$28:$L$44,4,FALSE),0)</f>
        <v>0</v>
      </c>
      <c r="G277" s="91">
        <f>IF($A277=Recto!$I$33,VLOOKUP($A277,Recto!$I$28:$L$44,4,FALSE),0)</f>
        <v>0</v>
      </c>
      <c r="H277" s="91">
        <f>IF($A277=Recto!$I$34,VLOOKUP($A277,Recto!$I$28:$L$44,4,FALSE),0)</f>
        <v>0</v>
      </c>
      <c r="I277" s="91">
        <f>IF($A277=Recto!$I$35,VLOOKUP($A277,Recto!$I$28:$L$44,4,FALSE),0)</f>
        <v>0</v>
      </c>
      <c r="J277" s="91">
        <f>IF($A277=Recto!$I$36,VLOOKUP($A277,Recto!$I$28:$L$44,4,FALSE),0)</f>
        <v>0</v>
      </c>
      <c r="K277" s="91">
        <f>IF($A277=Recto!$I$37,VLOOKUP($A277,Recto!$I$28:$L$44,4,FALSE),0)</f>
        <v>0</v>
      </c>
      <c r="L277" s="91">
        <f>IF($A277=Recto!$I$38,VLOOKUP($A277,Recto!$I$28:$L$44,4,FALSE),0)</f>
        <v>0</v>
      </c>
      <c r="M277" s="91">
        <f>IF($A277=Recto!$I$39,VLOOKUP($A277,Recto!$I$28:$L$44,4,FALSE),0)</f>
        <v>0</v>
      </c>
      <c r="N277" s="91">
        <f>IF($A277=Recto!$I$40,VLOOKUP($A277,Recto!$I$28:$L$44,4,FALSE),0)</f>
        <v>0</v>
      </c>
      <c r="O277" s="91">
        <f>IF($A277=Recto!$I$41,VLOOKUP($A277,Recto!$I$28:$L$44,4,FALSE),0)</f>
        <v>0</v>
      </c>
      <c r="P277" s="91">
        <f>IF($A277=Recto!$I$42,VLOOKUP($A277,Recto!$I$28:$L$44,4,FALSE),0)</f>
        <v>0</v>
      </c>
      <c r="Q277" s="91">
        <f>IF($A277=Recto!$I$43,VLOOKUP($A277,Recto!$I$28:$L$44,4,FALSE),0)</f>
        <v>0</v>
      </c>
      <c r="R277" s="91">
        <f>IF($A277=Recto!$I$44,VLOOKUP($A277,Recto!$I$28:$L$44,4,FALSE),0)</f>
        <v>0</v>
      </c>
      <c r="S277" s="295">
        <f t="shared" si="8"/>
        <v>0</v>
      </c>
    </row>
    <row r="278" spans="1:19" x14ac:dyDescent="0.25">
      <c r="A278" s="500" t="s">
        <v>177</v>
      </c>
      <c r="B278" s="91">
        <f>IF($A278=Recto!$I$28,VLOOKUP($A278,Recto!$I$28:$L$44,4,FALSE),0)</f>
        <v>0</v>
      </c>
      <c r="C278" s="91">
        <f>IF($A278=Recto!$I$29,VLOOKUP($A278,Recto!$I$28:$L$44,4,FALSE),0)</f>
        <v>0</v>
      </c>
      <c r="D278" s="91">
        <f>IF($A278=Recto!$I$30,VLOOKUP($A278,Recto!$I$28:$L$44,4,FALSE),0)</f>
        <v>0</v>
      </c>
      <c r="E278" s="91">
        <f>IF($A278=Recto!$I$31,VLOOKUP($A278,Recto!$I$28:$L$44,4,FALSE),0)</f>
        <v>0</v>
      </c>
      <c r="F278" s="91">
        <f>IF($A278=Recto!$I$32,VLOOKUP($A278,Recto!$I$28:$L$44,4,FALSE),0)</f>
        <v>0</v>
      </c>
      <c r="G278" s="91">
        <f>IF($A278=Recto!$I$33,VLOOKUP($A278,Recto!$I$28:$L$44,4,FALSE),0)</f>
        <v>0</v>
      </c>
      <c r="H278" s="91">
        <f>IF($A278=Recto!$I$34,VLOOKUP($A278,Recto!$I$28:$L$44,4,FALSE),0)</f>
        <v>0</v>
      </c>
      <c r="I278" s="91">
        <f>IF($A278=Recto!$I$35,VLOOKUP($A278,Recto!$I$28:$L$44,4,FALSE),0)</f>
        <v>0</v>
      </c>
      <c r="J278" s="91">
        <f>IF($A278=Recto!$I$36,VLOOKUP($A278,Recto!$I$28:$L$44,4,FALSE),0)</f>
        <v>0</v>
      </c>
      <c r="K278" s="91">
        <f>IF($A278=Recto!$I$37,VLOOKUP($A278,Recto!$I$28:$L$44,4,FALSE),0)</f>
        <v>0</v>
      </c>
      <c r="L278" s="91">
        <f>IF($A278=Recto!$I$38,VLOOKUP($A278,Recto!$I$28:$L$44,4,FALSE),0)</f>
        <v>0</v>
      </c>
      <c r="M278" s="91">
        <f>IF($A278=Recto!$I$39,VLOOKUP($A278,Recto!$I$28:$L$44,4,FALSE),0)</f>
        <v>0</v>
      </c>
      <c r="N278" s="91">
        <f>IF($A278=Recto!$I$40,VLOOKUP($A278,Recto!$I$28:$L$44,4,FALSE),0)</f>
        <v>0</v>
      </c>
      <c r="O278" s="91">
        <f>IF($A278=Recto!$I$41,VLOOKUP($A278,Recto!$I$28:$L$44,4,FALSE),0)</f>
        <v>0</v>
      </c>
      <c r="P278" s="91">
        <f>IF($A278=Recto!$I$42,VLOOKUP($A278,Recto!$I$28:$L$44,4,FALSE),0)</f>
        <v>0</v>
      </c>
      <c r="Q278" s="91">
        <f>IF($A278=Recto!$I$43,VLOOKUP($A278,Recto!$I$28:$L$44,4,FALSE),0)</f>
        <v>0</v>
      </c>
      <c r="R278" s="91">
        <f>IF($A278=Recto!$I$44,VLOOKUP($A278,Recto!$I$28:$L$44,4,FALSE),0)</f>
        <v>0</v>
      </c>
      <c r="S278" s="295">
        <f t="shared" si="8"/>
        <v>0</v>
      </c>
    </row>
    <row r="279" spans="1:19" x14ac:dyDescent="0.25">
      <c r="A279" s="500" t="s">
        <v>1296</v>
      </c>
      <c r="B279" s="91">
        <f>IF($A279=Recto!$I$28,VLOOKUP($A279,Recto!$I$28:$L$44,4,FALSE),0)</f>
        <v>0</v>
      </c>
      <c r="C279" s="91">
        <f>IF($A279=Recto!$I$29,VLOOKUP($A279,Recto!$I$28:$L$44,4,FALSE),0)</f>
        <v>0</v>
      </c>
      <c r="D279" s="91">
        <f>IF($A279=Recto!$I$30,VLOOKUP($A279,Recto!$I$28:$L$44,4,FALSE),0)</f>
        <v>0</v>
      </c>
      <c r="E279" s="91">
        <f>IF($A279=Recto!$I$31,VLOOKUP($A279,Recto!$I$28:$L$44,4,FALSE),0)</f>
        <v>0</v>
      </c>
      <c r="F279" s="91">
        <f>IF($A279=Recto!$I$32,VLOOKUP($A279,Recto!$I$28:$L$44,4,FALSE),0)</f>
        <v>0</v>
      </c>
      <c r="G279" s="91">
        <f>IF($A279=Recto!$I$33,VLOOKUP($A279,Recto!$I$28:$L$44,4,FALSE),0)</f>
        <v>0</v>
      </c>
      <c r="H279" s="91">
        <f>IF($A279=Recto!$I$34,VLOOKUP($A279,Recto!$I$28:$L$44,4,FALSE),0)</f>
        <v>0</v>
      </c>
      <c r="I279" s="91">
        <f>IF($A279=Recto!$I$35,VLOOKUP($A279,Recto!$I$28:$L$44,4,FALSE),0)</f>
        <v>0</v>
      </c>
      <c r="J279" s="91">
        <f>IF($A279=Recto!$I$36,VLOOKUP($A279,Recto!$I$28:$L$44,4,FALSE),0)</f>
        <v>0</v>
      </c>
      <c r="K279" s="91">
        <f>IF($A279=Recto!$I$37,VLOOKUP($A279,Recto!$I$28:$L$44,4,FALSE),0)</f>
        <v>0</v>
      </c>
      <c r="L279" s="91">
        <f>IF($A279=Recto!$I$38,VLOOKUP($A279,Recto!$I$28:$L$44,4,FALSE),0)</f>
        <v>0</v>
      </c>
      <c r="M279" s="91">
        <f>IF($A279=Recto!$I$39,VLOOKUP($A279,Recto!$I$28:$L$44,4,FALSE),0)</f>
        <v>0</v>
      </c>
      <c r="N279" s="91">
        <f>IF($A279=Recto!$I$40,VLOOKUP($A279,Recto!$I$28:$L$44,4,FALSE),0)</f>
        <v>0</v>
      </c>
      <c r="O279" s="91">
        <f>IF($A279=Recto!$I$41,VLOOKUP($A279,Recto!$I$28:$L$44,4,FALSE),0)</f>
        <v>0</v>
      </c>
      <c r="P279" s="91">
        <f>IF($A279=Recto!$I$42,VLOOKUP($A279,Recto!$I$28:$L$44,4,FALSE),0)</f>
        <v>0</v>
      </c>
      <c r="Q279" s="91">
        <f>IF($A279=Recto!$I$43,VLOOKUP($A279,Recto!$I$28:$L$44,4,FALSE),0)</f>
        <v>0</v>
      </c>
      <c r="R279" s="91">
        <f>IF($A279=Recto!$I$44,VLOOKUP($A279,Recto!$I$28:$L$44,4,FALSE),0)</f>
        <v>0</v>
      </c>
      <c r="S279" s="295">
        <f t="shared" si="8"/>
        <v>0</v>
      </c>
    </row>
    <row r="280" spans="1:19" x14ac:dyDescent="0.25">
      <c r="A280" s="500" t="s">
        <v>2829</v>
      </c>
      <c r="B280" s="91">
        <f>IF($A280=Recto!$I$28,VLOOKUP($A280,Recto!$I$28:$L$44,4,FALSE),0)</f>
        <v>0</v>
      </c>
      <c r="C280" s="91">
        <f>IF($A280=Recto!$I$29,VLOOKUP($A280,Recto!$I$28:$L$44,4,FALSE),0)</f>
        <v>0</v>
      </c>
      <c r="D280" s="91">
        <f>IF($A280=Recto!$I$30,VLOOKUP($A280,Recto!$I$28:$L$44,4,FALSE),0)</f>
        <v>0</v>
      </c>
      <c r="E280" s="91">
        <f>IF($A280=Recto!$I$31,VLOOKUP($A280,Recto!$I$28:$L$44,4,FALSE),0)</f>
        <v>0</v>
      </c>
      <c r="F280" s="91">
        <f>IF($A280=Recto!$I$32,VLOOKUP($A280,Recto!$I$28:$L$44,4,FALSE),0)</f>
        <v>0</v>
      </c>
      <c r="G280" s="91">
        <f>IF($A280=Recto!$I$33,VLOOKUP($A280,Recto!$I$28:$L$44,4,FALSE),0)</f>
        <v>0</v>
      </c>
      <c r="H280" s="91">
        <f>IF($A280=Recto!$I$34,VLOOKUP($A280,Recto!$I$28:$L$44,4,FALSE),0)</f>
        <v>0</v>
      </c>
      <c r="I280" s="91">
        <f>IF($A280=Recto!$I$35,VLOOKUP($A280,Recto!$I$28:$L$44,4,FALSE),0)</f>
        <v>0</v>
      </c>
      <c r="J280" s="91">
        <f>IF($A280=Recto!$I$36,VLOOKUP($A280,Recto!$I$28:$L$44,4,FALSE),0)</f>
        <v>0</v>
      </c>
      <c r="K280" s="91">
        <f>IF($A280=Recto!$I$37,VLOOKUP($A280,Recto!$I$28:$L$44,4,FALSE),0)</f>
        <v>0</v>
      </c>
      <c r="L280" s="91">
        <f>IF($A280=Recto!$I$38,VLOOKUP($A280,Recto!$I$28:$L$44,4,FALSE),0)</f>
        <v>0</v>
      </c>
      <c r="M280" s="91">
        <f>IF($A280=Recto!$I$39,VLOOKUP($A280,Recto!$I$28:$L$44,4,FALSE),0)</f>
        <v>0</v>
      </c>
      <c r="N280" s="91">
        <f>IF($A280=Recto!$I$40,VLOOKUP($A280,Recto!$I$28:$L$44,4,FALSE),0)</f>
        <v>0</v>
      </c>
      <c r="O280" s="91">
        <f>IF($A280=Recto!$I$41,VLOOKUP($A280,Recto!$I$28:$L$44,4,FALSE),0)</f>
        <v>0</v>
      </c>
      <c r="P280" s="91">
        <f>IF($A280=Recto!$I$42,VLOOKUP($A280,Recto!$I$28:$L$44,4,FALSE),0)</f>
        <v>0</v>
      </c>
      <c r="Q280" s="91">
        <f>IF($A280=Recto!$I$43,VLOOKUP($A280,Recto!$I$28:$L$44,4,FALSE),0)</f>
        <v>0</v>
      </c>
      <c r="R280" s="91">
        <f>IF($A280=Recto!$I$44,VLOOKUP($A280,Recto!$I$28:$L$44,4,FALSE),0)</f>
        <v>0</v>
      </c>
      <c r="S280" s="295">
        <f t="shared" si="8"/>
        <v>0</v>
      </c>
    </row>
    <row r="281" spans="1:19" s="196" customFormat="1" x14ac:dyDescent="0.25">
      <c r="A281" s="500" t="s">
        <v>7414</v>
      </c>
      <c r="B281" s="91">
        <f>IF($A281=Recto!$I$28,VLOOKUP($A281,Recto!$I$28:$L$44,4,FALSE),0)</f>
        <v>0</v>
      </c>
      <c r="C281" s="91">
        <f>IF($A281=Recto!$I$29,VLOOKUP($A281,Recto!$I$28:$L$44,4,FALSE),0)</f>
        <v>0</v>
      </c>
      <c r="D281" s="91">
        <f>IF($A281=Recto!$I$30,VLOOKUP($A281,Recto!$I$28:$L$44,4,FALSE),0)</f>
        <v>0</v>
      </c>
      <c r="E281" s="91">
        <f>IF($A281=Recto!$I$31,VLOOKUP($A281,Recto!$I$28:$L$44,4,FALSE),0)</f>
        <v>0</v>
      </c>
      <c r="F281" s="91">
        <f>IF($A281=Recto!$I$32,VLOOKUP($A281,Recto!$I$28:$L$44,4,FALSE),0)</f>
        <v>0</v>
      </c>
      <c r="G281" s="91">
        <f>IF($A281=Recto!$I$33,VLOOKUP($A281,Recto!$I$28:$L$44,4,FALSE),0)</f>
        <v>0</v>
      </c>
      <c r="H281" s="91">
        <f>IF($A281=Recto!$I$34,VLOOKUP($A281,Recto!$I$28:$L$44,4,FALSE),0)</f>
        <v>0</v>
      </c>
      <c r="I281" s="91">
        <f>IF($A281=Recto!$I$35,VLOOKUP($A281,Recto!$I$28:$L$44,4,FALSE),0)</f>
        <v>0</v>
      </c>
      <c r="J281" s="91">
        <f>IF($A281=Recto!$I$36,VLOOKUP($A281,Recto!$I$28:$L$44,4,FALSE),0)</f>
        <v>0</v>
      </c>
      <c r="K281" s="91">
        <f>IF($A281=Recto!$I$37,VLOOKUP($A281,Recto!$I$28:$L$44,4,FALSE),0)</f>
        <v>0</v>
      </c>
      <c r="L281" s="91">
        <f>IF($A281=Recto!$I$38,VLOOKUP($A281,Recto!$I$28:$L$44,4,FALSE),0)</f>
        <v>0</v>
      </c>
      <c r="M281" s="91">
        <f>IF($A281=Recto!$I$39,VLOOKUP($A281,Recto!$I$28:$L$44,4,FALSE),0)</f>
        <v>0</v>
      </c>
      <c r="N281" s="91">
        <f>IF($A281=Recto!$I$40,VLOOKUP($A281,Recto!$I$28:$L$44,4,FALSE),0)</f>
        <v>0</v>
      </c>
      <c r="O281" s="91">
        <f>IF($A281=Recto!$I$41,VLOOKUP($A281,Recto!$I$28:$L$44,4,FALSE),0)</f>
        <v>0</v>
      </c>
      <c r="P281" s="91">
        <f>IF($A281=Recto!$I$42,VLOOKUP($A281,Recto!$I$28:$L$44,4,FALSE),0)</f>
        <v>0</v>
      </c>
      <c r="Q281" s="91">
        <f>IF($A281=Recto!$I$43,VLOOKUP($A281,Recto!$I$28:$L$44,4,FALSE),0)</f>
        <v>0</v>
      </c>
      <c r="R281" s="91">
        <f>IF($A281=Recto!$I$44,VLOOKUP($A281,Recto!$I$28:$L$44,4,FALSE),0)</f>
        <v>0</v>
      </c>
      <c r="S281" s="295">
        <f t="shared" si="8"/>
        <v>0</v>
      </c>
    </row>
    <row r="282" spans="1:19" x14ac:dyDescent="0.25">
      <c r="A282" s="500" t="s">
        <v>1375</v>
      </c>
      <c r="B282" s="91">
        <f>IF($A282=Recto!$I$28,VLOOKUP($A282,Recto!$I$28:$L$44,4,FALSE),0)</f>
        <v>0</v>
      </c>
      <c r="C282" s="91">
        <f>IF($A282=Recto!$I$29,VLOOKUP($A282,Recto!$I$28:$L$44,4,FALSE),0)</f>
        <v>0</v>
      </c>
      <c r="D282" s="91">
        <f>IF($A282=Recto!$I$30,VLOOKUP($A282,Recto!$I$28:$L$44,4,FALSE),0)</f>
        <v>0</v>
      </c>
      <c r="E282" s="91">
        <f>IF($A282=Recto!$I$31,VLOOKUP($A282,Recto!$I$28:$L$44,4,FALSE),0)</f>
        <v>0</v>
      </c>
      <c r="F282" s="91">
        <f>IF($A282=Recto!$I$32,VLOOKUP($A282,Recto!$I$28:$L$44,4,FALSE),0)</f>
        <v>0</v>
      </c>
      <c r="G282" s="91">
        <f>IF($A282=Recto!$I$33,VLOOKUP($A282,Recto!$I$28:$L$44,4,FALSE),0)</f>
        <v>0</v>
      </c>
      <c r="H282" s="91">
        <f>IF($A282=Recto!$I$34,VLOOKUP($A282,Recto!$I$28:$L$44,4,FALSE),0)</f>
        <v>0</v>
      </c>
      <c r="I282" s="91">
        <f>IF($A282=Recto!$I$35,VLOOKUP($A282,Recto!$I$28:$L$44,4,FALSE),0)</f>
        <v>0</v>
      </c>
      <c r="J282" s="91">
        <f>IF($A282=Recto!$I$36,VLOOKUP($A282,Recto!$I$28:$L$44,4,FALSE),0)</f>
        <v>0</v>
      </c>
      <c r="K282" s="91">
        <f>IF($A282=Recto!$I$37,VLOOKUP($A282,Recto!$I$28:$L$44,4,FALSE),0)</f>
        <v>0</v>
      </c>
      <c r="L282" s="91">
        <f>IF($A282=Recto!$I$38,VLOOKUP($A282,Recto!$I$28:$L$44,4,FALSE),0)</f>
        <v>0</v>
      </c>
      <c r="M282" s="91">
        <f>IF($A282=Recto!$I$39,VLOOKUP($A282,Recto!$I$28:$L$44,4,FALSE),0)</f>
        <v>0</v>
      </c>
      <c r="N282" s="91">
        <f>IF($A282=Recto!$I$40,VLOOKUP($A282,Recto!$I$28:$L$44,4,FALSE),0)</f>
        <v>0</v>
      </c>
      <c r="O282" s="91">
        <f>IF($A282=Recto!$I$41,VLOOKUP($A282,Recto!$I$28:$L$44,4,FALSE),0)</f>
        <v>0</v>
      </c>
      <c r="P282" s="91">
        <f>IF($A282=Recto!$I$42,VLOOKUP($A282,Recto!$I$28:$L$44,4,FALSE),0)</f>
        <v>0</v>
      </c>
      <c r="Q282" s="91">
        <f>IF($A282=Recto!$I$43,VLOOKUP($A282,Recto!$I$28:$L$44,4,FALSE),0)</f>
        <v>0</v>
      </c>
      <c r="R282" s="91">
        <f>IF($A282=Recto!$I$44,VLOOKUP($A282,Recto!$I$28:$L$44,4,FALSE),0)</f>
        <v>0</v>
      </c>
      <c r="S282" s="295">
        <f t="shared" si="8"/>
        <v>0</v>
      </c>
    </row>
    <row r="283" spans="1:19" x14ac:dyDescent="0.25">
      <c r="A283" s="500" t="s">
        <v>4554</v>
      </c>
      <c r="B283" s="91">
        <f>IF($A283=Recto!$I$28,VLOOKUP($A283,Recto!$I$28:$L$44,4,FALSE),0)</f>
        <v>0</v>
      </c>
      <c r="C283" s="91">
        <f>IF($A283=Recto!$I$29,VLOOKUP($A283,Recto!$I$28:$L$44,4,FALSE),0)</f>
        <v>0</v>
      </c>
      <c r="D283" s="91">
        <f>IF($A283=Recto!$I$30,VLOOKUP($A283,Recto!$I$28:$L$44,4,FALSE),0)</f>
        <v>0</v>
      </c>
      <c r="E283" s="91">
        <f>IF($A283=Recto!$I$31,VLOOKUP($A283,Recto!$I$28:$L$44,4,FALSE),0)</f>
        <v>0</v>
      </c>
      <c r="F283" s="91">
        <f>IF($A283=Recto!$I$32,VLOOKUP($A283,Recto!$I$28:$L$44,4,FALSE),0)</f>
        <v>0</v>
      </c>
      <c r="G283" s="91">
        <f>IF($A283=Recto!$I$33,VLOOKUP($A283,Recto!$I$28:$L$44,4,FALSE),0)</f>
        <v>0</v>
      </c>
      <c r="H283" s="91">
        <f>IF($A283=Recto!$I$34,VLOOKUP($A283,Recto!$I$28:$L$44,4,FALSE),0)</f>
        <v>0</v>
      </c>
      <c r="I283" s="91">
        <f>IF($A283=Recto!$I$35,VLOOKUP($A283,Recto!$I$28:$L$44,4,FALSE),0)</f>
        <v>0</v>
      </c>
      <c r="J283" s="91">
        <f>IF($A283=Recto!$I$36,VLOOKUP($A283,Recto!$I$28:$L$44,4,FALSE),0)</f>
        <v>0</v>
      </c>
      <c r="K283" s="91">
        <f>IF($A283=Recto!$I$37,VLOOKUP($A283,Recto!$I$28:$L$44,4,FALSE),0)</f>
        <v>0</v>
      </c>
      <c r="L283" s="91">
        <f>IF($A283=Recto!$I$38,VLOOKUP($A283,Recto!$I$28:$L$44,4,FALSE),0)</f>
        <v>0</v>
      </c>
      <c r="M283" s="91">
        <f>IF($A283=Recto!$I$39,VLOOKUP($A283,Recto!$I$28:$L$44,4,FALSE),0)</f>
        <v>0</v>
      </c>
      <c r="N283" s="91">
        <f>IF($A283=Recto!$I$40,VLOOKUP($A283,Recto!$I$28:$L$44,4,FALSE),0)</f>
        <v>0</v>
      </c>
      <c r="O283" s="91">
        <f>IF($A283=Recto!$I$41,VLOOKUP($A283,Recto!$I$28:$L$44,4,FALSE),0)</f>
        <v>0</v>
      </c>
      <c r="P283" s="91">
        <f>IF($A283=Recto!$I$42,VLOOKUP($A283,Recto!$I$28:$L$44,4,FALSE),0)</f>
        <v>0</v>
      </c>
      <c r="Q283" s="91">
        <f>IF($A283=Recto!$I$43,VLOOKUP($A283,Recto!$I$28:$L$44,4,FALSE),0)</f>
        <v>0</v>
      </c>
      <c r="R283" s="91">
        <f>IF($A283=Recto!$I$44,VLOOKUP($A283,Recto!$I$28:$L$44,4,FALSE),0)</f>
        <v>0</v>
      </c>
      <c r="S283" s="295">
        <f t="shared" si="8"/>
        <v>0</v>
      </c>
    </row>
    <row r="284" spans="1:19" x14ac:dyDescent="0.25">
      <c r="A284" s="500" t="s">
        <v>3179</v>
      </c>
      <c r="B284" s="91">
        <f>IF($A284=Recto!$I$28,VLOOKUP($A284,Recto!$I$28:$L$44,4,FALSE),0)</f>
        <v>0</v>
      </c>
      <c r="C284" s="91">
        <f>IF($A284=Recto!$I$29,VLOOKUP($A284,Recto!$I$28:$L$44,4,FALSE),0)</f>
        <v>0</v>
      </c>
      <c r="D284" s="91">
        <f>IF($A284=Recto!$I$30,VLOOKUP($A284,Recto!$I$28:$L$44,4,FALSE),0)</f>
        <v>0</v>
      </c>
      <c r="E284" s="91">
        <f>IF($A284=Recto!$I$31,VLOOKUP($A284,Recto!$I$28:$L$44,4,FALSE),0)</f>
        <v>0</v>
      </c>
      <c r="F284" s="91">
        <f>IF($A284=Recto!$I$32,VLOOKUP($A284,Recto!$I$28:$L$44,4,FALSE),0)</f>
        <v>0</v>
      </c>
      <c r="G284" s="91">
        <f>IF($A284=Recto!$I$33,VLOOKUP($A284,Recto!$I$28:$L$44,4,FALSE),0)</f>
        <v>0</v>
      </c>
      <c r="H284" s="91">
        <f>IF($A284=Recto!$I$34,VLOOKUP($A284,Recto!$I$28:$L$44,4,FALSE),0)</f>
        <v>0</v>
      </c>
      <c r="I284" s="91">
        <f>IF($A284=Recto!$I$35,VLOOKUP($A284,Recto!$I$28:$L$44,4,FALSE),0)</f>
        <v>0</v>
      </c>
      <c r="J284" s="91">
        <f>IF($A284=Recto!$I$36,VLOOKUP($A284,Recto!$I$28:$L$44,4,FALSE),0)</f>
        <v>0</v>
      </c>
      <c r="K284" s="91">
        <f>IF($A284=Recto!$I$37,VLOOKUP($A284,Recto!$I$28:$L$44,4,FALSE),0)</f>
        <v>0</v>
      </c>
      <c r="L284" s="91">
        <f>IF($A284=Recto!$I$38,VLOOKUP($A284,Recto!$I$28:$L$44,4,FALSE),0)</f>
        <v>0</v>
      </c>
      <c r="M284" s="91">
        <f>IF($A284=Recto!$I$39,VLOOKUP($A284,Recto!$I$28:$L$44,4,FALSE),0)</f>
        <v>0</v>
      </c>
      <c r="N284" s="91">
        <f>IF($A284=Recto!$I$40,VLOOKUP($A284,Recto!$I$28:$L$44,4,FALSE),0)</f>
        <v>0</v>
      </c>
      <c r="O284" s="91">
        <f>IF($A284=Recto!$I$41,VLOOKUP($A284,Recto!$I$28:$L$44,4,FALSE),0)</f>
        <v>0</v>
      </c>
      <c r="P284" s="91">
        <f>IF($A284=Recto!$I$42,VLOOKUP($A284,Recto!$I$28:$L$44,4,FALSE),0)</f>
        <v>0</v>
      </c>
      <c r="Q284" s="91">
        <f>IF($A284=Recto!$I$43,VLOOKUP($A284,Recto!$I$28:$L$44,4,FALSE),0)</f>
        <v>0</v>
      </c>
      <c r="R284" s="91">
        <f>IF($A284=Recto!$I$44,VLOOKUP($A284,Recto!$I$28:$L$44,4,FALSE),0)</f>
        <v>0</v>
      </c>
      <c r="S284" s="295">
        <f t="shared" si="8"/>
        <v>0</v>
      </c>
    </row>
    <row r="285" spans="1:19" x14ac:dyDescent="0.25">
      <c r="A285" s="500" t="s">
        <v>1370</v>
      </c>
      <c r="B285" s="91">
        <f>IF($A285=Recto!$I$28,VLOOKUP($A285,Recto!$I$28:$L$44,4,FALSE),0)</f>
        <v>0</v>
      </c>
      <c r="C285" s="91">
        <f>IF($A285=Recto!$I$29,VLOOKUP($A285,Recto!$I$28:$L$44,4,FALSE),0)</f>
        <v>0</v>
      </c>
      <c r="D285" s="91">
        <f>IF($A285=Recto!$I$30,VLOOKUP($A285,Recto!$I$28:$L$44,4,FALSE),0)</f>
        <v>0</v>
      </c>
      <c r="E285" s="91">
        <f>IF($A285=Recto!$I$31,VLOOKUP($A285,Recto!$I$28:$L$44,4,FALSE),0)</f>
        <v>0</v>
      </c>
      <c r="F285" s="91">
        <f>IF($A285=Recto!$I$32,VLOOKUP($A285,Recto!$I$28:$L$44,4,FALSE),0)</f>
        <v>0</v>
      </c>
      <c r="G285" s="91">
        <f>IF($A285=Recto!$I$33,VLOOKUP($A285,Recto!$I$28:$L$44,4,FALSE),0)</f>
        <v>0</v>
      </c>
      <c r="H285" s="91">
        <f>IF($A285=Recto!$I$34,VLOOKUP($A285,Recto!$I$28:$L$44,4,FALSE),0)</f>
        <v>0</v>
      </c>
      <c r="I285" s="91">
        <f>IF($A285=Recto!$I$35,VLOOKUP($A285,Recto!$I$28:$L$44,4,FALSE),0)</f>
        <v>0</v>
      </c>
      <c r="J285" s="91">
        <f>IF($A285=Recto!$I$36,VLOOKUP($A285,Recto!$I$28:$L$44,4,FALSE),0)</f>
        <v>0</v>
      </c>
      <c r="K285" s="91">
        <f>IF($A285=Recto!$I$37,VLOOKUP($A285,Recto!$I$28:$L$44,4,FALSE),0)</f>
        <v>0</v>
      </c>
      <c r="L285" s="91">
        <f>IF($A285=Recto!$I$38,VLOOKUP($A285,Recto!$I$28:$L$44,4,FALSE),0)</f>
        <v>0</v>
      </c>
      <c r="M285" s="91">
        <f>IF($A285=Recto!$I$39,VLOOKUP($A285,Recto!$I$28:$L$44,4,FALSE),0)</f>
        <v>0</v>
      </c>
      <c r="N285" s="91">
        <f>IF($A285=Recto!$I$40,VLOOKUP($A285,Recto!$I$28:$L$44,4,FALSE),0)</f>
        <v>0</v>
      </c>
      <c r="O285" s="91">
        <f>IF($A285=Recto!$I$41,VLOOKUP($A285,Recto!$I$28:$L$44,4,FALSE),0)</f>
        <v>0</v>
      </c>
      <c r="P285" s="91">
        <f>IF($A285=Recto!$I$42,VLOOKUP($A285,Recto!$I$28:$L$44,4,FALSE),0)</f>
        <v>0</v>
      </c>
      <c r="Q285" s="91">
        <f>IF($A285=Recto!$I$43,VLOOKUP($A285,Recto!$I$28:$L$44,4,FALSE),0)</f>
        <v>0</v>
      </c>
      <c r="R285" s="91">
        <f>IF($A285=Recto!$I$44,VLOOKUP($A285,Recto!$I$28:$L$44,4,FALSE),0)</f>
        <v>0</v>
      </c>
      <c r="S285" s="295">
        <f t="shared" si="8"/>
        <v>0</v>
      </c>
    </row>
    <row r="286" spans="1:19" x14ac:dyDescent="0.25">
      <c r="A286" s="500" t="s">
        <v>3279</v>
      </c>
      <c r="B286" s="91">
        <f>IF($A286=Recto!$I$28,VLOOKUP($A286,Recto!$I$28:$L$44,4,FALSE),0)</f>
        <v>0</v>
      </c>
      <c r="C286" s="91">
        <f>IF($A286=Recto!$I$29,VLOOKUP($A286,Recto!$I$28:$L$44,4,FALSE),0)</f>
        <v>0</v>
      </c>
      <c r="D286" s="91">
        <f>IF($A286=Recto!$I$30,VLOOKUP($A286,Recto!$I$28:$L$44,4,FALSE),0)</f>
        <v>0</v>
      </c>
      <c r="E286" s="91">
        <f>IF($A286=Recto!$I$31,VLOOKUP($A286,Recto!$I$28:$L$44,4,FALSE),0)</f>
        <v>0</v>
      </c>
      <c r="F286" s="91">
        <f>IF($A286=Recto!$I$32,VLOOKUP($A286,Recto!$I$28:$L$44,4,FALSE),0)</f>
        <v>0</v>
      </c>
      <c r="G286" s="91">
        <f>IF($A286=Recto!$I$33,VLOOKUP($A286,Recto!$I$28:$L$44,4,FALSE),0)</f>
        <v>0</v>
      </c>
      <c r="H286" s="91">
        <f>IF($A286=Recto!$I$34,VLOOKUP($A286,Recto!$I$28:$L$44,4,FALSE),0)</f>
        <v>0</v>
      </c>
      <c r="I286" s="91">
        <f>IF($A286=Recto!$I$35,VLOOKUP($A286,Recto!$I$28:$L$44,4,FALSE),0)</f>
        <v>0</v>
      </c>
      <c r="J286" s="91">
        <f>IF($A286=Recto!$I$36,VLOOKUP($A286,Recto!$I$28:$L$44,4,FALSE),0)</f>
        <v>0</v>
      </c>
      <c r="K286" s="91">
        <f>IF($A286=Recto!$I$37,VLOOKUP($A286,Recto!$I$28:$L$44,4,FALSE),0)</f>
        <v>0</v>
      </c>
      <c r="L286" s="91">
        <f>IF($A286=Recto!$I$38,VLOOKUP($A286,Recto!$I$28:$L$44,4,FALSE),0)</f>
        <v>0</v>
      </c>
      <c r="M286" s="91">
        <f>IF($A286=Recto!$I$39,VLOOKUP($A286,Recto!$I$28:$L$44,4,FALSE),0)</f>
        <v>0</v>
      </c>
      <c r="N286" s="91">
        <f>IF($A286=Recto!$I$40,VLOOKUP($A286,Recto!$I$28:$L$44,4,FALSE),0)</f>
        <v>0</v>
      </c>
      <c r="O286" s="91">
        <f>IF($A286=Recto!$I$41,VLOOKUP($A286,Recto!$I$28:$L$44,4,FALSE),0)</f>
        <v>0</v>
      </c>
      <c r="P286" s="91">
        <f>IF($A286=Recto!$I$42,VLOOKUP($A286,Recto!$I$28:$L$44,4,FALSE),0)</f>
        <v>0</v>
      </c>
      <c r="Q286" s="91">
        <f>IF($A286=Recto!$I$43,VLOOKUP($A286,Recto!$I$28:$L$44,4,FALSE),0)</f>
        <v>0</v>
      </c>
      <c r="R286" s="91">
        <f>IF($A286=Recto!$I$44,VLOOKUP($A286,Recto!$I$28:$L$44,4,FALSE),0)</f>
        <v>0</v>
      </c>
      <c r="S286" s="295">
        <f t="shared" si="8"/>
        <v>0</v>
      </c>
    </row>
    <row r="287" spans="1:19" x14ac:dyDescent="0.25">
      <c r="A287" s="500" t="s">
        <v>5851</v>
      </c>
      <c r="B287" s="91">
        <f>IF($A287=Recto!$I$28,VLOOKUP($A287,Recto!$I$28:$L$44,4,FALSE),0)</f>
        <v>0</v>
      </c>
      <c r="C287" s="91">
        <f>IF($A287=Recto!$I$29,VLOOKUP($A287,Recto!$I$28:$L$44,4,FALSE),0)</f>
        <v>0</v>
      </c>
      <c r="D287" s="91">
        <f>IF($A287=Recto!$I$30,VLOOKUP($A287,Recto!$I$28:$L$44,4,FALSE),0)</f>
        <v>0</v>
      </c>
      <c r="E287" s="91">
        <f>IF($A287=Recto!$I$31,VLOOKUP($A287,Recto!$I$28:$L$44,4,FALSE),0)</f>
        <v>0</v>
      </c>
      <c r="F287" s="91">
        <f>IF($A287=Recto!$I$32,VLOOKUP($A287,Recto!$I$28:$L$44,4,FALSE),0)</f>
        <v>0</v>
      </c>
      <c r="G287" s="91">
        <f>IF($A287=Recto!$I$33,VLOOKUP($A287,Recto!$I$28:$L$44,4,FALSE),0)</f>
        <v>0</v>
      </c>
      <c r="H287" s="91">
        <f>IF($A287=Recto!$I$34,VLOOKUP($A287,Recto!$I$28:$L$44,4,FALSE),0)</f>
        <v>0</v>
      </c>
      <c r="I287" s="91">
        <f>IF($A287=Recto!$I$35,VLOOKUP($A287,Recto!$I$28:$L$44,4,FALSE),0)</f>
        <v>0</v>
      </c>
      <c r="J287" s="91">
        <f>IF($A287=Recto!$I$36,VLOOKUP($A287,Recto!$I$28:$L$44,4,FALSE),0)</f>
        <v>0</v>
      </c>
      <c r="K287" s="91">
        <f>IF($A287=Recto!$I$37,VLOOKUP($A287,Recto!$I$28:$L$44,4,FALSE),0)</f>
        <v>0</v>
      </c>
      <c r="L287" s="91">
        <f>IF($A287=Recto!$I$38,VLOOKUP($A287,Recto!$I$28:$L$44,4,FALSE),0)</f>
        <v>0</v>
      </c>
      <c r="M287" s="91">
        <f>IF($A287=Recto!$I$39,VLOOKUP($A287,Recto!$I$28:$L$44,4,FALSE),0)</f>
        <v>0</v>
      </c>
      <c r="N287" s="91">
        <f>IF($A287=Recto!$I$40,VLOOKUP($A287,Recto!$I$28:$L$44,4,FALSE),0)</f>
        <v>0</v>
      </c>
      <c r="O287" s="91">
        <f>IF($A287=Recto!$I$41,VLOOKUP($A287,Recto!$I$28:$L$44,4,FALSE),0)</f>
        <v>0</v>
      </c>
      <c r="P287" s="91">
        <f>IF($A287=Recto!$I$42,VLOOKUP($A287,Recto!$I$28:$L$44,4,FALSE),0)</f>
        <v>0</v>
      </c>
      <c r="Q287" s="91">
        <f>IF($A287=Recto!$I$43,VLOOKUP($A287,Recto!$I$28:$L$44,4,FALSE),0)</f>
        <v>0</v>
      </c>
      <c r="R287" s="91">
        <f>IF($A287=Recto!$I$44,VLOOKUP($A287,Recto!$I$28:$L$44,4,FALSE),0)</f>
        <v>0</v>
      </c>
      <c r="S287" s="295">
        <f t="shared" si="8"/>
        <v>0</v>
      </c>
    </row>
    <row r="288" spans="1:19" x14ac:dyDescent="0.25">
      <c r="A288" s="500" t="s">
        <v>1336</v>
      </c>
      <c r="B288" s="91">
        <f>IF($A288=Recto!$I$28,VLOOKUP($A288,Recto!$I$28:$L$44,4,FALSE),0)</f>
        <v>0</v>
      </c>
      <c r="C288" s="91">
        <f>IF($A288=Recto!$I$29,VLOOKUP($A288,Recto!$I$28:$L$44,4,FALSE),0)</f>
        <v>0</v>
      </c>
      <c r="D288" s="91">
        <f>IF($A288=Recto!$I$30,VLOOKUP($A288,Recto!$I$28:$L$44,4,FALSE),0)</f>
        <v>0</v>
      </c>
      <c r="E288" s="91">
        <f>IF($A288=Recto!$I$31,VLOOKUP($A288,Recto!$I$28:$L$44,4,FALSE),0)</f>
        <v>0</v>
      </c>
      <c r="F288" s="91">
        <f>IF($A288=Recto!$I$32,VLOOKUP($A288,Recto!$I$28:$L$44,4,FALSE),0)</f>
        <v>0</v>
      </c>
      <c r="G288" s="91">
        <f>IF($A288=Recto!$I$33,VLOOKUP($A288,Recto!$I$28:$L$44,4,FALSE),0)</f>
        <v>0</v>
      </c>
      <c r="H288" s="91">
        <f>IF($A288=Recto!$I$34,VLOOKUP($A288,Recto!$I$28:$L$44,4,FALSE),0)</f>
        <v>0</v>
      </c>
      <c r="I288" s="91">
        <f>IF($A288=Recto!$I$35,VLOOKUP($A288,Recto!$I$28:$L$44,4,FALSE),0)</f>
        <v>0</v>
      </c>
      <c r="J288" s="91">
        <f>IF($A288=Recto!$I$36,VLOOKUP($A288,Recto!$I$28:$L$44,4,FALSE),0)</f>
        <v>0</v>
      </c>
      <c r="K288" s="91">
        <f>IF($A288=Recto!$I$37,VLOOKUP($A288,Recto!$I$28:$L$44,4,FALSE),0)</f>
        <v>0</v>
      </c>
      <c r="L288" s="91">
        <f>IF($A288=Recto!$I$38,VLOOKUP($A288,Recto!$I$28:$L$44,4,FALSE),0)</f>
        <v>0</v>
      </c>
      <c r="M288" s="91">
        <f>IF($A288=Recto!$I$39,VLOOKUP($A288,Recto!$I$28:$L$44,4,FALSE),0)</f>
        <v>0</v>
      </c>
      <c r="N288" s="91">
        <f>IF($A288=Recto!$I$40,VLOOKUP($A288,Recto!$I$28:$L$44,4,FALSE),0)</f>
        <v>0</v>
      </c>
      <c r="O288" s="91">
        <f>IF($A288=Recto!$I$41,VLOOKUP($A288,Recto!$I$28:$L$44,4,FALSE),0)</f>
        <v>0</v>
      </c>
      <c r="P288" s="91">
        <f>IF($A288=Recto!$I$42,VLOOKUP($A288,Recto!$I$28:$L$44,4,FALSE),0)</f>
        <v>0</v>
      </c>
      <c r="Q288" s="91">
        <f>IF($A288=Recto!$I$43,VLOOKUP($A288,Recto!$I$28:$L$44,4,FALSE),0)</f>
        <v>0</v>
      </c>
      <c r="R288" s="91">
        <f>IF($A288=Recto!$I$44,VLOOKUP($A288,Recto!$I$28:$L$44,4,FALSE),0)</f>
        <v>0</v>
      </c>
      <c r="S288" s="295">
        <f t="shared" si="8"/>
        <v>0</v>
      </c>
    </row>
    <row r="289" spans="1:16384" x14ac:dyDescent="0.25">
      <c r="A289" s="500" t="s">
        <v>1289</v>
      </c>
      <c r="B289" s="91">
        <f>IF($A289=Recto!$I$28,VLOOKUP($A289,Recto!$I$28:$L$44,4,FALSE),0)</f>
        <v>0</v>
      </c>
      <c r="C289" s="91">
        <f>IF($A289=Recto!$I$29,VLOOKUP($A289,Recto!$I$28:$L$44,4,FALSE),0)</f>
        <v>0</v>
      </c>
      <c r="D289" s="91">
        <f>IF($A289=Recto!$I$30,VLOOKUP($A289,Recto!$I$28:$L$44,4,FALSE),0)</f>
        <v>0</v>
      </c>
      <c r="E289" s="91">
        <f>IF($A289=Recto!$I$31,VLOOKUP($A289,Recto!$I$28:$L$44,4,FALSE),0)</f>
        <v>0</v>
      </c>
      <c r="F289" s="91">
        <f>IF($A289=Recto!$I$32,VLOOKUP($A289,Recto!$I$28:$L$44,4,FALSE),0)</f>
        <v>0</v>
      </c>
      <c r="G289" s="91">
        <f>IF($A289=Recto!$I$33,VLOOKUP($A289,Recto!$I$28:$L$44,4,FALSE),0)</f>
        <v>0</v>
      </c>
      <c r="H289" s="91">
        <f>IF($A289=Recto!$I$34,VLOOKUP($A289,Recto!$I$28:$L$44,4,FALSE),0)</f>
        <v>0</v>
      </c>
      <c r="I289" s="91">
        <f>IF($A289=Recto!$I$35,VLOOKUP($A289,Recto!$I$28:$L$44,4,FALSE),0)</f>
        <v>0</v>
      </c>
      <c r="J289" s="91">
        <f>IF($A289=Recto!$I$36,VLOOKUP($A289,Recto!$I$28:$L$44,4,FALSE),0)</f>
        <v>0</v>
      </c>
      <c r="K289" s="91">
        <f>IF($A289=Recto!$I$37,VLOOKUP($A289,Recto!$I$28:$L$44,4,FALSE),0)</f>
        <v>0</v>
      </c>
      <c r="L289" s="91">
        <f>IF($A289=Recto!$I$38,VLOOKUP($A289,Recto!$I$28:$L$44,4,FALSE),0)</f>
        <v>0</v>
      </c>
      <c r="M289" s="91">
        <f>IF($A289=Recto!$I$39,VLOOKUP($A289,Recto!$I$28:$L$44,4,FALSE),0)</f>
        <v>0</v>
      </c>
      <c r="N289" s="91">
        <f>IF($A289=Recto!$I$40,VLOOKUP($A289,Recto!$I$28:$L$44,4,FALSE),0)</f>
        <v>0</v>
      </c>
      <c r="O289" s="91">
        <f>IF($A289=Recto!$I$41,VLOOKUP($A289,Recto!$I$28:$L$44,4,FALSE),0)</f>
        <v>0</v>
      </c>
      <c r="P289" s="91">
        <f>IF($A289=Recto!$I$42,VLOOKUP($A289,Recto!$I$28:$L$44,4,FALSE),0)</f>
        <v>0</v>
      </c>
      <c r="Q289" s="91">
        <f>IF($A289=Recto!$I$43,VLOOKUP($A289,Recto!$I$28:$L$44,4,FALSE),0)</f>
        <v>0</v>
      </c>
      <c r="R289" s="91">
        <f>IF($A289=Recto!$I$44,VLOOKUP($A289,Recto!$I$28:$L$44,4,FALSE),0)</f>
        <v>0</v>
      </c>
      <c r="S289" s="295">
        <f t="shared" si="8"/>
        <v>0</v>
      </c>
    </row>
    <row r="290" spans="1:16384" s="196" customFormat="1" x14ac:dyDescent="0.25">
      <c r="A290" s="500" t="s">
        <v>7413</v>
      </c>
      <c r="B290" s="91">
        <f>IF($A290=Recto!$I$28,VLOOKUP($A290,Recto!$I$28:$L$44,4,FALSE),0)</f>
        <v>0</v>
      </c>
      <c r="C290" s="91">
        <f>IF($A290=Recto!$I$29,VLOOKUP($A290,Recto!$I$28:$L$44,4,FALSE),0)</f>
        <v>0</v>
      </c>
      <c r="D290" s="91">
        <f>IF($A290=Recto!$I$30,VLOOKUP($A290,Recto!$I$28:$L$44,4,FALSE),0)</f>
        <v>0</v>
      </c>
      <c r="E290" s="91">
        <f>IF($A290=Recto!$I$31,VLOOKUP($A290,Recto!$I$28:$L$44,4,FALSE),0)</f>
        <v>0</v>
      </c>
      <c r="F290" s="91">
        <f>IF($A290=Recto!$I$32,VLOOKUP($A290,Recto!$I$28:$L$44,4,FALSE),0)</f>
        <v>0</v>
      </c>
      <c r="G290" s="91">
        <f>IF($A290=Recto!$I$33,VLOOKUP($A290,Recto!$I$28:$L$44,4,FALSE),0)</f>
        <v>0</v>
      </c>
      <c r="H290" s="91">
        <f>IF($A290=Recto!$I$34,VLOOKUP($A290,Recto!$I$28:$L$44,4,FALSE),0)</f>
        <v>0</v>
      </c>
      <c r="I290" s="91">
        <f>IF($A290=Recto!$I$35,VLOOKUP($A290,Recto!$I$28:$L$44,4,FALSE),0)</f>
        <v>0</v>
      </c>
      <c r="J290" s="91">
        <f>IF($A290=Recto!$I$36,VLOOKUP($A290,Recto!$I$28:$L$44,4,FALSE),0)</f>
        <v>0</v>
      </c>
      <c r="K290" s="91">
        <f>IF($A290=Recto!$I$37,VLOOKUP($A290,Recto!$I$28:$L$44,4,FALSE),0)</f>
        <v>0</v>
      </c>
      <c r="L290" s="91">
        <f>IF($A290=Recto!$I$38,VLOOKUP($A290,Recto!$I$28:$L$44,4,FALSE),0)</f>
        <v>0</v>
      </c>
      <c r="M290" s="91">
        <f>IF($A290=Recto!$I$39,VLOOKUP($A290,Recto!$I$28:$L$44,4,FALSE),0)</f>
        <v>0</v>
      </c>
      <c r="N290" s="91">
        <f>IF($A290=Recto!$I$40,VLOOKUP($A290,Recto!$I$28:$L$44,4,FALSE),0)</f>
        <v>0</v>
      </c>
      <c r="O290" s="91">
        <f>IF($A290=Recto!$I$41,VLOOKUP($A290,Recto!$I$28:$L$44,4,FALSE),0)</f>
        <v>0</v>
      </c>
      <c r="P290" s="91">
        <f>IF($A290=Recto!$I$42,VLOOKUP($A290,Recto!$I$28:$L$44,4,FALSE),0)</f>
        <v>0</v>
      </c>
      <c r="Q290" s="91">
        <f>IF($A290=Recto!$I$43,VLOOKUP($A290,Recto!$I$28:$L$44,4,FALSE),0)</f>
        <v>0</v>
      </c>
      <c r="R290" s="91">
        <f>IF($A290=Recto!$I$44,VLOOKUP($A290,Recto!$I$28:$L$44,4,FALSE),0)</f>
        <v>0</v>
      </c>
      <c r="S290" s="295">
        <f t="shared" si="8"/>
        <v>0</v>
      </c>
    </row>
    <row r="291" spans="1:16384" s="196" customFormat="1" x14ac:dyDescent="0.25">
      <c r="A291" s="136" t="s">
        <v>7450</v>
      </c>
      <c r="B291" s="91">
        <f>IF($A291=Recto!$I$28,VLOOKUP($A291,Recto!$I$28:$L$44,4,FALSE),0)</f>
        <v>0</v>
      </c>
      <c r="C291" s="91">
        <f>IF($A291=Recto!$I$29,VLOOKUP($A291,Recto!$I$28:$L$44,4,FALSE),0)</f>
        <v>0</v>
      </c>
      <c r="D291" s="91">
        <f>IF($A291=Recto!$I$30,VLOOKUP($A291,Recto!$I$28:$L$44,4,FALSE),0)</f>
        <v>0</v>
      </c>
      <c r="E291" s="91">
        <f>IF($A291=Recto!$I$31,VLOOKUP($A291,Recto!$I$28:$L$44,4,FALSE),0)</f>
        <v>0</v>
      </c>
      <c r="F291" s="91">
        <f>IF($A291=Recto!$I$32,VLOOKUP($A291,Recto!$I$28:$L$44,4,FALSE),0)</f>
        <v>0</v>
      </c>
      <c r="G291" s="91">
        <f>IF($A291=Recto!$I$33,VLOOKUP($A291,Recto!$I$28:$L$44,4,FALSE),0)</f>
        <v>0</v>
      </c>
      <c r="H291" s="91">
        <f>IF($A291=Recto!$I$34,VLOOKUP($A291,Recto!$I$28:$L$44,4,FALSE),0)</f>
        <v>0</v>
      </c>
      <c r="I291" s="91">
        <f>IF($A291=Recto!$I$35,VLOOKUP($A291,Recto!$I$28:$L$44,4,FALSE),0)</f>
        <v>0</v>
      </c>
      <c r="J291" s="91">
        <f>IF($A291=Recto!$I$36,VLOOKUP($A291,Recto!$I$28:$L$44,4,FALSE),0)</f>
        <v>0</v>
      </c>
      <c r="K291" s="91">
        <f>IF($A291=Recto!$I$37,VLOOKUP($A291,Recto!$I$28:$L$44,4,FALSE),0)</f>
        <v>0</v>
      </c>
      <c r="L291" s="91">
        <f>IF($A291=Recto!$I$38,VLOOKUP($A291,Recto!$I$28:$L$44,4,FALSE),0)</f>
        <v>0</v>
      </c>
      <c r="M291" s="91">
        <f>IF($A291=Recto!$I$39,VLOOKUP($A291,Recto!$I$28:$L$44,4,FALSE),0)</f>
        <v>0</v>
      </c>
      <c r="N291" s="91">
        <f>IF($A291=Recto!$I$40,VLOOKUP($A291,Recto!$I$28:$L$44,4,FALSE),0)</f>
        <v>0</v>
      </c>
      <c r="O291" s="91">
        <f>IF($A291=Recto!$I$41,VLOOKUP($A291,Recto!$I$28:$L$44,4,FALSE),0)</f>
        <v>0</v>
      </c>
      <c r="P291" s="91">
        <f>IF($A291=Recto!$I$42,VLOOKUP($A291,Recto!$I$28:$L$44,4,FALSE),0)</f>
        <v>0</v>
      </c>
      <c r="Q291" s="91">
        <f>IF($A291=Recto!$I$43,VLOOKUP($A291,Recto!$I$28:$L$44,4,FALSE),0)</f>
        <v>0</v>
      </c>
      <c r="R291" s="91">
        <f>IF($A291=Recto!$I$44,VLOOKUP($A291,Recto!$I$28:$L$44,4,FALSE),0)</f>
        <v>0</v>
      </c>
      <c r="S291" s="295">
        <f t="shared" si="8"/>
        <v>0</v>
      </c>
    </row>
    <row r="292" spans="1:16384" s="196" customFormat="1" x14ac:dyDescent="0.25">
      <c r="A292" s="136" t="s">
        <v>7714</v>
      </c>
      <c r="B292" s="91">
        <f>IF($A292=Recto!$I$28,VLOOKUP($A292,Recto!$I$28:$L$44,4,FALSE),0)</f>
        <v>0</v>
      </c>
      <c r="C292" s="91">
        <f>IF($A292=Recto!$I$29,VLOOKUP($A292,Recto!$I$28:$L$44,4,FALSE),0)</f>
        <v>0</v>
      </c>
      <c r="D292" s="91">
        <f>IF($A292=Recto!$I$30,VLOOKUP($A292,Recto!$I$28:$L$44,4,FALSE),0)</f>
        <v>0</v>
      </c>
      <c r="E292" s="91">
        <f>IF($A292=Recto!$I$31,VLOOKUP($A292,Recto!$I$28:$L$44,4,FALSE),0)</f>
        <v>0</v>
      </c>
      <c r="F292" s="91">
        <f>IF($A292=Recto!$I$32,VLOOKUP($A292,Recto!$I$28:$L$44,4,FALSE),0)</f>
        <v>0</v>
      </c>
      <c r="G292" s="91">
        <f>IF($A292=Recto!$I$33,VLOOKUP($A292,Recto!$I$28:$L$44,4,FALSE),0)</f>
        <v>0</v>
      </c>
      <c r="H292" s="91">
        <f>IF($A292=Recto!$I$34,VLOOKUP($A292,Recto!$I$28:$L$44,4,FALSE),0)</f>
        <v>0</v>
      </c>
      <c r="I292" s="91">
        <f>IF($A292=Recto!$I$35,VLOOKUP($A292,Recto!$I$28:$L$44,4,FALSE),0)</f>
        <v>0</v>
      </c>
      <c r="J292" s="91">
        <f>IF($A292=Recto!$I$36,VLOOKUP($A292,Recto!$I$28:$L$44,4,FALSE),0)</f>
        <v>0</v>
      </c>
      <c r="K292" s="91">
        <f>IF($A292=Recto!$I$37,VLOOKUP($A292,Recto!$I$28:$L$44,4,FALSE),0)</f>
        <v>0</v>
      </c>
      <c r="L292" s="91">
        <f>IF($A292=Recto!$I$38,VLOOKUP($A292,Recto!$I$28:$L$44,4,FALSE),0)</f>
        <v>0</v>
      </c>
      <c r="M292" s="91">
        <f>IF($A292=Recto!$I$39,VLOOKUP($A292,Recto!$I$28:$L$44,4,FALSE),0)</f>
        <v>0</v>
      </c>
      <c r="N292" s="91">
        <f>IF($A292=Recto!$I$40,VLOOKUP($A292,Recto!$I$28:$L$44,4,FALSE),0)</f>
        <v>0</v>
      </c>
      <c r="O292" s="91">
        <f>IF($A292=Recto!$I$41,VLOOKUP($A292,Recto!$I$28:$L$44,4,FALSE),0)</f>
        <v>0</v>
      </c>
      <c r="P292" s="91">
        <f>IF($A292=Recto!$I$42,VLOOKUP($A292,Recto!$I$28:$L$44,4,FALSE),0)</f>
        <v>0</v>
      </c>
      <c r="Q292" s="91">
        <f>IF($A292=Recto!$I$43,VLOOKUP($A292,Recto!$I$28:$L$44,4,FALSE),0)</f>
        <v>0</v>
      </c>
      <c r="R292" s="91">
        <f>IF($A292=Recto!$I$44,VLOOKUP($A292,Recto!$I$28:$L$44,4,FALSE),0)</f>
        <v>0</v>
      </c>
      <c r="S292" s="295">
        <f t="shared" si="8"/>
        <v>0</v>
      </c>
    </row>
    <row r="293" spans="1:16384" x14ac:dyDescent="0.25">
      <c r="A293" s="500" t="s">
        <v>1327</v>
      </c>
      <c r="B293" s="91">
        <f>IF($A293=Recto!$I$28,VLOOKUP($A293,Recto!$I$28:$L$44,4,FALSE),0)</f>
        <v>0</v>
      </c>
      <c r="C293" s="91">
        <f>IF($A293=Recto!$I$29,VLOOKUP($A293,Recto!$I$28:$L$44,4,FALSE),0)</f>
        <v>0</v>
      </c>
      <c r="D293" s="91">
        <f>IF($A293=Recto!$I$30,VLOOKUP($A293,Recto!$I$28:$L$44,4,FALSE),0)</f>
        <v>0</v>
      </c>
      <c r="E293" s="91">
        <f>IF($A293=Recto!$I$31,VLOOKUP($A293,Recto!$I$28:$L$44,4,FALSE),0)</f>
        <v>0</v>
      </c>
      <c r="F293" s="91">
        <f>IF($A293=Recto!$I$32,VLOOKUP($A293,Recto!$I$28:$L$44,4,FALSE),0)</f>
        <v>0</v>
      </c>
      <c r="G293" s="91">
        <f>IF($A293=Recto!$I$33,VLOOKUP($A293,Recto!$I$28:$L$44,4,FALSE),0)</f>
        <v>0</v>
      </c>
      <c r="H293" s="91">
        <f>IF($A293=Recto!$I$34,VLOOKUP($A293,Recto!$I$28:$L$44,4,FALSE),0)</f>
        <v>0</v>
      </c>
      <c r="I293" s="91">
        <f>IF($A293=Recto!$I$35,VLOOKUP($A293,Recto!$I$28:$L$44,4,FALSE),0)</f>
        <v>0</v>
      </c>
      <c r="J293" s="91">
        <f>IF($A293=Recto!$I$36,VLOOKUP($A293,Recto!$I$28:$L$44,4,FALSE),0)</f>
        <v>0</v>
      </c>
      <c r="K293" s="91">
        <f>IF($A293=Recto!$I$37,VLOOKUP($A293,Recto!$I$28:$L$44,4,FALSE),0)</f>
        <v>0</v>
      </c>
      <c r="L293" s="91">
        <f>IF($A293=Recto!$I$38,VLOOKUP($A293,Recto!$I$28:$L$44,4,FALSE),0)</f>
        <v>0</v>
      </c>
      <c r="M293" s="91">
        <f>IF($A293=Recto!$I$39,VLOOKUP($A293,Recto!$I$28:$L$44,4,FALSE),0)</f>
        <v>0</v>
      </c>
      <c r="N293" s="91">
        <f>IF($A293=Recto!$I$40,VLOOKUP($A293,Recto!$I$28:$L$44,4,FALSE),0)</f>
        <v>0</v>
      </c>
      <c r="O293" s="91">
        <f>IF($A293=Recto!$I$41,VLOOKUP($A293,Recto!$I$28:$L$44,4,FALSE),0)</f>
        <v>0</v>
      </c>
      <c r="P293" s="91">
        <f>IF($A293=Recto!$I$42,VLOOKUP($A293,Recto!$I$28:$L$44,4,FALSE),0)</f>
        <v>0</v>
      </c>
      <c r="Q293" s="91">
        <f>IF($A293=Recto!$I$43,VLOOKUP($A293,Recto!$I$28:$L$44,4,FALSE),0)</f>
        <v>0</v>
      </c>
      <c r="R293" s="91">
        <f>IF($A293=Recto!$I$44,VLOOKUP($A293,Recto!$I$28:$L$44,4,FALSE),0)</f>
        <v>0</v>
      </c>
      <c r="S293" s="295">
        <f t="shared" si="8"/>
        <v>0</v>
      </c>
    </row>
    <row r="294" spans="1:16384" x14ac:dyDescent="0.25">
      <c r="A294" s="500" t="s">
        <v>5986</v>
      </c>
      <c r="B294" s="91">
        <f>IF($A294=Recto!$I$28,VLOOKUP($A294,Recto!$I$28:$L$44,4,FALSE),0)</f>
        <v>0</v>
      </c>
      <c r="C294" s="91">
        <f>IF($A294=Recto!$I$29,VLOOKUP($A294,Recto!$I$28:$L$44,4,FALSE),0)</f>
        <v>0</v>
      </c>
      <c r="D294" s="91">
        <f>IF($A294=Recto!$I$30,VLOOKUP($A294,Recto!$I$28:$L$44,4,FALSE),0)</f>
        <v>0</v>
      </c>
      <c r="E294" s="91">
        <f>IF($A294=Recto!$I$31,VLOOKUP($A294,Recto!$I$28:$L$44,4,FALSE),0)</f>
        <v>0</v>
      </c>
      <c r="F294" s="91">
        <f>IF($A294=Recto!$I$32,VLOOKUP($A294,Recto!$I$28:$L$44,4,FALSE),0)</f>
        <v>0</v>
      </c>
      <c r="G294" s="91">
        <f>IF($A294=Recto!$I$33,VLOOKUP($A294,Recto!$I$28:$L$44,4,FALSE),0)</f>
        <v>0</v>
      </c>
      <c r="H294" s="91">
        <f>IF($A294=Recto!$I$34,VLOOKUP($A294,Recto!$I$28:$L$44,4,FALSE),0)</f>
        <v>0</v>
      </c>
      <c r="I294" s="91">
        <f>IF($A294=Recto!$I$35,VLOOKUP($A294,Recto!$I$28:$L$44,4,FALSE),0)</f>
        <v>0</v>
      </c>
      <c r="J294" s="91">
        <f>IF($A294=Recto!$I$36,VLOOKUP($A294,Recto!$I$28:$L$44,4,FALSE),0)</f>
        <v>0</v>
      </c>
      <c r="K294" s="91">
        <f>IF($A294=Recto!$I$37,VLOOKUP($A294,Recto!$I$28:$L$44,4,FALSE),0)</f>
        <v>0</v>
      </c>
      <c r="L294" s="91">
        <f>IF($A294=Recto!$I$38,VLOOKUP($A294,Recto!$I$28:$L$44,4,FALSE),0)</f>
        <v>0</v>
      </c>
      <c r="M294" s="91">
        <f>IF($A294=Recto!$I$39,VLOOKUP($A294,Recto!$I$28:$L$44,4,FALSE),0)</f>
        <v>0</v>
      </c>
      <c r="N294" s="91">
        <f>IF($A294=Recto!$I$40,VLOOKUP($A294,Recto!$I$28:$L$44,4,FALSE),0)</f>
        <v>0</v>
      </c>
      <c r="O294" s="91">
        <f>IF($A294=Recto!$I$41,VLOOKUP($A294,Recto!$I$28:$L$44,4,FALSE),0)</f>
        <v>0</v>
      </c>
      <c r="P294" s="91">
        <f>IF($A294=Recto!$I$42,VLOOKUP($A294,Recto!$I$28:$L$44,4,FALSE),0)</f>
        <v>0</v>
      </c>
      <c r="Q294" s="91">
        <f>IF($A294=Recto!$I$43,VLOOKUP($A294,Recto!$I$28:$L$44,4,FALSE),0)</f>
        <v>0</v>
      </c>
      <c r="R294" s="91">
        <f>IF($A294=Recto!$I$44,VLOOKUP($A294,Recto!$I$28:$L$44,4,FALSE),0)</f>
        <v>0</v>
      </c>
      <c r="S294" s="295">
        <f t="shared" si="8"/>
        <v>0</v>
      </c>
    </row>
    <row r="295" spans="1:16384" x14ac:dyDescent="0.25">
      <c r="A295" s="500" t="s">
        <v>5985</v>
      </c>
      <c r="B295" s="91">
        <f>IF($A295=Recto!$I$28,VLOOKUP($A295,Recto!$I$28:$L$44,4,FALSE),0)</f>
        <v>0</v>
      </c>
      <c r="C295" s="91">
        <f>IF($A295=Recto!$I$29,VLOOKUP($A295,Recto!$I$28:$L$44,4,FALSE),0)</f>
        <v>0</v>
      </c>
      <c r="D295" s="91">
        <f>IF($A295=Recto!$I$30,VLOOKUP($A295,Recto!$I$28:$L$44,4,FALSE),0)</f>
        <v>0</v>
      </c>
      <c r="E295" s="91">
        <f>IF($A295=Recto!$I$31,VLOOKUP($A295,Recto!$I$28:$L$44,4,FALSE),0)</f>
        <v>0</v>
      </c>
      <c r="F295" s="91">
        <f>IF($A295=Recto!$I$32,VLOOKUP($A295,Recto!$I$28:$L$44,4,FALSE),0)</f>
        <v>0</v>
      </c>
      <c r="G295" s="91">
        <f>IF($A295=Recto!$I$33,VLOOKUP($A295,Recto!$I$28:$L$44,4,FALSE),0)</f>
        <v>0</v>
      </c>
      <c r="H295" s="91">
        <f>IF($A295=Recto!$I$34,VLOOKUP($A295,Recto!$I$28:$L$44,4,FALSE),0)</f>
        <v>0</v>
      </c>
      <c r="I295" s="91">
        <f>IF($A295=Recto!$I$35,VLOOKUP($A295,Recto!$I$28:$L$44,4,FALSE),0)</f>
        <v>0</v>
      </c>
      <c r="J295" s="91">
        <f>IF($A295=Recto!$I$36,VLOOKUP($A295,Recto!$I$28:$L$44,4,FALSE),0)</f>
        <v>0</v>
      </c>
      <c r="K295" s="91">
        <f>IF($A295=Recto!$I$37,VLOOKUP($A295,Recto!$I$28:$L$44,4,FALSE),0)</f>
        <v>0</v>
      </c>
      <c r="L295" s="91">
        <f>IF($A295=Recto!$I$38,VLOOKUP($A295,Recto!$I$28:$L$44,4,FALSE),0)</f>
        <v>0</v>
      </c>
      <c r="M295" s="91">
        <f>IF($A295=Recto!$I$39,VLOOKUP($A295,Recto!$I$28:$L$44,4,FALSE),0)</f>
        <v>0</v>
      </c>
      <c r="N295" s="91">
        <f>IF($A295=Recto!$I$40,VLOOKUP($A295,Recto!$I$28:$L$44,4,FALSE),0)</f>
        <v>0</v>
      </c>
      <c r="O295" s="91">
        <f>IF($A295=Recto!$I$41,VLOOKUP($A295,Recto!$I$28:$L$44,4,FALSE),0)</f>
        <v>0</v>
      </c>
      <c r="P295" s="91">
        <f>IF($A295=Recto!$I$42,VLOOKUP($A295,Recto!$I$28:$L$44,4,FALSE),0)</f>
        <v>0</v>
      </c>
      <c r="Q295" s="91">
        <f>IF($A295=Recto!$I$43,VLOOKUP($A295,Recto!$I$28:$L$44,4,FALSE),0)</f>
        <v>0</v>
      </c>
      <c r="R295" s="91">
        <f>IF($A295=Recto!$I$44,VLOOKUP($A295,Recto!$I$28:$L$44,4,FALSE),0)</f>
        <v>0</v>
      </c>
      <c r="S295" s="295">
        <f t="shared" si="8"/>
        <v>0</v>
      </c>
    </row>
    <row r="296" spans="1:16384" x14ac:dyDescent="0.25">
      <c r="A296" s="500" t="s">
        <v>182</v>
      </c>
      <c r="B296" s="91">
        <f>IF($A296=Recto!$I$28,VLOOKUP($A296,Recto!$I$28:$L$44,4,FALSE),0)</f>
        <v>0</v>
      </c>
      <c r="C296" s="91">
        <f>IF($A296=Recto!$I$29,VLOOKUP($A296,Recto!$I$28:$L$44,4,FALSE),0)</f>
        <v>0</v>
      </c>
      <c r="D296" s="91">
        <f>IF($A296=Recto!$I$30,VLOOKUP($A296,Recto!$I$28:$L$44,4,FALSE),0)</f>
        <v>0</v>
      </c>
      <c r="E296" s="91">
        <f>IF($A296=Recto!$I$31,VLOOKUP($A296,Recto!$I$28:$L$44,4,FALSE),0)</f>
        <v>0</v>
      </c>
      <c r="F296" s="91">
        <f>IF($A296=Recto!$I$32,VLOOKUP($A296,Recto!$I$28:$L$44,4,FALSE),0)</f>
        <v>0</v>
      </c>
      <c r="G296" s="91">
        <f>IF($A296=Recto!$I$33,VLOOKUP($A296,Recto!$I$28:$L$44,4,FALSE),0)</f>
        <v>0</v>
      </c>
      <c r="H296" s="91">
        <f>IF($A296=Recto!$I$34,VLOOKUP($A296,Recto!$I$28:$L$44,4,FALSE),0)</f>
        <v>0</v>
      </c>
      <c r="I296" s="91">
        <f>IF($A296=Recto!$I$35,VLOOKUP($A296,Recto!$I$28:$L$44,4,FALSE),0)</f>
        <v>0</v>
      </c>
      <c r="J296" s="91">
        <f>IF($A296=Recto!$I$36,VLOOKUP($A296,Recto!$I$28:$L$44,4,FALSE),0)</f>
        <v>0</v>
      </c>
      <c r="K296" s="91">
        <f>IF($A296=Recto!$I$37,VLOOKUP($A296,Recto!$I$28:$L$44,4,FALSE),0)</f>
        <v>0</v>
      </c>
      <c r="L296" s="91">
        <f>IF($A296=Recto!$I$38,VLOOKUP($A296,Recto!$I$28:$L$44,4,FALSE),0)</f>
        <v>0</v>
      </c>
      <c r="M296" s="91">
        <f>IF($A296=Recto!$I$39,VLOOKUP($A296,Recto!$I$28:$L$44,4,FALSE),0)</f>
        <v>0</v>
      </c>
      <c r="N296" s="91">
        <f>IF($A296=Recto!$I$40,VLOOKUP($A296,Recto!$I$28:$L$44,4,FALSE),0)</f>
        <v>0</v>
      </c>
      <c r="O296" s="91">
        <f>IF($A296=Recto!$I$41,VLOOKUP($A296,Recto!$I$28:$L$44,4,FALSE),0)</f>
        <v>0</v>
      </c>
      <c r="P296" s="91">
        <f>IF($A296=Recto!$I$42,VLOOKUP($A296,Recto!$I$28:$L$44,4,FALSE),0)</f>
        <v>0</v>
      </c>
      <c r="Q296" s="91">
        <f>IF($A296=Recto!$I$43,VLOOKUP($A296,Recto!$I$28:$L$44,4,FALSE),0)</f>
        <v>0</v>
      </c>
      <c r="R296" s="91">
        <f>IF($A296=Recto!$I$44,VLOOKUP($A296,Recto!$I$28:$L$44,4,FALSE),0)</f>
        <v>0</v>
      </c>
      <c r="S296" s="295">
        <f t="shared" si="8"/>
        <v>0</v>
      </c>
    </row>
    <row r="297" spans="1:16384" x14ac:dyDescent="0.25">
      <c r="A297" s="500" t="s">
        <v>5984</v>
      </c>
      <c r="B297" s="91">
        <f>IF($A297=Recto!$I$28,VLOOKUP($A297,Recto!$I$28:$L$44,4,FALSE),0)</f>
        <v>0</v>
      </c>
      <c r="C297" s="91">
        <f>IF($A297=Recto!$I$29,VLOOKUP($A297,Recto!$I$28:$L$44,4,FALSE),0)</f>
        <v>0</v>
      </c>
      <c r="D297" s="91">
        <f>IF($A297=Recto!$I$30,VLOOKUP($A297,Recto!$I$28:$L$44,4,FALSE),0)</f>
        <v>0</v>
      </c>
      <c r="E297" s="91">
        <f>IF($A297=Recto!$I$31,VLOOKUP($A297,Recto!$I$28:$L$44,4,FALSE),0)</f>
        <v>0</v>
      </c>
      <c r="F297" s="91">
        <f>IF($A297=Recto!$I$32,VLOOKUP($A297,Recto!$I$28:$L$44,4,FALSE),0)</f>
        <v>0</v>
      </c>
      <c r="G297" s="91">
        <f>IF($A297=Recto!$I$33,VLOOKUP($A297,Recto!$I$28:$L$44,4,FALSE),0)</f>
        <v>0</v>
      </c>
      <c r="H297" s="91">
        <f>IF($A297=Recto!$I$34,VLOOKUP($A297,Recto!$I$28:$L$44,4,FALSE),0)</f>
        <v>0</v>
      </c>
      <c r="I297" s="91">
        <f>IF($A297=Recto!$I$35,VLOOKUP($A297,Recto!$I$28:$L$44,4,FALSE),0)</f>
        <v>0</v>
      </c>
      <c r="J297" s="91">
        <f>IF($A297=Recto!$I$36,VLOOKUP($A297,Recto!$I$28:$L$44,4,FALSE),0)</f>
        <v>0</v>
      </c>
      <c r="K297" s="91">
        <f>IF($A297=Recto!$I$37,VLOOKUP($A297,Recto!$I$28:$L$44,4,FALSE),0)</f>
        <v>0</v>
      </c>
      <c r="L297" s="91">
        <f>IF($A297=Recto!$I$38,VLOOKUP($A297,Recto!$I$28:$L$44,4,FALSE),0)</f>
        <v>0</v>
      </c>
      <c r="M297" s="91">
        <f>IF($A297=Recto!$I$39,VLOOKUP($A297,Recto!$I$28:$L$44,4,FALSE),0)</f>
        <v>0</v>
      </c>
      <c r="N297" s="91">
        <f>IF($A297=Recto!$I$40,VLOOKUP($A297,Recto!$I$28:$L$44,4,FALSE),0)</f>
        <v>0</v>
      </c>
      <c r="O297" s="91">
        <f>IF($A297=Recto!$I$41,VLOOKUP($A297,Recto!$I$28:$L$44,4,FALSE),0)</f>
        <v>0</v>
      </c>
      <c r="P297" s="91">
        <f>IF($A297=Recto!$I$42,VLOOKUP($A297,Recto!$I$28:$L$44,4,FALSE),0)</f>
        <v>0</v>
      </c>
      <c r="Q297" s="91">
        <f>IF($A297=Recto!$I$43,VLOOKUP($A297,Recto!$I$28:$L$44,4,FALSE),0)</f>
        <v>0</v>
      </c>
      <c r="R297" s="91">
        <f>IF($A297=Recto!$I$44,VLOOKUP($A297,Recto!$I$28:$L$44,4,FALSE),0)</f>
        <v>0</v>
      </c>
      <c r="S297" s="295">
        <f t="shared" si="8"/>
        <v>0</v>
      </c>
    </row>
    <row r="298" spans="1:16384" x14ac:dyDescent="0.25">
      <c r="A298" s="500" t="s">
        <v>310</v>
      </c>
      <c r="B298" s="91">
        <f>IF($A298=Recto!$I$28,VLOOKUP($A298,Recto!$I$28:$L$44,4,FALSE),0)</f>
        <v>0</v>
      </c>
      <c r="C298" s="91">
        <f>IF($A298=Recto!$I$29,VLOOKUP($A298,Recto!$I$28:$L$44,4,FALSE),0)</f>
        <v>0</v>
      </c>
      <c r="D298" s="91">
        <f>IF($A298=Recto!$I$30,VLOOKUP($A298,Recto!$I$28:$L$44,4,FALSE),0)</f>
        <v>0</v>
      </c>
      <c r="E298" s="91">
        <f>IF($A298=Recto!$I$31,VLOOKUP($A298,Recto!$I$28:$L$44,4,FALSE),0)</f>
        <v>0</v>
      </c>
      <c r="F298" s="91">
        <f>IF($A298=Recto!$I$32,VLOOKUP($A298,Recto!$I$28:$L$44,4,FALSE),0)</f>
        <v>0</v>
      </c>
      <c r="G298" s="91">
        <f>IF($A298=Recto!$I$33,VLOOKUP($A298,Recto!$I$28:$L$44,4,FALSE),0)</f>
        <v>0</v>
      </c>
      <c r="H298" s="91">
        <f>IF($A298=Recto!$I$34,VLOOKUP($A298,Recto!$I$28:$L$44,4,FALSE),0)</f>
        <v>0</v>
      </c>
      <c r="I298" s="91">
        <f>IF($A298=Recto!$I$35,VLOOKUP($A298,Recto!$I$28:$L$44,4,FALSE),0)</f>
        <v>0</v>
      </c>
      <c r="J298" s="91">
        <f>IF($A298=Recto!$I$36,VLOOKUP($A298,Recto!$I$28:$L$44,4,FALSE),0)</f>
        <v>0</v>
      </c>
      <c r="K298" s="91">
        <f>IF($A298=Recto!$I$37,VLOOKUP($A298,Recto!$I$28:$L$44,4,FALSE),0)</f>
        <v>0</v>
      </c>
      <c r="L298" s="91">
        <f>IF($A298=Recto!$I$38,VLOOKUP($A298,Recto!$I$28:$L$44,4,FALSE),0)</f>
        <v>0</v>
      </c>
      <c r="M298" s="91">
        <f>IF($A298=Recto!$I$39,VLOOKUP($A298,Recto!$I$28:$L$44,4,FALSE),0)</f>
        <v>0</v>
      </c>
      <c r="N298" s="91">
        <f>IF($A298=Recto!$I$40,VLOOKUP($A298,Recto!$I$28:$L$44,4,FALSE),0)</f>
        <v>0</v>
      </c>
      <c r="O298" s="91">
        <f>IF($A298=Recto!$I$41,VLOOKUP($A298,Recto!$I$28:$L$44,4,FALSE),0)</f>
        <v>0</v>
      </c>
      <c r="P298" s="91">
        <f>IF($A298=Recto!$I$42,VLOOKUP($A298,Recto!$I$28:$L$44,4,FALSE),0)</f>
        <v>0</v>
      </c>
      <c r="Q298" s="91">
        <f>IF($A298=Recto!$I$43,VLOOKUP($A298,Recto!$I$28:$L$44,4,FALSE),0)</f>
        <v>0</v>
      </c>
      <c r="R298" s="91">
        <f>IF($A298=Recto!$I$44,VLOOKUP($A298,Recto!$I$28:$L$44,4,FALSE),0)</f>
        <v>0</v>
      </c>
      <c r="S298" s="295">
        <f t="shared" si="8"/>
        <v>0</v>
      </c>
    </row>
    <row r="299" spans="1:16384" x14ac:dyDescent="0.25">
      <c r="A299" s="500" t="s">
        <v>3272</v>
      </c>
      <c r="B299" s="91">
        <f>IF($A299=Recto!$I$28,VLOOKUP($A299,Recto!$I$28:$L$44,4,FALSE),0)</f>
        <v>0</v>
      </c>
      <c r="C299" s="91">
        <f>IF($A299=Recto!$I$29,VLOOKUP($A299,Recto!$I$28:$L$44,4,FALSE),0)</f>
        <v>0</v>
      </c>
      <c r="D299" s="91">
        <f>IF($A299=Recto!$I$30,VLOOKUP($A299,Recto!$I$28:$L$44,4,FALSE),0)</f>
        <v>0</v>
      </c>
      <c r="E299" s="91">
        <f>IF($A299=Recto!$I$31,VLOOKUP($A299,Recto!$I$28:$L$44,4,FALSE),0)</f>
        <v>0</v>
      </c>
      <c r="F299" s="91">
        <f>IF($A299=Recto!$I$32,VLOOKUP($A299,Recto!$I$28:$L$44,4,FALSE),0)</f>
        <v>0</v>
      </c>
      <c r="G299" s="91">
        <f>IF($A299=Recto!$I$33,VLOOKUP($A299,Recto!$I$28:$L$44,4,FALSE),0)</f>
        <v>0</v>
      </c>
      <c r="H299" s="91">
        <f>IF($A299=Recto!$I$34,VLOOKUP($A299,Recto!$I$28:$L$44,4,FALSE),0)</f>
        <v>0</v>
      </c>
      <c r="I299" s="91">
        <f>IF($A299=Recto!$I$35,VLOOKUP($A299,Recto!$I$28:$L$44,4,FALSE),0)</f>
        <v>0</v>
      </c>
      <c r="J299" s="91">
        <f>IF($A299=Recto!$I$36,VLOOKUP($A299,Recto!$I$28:$L$44,4,FALSE),0)</f>
        <v>0</v>
      </c>
      <c r="K299" s="91">
        <f>IF($A299=Recto!$I$37,VLOOKUP($A299,Recto!$I$28:$L$44,4,FALSE),0)</f>
        <v>0</v>
      </c>
      <c r="L299" s="91">
        <f>IF($A299=Recto!$I$38,VLOOKUP($A299,Recto!$I$28:$L$44,4,FALSE),0)</f>
        <v>0</v>
      </c>
      <c r="M299" s="91">
        <f>IF($A299=Recto!$I$39,VLOOKUP($A299,Recto!$I$28:$L$44,4,FALSE),0)</f>
        <v>0</v>
      </c>
      <c r="N299" s="91">
        <f>IF($A299=Recto!$I$40,VLOOKUP($A299,Recto!$I$28:$L$44,4,FALSE),0)</f>
        <v>0</v>
      </c>
      <c r="O299" s="91">
        <f>IF($A299=Recto!$I$41,VLOOKUP($A299,Recto!$I$28:$L$44,4,FALSE),0)</f>
        <v>0</v>
      </c>
      <c r="P299" s="91">
        <f>IF($A299=Recto!$I$42,VLOOKUP($A299,Recto!$I$28:$L$44,4,FALSE),0)</f>
        <v>0</v>
      </c>
      <c r="Q299" s="91">
        <f>IF($A299=Recto!$I$43,VLOOKUP($A299,Recto!$I$28:$L$44,4,FALSE),0)</f>
        <v>0</v>
      </c>
      <c r="R299" s="91">
        <f>IF($A299=Recto!$I$44,VLOOKUP($A299,Recto!$I$28:$L$44,4,FALSE),0)</f>
        <v>0</v>
      </c>
      <c r="S299" s="295">
        <f t="shared" si="8"/>
        <v>0</v>
      </c>
    </row>
    <row r="300" spans="1:16384" x14ac:dyDescent="0.25">
      <c r="A300" s="500" t="s">
        <v>1373</v>
      </c>
      <c r="B300" s="91">
        <f>IF($A300=Recto!$I$28,VLOOKUP($A300,Recto!$I$28:$L$44,4,FALSE),0)</f>
        <v>0</v>
      </c>
      <c r="C300" s="91">
        <f>IF($A300=Recto!$I$29,VLOOKUP($A300,Recto!$I$28:$L$44,4,FALSE),0)</f>
        <v>0</v>
      </c>
      <c r="D300" s="91">
        <f>IF($A300=Recto!$I$30,VLOOKUP($A300,Recto!$I$28:$L$44,4,FALSE),0)</f>
        <v>0</v>
      </c>
      <c r="E300" s="91">
        <f>IF($A300=Recto!$I$31,VLOOKUP($A300,Recto!$I$28:$L$44,4,FALSE),0)</f>
        <v>0</v>
      </c>
      <c r="F300" s="91">
        <f>IF($A300=Recto!$I$32,VLOOKUP($A300,Recto!$I$28:$L$44,4,FALSE),0)</f>
        <v>0</v>
      </c>
      <c r="G300" s="91">
        <f>IF($A300=Recto!$I$33,VLOOKUP($A300,Recto!$I$28:$L$44,4,FALSE),0)</f>
        <v>0</v>
      </c>
      <c r="H300" s="91">
        <f>IF($A300=Recto!$I$34,VLOOKUP($A300,Recto!$I$28:$L$44,4,FALSE),0)</f>
        <v>0</v>
      </c>
      <c r="I300" s="91">
        <f>IF($A300=Recto!$I$35,VLOOKUP($A300,Recto!$I$28:$L$44,4,FALSE),0)</f>
        <v>0</v>
      </c>
      <c r="J300" s="91">
        <f>IF($A300=Recto!$I$36,VLOOKUP($A300,Recto!$I$28:$L$44,4,FALSE),0)</f>
        <v>0</v>
      </c>
      <c r="K300" s="91">
        <f>IF($A300=Recto!$I$37,VLOOKUP($A300,Recto!$I$28:$L$44,4,FALSE),0)</f>
        <v>0</v>
      </c>
      <c r="L300" s="91">
        <f>IF($A300=Recto!$I$38,VLOOKUP($A300,Recto!$I$28:$L$44,4,FALSE),0)</f>
        <v>0</v>
      </c>
      <c r="M300" s="91">
        <f>IF($A300=Recto!$I$39,VLOOKUP($A300,Recto!$I$28:$L$44,4,FALSE),0)</f>
        <v>0</v>
      </c>
      <c r="N300" s="91">
        <f>IF($A300=Recto!$I$40,VLOOKUP($A300,Recto!$I$28:$L$44,4,FALSE),0)</f>
        <v>0</v>
      </c>
      <c r="O300" s="91">
        <f>IF($A300=Recto!$I$41,VLOOKUP($A300,Recto!$I$28:$L$44,4,FALSE),0)</f>
        <v>0</v>
      </c>
      <c r="P300" s="91">
        <f>IF($A300=Recto!$I$42,VLOOKUP($A300,Recto!$I$28:$L$44,4,FALSE),0)</f>
        <v>0</v>
      </c>
      <c r="Q300" s="91">
        <f>IF($A300=Recto!$I$43,VLOOKUP($A300,Recto!$I$28:$L$44,4,FALSE),0)</f>
        <v>0</v>
      </c>
      <c r="R300" s="91">
        <f>IF($A300=Recto!$I$44,VLOOKUP($A300,Recto!$I$28:$L$44,4,FALSE),0)</f>
        <v>0</v>
      </c>
      <c r="S300" s="295">
        <f t="shared" si="8"/>
        <v>0</v>
      </c>
    </row>
    <row r="301" spans="1:16384" x14ac:dyDescent="0.25">
      <c r="A301" s="500" t="s">
        <v>116</v>
      </c>
      <c r="B301" s="91">
        <f>IF($A301=Recto!$I$28,VLOOKUP($A301,Recto!$I$28:$L$44,4,FALSE),0)</f>
        <v>0</v>
      </c>
      <c r="C301" s="91">
        <f>IF($A301=Recto!$I$29,VLOOKUP($A301,Recto!$I$28:$L$44,4,FALSE),0)</f>
        <v>0</v>
      </c>
      <c r="D301" s="91">
        <f>IF($A301=Recto!$I$30,VLOOKUP($A301,Recto!$I$28:$L$44,4,FALSE),0)</f>
        <v>0</v>
      </c>
      <c r="E301" s="91">
        <f>IF($A301=Recto!$I$31,VLOOKUP($A301,Recto!$I$28:$L$44,4,FALSE),0)</f>
        <v>0</v>
      </c>
      <c r="F301" s="91">
        <f>IF($A301=Recto!$I$32,VLOOKUP($A301,Recto!$I$28:$L$44,4,FALSE),0)</f>
        <v>0</v>
      </c>
      <c r="G301" s="91">
        <f>IF($A301=Recto!$I$33,VLOOKUP($A301,Recto!$I$28:$L$44,4,FALSE),0)</f>
        <v>0</v>
      </c>
      <c r="H301" s="91">
        <f>IF($A301=Recto!$I$34,VLOOKUP($A301,Recto!$I$28:$L$44,4,FALSE),0)</f>
        <v>0</v>
      </c>
      <c r="I301" s="91">
        <f>IF($A301=Recto!$I$35,VLOOKUP($A301,Recto!$I$28:$L$44,4,FALSE),0)</f>
        <v>0</v>
      </c>
      <c r="J301" s="91">
        <f>IF($A301=Recto!$I$36,VLOOKUP($A301,Recto!$I$28:$L$44,4,FALSE),0)</f>
        <v>0</v>
      </c>
      <c r="K301" s="91">
        <f>IF($A301=Recto!$I$37,VLOOKUP($A301,Recto!$I$28:$L$44,4,FALSE),0)</f>
        <v>0</v>
      </c>
      <c r="L301" s="91">
        <f>IF($A301=Recto!$I$38,VLOOKUP($A301,Recto!$I$28:$L$44,4,FALSE),0)</f>
        <v>0</v>
      </c>
      <c r="M301" s="91">
        <f>IF($A301=Recto!$I$39,VLOOKUP($A301,Recto!$I$28:$L$44,4,FALSE),0)</f>
        <v>0</v>
      </c>
      <c r="N301" s="91">
        <f>IF($A301=Recto!$I$40,VLOOKUP($A301,Recto!$I$28:$L$44,4,FALSE),0)</f>
        <v>0</v>
      </c>
      <c r="O301" s="91">
        <f>IF($A301=Recto!$I$41,VLOOKUP($A301,Recto!$I$28:$L$44,4,FALSE),0)</f>
        <v>0</v>
      </c>
      <c r="P301" s="91">
        <f>IF($A301=Recto!$I$42,VLOOKUP($A301,Recto!$I$28:$L$44,4,FALSE),0)</f>
        <v>0</v>
      </c>
      <c r="Q301" s="91">
        <f>IF($A301=Recto!$I$43,VLOOKUP($A301,Recto!$I$28:$L$44,4,FALSE),0)</f>
        <v>0</v>
      </c>
      <c r="R301" s="91">
        <f>IF($A301=Recto!$I$44,VLOOKUP($A301,Recto!$I$28:$L$44,4,FALSE),0)</f>
        <v>0</v>
      </c>
      <c r="S301" s="295">
        <f t="shared" ref="S301:S363" si="9">SUM(B301:R301)</f>
        <v>0</v>
      </c>
    </row>
    <row r="302" spans="1:16384" s="196" customFormat="1" x14ac:dyDescent="0.25">
      <c r="A302" s="136" t="s">
        <v>7699</v>
      </c>
      <c r="B302" s="91">
        <f>IF($A302=Recto!$I$28,VLOOKUP($A302,Recto!$I$28:$L$44,4,FALSE),0)</f>
        <v>0</v>
      </c>
      <c r="C302" s="91">
        <f>IF($A302=Recto!$I$29,VLOOKUP($A302,Recto!$I$28:$L$44,4,FALSE),0)</f>
        <v>0</v>
      </c>
      <c r="D302" s="91">
        <f>IF($A302=Recto!$I$30,VLOOKUP($A302,Recto!$I$28:$L$44,4,FALSE),0)</f>
        <v>0</v>
      </c>
      <c r="E302" s="91">
        <f>IF($A302=Recto!$I$31,VLOOKUP($A302,Recto!$I$28:$L$44,4,FALSE),0)</f>
        <v>0</v>
      </c>
      <c r="F302" s="91">
        <f>IF($A302=Recto!$I$32,VLOOKUP($A302,Recto!$I$28:$L$44,4,FALSE),0)</f>
        <v>0</v>
      </c>
      <c r="G302" s="91">
        <f>IF($A302=Recto!$I$33,VLOOKUP($A302,Recto!$I$28:$L$44,4,FALSE),0)</f>
        <v>0</v>
      </c>
      <c r="H302" s="91">
        <f>IF($A302=Recto!$I$34,VLOOKUP($A302,Recto!$I$28:$L$44,4,FALSE),0)</f>
        <v>0</v>
      </c>
      <c r="I302" s="91">
        <f>IF($A302=Recto!$I$35,VLOOKUP($A302,Recto!$I$28:$L$44,4,FALSE),0)</f>
        <v>0</v>
      </c>
      <c r="J302" s="91">
        <f>IF($A302=Recto!$I$36,VLOOKUP($A302,Recto!$I$28:$L$44,4,FALSE),0)</f>
        <v>0</v>
      </c>
      <c r="K302" s="91">
        <f>IF($A302=Recto!$I$37,VLOOKUP($A302,Recto!$I$28:$L$44,4,FALSE),0)</f>
        <v>0</v>
      </c>
      <c r="L302" s="91">
        <f>IF($A302=Recto!$I$38,VLOOKUP($A302,Recto!$I$28:$L$44,4,FALSE),0)</f>
        <v>0</v>
      </c>
      <c r="M302" s="91">
        <f>IF($A302=Recto!$I$39,VLOOKUP($A302,Recto!$I$28:$L$44,4,FALSE),0)</f>
        <v>0</v>
      </c>
      <c r="N302" s="91">
        <f>IF($A302=Recto!$I$40,VLOOKUP($A302,Recto!$I$28:$L$44,4,FALSE),0)</f>
        <v>0</v>
      </c>
      <c r="O302" s="91">
        <f>IF($A302=Recto!$I$41,VLOOKUP($A302,Recto!$I$28:$L$44,4,FALSE),0)</f>
        <v>0</v>
      </c>
      <c r="P302" s="91">
        <f>IF($A302=Recto!$I$42,VLOOKUP($A302,Recto!$I$28:$L$44,4,FALSE),0)</f>
        <v>0</v>
      </c>
      <c r="Q302" s="91">
        <f>IF($A302=Recto!$I$43,VLOOKUP($A302,Recto!$I$28:$L$44,4,FALSE),0)</f>
        <v>0</v>
      </c>
      <c r="R302" s="91">
        <f>IF($A302=Recto!$I$44,VLOOKUP($A302,Recto!$I$28:$L$44,4,FALSE),0)</f>
        <v>0</v>
      </c>
      <c r="S302" s="295">
        <f t="shared" si="9"/>
        <v>0</v>
      </c>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36"/>
      <c r="FI302" s="136"/>
      <c r="FJ302" s="136"/>
      <c r="FK302" s="136"/>
      <c r="FL302" s="136"/>
      <c r="FM302" s="136"/>
      <c r="FN302" s="136"/>
      <c r="FO302" s="136"/>
      <c r="FP302" s="136"/>
      <c r="FQ302" s="136"/>
      <c r="FR302" s="136"/>
      <c r="FS302" s="136"/>
      <c r="FT302" s="136"/>
      <c r="FU302" s="136"/>
      <c r="FV302" s="136"/>
      <c r="FW302" s="136"/>
      <c r="FX302" s="136"/>
      <c r="FY302" s="136"/>
      <c r="FZ302" s="136"/>
      <c r="GA302" s="136"/>
      <c r="GB302" s="136"/>
      <c r="GC302" s="136"/>
      <c r="GD302" s="136"/>
      <c r="GE302" s="136"/>
      <c r="GF302" s="136"/>
      <c r="GG302" s="136"/>
      <c r="GH302" s="136"/>
      <c r="GI302" s="136"/>
      <c r="GJ302" s="136"/>
      <c r="GK302" s="136"/>
      <c r="GL302" s="136"/>
      <c r="GM302" s="136"/>
      <c r="GN302" s="136"/>
      <c r="GO302" s="136"/>
      <c r="GP302" s="136"/>
      <c r="GQ302" s="136"/>
      <c r="GR302" s="136"/>
      <c r="GS302" s="136"/>
      <c r="GT302" s="136"/>
      <c r="GU302" s="136"/>
      <c r="GV302" s="136"/>
      <c r="GW302" s="136"/>
      <c r="GX302" s="136"/>
      <c r="GY302" s="136"/>
      <c r="GZ302" s="136"/>
      <c r="HA302" s="136"/>
      <c r="HB302" s="136"/>
      <c r="HC302" s="136"/>
      <c r="HD302" s="136"/>
      <c r="HE302" s="136"/>
      <c r="HF302" s="136"/>
      <c r="HG302" s="136"/>
      <c r="HH302" s="136"/>
      <c r="HI302" s="136"/>
      <c r="HJ302" s="136"/>
      <c r="HK302" s="136"/>
      <c r="HL302" s="136"/>
      <c r="HM302" s="136"/>
      <c r="HN302" s="136"/>
      <c r="HO302" s="136"/>
      <c r="HP302" s="136"/>
      <c r="HQ302" s="136"/>
      <c r="HR302" s="136"/>
      <c r="HS302" s="136"/>
      <c r="HT302" s="136"/>
      <c r="HU302" s="136"/>
      <c r="HV302" s="136"/>
      <c r="HW302" s="136"/>
      <c r="HX302" s="136"/>
      <c r="HY302" s="136"/>
      <c r="HZ302" s="136"/>
      <c r="IA302" s="136"/>
      <c r="IB302" s="136"/>
      <c r="IC302" s="136"/>
      <c r="ID302" s="136"/>
      <c r="IE302" s="136"/>
      <c r="IF302" s="136"/>
      <c r="IG302" s="136"/>
      <c r="IH302" s="136"/>
      <c r="II302" s="136"/>
      <c r="IJ302" s="136"/>
      <c r="IK302" s="136"/>
      <c r="IL302" s="136"/>
      <c r="IM302" s="136"/>
      <c r="IN302" s="136"/>
      <c r="IO302" s="136"/>
      <c r="IP302" s="136"/>
      <c r="IQ302" s="136"/>
      <c r="IR302" s="136"/>
      <c r="IS302" s="136"/>
      <c r="IT302" s="136"/>
      <c r="IU302" s="136"/>
      <c r="IV302" s="136"/>
      <c r="IW302" s="136"/>
      <c r="IX302" s="136"/>
      <c r="IY302" s="136"/>
      <c r="IZ302" s="136"/>
      <c r="JA302" s="136"/>
      <c r="JB302" s="136"/>
      <c r="JC302" s="136"/>
      <c r="JD302" s="136"/>
      <c r="JE302" s="136"/>
      <c r="JF302" s="136"/>
      <c r="JG302" s="136"/>
      <c r="JH302" s="136"/>
      <c r="JI302" s="136"/>
      <c r="JJ302" s="136"/>
      <c r="JK302" s="136"/>
      <c r="JL302" s="136"/>
      <c r="JM302" s="136"/>
      <c r="JN302" s="136"/>
      <c r="JO302" s="136"/>
      <c r="JP302" s="136"/>
      <c r="JQ302" s="136"/>
      <c r="JR302" s="136"/>
      <c r="JS302" s="136"/>
      <c r="JT302" s="136"/>
      <c r="JU302" s="136"/>
      <c r="JV302" s="136"/>
      <c r="JW302" s="136"/>
      <c r="JX302" s="136"/>
      <c r="JY302" s="136"/>
      <c r="JZ302" s="136"/>
      <c r="KA302" s="136"/>
      <c r="KB302" s="136"/>
      <c r="KC302" s="136"/>
      <c r="KD302" s="136"/>
      <c r="KE302" s="136"/>
      <c r="KF302" s="136"/>
      <c r="KG302" s="136"/>
      <c r="KH302" s="136"/>
      <c r="KI302" s="136"/>
      <c r="KJ302" s="136"/>
      <c r="KK302" s="136"/>
      <c r="KL302" s="136"/>
      <c r="KM302" s="136"/>
      <c r="KN302" s="136"/>
      <c r="KO302" s="136"/>
      <c r="KP302" s="136"/>
      <c r="KQ302" s="136"/>
      <c r="KR302" s="136"/>
      <c r="KS302" s="136"/>
      <c r="KT302" s="136"/>
      <c r="KU302" s="136"/>
      <c r="KV302" s="136"/>
      <c r="KW302" s="136"/>
      <c r="KX302" s="136"/>
      <c r="KY302" s="136"/>
      <c r="KZ302" s="136"/>
      <c r="LA302" s="136"/>
      <c r="LB302" s="136"/>
      <c r="LC302" s="136"/>
      <c r="LD302" s="136"/>
      <c r="LE302" s="136"/>
      <c r="LF302" s="136"/>
      <c r="LG302" s="136"/>
      <c r="LH302" s="136"/>
      <c r="LI302" s="136"/>
      <c r="LJ302" s="136"/>
      <c r="LK302" s="136"/>
      <c r="LL302" s="136"/>
      <c r="LM302" s="136"/>
      <c r="LN302" s="136"/>
      <c r="LO302" s="136"/>
      <c r="LP302" s="136"/>
      <c r="LQ302" s="136"/>
      <c r="LR302" s="136"/>
      <c r="LS302" s="136"/>
      <c r="LT302" s="136"/>
      <c r="LU302" s="136"/>
      <c r="LV302" s="136"/>
      <c r="LW302" s="136"/>
      <c r="LX302" s="136"/>
      <c r="LY302" s="136"/>
      <c r="LZ302" s="136"/>
      <c r="MA302" s="136"/>
      <c r="MB302" s="136"/>
      <c r="MC302" s="136"/>
      <c r="MD302" s="136"/>
      <c r="ME302" s="136"/>
      <c r="MF302" s="136"/>
      <c r="MG302" s="136"/>
      <c r="MH302" s="136"/>
      <c r="MI302" s="136"/>
      <c r="MJ302" s="136"/>
      <c r="MK302" s="136"/>
      <c r="ML302" s="136"/>
      <c r="MM302" s="136"/>
      <c r="MN302" s="136"/>
      <c r="MO302" s="136"/>
      <c r="MP302" s="136"/>
      <c r="MQ302" s="136"/>
      <c r="MR302" s="136"/>
      <c r="MS302" s="136"/>
      <c r="MT302" s="136"/>
      <c r="MU302" s="136"/>
      <c r="MV302" s="136"/>
      <c r="MW302" s="136"/>
      <c r="MX302" s="136"/>
      <c r="MY302" s="136"/>
      <c r="MZ302" s="136"/>
      <c r="NA302" s="136"/>
      <c r="NB302" s="136"/>
      <c r="NC302" s="136"/>
      <c r="ND302" s="136"/>
      <c r="NE302" s="136"/>
      <c r="NF302" s="136"/>
      <c r="NG302" s="136"/>
      <c r="NH302" s="136"/>
      <c r="NI302" s="136"/>
      <c r="NJ302" s="136"/>
      <c r="NK302" s="136"/>
      <c r="NL302" s="136"/>
      <c r="NM302" s="136"/>
      <c r="NN302" s="136"/>
      <c r="NO302" s="136"/>
      <c r="NP302" s="136"/>
      <c r="NQ302" s="136"/>
      <c r="NR302" s="136"/>
      <c r="NS302" s="136"/>
      <c r="NT302" s="136"/>
      <c r="NU302" s="136"/>
      <c r="NV302" s="136"/>
      <c r="NW302" s="136"/>
      <c r="NX302" s="136"/>
      <c r="NY302" s="136"/>
      <c r="NZ302" s="136"/>
      <c r="OA302" s="136"/>
      <c r="OB302" s="136"/>
      <c r="OC302" s="136"/>
      <c r="OD302" s="136"/>
      <c r="OE302" s="136"/>
      <c r="OF302" s="136"/>
      <c r="OG302" s="136"/>
      <c r="OH302" s="136"/>
      <c r="OI302" s="136"/>
      <c r="OJ302" s="136"/>
      <c r="OK302" s="136"/>
      <c r="OL302" s="136"/>
      <c r="OM302" s="136"/>
      <c r="ON302" s="136"/>
      <c r="OO302" s="136"/>
      <c r="OP302" s="136"/>
      <c r="OQ302" s="136"/>
      <c r="OR302" s="136"/>
      <c r="OS302" s="136"/>
      <c r="OT302" s="136"/>
      <c r="OU302" s="136"/>
      <c r="OV302" s="136"/>
      <c r="OW302" s="136"/>
      <c r="OX302" s="136"/>
      <c r="OY302" s="136"/>
      <c r="OZ302" s="136"/>
      <c r="PA302" s="136"/>
      <c r="PB302" s="136"/>
      <c r="PC302" s="136"/>
      <c r="PD302" s="136"/>
      <c r="PE302" s="136"/>
      <c r="PF302" s="136"/>
      <c r="PG302" s="136"/>
      <c r="PH302" s="136"/>
      <c r="PI302" s="136"/>
      <c r="PJ302" s="136"/>
      <c r="PK302" s="136"/>
      <c r="PL302" s="136"/>
      <c r="PM302" s="136"/>
      <c r="PN302" s="136"/>
      <c r="PO302" s="136"/>
      <c r="PP302" s="136"/>
      <c r="PQ302" s="136"/>
      <c r="PR302" s="136"/>
      <c r="PS302" s="136"/>
      <c r="PT302" s="136"/>
      <c r="PU302" s="136"/>
      <c r="PV302" s="136"/>
      <c r="PW302" s="136"/>
      <c r="PX302" s="136"/>
      <c r="PY302" s="136"/>
      <c r="PZ302" s="136"/>
      <c r="QA302" s="136"/>
      <c r="QB302" s="136"/>
      <c r="QC302" s="136"/>
      <c r="QD302" s="136"/>
      <c r="QE302" s="136"/>
      <c r="QF302" s="136"/>
      <c r="QG302" s="136"/>
      <c r="QH302" s="136"/>
      <c r="QI302" s="136"/>
      <c r="QJ302" s="136"/>
      <c r="QK302" s="136"/>
      <c r="QL302" s="136"/>
      <c r="QM302" s="136"/>
      <c r="QN302" s="136"/>
      <c r="QO302" s="136"/>
      <c r="QP302" s="136"/>
      <c r="QQ302" s="136"/>
      <c r="QR302" s="136"/>
      <c r="QS302" s="136"/>
      <c r="QT302" s="136"/>
      <c r="QU302" s="136"/>
      <c r="QV302" s="136"/>
      <c r="QW302" s="136"/>
      <c r="QX302" s="136"/>
      <c r="QY302" s="136"/>
      <c r="QZ302" s="136"/>
      <c r="RA302" s="136"/>
      <c r="RB302" s="136"/>
      <c r="RC302" s="136"/>
      <c r="RD302" s="136"/>
      <c r="RE302" s="136"/>
      <c r="RF302" s="136"/>
      <c r="RG302" s="136"/>
      <c r="RH302" s="136"/>
      <c r="RI302" s="136"/>
      <c r="RJ302" s="136"/>
      <c r="RK302" s="136"/>
      <c r="RL302" s="136"/>
      <c r="RM302" s="136"/>
      <c r="RN302" s="136"/>
      <c r="RO302" s="136"/>
      <c r="RP302" s="136"/>
      <c r="RQ302" s="136"/>
      <c r="RR302" s="136"/>
      <c r="RS302" s="136"/>
      <c r="RT302" s="136"/>
      <c r="RU302" s="136"/>
      <c r="RV302" s="136"/>
      <c r="RW302" s="136"/>
      <c r="RX302" s="136"/>
      <c r="RY302" s="136"/>
      <c r="RZ302" s="136"/>
      <c r="SA302" s="136"/>
      <c r="SB302" s="136"/>
      <c r="SC302" s="136"/>
      <c r="SD302" s="136"/>
      <c r="SE302" s="136"/>
      <c r="SF302" s="136"/>
      <c r="SG302" s="136"/>
      <c r="SH302" s="136"/>
      <c r="SI302" s="136"/>
      <c r="SJ302" s="136"/>
      <c r="SK302" s="136"/>
      <c r="SL302" s="136"/>
      <c r="SM302" s="136"/>
      <c r="SN302" s="136"/>
      <c r="SO302" s="136"/>
      <c r="SP302" s="136"/>
      <c r="SQ302" s="136"/>
      <c r="SR302" s="136"/>
      <c r="SS302" s="136"/>
      <c r="ST302" s="136"/>
      <c r="SU302" s="136"/>
      <c r="SV302" s="136"/>
      <c r="SW302" s="136"/>
      <c r="SX302" s="136"/>
      <c r="SY302" s="136"/>
      <c r="SZ302" s="136"/>
      <c r="TA302" s="136"/>
      <c r="TB302" s="136"/>
      <c r="TC302" s="136"/>
      <c r="TD302" s="136"/>
      <c r="TE302" s="136"/>
      <c r="TF302" s="136"/>
      <c r="TG302" s="136"/>
      <c r="TH302" s="136"/>
      <c r="TI302" s="136"/>
      <c r="TJ302" s="136"/>
      <c r="TK302" s="136"/>
      <c r="TL302" s="136"/>
      <c r="TM302" s="136"/>
      <c r="TN302" s="136"/>
      <c r="TO302" s="136"/>
      <c r="TP302" s="136"/>
      <c r="TQ302" s="136"/>
      <c r="TR302" s="136"/>
      <c r="TS302" s="136"/>
      <c r="TT302" s="136"/>
      <c r="TU302" s="136"/>
      <c r="TV302" s="136"/>
      <c r="TW302" s="136"/>
      <c r="TX302" s="136"/>
      <c r="TY302" s="136"/>
      <c r="TZ302" s="136"/>
      <c r="UA302" s="136"/>
      <c r="UB302" s="136"/>
      <c r="UC302" s="136"/>
      <c r="UD302" s="136"/>
      <c r="UE302" s="136"/>
      <c r="UF302" s="136"/>
      <c r="UG302" s="136"/>
      <c r="UH302" s="136"/>
      <c r="UI302" s="136"/>
      <c r="UJ302" s="136"/>
      <c r="UK302" s="136"/>
      <c r="UL302" s="136"/>
      <c r="UM302" s="136"/>
      <c r="UN302" s="136"/>
      <c r="UO302" s="136"/>
      <c r="UP302" s="136"/>
      <c r="UQ302" s="136"/>
      <c r="UR302" s="136"/>
      <c r="US302" s="136"/>
      <c r="UT302" s="136"/>
      <c r="UU302" s="136"/>
      <c r="UV302" s="136"/>
      <c r="UW302" s="136"/>
      <c r="UX302" s="136"/>
      <c r="UY302" s="136"/>
      <c r="UZ302" s="136"/>
      <c r="VA302" s="136"/>
      <c r="VB302" s="136"/>
      <c r="VC302" s="136"/>
      <c r="VD302" s="136"/>
      <c r="VE302" s="136"/>
      <c r="VF302" s="136"/>
      <c r="VG302" s="136"/>
      <c r="VH302" s="136"/>
      <c r="VI302" s="136"/>
      <c r="VJ302" s="136"/>
      <c r="VK302" s="136"/>
      <c r="VL302" s="136"/>
      <c r="VM302" s="136"/>
      <c r="VN302" s="136"/>
      <c r="VO302" s="136"/>
      <c r="VP302" s="136"/>
      <c r="VQ302" s="136"/>
      <c r="VR302" s="136"/>
      <c r="VS302" s="136"/>
      <c r="VT302" s="136"/>
      <c r="VU302" s="136"/>
      <c r="VV302" s="136"/>
      <c r="VW302" s="136"/>
      <c r="VX302" s="136"/>
      <c r="VY302" s="136"/>
      <c r="VZ302" s="136"/>
      <c r="WA302" s="136"/>
      <c r="WB302" s="136"/>
      <c r="WC302" s="136"/>
      <c r="WD302" s="136"/>
      <c r="WE302" s="136"/>
      <c r="WF302" s="136"/>
      <c r="WG302" s="136"/>
      <c r="WH302" s="136"/>
      <c r="WI302" s="136"/>
      <c r="WJ302" s="136"/>
      <c r="WK302" s="136"/>
      <c r="WL302" s="136"/>
      <c r="WM302" s="136"/>
      <c r="WN302" s="136"/>
      <c r="WO302" s="136"/>
      <c r="WP302" s="136"/>
      <c r="WQ302" s="136"/>
      <c r="WR302" s="136"/>
      <c r="WS302" s="136"/>
      <c r="WT302" s="136"/>
      <c r="WU302" s="136"/>
      <c r="WV302" s="136"/>
      <c r="WW302" s="136"/>
      <c r="WX302" s="136"/>
      <c r="WY302" s="136"/>
      <c r="WZ302" s="136"/>
      <c r="XA302" s="136"/>
      <c r="XB302" s="136"/>
      <c r="XC302" s="136"/>
      <c r="XD302" s="136"/>
      <c r="XE302" s="136"/>
      <c r="XF302" s="136"/>
      <c r="XG302" s="136"/>
      <c r="XH302" s="136"/>
      <c r="XI302" s="136"/>
      <c r="XJ302" s="136"/>
      <c r="XK302" s="136"/>
      <c r="XL302" s="136"/>
      <c r="XM302" s="136"/>
      <c r="XN302" s="136"/>
      <c r="XO302" s="136"/>
      <c r="XP302" s="136"/>
      <c r="XQ302" s="136"/>
      <c r="XR302" s="136"/>
      <c r="XS302" s="136"/>
      <c r="XT302" s="136"/>
      <c r="XU302" s="136"/>
      <c r="XV302" s="136"/>
      <c r="XW302" s="136"/>
      <c r="XX302" s="136"/>
      <c r="XY302" s="136"/>
      <c r="XZ302" s="136"/>
      <c r="YA302" s="136"/>
      <c r="YB302" s="136"/>
      <c r="YC302" s="136"/>
      <c r="YD302" s="136"/>
      <c r="YE302" s="136"/>
      <c r="YF302" s="136"/>
      <c r="YG302" s="136"/>
      <c r="YH302" s="136"/>
      <c r="YI302" s="136"/>
      <c r="YJ302" s="136"/>
      <c r="YK302" s="136"/>
      <c r="YL302" s="136"/>
      <c r="YM302" s="136"/>
      <c r="YN302" s="136"/>
      <c r="YO302" s="136"/>
      <c r="YP302" s="136"/>
      <c r="YQ302" s="136"/>
      <c r="YR302" s="136"/>
      <c r="YS302" s="136"/>
      <c r="YT302" s="136"/>
      <c r="YU302" s="136"/>
      <c r="YV302" s="136"/>
      <c r="YW302" s="136"/>
      <c r="YX302" s="136"/>
      <c r="YY302" s="136"/>
      <c r="YZ302" s="136"/>
      <c r="ZA302" s="136"/>
      <c r="ZB302" s="136"/>
      <c r="ZC302" s="136"/>
      <c r="ZD302" s="136"/>
      <c r="ZE302" s="136"/>
      <c r="ZF302" s="136"/>
      <c r="ZG302" s="136"/>
      <c r="ZH302" s="136"/>
      <c r="ZI302" s="136"/>
      <c r="ZJ302" s="136"/>
      <c r="ZK302" s="136"/>
      <c r="ZL302" s="136"/>
      <c r="ZM302" s="136"/>
      <c r="ZN302" s="136"/>
      <c r="ZO302" s="136"/>
      <c r="ZP302" s="136"/>
      <c r="ZQ302" s="136"/>
      <c r="ZR302" s="136"/>
      <c r="ZS302" s="136"/>
      <c r="ZT302" s="136"/>
      <c r="ZU302" s="136"/>
      <c r="ZV302" s="136"/>
      <c r="ZW302" s="136"/>
      <c r="ZX302" s="136"/>
      <c r="ZY302" s="136"/>
      <c r="ZZ302" s="136"/>
      <c r="AAA302" s="136"/>
      <c r="AAB302" s="136"/>
      <c r="AAC302" s="136"/>
      <c r="AAD302" s="136"/>
      <c r="AAE302" s="136"/>
      <c r="AAF302" s="136"/>
      <c r="AAG302" s="136"/>
      <c r="AAH302" s="136"/>
      <c r="AAI302" s="136"/>
      <c r="AAJ302" s="136"/>
      <c r="AAK302" s="136"/>
      <c r="AAL302" s="136"/>
      <c r="AAM302" s="136"/>
      <c r="AAN302" s="136"/>
      <c r="AAO302" s="136"/>
      <c r="AAP302" s="136"/>
      <c r="AAQ302" s="136"/>
      <c r="AAR302" s="136"/>
      <c r="AAS302" s="136"/>
      <c r="AAT302" s="136"/>
      <c r="AAU302" s="136"/>
      <c r="AAV302" s="136"/>
      <c r="AAW302" s="136"/>
      <c r="AAX302" s="136"/>
      <c r="AAY302" s="136"/>
      <c r="AAZ302" s="136"/>
      <c r="ABA302" s="136"/>
      <c r="ABB302" s="136"/>
      <c r="ABC302" s="136"/>
      <c r="ABD302" s="136"/>
      <c r="ABE302" s="136"/>
      <c r="ABF302" s="136"/>
      <c r="ABG302" s="136"/>
      <c r="ABH302" s="136"/>
      <c r="ABI302" s="136"/>
      <c r="ABJ302" s="136"/>
      <c r="ABK302" s="136"/>
      <c r="ABL302" s="136"/>
      <c r="ABM302" s="136"/>
      <c r="ABN302" s="136"/>
      <c r="ABO302" s="136"/>
      <c r="ABP302" s="136"/>
      <c r="ABQ302" s="136"/>
      <c r="ABR302" s="136"/>
      <c r="ABS302" s="136"/>
      <c r="ABT302" s="136"/>
      <c r="ABU302" s="136"/>
      <c r="ABV302" s="136"/>
      <c r="ABW302" s="136"/>
      <c r="ABX302" s="136"/>
      <c r="ABY302" s="136"/>
      <c r="ABZ302" s="136"/>
      <c r="ACA302" s="136"/>
      <c r="ACB302" s="136"/>
      <c r="ACC302" s="136"/>
      <c r="ACD302" s="136"/>
      <c r="ACE302" s="136"/>
      <c r="ACF302" s="136"/>
      <c r="ACG302" s="136"/>
      <c r="ACH302" s="136"/>
      <c r="ACI302" s="136"/>
      <c r="ACJ302" s="136"/>
      <c r="ACK302" s="136"/>
      <c r="ACL302" s="136"/>
      <c r="ACM302" s="136"/>
      <c r="ACN302" s="136"/>
      <c r="ACO302" s="136"/>
      <c r="ACP302" s="136"/>
      <c r="ACQ302" s="136"/>
      <c r="ACR302" s="136"/>
      <c r="ACS302" s="136"/>
      <c r="ACT302" s="136"/>
      <c r="ACU302" s="136"/>
      <c r="ACV302" s="136"/>
      <c r="ACW302" s="136"/>
      <c r="ACX302" s="136"/>
      <c r="ACY302" s="136"/>
      <c r="ACZ302" s="136"/>
      <c r="ADA302" s="136"/>
      <c r="ADB302" s="136"/>
      <c r="ADC302" s="136"/>
      <c r="ADD302" s="136"/>
      <c r="ADE302" s="136"/>
      <c r="ADF302" s="136"/>
      <c r="ADG302" s="136"/>
      <c r="ADH302" s="136"/>
      <c r="ADI302" s="136"/>
      <c r="ADJ302" s="136"/>
      <c r="ADK302" s="136"/>
      <c r="ADL302" s="136"/>
      <c r="ADM302" s="136"/>
      <c r="ADN302" s="136"/>
      <c r="ADO302" s="136"/>
      <c r="ADP302" s="136"/>
      <c r="ADQ302" s="136"/>
      <c r="ADR302" s="136"/>
      <c r="ADS302" s="136"/>
      <c r="ADT302" s="136"/>
      <c r="ADU302" s="136"/>
      <c r="ADV302" s="136"/>
      <c r="ADW302" s="136"/>
      <c r="ADX302" s="136"/>
      <c r="ADY302" s="136"/>
      <c r="ADZ302" s="136"/>
      <c r="AEA302" s="136"/>
      <c r="AEB302" s="136"/>
      <c r="AEC302" s="136"/>
      <c r="AED302" s="136"/>
      <c r="AEE302" s="136"/>
      <c r="AEF302" s="136"/>
      <c r="AEG302" s="136"/>
      <c r="AEH302" s="136"/>
      <c r="AEI302" s="136"/>
      <c r="AEJ302" s="136"/>
      <c r="AEK302" s="136"/>
      <c r="AEL302" s="136"/>
      <c r="AEM302" s="136"/>
      <c r="AEN302" s="136"/>
      <c r="AEO302" s="136"/>
      <c r="AEP302" s="136"/>
      <c r="AEQ302" s="136"/>
      <c r="AER302" s="136"/>
      <c r="AES302" s="136"/>
      <c r="AET302" s="136"/>
      <c r="AEU302" s="136"/>
      <c r="AEV302" s="136"/>
      <c r="AEW302" s="136"/>
      <c r="AEX302" s="136"/>
      <c r="AEY302" s="136"/>
      <c r="AEZ302" s="136"/>
      <c r="AFA302" s="136"/>
      <c r="AFB302" s="136"/>
      <c r="AFC302" s="136"/>
      <c r="AFD302" s="136"/>
      <c r="AFE302" s="136"/>
      <c r="AFF302" s="136"/>
      <c r="AFG302" s="136"/>
      <c r="AFH302" s="136"/>
      <c r="AFI302" s="136"/>
      <c r="AFJ302" s="136"/>
      <c r="AFK302" s="136"/>
      <c r="AFL302" s="136"/>
      <c r="AFM302" s="136"/>
      <c r="AFN302" s="136"/>
      <c r="AFO302" s="136"/>
      <c r="AFP302" s="136"/>
      <c r="AFQ302" s="136"/>
      <c r="AFR302" s="136"/>
      <c r="AFS302" s="136"/>
      <c r="AFT302" s="136"/>
      <c r="AFU302" s="136"/>
      <c r="AFV302" s="136"/>
      <c r="AFW302" s="136"/>
      <c r="AFX302" s="136"/>
      <c r="AFY302" s="136"/>
      <c r="AFZ302" s="136"/>
      <c r="AGA302" s="136"/>
      <c r="AGB302" s="136"/>
      <c r="AGC302" s="136"/>
      <c r="AGD302" s="136"/>
      <c r="AGE302" s="136"/>
      <c r="AGF302" s="136"/>
      <c r="AGG302" s="136"/>
      <c r="AGH302" s="136"/>
      <c r="AGI302" s="136"/>
      <c r="AGJ302" s="136"/>
      <c r="AGK302" s="136"/>
      <c r="AGL302" s="136"/>
      <c r="AGM302" s="136"/>
      <c r="AGN302" s="136"/>
      <c r="AGO302" s="136"/>
      <c r="AGP302" s="136"/>
      <c r="AGQ302" s="136"/>
      <c r="AGR302" s="136"/>
      <c r="AGS302" s="136"/>
      <c r="AGT302" s="136"/>
      <c r="AGU302" s="136"/>
      <c r="AGV302" s="136"/>
      <c r="AGW302" s="136"/>
      <c r="AGX302" s="136"/>
      <c r="AGY302" s="136"/>
      <c r="AGZ302" s="136"/>
      <c r="AHA302" s="136"/>
      <c r="AHB302" s="136"/>
      <c r="AHC302" s="136"/>
      <c r="AHD302" s="136"/>
      <c r="AHE302" s="136"/>
      <c r="AHF302" s="136"/>
      <c r="AHG302" s="136"/>
      <c r="AHH302" s="136"/>
      <c r="AHI302" s="136"/>
      <c r="AHJ302" s="136"/>
      <c r="AHK302" s="136"/>
      <c r="AHL302" s="136"/>
      <c r="AHM302" s="136"/>
      <c r="AHN302" s="136"/>
      <c r="AHO302" s="136"/>
      <c r="AHP302" s="136"/>
      <c r="AHQ302" s="136"/>
      <c r="AHR302" s="136"/>
      <c r="AHS302" s="136"/>
      <c r="AHT302" s="136"/>
      <c r="AHU302" s="136"/>
      <c r="AHV302" s="136"/>
      <c r="AHW302" s="136"/>
      <c r="AHX302" s="136"/>
      <c r="AHY302" s="136"/>
      <c r="AHZ302" s="136"/>
      <c r="AIA302" s="136"/>
      <c r="AIB302" s="136"/>
      <c r="AIC302" s="136"/>
      <c r="AID302" s="136"/>
      <c r="AIE302" s="136"/>
      <c r="AIF302" s="136"/>
      <c r="AIG302" s="136"/>
      <c r="AIH302" s="136"/>
      <c r="AII302" s="136"/>
      <c r="AIJ302" s="136"/>
      <c r="AIK302" s="136"/>
      <c r="AIL302" s="136"/>
      <c r="AIM302" s="136"/>
      <c r="AIN302" s="136"/>
      <c r="AIO302" s="136"/>
      <c r="AIP302" s="136"/>
      <c r="AIQ302" s="136"/>
      <c r="AIR302" s="136"/>
      <c r="AIS302" s="136"/>
      <c r="AIT302" s="136"/>
      <c r="AIU302" s="136"/>
      <c r="AIV302" s="136"/>
      <c r="AIW302" s="136"/>
      <c r="AIX302" s="136"/>
      <c r="AIY302" s="136"/>
      <c r="AIZ302" s="136"/>
      <c r="AJA302" s="136"/>
      <c r="AJB302" s="136"/>
      <c r="AJC302" s="136"/>
      <c r="AJD302" s="136"/>
      <c r="AJE302" s="136"/>
      <c r="AJF302" s="136"/>
      <c r="AJG302" s="136"/>
      <c r="AJH302" s="136"/>
      <c r="AJI302" s="136"/>
      <c r="AJJ302" s="136"/>
      <c r="AJK302" s="136"/>
      <c r="AJL302" s="136"/>
      <c r="AJM302" s="136"/>
      <c r="AJN302" s="136"/>
      <c r="AJO302" s="136"/>
      <c r="AJP302" s="136"/>
      <c r="AJQ302" s="136"/>
      <c r="AJR302" s="136"/>
      <c r="AJS302" s="136"/>
      <c r="AJT302" s="136"/>
      <c r="AJU302" s="136"/>
      <c r="AJV302" s="136"/>
      <c r="AJW302" s="136"/>
      <c r="AJX302" s="136"/>
      <c r="AJY302" s="136"/>
      <c r="AJZ302" s="136"/>
      <c r="AKA302" s="136"/>
      <c r="AKB302" s="136"/>
      <c r="AKC302" s="136"/>
      <c r="AKD302" s="136"/>
      <c r="AKE302" s="136"/>
      <c r="AKF302" s="136"/>
      <c r="AKG302" s="136"/>
      <c r="AKH302" s="136"/>
      <c r="AKI302" s="136"/>
      <c r="AKJ302" s="136"/>
      <c r="AKK302" s="136"/>
      <c r="AKL302" s="136"/>
      <c r="AKM302" s="136"/>
      <c r="AKN302" s="136"/>
      <c r="AKO302" s="136"/>
      <c r="AKP302" s="136"/>
      <c r="AKQ302" s="136"/>
      <c r="AKR302" s="136"/>
      <c r="AKS302" s="136"/>
      <c r="AKT302" s="136"/>
      <c r="AKU302" s="136"/>
      <c r="AKV302" s="136"/>
      <c r="AKW302" s="136"/>
      <c r="AKX302" s="136"/>
      <c r="AKY302" s="136"/>
      <c r="AKZ302" s="136"/>
      <c r="ALA302" s="136"/>
      <c r="ALB302" s="136"/>
      <c r="ALC302" s="136"/>
      <c r="ALD302" s="136"/>
      <c r="ALE302" s="136"/>
      <c r="ALF302" s="136"/>
      <c r="ALG302" s="136"/>
      <c r="ALH302" s="136"/>
      <c r="ALI302" s="136"/>
      <c r="ALJ302" s="136"/>
      <c r="ALK302" s="136"/>
      <c r="ALL302" s="136"/>
      <c r="ALM302" s="136"/>
      <c r="ALN302" s="136"/>
      <c r="ALO302" s="136"/>
      <c r="ALP302" s="136"/>
      <c r="ALQ302" s="136"/>
      <c r="ALR302" s="136"/>
      <c r="ALS302" s="136"/>
      <c r="ALT302" s="136"/>
      <c r="ALU302" s="136"/>
      <c r="ALV302" s="136"/>
      <c r="ALW302" s="136"/>
      <c r="ALX302" s="136"/>
      <c r="ALY302" s="136"/>
      <c r="ALZ302" s="136"/>
      <c r="AMA302" s="136"/>
      <c r="AMB302" s="136"/>
      <c r="AMC302" s="136"/>
      <c r="AMD302" s="136"/>
      <c r="AME302" s="136"/>
      <c r="AMF302" s="136"/>
      <c r="AMG302" s="136"/>
      <c r="AMH302" s="136"/>
      <c r="AMI302" s="136"/>
      <c r="AMJ302" s="136"/>
      <c r="AMK302" s="136"/>
      <c r="AML302" s="136"/>
      <c r="AMM302" s="136"/>
      <c r="AMN302" s="136"/>
      <c r="AMO302" s="136"/>
      <c r="AMP302" s="136"/>
      <c r="AMQ302" s="136"/>
      <c r="AMR302" s="136"/>
      <c r="AMS302" s="136"/>
      <c r="AMT302" s="136"/>
      <c r="AMU302" s="136"/>
      <c r="AMV302" s="136"/>
      <c r="AMW302" s="136"/>
      <c r="AMX302" s="136"/>
      <c r="AMY302" s="136"/>
      <c r="AMZ302" s="136"/>
      <c r="ANA302" s="136"/>
      <c r="ANB302" s="136"/>
      <c r="ANC302" s="136"/>
      <c r="AND302" s="136"/>
      <c r="ANE302" s="136"/>
      <c r="ANF302" s="136"/>
      <c r="ANG302" s="136"/>
      <c r="ANH302" s="136"/>
      <c r="ANI302" s="136"/>
      <c r="ANJ302" s="136"/>
      <c r="ANK302" s="136"/>
      <c r="ANL302" s="136"/>
      <c r="ANM302" s="136"/>
      <c r="ANN302" s="136"/>
      <c r="ANO302" s="136"/>
      <c r="ANP302" s="136"/>
      <c r="ANQ302" s="136"/>
      <c r="ANR302" s="136"/>
      <c r="ANS302" s="136"/>
      <c r="ANT302" s="136"/>
      <c r="ANU302" s="136"/>
      <c r="ANV302" s="136"/>
      <c r="ANW302" s="136"/>
      <c r="ANX302" s="136"/>
      <c r="ANY302" s="136"/>
      <c r="ANZ302" s="136"/>
      <c r="AOA302" s="136"/>
      <c r="AOB302" s="136"/>
      <c r="AOC302" s="136"/>
      <c r="AOD302" s="136"/>
      <c r="AOE302" s="136"/>
      <c r="AOF302" s="136"/>
      <c r="AOG302" s="136"/>
      <c r="AOH302" s="136"/>
      <c r="AOI302" s="136"/>
      <c r="AOJ302" s="136"/>
      <c r="AOK302" s="136"/>
      <c r="AOL302" s="136"/>
      <c r="AOM302" s="136"/>
      <c r="AON302" s="136"/>
      <c r="AOO302" s="136"/>
      <c r="AOP302" s="136"/>
      <c r="AOQ302" s="136"/>
      <c r="AOR302" s="136"/>
      <c r="AOS302" s="136"/>
      <c r="AOT302" s="136"/>
      <c r="AOU302" s="136"/>
      <c r="AOV302" s="136"/>
      <c r="AOW302" s="136"/>
      <c r="AOX302" s="136"/>
      <c r="AOY302" s="136"/>
      <c r="AOZ302" s="136"/>
      <c r="APA302" s="136"/>
      <c r="APB302" s="136"/>
      <c r="APC302" s="136"/>
      <c r="APD302" s="136"/>
      <c r="APE302" s="136"/>
      <c r="APF302" s="136"/>
      <c r="APG302" s="136"/>
      <c r="APH302" s="136"/>
      <c r="API302" s="136"/>
      <c r="APJ302" s="136"/>
      <c r="APK302" s="136"/>
      <c r="APL302" s="136"/>
      <c r="APM302" s="136"/>
      <c r="APN302" s="136"/>
      <c r="APO302" s="136"/>
      <c r="APP302" s="136"/>
      <c r="APQ302" s="136"/>
      <c r="APR302" s="136"/>
      <c r="APS302" s="136"/>
      <c r="APT302" s="136"/>
      <c r="APU302" s="136"/>
      <c r="APV302" s="136"/>
      <c r="APW302" s="136"/>
      <c r="APX302" s="136"/>
      <c r="APY302" s="136"/>
      <c r="APZ302" s="136"/>
      <c r="AQA302" s="136"/>
      <c r="AQB302" s="136"/>
      <c r="AQC302" s="136"/>
      <c r="AQD302" s="136"/>
      <c r="AQE302" s="136"/>
      <c r="AQF302" s="136"/>
      <c r="AQG302" s="136"/>
      <c r="AQH302" s="136"/>
      <c r="AQI302" s="136"/>
      <c r="AQJ302" s="136"/>
      <c r="AQK302" s="136"/>
      <c r="AQL302" s="136"/>
      <c r="AQM302" s="136"/>
      <c r="AQN302" s="136"/>
      <c r="AQO302" s="136"/>
      <c r="AQP302" s="136"/>
      <c r="AQQ302" s="136"/>
      <c r="AQR302" s="136"/>
      <c r="AQS302" s="136"/>
      <c r="AQT302" s="136"/>
      <c r="AQU302" s="136"/>
      <c r="AQV302" s="136"/>
      <c r="AQW302" s="136"/>
      <c r="AQX302" s="136"/>
      <c r="AQY302" s="136"/>
      <c r="AQZ302" s="136"/>
      <c r="ARA302" s="136"/>
      <c r="ARB302" s="136"/>
      <c r="ARC302" s="136"/>
      <c r="ARD302" s="136"/>
      <c r="ARE302" s="136"/>
      <c r="ARF302" s="136"/>
      <c r="ARG302" s="136"/>
      <c r="ARH302" s="136"/>
      <c r="ARI302" s="136"/>
      <c r="ARJ302" s="136"/>
      <c r="ARK302" s="136"/>
      <c r="ARL302" s="136"/>
      <c r="ARM302" s="136"/>
      <c r="ARN302" s="136"/>
      <c r="ARO302" s="136"/>
      <c r="ARP302" s="136"/>
      <c r="ARQ302" s="136"/>
      <c r="ARR302" s="136"/>
      <c r="ARS302" s="136"/>
      <c r="ART302" s="136"/>
      <c r="ARU302" s="136"/>
      <c r="ARV302" s="136"/>
      <c r="ARW302" s="136"/>
      <c r="ARX302" s="136"/>
      <c r="ARY302" s="136"/>
      <c r="ARZ302" s="136"/>
      <c r="ASA302" s="136"/>
      <c r="ASB302" s="136"/>
      <c r="ASC302" s="136"/>
      <c r="ASD302" s="136"/>
      <c r="ASE302" s="136"/>
      <c r="ASF302" s="136"/>
      <c r="ASG302" s="136"/>
      <c r="ASH302" s="136"/>
      <c r="ASI302" s="136"/>
      <c r="ASJ302" s="136"/>
      <c r="ASK302" s="136"/>
      <c r="ASL302" s="136"/>
      <c r="ASM302" s="136"/>
      <c r="ASN302" s="136"/>
      <c r="ASO302" s="136"/>
      <c r="ASP302" s="136"/>
      <c r="ASQ302" s="136"/>
      <c r="ASR302" s="136"/>
      <c r="ASS302" s="136"/>
      <c r="AST302" s="136"/>
      <c r="ASU302" s="136"/>
      <c r="ASV302" s="136"/>
      <c r="ASW302" s="136"/>
      <c r="ASX302" s="136"/>
      <c r="ASY302" s="136"/>
      <c r="ASZ302" s="136"/>
      <c r="ATA302" s="136"/>
      <c r="ATB302" s="136"/>
      <c r="ATC302" s="136"/>
      <c r="ATD302" s="136"/>
      <c r="ATE302" s="136"/>
      <c r="ATF302" s="136"/>
      <c r="ATG302" s="136"/>
      <c r="ATH302" s="136"/>
      <c r="ATI302" s="136"/>
      <c r="ATJ302" s="136"/>
      <c r="ATK302" s="136"/>
      <c r="ATL302" s="136"/>
      <c r="ATM302" s="136"/>
      <c r="ATN302" s="136"/>
      <c r="ATO302" s="136"/>
      <c r="ATP302" s="136"/>
      <c r="ATQ302" s="136"/>
      <c r="ATR302" s="136"/>
      <c r="ATS302" s="136"/>
      <c r="ATT302" s="136"/>
      <c r="ATU302" s="136"/>
      <c r="ATV302" s="136"/>
      <c r="ATW302" s="136"/>
      <c r="ATX302" s="136"/>
      <c r="ATY302" s="136"/>
      <c r="ATZ302" s="136"/>
      <c r="AUA302" s="136"/>
      <c r="AUB302" s="136"/>
      <c r="AUC302" s="136"/>
      <c r="AUD302" s="136"/>
      <c r="AUE302" s="136"/>
      <c r="AUF302" s="136"/>
      <c r="AUG302" s="136"/>
      <c r="AUH302" s="136"/>
      <c r="AUI302" s="136"/>
      <c r="AUJ302" s="136"/>
      <c r="AUK302" s="136"/>
      <c r="AUL302" s="136"/>
      <c r="AUM302" s="136"/>
      <c r="AUN302" s="136"/>
      <c r="AUO302" s="136"/>
      <c r="AUP302" s="136"/>
      <c r="AUQ302" s="136"/>
      <c r="AUR302" s="136"/>
      <c r="AUS302" s="136"/>
      <c r="AUT302" s="136"/>
      <c r="AUU302" s="136"/>
      <c r="AUV302" s="136"/>
      <c r="AUW302" s="136"/>
      <c r="AUX302" s="136"/>
      <c r="AUY302" s="136"/>
      <c r="AUZ302" s="136"/>
      <c r="AVA302" s="136"/>
      <c r="AVB302" s="136"/>
      <c r="AVC302" s="136"/>
      <c r="AVD302" s="136"/>
      <c r="AVE302" s="136"/>
      <c r="AVF302" s="136"/>
      <c r="AVG302" s="136"/>
      <c r="AVH302" s="136"/>
      <c r="AVI302" s="136"/>
      <c r="AVJ302" s="136"/>
      <c r="AVK302" s="136"/>
      <c r="AVL302" s="136"/>
      <c r="AVM302" s="136"/>
      <c r="AVN302" s="136"/>
      <c r="AVO302" s="136"/>
      <c r="AVP302" s="136"/>
      <c r="AVQ302" s="136"/>
      <c r="AVR302" s="136"/>
      <c r="AVS302" s="136"/>
      <c r="AVT302" s="136"/>
      <c r="AVU302" s="136"/>
      <c r="AVV302" s="136"/>
      <c r="AVW302" s="136"/>
      <c r="AVX302" s="136"/>
      <c r="AVY302" s="136"/>
      <c r="AVZ302" s="136"/>
      <c r="AWA302" s="136"/>
      <c r="AWB302" s="136"/>
      <c r="AWC302" s="136"/>
      <c r="AWD302" s="136"/>
      <c r="AWE302" s="136"/>
      <c r="AWF302" s="136"/>
      <c r="AWG302" s="136"/>
      <c r="AWH302" s="136"/>
      <c r="AWI302" s="136"/>
      <c r="AWJ302" s="136"/>
      <c r="AWK302" s="136"/>
      <c r="AWL302" s="136"/>
      <c r="AWM302" s="136"/>
      <c r="AWN302" s="136"/>
      <c r="AWO302" s="136"/>
      <c r="AWP302" s="136"/>
      <c r="AWQ302" s="136"/>
      <c r="AWR302" s="136"/>
      <c r="AWS302" s="136"/>
      <c r="AWT302" s="136"/>
      <c r="AWU302" s="136"/>
      <c r="AWV302" s="136"/>
      <c r="AWW302" s="136"/>
      <c r="AWX302" s="136"/>
      <c r="AWY302" s="136"/>
      <c r="AWZ302" s="136"/>
      <c r="AXA302" s="136"/>
      <c r="AXB302" s="136"/>
      <c r="AXC302" s="136"/>
      <c r="AXD302" s="136"/>
      <c r="AXE302" s="136"/>
      <c r="AXF302" s="136"/>
      <c r="AXG302" s="136"/>
      <c r="AXH302" s="136"/>
      <c r="AXI302" s="136"/>
      <c r="AXJ302" s="136"/>
      <c r="AXK302" s="136"/>
      <c r="AXL302" s="136"/>
      <c r="AXM302" s="136"/>
      <c r="AXN302" s="136"/>
      <c r="AXO302" s="136"/>
      <c r="AXP302" s="136"/>
      <c r="AXQ302" s="136"/>
      <c r="AXR302" s="136"/>
      <c r="AXS302" s="136"/>
      <c r="AXT302" s="136"/>
      <c r="AXU302" s="136"/>
      <c r="AXV302" s="136"/>
      <c r="AXW302" s="136"/>
      <c r="AXX302" s="136"/>
      <c r="AXY302" s="136"/>
      <c r="AXZ302" s="136"/>
      <c r="AYA302" s="136"/>
      <c r="AYB302" s="136"/>
      <c r="AYC302" s="136"/>
      <c r="AYD302" s="136"/>
      <c r="AYE302" s="136"/>
      <c r="AYF302" s="136"/>
      <c r="AYG302" s="136"/>
      <c r="AYH302" s="136"/>
      <c r="AYI302" s="136"/>
      <c r="AYJ302" s="136"/>
      <c r="AYK302" s="136"/>
      <c r="AYL302" s="136"/>
      <c r="AYM302" s="136"/>
      <c r="AYN302" s="136"/>
      <c r="AYO302" s="136"/>
      <c r="AYP302" s="136"/>
      <c r="AYQ302" s="136"/>
      <c r="AYR302" s="136"/>
      <c r="AYS302" s="136"/>
      <c r="AYT302" s="136"/>
      <c r="AYU302" s="136"/>
      <c r="AYV302" s="136"/>
      <c r="AYW302" s="136"/>
      <c r="AYX302" s="136"/>
      <c r="AYY302" s="136"/>
      <c r="AYZ302" s="136"/>
      <c r="AZA302" s="136"/>
      <c r="AZB302" s="136"/>
      <c r="AZC302" s="136"/>
      <c r="AZD302" s="136"/>
      <c r="AZE302" s="136"/>
      <c r="AZF302" s="136"/>
      <c r="AZG302" s="136"/>
      <c r="AZH302" s="136"/>
      <c r="AZI302" s="136"/>
      <c r="AZJ302" s="136"/>
      <c r="AZK302" s="136"/>
      <c r="AZL302" s="136"/>
      <c r="AZM302" s="136"/>
      <c r="AZN302" s="136"/>
      <c r="AZO302" s="136"/>
      <c r="AZP302" s="136"/>
      <c r="AZQ302" s="136"/>
      <c r="AZR302" s="136"/>
      <c r="AZS302" s="136"/>
      <c r="AZT302" s="136"/>
      <c r="AZU302" s="136"/>
      <c r="AZV302" s="136"/>
      <c r="AZW302" s="136"/>
      <c r="AZX302" s="136"/>
      <c r="AZY302" s="136"/>
      <c r="AZZ302" s="136"/>
      <c r="BAA302" s="136"/>
      <c r="BAB302" s="136"/>
      <c r="BAC302" s="136"/>
      <c r="BAD302" s="136"/>
      <c r="BAE302" s="136"/>
      <c r="BAF302" s="136"/>
      <c r="BAG302" s="136"/>
      <c r="BAH302" s="136"/>
      <c r="BAI302" s="136"/>
      <c r="BAJ302" s="136"/>
      <c r="BAK302" s="136"/>
      <c r="BAL302" s="136"/>
      <c r="BAM302" s="136"/>
      <c r="BAN302" s="136"/>
      <c r="BAO302" s="136"/>
      <c r="BAP302" s="136"/>
      <c r="BAQ302" s="136"/>
      <c r="BAR302" s="136"/>
      <c r="BAS302" s="136"/>
      <c r="BAT302" s="136"/>
      <c r="BAU302" s="136"/>
      <c r="BAV302" s="136"/>
      <c r="BAW302" s="136"/>
      <c r="BAX302" s="136"/>
      <c r="BAY302" s="136"/>
      <c r="BAZ302" s="136"/>
      <c r="BBA302" s="136"/>
      <c r="BBB302" s="136"/>
      <c r="BBC302" s="136"/>
      <c r="BBD302" s="136"/>
      <c r="BBE302" s="136"/>
      <c r="BBF302" s="136"/>
      <c r="BBG302" s="136"/>
      <c r="BBH302" s="136"/>
      <c r="BBI302" s="136"/>
      <c r="BBJ302" s="136"/>
      <c r="BBK302" s="136"/>
      <c r="BBL302" s="136"/>
      <c r="BBM302" s="136"/>
      <c r="BBN302" s="136"/>
      <c r="BBO302" s="136"/>
      <c r="BBP302" s="136"/>
      <c r="BBQ302" s="136"/>
      <c r="BBR302" s="136"/>
      <c r="BBS302" s="136"/>
      <c r="BBT302" s="136"/>
      <c r="BBU302" s="136"/>
      <c r="BBV302" s="136"/>
      <c r="BBW302" s="136"/>
      <c r="BBX302" s="136"/>
      <c r="BBY302" s="136"/>
      <c r="BBZ302" s="136"/>
      <c r="BCA302" s="136"/>
      <c r="BCB302" s="136"/>
      <c r="BCC302" s="136"/>
      <c r="BCD302" s="136"/>
      <c r="BCE302" s="136"/>
      <c r="BCF302" s="136"/>
      <c r="BCG302" s="136"/>
      <c r="BCH302" s="136"/>
      <c r="BCI302" s="136"/>
      <c r="BCJ302" s="136"/>
      <c r="BCK302" s="136"/>
      <c r="BCL302" s="136"/>
      <c r="BCM302" s="136"/>
      <c r="BCN302" s="136"/>
      <c r="BCO302" s="136"/>
      <c r="BCP302" s="136"/>
      <c r="BCQ302" s="136"/>
      <c r="BCR302" s="136"/>
      <c r="BCS302" s="136"/>
      <c r="BCT302" s="136"/>
      <c r="BCU302" s="136"/>
      <c r="BCV302" s="136"/>
      <c r="BCW302" s="136"/>
      <c r="BCX302" s="136"/>
      <c r="BCY302" s="136"/>
      <c r="BCZ302" s="136"/>
      <c r="BDA302" s="136"/>
      <c r="BDB302" s="136"/>
      <c r="BDC302" s="136"/>
      <c r="BDD302" s="136"/>
      <c r="BDE302" s="136"/>
      <c r="BDF302" s="136"/>
      <c r="BDG302" s="136"/>
      <c r="BDH302" s="136"/>
      <c r="BDI302" s="136"/>
      <c r="BDJ302" s="136"/>
      <c r="BDK302" s="136"/>
      <c r="BDL302" s="136"/>
      <c r="BDM302" s="136"/>
      <c r="BDN302" s="136"/>
      <c r="BDO302" s="136"/>
      <c r="BDP302" s="136"/>
      <c r="BDQ302" s="136"/>
      <c r="BDR302" s="136"/>
      <c r="BDS302" s="136"/>
      <c r="BDT302" s="136"/>
      <c r="BDU302" s="136"/>
      <c r="BDV302" s="136"/>
      <c r="BDW302" s="136"/>
      <c r="BDX302" s="136"/>
      <c r="BDY302" s="136"/>
      <c r="BDZ302" s="136"/>
      <c r="BEA302" s="136"/>
      <c r="BEB302" s="136"/>
      <c r="BEC302" s="136"/>
      <c r="BED302" s="136"/>
      <c r="BEE302" s="136"/>
      <c r="BEF302" s="136"/>
      <c r="BEG302" s="136"/>
      <c r="BEH302" s="136"/>
      <c r="BEI302" s="136"/>
      <c r="BEJ302" s="136"/>
      <c r="BEK302" s="136"/>
      <c r="BEL302" s="136"/>
      <c r="BEM302" s="136"/>
      <c r="BEN302" s="136"/>
      <c r="BEO302" s="136"/>
      <c r="BEP302" s="136"/>
      <c r="BEQ302" s="136"/>
      <c r="BER302" s="136"/>
      <c r="BES302" s="136"/>
      <c r="BET302" s="136"/>
      <c r="BEU302" s="136"/>
      <c r="BEV302" s="136"/>
      <c r="BEW302" s="136"/>
      <c r="BEX302" s="136"/>
      <c r="BEY302" s="136"/>
      <c r="BEZ302" s="136"/>
      <c r="BFA302" s="136"/>
      <c r="BFB302" s="136"/>
      <c r="BFC302" s="136"/>
      <c r="BFD302" s="136"/>
      <c r="BFE302" s="136"/>
      <c r="BFF302" s="136"/>
      <c r="BFG302" s="136"/>
      <c r="BFH302" s="136"/>
      <c r="BFI302" s="136"/>
      <c r="BFJ302" s="136"/>
      <c r="BFK302" s="136"/>
      <c r="BFL302" s="136"/>
      <c r="BFM302" s="136"/>
      <c r="BFN302" s="136"/>
      <c r="BFO302" s="136"/>
      <c r="BFP302" s="136"/>
      <c r="BFQ302" s="136"/>
      <c r="BFR302" s="136"/>
      <c r="BFS302" s="136"/>
      <c r="BFT302" s="136"/>
      <c r="BFU302" s="136"/>
      <c r="BFV302" s="136"/>
      <c r="BFW302" s="136"/>
      <c r="BFX302" s="136"/>
      <c r="BFY302" s="136"/>
      <c r="BFZ302" s="136"/>
      <c r="BGA302" s="136"/>
      <c r="BGB302" s="136"/>
      <c r="BGC302" s="136"/>
      <c r="BGD302" s="136"/>
      <c r="BGE302" s="136"/>
      <c r="BGF302" s="136"/>
      <c r="BGG302" s="136"/>
      <c r="BGH302" s="136"/>
      <c r="BGI302" s="136"/>
      <c r="BGJ302" s="136"/>
      <c r="BGK302" s="136"/>
      <c r="BGL302" s="136"/>
      <c r="BGM302" s="136"/>
      <c r="BGN302" s="136"/>
      <c r="BGO302" s="136"/>
      <c r="BGP302" s="136"/>
      <c r="BGQ302" s="136"/>
      <c r="BGR302" s="136"/>
      <c r="BGS302" s="136"/>
      <c r="BGT302" s="136"/>
      <c r="BGU302" s="136"/>
      <c r="BGV302" s="136"/>
      <c r="BGW302" s="136"/>
      <c r="BGX302" s="136"/>
      <c r="BGY302" s="136"/>
      <c r="BGZ302" s="136"/>
      <c r="BHA302" s="136"/>
      <c r="BHB302" s="136"/>
      <c r="BHC302" s="136"/>
      <c r="BHD302" s="136"/>
      <c r="BHE302" s="136"/>
      <c r="BHF302" s="136"/>
      <c r="BHG302" s="136"/>
      <c r="BHH302" s="136"/>
      <c r="BHI302" s="136"/>
      <c r="BHJ302" s="136"/>
      <c r="BHK302" s="136"/>
      <c r="BHL302" s="136"/>
      <c r="BHM302" s="136"/>
      <c r="BHN302" s="136"/>
      <c r="BHO302" s="136"/>
      <c r="BHP302" s="136"/>
      <c r="BHQ302" s="136"/>
      <c r="BHR302" s="136"/>
      <c r="BHS302" s="136"/>
      <c r="BHT302" s="136"/>
      <c r="BHU302" s="136"/>
      <c r="BHV302" s="136"/>
      <c r="BHW302" s="136"/>
      <c r="BHX302" s="136"/>
      <c r="BHY302" s="136"/>
      <c r="BHZ302" s="136"/>
      <c r="BIA302" s="136"/>
      <c r="BIB302" s="136"/>
      <c r="BIC302" s="136"/>
      <c r="BID302" s="136"/>
      <c r="BIE302" s="136"/>
      <c r="BIF302" s="136"/>
      <c r="BIG302" s="136"/>
      <c r="BIH302" s="136"/>
      <c r="BII302" s="136"/>
      <c r="BIJ302" s="136"/>
      <c r="BIK302" s="136"/>
      <c r="BIL302" s="136"/>
      <c r="BIM302" s="136"/>
      <c r="BIN302" s="136"/>
      <c r="BIO302" s="136"/>
      <c r="BIP302" s="136"/>
      <c r="BIQ302" s="136"/>
      <c r="BIR302" s="136"/>
      <c r="BIS302" s="136"/>
      <c r="BIT302" s="136"/>
      <c r="BIU302" s="136"/>
      <c r="BIV302" s="136"/>
      <c r="BIW302" s="136"/>
      <c r="BIX302" s="136"/>
      <c r="BIY302" s="136"/>
      <c r="BIZ302" s="136"/>
      <c r="BJA302" s="136"/>
      <c r="BJB302" s="136"/>
      <c r="BJC302" s="136"/>
      <c r="BJD302" s="136"/>
      <c r="BJE302" s="136"/>
      <c r="BJF302" s="136"/>
      <c r="BJG302" s="136"/>
      <c r="BJH302" s="136"/>
      <c r="BJI302" s="136"/>
      <c r="BJJ302" s="136"/>
      <c r="BJK302" s="136"/>
      <c r="BJL302" s="136"/>
      <c r="BJM302" s="136"/>
      <c r="BJN302" s="136"/>
      <c r="BJO302" s="136"/>
      <c r="BJP302" s="136"/>
      <c r="BJQ302" s="136"/>
      <c r="BJR302" s="136"/>
      <c r="BJS302" s="136"/>
      <c r="BJT302" s="136"/>
      <c r="BJU302" s="136"/>
      <c r="BJV302" s="136"/>
      <c r="BJW302" s="136"/>
      <c r="BJX302" s="136"/>
      <c r="BJY302" s="136"/>
      <c r="BJZ302" s="136"/>
      <c r="BKA302" s="136"/>
      <c r="BKB302" s="136"/>
      <c r="BKC302" s="136"/>
      <c r="BKD302" s="136"/>
      <c r="BKE302" s="136"/>
      <c r="BKF302" s="136"/>
      <c r="BKG302" s="136"/>
      <c r="BKH302" s="136"/>
      <c r="BKI302" s="136"/>
      <c r="BKJ302" s="136"/>
      <c r="BKK302" s="136"/>
      <c r="BKL302" s="136"/>
      <c r="BKM302" s="136"/>
      <c r="BKN302" s="136"/>
      <c r="BKO302" s="136"/>
      <c r="BKP302" s="136"/>
      <c r="BKQ302" s="136"/>
      <c r="BKR302" s="136"/>
      <c r="BKS302" s="136"/>
      <c r="BKT302" s="136"/>
      <c r="BKU302" s="136"/>
      <c r="BKV302" s="136"/>
      <c r="BKW302" s="136"/>
      <c r="BKX302" s="136"/>
      <c r="BKY302" s="136"/>
      <c r="BKZ302" s="136"/>
      <c r="BLA302" s="136"/>
      <c r="BLB302" s="136"/>
      <c r="BLC302" s="136"/>
      <c r="BLD302" s="136"/>
      <c r="BLE302" s="136"/>
      <c r="BLF302" s="136"/>
      <c r="BLG302" s="136"/>
      <c r="BLH302" s="136"/>
      <c r="BLI302" s="136"/>
      <c r="BLJ302" s="136"/>
      <c r="BLK302" s="136"/>
      <c r="BLL302" s="136"/>
      <c r="BLM302" s="136"/>
      <c r="BLN302" s="136"/>
      <c r="BLO302" s="136"/>
      <c r="BLP302" s="136"/>
      <c r="BLQ302" s="136"/>
      <c r="BLR302" s="136"/>
      <c r="BLS302" s="136"/>
      <c r="BLT302" s="136"/>
      <c r="BLU302" s="136"/>
      <c r="BLV302" s="136"/>
      <c r="BLW302" s="136"/>
      <c r="BLX302" s="136"/>
      <c r="BLY302" s="136"/>
      <c r="BLZ302" s="136"/>
      <c r="BMA302" s="136"/>
      <c r="BMB302" s="136"/>
      <c r="BMC302" s="136"/>
      <c r="BMD302" s="136"/>
      <c r="BME302" s="136"/>
      <c r="BMF302" s="136"/>
      <c r="BMG302" s="136"/>
      <c r="BMH302" s="136"/>
      <c r="BMI302" s="136"/>
      <c r="BMJ302" s="136"/>
      <c r="BMK302" s="136"/>
      <c r="BML302" s="136"/>
      <c r="BMM302" s="136"/>
      <c r="BMN302" s="136"/>
      <c r="BMO302" s="136"/>
      <c r="BMP302" s="136"/>
      <c r="BMQ302" s="136"/>
      <c r="BMR302" s="136"/>
      <c r="BMS302" s="136"/>
      <c r="BMT302" s="136"/>
      <c r="BMU302" s="136"/>
      <c r="BMV302" s="136"/>
      <c r="BMW302" s="136"/>
      <c r="BMX302" s="136"/>
      <c r="BMY302" s="136"/>
      <c r="BMZ302" s="136"/>
      <c r="BNA302" s="136"/>
      <c r="BNB302" s="136"/>
      <c r="BNC302" s="136"/>
      <c r="BND302" s="136"/>
      <c r="BNE302" s="136"/>
      <c r="BNF302" s="136"/>
      <c r="BNG302" s="136"/>
      <c r="BNH302" s="136"/>
      <c r="BNI302" s="136"/>
      <c r="BNJ302" s="136"/>
      <c r="BNK302" s="136"/>
      <c r="BNL302" s="136"/>
      <c r="BNM302" s="136"/>
      <c r="BNN302" s="136"/>
      <c r="BNO302" s="136"/>
      <c r="BNP302" s="136"/>
      <c r="BNQ302" s="136"/>
      <c r="BNR302" s="136"/>
      <c r="BNS302" s="136"/>
      <c r="BNT302" s="136"/>
      <c r="BNU302" s="136"/>
      <c r="BNV302" s="136"/>
      <c r="BNW302" s="136"/>
      <c r="BNX302" s="136"/>
      <c r="BNY302" s="136"/>
      <c r="BNZ302" s="136"/>
      <c r="BOA302" s="136"/>
      <c r="BOB302" s="136"/>
      <c r="BOC302" s="136"/>
      <c r="BOD302" s="136"/>
      <c r="BOE302" s="136"/>
      <c r="BOF302" s="136"/>
      <c r="BOG302" s="136"/>
      <c r="BOH302" s="136"/>
      <c r="BOI302" s="136"/>
      <c r="BOJ302" s="136"/>
      <c r="BOK302" s="136"/>
      <c r="BOL302" s="136"/>
      <c r="BOM302" s="136"/>
      <c r="BON302" s="136"/>
      <c r="BOO302" s="136"/>
      <c r="BOP302" s="136"/>
      <c r="BOQ302" s="136"/>
      <c r="BOR302" s="136"/>
      <c r="BOS302" s="136"/>
      <c r="BOT302" s="136"/>
      <c r="BOU302" s="136"/>
      <c r="BOV302" s="136"/>
      <c r="BOW302" s="136"/>
      <c r="BOX302" s="136"/>
      <c r="BOY302" s="136"/>
      <c r="BOZ302" s="136"/>
      <c r="BPA302" s="136"/>
      <c r="BPB302" s="136"/>
      <c r="BPC302" s="136"/>
      <c r="BPD302" s="136"/>
      <c r="BPE302" s="136"/>
      <c r="BPF302" s="136"/>
      <c r="BPG302" s="136"/>
      <c r="BPH302" s="136"/>
      <c r="BPI302" s="136"/>
      <c r="BPJ302" s="136"/>
      <c r="BPK302" s="136"/>
      <c r="BPL302" s="136"/>
      <c r="BPM302" s="136"/>
      <c r="BPN302" s="136"/>
      <c r="BPO302" s="136"/>
      <c r="BPP302" s="136"/>
      <c r="BPQ302" s="136"/>
      <c r="BPR302" s="136"/>
      <c r="BPS302" s="136"/>
      <c r="BPT302" s="136"/>
      <c r="BPU302" s="136"/>
      <c r="BPV302" s="136"/>
      <c r="BPW302" s="136"/>
      <c r="BPX302" s="136"/>
      <c r="BPY302" s="136"/>
      <c r="BPZ302" s="136"/>
      <c r="BQA302" s="136"/>
      <c r="BQB302" s="136"/>
      <c r="BQC302" s="136"/>
      <c r="BQD302" s="136"/>
      <c r="BQE302" s="136"/>
      <c r="BQF302" s="136"/>
      <c r="BQG302" s="136"/>
      <c r="BQH302" s="136"/>
      <c r="BQI302" s="136"/>
      <c r="BQJ302" s="136"/>
      <c r="BQK302" s="136"/>
      <c r="BQL302" s="136"/>
      <c r="BQM302" s="136"/>
      <c r="BQN302" s="136"/>
      <c r="BQO302" s="136"/>
      <c r="BQP302" s="136"/>
      <c r="BQQ302" s="136"/>
      <c r="BQR302" s="136"/>
      <c r="BQS302" s="136"/>
      <c r="BQT302" s="136"/>
      <c r="BQU302" s="136"/>
      <c r="BQV302" s="136"/>
      <c r="BQW302" s="136"/>
      <c r="BQX302" s="136"/>
      <c r="BQY302" s="136"/>
      <c r="BQZ302" s="136"/>
      <c r="BRA302" s="136"/>
      <c r="BRB302" s="136"/>
      <c r="BRC302" s="136"/>
      <c r="BRD302" s="136"/>
      <c r="BRE302" s="136"/>
      <c r="BRF302" s="136"/>
      <c r="BRG302" s="136"/>
      <c r="BRH302" s="136"/>
      <c r="BRI302" s="136"/>
      <c r="BRJ302" s="136"/>
      <c r="BRK302" s="136"/>
      <c r="BRL302" s="136"/>
      <c r="BRM302" s="136"/>
      <c r="BRN302" s="136"/>
      <c r="BRO302" s="136"/>
      <c r="BRP302" s="136"/>
      <c r="BRQ302" s="136"/>
      <c r="BRR302" s="136"/>
      <c r="BRS302" s="136"/>
      <c r="BRT302" s="136"/>
      <c r="BRU302" s="136"/>
      <c r="BRV302" s="136"/>
      <c r="BRW302" s="136"/>
      <c r="BRX302" s="136"/>
      <c r="BRY302" s="136"/>
      <c r="BRZ302" s="136"/>
      <c r="BSA302" s="136"/>
      <c r="BSB302" s="136"/>
      <c r="BSC302" s="136"/>
      <c r="BSD302" s="136"/>
      <c r="BSE302" s="136"/>
      <c r="BSF302" s="136"/>
      <c r="BSG302" s="136"/>
      <c r="BSH302" s="136"/>
      <c r="BSI302" s="136"/>
      <c r="BSJ302" s="136"/>
      <c r="BSK302" s="136"/>
      <c r="BSL302" s="136"/>
      <c r="BSM302" s="136"/>
      <c r="BSN302" s="136"/>
      <c r="BSO302" s="136"/>
      <c r="BSP302" s="136"/>
      <c r="BSQ302" s="136"/>
      <c r="BSR302" s="136"/>
      <c r="BSS302" s="136"/>
      <c r="BST302" s="136"/>
      <c r="BSU302" s="136"/>
      <c r="BSV302" s="136"/>
      <c r="BSW302" s="136"/>
      <c r="BSX302" s="136"/>
      <c r="BSY302" s="136"/>
      <c r="BSZ302" s="136"/>
      <c r="BTA302" s="136"/>
      <c r="BTB302" s="136"/>
      <c r="BTC302" s="136"/>
      <c r="BTD302" s="136"/>
      <c r="BTE302" s="136"/>
      <c r="BTF302" s="136"/>
      <c r="BTG302" s="136"/>
      <c r="BTH302" s="136"/>
      <c r="BTI302" s="136"/>
      <c r="BTJ302" s="136"/>
      <c r="BTK302" s="136"/>
      <c r="BTL302" s="136"/>
      <c r="BTM302" s="136"/>
      <c r="BTN302" s="136"/>
      <c r="BTO302" s="136"/>
      <c r="BTP302" s="136"/>
      <c r="BTQ302" s="136"/>
      <c r="BTR302" s="136"/>
      <c r="BTS302" s="136"/>
      <c r="BTT302" s="136"/>
      <c r="BTU302" s="136"/>
      <c r="BTV302" s="136"/>
      <c r="BTW302" s="136"/>
      <c r="BTX302" s="136"/>
      <c r="BTY302" s="136"/>
      <c r="BTZ302" s="136"/>
      <c r="BUA302" s="136"/>
      <c r="BUB302" s="136"/>
      <c r="BUC302" s="136"/>
      <c r="BUD302" s="136"/>
      <c r="BUE302" s="136"/>
      <c r="BUF302" s="136"/>
      <c r="BUG302" s="136"/>
      <c r="BUH302" s="136"/>
      <c r="BUI302" s="136"/>
      <c r="BUJ302" s="136"/>
      <c r="BUK302" s="136"/>
      <c r="BUL302" s="136"/>
      <c r="BUM302" s="136"/>
      <c r="BUN302" s="136"/>
      <c r="BUO302" s="136"/>
      <c r="BUP302" s="136"/>
      <c r="BUQ302" s="136"/>
      <c r="BUR302" s="136"/>
      <c r="BUS302" s="136"/>
      <c r="BUT302" s="136"/>
      <c r="BUU302" s="136"/>
      <c r="BUV302" s="136"/>
      <c r="BUW302" s="136"/>
      <c r="BUX302" s="136"/>
      <c r="BUY302" s="136"/>
      <c r="BUZ302" s="136"/>
      <c r="BVA302" s="136"/>
      <c r="BVB302" s="136"/>
      <c r="BVC302" s="136"/>
      <c r="BVD302" s="136"/>
      <c r="BVE302" s="136"/>
      <c r="BVF302" s="136"/>
      <c r="BVG302" s="136"/>
      <c r="BVH302" s="136"/>
      <c r="BVI302" s="136"/>
      <c r="BVJ302" s="136"/>
      <c r="BVK302" s="136"/>
      <c r="BVL302" s="136"/>
      <c r="BVM302" s="136"/>
      <c r="BVN302" s="136"/>
      <c r="BVO302" s="136"/>
      <c r="BVP302" s="136"/>
      <c r="BVQ302" s="136"/>
      <c r="BVR302" s="136"/>
      <c r="BVS302" s="136"/>
      <c r="BVT302" s="136"/>
      <c r="BVU302" s="136"/>
      <c r="BVV302" s="136"/>
      <c r="BVW302" s="136"/>
      <c r="BVX302" s="136"/>
      <c r="BVY302" s="136"/>
      <c r="BVZ302" s="136"/>
      <c r="BWA302" s="136"/>
      <c r="BWB302" s="136"/>
      <c r="BWC302" s="136"/>
      <c r="BWD302" s="136"/>
      <c r="BWE302" s="136"/>
      <c r="BWF302" s="136"/>
      <c r="BWG302" s="136"/>
      <c r="BWH302" s="136"/>
      <c r="BWI302" s="136"/>
      <c r="BWJ302" s="136"/>
      <c r="BWK302" s="136"/>
      <c r="BWL302" s="136"/>
      <c r="BWM302" s="136"/>
      <c r="BWN302" s="136"/>
      <c r="BWO302" s="136"/>
      <c r="BWP302" s="136"/>
      <c r="BWQ302" s="136"/>
      <c r="BWR302" s="136"/>
      <c r="BWS302" s="136"/>
      <c r="BWT302" s="136"/>
      <c r="BWU302" s="136"/>
      <c r="BWV302" s="136"/>
      <c r="BWW302" s="136"/>
      <c r="BWX302" s="136"/>
      <c r="BWY302" s="136"/>
      <c r="BWZ302" s="136"/>
      <c r="BXA302" s="136"/>
      <c r="BXB302" s="136"/>
      <c r="BXC302" s="136"/>
      <c r="BXD302" s="136"/>
      <c r="BXE302" s="136"/>
      <c r="BXF302" s="136"/>
      <c r="BXG302" s="136"/>
      <c r="BXH302" s="136"/>
      <c r="BXI302" s="136"/>
      <c r="BXJ302" s="136"/>
      <c r="BXK302" s="136"/>
      <c r="BXL302" s="136"/>
      <c r="BXM302" s="136"/>
      <c r="BXN302" s="136"/>
      <c r="BXO302" s="136"/>
      <c r="BXP302" s="136"/>
      <c r="BXQ302" s="136"/>
      <c r="BXR302" s="136"/>
      <c r="BXS302" s="136"/>
      <c r="BXT302" s="136"/>
      <c r="BXU302" s="136"/>
      <c r="BXV302" s="136"/>
      <c r="BXW302" s="136"/>
      <c r="BXX302" s="136"/>
      <c r="BXY302" s="136"/>
      <c r="BXZ302" s="136"/>
      <c r="BYA302" s="136"/>
      <c r="BYB302" s="136"/>
      <c r="BYC302" s="136"/>
      <c r="BYD302" s="136"/>
      <c r="BYE302" s="136"/>
      <c r="BYF302" s="136"/>
      <c r="BYG302" s="136"/>
      <c r="BYH302" s="136"/>
      <c r="BYI302" s="136"/>
      <c r="BYJ302" s="136"/>
      <c r="BYK302" s="136"/>
      <c r="BYL302" s="136"/>
      <c r="BYM302" s="136"/>
      <c r="BYN302" s="136"/>
      <c r="BYO302" s="136"/>
      <c r="BYP302" s="136"/>
      <c r="BYQ302" s="136"/>
      <c r="BYR302" s="136"/>
      <c r="BYS302" s="136"/>
      <c r="BYT302" s="136"/>
      <c r="BYU302" s="136"/>
      <c r="BYV302" s="136"/>
      <c r="BYW302" s="136"/>
      <c r="BYX302" s="136"/>
      <c r="BYY302" s="136"/>
      <c r="BYZ302" s="136"/>
      <c r="BZA302" s="136"/>
      <c r="BZB302" s="136"/>
      <c r="BZC302" s="136"/>
      <c r="BZD302" s="136"/>
      <c r="BZE302" s="136"/>
      <c r="BZF302" s="136"/>
      <c r="BZG302" s="136"/>
      <c r="BZH302" s="136"/>
      <c r="BZI302" s="136"/>
      <c r="BZJ302" s="136"/>
      <c r="BZK302" s="136"/>
      <c r="BZL302" s="136"/>
      <c r="BZM302" s="136"/>
      <c r="BZN302" s="136"/>
      <c r="BZO302" s="136"/>
      <c r="BZP302" s="136"/>
      <c r="BZQ302" s="136"/>
      <c r="BZR302" s="136"/>
      <c r="BZS302" s="136"/>
      <c r="BZT302" s="136"/>
      <c r="BZU302" s="136"/>
      <c r="BZV302" s="136"/>
      <c r="BZW302" s="136"/>
      <c r="BZX302" s="136"/>
      <c r="BZY302" s="136"/>
      <c r="BZZ302" s="136"/>
      <c r="CAA302" s="136"/>
      <c r="CAB302" s="136"/>
      <c r="CAC302" s="136"/>
      <c r="CAD302" s="136"/>
      <c r="CAE302" s="136"/>
      <c r="CAF302" s="136"/>
      <c r="CAG302" s="136"/>
      <c r="CAH302" s="136"/>
      <c r="CAI302" s="136"/>
      <c r="CAJ302" s="136"/>
      <c r="CAK302" s="136"/>
      <c r="CAL302" s="136"/>
      <c r="CAM302" s="136"/>
      <c r="CAN302" s="136"/>
      <c r="CAO302" s="136"/>
      <c r="CAP302" s="136"/>
      <c r="CAQ302" s="136"/>
      <c r="CAR302" s="136"/>
      <c r="CAS302" s="136"/>
      <c r="CAT302" s="136"/>
      <c r="CAU302" s="136"/>
      <c r="CAV302" s="136"/>
      <c r="CAW302" s="136"/>
      <c r="CAX302" s="136"/>
      <c r="CAY302" s="136"/>
      <c r="CAZ302" s="136"/>
      <c r="CBA302" s="136"/>
      <c r="CBB302" s="136"/>
      <c r="CBC302" s="136"/>
      <c r="CBD302" s="136"/>
      <c r="CBE302" s="136"/>
      <c r="CBF302" s="136"/>
      <c r="CBG302" s="136"/>
      <c r="CBH302" s="136"/>
      <c r="CBI302" s="136"/>
      <c r="CBJ302" s="136"/>
      <c r="CBK302" s="136"/>
      <c r="CBL302" s="136"/>
      <c r="CBM302" s="136"/>
      <c r="CBN302" s="136"/>
      <c r="CBO302" s="136"/>
      <c r="CBP302" s="136"/>
      <c r="CBQ302" s="136"/>
      <c r="CBR302" s="136"/>
      <c r="CBS302" s="136"/>
      <c r="CBT302" s="136"/>
      <c r="CBU302" s="136"/>
      <c r="CBV302" s="136"/>
      <c r="CBW302" s="136"/>
      <c r="CBX302" s="136"/>
      <c r="CBY302" s="136"/>
      <c r="CBZ302" s="136"/>
      <c r="CCA302" s="136"/>
      <c r="CCB302" s="136"/>
      <c r="CCC302" s="136"/>
      <c r="CCD302" s="136"/>
      <c r="CCE302" s="136"/>
      <c r="CCF302" s="136"/>
      <c r="CCG302" s="136"/>
      <c r="CCH302" s="136"/>
      <c r="CCI302" s="136"/>
      <c r="CCJ302" s="136"/>
      <c r="CCK302" s="136"/>
      <c r="CCL302" s="136"/>
      <c r="CCM302" s="136"/>
      <c r="CCN302" s="136"/>
      <c r="CCO302" s="136"/>
      <c r="CCP302" s="136"/>
      <c r="CCQ302" s="136"/>
      <c r="CCR302" s="136"/>
      <c r="CCS302" s="136"/>
      <c r="CCT302" s="136"/>
      <c r="CCU302" s="136"/>
      <c r="CCV302" s="136"/>
      <c r="CCW302" s="136"/>
      <c r="CCX302" s="136"/>
      <c r="CCY302" s="136"/>
      <c r="CCZ302" s="136"/>
      <c r="CDA302" s="136"/>
      <c r="CDB302" s="136"/>
      <c r="CDC302" s="136"/>
      <c r="CDD302" s="136"/>
      <c r="CDE302" s="136"/>
      <c r="CDF302" s="136"/>
      <c r="CDG302" s="136"/>
      <c r="CDH302" s="136"/>
      <c r="CDI302" s="136"/>
      <c r="CDJ302" s="136"/>
      <c r="CDK302" s="136"/>
      <c r="CDL302" s="136"/>
      <c r="CDM302" s="136"/>
      <c r="CDN302" s="136"/>
      <c r="CDO302" s="136"/>
      <c r="CDP302" s="136"/>
      <c r="CDQ302" s="136"/>
      <c r="CDR302" s="136"/>
      <c r="CDS302" s="136"/>
      <c r="CDT302" s="136"/>
      <c r="CDU302" s="136"/>
      <c r="CDV302" s="136"/>
      <c r="CDW302" s="136"/>
      <c r="CDX302" s="136"/>
      <c r="CDY302" s="136"/>
      <c r="CDZ302" s="136"/>
      <c r="CEA302" s="136"/>
      <c r="CEB302" s="136"/>
      <c r="CEC302" s="136"/>
      <c r="CED302" s="136"/>
      <c r="CEE302" s="136"/>
      <c r="CEF302" s="136"/>
      <c r="CEG302" s="136"/>
      <c r="CEH302" s="136"/>
      <c r="CEI302" s="136"/>
      <c r="CEJ302" s="136"/>
      <c r="CEK302" s="136"/>
      <c r="CEL302" s="136"/>
      <c r="CEM302" s="136"/>
      <c r="CEN302" s="136"/>
      <c r="CEO302" s="136"/>
      <c r="CEP302" s="136"/>
      <c r="CEQ302" s="136"/>
      <c r="CER302" s="136"/>
      <c r="CES302" s="136"/>
      <c r="CET302" s="136"/>
      <c r="CEU302" s="136"/>
      <c r="CEV302" s="136"/>
      <c r="CEW302" s="136"/>
      <c r="CEX302" s="136"/>
      <c r="CEY302" s="136"/>
      <c r="CEZ302" s="136"/>
      <c r="CFA302" s="136"/>
      <c r="CFB302" s="136"/>
      <c r="CFC302" s="136"/>
      <c r="CFD302" s="136"/>
      <c r="CFE302" s="136"/>
      <c r="CFF302" s="136"/>
      <c r="CFG302" s="136"/>
      <c r="CFH302" s="136"/>
      <c r="CFI302" s="136"/>
      <c r="CFJ302" s="136"/>
      <c r="CFK302" s="136"/>
      <c r="CFL302" s="136"/>
      <c r="CFM302" s="136"/>
      <c r="CFN302" s="136"/>
      <c r="CFO302" s="136"/>
      <c r="CFP302" s="136"/>
      <c r="CFQ302" s="136"/>
      <c r="CFR302" s="136"/>
      <c r="CFS302" s="136"/>
      <c r="CFT302" s="136"/>
      <c r="CFU302" s="136"/>
      <c r="CFV302" s="136"/>
      <c r="CFW302" s="136"/>
      <c r="CFX302" s="136"/>
      <c r="CFY302" s="136"/>
      <c r="CFZ302" s="136"/>
      <c r="CGA302" s="136"/>
      <c r="CGB302" s="136"/>
      <c r="CGC302" s="136"/>
      <c r="CGD302" s="136"/>
      <c r="CGE302" s="136"/>
      <c r="CGF302" s="136"/>
      <c r="CGG302" s="136"/>
      <c r="CGH302" s="136"/>
      <c r="CGI302" s="136"/>
      <c r="CGJ302" s="136"/>
      <c r="CGK302" s="136"/>
      <c r="CGL302" s="136"/>
      <c r="CGM302" s="136"/>
      <c r="CGN302" s="136"/>
      <c r="CGO302" s="136"/>
      <c r="CGP302" s="136"/>
      <c r="CGQ302" s="136"/>
      <c r="CGR302" s="136"/>
      <c r="CGS302" s="136"/>
      <c r="CGT302" s="136"/>
      <c r="CGU302" s="136"/>
      <c r="CGV302" s="136"/>
      <c r="CGW302" s="136"/>
      <c r="CGX302" s="136"/>
      <c r="CGY302" s="136"/>
      <c r="CGZ302" s="136"/>
      <c r="CHA302" s="136"/>
      <c r="CHB302" s="136"/>
      <c r="CHC302" s="136"/>
      <c r="CHD302" s="136"/>
      <c r="CHE302" s="136"/>
      <c r="CHF302" s="136"/>
      <c r="CHG302" s="136"/>
      <c r="CHH302" s="136"/>
      <c r="CHI302" s="136"/>
      <c r="CHJ302" s="136"/>
      <c r="CHK302" s="136"/>
      <c r="CHL302" s="136"/>
      <c r="CHM302" s="136"/>
      <c r="CHN302" s="136"/>
      <c r="CHO302" s="136"/>
      <c r="CHP302" s="136"/>
      <c r="CHQ302" s="136"/>
      <c r="CHR302" s="136"/>
      <c r="CHS302" s="136"/>
      <c r="CHT302" s="136"/>
      <c r="CHU302" s="136"/>
      <c r="CHV302" s="136"/>
      <c r="CHW302" s="136"/>
      <c r="CHX302" s="136"/>
      <c r="CHY302" s="136"/>
      <c r="CHZ302" s="136"/>
      <c r="CIA302" s="136"/>
      <c r="CIB302" s="136"/>
      <c r="CIC302" s="136"/>
      <c r="CID302" s="136"/>
      <c r="CIE302" s="136"/>
      <c r="CIF302" s="136"/>
      <c r="CIG302" s="136"/>
      <c r="CIH302" s="136"/>
      <c r="CII302" s="136"/>
      <c r="CIJ302" s="136"/>
      <c r="CIK302" s="136"/>
      <c r="CIL302" s="136"/>
      <c r="CIM302" s="136"/>
      <c r="CIN302" s="136"/>
      <c r="CIO302" s="136"/>
      <c r="CIP302" s="136"/>
      <c r="CIQ302" s="136"/>
      <c r="CIR302" s="136"/>
      <c r="CIS302" s="136"/>
      <c r="CIT302" s="136"/>
      <c r="CIU302" s="136"/>
      <c r="CIV302" s="136"/>
      <c r="CIW302" s="136"/>
      <c r="CIX302" s="136"/>
      <c r="CIY302" s="136"/>
      <c r="CIZ302" s="136"/>
      <c r="CJA302" s="136"/>
      <c r="CJB302" s="136"/>
      <c r="CJC302" s="136"/>
      <c r="CJD302" s="136"/>
      <c r="CJE302" s="136"/>
      <c r="CJF302" s="136"/>
      <c r="CJG302" s="136"/>
      <c r="CJH302" s="136"/>
      <c r="CJI302" s="136"/>
      <c r="CJJ302" s="136"/>
      <c r="CJK302" s="136"/>
      <c r="CJL302" s="136"/>
      <c r="CJM302" s="136"/>
      <c r="CJN302" s="136"/>
      <c r="CJO302" s="136"/>
      <c r="CJP302" s="136"/>
      <c r="CJQ302" s="136"/>
      <c r="CJR302" s="136"/>
      <c r="CJS302" s="136"/>
      <c r="CJT302" s="136"/>
      <c r="CJU302" s="136"/>
      <c r="CJV302" s="136"/>
      <c r="CJW302" s="136"/>
      <c r="CJX302" s="136"/>
      <c r="CJY302" s="136"/>
      <c r="CJZ302" s="136"/>
      <c r="CKA302" s="136"/>
      <c r="CKB302" s="136"/>
      <c r="CKC302" s="136"/>
      <c r="CKD302" s="136"/>
      <c r="CKE302" s="136"/>
      <c r="CKF302" s="136"/>
      <c r="CKG302" s="136"/>
      <c r="CKH302" s="136"/>
      <c r="CKI302" s="136"/>
      <c r="CKJ302" s="136"/>
      <c r="CKK302" s="136"/>
      <c r="CKL302" s="136"/>
      <c r="CKM302" s="136"/>
      <c r="CKN302" s="136"/>
      <c r="CKO302" s="136"/>
      <c r="CKP302" s="136"/>
      <c r="CKQ302" s="136"/>
      <c r="CKR302" s="136"/>
      <c r="CKS302" s="136"/>
      <c r="CKT302" s="136"/>
      <c r="CKU302" s="136"/>
      <c r="CKV302" s="136"/>
      <c r="CKW302" s="136"/>
      <c r="CKX302" s="136"/>
      <c r="CKY302" s="136"/>
      <c r="CKZ302" s="136"/>
      <c r="CLA302" s="136"/>
      <c r="CLB302" s="136"/>
      <c r="CLC302" s="136"/>
      <c r="CLD302" s="136"/>
      <c r="CLE302" s="136"/>
      <c r="CLF302" s="136"/>
      <c r="CLG302" s="136"/>
      <c r="CLH302" s="136"/>
      <c r="CLI302" s="136"/>
      <c r="CLJ302" s="136"/>
      <c r="CLK302" s="136"/>
      <c r="CLL302" s="136"/>
      <c r="CLM302" s="136"/>
      <c r="CLN302" s="136"/>
      <c r="CLO302" s="136"/>
      <c r="CLP302" s="136"/>
      <c r="CLQ302" s="136"/>
      <c r="CLR302" s="136"/>
      <c r="CLS302" s="136"/>
      <c r="CLT302" s="136"/>
      <c r="CLU302" s="136"/>
      <c r="CLV302" s="136"/>
      <c r="CLW302" s="136"/>
      <c r="CLX302" s="136"/>
      <c r="CLY302" s="136"/>
      <c r="CLZ302" s="136"/>
      <c r="CMA302" s="136"/>
      <c r="CMB302" s="136"/>
      <c r="CMC302" s="136"/>
      <c r="CMD302" s="136"/>
      <c r="CME302" s="136"/>
      <c r="CMF302" s="136"/>
      <c r="CMG302" s="136"/>
      <c r="CMH302" s="136"/>
      <c r="CMI302" s="136"/>
      <c r="CMJ302" s="136"/>
      <c r="CMK302" s="136"/>
      <c r="CML302" s="136"/>
      <c r="CMM302" s="136"/>
      <c r="CMN302" s="136"/>
      <c r="CMO302" s="136"/>
      <c r="CMP302" s="136"/>
      <c r="CMQ302" s="136"/>
      <c r="CMR302" s="136"/>
      <c r="CMS302" s="136"/>
      <c r="CMT302" s="136"/>
      <c r="CMU302" s="136"/>
      <c r="CMV302" s="136"/>
      <c r="CMW302" s="136"/>
      <c r="CMX302" s="136"/>
      <c r="CMY302" s="136"/>
      <c r="CMZ302" s="136"/>
      <c r="CNA302" s="136"/>
      <c r="CNB302" s="136"/>
      <c r="CNC302" s="136"/>
      <c r="CND302" s="136"/>
      <c r="CNE302" s="136"/>
      <c r="CNF302" s="136"/>
      <c r="CNG302" s="136"/>
      <c r="CNH302" s="136"/>
      <c r="CNI302" s="136"/>
      <c r="CNJ302" s="136"/>
      <c r="CNK302" s="136"/>
      <c r="CNL302" s="136"/>
      <c r="CNM302" s="136"/>
      <c r="CNN302" s="136"/>
      <c r="CNO302" s="136"/>
      <c r="CNP302" s="136"/>
      <c r="CNQ302" s="136"/>
      <c r="CNR302" s="136"/>
      <c r="CNS302" s="136"/>
      <c r="CNT302" s="136"/>
      <c r="CNU302" s="136"/>
      <c r="CNV302" s="136"/>
      <c r="CNW302" s="136"/>
      <c r="CNX302" s="136"/>
      <c r="CNY302" s="136"/>
      <c r="CNZ302" s="136"/>
      <c r="COA302" s="136"/>
      <c r="COB302" s="136"/>
      <c r="COC302" s="136"/>
      <c r="COD302" s="136"/>
      <c r="COE302" s="136"/>
      <c r="COF302" s="136"/>
      <c r="COG302" s="136"/>
      <c r="COH302" s="136"/>
      <c r="COI302" s="136"/>
      <c r="COJ302" s="136"/>
      <c r="COK302" s="136"/>
      <c r="COL302" s="136"/>
      <c r="COM302" s="136"/>
      <c r="CON302" s="136"/>
      <c r="COO302" s="136"/>
      <c r="COP302" s="136"/>
      <c r="COQ302" s="136"/>
      <c r="COR302" s="136"/>
      <c r="COS302" s="136"/>
      <c r="COT302" s="136"/>
      <c r="COU302" s="136"/>
      <c r="COV302" s="136"/>
      <c r="COW302" s="136"/>
      <c r="COX302" s="136"/>
      <c r="COY302" s="136"/>
      <c r="COZ302" s="136"/>
      <c r="CPA302" s="136"/>
      <c r="CPB302" s="136"/>
      <c r="CPC302" s="136"/>
      <c r="CPD302" s="136"/>
      <c r="CPE302" s="136"/>
      <c r="CPF302" s="136"/>
      <c r="CPG302" s="136"/>
      <c r="CPH302" s="136"/>
      <c r="CPI302" s="136"/>
      <c r="CPJ302" s="136"/>
      <c r="CPK302" s="136"/>
      <c r="CPL302" s="136"/>
      <c r="CPM302" s="136"/>
      <c r="CPN302" s="136"/>
      <c r="CPO302" s="136"/>
      <c r="CPP302" s="136"/>
      <c r="CPQ302" s="136"/>
      <c r="CPR302" s="136"/>
      <c r="CPS302" s="136"/>
      <c r="CPT302" s="136"/>
      <c r="CPU302" s="136"/>
      <c r="CPV302" s="136"/>
      <c r="CPW302" s="136"/>
      <c r="CPX302" s="136"/>
      <c r="CPY302" s="136"/>
      <c r="CPZ302" s="136"/>
      <c r="CQA302" s="136"/>
      <c r="CQB302" s="136"/>
      <c r="CQC302" s="136"/>
      <c r="CQD302" s="136"/>
      <c r="CQE302" s="136"/>
      <c r="CQF302" s="136"/>
      <c r="CQG302" s="136"/>
      <c r="CQH302" s="136"/>
      <c r="CQI302" s="136"/>
      <c r="CQJ302" s="136"/>
      <c r="CQK302" s="136"/>
      <c r="CQL302" s="136"/>
      <c r="CQM302" s="136"/>
      <c r="CQN302" s="136"/>
      <c r="CQO302" s="136"/>
      <c r="CQP302" s="136"/>
      <c r="CQQ302" s="136"/>
      <c r="CQR302" s="136"/>
      <c r="CQS302" s="136"/>
      <c r="CQT302" s="136"/>
      <c r="CQU302" s="136"/>
      <c r="CQV302" s="136"/>
      <c r="CQW302" s="136"/>
      <c r="CQX302" s="136"/>
      <c r="CQY302" s="136"/>
      <c r="CQZ302" s="136"/>
      <c r="CRA302" s="136"/>
      <c r="CRB302" s="136"/>
      <c r="CRC302" s="136"/>
      <c r="CRD302" s="136"/>
      <c r="CRE302" s="136"/>
      <c r="CRF302" s="136"/>
      <c r="CRG302" s="136"/>
      <c r="CRH302" s="136"/>
      <c r="CRI302" s="136"/>
      <c r="CRJ302" s="136"/>
      <c r="CRK302" s="136"/>
      <c r="CRL302" s="136"/>
      <c r="CRM302" s="136"/>
      <c r="CRN302" s="136"/>
      <c r="CRO302" s="136"/>
      <c r="CRP302" s="136"/>
      <c r="CRQ302" s="136"/>
      <c r="CRR302" s="136"/>
      <c r="CRS302" s="136"/>
      <c r="CRT302" s="136"/>
      <c r="CRU302" s="136"/>
      <c r="CRV302" s="136"/>
      <c r="CRW302" s="136"/>
      <c r="CRX302" s="136"/>
      <c r="CRY302" s="136"/>
      <c r="CRZ302" s="136"/>
      <c r="CSA302" s="136"/>
      <c r="CSB302" s="136"/>
      <c r="CSC302" s="136"/>
      <c r="CSD302" s="136"/>
      <c r="CSE302" s="136"/>
      <c r="CSF302" s="136"/>
      <c r="CSG302" s="136"/>
      <c r="CSH302" s="136"/>
      <c r="CSI302" s="136"/>
      <c r="CSJ302" s="136"/>
      <c r="CSK302" s="136"/>
      <c r="CSL302" s="136"/>
      <c r="CSM302" s="136"/>
      <c r="CSN302" s="136"/>
      <c r="CSO302" s="136"/>
      <c r="CSP302" s="136"/>
      <c r="CSQ302" s="136"/>
      <c r="CSR302" s="136"/>
      <c r="CSS302" s="136"/>
      <c r="CST302" s="136"/>
      <c r="CSU302" s="136"/>
      <c r="CSV302" s="136"/>
      <c r="CSW302" s="136"/>
      <c r="CSX302" s="136"/>
      <c r="CSY302" s="136"/>
      <c r="CSZ302" s="136"/>
      <c r="CTA302" s="136"/>
      <c r="CTB302" s="136"/>
      <c r="CTC302" s="136"/>
      <c r="CTD302" s="136"/>
      <c r="CTE302" s="136"/>
      <c r="CTF302" s="136"/>
      <c r="CTG302" s="136"/>
      <c r="CTH302" s="136"/>
      <c r="CTI302" s="136"/>
      <c r="CTJ302" s="136"/>
      <c r="CTK302" s="136"/>
      <c r="CTL302" s="136"/>
      <c r="CTM302" s="136"/>
      <c r="CTN302" s="136"/>
      <c r="CTO302" s="136"/>
      <c r="CTP302" s="136"/>
      <c r="CTQ302" s="136"/>
      <c r="CTR302" s="136"/>
      <c r="CTS302" s="136"/>
      <c r="CTT302" s="136"/>
      <c r="CTU302" s="136"/>
      <c r="CTV302" s="136"/>
      <c r="CTW302" s="136"/>
      <c r="CTX302" s="136"/>
      <c r="CTY302" s="136"/>
      <c r="CTZ302" s="136"/>
      <c r="CUA302" s="136"/>
      <c r="CUB302" s="136"/>
      <c r="CUC302" s="136"/>
      <c r="CUD302" s="136"/>
      <c r="CUE302" s="136"/>
      <c r="CUF302" s="136"/>
      <c r="CUG302" s="136"/>
      <c r="CUH302" s="136"/>
      <c r="CUI302" s="136"/>
      <c r="CUJ302" s="136"/>
      <c r="CUK302" s="136"/>
      <c r="CUL302" s="136"/>
      <c r="CUM302" s="136"/>
      <c r="CUN302" s="136"/>
      <c r="CUO302" s="136"/>
      <c r="CUP302" s="136"/>
      <c r="CUQ302" s="136"/>
      <c r="CUR302" s="136"/>
      <c r="CUS302" s="136"/>
      <c r="CUT302" s="136"/>
      <c r="CUU302" s="136"/>
      <c r="CUV302" s="136"/>
      <c r="CUW302" s="136"/>
      <c r="CUX302" s="136"/>
      <c r="CUY302" s="136"/>
      <c r="CUZ302" s="136"/>
      <c r="CVA302" s="136"/>
      <c r="CVB302" s="136"/>
      <c r="CVC302" s="136"/>
      <c r="CVD302" s="136"/>
      <c r="CVE302" s="136"/>
      <c r="CVF302" s="136"/>
      <c r="CVG302" s="136"/>
      <c r="CVH302" s="136"/>
      <c r="CVI302" s="136"/>
      <c r="CVJ302" s="136"/>
      <c r="CVK302" s="136"/>
      <c r="CVL302" s="136"/>
      <c r="CVM302" s="136"/>
      <c r="CVN302" s="136"/>
      <c r="CVO302" s="136"/>
      <c r="CVP302" s="136"/>
      <c r="CVQ302" s="136"/>
      <c r="CVR302" s="136"/>
      <c r="CVS302" s="136"/>
      <c r="CVT302" s="136"/>
      <c r="CVU302" s="136"/>
      <c r="CVV302" s="136"/>
      <c r="CVW302" s="136"/>
      <c r="CVX302" s="136"/>
      <c r="CVY302" s="136"/>
      <c r="CVZ302" s="136"/>
      <c r="CWA302" s="136"/>
      <c r="CWB302" s="136"/>
      <c r="CWC302" s="136"/>
      <c r="CWD302" s="136"/>
      <c r="CWE302" s="136"/>
      <c r="CWF302" s="136"/>
      <c r="CWG302" s="136"/>
      <c r="CWH302" s="136"/>
      <c r="CWI302" s="136"/>
      <c r="CWJ302" s="136"/>
      <c r="CWK302" s="136"/>
      <c r="CWL302" s="136"/>
      <c r="CWM302" s="136"/>
      <c r="CWN302" s="136"/>
      <c r="CWO302" s="136"/>
      <c r="CWP302" s="136"/>
      <c r="CWQ302" s="136"/>
      <c r="CWR302" s="136"/>
      <c r="CWS302" s="136"/>
      <c r="CWT302" s="136"/>
      <c r="CWU302" s="136"/>
      <c r="CWV302" s="136"/>
      <c r="CWW302" s="136"/>
      <c r="CWX302" s="136"/>
      <c r="CWY302" s="136"/>
      <c r="CWZ302" s="136"/>
      <c r="CXA302" s="136"/>
      <c r="CXB302" s="136"/>
      <c r="CXC302" s="136"/>
      <c r="CXD302" s="136"/>
      <c r="CXE302" s="136"/>
      <c r="CXF302" s="136"/>
      <c r="CXG302" s="136"/>
      <c r="CXH302" s="136"/>
      <c r="CXI302" s="136"/>
      <c r="CXJ302" s="136"/>
      <c r="CXK302" s="136"/>
      <c r="CXL302" s="136"/>
      <c r="CXM302" s="136"/>
      <c r="CXN302" s="136"/>
      <c r="CXO302" s="136"/>
      <c r="CXP302" s="136"/>
      <c r="CXQ302" s="136"/>
      <c r="CXR302" s="136"/>
      <c r="CXS302" s="136"/>
      <c r="CXT302" s="136"/>
      <c r="CXU302" s="136"/>
      <c r="CXV302" s="136"/>
      <c r="CXW302" s="136"/>
      <c r="CXX302" s="136"/>
      <c r="CXY302" s="136"/>
      <c r="CXZ302" s="136"/>
      <c r="CYA302" s="136"/>
      <c r="CYB302" s="136"/>
      <c r="CYC302" s="136"/>
      <c r="CYD302" s="136"/>
      <c r="CYE302" s="136"/>
      <c r="CYF302" s="136"/>
      <c r="CYG302" s="136"/>
      <c r="CYH302" s="136"/>
      <c r="CYI302" s="136"/>
      <c r="CYJ302" s="136"/>
      <c r="CYK302" s="136"/>
      <c r="CYL302" s="136"/>
      <c r="CYM302" s="136"/>
      <c r="CYN302" s="136"/>
      <c r="CYO302" s="136"/>
      <c r="CYP302" s="136"/>
      <c r="CYQ302" s="136"/>
      <c r="CYR302" s="136"/>
      <c r="CYS302" s="136"/>
      <c r="CYT302" s="136"/>
      <c r="CYU302" s="136"/>
      <c r="CYV302" s="136"/>
      <c r="CYW302" s="136"/>
      <c r="CYX302" s="136"/>
      <c r="CYY302" s="136"/>
      <c r="CYZ302" s="136"/>
      <c r="CZA302" s="136"/>
      <c r="CZB302" s="136"/>
      <c r="CZC302" s="136"/>
      <c r="CZD302" s="136"/>
      <c r="CZE302" s="136"/>
      <c r="CZF302" s="136"/>
      <c r="CZG302" s="136"/>
      <c r="CZH302" s="136"/>
      <c r="CZI302" s="136"/>
      <c r="CZJ302" s="136"/>
      <c r="CZK302" s="136"/>
      <c r="CZL302" s="136"/>
      <c r="CZM302" s="136"/>
      <c r="CZN302" s="136"/>
      <c r="CZO302" s="136"/>
      <c r="CZP302" s="136"/>
      <c r="CZQ302" s="136"/>
      <c r="CZR302" s="136"/>
      <c r="CZS302" s="136"/>
      <c r="CZT302" s="136"/>
      <c r="CZU302" s="136"/>
      <c r="CZV302" s="136"/>
      <c r="CZW302" s="136"/>
      <c r="CZX302" s="136"/>
      <c r="CZY302" s="136"/>
      <c r="CZZ302" s="136"/>
      <c r="DAA302" s="136"/>
      <c r="DAB302" s="136"/>
      <c r="DAC302" s="136"/>
      <c r="DAD302" s="136"/>
      <c r="DAE302" s="136"/>
      <c r="DAF302" s="136"/>
      <c r="DAG302" s="136"/>
      <c r="DAH302" s="136"/>
      <c r="DAI302" s="136"/>
      <c r="DAJ302" s="136"/>
      <c r="DAK302" s="136"/>
      <c r="DAL302" s="136"/>
      <c r="DAM302" s="136"/>
      <c r="DAN302" s="136"/>
      <c r="DAO302" s="136"/>
      <c r="DAP302" s="136"/>
      <c r="DAQ302" s="136"/>
      <c r="DAR302" s="136"/>
      <c r="DAS302" s="136"/>
      <c r="DAT302" s="136"/>
      <c r="DAU302" s="136"/>
      <c r="DAV302" s="136"/>
      <c r="DAW302" s="136"/>
      <c r="DAX302" s="136"/>
      <c r="DAY302" s="136"/>
      <c r="DAZ302" s="136"/>
      <c r="DBA302" s="136"/>
      <c r="DBB302" s="136"/>
      <c r="DBC302" s="136"/>
      <c r="DBD302" s="136"/>
      <c r="DBE302" s="136"/>
      <c r="DBF302" s="136"/>
      <c r="DBG302" s="136"/>
      <c r="DBH302" s="136"/>
      <c r="DBI302" s="136"/>
      <c r="DBJ302" s="136"/>
      <c r="DBK302" s="136"/>
      <c r="DBL302" s="136"/>
      <c r="DBM302" s="136"/>
      <c r="DBN302" s="136"/>
      <c r="DBO302" s="136"/>
      <c r="DBP302" s="136"/>
      <c r="DBQ302" s="136"/>
      <c r="DBR302" s="136"/>
      <c r="DBS302" s="136"/>
      <c r="DBT302" s="136"/>
      <c r="DBU302" s="136"/>
      <c r="DBV302" s="136"/>
      <c r="DBW302" s="136"/>
      <c r="DBX302" s="136"/>
      <c r="DBY302" s="136"/>
      <c r="DBZ302" s="136"/>
      <c r="DCA302" s="136"/>
      <c r="DCB302" s="136"/>
      <c r="DCC302" s="136"/>
      <c r="DCD302" s="136"/>
      <c r="DCE302" s="136"/>
      <c r="DCF302" s="136"/>
      <c r="DCG302" s="136"/>
      <c r="DCH302" s="136"/>
      <c r="DCI302" s="136"/>
      <c r="DCJ302" s="136"/>
      <c r="DCK302" s="136"/>
      <c r="DCL302" s="136"/>
      <c r="DCM302" s="136"/>
      <c r="DCN302" s="136"/>
      <c r="DCO302" s="136"/>
      <c r="DCP302" s="136"/>
      <c r="DCQ302" s="136"/>
      <c r="DCR302" s="136"/>
      <c r="DCS302" s="136"/>
      <c r="DCT302" s="136"/>
      <c r="DCU302" s="136"/>
      <c r="DCV302" s="136"/>
      <c r="DCW302" s="136"/>
      <c r="DCX302" s="136"/>
      <c r="DCY302" s="136"/>
      <c r="DCZ302" s="136"/>
      <c r="DDA302" s="136"/>
      <c r="DDB302" s="136"/>
      <c r="DDC302" s="136"/>
      <c r="DDD302" s="136"/>
      <c r="DDE302" s="136"/>
      <c r="DDF302" s="136"/>
      <c r="DDG302" s="136"/>
      <c r="DDH302" s="136"/>
      <c r="DDI302" s="136"/>
      <c r="DDJ302" s="136"/>
      <c r="DDK302" s="136"/>
      <c r="DDL302" s="136"/>
      <c r="DDM302" s="136"/>
      <c r="DDN302" s="136"/>
      <c r="DDO302" s="136"/>
      <c r="DDP302" s="136"/>
      <c r="DDQ302" s="136"/>
      <c r="DDR302" s="136"/>
      <c r="DDS302" s="136"/>
      <c r="DDT302" s="136"/>
      <c r="DDU302" s="136"/>
      <c r="DDV302" s="136"/>
      <c r="DDW302" s="136"/>
      <c r="DDX302" s="136"/>
      <c r="DDY302" s="136"/>
      <c r="DDZ302" s="136"/>
      <c r="DEA302" s="136"/>
      <c r="DEB302" s="136"/>
      <c r="DEC302" s="136"/>
      <c r="DED302" s="136"/>
      <c r="DEE302" s="136"/>
      <c r="DEF302" s="136"/>
      <c r="DEG302" s="136"/>
      <c r="DEH302" s="136"/>
      <c r="DEI302" s="136"/>
      <c r="DEJ302" s="136"/>
      <c r="DEK302" s="136"/>
      <c r="DEL302" s="136"/>
      <c r="DEM302" s="136"/>
      <c r="DEN302" s="136"/>
      <c r="DEO302" s="136"/>
      <c r="DEP302" s="136"/>
      <c r="DEQ302" s="136"/>
      <c r="DER302" s="136"/>
      <c r="DES302" s="136"/>
      <c r="DET302" s="136"/>
      <c r="DEU302" s="136"/>
      <c r="DEV302" s="136"/>
      <c r="DEW302" s="136"/>
      <c r="DEX302" s="136"/>
      <c r="DEY302" s="136"/>
      <c r="DEZ302" s="136"/>
      <c r="DFA302" s="136"/>
      <c r="DFB302" s="136"/>
      <c r="DFC302" s="136"/>
      <c r="DFD302" s="136"/>
      <c r="DFE302" s="136"/>
      <c r="DFF302" s="136"/>
      <c r="DFG302" s="136"/>
      <c r="DFH302" s="136"/>
      <c r="DFI302" s="136"/>
      <c r="DFJ302" s="136"/>
      <c r="DFK302" s="136"/>
      <c r="DFL302" s="136"/>
      <c r="DFM302" s="136"/>
      <c r="DFN302" s="136"/>
      <c r="DFO302" s="136"/>
      <c r="DFP302" s="136"/>
      <c r="DFQ302" s="136"/>
      <c r="DFR302" s="136"/>
      <c r="DFS302" s="136"/>
      <c r="DFT302" s="136"/>
      <c r="DFU302" s="136"/>
      <c r="DFV302" s="136"/>
      <c r="DFW302" s="136"/>
      <c r="DFX302" s="136"/>
      <c r="DFY302" s="136"/>
      <c r="DFZ302" s="136"/>
      <c r="DGA302" s="136"/>
      <c r="DGB302" s="136"/>
      <c r="DGC302" s="136"/>
      <c r="DGD302" s="136"/>
      <c r="DGE302" s="136"/>
      <c r="DGF302" s="136"/>
      <c r="DGG302" s="136"/>
      <c r="DGH302" s="136"/>
      <c r="DGI302" s="136"/>
      <c r="DGJ302" s="136"/>
      <c r="DGK302" s="136"/>
      <c r="DGL302" s="136"/>
      <c r="DGM302" s="136"/>
      <c r="DGN302" s="136"/>
      <c r="DGO302" s="136"/>
      <c r="DGP302" s="136"/>
      <c r="DGQ302" s="136"/>
      <c r="DGR302" s="136"/>
      <c r="DGS302" s="136"/>
      <c r="DGT302" s="136"/>
      <c r="DGU302" s="136"/>
      <c r="DGV302" s="136"/>
      <c r="DGW302" s="136"/>
      <c r="DGX302" s="136"/>
      <c r="DGY302" s="136"/>
      <c r="DGZ302" s="136"/>
      <c r="DHA302" s="136"/>
      <c r="DHB302" s="136"/>
      <c r="DHC302" s="136"/>
      <c r="DHD302" s="136"/>
      <c r="DHE302" s="136"/>
      <c r="DHF302" s="136"/>
      <c r="DHG302" s="136"/>
      <c r="DHH302" s="136"/>
      <c r="DHI302" s="136"/>
      <c r="DHJ302" s="136"/>
      <c r="DHK302" s="136"/>
      <c r="DHL302" s="136"/>
      <c r="DHM302" s="136"/>
      <c r="DHN302" s="136"/>
      <c r="DHO302" s="136"/>
      <c r="DHP302" s="136"/>
      <c r="DHQ302" s="136"/>
      <c r="DHR302" s="136"/>
      <c r="DHS302" s="136"/>
      <c r="DHT302" s="136"/>
      <c r="DHU302" s="136"/>
      <c r="DHV302" s="136"/>
      <c r="DHW302" s="136"/>
      <c r="DHX302" s="136"/>
      <c r="DHY302" s="136"/>
      <c r="DHZ302" s="136"/>
      <c r="DIA302" s="136"/>
      <c r="DIB302" s="136"/>
      <c r="DIC302" s="136"/>
      <c r="DID302" s="136"/>
      <c r="DIE302" s="136"/>
      <c r="DIF302" s="136"/>
      <c r="DIG302" s="136"/>
      <c r="DIH302" s="136"/>
      <c r="DII302" s="136"/>
      <c r="DIJ302" s="136"/>
      <c r="DIK302" s="136"/>
      <c r="DIL302" s="136"/>
      <c r="DIM302" s="136"/>
      <c r="DIN302" s="136"/>
      <c r="DIO302" s="136"/>
      <c r="DIP302" s="136"/>
      <c r="DIQ302" s="136"/>
      <c r="DIR302" s="136"/>
      <c r="DIS302" s="136"/>
      <c r="DIT302" s="136"/>
      <c r="DIU302" s="136"/>
      <c r="DIV302" s="136"/>
      <c r="DIW302" s="136"/>
      <c r="DIX302" s="136"/>
      <c r="DIY302" s="136"/>
      <c r="DIZ302" s="136"/>
      <c r="DJA302" s="136"/>
      <c r="DJB302" s="136"/>
      <c r="DJC302" s="136"/>
      <c r="DJD302" s="136"/>
      <c r="DJE302" s="136"/>
      <c r="DJF302" s="136"/>
      <c r="DJG302" s="136"/>
      <c r="DJH302" s="136"/>
      <c r="DJI302" s="136"/>
      <c r="DJJ302" s="136"/>
      <c r="DJK302" s="136"/>
      <c r="DJL302" s="136"/>
      <c r="DJM302" s="136"/>
      <c r="DJN302" s="136"/>
      <c r="DJO302" s="136"/>
      <c r="DJP302" s="136"/>
      <c r="DJQ302" s="136"/>
      <c r="DJR302" s="136"/>
      <c r="DJS302" s="136"/>
      <c r="DJT302" s="136"/>
      <c r="DJU302" s="136"/>
      <c r="DJV302" s="136"/>
      <c r="DJW302" s="136"/>
      <c r="DJX302" s="136"/>
      <c r="DJY302" s="136"/>
      <c r="DJZ302" s="136"/>
      <c r="DKA302" s="136"/>
      <c r="DKB302" s="136"/>
      <c r="DKC302" s="136"/>
      <c r="DKD302" s="136"/>
      <c r="DKE302" s="136"/>
      <c r="DKF302" s="136"/>
      <c r="DKG302" s="136"/>
      <c r="DKH302" s="136"/>
      <c r="DKI302" s="136"/>
      <c r="DKJ302" s="136"/>
      <c r="DKK302" s="136"/>
      <c r="DKL302" s="136"/>
      <c r="DKM302" s="136"/>
      <c r="DKN302" s="136"/>
      <c r="DKO302" s="136"/>
      <c r="DKP302" s="136"/>
      <c r="DKQ302" s="136"/>
      <c r="DKR302" s="136"/>
      <c r="DKS302" s="136"/>
      <c r="DKT302" s="136"/>
      <c r="DKU302" s="136"/>
      <c r="DKV302" s="136"/>
      <c r="DKW302" s="136"/>
      <c r="DKX302" s="136"/>
      <c r="DKY302" s="136"/>
      <c r="DKZ302" s="136"/>
      <c r="DLA302" s="136"/>
      <c r="DLB302" s="136"/>
      <c r="DLC302" s="136"/>
      <c r="DLD302" s="136"/>
      <c r="DLE302" s="136"/>
      <c r="DLF302" s="136"/>
      <c r="DLG302" s="136"/>
      <c r="DLH302" s="136"/>
      <c r="DLI302" s="136"/>
      <c r="DLJ302" s="136"/>
      <c r="DLK302" s="136"/>
      <c r="DLL302" s="136"/>
      <c r="DLM302" s="136"/>
      <c r="DLN302" s="136"/>
      <c r="DLO302" s="136"/>
      <c r="DLP302" s="136"/>
      <c r="DLQ302" s="136"/>
      <c r="DLR302" s="136"/>
      <c r="DLS302" s="136"/>
      <c r="DLT302" s="136"/>
      <c r="DLU302" s="136"/>
      <c r="DLV302" s="136"/>
      <c r="DLW302" s="136"/>
      <c r="DLX302" s="136"/>
      <c r="DLY302" s="136"/>
      <c r="DLZ302" s="136"/>
      <c r="DMA302" s="136"/>
      <c r="DMB302" s="136"/>
      <c r="DMC302" s="136"/>
      <c r="DMD302" s="136"/>
      <c r="DME302" s="136"/>
      <c r="DMF302" s="136"/>
      <c r="DMG302" s="136"/>
      <c r="DMH302" s="136"/>
      <c r="DMI302" s="136"/>
      <c r="DMJ302" s="136"/>
      <c r="DMK302" s="136"/>
      <c r="DML302" s="136"/>
      <c r="DMM302" s="136"/>
      <c r="DMN302" s="136"/>
      <c r="DMO302" s="136"/>
      <c r="DMP302" s="136"/>
      <c r="DMQ302" s="136"/>
      <c r="DMR302" s="136"/>
      <c r="DMS302" s="136"/>
      <c r="DMT302" s="136"/>
      <c r="DMU302" s="136"/>
      <c r="DMV302" s="136"/>
      <c r="DMW302" s="136"/>
      <c r="DMX302" s="136"/>
      <c r="DMY302" s="136"/>
      <c r="DMZ302" s="136"/>
      <c r="DNA302" s="136"/>
      <c r="DNB302" s="136"/>
      <c r="DNC302" s="136"/>
      <c r="DND302" s="136"/>
      <c r="DNE302" s="136"/>
      <c r="DNF302" s="136"/>
      <c r="DNG302" s="136"/>
      <c r="DNH302" s="136"/>
      <c r="DNI302" s="136"/>
      <c r="DNJ302" s="136"/>
      <c r="DNK302" s="136"/>
      <c r="DNL302" s="136"/>
      <c r="DNM302" s="136"/>
      <c r="DNN302" s="136"/>
      <c r="DNO302" s="136"/>
      <c r="DNP302" s="136"/>
      <c r="DNQ302" s="136"/>
      <c r="DNR302" s="136"/>
      <c r="DNS302" s="136"/>
      <c r="DNT302" s="136"/>
      <c r="DNU302" s="136"/>
      <c r="DNV302" s="136"/>
      <c r="DNW302" s="136"/>
      <c r="DNX302" s="136"/>
      <c r="DNY302" s="136"/>
      <c r="DNZ302" s="136"/>
      <c r="DOA302" s="136"/>
      <c r="DOB302" s="136"/>
      <c r="DOC302" s="136"/>
      <c r="DOD302" s="136"/>
      <c r="DOE302" s="136"/>
      <c r="DOF302" s="136"/>
      <c r="DOG302" s="136"/>
      <c r="DOH302" s="136"/>
      <c r="DOI302" s="136"/>
      <c r="DOJ302" s="136"/>
      <c r="DOK302" s="136"/>
      <c r="DOL302" s="136"/>
      <c r="DOM302" s="136"/>
      <c r="DON302" s="136"/>
      <c r="DOO302" s="136"/>
      <c r="DOP302" s="136"/>
      <c r="DOQ302" s="136"/>
      <c r="DOR302" s="136"/>
      <c r="DOS302" s="136"/>
      <c r="DOT302" s="136"/>
      <c r="DOU302" s="136"/>
      <c r="DOV302" s="136"/>
      <c r="DOW302" s="136"/>
      <c r="DOX302" s="136"/>
      <c r="DOY302" s="136"/>
      <c r="DOZ302" s="136"/>
      <c r="DPA302" s="136"/>
      <c r="DPB302" s="136"/>
      <c r="DPC302" s="136"/>
      <c r="DPD302" s="136"/>
      <c r="DPE302" s="136"/>
      <c r="DPF302" s="136"/>
      <c r="DPG302" s="136"/>
      <c r="DPH302" s="136"/>
      <c r="DPI302" s="136"/>
      <c r="DPJ302" s="136"/>
      <c r="DPK302" s="136"/>
      <c r="DPL302" s="136"/>
      <c r="DPM302" s="136"/>
      <c r="DPN302" s="136"/>
      <c r="DPO302" s="136"/>
      <c r="DPP302" s="136"/>
      <c r="DPQ302" s="136"/>
      <c r="DPR302" s="136"/>
      <c r="DPS302" s="136"/>
      <c r="DPT302" s="136"/>
      <c r="DPU302" s="136"/>
      <c r="DPV302" s="136"/>
      <c r="DPW302" s="136"/>
      <c r="DPX302" s="136"/>
      <c r="DPY302" s="136"/>
      <c r="DPZ302" s="136"/>
      <c r="DQA302" s="136"/>
      <c r="DQB302" s="136"/>
      <c r="DQC302" s="136"/>
      <c r="DQD302" s="136"/>
      <c r="DQE302" s="136"/>
      <c r="DQF302" s="136"/>
      <c r="DQG302" s="136"/>
      <c r="DQH302" s="136"/>
      <c r="DQI302" s="136"/>
      <c r="DQJ302" s="136"/>
      <c r="DQK302" s="136"/>
      <c r="DQL302" s="136"/>
      <c r="DQM302" s="136"/>
      <c r="DQN302" s="136"/>
      <c r="DQO302" s="136"/>
      <c r="DQP302" s="136"/>
      <c r="DQQ302" s="136"/>
      <c r="DQR302" s="136"/>
      <c r="DQS302" s="136"/>
      <c r="DQT302" s="136"/>
      <c r="DQU302" s="136"/>
      <c r="DQV302" s="136"/>
      <c r="DQW302" s="136"/>
      <c r="DQX302" s="136"/>
      <c r="DQY302" s="136"/>
      <c r="DQZ302" s="136"/>
      <c r="DRA302" s="136"/>
      <c r="DRB302" s="136"/>
      <c r="DRC302" s="136"/>
      <c r="DRD302" s="136"/>
      <c r="DRE302" s="136"/>
      <c r="DRF302" s="136"/>
      <c r="DRG302" s="136"/>
      <c r="DRH302" s="136"/>
      <c r="DRI302" s="136"/>
      <c r="DRJ302" s="136"/>
      <c r="DRK302" s="136"/>
      <c r="DRL302" s="136"/>
      <c r="DRM302" s="136"/>
      <c r="DRN302" s="136"/>
      <c r="DRO302" s="136"/>
      <c r="DRP302" s="136"/>
      <c r="DRQ302" s="136"/>
      <c r="DRR302" s="136"/>
      <c r="DRS302" s="136"/>
      <c r="DRT302" s="136"/>
      <c r="DRU302" s="136"/>
      <c r="DRV302" s="136"/>
      <c r="DRW302" s="136"/>
      <c r="DRX302" s="136"/>
      <c r="DRY302" s="136"/>
      <c r="DRZ302" s="136"/>
      <c r="DSA302" s="136"/>
      <c r="DSB302" s="136"/>
      <c r="DSC302" s="136"/>
      <c r="DSD302" s="136"/>
      <c r="DSE302" s="136"/>
      <c r="DSF302" s="136"/>
      <c r="DSG302" s="136"/>
      <c r="DSH302" s="136"/>
      <c r="DSI302" s="136"/>
      <c r="DSJ302" s="136"/>
      <c r="DSK302" s="136"/>
      <c r="DSL302" s="136"/>
      <c r="DSM302" s="136"/>
      <c r="DSN302" s="136"/>
      <c r="DSO302" s="136"/>
      <c r="DSP302" s="136"/>
      <c r="DSQ302" s="136"/>
      <c r="DSR302" s="136"/>
      <c r="DSS302" s="136"/>
      <c r="DST302" s="136"/>
      <c r="DSU302" s="136"/>
      <c r="DSV302" s="136"/>
      <c r="DSW302" s="136"/>
      <c r="DSX302" s="136"/>
      <c r="DSY302" s="136"/>
      <c r="DSZ302" s="136"/>
      <c r="DTA302" s="136"/>
      <c r="DTB302" s="136"/>
      <c r="DTC302" s="136"/>
      <c r="DTD302" s="136"/>
      <c r="DTE302" s="136"/>
      <c r="DTF302" s="136"/>
      <c r="DTG302" s="136"/>
      <c r="DTH302" s="136"/>
      <c r="DTI302" s="136"/>
      <c r="DTJ302" s="136"/>
      <c r="DTK302" s="136"/>
      <c r="DTL302" s="136"/>
      <c r="DTM302" s="136"/>
      <c r="DTN302" s="136"/>
      <c r="DTO302" s="136"/>
      <c r="DTP302" s="136"/>
      <c r="DTQ302" s="136"/>
      <c r="DTR302" s="136"/>
      <c r="DTS302" s="136"/>
      <c r="DTT302" s="136"/>
      <c r="DTU302" s="136"/>
      <c r="DTV302" s="136"/>
      <c r="DTW302" s="136"/>
      <c r="DTX302" s="136"/>
      <c r="DTY302" s="136"/>
      <c r="DTZ302" s="136"/>
      <c r="DUA302" s="136"/>
      <c r="DUB302" s="136"/>
      <c r="DUC302" s="136"/>
      <c r="DUD302" s="136"/>
      <c r="DUE302" s="136"/>
      <c r="DUF302" s="136"/>
      <c r="DUG302" s="136"/>
      <c r="DUH302" s="136"/>
      <c r="DUI302" s="136"/>
      <c r="DUJ302" s="136"/>
      <c r="DUK302" s="136"/>
      <c r="DUL302" s="136"/>
      <c r="DUM302" s="136"/>
      <c r="DUN302" s="136"/>
      <c r="DUO302" s="136"/>
      <c r="DUP302" s="136"/>
      <c r="DUQ302" s="136"/>
      <c r="DUR302" s="136"/>
      <c r="DUS302" s="136"/>
      <c r="DUT302" s="136"/>
      <c r="DUU302" s="136"/>
      <c r="DUV302" s="136"/>
      <c r="DUW302" s="136"/>
      <c r="DUX302" s="136"/>
      <c r="DUY302" s="136"/>
      <c r="DUZ302" s="136"/>
      <c r="DVA302" s="136"/>
      <c r="DVB302" s="136"/>
      <c r="DVC302" s="136"/>
      <c r="DVD302" s="136"/>
      <c r="DVE302" s="136"/>
      <c r="DVF302" s="136"/>
      <c r="DVG302" s="136"/>
      <c r="DVH302" s="136"/>
      <c r="DVI302" s="136"/>
      <c r="DVJ302" s="136"/>
      <c r="DVK302" s="136"/>
      <c r="DVL302" s="136"/>
      <c r="DVM302" s="136"/>
      <c r="DVN302" s="136"/>
      <c r="DVO302" s="136"/>
      <c r="DVP302" s="136"/>
      <c r="DVQ302" s="136"/>
      <c r="DVR302" s="136"/>
      <c r="DVS302" s="136"/>
      <c r="DVT302" s="136"/>
      <c r="DVU302" s="136"/>
      <c r="DVV302" s="136"/>
      <c r="DVW302" s="136"/>
      <c r="DVX302" s="136"/>
      <c r="DVY302" s="136"/>
      <c r="DVZ302" s="136"/>
      <c r="DWA302" s="136"/>
      <c r="DWB302" s="136"/>
      <c r="DWC302" s="136"/>
      <c r="DWD302" s="136"/>
      <c r="DWE302" s="136"/>
      <c r="DWF302" s="136"/>
      <c r="DWG302" s="136"/>
      <c r="DWH302" s="136"/>
      <c r="DWI302" s="136"/>
      <c r="DWJ302" s="136"/>
      <c r="DWK302" s="136"/>
      <c r="DWL302" s="136"/>
      <c r="DWM302" s="136"/>
      <c r="DWN302" s="136"/>
      <c r="DWO302" s="136"/>
      <c r="DWP302" s="136"/>
      <c r="DWQ302" s="136"/>
      <c r="DWR302" s="136"/>
      <c r="DWS302" s="136"/>
      <c r="DWT302" s="136"/>
      <c r="DWU302" s="136"/>
      <c r="DWV302" s="136"/>
      <c r="DWW302" s="136"/>
      <c r="DWX302" s="136"/>
      <c r="DWY302" s="136"/>
      <c r="DWZ302" s="136"/>
      <c r="DXA302" s="136"/>
      <c r="DXB302" s="136"/>
      <c r="DXC302" s="136"/>
      <c r="DXD302" s="136"/>
      <c r="DXE302" s="136"/>
      <c r="DXF302" s="136"/>
      <c r="DXG302" s="136"/>
      <c r="DXH302" s="136"/>
      <c r="DXI302" s="136"/>
      <c r="DXJ302" s="136"/>
      <c r="DXK302" s="136"/>
      <c r="DXL302" s="136"/>
      <c r="DXM302" s="136"/>
      <c r="DXN302" s="136"/>
      <c r="DXO302" s="136"/>
      <c r="DXP302" s="136"/>
      <c r="DXQ302" s="136"/>
      <c r="DXR302" s="136"/>
      <c r="DXS302" s="136"/>
      <c r="DXT302" s="136"/>
      <c r="DXU302" s="136"/>
      <c r="DXV302" s="136"/>
      <c r="DXW302" s="136"/>
      <c r="DXX302" s="136"/>
      <c r="DXY302" s="136"/>
      <c r="DXZ302" s="136"/>
      <c r="DYA302" s="136"/>
      <c r="DYB302" s="136"/>
      <c r="DYC302" s="136"/>
      <c r="DYD302" s="136"/>
      <c r="DYE302" s="136"/>
      <c r="DYF302" s="136"/>
      <c r="DYG302" s="136"/>
      <c r="DYH302" s="136"/>
      <c r="DYI302" s="136"/>
      <c r="DYJ302" s="136"/>
      <c r="DYK302" s="136"/>
      <c r="DYL302" s="136"/>
      <c r="DYM302" s="136"/>
      <c r="DYN302" s="136"/>
      <c r="DYO302" s="136"/>
      <c r="DYP302" s="136"/>
      <c r="DYQ302" s="136"/>
      <c r="DYR302" s="136"/>
      <c r="DYS302" s="136"/>
      <c r="DYT302" s="136"/>
      <c r="DYU302" s="136"/>
      <c r="DYV302" s="136"/>
      <c r="DYW302" s="136"/>
      <c r="DYX302" s="136"/>
      <c r="DYY302" s="136"/>
      <c r="DYZ302" s="136"/>
      <c r="DZA302" s="136"/>
      <c r="DZB302" s="136"/>
      <c r="DZC302" s="136"/>
      <c r="DZD302" s="136"/>
      <c r="DZE302" s="136"/>
      <c r="DZF302" s="136"/>
      <c r="DZG302" s="136"/>
      <c r="DZH302" s="136"/>
      <c r="DZI302" s="136"/>
      <c r="DZJ302" s="136"/>
      <c r="DZK302" s="136"/>
      <c r="DZL302" s="136"/>
      <c r="DZM302" s="136"/>
      <c r="DZN302" s="136"/>
      <c r="DZO302" s="136"/>
      <c r="DZP302" s="136"/>
      <c r="DZQ302" s="136"/>
      <c r="DZR302" s="136"/>
      <c r="DZS302" s="136"/>
      <c r="DZT302" s="136"/>
      <c r="DZU302" s="136"/>
      <c r="DZV302" s="136"/>
      <c r="DZW302" s="136"/>
      <c r="DZX302" s="136"/>
      <c r="DZY302" s="136"/>
      <c r="DZZ302" s="136"/>
      <c r="EAA302" s="136"/>
      <c r="EAB302" s="136"/>
      <c r="EAC302" s="136"/>
      <c r="EAD302" s="136"/>
      <c r="EAE302" s="136"/>
      <c r="EAF302" s="136"/>
      <c r="EAG302" s="136"/>
      <c r="EAH302" s="136"/>
      <c r="EAI302" s="136"/>
      <c r="EAJ302" s="136"/>
      <c r="EAK302" s="136"/>
      <c r="EAL302" s="136"/>
      <c r="EAM302" s="136"/>
      <c r="EAN302" s="136"/>
      <c r="EAO302" s="136"/>
      <c r="EAP302" s="136"/>
      <c r="EAQ302" s="136"/>
      <c r="EAR302" s="136"/>
      <c r="EAS302" s="136"/>
      <c r="EAT302" s="136"/>
      <c r="EAU302" s="136"/>
      <c r="EAV302" s="136"/>
      <c r="EAW302" s="136"/>
      <c r="EAX302" s="136"/>
      <c r="EAY302" s="136"/>
      <c r="EAZ302" s="136"/>
      <c r="EBA302" s="136"/>
      <c r="EBB302" s="136"/>
      <c r="EBC302" s="136"/>
      <c r="EBD302" s="136"/>
      <c r="EBE302" s="136"/>
      <c r="EBF302" s="136"/>
      <c r="EBG302" s="136"/>
      <c r="EBH302" s="136"/>
      <c r="EBI302" s="136"/>
      <c r="EBJ302" s="136"/>
      <c r="EBK302" s="136"/>
      <c r="EBL302" s="136"/>
      <c r="EBM302" s="136"/>
      <c r="EBN302" s="136"/>
      <c r="EBO302" s="136"/>
      <c r="EBP302" s="136"/>
      <c r="EBQ302" s="136"/>
      <c r="EBR302" s="136"/>
      <c r="EBS302" s="136"/>
      <c r="EBT302" s="136"/>
      <c r="EBU302" s="136"/>
      <c r="EBV302" s="136"/>
      <c r="EBW302" s="136"/>
      <c r="EBX302" s="136"/>
      <c r="EBY302" s="136"/>
      <c r="EBZ302" s="136"/>
      <c r="ECA302" s="136"/>
      <c r="ECB302" s="136"/>
      <c r="ECC302" s="136"/>
      <c r="ECD302" s="136"/>
      <c r="ECE302" s="136"/>
      <c r="ECF302" s="136"/>
      <c r="ECG302" s="136"/>
      <c r="ECH302" s="136"/>
      <c r="ECI302" s="136"/>
      <c r="ECJ302" s="136"/>
      <c r="ECK302" s="136"/>
      <c r="ECL302" s="136"/>
      <c r="ECM302" s="136"/>
      <c r="ECN302" s="136"/>
      <c r="ECO302" s="136"/>
      <c r="ECP302" s="136"/>
      <c r="ECQ302" s="136"/>
      <c r="ECR302" s="136"/>
      <c r="ECS302" s="136"/>
      <c r="ECT302" s="136"/>
      <c r="ECU302" s="136"/>
      <c r="ECV302" s="136"/>
      <c r="ECW302" s="136"/>
      <c r="ECX302" s="136"/>
      <c r="ECY302" s="136"/>
      <c r="ECZ302" s="136"/>
      <c r="EDA302" s="136"/>
      <c r="EDB302" s="136"/>
      <c r="EDC302" s="136"/>
      <c r="EDD302" s="136"/>
      <c r="EDE302" s="136"/>
      <c r="EDF302" s="136"/>
      <c r="EDG302" s="136"/>
      <c r="EDH302" s="136"/>
      <c r="EDI302" s="136"/>
      <c r="EDJ302" s="136"/>
      <c r="EDK302" s="136"/>
      <c r="EDL302" s="136"/>
      <c r="EDM302" s="136"/>
      <c r="EDN302" s="136"/>
      <c r="EDO302" s="136"/>
      <c r="EDP302" s="136"/>
      <c r="EDQ302" s="136"/>
      <c r="EDR302" s="136"/>
      <c r="EDS302" s="136"/>
      <c r="EDT302" s="136"/>
      <c r="EDU302" s="136"/>
      <c r="EDV302" s="136"/>
      <c r="EDW302" s="136"/>
      <c r="EDX302" s="136"/>
      <c r="EDY302" s="136"/>
      <c r="EDZ302" s="136"/>
      <c r="EEA302" s="136"/>
      <c r="EEB302" s="136"/>
      <c r="EEC302" s="136"/>
      <c r="EED302" s="136"/>
      <c r="EEE302" s="136"/>
      <c r="EEF302" s="136"/>
      <c r="EEG302" s="136"/>
      <c r="EEH302" s="136"/>
      <c r="EEI302" s="136"/>
      <c r="EEJ302" s="136"/>
      <c r="EEK302" s="136"/>
      <c r="EEL302" s="136"/>
      <c r="EEM302" s="136"/>
      <c r="EEN302" s="136"/>
      <c r="EEO302" s="136"/>
      <c r="EEP302" s="136"/>
      <c r="EEQ302" s="136"/>
      <c r="EER302" s="136"/>
      <c r="EES302" s="136"/>
      <c r="EET302" s="136"/>
      <c r="EEU302" s="136"/>
      <c r="EEV302" s="136"/>
      <c r="EEW302" s="136"/>
      <c r="EEX302" s="136"/>
      <c r="EEY302" s="136"/>
      <c r="EEZ302" s="136"/>
      <c r="EFA302" s="136"/>
      <c r="EFB302" s="136"/>
      <c r="EFC302" s="136"/>
      <c r="EFD302" s="136"/>
      <c r="EFE302" s="136"/>
      <c r="EFF302" s="136"/>
      <c r="EFG302" s="136"/>
      <c r="EFH302" s="136"/>
      <c r="EFI302" s="136"/>
      <c r="EFJ302" s="136"/>
      <c r="EFK302" s="136"/>
      <c r="EFL302" s="136"/>
      <c r="EFM302" s="136"/>
      <c r="EFN302" s="136"/>
      <c r="EFO302" s="136"/>
      <c r="EFP302" s="136"/>
      <c r="EFQ302" s="136"/>
      <c r="EFR302" s="136"/>
      <c r="EFS302" s="136"/>
      <c r="EFT302" s="136"/>
      <c r="EFU302" s="136"/>
      <c r="EFV302" s="136"/>
      <c r="EFW302" s="136"/>
      <c r="EFX302" s="136"/>
      <c r="EFY302" s="136"/>
      <c r="EFZ302" s="136"/>
      <c r="EGA302" s="136"/>
      <c r="EGB302" s="136"/>
      <c r="EGC302" s="136"/>
      <c r="EGD302" s="136"/>
      <c r="EGE302" s="136"/>
      <c r="EGF302" s="136"/>
      <c r="EGG302" s="136"/>
      <c r="EGH302" s="136"/>
      <c r="EGI302" s="136"/>
      <c r="EGJ302" s="136"/>
      <c r="EGK302" s="136"/>
      <c r="EGL302" s="136"/>
      <c r="EGM302" s="136"/>
      <c r="EGN302" s="136"/>
      <c r="EGO302" s="136"/>
      <c r="EGP302" s="136"/>
      <c r="EGQ302" s="136"/>
      <c r="EGR302" s="136"/>
      <c r="EGS302" s="136"/>
      <c r="EGT302" s="136"/>
      <c r="EGU302" s="136"/>
      <c r="EGV302" s="136"/>
      <c r="EGW302" s="136"/>
      <c r="EGX302" s="136"/>
      <c r="EGY302" s="136"/>
      <c r="EGZ302" s="136"/>
      <c r="EHA302" s="136"/>
      <c r="EHB302" s="136"/>
      <c r="EHC302" s="136"/>
      <c r="EHD302" s="136"/>
      <c r="EHE302" s="136"/>
      <c r="EHF302" s="136"/>
      <c r="EHG302" s="136"/>
      <c r="EHH302" s="136"/>
      <c r="EHI302" s="136"/>
      <c r="EHJ302" s="136"/>
      <c r="EHK302" s="136"/>
      <c r="EHL302" s="136"/>
      <c r="EHM302" s="136"/>
      <c r="EHN302" s="136"/>
      <c r="EHO302" s="136"/>
      <c r="EHP302" s="136"/>
      <c r="EHQ302" s="136"/>
      <c r="EHR302" s="136"/>
      <c r="EHS302" s="136"/>
      <c r="EHT302" s="136"/>
      <c r="EHU302" s="136"/>
      <c r="EHV302" s="136"/>
      <c r="EHW302" s="136"/>
      <c r="EHX302" s="136"/>
      <c r="EHY302" s="136"/>
      <c r="EHZ302" s="136"/>
      <c r="EIA302" s="136"/>
      <c r="EIB302" s="136"/>
      <c r="EIC302" s="136"/>
      <c r="EID302" s="136"/>
      <c r="EIE302" s="136"/>
      <c r="EIF302" s="136"/>
      <c r="EIG302" s="136"/>
      <c r="EIH302" s="136"/>
      <c r="EII302" s="136"/>
      <c r="EIJ302" s="136"/>
      <c r="EIK302" s="136"/>
      <c r="EIL302" s="136"/>
      <c r="EIM302" s="136"/>
      <c r="EIN302" s="136"/>
      <c r="EIO302" s="136"/>
      <c r="EIP302" s="136"/>
      <c r="EIQ302" s="136"/>
      <c r="EIR302" s="136"/>
      <c r="EIS302" s="136"/>
      <c r="EIT302" s="136"/>
      <c r="EIU302" s="136"/>
      <c r="EIV302" s="136"/>
      <c r="EIW302" s="136"/>
      <c r="EIX302" s="136"/>
      <c r="EIY302" s="136"/>
      <c r="EIZ302" s="136"/>
      <c r="EJA302" s="136"/>
      <c r="EJB302" s="136"/>
      <c r="EJC302" s="136"/>
      <c r="EJD302" s="136"/>
      <c r="EJE302" s="136"/>
      <c r="EJF302" s="136"/>
      <c r="EJG302" s="136"/>
      <c r="EJH302" s="136"/>
      <c r="EJI302" s="136"/>
      <c r="EJJ302" s="136"/>
      <c r="EJK302" s="136"/>
      <c r="EJL302" s="136"/>
      <c r="EJM302" s="136"/>
      <c r="EJN302" s="136"/>
      <c r="EJO302" s="136"/>
      <c r="EJP302" s="136"/>
      <c r="EJQ302" s="136"/>
      <c r="EJR302" s="136"/>
      <c r="EJS302" s="136"/>
      <c r="EJT302" s="136"/>
      <c r="EJU302" s="136"/>
      <c r="EJV302" s="136"/>
      <c r="EJW302" s="136"/>
      <c r="EJX302" s="136"/>
      <c r="EJY302" s="136"/>
      <c r="EJZ302" s="136"/>
      <c r="EKA302" s="136"/>
      <c r="EKB302" s="136"/>
      <c r="EKC302" s="136"/>
      <c r="EKD302" s="136"/>
      <c r="EKE302" s="136"/>
      <c r="EKF302" s="136"/>
      <c r="EKG302" s="136"/>
      <c r="EKH302" s="136"/>
      <c r="EKI302" s="136"/>
      <c r="EKJ302" s="136"/>
      <c r="EKK302" s="136"/>
      <c r="EKL302" s="136"/>
      <c r="EKM302" s="136"/>
      <c r="EKN302" s="136"/>
      <c r="EKO302" s="136"/>
      <c r="EKP302" s="136"/>
      <c r="EKQ302" s="136"/>
      <c r="EKR302" s="136"/>
      <c r="EKS302" s="136"/>
      <c r="EKT302" s="136"/>
      <c r="EKU302" s="136"/>
      <c r="EKV302" s="136"/>
      <c r="EKW302" s="136"/>
      <c r="EKX302" s="136"/>
      <c r="EKY302" s="136"/>
      <c r="EKZ302" s="136"/>
      <c r="ELA302" s="136"/>
      <c r="ELB302" s="136"/>
      <c r="ELC302" s="136"/>
      <c r="ELD302" s="136"/>
      <c r="ELE302" s="136"/>
      <c r="ELF302" s="136"/>
      <c r="ELG302" s="136"/>
      <c r="ELH302" s="136"/>
      <c r="ELI302" s="136"/>
      <c r="ELJ302" s="136"/>
      <c r="ELK302" s="136"/>
      <c r="ELL302" s="136"/>
      <c r="ELM302" s="136"/>
      <c r="ELN302" s="136"/>
      <c r="ELO302" s="136"/>
      <c r="ELP302" s="136"/>
      <c r="ELQ302" s="136"/>
      <c r="ELR302" s="136"/>
      <c r="ELS302" s="136"/>
      <c r="ELT302" s="136"/>
      <c r="ELU302" s="136"/>
      <c r="ELV302" s="136"/>
      <c r="ELW302" s="136"/>
      <c r="ELX302" s="136"/>
      <c r="ELY302" s="136"/>
      <c r="ELZ302" s="136"/>
      <c r="EMA302" s="136"/>
      <c r="EMB302" s="136"/>
      <c r="EMC302" s="136"/>
      <c r="EMD302" s="136"/>
      <c r="EME302" s="136"/>
      <c r="EMF302" s="136"/>
      <c r="EMG302" s="136"/>
      <c r="EMH302" s="136"/>
      <c r="EMI302" s="136"/>
      <c r="EMJ302" s="136"/>
      <c r="EMK302" s="136"/>
      <c r="EML302" s="136"/>
      <c r="EMM302" s="136"/>
      <c r="EMN302" s="136"/>
      <c r="EMO302" s="136"/>
      <c r="EMP302" s="136"/>
      <c r="EMQ302" s="136"/>
      <c r="EMR302" s="136"/>
      <c r="EMS302" s="136"/>
      <c r="EMT302" s="136"/>
      <c r="EMU302" s="136"/>
      <c r="EMV302" s="136"/>
      <c r="EMW302" s="136"/>
      <c r="EMX302" s="136"/>
      <c r="EMY302" s="136"/>
      <c r="EMZ302" s="136"/>
      <c r="ENA302" s="136"/>
      <c r="ENB302" s="136"/>
      <c r="ENC302" s="136"/>
      <c r="END302" s="136"/>
      <c r="ENE302" s="136"/>
      <c r="ENF302" s="136"/>
      <c r="ENG302" s="136"/>
      <c r="ENH302" s="136"/>
      <c r="ENI302" s="136"/>
      <c r="ENJ302" s="136"/>
      <c r="ENK302" s="136"/>
      <c r="ENL302" s="136"/>
      <c r="ENM302" s="136"/>
      <c r="ENN302" s="136"/>
      <c r="ENO302" s="136"/>
      <c r="ENP302" s="136"/>
      <c r="ENQ302" s="136"/>
      <c r="ENR302" s="136"/>
      <c r="ENS302" s="136"/>
      <c r="ENT302" s="136"/>
      <c r="ENU302" s="136"/>
      <c r="ENV302" s="136"/>
      <c r="ENW302" s="136"/>
      <c r="ENX302" s="136"/>
      <c r="ENY302" s="136"/>
      <c r="ENZ302" s="136"/>
      <c r="EOA302" s="136"/>
      <c r="EOB302" s="136"/>
      <c r="EOC302" s="136"/>
      <c r="EOD302" s="136"/>
      <c r="EOE302" s="136"/>
      <c r="EOF302" s="136"/>
      <c r="EOG302" s="136"/>
      <c r="EOH302" s="136"/>
      <c r="EOI302" s="136"/>
      <c r="EOJ302" s="136"/>
      <c r="EOK302" s="136"/>
      <c r="EOL302" s="136"/>
      <c r="EOM302" s="136"/>
      <c r="EON302" s="136"/>
      <c r="EOO302" s="136"/>
      <c r="EOP302" s="136"/>
      <c r="EOQ302" s="136"/>
      <c r="EOR302" s="136"/>
      <c r="EOS302" s="136"/>
      <c r="EOT302" s="136"/>
      <c r="EOU302" s="136"/>
      <c r="EOV302" s="136"/>
      <c r="EOW302" s="136"/>
      <c r="EOX302" s="136"/>
      <c r="EOY302" s="136"/>
      <c r="EOZ302" s="136"/>
      <c r="EPA302" s="136"/>
      <c r="EPB302" s="136"/>
      <c r="EPC302" s="136"/>
      <c r="EPD302" s="136"/>
      <c r="EPE302" s="136"/>
      <c r="EPF302" s="136"/>
      <c r="EPG302" s="136"/>
      <c r="EPH302" s="136"/>
      <c r="EPI302" s="136"/>
      <c r="EPJ302" s="136"/>
      <c r="EPK302" s="136"/>
      <c r="EPL302" s="136"/>
      <c r="EPM302" s="136"/>
      <c r="EPN302" s="136"/>
      <c r="EPO302" s="136"/>
      <c r="EPP302" s="136"/>
      <c r="EPQ302" s="136"/>
      <c r="EPR302" s="136"/>
      <c r="EPS302" s="136"/>
      <c r="EPT302" s="136"/>
      <c r="EPU302" s="136"/>
      <c r="EPV302" s="136"/>
      <c r="EPW302" s="136"/>
      <c r="EPX302" s="136"/>
      <c r="EPY302" s="136"/>
      <c r="EPZ302" s="136"/>
      <c r="EQA302" s="136"/>
      <c r="EQB302" s="136"/>
      <c r="EQC302" s="136"/>
      <c r="EQD302" s="136"/>
      <c r="EQE302" s="136"/>
      <c r="EQF302" s="136"/>
      <c r="EQG302" s="136"/>
      <c r="EQH302" s="136"/>
      <c r="EQI302" s="136"/>
      <c r="EQJ302" s="136"/>
      <c r="EQK302" s="136"/>
      <c r="EQL302" s="136"/>
      <c r="EQM302" s="136"/>
      <c r="EQN302" s="136"/>
      <c r="EQO302" s="136"/>
      <c r="EQP302" s="136"/>
      <c r="EQQ302" s="136"/>
      <c r="EQR302" s="136"/>
      <c r="EQS302" s="136"/>
      <c r="EQT302" s="136"/>
      <c r="EQU302" s="136"/>
      <c r="EQV302" s="136"/>
      <c r="EQW302" s="136"/>
      <c r="EQX302" s="136"/>
      <c r="EQY302" s="136"/>
      <c r="EQZ302" s="136"/>
      <c r="ERA302" s="136"/>
      <c r="ERB302" s="136"/>
      <c r="ERC302" s="136"/>
      <c r="ERD302" s="136"/>
      <c r="ERE302" s="136"/>
      <c r="ERF302" s="136"/>
      <c r="ERG302" s="136"/>
      <c r="ERH302" s="136"/>
      <c r="ERI302" s="136"/>
      <c r="ERJ302" s="136"/>
      <c r="ERK302" s="136"/>
      <c r="ERL302" s="136"/>
      <c r="ERM302" s="136"/>
      <c r="ERN302" s="136"/>
      <c r="ERO302" s="136"/>
      <c r="ERP302" s="136"/>
      <c r="ERQ302" s="136"/>
      <c r="ERR302" s="136"/>
      <c r="ERS302" s="136"/>
      <c r="ERT302" s="136"/>
      <c r="ERU302" s="136"/>
      <c r="ERV302" s="136"/>
      <c r="ERW302" s="136"/>
      <c r="ERX302" s="136"/>
      <c r="ERY302" s="136"/>
      <c r="ERZ302" s="136"/>
      <c r="ESA302" s="136"/>
      <c r="ESB302" s="136"/>
      <c r="ESC302" s="136"/>
      <c r="ESD302" s="136"/>
      <c r="ESE302" s="136"/>
      <c r="ESF302" s="136"/>
      <c r="ESG302" s="136"/>
      <c r="ESH302" s="136"/>
      <c r="ESI302" s="136"/>
      <c r="ESJ302" s="136"/>
      <c r="ESK302" s="136"/>
      <c r="ESL302" s="136"/>
      <c r="ESM302" s="136"/>
      <c r="ESN302" s="136"/>
      <c r="ESO302" s="136"/>
      <c r="ESP302" s="136"/>
      <c r="ESQ302" s="136"/>
      <c r="ESR302" s="136"/>
      <c r="ESS302" s="136"/>
      <c r="EST302" s="136"/>
      <c r="ESU302" s="136"/>
      <c r="ESV302" s="136"/>
      <c r="ESW302" s="136"/>
      <c r="ESX302" s="136"/>
      <c r="ESY302" s="136"/>
      <c r="ESZ302" s="136"/>
      <c r="ETA302" s="136"/>
      <c r="ETB302" s="136"/>
      <c r="ETC302" s="136"/>
      <c r="ETD302" s="136"/>
      <c r="ETE302" s="136"/>
      <c r="ETF302" s="136"/>
      <c r="ETG302" s="136"/>
      <c r="ETH302" s="136"/>
      <c r="ETI302" s="136"/>
      <c r="ETJ302" s="136"/>
      <c r="ETK302" s="136"/>
      <c r="ETL302" s="136"/>
      <c r="ETM302" s="136"/>
      <c r="ETN302" s="136"/>
      <c r="ETO302" s="136"/>
      <c r="ETP302" s="136"/>
      <c r="ETQ302" s="136"/>
      <c r="ETR302" s="136"/>
      <c r="ETS302" s="136"/>
      <c r="ETT302" s="136"/>
      <c r="ETU302" s="136"/>
      <c r="ETV302" s="136"/>
      <c r="ETW302" s="136"/>
      <c r="ETX302" s="136"/>
      <c r="ETY302" s="136"/>
      <c r="ETZ302" s="136"/>
      <c r="EUA302" s="136"/>
      <c r="EUB302" s="136"/>
      <c r="EUC302" s="136"/>
      <c r="EUD302" s="136"/>
      <c r="EUE302" s="136"/>
      <c r="EUF302" s="136"/>
      <c r="EUG302" s="136"/>
      <c r="EUH302" s="136"/>
      <c r="EUI302" s="136"/>
      <c r="EUJ302" s="136"/>
      <c r="EUK302" s="136"/>
      <c r="EUL302" s="136"/>
      <c r="EUM302" s="136"/>
      <c r="EUN302" s="136"/>
      <c r="EUO302" s="136"/>
      <c r="EUP302" s="136"/>
      <c r="EUQ302" s="136"/>
      <c r="EUR302" s="136"/>
      <c r="EUS302" s="136"/>
      <c r="EUT302" s="136"/>
      <c r="EUU302" s="136"/>
      <c r="EUV302" s="136"/>
      <c r="EUW302" s="136"/>
      <c r="EUX302" s="136"/>
      <c r="EUY302" s="136"/>
      <c r="EUZ302" s="136"/>
      <c r="EVA302" s="136"/>
      <c r="EVB302" s="136"/>
      <c r="EVC302" s="136"/>
      <c r="EVD302" s="136"/>
      <c r="EVE302" s="136"/>
      <c r="EVF302" s="136"/>
      <c r="EVG302" s="136"/>
      <c r="EVH302" s="136"/>
      <c r="EVI302" s="136"/>
      <c r="EVJ302" s="136"/>
      <c r="EVK302" s="136"/>
      <c r="EVL302" s="136"/>
      <c r="EVM302" s="136"/>
      <c r="EVN302" s="136"/>
      <c r="EVO302" s="136"/>
      <c r="EVP302" s="136"/>
      <c r="EVQ302" s="136"/>
      <c r="EVR302" s="136"/>
      <c r="EVS302" s="136"/>
      <c r="EVT302" s="136"/>
      <c r="EVU302" s="136"/>
      <c r="EVV302" s="136"/>
      <c r="EVW302" s="136"/>
      <c r="EVX302" s="136"/>
      <c r="EVY302" s="136"/>
      <c r="EVZ302" s="136"/>
      <c r="EWA302" s="136"/>
      <c r="EWB302" s="136"/>
      <c r="EWC302" s="136"/>
      <c r="EWD302" s="136"/>
      <c r="EWE302" s="136"/>
      <c r="EWF302" s="136"/>
      <c r="EWG302" s="136"/>
      <c r="EWH302" s="136"/>
      <c r="EWI302" s="136"/>
      <c r="EWJ302" s="136"/>
      <c r="EWK302" s="136"/>
      <c r="EWL302" s="136"/>
      <c r="EWM302" s="136"/>
      <c r="EWN302" s="136"/>
      <c r="EWO302" s="136"/>
      <c r="EWP302" s="136"/>
      <c r="EWQ302" s="136"/>
      <c r="EWR302" s="136"/>
      <c r="EWS302" s="136"/>
      <c r="EWT302" s="136"/>
      <c r="EWU302" s="136"/>
      <c r="EWV302" s="136"/>
      <c r="EWW302" s="136"/>
      <c r="EWX302" s="136"/>
      <c r="EWY302" s="136"/>
      <c r="EWZ302" s="136"/>
      <c r="EXA302" s="136"/>
      <c r="EXB302" s="136"/>
      <c r="EXC302" s="136"/>
      <c r="EXD302" s="136"/>
      <c r="EXE302" s="136"/>
      <c r="EXF302" s="136"/>
      <c r="EXG302" s="136"/>
      <c r="EXH302" s="136"/>
      <c r="EXI302" s="136"/>
      <c r="EXJ302" s="136"/>
      <c r="EXK302" s="136"/>
      <c r="EXL302" s="136"/>
      <c r="EXM302" s="136"/>
      <c r="EXN302" s="136"/>
      <c r="EXO302" s="136"/>
      <c r="EXP302" s="136"/>
      <c r="EXQ302" s="136"/>
      <c r="EXR302" s="136"/>
      <c r="EXS302" s="136"/>
      <c r="EXT302" s="136"/>
      <c r="EXU302" s="136"/>
      <c r="EXV302" s="136"/>
      <c r="EXW302" s="136"/>
      <c r="EXX302" s="136"/>
      <c r="EXY302" s="136"/>
      <c r="EXZ302" s="136"/>
      <c r="EYA302" s="136"/>
      <c r="EYB302" s="136"/>
      <c r="EYC302" s="136"/>
      <c r="EYD302" s="136"/>
      <c r="EYE302" s="136"/>
      <c r="EYF302" s="136"/>
      <c r="EYG302" s="136"/>
      <c r="EYH302" s="136"/>
      <c r="EYI302" s="136"/>
      <c r="EYJ302" s="136"/>
      <c r="EYK302" s="136"/>
      <c r="EYL302" s="136"/>
      <c r="EYM302" s="136"/>
      <c r="EYN302" s="136"/>
      <c r="EYO302" s="136"/>
      <c r="EYP302" s="136"/>
      <c r="EYQ302" s="136"/>
      <c r="EYR302" s="136"/>
      <c r="EYS302" s="136"/>
      <c r="EYT302" s="136"/>
      <c r="EYU302" s="136"/>
      <c r="EYV302" s="136"/>
      <c r="EYW302" s="136"/>
      <c r="EYX302" s="136"/>
      <c r="EYY302" s="136"/>
      <c r="EYZ302" s="136"/>
      <c r="EZA302" s="136"/>
      <c r="EZB302" s="136"/>
      <c r="EZC302" s="136"/>
      <c r="EZD302" s="136"/>
      <c r="EZE302" s="136"/>
      <c r="EZF302" s="136"/>
      <c r="EZG302" s="136"/>
      <c r="EZH302" s="136"/>
      <c r="EZI302" s="136"/>
      <c r="EZJ302" s="136"/>
      <c r="EZK302" s="136"/>
      <c r="EZL302" s="136"/>
      <c r="EZM302" s="136"/>
      <c r="EZN302" s="136"/>
      <c r="EZO302" s="136"/>
      <c r="EZP302" s="136"/>
      <c r="EZQ302" s="136"/>
      <c r="EZR302" s="136"/>
      <c r="EZS302" s="136"/>
      <c r="EZT302" s="136"/>
      <c r="EZU302" s="136"/>
      <c r="EZV302" s="136"/>
      <c r="EZW302" s="136"/>
      <c r="EZX302" s="136"/>
      <c r="EZY302" s="136"/>
      <c r="EZZ302" s="136"/>
      <c r="FAA302" s="136"/>
      <c r="FAB302" s="136"/>
      <c r="FAC302" s="136"/>
      <c r="FAD302" s="136"/>
      <c r="FAE302" s="136"/>
      <c r="FAF302" s="136"/>
      <c r="FAG302" s="136"/>
      <c r="FAH302" s="136"/>
      <c r="FAI302" s="136"/>
      <c r="FAJ302" s="136"/>
      <c r="FAK302" s="136"/>
      <c r="FAL302" s="136"/>
      <c r="FAM302" s="136"/>
      <c r="FAN302" s="136"/>
      <c r="FAO302" s="136"/>
      <c r="FAP302" s="136"/>
      <c r="FAQ302" s="136"/>
      <c r="FAR302" s="136"/>
      <c r="FAS302" s="136"/>
      <c r="FAT302" s="136"/>
      <c r="FAU302" s="136"/>
      <c r="FAV302" s="136"/>
      <c r="FAW302" s="136"/>
      <c r="FAX302" s="136"/>
      <c r="FAY302" s="136"/>
      <c r="FAZ302" s="136"/>
      <c r="FBA302" s="136"/>
      <c r="FBB302" s="136"/>
      <c r="FBC302" s="136"/>
      <c r="FBD302" s="136"/>
      <c r="FBE302" s="136"/>
      <c r="FBF302" s="136"/>
      <c r="FBG302" s="136"/>
      <c r="FBH302" s="136"/>
      <c r="FBI302" s="136"/>
      <c r="FBJ302" s="136"/>
      <c r="FBK302" s="136"/>
      <c r="FBL302" s="136"/>
      <c r="FBM302" s="136"/>
      <c r="FBN302" s="136"/>
      <c r="FBO302" s="136"/>
      <c r="FBP302" s="136"/>
      <c r="FBQ302" s="136"/>
      <c r="FBR302" s="136"/>
      <c r="FBS302" s="136"/>
      <c r="FBT302" s="136"/>
      <c r="FBU302" s="136"/>
      <c r="FBV302" s="136"/>
      <c r="FBW302" s="136"/>
      <c r="FBX302" s="136"/>
      <c r="FBY302" s="136"/>
      <c r="FBZ302" s="136"/>
      <c r="FCA302" s="136"/>
      <c r="FCB302" s="136"/>
      <c r="FCC302" s="136"/>
      <c r="FCD302" s="136"/>
      <c r="FCE302" s="136"/>
      <c r="FCF302" s="136"/>
      <c r="FCG302" s="136"/>
      <c r="FCH302" s="136"/>
      <c r="FCI302" s="136"/>
      <c r="FCJ302" s="136"/>
      <c r="FCK302" s="136"/>
      <c r="FCL302" s="136"/>
      <c r="FCM302" s="136"/>
      <c r="FCN302" s="136"/>
      <c r="FCO302" s="136"/>
      <c r="FCP302" s="136"/>
      <c r="FCQ302" s="136"/>
      <c r="FCR302" s="136"/>
      <c r="FCS302" s="136"/>
      <c r="FCT302" s="136"/>
      <c r="FCU302" s="136"/>
      <c r="FCV302" s="136"/>
      <c r="FCW302" s="136"/>
      <c r="FCX302" s="136"/>
      <c r="FCY302" s="136"/>
      <c r="FCZ302" s="136"/>
      <c r="FDA302" s="136"/>
      <c r="FDB302" s="136"/>
      <c r="FDC302" s="136"/>
      <c r="FDD302" s="136"/>
      <c r="FDE302" s="136"/>
      <c r="FDF302" s="136"/>
      <c r="FDG302" s="136"/>
      <c r="FDH302" s="136"/>
      <c r="FDI302" s="136"/>
      <c r="FDJ302" s="136"/>
      <c r="FDK302" s="136"/>
      <c r="FDL302" s="136"/>
      <c r="FDM302" s="136"/>
      <c r="FDN302" s="136"/>
      <c r="FDO302" s="136"/>
      <c r="FDP302" s="136"/>
      <c r="FDQ302" s="136"/>
      <c r="FDR302" s="136"/>
      <c r="FDS302" s="136"/>
      <c r="FDT302" s="136"/>
      <c r="FDU302" s="136"/>
      <c r="FDV302" s="136"/>
      <c r="FDW302" s="136"/>
      <c r="FDX302" s="136"/>
      <c r="FDY302" s="136"/>
      <c r="FDZ302" s="136"/>
      <c r="FEA302" s="136"/>
      <c r="FEB302" s="136"/>
      <c r="FEC302" s="136"/>
      <c r="FED302" s="136"/>
      <c r="FEE302" s="136"/>
      <c r="FEF302" s="136"/>
      <c r="FEG302" s="136"/>
      <c r="FEH302" s="136"/>
      <c r="FEI302" s="136"/>
      <c r="FEJ302" s="136"/>
      <c r="FEK302" s="136"/>
      <c r="FEL302" s="136"/>
      <c r="FEM302" s="136"/>
      <c r="FEN302" s="136"/>
      <c r="FEO302" s="136"/>
      <c r="FEP302" s="136"/>
      <c r="FEQ302" s="136"/>
      <c r="FER302" s="136"/>
      <c r="FES302" s="136"/>
      <c r="FET302" s="136"/>
      <c r="FEU302" s="136"/>
      <c r="FEV302" s="136"/>
      <c r="FEW302" s="136"/>
      <c r="FEX302" s="136"/>
      <c r="FEY302" s="136"/>
      <c r="FEZ302" s="136"/>
      <c r="FFA302" s="136"/>
      <c r="FFB302" s="136"/>
      <c r="FFC302" s="136"/>
      <c r="FFD302" s="136"/>
      <c r="FFE302" s="136"/>
      <c r="FFF302" s="136"/>
      <c r="FFG302" s="136"/>
      <c r="FFH302" s="136"/>
      <c r="FFI302" s="136"/>
      <c r="FFJ302" s="136"/>
      <c r="FFK302" s="136"/>
      <c r="FFL302" s="136"/>
      <c r="FFM302" s="136"/>
      <c r="FFN302" s="136"/>
      <c r="FFO302" s="136"/>
      <c r="FFP302" s="136"/>
      <c r="FFQ302" s="136"/>
      <c r="FFR302" s="136"/>
      <c r="FFS302" s="136"/>
      <c r="FFT302" s="136"/>
      <c r="FFU302" s="136"/>
      <c r="FFV302" s="136"/>
      <c r="FFW302" s="136"/>
      <c r="FFX302" s="136"/>
      <c r="FFY302" s="136"/>
      <c r="FFZ302" s="136"/>
      <c r="FGA302" s="136"/>
      <c r="FGB302" s="136"/>
      <c r="FGC302" s="136"/>
      <c r="FGD302" s="136"/>
      <c r="FGE302" s="136"/>
      <c r="FGF302" s="136"/>
      <c r="FGG302" s="136"/>
      <c r="FGH302" s="136"/>
      <c r="FGI302" s="136"/>
      <c r="FGJ302" s="136"/>
      <c r="FGK302" s="136"/>
      <c r="FGL302" s="136"/>
      <c r="FGM302" s="136"/>
      <c r="FGN302" s="136"/>
      <c r="FGO302" s="136"/>
      <c r="FGP302" s="136"/>
      <c r="FGQ302" s="136"/>
      <c r="FGR302" s="136"/>
      <c r="FGS302" s="136"/>
      <c r="FGT302" s="136"/>
      <c r="FGU302" s="136"/>
      <c r="FGV302" s="136"/>
      <c r="FGW302" s="136"/>
      <c r="FGX302" s="136"/>
      <c r="FGY302" s="136"/>
      <c r="FGZ302" s="136"/>
      <c r="FHA302" s="136"/>
      <c r="FHB302" s="136"/>
      <c r="FHC302" s="136"/>
      <c r="FHD302" s="136"/>
      <c r="FHE302" s="136"/>
      <c r="FHF302" s="136"/>
      <c r="FHG302" s="136"/>
      <c r="FHH302" s="136"/>
      <c r="FHI302" s="136"/>
      <c r="FHJ302" s="136"/>
      <c r="FHK302" s="136"/>
      <c r="FHL302" s="136"/>
      <c r="FHM302" s="136"/>
      <c r="FHN302" s="136"/>
      <c r="FHO302" s="136"/>
      <c r="FHP302" s="136"/>
      <c r="FHQ302" s="136"/>
      <c r="FHR302" s="136"/>
      <c r="FHS302" s="136"/>
      <c r="FHT302" s="136"/>
      <c r="FHU302" s="136"/>
      <c r="FHV302" s="136"/>
      <c r="FHW302" s="136"/>
      <c r="FHX302" s="136"/>
      <c r="FHY302" s="136"/>
      <c r="FHZ302" s="136"/>
      <c r="FIA302" s="136"/>
      <c r="FIB302" s="136"/>
      <c r="FIC302" s="136"/>
      <c r="FID302" s="136"/>
      <c r="FIE302" s="136"/>
      <c r="FIF302" s="136"/>
      <c r="FIG302" s="136"/>
      <c r="FIH302" s="136"/>
      <c r="FII302" s="136"/>
      <c r="FIJ302" s="136"/>
      <c r="FIK302" s="136"/>
      <c r="FIL302" s="136"/>
      <c r="FIM302" s="136"/>
      <c r="FIN302" s="136"/>
      <c r="FIO302" s="136"/>
      <c r="FIP302" s="136"/>
      <c r="FIQ302" s="136"/>
      <c r="FIR302" s="136"/>
      <c r="FIS302" s="136"/>
      <c r="FIT302" s="136"/>
      <c r="FIU302" s="136"/>
      <c r="FIV302" s="136"/>
      <c r="FIW302" s="136"/>
      <c r="FIX302" s="136"/>
      <c r="FIY302" s="136"/>
      <c r="FIZ302" s="136"/>
      <c r="FJA302" s="136"/>
      <c r="FJB302" s="136"/>
      <c r="FJC302" s="136"/>
      <c r="FJD302" s="136"/>
      <c r="FJE302" s="136"/>
      <c r="FJF302" s="136"/>
      <c r="FJG302" s="136"/>
      <c r="FJH302" s="136"/>
      <c r="FJI302" s="136"/>
      <c r="FJJ302" s="136"/>
      <c r="FJK302" s="136"/>
      <c r="FJL302" s="136"/>
      <c r="FJM302" s="136"/>
      <c r="FJN302" s="136"/>
      <c r="FJO302" s="136"/>
      <c r="FJP302" s="136"/>
      <c r="FJQ302" s="136"/>
      <c r="FJR302" s="136"/>
      <c r="FJS302" s="136"/>
      <c r="FJT302" s="136"/>
      <c r="FJU302" s="136"/>
      <c r="FJV302" s="136"/>
      <c r="FJW302" s="136"/>
      <c r="FJX302" s="136"/>
      <c r="FJY302" s="136"/>
      <c r="FJZ302" s="136"/>
      <c r="FKA302" s="136"/>
      <c r="FKB302" s="136"/>
      <c r="FKC302" s="136"/>
      <c r="FKD302" s="136"/>
      <c r="FKE302" s="136"/>
      <c r="FKF302" s="136"/>
      <c r="FKG302" s="136"/>
      <c r="FKH302" s="136"/>
      <c r="FKI302" s="136"/>
      <c r="FKJ302" s="136"/>
      <c r="FKK302" s="136"/>
      <c r="FKL302" s="136"/>
      <c r="FKM302" s="136"/>
      <c r="FKN302" s="136"/>
      <c r="FKO302" s="136"/>
      <c r="FKP302" s="136"/>
      <c r="FKQ302" s="136"/>
      <c r="FKR302" s="136"/>
      <c r="FKS302" s="136"/>
      <c r="FKT302" s="136"/>
      <c r="FKU302" s="136"/>
      <c r="FKV302" s="136"/>
      <c r="FKW302" s="136"/>
      <c r="FKX302" s="136"/>
      <c r="FKY302" s="136"/>
      <c r="FKZ302" s="136"/>
      <c r="FLA302" s="136"/>
      <c r="FLB302" s="136"/>
      <c r="FLC302" s="136"/>
      <c r="FLD302" s="136"/>
      <c r="FLE302" s="136"/>
      <c r="FLF302" s="136"/>
      <c r="FLG302" s="136"/>
      <c r="FLH302" s="136"/>
      <c r="FLI302" s="136"/>
      <c r="FLJ302" s="136"/>
      <c r="FLK302" s="136"/>
      <c r="FLL302" s="136"/>
      <c r="FLM302" s="136"/>
      <c r="FLN302" s="136"/>
      <c r="FLO302" s="136"/>
      <c r="FLP302" s="136"/>
      <c r="FLQ302" s="136"/>
      <c r="FLR302" s="136"/>
      <c r="FLS302" s="136"/>
      <c r="FLT302" s="136"/>
      <c r="FLU302" s="136"/>
      <c r="FLV302" s="136"/>
      <c r="FLW302" s="136"/>
      <c r="FLX302" s="136"/>
      <c r="FLY302" s="136"/>
      <c r="FLZ302" s="136"/>
      <c r="FMA302" s="136"/>
      <c r="FMB302" s="136"/>
      <c r="FMC302" s="136"/>
      <c r="FMD302" s="136"/>
      <c r="FME302" s="136"/>
      <c r="FMF302" s="136"/>
      <c r="FMG302" s="136"/>
      <c r="FMH302" s="136"/>
      <c r="FMI302" s="136"/>
      <c r="FMJ302" s="136"/>
      <c r="FMK302" s="136"/>
      <c r="FML302" s="136"/>
      <c r="FMM302" s="136"/>
      <c r="FMN302" s="136"/>
      <c r="FMO302" s="136"/>
      <c r="FMP302" s="136"/>
      <c r="FMQ302" s="136"/>
      <c r="FMR302" s="136"/>
      <c r="FMS302" s="136"/>
      <c r="FMT302" s="136"/>
      <c r="FMU302" s="136"/>
      <c r="FMV302" s="136"/>
      <c r="FMW302" s="136"/>
      <c r="FMX302" s="136"/>
      <c r="FMY302" s="136"/>
      <c r="FMZ302" s="136"/>
      <c r="FNA302" s="136"/>
      <c r="FNB302" s="136"/>
      <c r="FNC302" s="136"/>
      <c r="FND302" s="136"/>
      <c r="FNE302" s="136"/>
      <c r="FNF302" s="136"/>
      <c r="FNG302" s="136"/>
      <c r="FNH302" s="136"/>
      <c r="FNI302" s="136"/>
      <c r="FNJ302" s="136"/>
      <c r="FNK302" s="136"/>
      <c r="FNL302" s="136"/>
      <c r="FNM302" s="136"/>
      <c r="FNN302" s="136"/>
      <c r="FNO302" s="136"/>
      <c r="FNP302" s="136"/>
      <c r="FNQ302" s="136"/>
      <c r="FNR302" s="136"/>
      <c r="FNS302" s="136"/>
      <c r="FNT302" s="136"/>
      <c r="FNU302" s="136"/>
      <c r="FNV302" s="136"/>
      <c r="FNW302" s="136"/>
      <c r="FNX302" s="136"/>
      <c r="FNY302" s="136"/>
      <c r="FNZ302" s="136"/>
      <c r="FOA302" s="136"/>
      <c r="FOB302" s="136"/>
      <c r="FOC302" s="136"/>
      <c r="FOD302" s="136"/>
      <c r="FOE302" s="136"/>
      <c r="FOF302" s="136"/>
      <c r="FOG302" s="136"/>
      <c r="FOH302" s="136"/>
      <c r="FOI302" s="136"/>
      <c r="FOJ302" s="136"/>
      <c r="FOK302" s="136"/>
      <c r="FOL302" s="136"/>
      <c r="FOM302" s="136"/>
      <c r="FON302" s="136"/>
      <c r="FOO302" s="136"/>
      <c r="FOP302" s="136"/>
      <c r="FOQ302" s="136"/>
      <c r="FOR302" s="136"/>
      <c r="FOS302" s="136"/>
      <c r="FOT302" s="136"/>
      <c r="FOU302" s="136"/>
      <c r="FOV302" s="136"/>
      <c r="FOW302" s="136"/>
      <c r="FOX302" s="136"/>
      <c r="FOY302" s="136"/>
      <c r="FOZ302" s="136"/>
      <c r="FPA302" s="136"/>
      <c r="FPB302" s="136"/>
      <c r="FPC302" s="136"/>
      <c r="FPD302" s="136"/>
      <c r="FPE302" s="136"/>
      <c r="FPF302" s="136"/>
      <c r="FPG302" s="136"/>
      <c r="FPH302" s="136"/>
      <c r="FPI302" s="136"/>
      <c r="FPJ302" s="136"/>
      <c r="FPK302" s="136"/>
      <c r="FPL302" s="136"/>
      <c r="FPM302" s="136"/>
      <c r="FPN302" s="136"/>
      <c r="FPO302" s="136"/>
      <c r="FPP302" s="136"/>
      <c r="FPQ302" s="136"/>
      <c r="FPR302" s="136"/>
      <c r="FPS302" s="136"/>
      <c r="FPT302" s="136"/>
      <c r="FPU302" s="136"/>
      <c r="FPV302" s="136"/>
      <c r="FPW302" s="136"/>
      <c r="FPX302" s="136"/>
      <c r="FPY302" s="136"/>
      <c r="FPZ302" s="136"/>
      <c r="FQA302" s="136"/>
      <c r="FQB302" s="136"/>
      <c r="FQC302" s="136"/>
      <c r="FQD302" s="136"/>
      <c r="FQE302" s="136"/>
      <c r="FQF302" s="136"/>
      <c r="FQG302" s="136"/>
      <c r="FQH302" s="136"/>
      <c r="FQI302" s="136"/>
      <c r="FQJ302" s="136"/>
      <c r="FQK302" s="136"/>
      <c r="FQL302" s="136"/>
      <c r="FQM302" s="136"/>
      <c r="FQN302" s="136"/>
      <c r="FQO302" s="136"/>
      <c r="FQP302" s="136"/>
      <c r="FQQ302" s="136"/>
      <c r="FQR302" s="136"/>
      <c r="FQS302" s="136"/>
      <c r="FQT302" s="136"/>
      <c r="FQU302" s="136"/>
      <c r="FQV302" s="136"/>
      <c r="FQW302" s="136"/>
      <c r="FQX302" s="136"/>
      <c r="FQY302" s="136"/>
      <c r="FQZ302" s="136"/>
      <c r="FRA302" s="136"/>
      <c r="FRB302" s="136"/>
      <c r="FRC302" s="136"/>
      <c r="FRD302" s="136"/>
      <c r="FRE302" s="136"/>
      <c r="FRF302" s="136"/>
      <c r="FRG302" s="136"/>
      <c r="FRH302" s="136"/>
      <c r="FRI302" s="136"/>
      <c r="FRJ302" s="136"/>
      <c r="FRK302" s="136"/>
      <c r="FRL302" s="136"/>
      <c r="FRM302" s="136"/>
      <c r="FRN302" s="136"/>
      <c r="FRO302" s="136"/>
      <c r="FRP302" s="136"/>
      <c r="FRQ302" s="136"/>
      <c r="FRR302" s="136"/>
      <c r="FRS302" s="136"/>
      <c r="FRT302" s="136"/>
      <c r="FRU302" s="136"/>
      <c r="FRV302" s="136"/>
      <c r="FRW302" s="136"/>
      <c r="FRX302" s="136"/>
      <c r="FRY302" s="136"/>
      <c r="FRZ302" s="136"/>
      <c r="FSA302" s="136"/>
      <c r="FSB302" s="136"/>
      <c r="FSC302" s="136"/>
      <c r="FSD302" s="136"/>
      <c r="FSE302" s="136"/>
      <c r="FSF302" s="136"/>
      <c r="FSG302" s="136"/>
      <c r="FSH302" s="136"/>
      <c r="FSI302" s="136"/>
      <c r="FSJ302" s="136"/>
      <c r="FSK302" s="136"/>
      <c r="FSL302" s="136"/>
      <c r="FSM302" s="136"/>
      <c r="FSN302" s="136"/>
      <c r="FSO302" s="136"/>
      <c r="FSP302" s="136"/>
      <c r="FSQ302" s="136"/>
      <c r="FSR302" s="136"/>
      <c r="FSS302" s="136"/>
      <c r="FST302" s="136"/>
      <c r="FSU302" s="136"/>
      <c r="FSV302" s="136"/>
      <c r="FSW302" s="136"/>
      <c r="FSX302" s="136"/>
      <c r="FSY302" s="136"/>
      <c r="FSZ302" s="136"/>
      <c r="FTA302" s="136"/>
      <c r="FTB302" s="136"/>
      <c r="FTC302" s="136"/>
      <c r="FTD302" s="136"/>
      <c r="FTE302" s="136"/>
      <c r="FTF302" s="136"/>
      <c r="FTG302" s="136"/>
      <c r="FTH302" s="136"/>
      <c r="FTI302" s="136"/>
      <c r="FTJ302" s="136"/>
      <c r="FTK302" s="136"/>
      <c r="FTL302" s="136"/>
      <c r="FTM302" s="136"/>
      <c r="FTN302" s="136"/>
      <c r="FTO302" s="136"/>
      <c r="FTP302" s="136"/>
      <c r="FTQ302" s="136"/>
      <c r="FTR302" s="136"/>
      <c r="FTS302" s="136"/>
      <c r="FTT302" s="136"/>
      <c r="FTU302" s="136"/>
      <c r="FTV302" s="136"/>
      <c r="FTW302" s="136"/>
      <c r="FTX302" s="136"/>
      <c r="FTY302" s="136"/>
      <c r="FTZ302" s="136"/>
      <c r="FUA302" s="136"/>
      <c r="FUB302" s="136"/>
      <c r="FUC302" s="136"/>
      <c r="FUD302" s="136"/>
      <c r="FUE302" s="136"/>
      <c r="FUF302" s="136"/>
      <c r="FUG302" s="136"/>
      <c r="FUH302" s="136"/>
      <c r="FUI302" s="136"/>
      <c r="FUJ302" s="136"/>
      <c r="FUK302" s="136"/>
      <c r="FUL302" s="136"/>
      <c r="FUM302" s="136"/>
      <c r="FUN302" s="136"/>
      <c r="FUO302" s="136"/>
      <c r="FUP302" s="136"/>
      <c r="FUQ302" s="136"/>
      <c r="FUR302" s="136"/>
      <c r="FUS302" s="136"/>
      <c r="FUT302" s="136"/>
      <c r="FUU302" s="136"/>
      <c r="FUV302" s="136"/>
      <c r="FUW302" s="136"/>
      <c r="FUX302" s="136"/>
      <c r="FUY302" s="136"/>
      <c r="FUZ302" s="136"/>
      <c r="FVA302" s="136"/>
      <c r="FVB302" s="136"/>
      <c r="FVC302" s="136"/>
      <c r="FVD302" s="136"/>
      <c r="FVE302" s="136"/>
      <c r="FVF302" s="136"/>
      <c r="FVG302" s="136"/>
      <c r="FVH302" s="136"/>
      <c r="FVI302" s="136"/>
      <c r="FVJ302" s="136"/>
      <c r="FVK302" s="136"/>
      <c r="FVL302" s="136"/>
      <c r="FVM302" s="136"/>
      <c r="FVN302" s="136"/>
      <c r="FVO302" s="136"/>
      <c r="FVP302" s="136"/>
      <c r="FVQ302" s="136"/>
      <c r="FVR302" s="136"/>
      <c r="FVS302" s="136"/>
      <c r="FVT302" s="136"/>
      <c r="FVU302" s="136"/>
      <c r="FVV302" s="136"/>
      <c r="FVW302" s="136"/>
      <c r="FVX302" s="136"/>
      <c r="FVY302" s="136"/>
      <c r="FVZ302" s="136"/>
      <c r="FWA302" s="136"/>
      <c r="FWB302" s="136"/>
      <c r="FWC302" s="136"/>
      <c r="FWD302" s="136"/>
      <c r="FWE302" s="136"/>
      <c r="FWF302" s="136"/>
      <c r="FWG302" s="136"/>
      <c r="FWH302" s="136"/>
      <c r="FWI302" s="136"/>
      <c r="FWJ302" s="136"/>
      <c r="FWK302" s="136"/>
      <c r="FWL302" s="136"/>
      <c r="FWM302" s="136"/>
      <c r="FWN302" s="136"/>
      <c r="FWO302" s="136"/>
      <c r="FWP302" s="136"/>
      <c r="FWQ302" s="136"/>
      <c r="FWR302" s="136"/>
      <c r="FWS302" s="136"/>
      <c r="FWT302" s="136"/>
      <c r="FWU302" s="136"/>
      <c r="FWV302" s="136"/>
      <c r="FWW302" s="136"/>
      <c r="FWX302" s="136"/>
      <c r="FWY302" s="136"/>
      <c r="FWZ302" s="136"/>
      <c r="FXA302" s="136"/>
      <c r="FXB302" s="136"/>
      <c r="FXC302" s="136"/>
      <c r="FXD302" s="136"/>
      <c r="FXE302" s="136"/>
      <c r="FXF302" s="136"/>
      <c r="FXG302" s="136"/>
      <c r="FXH302" s="136"/>
      <c r="FXI302" s="136"/>
      <c r="FXJ302" s="136"/>
      <c r="FXK302" s="136"/>
      <c r="FXL302" s="136"/>
      <c r="FXM302" s="136"/>
      <c r="FXN302" s="136"/>
      <c r="FXO302" s="136"/>
      <c r="FXP302" s="136"/>
      <c r="FXQ302" s="136"/>
      <c r="FXR302" s="136"/>
      <c r="FXS302" s="136"/>
      <c r="FXT302" s="136"/>
      <c r="FXU302" s="136"/>
      <c r="FXV302" s="136"/>
      <c r="FXW302" s="136"/>
      <c r="FXX302" s="136"/>
      <c r="FXY302" s="136"/>
      <c r="FXZ302" s="136"/>
      <c r="FYA302" s="136"/>
      <c r="FYB302" s="136"/>
      <c r="FYC302" s="136"/>
      <c r="FYD302" s="136"/>
      <c r="FYE302" s="136"/>
      <c r="FYF302" s="136"/>
      <c r="FYG302" s="136"/>
      <c r="FYH302" s="136"/>
      <c r="FYI302" s="136"/>
      <c r="FYJ302" s="136"/>
      <c r="FYK302" s="136"/>
      <c r="FYL302" s="136"/>
      <c r="FYM302" s="136"/>
      <c r="FYN302" s="136"/>
      <c r="FYO302" s="136"/>
      <c r="FYP302" s="136"/>
      <c r="FYQ302" s="136"/>
      <c r="FYR302" s="136"/>
      <c r="FYS302" s="136"/>
      <c r="FYT302" s="136"/>
      <c r="FYU302" s="136"/>
      <c r="FYV302" s="136"/>
      <c r="FYW302" s="136"/>
      <c r="FYX302" s="136"/>
      <c r="FYY302" s="136"/>
      <c r="FYZ302" s="136"/>
      <c r="FZA302" s="136"/>
      <c r="FZB302" s="136"/>
      <c r="FZC302" s="136"/>
      <c r="FZD302" s="136"/>
      <c r="FZE302" s="136"/>
      <c r="FZF302" s="136"/>
      <c r="FZG302" s="136"/>
      <c r="FZH302" s="136"/>
      <c r="FZI302" s="136"/>
      <c r="FZJ302" s="136"/>
      <c r="FZK302" s="136"/>
      <c r="FZL302" s="136"/>
      <c r="FZM302" s="136"/>
      <c r="FZN302" s="136"/>
      <c r="FZO302" s="136"/>
      <c r="FZP302" s="136"/>
      <c r="FZQ302" s="136"/>
      <c r="FZR302" s="136"/>
      <c r="FZS302" s="136"/>
      <c r="FZT302" s="136"/>
      <c r="FZU302" s="136"/>
      <c r="FZV302" s="136"/>
      <c r="FZW302" s="136"/>
      <c r="FZX302" s="136"/>
      <c r="FZY302" s="136"/>
      <c r="FZZ302" s="136"/>
      <c r="GAA302" s="136"/>
      <c r="GAB302" s="136"/>
      <c r="GAC302" s="136"/>
      <c r="GAD302" s="136"/>
      <c r="GAE302" s="136"/>
      <c r="GAF302" s="136"/>
      <c r="GAG302" s="136"/>
      <c r="GAH302" s="136"/>
      <c r="GAI302" s="136"/>
      <c r="GAJ302" s="136"/>
      <c r="GAK302" s="136"/>
      <c r="GAL302" s="136"/>
      <c r="GAM302" s="136"/>
      <c r="GAN302" s="136"/>
      <c r="GAO302" s="136"/>
      <c r="GAP302" s="136"/>
      <c r="GAQ302" s="136"/>
      <c r="GAR302" s="136"/>
      <c r="GAS302" s="136"/>
      <c r="GAT302" s="136"/>
      <c r="GAU302" s="136"/>
      <c r="GAV302" s="136"/>
      <c r="GAW302" s="136"/>
      <c r="GAX302" s="136"/>
      <c r="GAY302" s="136"/>
      <c r="GAZ302" s="136"/>
      <c r="GBA302" s="136"/>
      <c r="GBB302" s="136"/>
      <c r="GBC302" s="136"/>
      <c r="GBD302" s="136"/>
      <c r="GBE302" s="136"/>
      <c r="GBF302" s="136"/>
      <c r="GBG302" s="136"/>
      <c r="GBH302" s="136"/>
      <c r="GBI302" s="136"/>
      <c r="GBJ302" s="136"/>
      <c r="GBK302" s="136"/>
      <c r="GBL302" s="136"/>
      <c r="GBM302" s="136"/>
      <c r="GBN302" s="136"/>
      <c r="GBO302" s="136"/>
      <c r="GBP302" s="136"/>
      <c r="GBQ302" s="136"/>
      <c r="GBR302" s="136"/>
      <c r="GBS302" s="136"/>
      <c r="GBT302" s="136"/>
      <c r="GBU302" s="136"/>
      <c r="GBV302" s="136"/>
      <c r="GBW302" s="136"/>
      <c r="GBX302" s="136"/>
      <c r="GBY302" s="136"/>
      <c r="GBZ302" s="136"/>
      <c r="GCA302" s="136"/>
      <c r="GCB302" s="136"/>
      <c r="GCC302" s="136"/>
      <c r="GCD302" s="136"/>
      <c r="GCE302" s="136"/>
      <c r="GCF302" s="136"/>
      <c r="GCG302" s="136"/>
      <c r="GCH302" s="136"/>
      <c r="GCI302" s="136"/>
      <c r="GCJ302" s="136"/>
      <c r="GCK302" s="136"/>
      <c r="GCL302" s="136"/>
      <c r="GCM302" s="136"/>
      <c r="GCN302" s="136"/>
      <c r="GCO302" s="136"/>
      <c r="GCP302" s="136"/>
      <c r="GCQ302" s="136"/>
      <c r="GCR302" s="136"/>
      <c r="GCS302" s="136"/>
      <c r="GCT302" s="136"/>
      <c r="GCU302" s="136"/>
      <c r="GCV302" s="136"/>
      <c r="GCW302" s="136"/>
      <c r="GCX302" s="136"/>
      <c r="GCY302" s="136"/>
      <c r="GCZ302" s="136"/>
      <c r="GDA302" s="136"/>
      <c r="GDB302" s="136"/>
      <c r="GDC302" s="136"/>
      <c r="GDD302" s="136"/>
      <c r="GDE302" s="136"/>
      <c r="GDF302" s="136"/>
      <c r="GDG302" s="136"/>
      <c r="GDH302" s="136"/>
      <c r="GDI302" s="136"/>
      <c r="GDJ302" s="136"/>
      <c r="GDK302" s="136"/>
      <c r="GDL302" s="136"/>
      <c r="GDM302" s="136"/>
      <c r="GDN302" s="136"/>
      <c r="GDO302" s="136"/>
      <c r="GDP302" s="136"/>
      <c r="GDQ302" s="136"/>
      <c r="GDR302" s="136"/>
      <c r="GDS302" s="136"/>
      <c r="GDT302" s="136"/>
      <c r="GDU302" s="136"/>
      <c r="GDV302" s="136"/>
      <c r="GDW302" s="136"/>
      <c r="GDX302" s="136"/>
      <c r="GDY302" s="136"/>
      <c r="GDZ302" s="136"/>
      <c r="GEA302" s="136"/>
      <c r="GEB302" s="136"/>
      <c r="GEC302" s="136"/>
      <c r="GED302" s="136"/>
      <c r="GEE302" s="136"/>
      <c r="GEF302" s="136"/>
      <c r="GEG302" s="136"/>
      <c r="GEH302" s="136"/>
      <c r="GEI302" s="136"/>
      <c r="GEJ302" s="136"/>
      <c r="GEK302" s="136"/>
      <c r="GEL302" s="136"/>
      <c r="GEM302" s="136"/>
      <c r="GEN302" s="136"/>
      <c r="GEO302" s="136"/>
      <c r="GEP302" s="136"/>
      <c r="GEQ302" s="136"/>
      <c r="GER302" s="136"/>
      <c r="GES302" s="136"/>
      <c r="GET302" s="136"/>
      <c r="GEU302" s="136"/>
      <c r="GEV302" s="136"/>
      <c r="GEW302" s="136"/>
      <c r="GEX302" s="136"/>
      <c r="GEY302" s="136"/>
      <c r="GEZ302" s="136"/>
      <c r="GFA302" s="136"/>
      <c r="GFB302" s="136"/>
      <c r="GFC302" s="136"/>
      <c r="GFD302" s="136"/>
      <c r="GFE302" s="136"/>
      <c r="GFF302" s="136"/>
      <c r="GFG302" s="136"/>
      <c r="GFH302" s="136"/>
      <c r="GFI302" s="136"/>
      <c r="GFJ302" s="136"/>
      <c r="GFK302" s="136"/>
      <c r="GFL302" s="136"/>
      <c r="GFM302" s="136"/>
      <c r="GFN302" s="136"/>
      <c r="GFO302" s="136"/>
      <c r="GFP302" s="136"/>
      <c r="GFQ302" s="136"/>
      <c r="GFR302" s="136"/>
      <c r="GFS302" s="136"/>
      <c r="GFT302" s="136"/>
      <c r="GFU302" s="136"/>
      <c r="GFV302" s="136"/>
      <c r="GFW302" s="136"/>
      <c r="GFX302" s="136"/>
      <c r="GFY302" s="136"/>
      <c r="GFZ302" s="136"/>
      <c r="GGA302" s="136"/>
      <c r="GGB302" s="136"/>
      <c r="GGC302" s="136"/>
      <c r="GGD302" s="136"/>
      <c r="GGE302" s="136"/>
      <c r="GGF302" s="136"/>
      <c r="GGG302" s="136"/>
      <c r="GGH302" s="136"/>
      <c r="GGI302" s="136"/>
      <c r="GGJ302" s="136"/>
      <c r="GGK302" s="136"/>
      <c r="GGL302" s="136"/>
      <c r="GGM302" s="136"/>
      <c r="GGN302" s="136"/>
      <c r="GGO302" s="136"/>
      <c r="GGP302" s="136"/>
      <c r="GGQ302" s="136"/>
      <c r="GGR302" s="136"/>
      <c r="GGS302" s="136"/>
      <c r="GGT302" s="136"/>
      <c r="GGU302" s="136"/>
      <c r="GGV302" s="136"/>
      <c r="GGW302" s="136"/>
      <c r="GGX302" s="136"/>
      <c r="GGY302" s="136"/>
      <c r="GGZ302" s="136"/>
      <c r="GHA302" s="136"/>
      <c r="GHB302" s="136"/>
      <c r="GHC302" s="136"/>
      <c r="GHD302" s="136"/>
      <c r="GHE302" s="136"/>
      <c r="GHF302" s="136"/>
      <c r="GHG302" s="136"/>
      <c r="GHH302" s="136"/>
      <c r="GHI302" s="136"/>
      <c r="GHJ302" s="136"/>
      <c r="GHK302" s="136"/>
      <c r="GHL302" s="136"/>
      <c r="GHM302" s="136"/>
      <c r="GHN302" s="136"/>
      <c r="GHO302" s="136"/>
      <c r="GHP302" s="136"/>
      <c r="GHQ302" s="136"/>
      <c r="GHR302" s="136"/>
      <c r="GHS302" s="136"/>
      <c r="GHT302" s="136"/>
      <c r="GHU302" s="136"/>
      <c r="GHV302" s="136"/>
      <c r="GHW302" s="136"/>
      <c r="GHX302" s="136"/>
      <c r="GHY302" s="136"/>
      <c r="GHZ302" s="136"/>
      <c r="GIA302" s="136"/>
      <c r="GIB302" s="136"/>
      <c r="GIC302" s="136"/>
      <c r="GID302" s="136"/>
      <c r="GIE302" s="136"/>
      <c r="GIF302" s="136"/>
      <c r="GIG302" s="136"/>
      <c r="GIH302" s="136"/>
      <c r="GII302" s="136"/>
      <c r="GIJ302" s="136"/>
      <c r="GIK302" s="136"/>
      <c r="GIL302" s="136"/>
      <c r="GIM302" s="136"/>
      <c r="GIN302" s="136"/>
      <c r="GIO302" s="136"/>
      <c r="GIP302" s="136"/>
      <c r="GIQ302" s="136"/>
      <c r="GIR302" s="136"/>
      <c r="GIS302" s="136"/>
      <c r="GIT302" s="136"/>
      <c r="GIU302" s="136"/>
      <c r="GIV302" s="136"/>
      <c r="GIW302" s="136"/>
      <c r="GIX302" s="136"/>
      <c r="GIY302" s="136"/>
      <c r="GIZ302" s="136"/>
      <c r="GJA302" s="136"/>
      <c r="GJB302" s="136"/>
      <c r="GJC302" s="136"/>
      <c r="GJD302" s="136"/>
      <c r="GJE302" s="136"/>
      <c r="GJF302" s="136"/>
      <c r="GJG302" s="136"/>
      <c r="GJH302" s="136"/>
      <c r="GJI302" s="136"/>
      <c r="GJJ302" s="136"/>
      <c r="GJK302" s="136"/>
      <c r="GJL302" s="136"/>
      <c r="GJM302" s="136"/>
      <c r="GJN302" s="136"/>
      <c r="GJO302" s="136"/>
      <c r="GJP302" s="136"/>
      <c r="GJQ302" s="136"/>
      <c r="GJR302" s="136"/>
      <c r="GJS302" s="136"/>
      <c r="GJT302" s="136"/>
      <c r="GJU302" s="136"/>
      <c r="GJV302" s="136"/>
      <c r="GJW302" s="136"/>
      <c r="GJX302" s="136"/>
      <c r="GJY302" s="136"/>
      <c r="GJZ302" s="136"/>
      <c r="GKA302" s="136"/>
      <c r="GKB302" s="136"/>
      <c r="GKC302" s="136"/>
      <c r="GKD302" s="136"/>
      <c r="GKE302" s="136"/>
      <c r="GKF302" s="136"/>
      <c r="GKG302" s="136"/>
      <c r="GKH302" s="136"/>
      <c r="GKI302" s="136"/>
      <c r="GKJ302" s="136"/>
      <c r="GKK302" s="136"/>
      <c r="GKL302" s="136"/>
      <c r="GKM302" s="136"/>
      <c r="GKN302" s="136"/>
      <c r="GKO302" s="136"/>
      <c r="GKP302" s="136"/>
      <c r="GKQ302" s="136"/>
      <c r="GKR302" s="136"/>
      <c r="GKS302" s="136"/>
      <c r="GKT302" s="136"/>
      <c r="GKU302" s="136"/>
      <c r="GKV302" s="136"/>
      <c r="GKW302" s="136"/>
      <c r="GKX302" s="136"/>
      <c r="GKY302" s="136"/>
      <c r="GKZ302" s="136"/>
      <c r="GLA302" s="136"/>
      <c r="GLB302" s="136"/>
      <c r="GLC302" s="136"/>
      <c r="GLD302" s="136"/>
      <c r="GLE302" s="136"/>
      <c r="GLF302" s="136"/>
      <c r="GLG302" s="136"/>
      <c r="GLH302" s="136"/>
      <c r="GLI302" s="136"/>
      <c r="GLJ302" s="136"/>
      <c r="GLK302" s="136"/>
      <c r="GLL302" s="136"/>
      <c r="GLM302" s="136"/>
      <c r="GLN302" s="136"/>
      <c r="GLO302" s="136"/>
      <c r="GLP302" s="136"/>
      <c r="GLQ302" s="136"/>
      <c r="GLR302" s="136"/>
      <c r="GLS302" s="136"/>
      <c r="GLT302" s="136"/>
      <c r="GLU302" s="136"/>
      <c r="GLV302" s="136"/>
      <c r="GLW302" s="136"/>
      <c r="GLX302" s="136"/>
      <c r="GLY302" s="136"/>
      <c r="GLZ302" s="136"/>
      <c r="GMA302" s="136"/>
      <c r="GMB302" s="136"/>
      <c r="GMC302" s="136"/>
      <c r="GMD302" s="136"/>
      <c r="GME302" s="136"/>
      <c r="GMF302" s="136"/>
      <c r="GMG302" s="136"/>
      <c r="GMH302" s="136"/>
      <c r="GMI302" s="136"/>
      <c r="GMJ302" s="136"/>
      <c r="GMK302" s="136"/>
      <c r="GML302" s="136"/>
      <c r="GMM302" s="136"/>
      <c r="GMN302" s="136"/>
      <c r="GMO302" s="136"/>
      <c r="GMP302" s="136"/>
      <c r="GMQ302" s="136"/>
      <c r="GMR302" s="136"/>
      <c r="GMS302" s="136"/>
      <c r="GMT302" s="136"/>
      <c r="GMU302" s="136"/>
      <c r="GMV302" s="136"/>
      <c r="GMW302" s="136"/>
      <c r="GMX302" s="136"/>
      <c r="GMY302" s="136"/>
      <c r="GMZ302" s="136"/>
      <c r="GNA302" s="136"/>
      <c r="GNB302" s="136"/>
      <c r="GNC302" s="136"/>
      <c r="GND302" s="136"/>
      <c r="GNE302" s="136"/>
      <c r="GNF302" s="136"/>
      <c r="GNG302" s="136"/>
      <c r="GNH302" s="136"/>
      <c r="GNI302" s="136"/>
      <c r="GNJ302" s="136"/>
      <c r="GNK302" s="136"/>
      <c r="GNL302" s="136"/>
      <c r="GNM302" s="136"/>
      <c r="GNN302" s="136"/>
      <c r="GNO302" s="136"/>
      <c r="GNP302" s="136"/>
      <c r="GNQ302" s="136"/>
      <c r="GNR302" s="136"/>
      <c r="GNS302" s="136"/>
      <c r="GNT302" s="136"/>
      <c r="GNU302" s="136"/>
      <c r="GNV302" s="136"/>
      <c r="GNW302" s="136"/>
      <c r="GNX302" s="136"/>
      <c r="GNY302" s="136"/>
      <c r="GNZ302" s="136"/>
      <c r="GOA302" s="136"/>
      <c r="GOB302" s="136"/>
      <c r="GOC302" s="136"/>
      <c r="GOD302" s="136"/>
      <c r="GOE302" s="136"/>
      <c r="GOF302" s="136"/>
      <c r="GOG302" s="136"/>
      <c r="GOH302" s="136"/>
      <c r="GOI302" s="136"/>
      <c r="GOJ302" s="136"/>
      <c r="GOK302" s="136"/>
      <c r="GOL302" s="136"/>
      <c r="GOM302" s="136"/>
      <c r="GON302" s="136"/>
      <c r="GOO302" s="136"/>
      <c r="GOP302" s="136"/>
      <c r="GOQ302" s="136"/>
      <c r="GOR302" s="136"/>
      <c r="GOS302" s="136"/>
      <c r="GOT302" s="136"/>
      <c r="GOU302" s="136"/>
      <c r="GOV302" s="136"/>
      <c r="GOW302" s="136"/>
      <c r="GOX302" s="136"/>
      <c r="GOY302" s="136"/>
      <c r="GOZ302" s="136"/>
      <c r="GPA302" s="136"/>
      <c r="GPB302" s="136"/>
      <c r="GPC302" s="136"/>
      <c r="GPD302" s="136"/>
      <c r="GPE302" s="136"/>
      <c r="GPF302" s="136"/>
      <c r="GPG302" s="136"/>
      <c r="GPH302" s="136"/>
      <c r="GPI302" s="136"/>
      <c r="GPJ302" s="136"/>
      <c r="GPK302" s="136"/>
      <c r="GPL302" s="136"/>
      <c r="GPM302" s="136"/>
      <c r="GPN302" s="136"/>
      <c r="GPO302" s="136"/>
      <c r="GPP302" s="136"/>
      <c r="GPQ302" s="136"/>
      <c r="GPR302" s="136"/>
      <c r="GPS302" s="136"/>
      <c r="GPT302" s="136"/>
      <c r="GPU302" s="136"/>
      <c r="GPV302" s="136"/>
      <c r="GPW302" s="136"/>
      <c r="GPX302" s="136"/>
      <c r="GPY302" s="136"/>
      <c r="GPZ302" s="136"/>
      <c r="GQA302" s="136"/>
      <c r="GQB302" s="136"/>
      <c r="GQC302" s="136"/>
      <c r="GQD302" s="136"/>
      <c r="GQE302" s="136"/>
      <c r="GQF302" s="136"/>
      <c r="GQG302" s="136"/>
      <c r="GQH302" s="136"/>
      <c r="GQI302" s="136"/>
      <c r="GQJ302" s="136"/>
      <c r="GQK302" s="136"/>
      <c r="GQL302" s="136"/>
      <c r="GQM302" s="136"/>
      <c r="GQN302" s="136"/>
      <c r="GQO302" s="136"/>
      <c r="GQP302" s="136"/>
      <c r="GQQ302" s="136"/>
      <c r="GQR302" s="136"/>
      <c r="GQS302" s="136"/>
      <c r="GQT302" s="136"/>
      <c r="GQU302" s="136"/>
      <c r="GQV302" s="136"/>
      <c r="GQW302" s="136"/>
      <c r="GQX302" s="136"/>
      <c r="GQY302" s="136"/>
      <c r="GQZ302" s="136"/>
      <c r="GRA302" s="136"/>
      <c r="GRB302" s="136"/>
      <c r="GRC302" s="136"/>
      <c r="GRD302" s="136"/>
      <c r="GRE302" s="136"/>
      <c r="GRF302" s="136"/>
      <c r="GRG302" s="136"/>
      <c r="GRH302" s="136"/>
      <c r="GRI302" s="136"/>
      <c r="GRJ302" s="136"/>
      <c r="GRK302" s="136"/>
      <c r="GRL302" s="136"/>
      <c r="GRM302" s="136"/>
      <c r="GRN302" s="136"/>
      <c r="GRO302" s="136"/>
      <c r="GRP302" s="136"/>
      <c r="GRQ302" s="136"/>
      <c r="GRR302" s="136"/>
      <c r="GRS302" s="136"/>
      <c r="GRT302" s="136"/>
      <c r="GRU302" s="136"/>
      <c r="GRV302" s="136"/>
      <c r="GRW302" s="136"/>
      <c r="GRX302" s="136"/>
      <c r="GRY302" s="136"/>
      <c r="GRZ302" s="136"/>
      <c r="GSA302" s="136"/>
      <c r="GSB302" s="136"/>
      <c r="GSC302" s="136"/>
      <c r="GSD302" s="136"/>
      <c r="GSE302" s="136"/>
      <c r="GSF302" s="136"/>
      <c r="GSG302" s="136"/>
      <c r="GSH302" s="136"/>
      <c r="GSI302" s="136"/>
      <c r="GSJ302" s="136"/>
      <c r="GSK302" s="136"/>
      <c r="GSL302" s="136"/>
      <c r="GSM302" s="136"/>
      <c r="GSN302" s="136"/>
      <c r="GSO302" s="136"/>
      <c r="GSP302" s="136"/>
      <c r="GSQ302" s="136"/>
      <c r="GSR302" s="136"/>
      <c r="GSS302" s="136"/>
      <c r="GST302" s="136"/>
      <c r="GSU302" s="136"/>
      <c r="GSV302" s="136"/>
      <c r="GSW302" s="136"/>
      <c r="GSX302" s="136"/>
      <c r="GSY302" s="136"/>
      <c r="GSZ302" s="136"/>
      <c r="GTA302" s="136"/>
      <c r="GTB302" s="136"/>
      <c r="GTC302" s="136"/>
      <c r="GTD302" s="136"/>
      <c r="GTE302" s="136"/>
      <c r="GTF302" s="136"/>
      <c r="GTG302" s="136"/>
      <c r="GTH302" s="136"/>
      <c r="GTI302" s="136"/>
      <c r="GTJ302" s="136"/>
      <c r="GTK302" s="136"/>
      <c r="GTL302" s="136"/>
      <c r="GTM302" s="136"/>
      <c r="GTN302" s="136"/>
      <c r="GTO302" s="136"/>
      <c r="GTP302" s="136"/>
      <c r="GTQ302" s="136"/>
      <c r="GTR302" s="136"/>
      <c r="GTS302" s="136"/>
      <c r="GTT302" s="136"/>
      <c r="GTU302" s="136"/>
      <c r="GTV302" s="136"/>
      <c r="GTW302" s="136"/>
      <c r="GTX302" s="136"/>
      <c r="GTY302" s="136"/>
      <c r="GTZ302" s="136"/>
      <c r="GUA302" s="136"/>
      <c r="GUB302" s="136"/>
      <c r="GUC302" s="136"/>
      <c r="GUD302" s="136"/>
      <c r="GUE302" s="136"/>
      <c r="GUF302" s="136"/>
      <c r="GUG302" s="136"/>
      <c r="GUH302" s="136"/>
      <c r="GUI302" s="136"/>
      <c r="GUJ302" s="136"/>
      <c r="GUK302" s="136"/>
      <c r="GUL302" s="136"/>
      <c r="GUM302" s="136"/>
      <c r="GUN302" s="136"/>
      <c r="GUO302" s="136"/>
      <c r="GUP302" s="136"/>
      <c r="GUQ302" s="136"/>
      <c r="GUR302" s="136"/>
      <c r="GUS302" s="136"/>
      <c r="GUT302" s="136"/>
      <c r="GUU302" s="136"/>
      <c r="GUV302" s="136"/>
      <c r="GUW302" s="136"/>
      <c r="GUX302" s="136"/>
      <c r="GUY302" s="136"/>
      <c r="GUZ302" s="136"/>
      <c r="GVA302" s="136"/>
      <c r="GVB302" s="136"/>
      <c r="GVC302" s="136"/>
      <c r="GVD302" s="136"/>
      <c r="GVE302" s="136"/>
      <c r="GVF302" s="136"/>
      <c r="GVG302" s="136"/>
      <c r="GVH302" s="136"/>
      <c r="GVI302" s="136"/>
      <c r="GVJ302" s="136"/>
      <c r="GVK302" s="136"/>
      <c r="GVL302" s="136"/>
      <c r="GVM302" s="136"/>
      <c r="GVN302" s="136"/>
      <c r="GVO302" s="136"/>
      <c r="GVP302" s="136"/>
      <c r="GVQ302" s="136"/>
      <c r="GVR302" s="136"/>
      <c r="GVS302" s="136"/>
      <c r="GVT302" s="136"/>
      <c r="GVU302" s="136"/>
      <c r="GVV302" s="136"/>
      <c r="GVW302" s="136"/>
      <c r="GVX302" s="136"/>
      <c r="GVY302" s="136"/>
      <c r="GVZ302" s="136"/>
      <c r="GWA302" s="136"/>
      <c r="GWB302" s="136"/>
      <c r="GWC302" s="136"/>
      <c r="GWD302" s="136"/>
      <c r="GWE302" s="136"/>
      <c r="GWF302" s="136"/>
      <c r="GWG302" s="136"/>
      <c r="GWH302" s="136"/>
      <c r="GWI302" s="136"/>
      <c r="GWJ302" s="136"/>
      <c r="GWK302" s="136"/>
      <c r="GWL302" s="136"/>
      <c r="GWM302" s="136"/>
      <c r="GWN302" s="136"/>
      <c r="GWO302" s="136"/>
      <c r="GWP302" s="136"/>
      <c r="GWQ302" s="136"/>
      <c r="GWR302" s="136"/>
      <c r="GWS302" s="136"/>
      <c r="GWT302" s="136"/>
      <c r="GWU302" s="136"/>
      <c r="GWV302" s="136"/>
      <c r="GWW302" s="136"/>
      <c r="GWX302" s="136"/>
      <c r="GWY302" s="136"/>
      <c r="GWZ302" s="136"/>
      <c r="GXA302" s="136"/>
      <c r="GXB302" s="136"/>
      <c r="GXC302" s="136"/>
      <c r="GXD302" s="136"/>
      <c r="GXE302" s="136"/>
      <c r="GXF302" s="136"/>
      <c r="GXG302" s="136"/>
      <c r="GXH302" s="136"/>
      <c r="GXI302" s="136"/>
      <c r="GXJ302" s="136"/>
      <c r="GXK302" s="136"/>
      <c r="GXL302" s="136"/>
      <c r="GXM302" s="136"/>
      <c r="GXN302" s="136"/>
      <c r="GXO302" s="136"/>
      <c r="GXP302" s="136"/>
      <c r="GXQ302" s="136"/>
      <c r="GXR302" s="136"/>
      <c r="GXS302" s="136"/>
      <c r="GXT302" s="136"/>
      <c r="GXU302" s="136"/>
      <c r="GXV302" s="136"/>
      <c r="GXW302" s="136"/>
      <c r="GXX302" s="136"/>
      <c r="GXY302" s="136"/>
      <c r="GXZ302" s="136"/>
      <c r="GYA302" s="136"/>
      <c r="GYB302" s="136"/>
      <c r="GYC302" s="136"/>
      <c r="GYD302" s="136"/>
      <c r="GYE302" s="136"/>
      <c r="GYF302" s="136"/>
      <c r="GYG302" s="136"/>
      <c r="GYH302" s="136"/>
      <c r="GYI302" s="136"/>
      <c r="GYJ302" s="136"/>
      <c r="GYK302" s="136"/>
      <c r="GYL302" s="136"/>
      <c r="GYM302" s="136"/>
      <c r="GYN302" s="136"/>
      <c r="GYO302" s="136"/>
      <c r="GYP302" s="136"/>
      <c r="GYQ302" s="136"/>
      <c r="GYR302" s="136"/>
      <c r="GYS302" s="136"/>
      <c r="GYT302" s="136"/>
      <c r="GYU302" s="136"/>
      <c r="GYV302" s="136"/>
      <c r="GYW302" s="136"/>
      <c r="GYX302" s="136"/>
      <c r="GYY302" s="136"/>
      <c r="GYZ302" s="136"/>
      <c r="GZA302" s="136"/>
      <c r="GZB302" s="136"/>
      <c r="GZC302" s="136"/>
      <c r="GZD302" s="136"/>
      <c r="GZE302" s="136"/>
      <c r="GZF302" s="136"/>
      <c r="GZG302" s="136"/>
      <c r="GZH302" s="136"/>
      <c r="GZI302" s="136"/>
      <c r="GZJ302" s="136"/>
      <c r="GZK302" s="136"/>
      <c r="GZL302" s="136"/>
      <c r="GZM302" s="136"/>
      <c r="GZN302" s="136"/>
      <c r="GZO302" s="136"/>
      <c r="GZP302" s="136"/>
      <c r="GZQ302" s="136"/>
      <c r="GZR302" s="136"/>
      <c r="GZS302" s="136"/>
      <c r="GZT302" s="136"/>
      <c r="GZU302" s="136"/>
      <c r="GZV302" s="136"/>
      <c r="GZW302" s="136"/>
      <c r="GZX302" s="136"/>
      <c r="GZY302" s="136"/>
      <c r="GZZ302" s="136"/>
      <c r="HAA302" s="136"/>
      <c r="HAB302" s="136"/>
      <c r="HAC302" s="136"/>
      <c r="HAD302" s="136"/>
      <c r="HAE302" s="136"/>
      <c r="HAF302" s="136"/>
      <c r="HAG302" s="136"/>
      <c r="HAH302" s="136"/>
      <c r="HAI302" s="136"/>
      <c r="HAJ302" s="136"/>
      <c r="HAK302" s="136"/>
      <c r="HAL302" s="136"/>
      <c r="HAM302" s="136"/>
      <c r="HAN302" s="136"/>
      <c r="HAO302" s="136"/>
      <c r="HAP302" s="136"/>
      <c r="HAQ302" s="136"/>
      <c r="HAR302" s="136"/>
      <c r="HAS302" s="136"/>
      <c r="HAT302" s="136"/>
      <c r="HAU302" s="136"/>
      <c r="HAV302" s="136"/>
      <c r="HAW302" s="136"/>
      <c r="HAX302" s="136"/>
      <c r="HAY302" s="136"/>
      <c r="HAZ302" s="136"/>
      <c r="HBA302" s="136"/>
      <c r="HBB302" s="136"/>
      <c r="HBC302" s="136"/>
      <c r="HBD302" s="136"/>
      <c r="HBE302" s="136"/>
      <c r="HBF302" s="136"/>
      <c r="HBG302" s="136"/>
      <c r="HBH302" s="136"/>
      <c r="HBI302" s="136"/>
      <c r="HBJ302" s="136"/>
      <c r="HBK302" s="136"/>
      <c r="HBL302" s="136"/>
      <c r="HBM302" s="136"/>
      <c r="HBN302" s="136"/>
      <c r="HBO302" s="136"/>
      <c r="HBP302" s="136"/>
      <c r="HBQ302" s="136"/>
      <c r="HBR302" s="136"/>
      <c r="HBS302" s="136"/>
      <c r="HBT302" s="136"/>
      <c r="HBU302" s="136"/>
      <c r="HBV302" s="136"/>
      <c r="HBW302" s="136"/>
      <c r="HBX302" s="136"/>
      <c r="HBY302" s="136"/>
      <c r="HBZ302" s="136"/>
      <c r="HCA302" s="136"/>
      <c r="HCB302" s="136"/>
      <c r="HCC302" s="136"/>
      <c r="HCD302" s="136"/>
      <c r="HCE302" s="136"/>
      <c r="HCF302" s="136"/>
      <c r="HCG302" s="136"/>
      <c r="HCH302" s="136"/>
      <c r="HCI302" s="136"/>
      <c r="HCJ302" s="136"/>
      <c r="HCK302" s="136"/>
      <c r="HCL302" s="136"/>
      <c r="HCM302" s="136"/>
      <c r="HCN302" s="136"/>
      <c r="HCO302" s="136"/>
      <c r="HCP302" s="136"/>
      <c r="HCQ302" s="136"/>
      <c r="HCR302" s="136"/>
      <c r="HCS302" s="136"/>
      <c r="HCT302" s="136"/>
      <c r="HCU302" s="136"/>
      <c r="HCV302" s="136"/>
      <c r="HCW302" s="136"/>
      <c r="HCX302" s="136"/>
      <c r="HCY302" s="136"/>
      <c r="HCZ302" s="136"/>
      <c r="HDA302" s="136"/>
      <c r="HDB302" s="136"/>
      <c r="HDC302" s="136"/>
      <c r="HDD302" s="136"/>
      <c r="HDE302" s="136"/>
      <c r="HDF302" s="136"/>
      <c r="HDG302" s="136"/>
      <c r="HDH302" s="136"/>
      <c r="HDI302" s="136"/>
      <c r="HDJ302" s="136"/>
      <c r="HDK302" s="136"/>
      <c r="HDL302" s="136"/>
      <c r="HDM302" s="136"/>
      <c r="HDN302" s="136"/>
      <c r="HDO302" s="136"/>
      <c r="HDP302" s="136"/>
      <c r="HDQ302" s="136"/>
      <c r="HDR302" s="136"/>
      <c r="HDS302" s="136"/>
      <c r="HDT302" s="136"/>
      <c r="HDU302" s="136"/>
      <c r="HDV302" s="136"/>
      <c r="HDW302" s="136"/>
      <c r="HDX302" s="136"/>
      <c r="HDY302" s="136"/>
      <c r="HDZ302" s="136"/>
      <c r="HEA302" s="136"/>
      <c r="HEB302" s="136"/>
      <c r="HEC302" s="136"/>
      <c r="HED302" s="136"/>
      <c r="HEE302" s="136"/>
      <c r="HEF302" s="136"/>
      <c r="HEG302" s="136"/>
      <c r="HEH302" s="136"/>
      <c r="HEI302" s="136"/>
      <c r="HEJ302" s="136"/>
      <c r="HEK302" s="136"/>
      <c r="HEL302" s="136"/>
      <c r="HEM302" s="136"/>
      <c r="HEN302" s="136"/>
      <c r="HEO302" s="136"/>
      <c r="HEP302" s="136"/>
      <c r="HEQ302" s="136"/>
      <c r="HER302" s="136"/>
      <c r="HES302" s="136"/>
      <c r="HET302" s="136"/>
      <c r="HEU302" s="136"/>
      <c r="HEV302" s="136"/>
      <c r="HEW302" s="136"/>
      <c r="HEX302" s="136"/>
      <c r="HEY302" s="136"/>
      <c r="HEZ302" s="136"/>
      <c r="HFA302" s="136"/>
      <c r="HFB302" s="136"/>
      <c r="HFC302" s="136"/>
      <c r="HFD302" s="136"/>
      <c r="HFE302" s="136"/>
      <c r="HFF302" s="136"/>
      <c r="HFG302" s="136"/>
      <c r="HFH302" s="136"/>
      <c r="HFI302" s="136"/>
      <c r="HFJ302" s="136"/>
      <c r="HFK302" s="136"/>
      <c r="HFL302" s="136"/>
      <c r="HFM302" s="136"/>
      <c r="HFN302" s="136"/>
      <c r="HFO302" s="136"/>
      <c r="HFP302" s="136"/>
      <c r="HFQ302" s="136"/>
      <c r="HFR302" s="136"/>
      <c r="HFS302" s="136"/>
      <c r="HFT302" s="136"/>
      <c r="HFU302" s="136"/>
      <c r="HFV302" s="136"/>
      <c r="HFW302" s="136"/>
      <c r="HFX302" s="136"/>
      <c r="HFY302" s="136"/>
      <c r="HFZ302" s="136"/>
      <c r="HGA302" s="136"/>
      <c r="HGB302" s="136"/>
      <c r="HGC302" s="136"/>
      <c r="HGD302" s="136"/>
      <c r="HGE302" s="136"/>
      <c r="HGF302" s="136"/>
      <c r="HGG302" s="136"/>
      <c r="HGH302" s="136"/>
      <c r="HGI302" s="136"/>
      <c r="HGJ302" s="136"/>
      <c r="HGK302" s="136"/>
      <c r="HGL302" s="136"/>
      <c r="HGM302" s="136"/>
      <c r="HGN302" s="136"/>
      <c r="HGO302" s="136"/>
      <c r="HGP302" s="136"/>
      <c r="HGQ302" s="136"/>
      <c r="HGR302" s="136"/>
      <c r="HGS302" s="136"/>
      <c r="HGT302" s="136"/>
      <c r="HGU302" s="136"/>
      <c r="HGV302" s="136"/>
      <c r="HGW302" s="136"/>
      <c r="HGX302" s="136"/>
      <c r="HGY302" s="136"/>
      <c r="HGZ302" s="136"/>
      <c r="HHA302" s="136"/>
      <c r="HHB302" s="136"/>
      <c r="HHC302" s="136"/>
      <c r="HHD302" s="136"/>
      <c r="HHE302" s="136"/>
      <c r="HHF302" s="136"/>
      <c r="HHG302" s="136"/>
      <c r="HHH302" s="136"/>
      <c r="HHI302" s="136"/>
      <c r="HHJ302" s="136"/>
      <c r="HHK302" s="136"/>
      <c r="HHL302" s="136"/>
      <c r="HHM302" s="136"/>
      <c r="HHN302" s="136"/>
      <c r="HHO302" s="136"/>
      <c r="HHP302" s="136"/>
      <c r="HHQ302" s="136"/>
      <c r="HHR302" s="136"/>
      <c r="HHS302" s="136"/>
      <c r="HHT302" s="136"/>
      <c r="HHU302" s="136"/>
      <c r="HHV302" s="136"/>
      <c r="HHW302" s="136"/>
      <c r="HHX302" s="136"/>
      <c r="HHY302" s="136"/>
      <c r="HHZ302" s="136"/>
      <c r="HIA302" s="136"/>
      <c r="HIB302" s="136"/>
      <c r="HIC302" s="136"/>
      <c r="HID302" s="136"/>
      <c r="HIE302" s="136"/>
      <c r="HIF302" s="136"/>
      <c r="HIG302" s="136"/>
      <c r="HIH302" s="136"/>
      <c r="HII302" s="136"/>
      <c r="HIJ302" s="136"/>
      <c r="HIK302" s="136"/>
      <c r="HIL302" s="136"/>
      <c r="HIM302" s="136"/>
      <c r="HIN302" s="136"/>
      <c r="HIO302" s="136"/>
      <c r="HIP302" s="136"/>
      <c r="HIQ302" s="136"/>
      <c r="HIR302" s="136"/>
      <c r="HIS302" s="136"/>
      <c r="HIT302" s="136"/>
      <c r="HIU302" s="136"/>
      <c r="HIV302" s="136"/>
      <c r="HIW302" s="136"/>
      <c r="HIX302" s="136"/>
      <c r="HIY302" s="136"/>
      <c r="HIZ302" s="136"/>
      <c r="HJA302" s="136"/>
      <c r="HJB302" s="136"/>
      <c r="HJC302" s="136"/>
      <c r="HJD302" s="136"/>
      <c r="HJE302" s="136"/>
      <c r="HJF302" s="136"/>
      <c r="HJG302" s="136"/>
      <c r="HJH302" s="136"/>
      <c r="HJI302" s="136"/>
      <c r="HJJ302" s="136"/>
      <c r="HJK302" s="136"/>
      <c r="HJL302" s="136"/>
      <c r="HJM302" s="136"/>
      <c r="HJN302" s="136"/>
      <c r="HJO302" s="136"/>
      <c r="HJP302" s="136"/>
      <c r="HJQ302" s="136"/>
      <c r="HJR302" s="136"/>
      <c r="HJS302" s="136"/>
      <c r="HJT302" s="136"/>
      <c r="HJU302" s="136"/>
      <c r="HJV302" s="136"/>
      <c r="HJW302" s="136"/>
      <c r="HJX302" s="136"/>
      <c r="HJY302" s="136"/>
      <c r="HJZ302" s="136"/>
      <c r="HKA302" s="136"/>
      <c r="HKB302" s="136"/>
      <c r="HKC302" s="136"/>
      <c r="HKD302" s="136"/>
      <c r="HKE302" s="136"/>
      <c r="HKF302" s="136"/>
      <c r="HKG302" s="136"/>
      <c r="HKH302" s="136"/>
      <c r="HKI302" s="136"/>
      <c r="HKJ302" s="136"/>
      <c r="HKK302" s="136"/>
      <c r="HKL302" s="136"/>
      <c r="HKM302" s="136"/>
      <c r="HKN302" s="136"/>
      <c r="HKO302" s="136"/>
      <c r="HKP302" s="136"/>
      <c r="HKQ302" s="136"/>
      <c r="HKR302" s="136"/>
      <c r="HKS302" s="136"/>
      <c r="HKT302" s="136"/>
      <c r="HKU302" s="136"/>
      <c r="HKV302" s="136"/>
      <c r="HKW302" s="136"/>
      <c r="HKX302" s="136"/>
      <c r="HKY302" s="136"/>
      <c r="HKZ302" s="136"/>
      <c r="HLA302" s="136"/>
      <c r="HLB302" s="136"/>
      <c r="HLC302" s="136"/>
      <c r="HLD302" s="136"/>
      <c r="HLE302" s="136"/>
      <c r="HLF302" s="136"/>
      <c r="HLG302" s="136"/>
      <c r="HLH302" s="136"/>
      <c r="HLI302" s="136"/>
      <c r="HLJ302" s="136"/>
      <c r="HLK302" s="136"/>
      <c r="HLL302" s="136"/>
      <c r="HLM302" s="136"/>
      <c r="HLN302" s="136"/>
      <c r="HLO302" s="136"/>
      <c r="HLP302" s="136"/>
      <c r="HLQ302" s="136"/>
      <c r="HLR302" s="136"/>
      <c r="HLS302" s="136"/>
      <c r="HLT302" s="136"/>
      <c r="HLU302" s="136"/>
      <c r="HLV302" s="136"/>
      <c r="HLW302" s="136"/>
      <c r="HLX302" s="136"/>
      <c r="HLY302" s="136"/>
      <c r="HLZ302" s="136"/>
      <c r="HMA302" s="136"/>
      <c r="HMB302" s="136"/>
      <c r="HMC302" s="136"/>
      <c r="HMD302" s="136"/>
      <c r="HME302" s="136"/>
      <c r="HMF302" s="136"/>
      <c r="HMG302" s="136"/>
      <c r="HMH302" s="136"/>
      <c r="HMI302" s="136"/>
      <c r="HMJ302" s="136"/>
      <c r="HMK302" s="136"/>
      <c r="HML302" s="136"/>
      <c r="HMM302" s="136"/>
      <c r="HMN302" s="136"/>
      <c r="HMO302" s="136"/>
      <c r="HMP302" s="136"/>
      <c r="HMQ302" s="136"/>
      <c r="HMR302" s="136"/>
      <c r="HMS302" s="136"/>
      <c r="HMT302" s="136"/>
      <c r="HMU302" s="136"/>
      <c r="HMV302" s="136"/>
      <c r="HMW302" s="136"/>
      <c r="HMX302" s="136"/>
      <c r="HMY302" s="136"/>
      <c r="HMZ302" s="136"/>
      <c r="HNA302" s="136"/>
      <c r="HNB302" s="136"/>
      <c r="HNC302" s="136"/>
      <c r="HND302" s="136"/>
      <c r="HNE302" s="136"/>
      <c r="HNF302" s="136"/>
      <c r="HNG302" s="136"/>
      <c r="HNH302" s="136"/>
      <c r="HNI302" s="136"/>
      <c r="HNJ302" s="136"/>
      <c r="HNK302" s="136"/>
      <c r="HNL302" s="136"/>
      <c r="HNM302" s="136"/>
      <c r="HNN302" s="136"/>
      <c r="HNO302" s="136"/>
      <c r="HNP302" s="136"/>
      <c r="HNQ302" s="136"/>
      <c r="HNR302" s="136"/>
      <c r="HNS302" s="136"/>
      <c r="HNT302" s="136"/>
      <c r="HNU302" s="136"/>
      <c r="HNV302" s="136"/>
      <c r="HNW302" s="136"/>
      <c r="HNX302" s="136"/>
      <c r="HNY302" s="136"/>
      <c r="HNZ302" s="136"/>
      <c r="HOA302" s="136"/>
      <c r="HOB302" s="136"/>
      <c r="HOC302" s="136"/>
      <c r="HOD302" s="136"/>
      <c r="HOE302" s="136"/>
      <c r="HOF302" s="136"/>
      <c r="HOG302" s="136"/>
      <c r="HOH302" s="136"/>
      <c r="HOI302" s="136"/>
      <c r="HOJ302" s="136"/>
      <c r="HOK302" s="136"/>
      <c r="HOL302" s="136"/>
      <c r="HOM302" s="136"/>
      <c r="HON302" s="136"/>
      <c r="HOO302" s="136"/>
      <c r="HOP302" s="136"/>
      <c r="HOQ302" s="136"/>
      <c r="HOR302" s="136"/>
      <c r="HOS302" s="136"/>
      <c r="HOT302" s="136"/>
      <c r="HOU302" s="136"/>
      <c r="HOV302" s="136"/>
      <c r="HOW302" s="136"/>
      <c r="HOX302" s="136"/>
      <c r="HOY302" s="136"/>
      <c r="HOZ302" s="136"/>
      <c r="HPA302" s="136"/>
      <c r="HPB302" s="136"/>
      <c r="HPC302" s="136"/>
      <c r="HPD302" s="136"/>
      <c r="HPE302" s="136"/>
      <c r="HPF302" s="136"/>
      <c r="HPG302" s="136"/>
      <c r="HPH302" s="136"/>
      <c r="HPI302" s="136"/>
      <c r="HPJ302" s="136"/>
      <c r="HPK302" s="136"/>
      <c r="HPL302" s="136"/>
      <c r="HPM302" s="136"/>
      <c r="HPN302" s="136"/>
      <c r="HPO302" s="136"/>
      <c r="HPP302" s="136"/>
      <c r="HPQ302" s="136"/>
      <c r="HPR302" s="136"/>
      <c r="HPS302" s="136"/>
      <c r="HPT302" s="136"/>
      <c r="HPU302" s="136"/>
      <c r="HPV302" s="136"/>
      <c r="HPW302" s="136"/>
      <c r="HPX302" s="136"/>
      <c r="HPY302" s="136"/>
      <c r="HPZ302" s="136"/>
      <c r="HQA302" s="136"/>
      <c r="HQB302" s="136"/>
      <c r="HQC302" s="136"/>
      <c r="HQD302" s="136"/>
      <c r="HQE302" s="136"/>
      <c r="HQF302" s="136"/>
      <c r="HQG302" s="136"/>
      <c r="HQH302" s="136"/>
      <c r="HQI302" s="136"/>
      <c r="HQJ302" s="136"/>
      <c r="HQK302" s="136"/>
      <c r="HQL302" s="136"/>
      <c r="HQM302" s="136"/>
      <c r="HQN302" s="136"/>
      <c r="HQO302" s="136"/>
      <c r="HQP302" s="136"/>
      <c r="HQQ302" s="136"/>
      <c r="HQR302" s="136"/>
      <c r="HQS302" s="136"/>
      <c r="HQT302" s="136"/>
      <c r="HQU302" s="136"/>
      <c r="HQV302" s="136"/>
      <c r="HQW302" s="136"/>
      <c r="HQX302" s="136"/>
      <c r="HQY302" s="136"/>
      <c r="HQZ302" s="136"/>
      <c r="HRA302" s="136"/>
      <c r="HRB302" s="136"/>
      <c r="HRC302" s="136"/>
      <c r="HRD302" s="136"/>
      <c r="HRE302" s="136"/>
      <c r="HRF302" s="136"/>
      <c r="HRG302" s="136"/>
      <c r="HRH302" s="136"/>
      <c r="HRI302" s="136"/>
      <c r="HRJ302" s="136"/>
      <c r="HRK302" s="136"/>
      <c r="HRL302" s="136"/>
      <c r="HRM302" s="136"/>
      <c r="HRN302" s="136"/>
      <c r="HRO302" s="136"/>
      <c r="HRP302" s="136"/>
      <c r="HRQ302" s="136"/>
      <c r="HRR302" s="136"/>
      <c r="HRS302" s="136"/>
      <c r="HRT302" s="136"/>
      <c r="HRU302" s="136"/>
      <c r="HRV302" s="136"/>
      <c r="HRW302" s="136"/>
      <c r="HRX302" s="136"/>
      <c r="HRY302" s="136"/>
      <c r="HRZ302" s="136"/>
      <c r="HSA302" s="136"/>
      <c r="HSB302" s="136"/>
      <c r="HSC302" s="136"/>
      <c r="HSD302" s="136"/>
      <c r="HSE302" s="136"/>
      <c r="HSF302" s="136"/>
      <c r="HSG302" s="136"/>
      <c r="HSH302" s="136"/>
      <c r="HSI302" s="136"/>
      <c r="HSJ302" s="136"/>
      <c r="HSK302" s="136"/>
      <c r="HSL302" s="136"/>
      <c r="HSM302" s="136"/>
      <c r="HSN302" s="136"/>
      <c r="HSO302" s="136"/>
      <c r="HSP302" s="136"/>
      <c r="HSQ302" s="136"/>
      <c r="HSR302" s="136"/>
      <c r="HSS302" s="136"/>
      <c r="HST302" s="136"/>
      <c r="HSU302" s="136"/>
      <c r="HSV302" s="136"/>
      <c r="HSW302" s="136"/>
      <c r="HSX302" s="136"/>
      <c r="HSY302" s="136"/>
      <c r="HSZ302" s="136"/>
      <c r="HTA302" s="136"/>
      <c r="HTB302" s="136"/>
      <c r="HTC302" s="136"/>
      <c r="HTD302" s="136"/>
      <c r="HTE302" s="136"/>
      <c r="HTF302" s="136"/>
      <c r="HTG302" s="136"/>
      <c r="HTH302" s="136"/>
      <c r="HTI302" s="136"/>
      <c r="HTJ302" s="136"/>
      <c r="HTK302" s="136"/>
      <c r="HTL302" s="136"/>
      <c r="HTM302" s="136"/>
      <c r="HTN302" s="136"/>
      <c r="HTO302" s="136"/>
      <c r="HTP302" s="136"/>
      <c r="HTQ302" s="136"/>
      <c r="HTR302" s="136"/>
      <c r="HTS302" s="136"/>
      <c r="HTT302" s="136"/>
      <c r="HTU302" s="136"/>
      <c r="HTV302" s="136"/>
      <c r="HTW302" s="136"/>
      <c r="HTX302" s="136"/>
      <c r="HTY302" s="136"/>
      <c r="HTZ302" s="136"/>
      <c r="HUA302" s="136"/>
      <c r="HUB302" s="136"/>
      <c r="HUC302" s="136"/>
      <c r="HUD302" s="136"/>
      <c r="HUE302" s="136"/>
      <c r="HUF302" s="136"/>
      <c r="HUG302" s="136"/>
      <c r="HUH302" s="136"/>
      <c r="HUI302" s="136"/>
      <c r="HUJ302" s="136"/>
      <c r="HUK302" s="136"/>
      <c r="HUL302" s="136"/>
      <c r="HUM302" s="136"/>
      <c r="HUN302" s="136"/>
      <c r="HUO302" s="136"/>
      <c r="HUP302" s="136"/>
      <c r="HUQ302" s="136"/>
      <c r="HUR302" s="136"/>
      <c r="HUS302" s="136"/>
      <c r="HUT302" s="136"/>
      <c r="HUU302" s="136"/>
      <c r="HUV302" s="136"/>
      <c r="HUW302" s="136"/>
      <c r="HUX302" s="136"/>
      <c r="HUY302" s="136"/>
      <c r="HUZ302" s="136"/>
      <c r="HVA302" s="136"/>
      <c r="HVB302" s="136"/>
      <c r="HVC302" s="136"/>
      <c r="HVD302" s="136"/>
      <c r="HVE302" s="136"/>
      <c r="HVF302" s="136"/>
      <c r="HVG302" s="136"/>
      <c r="HVH302" s="136"/>
      <c r="HVI302" s="136"/>
      <c r="HVJ302" s="136"/>
      <c r="HVK302" s="136"/>
      <c r="HVL302" s="136"/>
      <c r="HVM302" s="136"/>
      <c r="HVN302" s="136"/>
      <c r="HVO302" s="136"/>
      <c r="HVP302" s="136"/>
      <c r="HVQ302" s="136"/>
      <c r="HVR302" s="136"/>
      <c r="HVS302" s="136"/>
      <c r="HVT302" s="136"/>
      <c r="HVU302" s="136"/>
      <c r="HVV302" s="136"/>
      <c r="HVW302" s="136"/>
      <c r="HVX302" s="136"/>
      <c r="HVY302" s="136"/>
      <c r="HVZ302" s="136"/>
      <c r="HWA302" s="136"/>
      <c r="HWB302" s="136"/>
      <c r="HWC302" s="136"/>
      <c r="HWD302" s="136"/>
      <c r="HWE302" s="136"/>
      <c r="HWF302" s="136"/>
      <c r="HWG302" s="136"/>
      <c r="HWH302" s="136"/>
      <c r="HWI302" s="136"/>
      <c r="HWJ302" s="136"/>
      <c r="HWK302" s="136"/>
      <c r="HWL302" s="136"/>
      <c r="HWM302" s="136"/>
      <c r="HWN302" s="136"/>
      <c r="HWO302" s="136"/>
      <c r="HWP302" s="136"/>
      <c r="HWQ302" s="136"/>
      <c r="HWR302" s="136"/>
      <c r="HWS302" s="136"/>
      <c r="HWT302" s="136"/>
      <c r="HWU302" s="136"/>
      <c r="HWV302" s="136"/>
      <c r="HWW302" s="136"/>
      <c r="HWX302" s="136"/>
      <c r="HWY302" s="136"/>
      <c r="HWZ302" s="136"/>
      <c r="HXA302" s="136"/>
      <c r="HXB302" s="136"/>
      <c r="HXC302" s="136"/>
      <c r="HXD302" s="136"/>
      <c r="HXE302" s="136"/>
      <c r="HXF302" s="136"/>
      <c r="HXG302" s="136"/>
      <c r="HXH302" s="136"/>
      <c r="HXI302" s="136"/>
      <c r="HXJ302" s="136"/>
      <c r="HXK302" s="136"/>
      <c r="HXL302" s="136"/>
      <c r="HXM302" s="136"/>
      <c r="HXN302" s="136"/>
      <c r="HXO302" s="136"/>
      <c r="HXP302" s="136"/>
      <c r="HXQ302" s="136"/>
      <c r="HXR302" s="136"/>
      <c r="HXS302" s="136"/>
      <c r="HXT302" s="136"/>
      <c r="HXU302" s="136"/>
      <c r="HXV302" s="136"/>
      <c r="HXW302" s="136"/>
      <c r="HXX302" s="136"/>
      <c r="HXY302" s="136"/>
      <c r="HXZ302" s="136"/>
      <c r="HYA302" s="136"/>
      <c r="HYB302" s="136"/>
      <c r="HYC302" s="136"/>
      <c r="HYD302" s="136"/>
      <c r="HYE302" s="136"/>
      <c r="HYF302" s="136"/>
      <c r="HYG302" s="136"/>
      <c r="HYH302" s="136"/>
      <c r="HYI302" s="136"/>
      <c r="HYJ302" s="136"/>
      <c r="HYK302" s="136"/>
      <c r="HYL302" s="136"/>
      <c r="HYM302" s="136"/>
      <c r="HYN302" s="136"/>
      <c r="HYO302" s="136"/>
      <c r="HYP302" s="136"/>
      <c r="HYQ302" s="136"/>
      <c r="HYR302" s="136"/>
      <c r="HYS302" s="136"/>
      <c r="HYT302" s="136"/>
      <c r="HYU302" s="136"/>
      <c r="HYV302" s="136"/>
      <c r="HYW302" s="136"/>
      <c r="HYX302" s="136"/>
      <c r="HYY302" s="136"/>
      <c r="HYZ302" s="136"/>
      <c r="HZA302" s="136"/>
      <c r="HZB302" s="136"/>
      <c r="HZC302" s="136"/>
      <c r="HZD302" s="136"/>
      <c r="HZE302" s="136"/>
      <c r="HZF302" s="136"/>
      <c r="HZG302" s="136"/>
      <c r="HZH302" s="136"/>
      <c r="HZI302" s="136"/>
      <c r="HZJ302" s="136"/>
      <c r="HZK302" s="136"/>
      <c r="HZL302" s="136"/>
      <c r="HZM302" s="136"/>
      <c r="HZN302" s="136"/>
      <c r="HZO302" s="136"/>
      <c r="HZP302" s="136"/>
      <c r="HZQ302" s="136"/>
      <c r="HZR302" s="136"/>
      <c r="HZS302" s="136"/>
      <c r="HZT302" s="136"/>
      <c r="HZU302" s="136"/>
      <c r="HZV302" s="136"/>
      <c r="HZW302" s="136"/>
      <c r="HZX302" s="136"/>
      <c r="HZY302" s="136"/>
      <c r="HZZ302" s="136"/>
      <c r="IAA302" s="136"/>
      <c r="IAB302" s="136"/>
      <c r="IAC302" s="136"/>
      <c r="IAD302" s="136"/>
      <c r="IAE302" s="136"/>
      <c r="IAF302" s="136"/>
      <c r="IAG302" s="136"/>
      <c r="IAH302" s="136"/>
      <c r="IAI302" s="136"/>
      <c r="IAJ302" s="136"/>
      <c r="IAK302" s="136"/>
      <c r="IAL302" s="136"/>
      <c r="IAM302" s="136"/>
      <c r="IAN302" s="136"/>
      <c r="IAO302" s="136"/>
      <c r="IAP302" s="136"/>
      <c r="IAQ302" s="136"/>
      <c r="IAR302" s="136"/>
      <c r="IAS302" s="136"/>
      <c r="IAT302" s="136"/>
      <c r="IAU302" s="136"/>
      <c r="IAV302" s="136"/>
      <c r="IAW302" s="136"/>
      <c r="IAX302" s="136"/>
      <c r="IAY302" s="136"/>
      <c r="IAZ302" s="136"/>
      <c r="IBA302" s="136"/>
      <c r="IBB302" s="136"/>
      <c r="IBC302" s="136"/>
      <c r="IBD302" s="136"/>
      <c r="IBE302" s="136"/>
      <c r="IBF302" s="136"/>
      <c r="IBG302" s="136"/>
      <c r="IBH302" s="136"/>
      <c r="IBI302" s="136"/>
      <c r="IBJ302" s="136"/>
      <c r="IBK302" s="136"/>
      <c r="IBL302" s="136"/>
      <c r="IBM302" s="136"/>
      <c r="IBN302" s="136"/>
      <c r="IBO302" s="136"/>
      <c r="IBP302" s="136"/>
      <c r="IBQ302" s="136"/>
      <c r="IBR302" s="136"/>
      <c r="IBS302" s="136"/>
      <c r="IBT302" s="136"/>
      <c r="IBU302" s="136"/>
      <c r="IBV302" s="136"/>
      <c r="IBW302" s="136"/>
      <c r="IBX302" s="136"/>
      <c r="IBY302" s="136"/>
      <c r="IBZ302" s="136"/>
      <c r="ICA302" s="136"/>
      <c r="ICB302" s="136"/>
      <c r="ICC302" s="136"/>
      <c r="ICD302" s="136"/>
      <c r="ICE302" s="136"/>
      <c r="ICF302" s="136"/>
      <c r="ICG302" s="136"/>
      <c r="ICH302" s="136"/>
      <c r="ICI302" s="136"/>
      <c r="ICJ302" s="136"/>
      <c r="ICK302" s="136"/>
      <c r="ICL302" s="136"/>
      <c r="ICM302" s="136"/>
      <c r="ICN302" s="136"/>
      <c r="ICO302" s="136"/>
      <c r="ICP302" s="136"/>
      <c r="ICQ302" s="136"/>
      <c r="ICR302" s="136"/>
      <c r="ICS302" s="136"/>
      <c r="ICT302" s="136"/>
      <c r="ICU302" s="136"/>
      <c r="ICV302" s="136"/>
      <c r="ICW302" s="136"/>
      <c r="ICX302" s="136"/>
      <c r="ICY302" s="136"/>
      <c r="ICZ302" s="136"/>
      <c r="IDA302" s="136"/>
      <c r="IDB302" s="136"/>
      <c r="IDC302" s="136"/>
      <c r="IDD302" s="136"/>
      <c r="IDE302" s="136"/>
      <c r="IDF302" s="136"/>
      <c r="IDG302" s="136"/>
      <c r="IDH302" s="136"/>
      <c r="IDI302" s="136"/>
      <c r="IDJ302" s="136"/>
      <c r="IDK302" s="136"/>
      <c r="IDL302" s="136"/>
      <c r="IDM302" s="136"/>
      <c r="IDN302" s="136"/>
      <c r="IDO302" s="136"/>
      <c r="IDP302" s="136"/>
      <c r="IDQ302" s="136"/>
      <c r="IDR302" s="136"/>
      <c r="IDS302" s="136"/>
      <c r="IDT302" s="136"/>
      <c r="IDU302" s="136"/>
      <c r="IDV302" s="136"/>
      <c r="IDW302" s="136"/>
      <c r="IDX302" s="136"/>
      <c r="IDY302" s="136"/>
      <c r="IDZ302" s="136"/>
      <c r="IEA302" s="136"/>
      <c r="IEB302" s="136"/>
      <c r="IEC302" s="136"/>
      <c r="IED302" s="136"/>
      <c r="IEE302" s="136"/>
      <c r="IEF302" s="136"/>
      <c r="IEG302" s="136"/>
      <c r="IEH302" s="136"/>
      <c r="IEI302" s="136"/>
      <c r="IEJ302" s="136"/>
      <c r="IEK302" s="136"/>
      <c r="IEL302" s="136"/>
      <c r="IEM302" s="136"/>
      <c r="IEN302" s="136"/>
      <c r="IEO302" s="136"/>
      <c r="IEP302" s="136"/>
      <c r="IEQ302" s="136"/>
      <c r="IER302" s="136"/>
      <c r="IES302" s="136"/>
      <c r="IET302" s="136"/>
      <c r="IEU302" s="136"/>
      <c r="IEV302" s="136"/>
      <c r="IEW302" s="136"/>
      <c r="IEX302" s="136"/>
      <c r="IEY302" s="136"/>
      <c r="IEZ302" s="136"/>
      <c r="IFA302" s="136"/>
      <c r="IFB302" s="136"/>
      <c r="IFC302" s="136"/>
      <c r="IFD302" s="136"/>
      <c r="IFE302" s="136"/>
      <c r="IFF302" s="136"/>
      <c r="IFG302" s="136"/>
      <c r="IFH302" s="136"/>
      <c r="IFI302" s="136"/>
      <c r="IFJ302" s="136"/>
      <c r="IFK302" s="136"/>
      <c r="IFL302" s="136"/>
      <c r="IFM302" s="136"/>
      <c r="IFN302" s="136"/>
      <c r="IFO302" s="136"/>
      <c r="IFP302" s="136"/>
      <c r="IFQ302" s="136"/>
      <c r="IFR302" s="136"/>
      <c r="IFS302" s="136"/>
      <c r="IFT302" s="136"/>
      <c r="IFU302" s="136"/>
      <c r="IFV302" s="136"/>
      <c r="IFW302" s="136"/>
      <c r="IFX302" s="136"/>
      <c r="IFY302" s="136"/>
      <c r="IFZ302" s="136"/>
      <c r="IGA302" s="136"/>
      <c r="IGB302" s="136"/>
      <c r="IGC302" s="136"/>
      <c r="IGD302" s="136"/>
      <c r="IGE302" s="136"/>
      <c r="IGF302" s="136"/>
      <c r="IGG302" s="136"/>
      <c r="IGH302" s="136"/>
      <c r="IGI302" s="136"/>
      <c r="IGJ302" s="136"/>
      <c r="IGK302" s="136"/>
      <c r="IGL302" s="136"/>
      <c r="IGM302" s="136"/>
      <c r="IGN302" s="136"/>
      <c r="IGO302" s="136"/>
      <c r="IGP302" s="136"/>
      <c r="IGQ302" s="136"/>
      <c r="IGR302" s="136"/>
      <c r="IGS302" s="136"/>
      <c r="IGT302" s="136"/>
      <c r="IGU302" s="136"/>
      <c r="IGV302" s="136"/>
      <c r="IGW302" s="136"/>
      <c r="IGX302" s="136"/>
      <c r="IGY302" s="136"/>
      <c r="IGZ302" s="136"/>
      <c r="IHA302" s="136"/>
      <c r="IHB302" s="136"/>
      <c r="IHC302" s="136"/>
      <c r="IHD302" s="136"/>
      <c r="IHE302" s="136"/>
      <c r="IHF302" s="136"/>
      <c r="IHG302" s="136"/>
      <c r="IHH302" s="136"/>
      <c r="IHI302" s="136"/>
      <c r="IHJ302" s="136"/>
      <c r="IHK302" s="136"/>
      <c r="IHL302" s="136"/>
      <c r="IHM302" s="136"/>
      <c r="IHN302" s="136"/>
      <c r="IHO302" s="136"/>
      <c r="IHP302" s="136"/>
      <c r="IHQ302" s="136"/>
      <c r="IHR302" s="136"/>
      <c r="IHS302" s="136"/>
      <c r="IHT302" s="136"/>
      <c r="IHU302" s="136"/>
      <c r="IHV302" s="136"/>
      <c r="IHW302" s="136"/>
      <c r="IHX302" s="136"/>
      <c r="IHY302" s="136"/>
      <c r="IHZ302" s="136"/>
      <c r="IIA302" s="136"/>
      <c r="IIB302" s="136"/>
      <c r="IIC302" s="136"/>
      <c r="IID302" s="136"/>
      <c r="IIE302" s="136"/>
      <c r="IIF302" s="136"/>
      <c r="IIG302" s="136"/>
      <c r="IIH302" s="136"/>
      <c r="III302" s="136"/>
      <c r="IIJ302" s="136"/>
      <c r="IIK302" s="136"/>
      <c r="IIL302" s="136"/>
      <c r="IIM302" s="136"/>
      <c r="IIN302" s="136"/>
      <c r="IIO302" s="136"/>
      <c r="IIP302" s="136"/>
      <c r="IIQ302" s="136"/>
      <c r="IIR302" s="136"/>
      <c r="IIS302" s="136"/>
      <c r="IIT302" s="136"/>
      <c r="IIU302" s="136"/>
      <c r="IIV302" s="136"/>
      <c r="IIW302" s="136"/>
      <c r="IIX302" s="136"/>
      <c r="IIY302" s="136"/>
      <c r="IIZ302" s="136"/>
      <c r="IJA302" s="136"/>
      <c r="IJB302" s="136"/>
      <c r="IJC302" s="136"/>
      <c r="IJD302" s="136"/>
      <c r="IJE302" s="136"/>
      <c r="IJF302" s="136"/>
      <c r="IJG302" s="136"/>
      <c r="IJH302" s="136"/>
      <c r="IJI302" s="136"/>
      <c r="IJJ302" s="136"/>
      <c r="IJK302" s="136"/>
      <c r="IJL302" s="136"/>
      <c r="IJM302" s="136"/>
      <c r="IJN302" s="136"/>
      <c r="IJO302" s="136"/>
      <c r="IJP302" s="136"/>
      <c r="IJQ302" s="136"/>
      <c r="IJR302" s="136"/>
      <c r="IJS302" s="136"/>
      <c r="IJT302" s="136"/>
      <c r="IJU302" s="136"/>
      <c r="IJV302" s="136"/>
      <c r="IJW302" s="136"/>
      <c r="IJX302" s="136"/>
      <c r="IJY302" s="136"/>
      <c r="IJZ302" s="136"/>
      <c r="IKA302" s="136"/>
      <c r="IKB302" s="136"/>
      <c r="IKC302" s="136"/>
      <c r="IKD302" s="136"/>
      <c r="IKE302" s="136"/>
      <c r="IKF302" s="136"/>
      <c r="IKG302" s="136"/>
      <c r="IKH302" s="136"/>
      <c r="IKI302" s="136"/>
      <c r="IKJ302" s="136"/>
      <c r="IKK302" s="136"/>
      <c r="IKL302" s="136"/>
      <c r="IKM302" s="136"/>
      <c r="IKN302" s="136"/>
      <c r="IKO302" s="136"/>
      <c r="IKP302" s="136"/>
      <c r="IKQ302" s="136"/>
      <c r="IKR302" s="136"/>
      <c r="IKS302" s="136"/>
      <c r="IKT302" s="136"/>
      <c r="IKU302" s="136"/>
      <c r="IKV302" s="136"/>
      <c r="IKW302" s="136"/>
      <c r="IKX302" s="136"/>
      <c r="IKY302" s="136"/>
      <c r="IKZ302" s="136"/>
      <c r="ILA302" s="136"/>
      <c r="ILB302" s="136"/>
      <c r="ILC302" s="136"/>
      <c r="ILD302" s="136"/>
      <c r="ILE302" s="136"/>
      <c r="ILF302" s="136"/>
      <c r="ILG302" s="136"/>
      <c r="ILH302" s="136"/>
      <c r="ILI302" s="136"/>
      <c r="ILJ302" s="136"/>
      <c r="ILK302" s="136"/>
      <c r="ILL302" s="136"/>
      <c r="ILM302" s="136"/>
      <c r="ILN302" s="136"/>
      <c r="ILO302" s="136"/>
      <c r="ILP302" s="136"/>
      <c r="ILQ302" s="136"/>
      <c r="ILR302" s="136"/>
      <c r="ILS302" s="136"/>
      <c r="ILT302" s="136"/>
      <c r="ILU302" s="136"/>
      <c r="ILV302" s="136"/>
      <c r="ILW302" s="136"/>
      <c r="ILX302" s="136"/>
      <c r="ILY302" s="136"/>
      <c r="ILZ302" s="136"/>
      <c r="IMA302" s="136"/>
      <c r="IMB302" s="136"/>
      <c r="IMC302" s="136"/>
      <c r="IMD302" s="136"/>
      <c r="IME302" s="136"/>
      <c r="IMF302" s="136"/>
      <c r="IMG302" s="136"/>
      <c r="IMH302" s="136"/>
      <c r="IMI302" s="136"/>
      <c r="IMJ302" s="136"/>
      <c r="IMK302" s="136"/>
      <c r="IML302" s="136"/>
      <c r="IMM302" s="136"/>
      <c r="IMN302" s="136"/>
      <c r="IMO302" s="136"/>
      <c r="IMP302" s="136"/>
      <c r="IMQ302" s="136"/>
      <c r="IMR302" s="136"/>
      <c r="IMS302" s="136"/>
      <c r="IMT302" s="136"/>
      <c r="IMU302" s="136"/>
      <c r="IMV302" s="136"/>
      <c r="IMW302" s="136"/>
      <c r="IMX302" s="136"/>
      <c r="IMY302" s="136"/>
      <c r="IMZ302" s="136"/>
      <c r="INA302" s="136"/>
      <c r="INB302" s="136"/>
      <c r="INC302" s="136"/>
      <c r="IND302" s="136"/>
      <c r="INE302" s="136"/>
      <c r="INF302" s="136"/>
      <c r="ING302" s="136"/>
      <c r="INH302" s="136"/>
      <c r="INI302" s="136"/>
      <c r="INJ302" s="136"/>
      <c r="INK302" s="136"/>
      <c r="INL302" s="136"/>
      <c r="INM302" s="136"/>
      <c r="INN302" s="136"/>
      <c r="INO302" s="136"/>
      <c r="INP302" s="136"/>
      <c r="INQ302" s="136"/>
      <c r="INR302" s="136"/>
      <c r="INS302" s="136"/>
      <c r="INT302" s="136"/>
      <c r="INU302" s="136"/>
      <c r="INV302" s="136"/>
      <c r="INW302" s="136"/>
      <c r="INX302" s="136"/>
      <c r="INY302" s="136"/>
      <c r="INZ302" s="136"/>
      <c r="IOA302" s="136"/>
      <c r="IOB302" s="136"/>
      <c r="IOC302" s="136"/>
      <c r="IOD302" s="136"/>
      <c r="IOE302" s="136"/>
      <c r="IOF302" s="136"/>
      <c r="IOG302" s="136"/>
      <c r="IOH302" s="136"/>
      <c r="IOI302" s="136"/>
      <c r="IOJ302" s="136"/>
      <c r="IOK302" s="136"/>
      <c r="IOL302" s="136"/>
      <c r="IOM302" s="136"/>
      <c r="ION302" s="136"/>
      <c r="IOO302" s="136"/>
      <c r="IOP302" s="136"/>
      <c r="IOQ302" s="136"/>
      <c r="IOR302" s="136"/>
      <c r="IOS302" s="136"/>
      <c r="IOT302" s="136"/>
      <c r="IOU302" s="136"/>
      <c r="IOV302" s="136"/>
      <c r="IOW302" s="136"/>
      <c r="IOX302" s="136"/>
      <c r="IOY302" s="136"/>
      <c r="IOZ302" s="136"/>
      <c r="IPA302" s="136"/>
      <c r="IPB302" s="136"/>
      <c r="IPC302" s="136"/>
      <c r="IPD302" s="136"/>
      <c r="IPE302" s="136"/>
      <c r="IPF302" s="136"/>
      <c r="IPG302" s="136"/>
      <c r="IPH302" s="136"/>
      <c r="IPI302" s="136"/>
      <c r="IPJ302" s="136"/>
      <c r="IPK302" s="136"/>
      <c r="IPL302" s="136"/>
      <c r="IPM302" s="136"/>
      <c r="IPN302" s="136"/>
      <c r="IPO302" s="136"/>
      <c r="IPP302" s="136"/>
      <c r="IPQ302" s="136"/>
      <c r="IPR302" s="136"/>
      <c r="IPS302" s="136"/>
      <c r="IPT302" s="136"/>
      <c r="IPU302" s="136"/>
      <c r="IPV302" s="136"/>
      <c r="IPW302" s="136"/>
      <c r="IPX302" s="136"/>
      <c r="IPY302" s="136"/>
      <c r="IPZ302" s="136"/>
      <c r="IQA302" s="136"/>
      <c r="IQB302" s="136"/>
      <c r="IQC302" s="136"/>
      <c r="IQD302" s="136"/>
      <c r="IQE302" s="136"/>
      <c r="IQF302" s="136"/>
      <c r="IQG302" s="136"/>
      <c r="IQH302" s="136"/>
      <c r="IQI302" s="136"/>
      <c r="IQJ302" s="136"/>
      <c r="IQK302" s="136"/>
      <c r="IQL302" s="136"/>
      <c r="IQM302" s="136"/>
      <c r="IQN302" s="136"/>
      <c r="IQO302" s="136"/>
      <c r="IQP302" s="136"/>
      <c r="IQQ302" s="136"/>
      <c r="IQR302" s="136"/>
      <c r="IQS302" s="136"/>
      <c r="IQT302" s="136"/>
      <c r="IQU302" s="136"/>
      <c r="IQV302" s="136"/>
      <c r="IQW302" s="136"/>
      <c r="IQX302" s="136"/>
      <c r="IQY302" s="136"/>
      <c r="IQZ302" s="136"/>
      <c r="IRA302" s="136"/>
      <c r="IRB302" s="136"/>
      <c r="IRC302" s="136"/>
      <c r="IRD302" s="136"/>
      <c r="IRE302" s="136"/>
      <c r="IRF302" s="136"/>
      <c r="IRG302" s="136"/>
      <c r="IRH302" s="136"/>
      <c r="IRI302" s="136"/>
      <c r="IRJ302" s="136"/>
      <c r="IRK302" s="136"/>
      <c r="IRL302" s="136"/>
      <c r="IRM302" s="136"/>
      <c r="IRN302" s="136"/>
      <c r="IRO302" s="136"/>
      <c r="IRP302" s="136"/>
      <c r="IRQ302" s="136"/>
      <c r="IRR302" s="136"/>
      <c r="IRS302" s="136"/>
      <c r="IRT302" s="136"/>
      <c r="IRU302" s="136"/>
      <c r="IRV302" s="136"/>
      <c r="IRW302" s="136"/>
      <c r="IRX302" s="136"/>
      <c r="IRY302" s="136"/>
      <c r="IRZ302" s="136"/>
      <c r="ISA302" s="136"/>
      <c r="ISB302" s="136"/>
      <c r="ISC302" s="136"/>
      <c r="ISD302" s="136"/>
      <c r="ISE302" s="136"/>
      <c r="ISF302" s="136"/>
      <c r="ISG302" s="136"/>
      <c r="ISH302" s="136"/>
      <c r="ISI302" s="136"/>
      <c r="ISJ302" s="136"/>
      <c r="ISK302" s="136"/>
      <c r="ISL302" s="136"/>
      <c r="ISM302" s="136"/>
      <c r="ISN302" s="136"/>
      <c r="ISO302" s="136"/>
      <c r="ISP302" s="136"/>
      <c r="ISQ302" s="136"/>
      <c r="ISR302" s="136"/>
      <c r="ISS302" s="136"/>
      <c r="IST302" s="136"/>
      <c r="ISU302" s="136"/>
      <c r="ISV302" s="136"/>
      <c r="ISW302" s="136"/>
      <c r="ISX302" s="136"/>
      <c r="ISY302" s="136"/>
      <c r="ISZ302" s="136"/>
      <c r="ITA302" s="136"/>
      <c r="ITB302" s="136"/>
      <c r="ITC302" s="136"/>
      <c r="ITD302" s="136"/>
      <c r="ITE302" s="136"/>
      <c r="ITF302" s="136"/>
      <c r="ITG302" s="136"/>
      <c r="ITH302" s="136"/>
      <c r="ITI302" s="136"/>
      <c r="ITJ302" s="136"/>
      <c r="ITK302" s="136"/>
      <c r="ITL302" s="136"/>
      <c r="ITM302" s="136"/>
      <c r="ITN302" s="136"/>
      <c r="ITO302" s="136"/>
      <c r="ITP302" s="136"/>
      <c r="ITQ302" s="136"/>
      <c r="ITR302" s="136"/>
      <c r="ITS302" s="136"/>
      <c r="ITT302" s="136"/>
      <c r="ITU302" s="136"/>
      <c r="ITV302" s="136"/>
      <c r="ITW302" s="136"/>
      <c r="ITX302" s="136"/>
      <c r="ITY302" s="136"/>
      <c r="ITZ302" s="136"/>
      <c r="IUA302" s="136"/>
      <c r="IUB302" s="136"/>
      <c r="IUC302" s="136"/>
      <c r="IUD302" s="136"/>
      <c r="IUE302" s="136"/>
      <c r="IUF302" s="136"/>
      <c r="IUG302" s="136"/>
      <c r="IUH302" s="136"/>
      <c r="IUI302" s="136"/>
      <c r="IUJ302" s="136"/>
      <c r="IUK302" s="136"/>
      <c r="IUL302" s="136"/>
      <c r="IUM302" s="136"/>
      <c r="IUN302" s="136"/>
      <c r="IUO302" s="136"/>
      <c r="IUP302" s="136"/>
      <c r="IUQ302" s="136"/>
      <c r="IUR302" s="136"/>
      <c r="IUS302" s="136"/>
      <c r="IUT302" s="136"/>
      <c r="IUU302" s="136"/>
      <c r="IUV302" s="136"/>
      <c r="IUW302" s="136"/>
      <c r="IUX302" s="136"/>
      <c r="IUY302" s="136"/>
      <c r="IUZ302" s="136"/>
      <c r="IVA302" s="136"/>
      <c r="IVB302" s="136"/>
      <c r="IVC302" s="136"/>
      <c r="IVD302" s="136"/>
      <c r="IVE302" s="136"/>
      <c r="IVF302" s="136"/>
      <c r="IVG302" s="136"/>
      <c r="IVH302" s="136"/>
      <c r="IVI302" s="136"/>
      <c r="IVJ302" s="136"/>
      <c r="IVK302" s="136"/>
      <c r="IVL302" s="136"/>
      <c r="IVM302" s="136"/>
      <c r="IVN302" s="136"/>
      <c r="IVO302" s="136"/>
      <c r="IVP302" s="136"/>
      <c r="IVQ302" s="136"/>
      <c r="IVR302" s="136"/>
      <c r="IVS302" s="136"/>
      <c r="IVT302" s="136"/>
      <c r="IVU302" s="136"/>
      <c r="IVV302" s="136"/>
      <c r="IVW302" s="136"/>
      <c r="IVX302" s="136"/>
      <c r="IVY302" s="136"/>
      <c r="IVZ302" s="136"/>
      <c r="IWA302" s="136"/>
      <c r="IWB302" s="136"/>
      <c r="IWC302" s="136"/>
      <c r="IWD302" s="136"/>
      <c r="IWE302" s="136"/>
      <c r="IWF302" s="136"/>
      <c r="IWG302" s="136"/>
      <c r="IWH302" s="136"/>
      <c r="IWI302" s="136"/>
      <c r="IWJ302" s="136"/>
      <c r="IWK302" s="136"/>
      <c r="IWL302" s="136"/>
      <c r="IWM302" s="136"/>
      <c r="IWN302" s="136"/>
      <c r="IWO302" s="136"/>
      <c r="IWP302" s="136"/>
      <c r="IWQ302" s="136"/>
      <c r="IWR302" s="136"/>
      <c r="IWS302" s="136"/>
      <c r="IWT302" s="136"/>
      <c r="IWU302" s="136"/>
      <c r="IWV302" s="136"/>
      <c r="IWW302" s="136"/>
      <c r="IWX302" s="136"/>
      <c r="IWY302" s="136"/>
      <c r="IWZ302" s="136"/>
      <c r="IXA302" s="136"/>
      <c r="IXB302" s="136"/>
      <c r="IXC302" s="136"/>
      <c r="IXD302" s="136"/>
      <c r="IXE302" s="136"/>
      <c r="IXF302" s="136"/>
      <c r="IXG302" s="136"/>
      <c r="IXH302" s="136"/>
      <c r="IXI302" s="136"/>
      <c r="IXJ302" s="136"/>
      <c r="IXK302" s="136"/>
      <c r="IXL302" s="136"/>
      <c r="IXM302" s="136"/>
      <c r="IXN302" s="136"/>
      <c r="IXO302" s="136"/>
      <c r="IXP302" s="136"/>
      <c r="IXQ302" s="136"/>
      <c r="IXR302" s="136"/>
      <c r="IXS302" s="136"/>
      <c r="IXT302" s="136"/>
      <c r="IXU302" s="136"/>
      <c r="IXV302" s="136"/>
      <c r="IXW302" s="136"/>
      <c r="IXX302" s="136"/>
      <c r="IXY302" s="136"/>
      <c r="IXZ302" s="136"/>
      <c r="IYA302" s="136"/>
      <c r="IYB302" s="136"/>
      <c r="IYC302" s="136"/>
      <c r="IYD302" s="136"/>
      <c r="IYE302" s="136"/>
      <c r="IYF302" s="136"/>
      <c r="IYG302" s="136"/>
      <c r="IYH302" s="136"/>
      <c r="IYI302" s="136"/>
      <c r="IYJ302" s="136"/>
      <c r="IYK302" s="136"/>
      <c r="IYL302" s="136"/>
      <c r="IYM302" s="136"/>
      <c r="IYN302" s="136"/>
      <c r="IYO302" s="136"/>
      <c r="IYP302" s="136"/>
      <c r="IYQ302" s="136"/>
      <c r="IYR302" s="136"/>
      <c r="IYS302" s="136"/>
      <c r="IYT302" s="136"/>
      <c r="IYU302" s="136"/>
      <c r="IYV302" s="136"/>
      <c r="IYW302" s="136"/>
      <c r="IYX302" s="136"/>
      <c r="IYY302" s="136"/>
      <c r="IYZ302" s="136"/>
      <c r="IZA302" s="136"/>
      <c r="IZB302" s="136"/>
      <c r="IZC302" s="136"/>
      <c r="IZD302" s="136"/>
      <c r="IZE302" s="136"/>
      <c r="IZF302" s="136"/>
      <c r="IZG302" s="136"/>
      <c r="IZH302" s="136"/>
      <c r="IZI302" s="136"/>
      <c r="IZJ302" s="136"/>
      <c r="IZK302" s="136"/>
      <c r="IZL302" s="136"/>
      <c r="IZM302" s="136"/>
      <c r="IZN302" s="136"/>
      <c r="IZO302" s="136"/>
      <c r="IZP302" s="136"/>
      <c r="IZQ302" s="136"/>
      <c r="IZR302" s="136"/>
      <c r="IZS302" s="136"/>
      <c r="IZT302" s="136"/>
      <c r="IZU302" s="136"/>
      <c r="IZV302" s="136"/>
      <c r="IZW302" s="136"/>
      <c r="IZX302" s="136"/>
      <c r="IZY302" s="136"/>
      <c r="IZZ302" s="136"/>
      <c r="JAA302" s="136"/>
      <c r="JAB302" s="136"/>
      <c r="JAC302" s="136"/>
      <c r="JAD302" s="136"/>
      <c r="JAE302" s="136"/>
      <c r="JAF302" s="136"/>
      <c r="JAG302" s="136"/>
      <c r="JAH302" s="136"/>
      <c r="JAI302" s="136"/>
      <c r="JAJ302" s="136"/>
      <c r="JAK302" s="136"/>
      <c r="JAL302" s="136"/>
      <c r="JAM302" s="136"/>
      <c r="JAN302" s="136"/>
      <c r="JAO302" s="136"/>
      <c r="JAP302" s="136"/>
      <c r="JAQ302" s="136"/>
      <c r="JAR302" s="136"/>
      <c r="JAS302" s="136"/>
      <c r="JAT302" s="136"/>
      <c r="JAU302" s="136"/>
      <c r="JAV302" s="136"/>
      <c r="JAW302" s="136"/>
      <c r="JAX302" s="136"/>
      <c r="JAY302" s="136"/>
      <c r="JAZ302" s="136"/>
      <c r="JBA302" s="136"/>
      <c r="JBB302" s="136"/>
      <c r="JBC302" s="136"/>
      <c r="JBD302" s="136"/>
      <c r="JBE302" s="136"/>
      <c r="JBF302" s="136"/>
      <c r="JBG302" s="136"/>
      <c r="JBH302" s="136"/>
      <c r="JBI302" s="136"/>
      <c r="JBJ302" s="136"/>
      <c r="JBK302" s="136"/>
      <c r="JBL302" s="136"/>
      <c r="JBM302" s="136"/>
      <c r="JBN302" s="136"/>
      <c r="JBO302" s="136"/>
      <c r="JBP302" s="136"/>
      <c r="JBQ302" s="136"/>
      <c r="JBR302" s="136"/>
      <c r="JBS302" s="136"/>
      <c r="JBT302" s="136"/>
      <c r="JBU302" s="136"/>
      <c r="JBV302" s="136"/>
      <c r="JBW302" s="136"/>
      <c r="JBX302" s="136"/>
      <c r="JBY302" s="136"/>
      <c r="JBZ302" s="136"/>
      <c r="JCA302" s="136"/>
      <c r="JCB302" s="136"/>
      <c r="JCC302" s="136"/>
      <c r="JCD302" s="136"/>
      <c r="JCE302" s="136"/>
      <c r="JCF302" s="136"/>
      <c r="JCG302" s="136"/>
      <c r="JCH302" s="136"/>
      <c r="JCI302" s="136"/>
      <c r="JCJ302" s="136"/>
      <c r="JCK302" s="136"/>
      <c r="JCL302" s="136"/>
      <c r="JCM302" s="136"/>
      <c r="JCN302" s="136"/>
      <c r="JCO302" s="136"/>
      <c r="JCP302" s="136"/>
      <c r="JCQ302" s="136"/>
      <c r="JCR302" s="136"/>
      <c r="JCS302" s="136"/>
      <c r="JCT302" s="136"/>
      <c r="JCU302" s="136"/>
      <c r="JCV302" s="136"/>
      <c r="JCW302" s="136"/>
      <c r="JCX302" s="136"/>
      <c r="JCY302" s="136"/>
      <c r="JCZ302" s="136"/>
      <c r="JDA302" s="136"/>
      <c r="JDB302" s="136"/>
      <c r="JDC302" s="136"/>
      <c r="JDD302" s="136"/>
      <c r="JDE302" s="136"/>
      <c r="JDF302" s="136"/>
      <c r="JDG302" s="136"/>
      <c r="JDH302" s="136"/>
      <c r="JDI302" s="136"/>
      <c r="JDJ302" s="136"/>
      <c r="JDK302" s="136"/>
      <c r="JDL302" s="136"/>
      <c r="JDM302" s="136"/>
      <c r="JDN302" s="136"/>
      <c r="JDO302" s="136"/>
      <c r="JDP302" s="136"/>
      <c r="JDQ302" s="136"/>
      <c r="JDR302" s="136"/>
      <c r="JDS302" s="136"/>
      <c r="JDT302" s="136"/>
      <c r="JDU302" s="136"/>
      <c r="JDV302" s="136"/>
      <c r="JDW302" s="136"/>
      <c r="JDX302" s="136"/>
      <c r="JDY302" s="136"/>
      <c r="JDZ302" s="136"/>
      <c r="JEA302" s="136"/>
      <c r="JEB302" s="136"/>
      <c r="JEC302" s="136"/>
      <c r="JED302" s="136"/>
      <c r="JEE302" s="136"/>
      <c r="JEF302" s="136"/>
      <c r="JEG302" s="136"/>
      <c r="JEH302" s="136"/>
      <c r="JEI302" s="136"/>
      <c r="JEJ302" s="136"/>
      <c r="JEK302" s="136"/>
      <c r="JEL302" s="136"/>
      <c r="JEM302" s="136"/>
      <c r="JEN302" s="136"/>
      <c r="JEO302" s="136"/>
      <c r="JEP302" s="136"/>
      <c r="JEQ302" s="136"/>
      <c r="JER302" s="136"/>
      <c r="JES302" s="136"/>
      <c r="JET302" s="136"/>
      <c r="JEU302" s="136"/>
      <c r="JEV302" s="136"/>
      <c r="JEW302" s="136"/>
      <c r="JEX302" s="136"/>
      <c r="JEY302" s="136"/>
      <c r="JEZ302" s="136"/>
      <c r="JFA302" s="136"/>
      <c r="JFB302" s="136"/>
      <c r="JFC302" s="136"/>
      <c r="JFD302" s="136"/>
      <c r="JFE302" s="136"/>
      <c r="JFF302" s="136"/>
      <c r="JFG302" s="136"/>
      <c r="JFH302" s="136"/>
      <c r="JFI302" s="136"/>
      <c r="JFJ302" s="136"/>
      <c r="JFK302" s="136"/>
      <c r="JFL302" s="136"/>
      <c r="JFM302" s="136"/>
      <c r="JFN302" s="136"/>
      <c r="JFO302" s="136"/>
      <c r="JFP302" s="136"/>
      <c r="JFQ302" s="136"/>
      <c r="JFR302" s="136"/>
      <c r="JFS302" s="136"/>
      <c r="JFT302" s="136"/>
      <c r="JFU302" s="136"/>
      <c r="JFV302" s="136"/>
      <c r="JFW302" s="136"/>
      <c r="JFX302" s="136"/>
      <c r="JFY302" s="136"/>
      <c r="JFZ302" s="136"/>
      <c r="JGA302" s="136"/>
      <c r="JGB302" s="136"/>
      <c r="JGC302" s="136"/>
      <c r="JGD302" s="136"/>
      <c r="JGE302" s="136"/>
      <c r="JGF302" s="136"/>
      <c r="JGG302" s="136"/>
      <c r="JGH302" s="136"/>
      <c r="JGI302" s="136"/>
      <c r="JGJ302" s="136"/>
      <c r="JGK302" s="136"/>
      <c r="JGL302" s="136"/>
      <c r="JGM302" s="136"/>
      <c r="JGN302" s="136"/>
      <c r="JGO302" s="136"/>
      <c r="JGP302" s="136"/>
      <c r="JGQ302" s="136"/>
      <c r="JGR302" s="136"/>
      <c r="JGS302" s="136"/>
      <c r="JGT302" s="136"/>
      <c r="JGU302" s="136"/>
      <c r="JGV302" s="136"/>
      <c r="JGW302" s="136"/>
      <c r="JGX302" s="136"/>
      <c r="JGY302" s="136"/>
      <c r="JGZ302" s="136"/>
      <c r="JHA302" s="136"/>
      <c r="JHB302" s="136"/>
      <c r="JHC302" s="136"/>
      <c r="JHD302" s="136"/>
      <c r="JHE302" s="136"/>
      <c r="JHF302" s="136"/>
      <c r="JHG302" s="136"/>
      <c r="JHH302" s="136"/>
      <c r="JHI302" s="136"/>
      <c r="JHJ302" s="136"/>
      <c r="JHK302" s="136"/>
      <c r="JHL302" s="136"/>
      <c r="JHM302" s="136"/>
      <c r="JHN302" s="136"/>
      <c r="JHO302" s="136"/>
      <c r="JHP302" s="136"/>
      <c r="JHQ302" s="136"/>
      <c r="JHR302" s="136"/>
      <c r="JHS302" s="136"/>
      <c r="JHT302" s="136"/>
      <c r="JHU302" s="136"/>
      <c r="JHV302" s="136"/>
      <c r="JHW302" s="136"/>
      <c r="JHX302" s="136"/>
      <c r="JHY302" s="136"/>
      <c r="JHZ302" s="136"/>
      <c r="JIA302" s="136"/>
      <c r="JIB302" s="136"/>
      <c r="JIC302" s="136"/>
      <c r="JID302" s="136"/>
      <c r="JIE302" s="136"/>
      <c r="JIF302" s="136"/>
      <c r="JIG302" s="136"/>
      <c r="JIH302" s="136"/>
      <c r="JII302" s="136"/>
      <c r="JIJ302" s="136"/>
      <c r="JIK302" s="136"/>
      <c r="JIL302" s="136"/>
      <c r="JIM302" s="136"/>
      <c r="JIN302" s="136"/>
      <c r="JIO302" s="136"/>
      <c r="JIP302" s="136"/>
      <c r="JIQ302" s="136"/>
      <c r="JIR302" s="136"/>
      <c r="JIS302" s="136"/>
      <c r="JIT302" s="136"/>
      <c r="JIU302" s="136"/>
      <c r="JIV302" s="136"/>
      <c r="JIW302" s="136"/>
      <c r="JIX302" s="136"/>
      <c r="JIY302" s="136"/>
      <c r="JIZ302" s="136"/>
      <c r="JJA302" s="136"/>
      <c r="JJB302" s="136"/>
      <c r="JJC302" s="136"/>
      <c r="JJD302" s="136"/>
      <c r="JJE302" s="136"/>
      <c r="JJF302" s="136"/>
      <c r="JJG302" s="136"/>
      <c r="JJH302" s="136"/>
      <c r="JJI302" s="136"/>
      <c r="JJJ302" s="136"/>
      <c r="JJK302" s="136"/>
      <c r="JJL302" s="136"/>
      <c r="JJM302" s="136"/>
      <c r="JJN302" s="136"/>
      <c r="JJO302" s="136"/>
      <c r="JJP302" s="136"/>
      <c r="JJQ302" s="136"/>
      <c r="JJR302" s="136"/>
      <c r="JJS302" s="136"/>
      <c r="JJT302" s="136"/>
      <c r="JJU302" s="136"/>
      <c r="JJV302" s="136"/>
      <c r="JJW302" s="136"/>
      <c r="JJX302" s="136"/>
      <c r="JJY302" s="136"/>
      <c r="JJZ302" s="136"/>
      <c r="JKA302" s="136"/>
      <c r="JKB302" s="136"/>
      <c r="JKC302" s="136"/>
      <c r="JKD302" s="136"/>
      <c r="JKE302" s="136"/>
      <c r="JKF302" s="136"/>
      <c r="JKG302" s="136"/>
      <c r="JKH302" s="136"/>
      <c r="JKI302" s="136"/>
      <c r="JKJ302" s="136"/>
      <c r="JKK302" s="136"/>
      <c r="JKL302" s="136"/>
      <c r="JKM302" s="136"/>
      <c r="JKN302" s="136"/>
      <c r="JKO302" s="136"/>
      <c r="JKP302" s="136"/>
      <c r="JKQ302" s="136"/>
      <c r="JKR302" s="136"/>
      <c r="JKS302" s="136"/>
      <c r="JKT302" s="136"/>
      <c r="JKU302" s="136"/>
      <c r="JKV302" s="136"/>
      <c r="JKW302" s="136"/>
      <c r="JKX302" s="136"/>
      <c r="JKY302" s="136"/>
      <c r="JKZ302" s="136"/>
      <c r="JLA302" s="136"/>
      <c r="JLB302" s="136"/>
      <c r="JLC302" s="136"/>
      <c r="JLD302" s="136"/>
      <c r="JLE302" s="136"/>
      <c r="JLF302" s="136"/>
      <c r="JLG302" s="136"/>
      <c r="JLH302" s="136"/>
      <c r="JLI302" s="136"/>
      <c r="JLJ302" s="136"/>
      <c r="JLK302" s="136"/>
      <c r="JLL302" s="136"/>
      <c r="JLM302" s="136"/>
      <c r="JLN302" s="136"/>
      <c r="JLO302" s="136"/>
      <c r="JLP302" s="136"/>
      <c r="JLQ302" s="136"/>
      <c r="JLR302" s="136"/>
      <c r="JLS302" s="136"/>
      <c r="JLT302" s="136"/>
      <c r="JLU302" s="136"/>
      <c r="JLV302" s="136"/>
      <c r="JLW302" s="136"/>
      <c r="JLX302" s="136"/>
      <c r="JLY302" s="136"/>
      <c r="JLZ302" s="136"/>
      <c r="JMA302" s="136"/>
      <c r="JMB302" s="136"/>
      <c r="JMC302" s="136"/>
      <c r="JMD302" s="136"/>
      <c r="JME302" s="136"/>
      <c r="JMF302" s="136"/>
      <c r="JMG302" s="136"/>
      <c r="JMH302" s="136"/>
      <c r="JMI302" s="136"/>
      <c r="JMJ302" s="136"/>
      <c r="JMK302" s="136"/>
      <c r="JML302" s="136"/>
      <c r="JMM302" s="136"/>
      <c r="JMN302" s="136"/>
      <c r="JMO302" s="136"/>
      <c r="JMP302" s="136"/>
      <c r="JMQ302" s="136"/>
      <c r="JMR302" s="136"/>
      <c r="JMS302" s="136"/>
      <c r="JMT302" s="136"/>
      <c r="JMU302" s="136"/>
      <c r="JMV302" s="136"/>
      <c r="JMW302" s="136"/>
      <c r="JMX302" s="136"/>
      <c r="JMY302" s="136"/>
      <c r="JMZ302" s="136"/>
      <c r="JNA302" s="136"/>
      <c r="JNB302" s="136"/>
      <c r="JNC302" s="136"/>
      <c r="JND302" s="136"/>
      <c r="JNE302" s="136"/>
      <c r="JNF302" s="136"/>
      <c r="JNG302" s="136"/>
      <c r="JNH302" s="136"/>
      <c r="JNI302" s="136"/>
      <c r="JNJ302" s="136"/>
      <c r="JNK302" s="136"/>
      <c r="JNL302" s="136"/>
      <c r="JNM302" s="136"/>
      <c r="JNN302" s="136"/>
      <c r="JNO302" s="136"/>
      <c r="JNP302" s="136"/>
      <c r="JNQ302" s="136"/>
      <c r="JNR302" s="136"/>
      <c r="JNS302" s="136"/>
      <c r="JNT302" s="136"/>
      <c r="JNU302" s="136"/>
      <c r="JNV302" s="136"/>
      <c r="JNW302" s="136"/>
      <c r="JNX302" s="136"/>
      <c r="JNY302" s="136"/>
      <c r="JNZ302" s="136"/>
      <c r="JOA302" s="136"/>
      <c r="JOB302" s="136"/>
      <c r="JOC302" s="136"/>
      <c r="JOD302" s="136"/>
      <c r="JOE302" s="136"/>
      <c r="JOF302" s="136"/>
      <c r="JOG302" s="136"/>
      <c r="JOH302" s="136"/>
      <c r="JOI302" s="136"/>
      <c r="JOJ302" s="136"/>
      <c r="JOK302" s="136"/>
      <c r="JOL302" s="136"/>
      <c r="JOM302" s="136"/>
      <c r="JON302" s="136"/>
      <c r="JOO302" s="136"/>
      <c r="JOP302" s="136"/>
      <c r="JOQ302" s="136"/>
      <c r="JOR302" s="136"/>
      <c r="JOS302" s="136"/>
      <c r="JOT302" s="136"/>
      <c r="JOU302" s="136"/>
      <c r="JOV302" s="136"/>
      <c r="JOW302" s="136"/>
      <c r="JOX302" s="136"/>
      <c r="JOY302" s="136"/>
      <c r="JOZ302" s="136"/>
      <c r="JPA302" s="136"/>
      <c r="JPB302" s="136"/>
      <c r="JPC302" s="136"/>
      <c r="JPD302" s="136"/>
      <c r="JPE302" s="136"/>
      <c r="JPF302" s="136"/>
      <c r="JPG302" s="136"/>
      <c r="JPH302" s="136"/>
      <c r="JPI302" s="136"/>
      <c r="JPJ302" s="136"/>
      <c r="JPK302" s="136"/>
      <c r="JPL302" s="136"/>
      <c r="JPM302" s="136"/>
      <c r="JPN302" s="136"/>
      <c r="JPO302" s="136"/>
      <c r="JPP302" s="136"/>
      <c r="JPQ302" s="136"/>
      <c r="JPR302" s="136"/>
      <c r="JPS302" s="136"/>
      <c r="JPT302" s="136"/>
      <c r="JPU302" s="136"/>
      <c r="JPV302" s="136"/>
      <c r="JPW302" s="136"/>
      <c r="JPX302" s="136"/>
      <c r="JPY302" s="136"/>
      <c r="JPZ302" s="136"/>
      <c r="JQA302" s="136"/>
      <c r="JQB302" s="136"/>
      <c r="JQC302" s="136"/>
      <c r="JQD302" s="136"/>
      <c r="JQE302" s="136"/>
      <c r="JQF302" s="136"/>
      <c r="JQG302" s="136"/>
      <c r="JQH302" s="136"/>
      <c r="JQI302" s="136"/>
      <c r="JQJ302" s="136"/>
      <c r="JQK302" s="136"/>
      <c r="JQL302" s="136"/>
      <c r="JQM302" s="136"/>
      <c r="JQN302" s="136"/>
      <c r="JQO302" s="136"/>
      <c r="JQP302" s="136"/>
      <c r="JQQ302" s="136"/>
      <c r="JQR302" s="136"/>
      <c r="JQS302" s="136"/>
      <c r="JQT302" s="136"/>
      <c r="JQU302" s="136"/>
      <c r="JQV302" s="136"/>
      <c r="JQW302" s="136"/>
      <c r="JQX302" s="136"/>
      <c r="JQY302" s="136"/>
      <c r="JQZ302" s="136"/>
      <c r="JRA302" s="136"/>
      <c r="JRB302" s="136"/>
      <c r="JRC302" s="136"/>
      <c r="JRD302" s="136"/>
      <c r="JRE302" s="136"/>
      <c r="JRF302" s="136"/>
      <c r="JRG302" s="136"/>
      <c r="JRH302" s="136"/>
      <c r="JRI302" s="136"/>
      <c r="JRJ302" s="136"/>
      <c r="JRK302" s="136"/>
      <c r="JRL302" s="136"/>
      <c r="JRM302" s="136"/>
      <c r="JRN302" s="136"/>
      <c r="JRO302" s="136"/>
      <c r="JRP302" s="136"/>
      <c r="JRQ302" s="136"/>
      <c r="JRR302" s="136"/>
      <c r="JRS302" s="136"/>
      <c r="JRT302" s="136"/>
      <c r="JRU302" s="136"/>
      <c r="JRV302" s="136"/>
      <c r="JRW302" s="136"/>
      <c r="JRX302" s="136"/>
      <c r="JRY302" s="136"/>
      <c r="JRZ302" s="136"/>
      <c r="JSA302" s="136"/>
      <c r="JSB302" s="136"/>
      <c r="JSC302" s="136"/>
      <c r="JSD302" s="136"/>
      <c r="JSE302" s="136"/>
      <c r="JSF302" s="136"/>
      <c r="JSG302" s="136"/>
      <c r="JSH302" s="136"/>
      <c r="JSI302" s="136"/>
      <c r="JSJ302" s="136"/>
      <c r="JSK302" s="136"/>
      <c r="JSL302" s="136"/>
      <c r="JSM302" s="136"/>
      <c r="JSN302" s="136"/>
      <c r="JSO302" s="136"/>
      <c r="JSP302" s="136"/>
      <c r="JSQ302" s="136"/>
      <c r="JSR302" s="136"/>
      <c r="JSS302" s="136"/>
      <c r="JST302" s="136"/>
      <c r="JSU302" s="136"/>
      <c r="JSV302" s="136"/>
      <c r="JSW302" s="136"/>
      <c r="JSX302" s="136"/>
      <c r="JSY302" s="136"/>
      <c r="JSZ302" s="136"/>
      <c r="JTA302" s="136"/>
      <c r="JTB302" s="136"/>
      <c r="JTC302" s="136"/>
      <c r="JTD302" s="136"/>
      <c r="JTE302" s="136"/>
      <c r="JTF302" s="136"/>
      <c r="JTG302" s="136"/>
      <c r="JTH302" s="136"/>
      <c r="JTI302" s="136"/>
      <c r="JTJ302" s="136"/>
      <c r="JTK302" s="136"/>
      <c r="JTL302" s="136"/>
      <c r="JTM302" s="136"/>
      <c r="JTN302" s="136"/>
      <c r="JTO302" s="136"/>
      <c r="JTP302" s="136"/>
      <c r="JTQ302" s="136"/>
      <c r="JTR302" s="136"/>
      <c r="JTS302" s="136"/>
      <c r="JTT302" s="136"/>
      <c r="JTU302" s="136"/>
      <c r="JTV302" s="136"/>
      <c r="JTW302" s="136"/>
      <c r="JTX302" s="136"/>
      <c r="JTY302" s="136"/>
      <c r="JTZ302" s="136"/>
      <c r="JUA302" s="136"/>
      <c r="JUB302" s="136"/>
      <c r="JUC302" s="136"/>
      <c r="JUD302" s="136"/>
      <c r="JUE302" s="136"/>
      <c r="JUF302" s="136"/>
      <c r="JUG302" s="136"/>
      <c r="JUH302" s="136"/>
      <c r="JUI302" s="136"/>
      <c r="JUJ302" s="136"/>
      <c r="JUK302" s="136"/>
      <c r="JUL302" s="136"/>
      <c r="JUM302" s="136"/>
      <c r="JUN302" s="136"/>
      <c r="JUO302" s="136"/>
      <c r="JUP302" s="136"/>
      <c r="JUQ302" s="136"/>
      <c r="JUR302" s="136"/>
      <c r="JUS302" s="136"/>
      <c r="JUT302" s="136"/>
      <c r="JUU302" s="136"/>
      <c r="JUV302" s="136"/>
      <c r="JUW302" s="136"/>
      <c r="JUX302" s="136"/>
      <c r="JUY302" s="136"/>
      <c r="JUZ302" s="136"/>
      <c r="JVA302" s="136"/>
      <c r="JVB302" s="136"/>
      <c r="JVC302" s="136"/>
      <c r="JVD302" s="136"/>
      <c r="JVE302" s="136"/>
      <c r="JVF302" s="136"/>
      <c r="JVG302" s="136"/>
      <c r="JVH302" s="136"/>
      <c r="JVI302" s="136"/>
      <c r="JVJ302" s="136"/>
      <c r="JVK302" s="136"/>
      <c r="JVL302" s="136"/>
      <c r="JVM302" s="136"/>
      <c r="JVN302" s="136"/>
      <c r="JVO302" s="136"/>
      <c r="JVP302" s="136"/>
      <c r="JVQ302" s="136"/>
      <c r="JVR302" s="136"/>
      <c r="JVS302" s="136"/>
      <c r="JVT302" s="136"/>
      <c r="JVU302" s="136"/>
      <c r="JVV302" s="136"/>
      <c r="JVW302" s="136"/>
      <c r="JVX302" s="136"/>
      <c r="JVY302" s="136"/>
      <c r="JVZ302" s="136"/>
      <c r="JWA302" s="136"/>
      <c r="JWB302" s="136"/>
      <c r="JWC302" s="136"/>
      <c r="JWD302" s="136"/>
      <c r="JWE302" s="136"/>
      <c r="JWF302" s="136"/>
      <c r="JWG302" s="136"/>
      <c r="JWH302" s="136"/>
      <c r="JWI302" s="136"/>
      <c r="JWJ302" s="136"/>
      <c r="JWK302" s="136"/>
      <c r="JWL302" s="136"/>
      <c r="JWM302" s="136"/>
      <c r="JWN302" s="136"/>
      <c r="JWO302" s="136"/>
      <c r="JWP302" s="136"/>
      <c r="JWQ302" s="136"/>
      <c r="JWR302" s="136"/>
      <c r="JWS302" s="136"/>
      <c r="JWT302" s="136"/>
      <c r="JWU302" s="136"/>
      <c r="JWV302" s="136"/>
      <c r="JWW302" s="136"/>
      <c r="JWX302" s="136"/>
      <c r="JWY302" s="136"/>
      <c r="JWZ302" s="136"/>
      <c r="JXA302" s="136"/>
      <c r="JXB302" s="136"/>
      <c r="JXC302" s="136"/>
      <c r="JXD302" s="136"/>
      <c r="JXE302" s="136"/>
      <c r="JXF302" s="136"/>
      <c r="JXG302" s="136"/>
      <c r="JXH302" s="136"/>
      <c r="JXI302" s="136"/>
      <c r="JXJ302" s="136"/>
      <c r="JXK302" s="136"/>
      <c r="JXL302" s="136"/>
      <c r="JXM302" s="136"/>
      <c r="JXN302" s="136"/>
      <c r="JXO302" s="136"/>
      <c r="JXP302" s="136"/>
      <c r="JXQ302" s="136"/>
      <c r="JXR302" s="136"/>
      <c r="JXS302" s="136"/>
      <c r="JXT302" s="136"/>
      <c r="JXU302" s="136"/>
      <c r="JXV302" s="136"/>
      <c r="JXW302" s="136"/>
      <c r="JXX302" s="136"/>
      <c r="JXY302" s="136"/>
      <c r="JXZ302" s="136"/>
      <c r="JYA302" s="136"/>
      <c r="JYB302" s="136"/>
      <c r="JYC302" s="136"/>
      <c r="JYD302" s="136"/>
      <c r="JYE302" s="136"/>
      <c r="JYF302" s="136"/>
      <c r="JYG302" s="136"/>
      <c r="JYH302" s="136"/>
      <c r="JYI302" s="136"/>
      <c r="JYJ302" s="136"/>
      <c r="JYK302" s="136"/>
      <c r="JYL302" s="136"/>
      <c r="JYM302" s="136"/>
      <c r="JYN302" s="136"/>
      <c r="JYO302" s="136"/>
      <c r="JYP302" s="136"/>
      <c r="JYQ302" s="136"/>
      <c r="JYR302" s="136"/>
      <c r="JYS302" s="136"/>
      <c r="JYT302" s="136"/>
      <c r="JYU302" s="136"/>
      <c r="JYV302" s="136"/>
      <c r="JYW302" s="136"/>
      <c r="JYX302" s="136"/>
      <c r="JYY302" s="136"/>
      <c r="JYZ302" s="136"/>
      <c r="JZA302" s="136"/>
      <c r="JZB302" s="136"/>
      <c r="JZC302" s="136"/>
      <c r="JZD302" s="136"/>
      <c r="JZE302" s="136"/>
      <c r="JZF302" s="136"/>
      <c r="JZG302" s="136"/>
      <c r="JZH302" s="136"/>
      <c r="JZI302" s="136"/>
      <c r="JZJ302" s="136"/>
      <c r="JZK302" s="136"/>
      <c r="JZL302" s="136"/>
      <c r="JZM302" s="136"/>
      <c r="JZN302" s="136"/>
      <c r="JZO302" s="136"/>
      <c r="JZP302" s="136"/>
      <c r="JZQ302" s="136"/>
      <c r="JZR302" s="136"/>
      <c r="JZS302" s="136"/>
      <c r="JZT302" s="136"/>
      <c r="JZU302" s="136"/>
      <c r="JZV302" s="136"/>
      <c r="JZW302" s="136"/>
      <c r="JZX302" s="136"/>
      <c r="JZY302" s="136"/>
      <c r="JZZ302" s="136"/>
      <c r="KAA302" s="136"/>
      <c r="KAB302" s="136"/>
      <c r="KAC302" s="136"/>
      <c r="KAD302" s="136"/>
      <c r="KAE302" s="136"/>
      <c r="KAF302" s="136"/>
      <c r="KAG302" s="136"/>
      <c r="KAH302" s="136"/>
      <c r="KAI302" s="136"/>
      <c r="KAJ302" s="136"/>
      <c r="KAK302" s="136"/>
      <c r="KAL302" s="136"/>
      <c r="KAM302" s="136"/>
      <c r="KAN302" s="136"/>
      <c r="KAO302" s="136"/>
      <c r="KAP302" s="136"/>
      <c r="KAQ302" s="136"/>
      <c r="KAR302" s="136"/>
      <c r="KAS302" s="136"/>
      <c r="KAT302" s="136"/>
      <c r="KAU302" s="136"/>
      <c r="KAV302" s="136"/>
      <c r="KAW302" s="136"/>
      <c r="KAX302" s="136"/>
      <c r="KAY302" s="136"/>
      <c r="KAZ302" s="136"/>
      <c r="KBA302" s="136"/>
      <c r="KBB302" s="136"/>
      <c r="KBC302" s="136"/>
      <c r="KBD302" s="136"/>
      <c r="KBE302" s="136"/>
      <c r="KBF302" s="136"/>
      <c r="KBG302" s="136"/>
      <c r="KBH302" s="136"/>
      <c r="KBI302" s="136"/>
      <c r="KBJ302" s="136"/>
      <c r="KBK302" s="136"/>
      <c r="KBL302" s="136"/>
      <c r="KBM302" s="136"/>
      <c r="KBN302" s="136"/>
      <c r="KBO302" s="136"/>
      <c r="KBP302" s="136"/>
      <c r="KBQ302" s="136"/>
      <c r="KBR302" s="136"/>
      <c r="KBS302" s="136"/>
      <c r="KBT302" s="136"/>
      <c r="KBU302" s="136"/>
      <c r="KBV302" s="136"/>
      <c r="KBW302" s="136"/>
      <c r="KBX302" s="136"/>
      <c r="KBY302" s="136"/>
      <c r="KBZ302" s="136"/>
      <c r="KCA302" s="136"/>
      <c r="KCB302" s="136"/>
      <c r="KCC302" s="136"/>
      <c r="KCD302" s="136"/>
      <c r="KCE302" s="136"/>
      <c r="KCF302" s="136"/>
      <c r="KCG302" s="136"/>
      <c r="KCH302" s="136"/>
      <c r="KCI302" s="136"/>
      <c r="KCJ302" s="136"/>
      <c r="KCK302" s="136"/>
      <c r="KCL302" s="136"/>
      <c r="KCM302" s="136"/>
      <c r="KCN302" s="136"/>
      <c r="KCO302" s="136"/>
      <c r="KCP302" s="136"/>
      <c r="KCQ302" s="136"/>
      <c r="KCR302" s="136"/>
      <c r="KCS302" s="136"/>
      <c r="KCT302" s="136"/>
      <c r="KCU302" s="136"/>
      <c r="KCV302" s="136"/>
      <c r="KCW302" s="136"/>
      <c r="KCX302" s="136"/>
      <c r="KCY302" s="136"/>
      <c r="KCZ302" s="136"/>
      <c r="KDA302" s="136"/>
      <c r="KDB302" s="136"/>
      <c r="KDC302" s="136"/>
      <c r="KDD302" s="136"/>
      <c r="KDE302" s="136"/>
      <c r="KDF302" s="136"/>
      <c r="KDG302" s="136"/>
      <c r="KDH302" s="136"/>
      <c r="KDI302" s="136"/>
      <c r="KDJ302" s="136"/>
      <c r="KDK302" s="136"/>
      <c r="KDL302" s="136"/>
      <c r="KDM302" s="136"/>
      <c r="KDN302" s="136"/>
      <c r="KDO302" s="136"/>
      <c r="KDP302" s="136"/>
      <c r="KDQ302" s="136"/>
      <c r="KDR302" s="136"/>
      <c r="KDS302" s="136"/>
      <c r="KDT302" s="136"/>
      <c r="KDU302" s="136"/>
      <c r="KDV302" s="136"/>
      <c r="KDW302" s="136"/>
      <c r="KDX302" s="136"/>
      <c r="KDY302" s="136"/>
      <c r="KDZ302" s="136"/>
      <c r="KEA302" s="136"/>
      <c r="KEB302" s="136"/>
      <c r="KEC302" s="136"/>
      <c r="KED302" s="136"/>
      <c r="KEE302" s="136"/>
      <c r="KEF302" s="136"/>
      <c r="KEG302" s="136"/>
      <c r="KEH302" s="136"/>
      <c r="KEI302" s="136"/>
      <c r="KEJ302" s="136"/>
      <c r="KEK302" s="136"/>
      <c r="KEL302" s="136"/>
      <c r="KEM302" s="136"/>
      <c r="KEN302" s="136"/>
      <c r="KEO302" s="136"/>
      <c r="KEP302" s="136"/>
      <c r="KEQ302" s="136"/>
      <c r="KER302" s="136"/>
      <c r="KES302" s="136"/>
      <c r="KET302" s="136"/>
      <c r="KEU302" s="136"/>
      <c r="KEV302" s="136"/>
      <c r="KEW302" s="136"/>
      <c r="KEX302" s="136"/>
      <c r="KEY302" s="136"/>
      <c r="KEZ302" s="136"/>
      <c r="KFA302" s="136"/>
      <c r="KFB302" s="136"/>
      <c r="KFC302" s="136"/>
      <c r="KFD302" s="136"/>
      <c r="KFE302" s="136"/>
      <c r="KFF302" s="136"/>
      <c r="KFG302" s="136"/>
      <c r="KFH302" s="136"/>
      <c r="KFI302" s="136"/>
      <c r="KFJ302" s="136"/>
      <c r="KFK302" s="136"/>
      <c r="KFL302" s="136"/>
      <c r="KFM302" s="136"/>
      <c r="KFN302" s="136"/>
      <c r="KFO302" s="136"/>
      <c r="KFP302" s="136"/>
      <c r="KFQ302" s="136"/>
      <c r="KFR302" s="136"/>
      <c r="KFS302" s="136"/>
      <c r="KFT302" s="136"/>
      <c r="KFU302" s="136"/>
      <c r="KFV302" s="136"/>
      <c r="KFW302" s="136"/>
      <c r="KFX302" s="136"/>
      <c r="KFY302" s="136"/>
      <c r="KFZ302" s="136"/>
      <c r="KGA302" s="136"/>
      <c r="KGB302" s="136"/>
      <c r="KGC302" s="136"/>
      <c r="KGD302" s="136"/>
      <c r="KGE302" s="136"/>
      <c r="KGF302" s="136"/>
      <c r="KGG302" s="136"/>
      <c r="KGH302" s="136"/>
      <c r="KGI302" s="136"/>
      <c r="KGJ302" s="136"/>
      <c r="KGK302" s="136"/>
      <c r="KGL302" s="136"/>
      <c r="KGM302" s="136"/>
      <c r="KGN302" s="136"/>
      <c r="KGO302" s="136"/>
      <c r="KGP302" s="136"/>
      <c r="KGQ302" s="136"/>
      <c r="KGR302" s="136"/>
      <c r="KGS302" s="136"/>
      <c r="KGT302" s="136"/>
      <c r="KGU302" s="136"/>
      <c r="KGV302" s="136"/>
      <c r="KGW302" s="136"/>
      <c r="KGX302" s="136"/>
      <c r="KGY302" s="136"/>
      <c r="KGZ302" s="136"/>
      <c r="KHA302" s="136"/>
      <c r="KHB302" s="136"/>
      <c r="KHC302" s="136"/>
      <c r="KHD302" s="136"/>
      <c r="KHE302" s="136"/>
      <c r="KHF302" s="136"/>
      <c r="KHG302" s="136"/>
      <c r="KHH302" s="136"/>
      <c r="KHI302" s="136"/>
      <c r="KHJ302" s="136"/>
      <c r="KHK302" s="136"/>
      <c r="KHL302" s="136"/>
      <c r="KHM302" s="136"/>
      <c r="KHN302" s="136"/>
      <c r="KHO302" s="136"/>
      <c r="KHP302" s="136"/>
      <c r="KHQ302" s="136"/>
      <c r="KHR302" s="136"/>
      <c r="KHS302" s="136"/>
      <c r="KHT302" s="136"/>
      <c r="KHU302" s="136"/>
      <c r="KHV302" s="136"/>
      <c r="KHW302" s="136"/>
      <c r="KHX302" s="136"/>
      <c r="KHY302" s="136"/>
      <c r="KHZ302" s="136"/>
      <c r="KIA302" s="136"/>
      <c r="KIB302" s="136"/>
      <c r="KIC302" s="136"/>
      <c r="KID302" s="136"/>
      <c r="KIE302" s="136"/>
      <c r="KIF302" s="136"/>
      <c r="KIG302" s="136"/>
      <c r="KIH302" s="136"/>
      <c r="KII302" s="136"/>
      <c r="KIJ302" s="136"/>
      <c r="KIK302" s="136"/>
      <c r="KIL302" s="136"/>
      <c r="KIM302" s="136"/>
      <c r="KIN302" s="136"/>
      <c r="KIO302" s="136"/>
      <c r="KIP302" s="136"/>
      <c r="KIQ302" s="136"/>
      <c r="KIR302" s="136"/>
      <c r="KIS302" s="136"/>
      <c r="KIT302" s="136"/>
      <c r="KIU302" s="136"/>
      <c r="KIV302" s="136"/>
      <c r="KIW302" s="136"/>
      <c r="KIX302" s="136"/>
      <c r="KIY302" s="136"/>
      <c r="KIZ302" s="136"/>
      <c r="KJA302" s="136"/>
      <c r="KJB302" s="136"/>
      <c r="KJC302" s="136"/>
      <c r="KJD302" s="136"/>
      <c r="KJE302" s="136"/>
      <c r="KJF302" s="136"/>
      <c r="KJG302" s="136"/>
      <c r="KJH302" s="136"/>
      <c r="KJI302" s="136"/>
      <c r="KJJ302" s="136"/>
      <c r="KJK302" s="136"/>
      <c r="KJL302" s="136"/>
      <c r="KJM302" s="136"/>
      <c r="KJN302" s="136"/>
      <c r="KJO302" s="136"/>
      <c r="KJP302" s="136"/>
      <c r="KJQ302" s="136"/>
      <c r="KJR302" s="136"/>
      <c r="KJS302" s="136"/>
      <c r="KJT302" s="136"/>
      <c r="KJU302" s="136"/>
      <c r="KJV302" s="136"/>
      <c r="KJW302" s="136"/>
      <c r="KJX302" s="136"/>
      <c r="KJY302" s="136"/>
      <c r="KJZ302" s="136"/>
      <c r="KKA302" s="136"/>
      <c r="KKB302" s="136"/>
      <c r="KKC302" s="136"/>
      <c r="KKD302" s="136"/>
      <c r="KKE302" s="136"/>
      <c r="KKF302" s="136"/>
      <c r="KKG302" s="136"/>
      <c r="KKH302" s="136"/>
      <c r="KKI302" s="136"/>
      <c r="KKJ302" s="136"/>
      <c r="KKK302" s="136"/>
      <c r="KKL302" s="136"/>
      <c r="KKM302" s="136"/>
      <c r="KKN302" s="136"/>
      <c r="KKO302" s="136"/>
      <c r="KKP302" s="136"/>
      <c r="KKQ302" s="136"/>
      <c r="KKR302" s="136"/>
      <c r="KKS302" s="136"/>
      <c r="KKT302" s="136"/>
      <c r="KKU302" s="136"/>
      <c r="KKV302" s="136"/>
      <c r="KKW302" s="136"/>
      <c r="KKX302" s="136"/>
      <c r="KKY302" s="136"/>
      <c r="KKZ302" s="136"/>
      <c r="KLA302" s="136"/>
      <c r="KLB302" s="136"/>
      <c r="KLC302" s="136"/>
      <c r="KLD302" s="136"/>
      <c r="KLE302" s="136"/>
      <c r="KLF302" s="136"/>
      <c r="KLG302" s="136"/>
      <c r="KLH302" s="136"/>
      <c r="KLI302" s="136"/>
      <c r="KLJ302" s="136"/>
      <c r="KLK302" s="136"/>
      <c r="KLL302" s="136"/>
      <c r="KLM302" s="136"/>
      <c r="KLN302" s="136"/>
      <c r="KLO302" s="136"/>
      <c r="KLP302" s="136"/>
      <c r="KLQ302" s="136"/>
      <c r="KLR302" s="136"/>
      <c r="KLS302" s="136"/>
      <c r="KLT302" s="136"/>
      <c r="KLU302" s="136"/>
      <c r="KLV302" s="136"/>
      <c r="KLW302" s="136"/>
      <c r="KLX302" s="136"/>
      <c r="KLY302" s="136"/>
      <c r="KLZ302" s="136"/>
      <c r="KMA302" s="136"/>
      <c r="KMB302" s="136"/>
      <c r="KMC302" s="136"/>
      <c r="KMD302" s="136"/>
      <c r="KME302" s="136"/>
      <c r="KMF302" s="136"/>
      <c r="KMG302" s="136"/>
      <c r="KMH302" s="136"/>
      <c r="KMI302" s="136"/>
      <c r="KMJ302" s="136"/>
      <c r="KMK302" s="136"/>
      <c r="KML302" s="136"/>
      <c r="KMM302" s="136"/>
      <c r="KMN302" s="136"/>
      <c r="KMO302" s="136"/>
      <c r="KMP302" s="136"/>
      <c r="KMQ302" s="136"/>
      <c r="KMR302" s="136"/>
      <c r="KMS302" s="136"/>
      <c r="KMT302" s="136"/>
      <c r="KMU302" s="136"/>
      <c r="KMV302" s="136"/>
      <c r="KMW302" s="136"/>
      <c r="KMX302" s="136"/>
      <c r="KMY302" s="136"/>
      <c r="KMZ302" s="136"/>
      <c r="KNA302" s="136"/>
      <c r="KNB302" s="136"/>
      <c r="KNC302" s="136"/>
      <c r="KND302" s="136"/>
      <c r="KNE302" s="136"/>
      <c r="KNF302" s="136"/>
      <c r="KNG302" s="136"/>
      <c r="KNH302" s="136"/>
      <c r="KNI302" s="136"/>
      <c r="KNJ302" s="136"/>
      <c r="KNK302" s="136"/>
      <c r="KNL302" s="136"/>
      <c r="KNM302" s="136"/>
      <c r="KNN302" s="136"/>
      <c r="KNO302" s="136"/>
      <c r="KNP302" s="136"/>
      <c r="KNQ302" s="136"/>
      <c r="KNR302" s="136"/>
      <c r="KNS302" s="136"/>
      <c r="KNT302" s="136"/>
      <c r="KNU302" s="136"/>
      <c r="KNV302" s="136"/>
      <c r="KNW302" s="136"/>
      <c r="KNX302" s="136"/>
      <c r="KNY302" s="136"/>
      <c r="KNZ302" s="136"/>
      <c r="KOA302" s="136"/>
      <c r="KOB302" s="136"/>
      <c r="KOC302" s="136"/>
      <c r="KOD302" s="136"/>
      <c r="KOE302" s="136"/>
      <c r="KOF302" s="136"/>
      <c r="KOG302" s="136"/>
      <c r="KOH302" s="136"/>
      <c r="KOI302" s="136"/>
      <c r="KOJ302" s="136"/>
      <c r="KOK302" s="136"/>
      <c r="KOL302" s="136"/>
      <c r="KOM302" s="136"/>
      <c r="KON302" s="136"/>
      <c r="KOO302" s="136"/>
      <c r="KOP302" s="136"/>
      <c r="KOQ302" s="136"/>
      <c r="KOR302" s="136"/>
      <c r="KOS302" s="136"/>
      <c r="KOT302" s="136"/>
      <c r="KOU302" s="136"/>
      <c r="KOV302" s="136"/>
      <c r="KOW302" s="136"/>
      <c r="KOX302" s="136"/>
      <c r="KOY302" s="136"/>
      <c r="KOZ302" s="136"/>
      <c r="KPA302" s="136"/>
      <c r="KPB302" s="136"/>
      <c r="KPC302" s="136"/>
      <c r="KPD302" s="136"/>
      <c r="KPE302" s="136"/>
      <c r="KPF302" s="136"/>
      <c r="KPG302" s="136"/>
      <c r="KPH302" s="136"/>
      <c r="KPI302" s="136"/>
      <c r="KPJ302" s="136"/>
      <c r="KPK302" s="136"/>
      <c r="KPL302" s="136"/>
      <c r="KPM302" s="136"/>
      <c r="KPN302" s="136"/>
      <c r="KPO302" s="136"/>
      <c r="KPP302" s="136"/>
      <c r="KPQ302" s="136"/>
      <c r="KPR302" s="136"/>
      <c r="KPS302" s="136"/>
      <c r="KPT302" s="136"/>
      <c r="KPU302" s="136"/>
      <c r="KPV302" s="136"/>
      <c r="KPW302" s="136"/>
      <c r="KPX302" s="136"/>
      <c r="KPY302" s="136"/>
      <c r="KPZ302" s="136"/>
      <c r="KQA302" s="136"/>
      <c r="KQB302" s="136"/>
      <c r="KQC302" s="136"/>
      <c r="KQD302" s="136"/>
      <c r="KQE302" s="136"/>
      <c r="KQF302" s="136"/>
      <c r="KQG302" s="136"/>
      <c r="KQH302" s="136"/>
      <c r="KQI302" s="136"/>
      <c r="KQJ302" s="136"/>
      <c r="KQK302" s="136"/>
      <c r="KQL302" s="136"/>
      <c r="KQM302" s="136"/>
      <c r="KQN302" s="136"/>
      <c r="KQO302" s="136"/>
      <c r="KQP302" s="136"/>
      <c r="KQQ302" s="136"/>
      <c r="KQR302" s="136"/>
      <c r="KQS302" s="136"/>
      <c r="KQT302" s="136"/>
      <c r="KQU302" s="136"/>
      <c r="KQV302" s="136"/>
      <c r="KQW302" s="136"/>
      <c r="KQX302" s="136"/>
      <c r="KQY302" s="136"/>
      <c r="KQZ302" s="136"/>
      <c r="KRA302" s="136"/>
      <c r="KRB302" s="136"/>
      <c r="KRC302" s="136"/>
      <c r="KRD302" s="136"/>
      <c r="KRE302" s="136"/>
      <c r="KRF302" s="136"/>
      <c r="KRG302" s="136"/>
      <c r="KRH302" s="136"/>
      <c r="KRI302" s="136"/>
      <c r="KRJ302" s="136"/>
      <c r="KRK302" s="136"/>
      <c r="KRL302" s="136"/>
      <c r="KRM302" s="136"/>
      <c r="KRN302" s="136"/>
      <c r="KRO302" s="136"/>
      <c r="KRP302" s="136"/>
      <c r="KRQ302" s="136"/>
      <c r="KRR302" s="136"/>
      <c r="KRS302" s="136"/>
      <c r="KRT302" s="136"/>
      <c r="KRU302" s="136"/>
      <c r="KRV302" s="136"/>
      <c r="KRW302" s="136"/>
      <c r="KRX302" s="136"/>
      <c r="KRY302" s="136"/>
      <c r="KRZ302" s="136"/>
      <c r="KSA302" s="136"/>
      <c r="KSB302" s="136"/>
      <c r="KSC302" s="136"/>
      <c r="KSD302" s="136"/>
      <c r="KSE302" s="136"/>
      <c r="KSF302" s="136"/>
      <c r="KSG302" s="136"/>
      <c r="KSH302" s="136"/>
      <c r="KSI302" s="136"/>
      <c r="KSJ302" s="136"/>
      <c r="KSK302" s="136"/>
      <c r="KSL302" s="136"/>
      <c r="KSM302" s="136"/>
      <c r="KSN302" s="136"/>
      <c r="KSO302" s="136"/>
      <c r="KSP302" s="136"/>
      <c r="KSQ302" s="136"/>
      <c r="KSR302" s="136"/>
      <c r="KSS302" s="136"/>
      <c r="KST302" s="136"/>
      <c r="KSU302" s="136"/>
      <c r="KSV302" s="136"/>
      <c r="KSW302" s="136"/>
      <c r="KSX302" s="136"/>
      <c r="KSY302" s="136"/>
      <c r="KSZ302" s="136"/>
      <c r="KTA302" s="136"/>
      <c r="KTB302" s="136"/>
      <c r="KTC302" s="136"/>
      <c r="KTD302" s="136"/>
      <c r="KTE302" s="136"/>
      <c r="KTF302" s="136"/>
      <c r="KTG302" s="136"/>
      <c r="KTH302" s="136"/>
      <c r="KTI302" s="136"/>
      <c r="KTJ302" s="136"/>
      <c r="KTK302" s="136"/>
      <c r="KTL302" s="136"/>
      <c r="KTM302" s="136"/>
      <c r="KTN302" s="136"/>
      <c r="KTO302" s="136"/>
      <c r="KTP302" s="136"/>
      <c r="KTQ302" s="136"/>
      <c r="KTR302" s="136"/>
      <c r="KTS302" s="136"/>
      <c r="KTT302" s="136"/>
      <c r="KTU302" s="136"/>
      <c r="KTV302" s="136"/>
      <c r="KTW302" s="136"/>
      <c r="KTX302" s="136"/>
      <c r="KTY302" s="136"/>
      <c r="KTZ302" s="136"/>
      <c r="KUA302" s="136"/>
      <c r="KUB302" s="136"/>
      <c r="KUC302" s="136"/>
      <c r="KUD302" s="136"/>
      <c r="KUE302" s="136"/>
      <c r="KUF302" s="136"/>
      <c r="KUG302" s="136"/>
      <c r="KUH302" s="136"/>
      <c r="KUI302" s="136"/>
      <c r="KUJ302" s="136"/>
      <c r="KUK302" s="136"/>
      <c r="KUL302" s="136"/>
      <c r="KUM302" s="136"/>
      <c r="KUN302" s="136"/>
      <c r="KUO302" s="136"/>
      <c r="KUP302" s="136"/>
      <c r="KUQ302" s="136"/>
      <c r="KUR302" s="136"/>
      <c r="KUS302" s="136"/>
      <c r="KUT302" s="136"/>
      <c r="KUU302" s="136"/>
      <c r="KUV302" s="136"/>
      <c r="KUW302" s="136"/>
      <c r="KUX302" s="136"/>
      <c r="KUY302" s="136"/>
      <c r="KUZ302" s="136"/>
      <c r="KVA302" s="136"/>
      <c r="KVB302" s="136"/>
      <c r="KVC302" s="136"/>
      <c r="KVD302" s="136"/>
      <c r="KVE302" s="136"/>
      <c r="KVF302" s="136"/>
      <c r="KVG302" s="136"/>
      <c r="KVH302" s="136"/>
      <c r="KVI302" s="136"/>
      <c r="KVJ302" s="136"/>
      <c r="KVK302" s="136"/>
      <c r="KVL302" s="136"/>
      <c r="KVM302" s="136"/>
      <c r="KVN302" s="136"/>
      <c r="KVO302" s="136"/>
      <c r="KVP302" s="136"/>
      <c r="KVQ302" s="136"/>
      <c r="KVR302" s="136"/>
      <c r="KVS302" s="136"/>
      <c r="KVT302" s="136"/>
      <c r="KVU302" s="136"/>
      <c r="KVV302" s="136"/>
      <c r="KVW302" s="136"/>
      <c r="KVX302" s="136"/>
      <c r="KVY302" s="136"/>
      <c r="KVZ302" s="136"/>
      <c r="KWA302" s="136"/>
      <c r="KWB302" s="136"/>
      <c r="KWC302" s="136"/>
      <c r="KWD302" s="136"/>
      <c r="KWE302" s="136"/>
      <c r="KWF302" s="136"/>
      <c r="KWG302" s="136"/>
      <c r="KWH302" s="136"/>
      <c r="KWI302" s="136"/>
      <c r="KWJ302" s="136"/>
      <c r="KWK302" s="136"/>
      <c r="KWL302" s="136"/>
      <c r="KWM302" s="136"/>
      <c r="KWN302" s="136"/>
      <c r="KWO302" s="136"/>
      <c r="KWP302" s="136"/>
      <c r="KWQ302" s="136"/>
      <c r="KWR302" s="136"/>
      <c r="KWS302" s="136"/>
      <c r="KWT302" s="136"/>
      <c r="KWU302" s="136"/>
      <c r="KWV302" s="136"/>
      <c r="KWW302" s="136"/>
      <c r="KWX302" s="136"/>
      <c r="KWY302" s="136"/>
      <c r="KWZ302" s="136"/>
      <c r="KXA302" s="136"/>
      <c r="KXB302" s="136"/>
      <c r="KXC302" s="136"/>
      <c r="KXD302" s="136"/>
      <c r="KXE302" s="136"/>
      <c r="KXF302" s="136"/>
      <c r="KXG302" s="136"/>
      <c r="KXH302" s="136"/>
      <c r="KXI302" s="136"/>
      <c r="KXJ302" s="136"/>
      <c r="KXK302" s="136"/>
      <c r="KXL302" s="136"/>
      <c r="KXM302" s="136"/>
      <c r="KXN302" s="136"/>
      <c r="KXO302" s="136"/>
      <c r="KXP302" s="136"/>
      <c r="KXQ302" s="136"/>
      <c r="KXR302" s="136"/>
      <c r="KXS302" s="136"/>
      <c r="KXT302" s="136"/>
      <c r="KXU302" s="136"/>
      <c r="KXV302" s="136"/>
      <c r="KXW302" s="136"/>
      <c r="KXX302" s="136"/>
      <c r="KXY302" s="136"/>
      <c r="KXZ302" s="136"/>
      <c r="KYA302" s="136"/>
      <c r="KYB302" s="136"/>
      <c r="KYC302" s="136"/>
      <c r="KYD302" s="136"/>
      <c r="KYE302" s="136"/>
      <c r="KYF302" s="136"/>
      <c r="KYG302" s="136"/>
      <c r="KYH302" s="136"/>
      <c r="KYI302" s="136"/>
      <c r="KYJ302" s="136"/>
      <c r="KYK302" s="136"/>
      <c r="KYL302" s="136"/>
      <c r="KYM302" s="136"/>
      <c r="KYN302" s="136"/>
      <c r="KYO302" s="136"/>
      <c r="KYP302" s="136"/>
      <c r="KYQ302" s="136"/>
      <c r="KYR302" s="136"/>
      <c r="KYS302" s="136"/>
      <c r="KYT302" s="136"/>
      <c r="KYU302" s="136"/>
      <c r="KYV302" s="136"/>
      <c r="KYW302" s="136"/>
      <c r="KYX302" s="136"/>
      <c r="KYY302" s="136"/>
      <c r="KYZ302" s="136"/>
      <c r="KZA302" s="136"/>
      <c r="KZB302" s="136"/>
      <c r="KZC302" s="136"/>
      <c r="KZD302" s="136"/>
      <c r="KZE302" s="136"/>
      <c r="KZF302" s="136"/>
      <c r="KZG302" s="136"/>
      <c r="KZH302" s="136"/>
      <c r="KZI302" s="136"/>
      <c r="KZJ302" s="136"/>
      <c r="KZK302" s="136"/>
      <c r="KZL302" s="136"/>
      <c r="KZM302" s="136"/>
      <c r="KZN302" s="136"/>
      <c r="KZO302" s="136"/>
      <c r="KZP302" s="136"/>
      <c r="KZQ302" s="136"/>
      <c r="KZR302" s="136"/>
      <c r="KZS302" s="136"/>
      <c r="KZT302" s="136"/>
      <c r="KZU302" s="136"/>
      <c r="KZV302" s="136"/>
      <c r="KZW302" s="136"/>
      <c r="KZX302" s="136"/>
      <c r="KZY302" s="136"/>
      <c r="KZZ302" s="136"/>
      <c r="LAA302" s="136"/>
      <c r="LAB302" s="136"/>
      <c r="LAC302" s="136"/>
      <c r="LAD302" s="136"/>
      <c r="LAE302" s="136"/>
      <c r="LAF302" s="136"/>
      <c r="LAG302" s="136"/>
      <c r="LAH302" s="136"/>
      <c r="LAI302" s="136"/>
      <c r="LAJ302" s="136"/>
      <c r="LAK302" s="136"/>
      <c r="LAL302" s="136"/>
      <c r="LAM302" s="136"/>
      <c r="LAN302" s="136"/>
      <c r="LAO302" s="136"/>
      <c r="LAP302" s="136"/>
      <c r="LAQ302" s="136"/>
      <c r="LAR302" s="136"/>
      <c r="LAS302" s="136"/>
      <c r="LAT302" s="136"/>
      <c r="LAU302" s="136"/>
      <c r="LAV302" s="136"/>
      <c r="LAW302" s="136"/>
      <c r="LAX302" s="136"/>
      <c r="LAY302" s="136"/>
      <c r="LAZ302" s="136"/>
      <c r="LBA302" s="136"/>
      <c r="LBB302" s="136"/>
      <c r="LBC302" s="136"/>
      <c r="LBD302" s="136"/>
      <c r="LBE302" s="136"/>
      <c r="LBF302" s="136"/>
      <c r="LBG302" s="136"/>
      <c r="LBH302" s="136"/>
      <c r="LBI302" s="136"/>
      <c r="LBJ302" s="136"/>
      <c r="LBK302" s="136"/>
      <c r="LBL302" s="136"/>
      <c r="LBM302" s="136"/>
      <c r="LBN302" s="136"/>
      <c r="LBO302" s="136"/>
      <c r="LBP302" s="136"/>
      <c r="LBQ302" s="136"/>
      <c r="LBR302" s="136"/>
      <c r="LBS302" s="136"/>
      <c r="LBT302" s="136"/>
      <c r="LBU302" s="136"/>
      <c r="LBV302" s="136"/>
      <c r="LBW302" s="136"/>
      <c r="LBX302" s="136"/>
      <c r="LBY302" s="136"/>
      <c r="LBZ302" s="136"/>
      <c r="LCA302" s="136"/>
      <c r="LCB302" s="136"/>
      <c r="LCC302" s="136"/>
      <c r="LCD302" s="136"/>
      <c r="LCE302" s="136"/>
      <c r="LCF302" s="136"/>
      <c r="LCG302" s="136"/>
      <c r="LCH302" s="136"/>
      <c r="LCI302" s="136"/>
      <c r="LCJ302" s="136"/>
      <c r="LCK302" s="136"/>
      <c r="LCL302" s="136"/>
      <c r="LCM302" s="136"/>
      <c r="LCN302" s="136"/>
      <c r="LCO302" s="136"/>
      <c r="LCP302" s="136"/>
      <c r="LCQ302" s="136"/>
      <c r="LCR302" s="136"/>
      <c r="LCS302" s="136"/>
      <c r="LCT302" s="136"/>
      <c r="LCU302" s="136"/>
      <c r="LCV302" s="136"/>
      <c r="LCW302" s="136"/>
      <c r="LCX302" s="136"/>
      <c r="LCY302" s="136"/>
      <c r="LCZ302" s="136"/>
      <c r="LDA302" s="136"/>
      <c r="LDB302" s="136"/>
      <c r="LDC302" s="136"/>
      <c r="LDD302" s="136"/>
      <c r="LDE302" s="136"/>
      <c r="LDF302" s="136"/>
      <c r="LDG302" s="136"/>
      <c r="LDH302" s="136"/>
      <c r="LDI302" s="136"/>
      <c r="LDJ302" s="136"/>
      <c r="LDK302" s="136"/>
      <c r="LDL302" s="136"/>
      <c r="LDM302" s="136"/>
      <c r="LDN302" s="136"/>
      <c r="LDO302" s="136"/>
      <c r="LDP302" s="136"/>
      <c r="LDQ302" s="136"/>
      <c r="LDR302" s="136"/>
      <c r="LDS302" s="136"/>
      <c r="LDT302" s="136"/>
      <c r="LDU302" s="136"/>
      <c r="LDV302" s="136"/>
      <c r="LDW302" s="136"/>
      <c r="LDX302" s="136"/>
      <c r="LDY302" s="136"/>
      <c r="LDZ302" s="136"/>
      <c r="LEA302" s="136"/>
      <c r="LEB302" s="136"/>
      <c r="LEC302" s="136"/>
      <c r="LED302" s="136"/>
      <c r="LEE302" s="136"/>
      <c r="LEF302" s="136"/>
      <c r="LEG302" s="136"/>
      <c r="LEH302" s="136"/>
      <c r="LEI302" s="136"/>
      <c r="LEJ302" s="136"/>
      <c r="LEK302" s="136"/>
      <c r="LEL302" s="136"/>
      <c r="LEM302" s="136"/>
      <c r="LEN302" s="136"/>
      <c r="LEO302" s="136"/>
      <c r="LEP302" s="136"/>
      <c r="LEQ302" s="136"/>
      <c r="LER302" s="136"/>
      <c r="LES302" s="136"/>
      <c r="LET302" s="136"/>
      <c r="LEU302" s="136"/>
      <c r="LEV302" s="136"/>
      <c r="LEW302" s="136"/>
      <c r="LEX302" s="136"/>
      <c r="LEY302" s="136"/>
      <c r="LEZ302" s="136"/>
      <c r="LFA302" s="136"/>
      <c r="LFB302" s="136"/>
      <c r="LFC302" s="136"/>
      <c r="LFD302" s="136"/>
      <c r="LFE302" s="136"/>
      <c r="LFF302" s="136"/>
      <c r="LFG302" s="136"/>
      <c r="LFH302" s="136"/>
      <c r="LFI302" s="136"/>
      <c r="LFJ302" s="136"/>
      <c r="LFK302" s="136"/>
      <c r="LFL302" s="136"/>
      <c r="LFM302" s="136"/>
      <c r="LFN302" s="136"/>
      <c r="LFO302" s="136"/>
      <c r="LFP302" s="136"/>
      <c r="LFQ302" s="136"/>
      <c r="LFR302" s="136"/>
      <c r="LFS302" s="136"/>
      <c r="LFT302" s="136"/>
      <c r="LFU302" s="136"/>
      <c r="LFV302" s="136"/>
      <c r="LFW302" s="136"/>
      <c r="LFX302" s="136"/>
      <c r="LFY302" s="136"/>
      <c r="LFZ302" s="136"/>
      <c r="LGA302" s="136"/>
      <c r="LGB302" s="136"/>
      <c r="LGC302" s="136"/>
      <c r="LGD302" s="136"/>
      <c r="LGE302" s="136"/>
      <c r="LGF302" s="136"/>
      <c r="LGG302" s="136"/>
      <c r="LGH302" s="136"/>
      <c r="LGI302" s="136"/>
      <c r="LGJ302" s="136"/>
      <c r="LGK302" s="136"/>
      <c r="LGL302" s="136"/>
      <c r="LGM302" s="136"/>
      <c r="LGN302" s="136"/>
      <c r="LGO302" s="136"/>
      <c r="LGP302" s="136"/>
      <c r="LGQ302" s="136"/>
      <c r="LGR302" s="136"/>
      <c r="LGS302" s="136"/>
      <c r="LGT302" s="136"/>
      <c r="LGU302" s="136"/>
      <c r="LGV302" s="136"/>
      <c r="LGW302" s="136"/>
      <c r="LGX302" s="136"/>
      <c r="LGY302" s="136"/>
      <c r="LGZ302" s="136"/>
      <c r="LHA302" s="136"/>
      <c r="LHB302" s="136"/>
      <c r="LHC302" s="136"/>
      <c r="LHD302" s="136"/>
      <c r="LHE302" s="136"/>
      <c r="LHF302" s="136"/>
      <c r="LHG302" s="136"/>
      <c r="LHH302" s="136"/>
      <c r="LHI302" s="136"/>
      <c r="LHJ302" s="136"/>
      <c r="LHK302" s="136"/>
      <c r="LHL302" s="136"/>
      <c r="LHM302" s="136"/>
      <c r="LHN302" s="136"/>
      <c r="LHO302" s="136"/>
      <c r="LHP302" s="136"/>
      <c r="LHQ302" s="136"/>
      <c r="LHR302" s="136"/>
      <c r="LHS302" s="136"/>
      <c r="LHT302" s="136"/>
      <c r="LHU302" s="136"/>
      <c r="LHV302" s="136"/>
      <c r="LHW302" s="136"/>
      <c r="LHX302" s="136"/>
      <c r="LHY302" s="136"/>
      <c r="LHZ302" s="136"/>
      <c r="LIA302" s="136"/>
      <c r="LIB302" s="136"/>
      <c r="LIC302" s="136"/>
      <c r="LID302" s="136"/>
      <c r="LIE302" s="136"/>
      <c r="LIF302" s="136"/>
      <c r="LIG302" s="136"/>
      <c r="LIH302" s="136"/>
      <c r="LII302" s="136"/>
      <c r="LIJ302" s="136"/>
      <c r="LIK302" s="136"/>
      <c r="LIL302" s="136"/>
      <c r="LIM302" s="136"/>
      <c r="LIN302" s="136"/>
      <c r="LIO302" s="136"/>
      <c r="LIP302" s="136"/>
      <c r="LIQ302" s="136"/>
      <c r="LIR302" s="136"/>
      <c r="LIS302" s="136"/>
      <c r="LIT302" s="136"/>
      <c r="LIU302" s="136"/>
      <c r="LIV302" s="136"/>
      <c r="LIW302" s="136"/>
      <c r="LIX302" s="136"/>
      <c r="LIY302" s="136"/>
      <c r="LIZ302" s="136"/>
      <c r="LJA302" s="136"/>
      <c r="LJB302" s="136"/>
      <c r="LJC302" s="136"/>
      <c r="LJD302" s="136"/>
      <c r="LJE302" s="136"/>
      <c r="LJF302" s="136"/>
      <c r="LJG302" s="136"/>
      <c r="LJH302" s="136"/>
      <c r="LJI302" s="136"/>
      <c r="LJJ302" s="136"/>
      <c r="LJK302" s="136"/>
      <c r="LJL302" s="136"/>
      <c r="LJM302" s="136"/>
      <c r="LJN302" s="136"/>
      <c r="LJO302" s="136"/>
      <c r="LJP302" s="136"/>
      <c r="LJQ302" s="136"/>
      <c r="LJR302" s="136"/>
      <c r="LJS302" s="136"/>
      <c r="LJT302" s="136"/>
      <c r="LJU302" s="136"/>
      <c r="LJV302" s="136"/>
      <c r="LJW302" s="136"/>
      <c r="LJX302" s="136"/>
      <c r="LJY302" s="136"/>
      <c r="LJZ302" s="136"/>
      <c r="LKA302" s="136"/>
      <c r="LKB302" s="136"/>
      <c r="LKC302" s="136"/>
      <c r="LKD302" s="136"/>
      <c r="LKE302" s="136"/>
      <c r="LKF302" s="136"/>
      <c r="LKG302" s="136"/>
      <c r="LKH302" s="136"/>
      <c r="LKI302" s="136"/>
      <c r="LKJ302" s="136"/>
      <c r="LKK302" s="136"/>
      <c r="LKL302" s="136"/>
      <c r="LKM302" s="136"/>
      <c r="LKN302" s="136"/>
      <c r="LKO302" s="136"/>
      <c r="LKP302" s="136"/>
      <c r="LKQ302" s="136"/>
      <c r="LKR302" s="136"/>
      <c r="LKS302" s="136"/>
      <c r="LKT302" s="136"/>
      <c r="LKU302" s="136"/>
      <c r="LKV302" s="136"/>
      <c r="LKW302" s="136"/>
      <c r="LKX302" s="136"/>
      <c r="LKY302" s="136"/>
      <c r="LKZ302" s="136"/>
      <c r="LLA302" s="136"/>
      <c r="LLB302" s="136"/>
      <c r="LLC302" s="136"/>
      <c r="LLD302" s="136"/>
      <c r="LLE302" s="136"/>
      <c r="LLF302" s="136"/>
      <c r="LLG302" s="136"/>
      <c r="LLH302" s="136"/>
      <c r="LLI302" s="136"/>
      <c r="LLJ302" s="136"/>
      <c r="LLK302" s="136"/>
      <c r="LLL302" s="136"/>
      <c r="LLM302" s="136"/>
      <c r="LLN302" s="136"/>
      <c r="LLO302" s="136"/>
      <c r="LLP302" s="136"/>
      <c r="LLQ302" s="136"/>
      <c r="LLR302" s="136"/>
      <c r="LLS302" s="136"/>
      <c r="LLT302" s="136"/>
      <c r="LLU302" s="136"/>
      <c r="LLV302" s="136"/>
      <c r="LLW302" s="136"/>
      <c r="LLX302" s="136"/>
      <c r="LLY302" s="136"/>
      <c r="LLZ302" s="136"/>
      <c r="LMA302" s="136"/>
      <c r="LMB302" s="136"/>
      <c r="LMC302" s="136"/>
      <c r="LMD302" s="136"/>
      <c r="LME302" s="136"/>
      <c r="LMF302" s="136"/>
      <c r="LMG302" s="136"/>
      <c r="LMH302" s="136"/>
      <c r="LMI302" s="136"/>
      <c r="LMJ302" s="136"/>
      <c r="LMK302" s="136"/>
      <c r="LML302" s="136"/>
      <c r="LMM302" s="136"/>
      <c r="LMN302" s="136"/>
      <c r="LMO302" s="136"/>
      <c r="LMP302" s="136"/>
      <c r="LMQ302" s="136"/>
      <c r="LMR302" s="136"/>
      <c r="LMS302" s="136"/>
      <c r="LMT302" s="136"/>
      <c r="LMU302" s="136"/>
      <c r="LMV302" s="136"/>
      <c r="LMW302" s="136"/>
      <c r="LMX302" s="136"/>
      <c r="LMY302" s="136"/>
      <c r="LMZ302" s="136"/>
      <c r="LNA302" s="136"/>
      <c r="LNB302" s="136"/>
      <c r="LNC302" s="136"/>
      <c r="LND302" s="136"/>
      <c r="LNE302" s="136"/>
      <c r="LNF302" s="136"/>
      <c r="LNG302" s="136"/>
      <c r="LNH302" s="136"/>
      <c r="LNI302" s="136"/>
      <c r="LNJ302" s="136"/>
      <c r="LNK302" s="136"/>
      <c r="LNL302" s="136"/>
      <c r="LNM302" s="136"/>
      <c r="LNN302" s="136"/>
      <c r="LNO302" s="136"/>
      <c r="LNP302" s="136"/>
      <c r="LNQ302" s="136"/>
      <c r="LNR302" s="136"/>
      <c r="LNS302" s="136"/>
      <c r="LNT302" s="136"/>
      <c r="LNU302" s="136"/>
      <c r="LNV302" s="136"/>
      <c r="LNW302" s="136"/>
      <c r="LNX302" s="136"/>
      <c r="LNY302" s="136"/>
      <c r="LNZ302" s="136"/>
      <c r="LOA302" s="136"/>
      <c r="LOB302" s="136"/>
      <c r="LOC302" s="136"/>
      <c r="LOD302" s="136"/>
      <c r="LOE302" s="136"/>
      <c r="LOF302" s="136"/>
      <c r="LOG302" s="136"/>
      <c r="LOH302" s="136"/>
      <c r="LOI302" s="136"/>
      <c r="LOJ302" s="136"/>
      <c r="LOK302" s="136"/>
      <c r="LOL302" s="136"/>
      <c r="LOM302" s="136"/>
      <c r="LON302" s="136"/>
      <c r="LOO302" s="136"/>
      <c r="LOP302" s="136"/>
      <c r="LOQ302" s="136"/>
      <c r="LOR302" s="136"/>
      <c r="LOS302" s="136"/>
      <c r="LOT302" s="136"/>
      <c r="LOU302" s="136"/>
      <c r="LOV302" s="136"/>
      <c r="LOW302" s="136"/>
      <c r="LOX302" s="136"/>
      <c r="LOY302" s="136"/>
      <c r="LOZ302" s="136"/>
      <c r="LPA302" s="136"/>
      <c r="LPB302" s="136"/>
      <c r="LPC302" s="136"/>
      <c r="LPD302" s="136"/>
      <c r="LPE302" s="136"/>
      <c r="LPF302" s="136"/>
      <c r="LPG302" s="136"/>
      <c r="LPH302" s="136"/>
      <c r="LPI302" s="136"/>
      <c r="LPJ302" s="136"/>
      <c r="LPK302" s="136"/>
      <c r="LPL302" s="136"/>
      <c r="LPM302" s="136"/>
      <c r="LPN302" s="136"/>
      <c r="LPO302" s="136"/>
      <c r="LPP302" s="136"/>
      <c r="LPQ302" s="136"/>
      <c r="LPR302" s="136"/>
      <c r="LPS302" s="136"/>
      <c r="LPT302" s="136"/>
      <c r="LPU302" s="136"/>
      <c r="LPV302" s="136"/>
      <c r="LPW302" s="136"/>
      <c r="LPX302" s="136"/>
      <c r="LPY302" s="136"/>
      <c r="LPZ302" s="136"/>
      <c r="LQA302" s="136"/>
      <c r="LQB302" s="136"/>
      <c r="LQC302" s="136"/>
      <c r="LQD302" s="136"/>
      <c r="LQE302" s="136"/>
      <c r="LQF302" s="136"/>
      <c r="LQG302" s="136"/>
      <c r="LQH302" s="136"/>
      <c r="LQI302" s="136"/>
      <c r="LQJ302" s="136"/>
      <c r="LQK302" s="136"/>
      <c r="LQL302" s="136"/>
      <c r="LQM302" s="136"/>
      <c r="LQN302" s="136"/>
      <c r="LQO302" s="136"/>
      <c r="LQP302" s="136"/>
      <c r="LQQ302" s="136"/>
      <c r="LQR302" s="136"/>
      <c r="LQS302" s="136"/>
      <c r="LQT302" s="136"/>
      <c r="LQU302" s="136"/>
      <c r="LQV302" s="136"/>
      <c r="LQW302" s="136"/>
      <c r="LQX302" s="136"/>
      <c r="LQY302" s="136"/>
      <c r="LQZ302" s="136"/>
      <c r="LRA302" s="136"/>
      <c r="LRB302" s="136"/>
      <c r="LRC302" s="136"/>
      <c r="LRD302" s="136"/>
      <c r="LRE302" s="136"/>
      <c r="LRF302" s="136"/>
      <c r="LRG302" s="136"/>
      <c r="LRH302" s="136"/>
      <c r="LRI302" s="136"/>
      <c r="LRJ302" s="136"/>
      <c r="LRK302" s="136"/>
      <c r="LRL302" s="136"/>
      <c r="LRM302" s="136"/>
      <c r="LRN302" s="136"/>
      <c r="LRO302" s="136"/>
      <c r="LRP302" s="136"/>
      <c r="LRQ302" s="136"/>
      <c r="LRR302" s="136"/>
      <c r="LRS302" s="136"/>
      <c r="LRT302" s="136"/>
      <c r="LRU302" s="136"/>
      <c r="LRV302" s="136"/>
      <c r="LRW302" s="136"/>
      <c r="LRX302" s="136"/>
      <c r="LRY302" s="136"/>
      <c r="LRZ302" s="136"/>
      <c r="LSA302" s="136"/>
      <c r="LSB302" s="136"/>
      <c r="LSC302" s="136"/>
      <c r="LSD302" s="136"/>
      <c r="LSE302" s="136"/>
      <c r="LSF302" s="136"/>
      <c r="LSG302" s="136"/>
      <c r="LSH302" s="136"/>
      <c r="LSI302" s="136"/>
      <c r="LSJ302" s="136"/>
      <c r="LSK302" s="136"/>
      <c r="LSL302" s="136"/>
      <c r="LSM302" s="136"/>
      <c r="LSN302" s="136"/>
      <c r="LSO302" s="136"/>
      <c r="LSP302" s="136"/>
      <c r="LSQ302" s="136"/>
      <c r="LSR302" s="136"/>
      <c r="LSS302" s="136"/>
      <c r="LST302" s="136"/>
      <c r="LSU302" s="136"/>
      <c r="LSV302" s="136"/>
      <c r="LSW302" s="136"/>
      <c r="LSX302" s="136"/>
      <c r="LSY302" s="136"/>
      <c r="LSZ302" s="136"/>
      <c r="LTA302" s="136"/>
      <c r="LTB302" s="136"/>
      <c r="LTC302" s="136"/>
      <c r="LTD302" s="136"/>
      <c r="LTE302" s="136"/>
      <c r="LTF302" s="136"/>
      <c r="LTG302" s="136"/>
      <c r="LTH302" s="136"/>
      <c r="LTI302" s="136"/>
      <c r="LTJ302" s="136"/>
      <c r="LTK302" s="136"/>
      <c r="LTL302" s="136"/>
      <c r="LTM302" s="136"/>
      <c r="LTN302" s="136"/>
      <c r="LTO302" s="136"/>
      <c r="LTP302" s="136"/>
      <c r="LTQ302" s="136"/>
      <c r="LTR302" s="136"/>
      <c r="LTS302" s="136"/>
      <c r="LTT302" s="136"/>
      <c r="LTU302" s="136"/>
      <c r="LTV302" s="136"/>
      <c r="LTW302" s="136"/>
      <c r="LTX302" s="136"/>
      <c r="LTY302" s="136"/>
      <c r="LTZ302" s="136"/>
      <c r="LUA302" s="136"/>
      <c r="LUB302" s="136"/>
      <c r="LUC302" s="136"/>
      <c r="LUD302" s="136"/>
      <c r="LUE302" s="136"/>
      <c r="LUF302" s="136"/>
      <c r="LUG302" s="136"/>
      <c r="LUH302" s="136"/>
      <c r="LUI302" s="136"/>
      <c r="LUJ302" s="136"/>
      <c r="LUK302" s="136"/>
      <c r="LUL302" s="136"/>
      <c r="LUM302" s="136"/>
      <c r="LUN302" s="136"/>
      <c r="LUO302" s="136"/>
      <c r="LUP302" s="136"/>
      <c r="LUQ302" s="136"/>
      <c r="LUR302" s="136"/>
      <c r="LUS302" s="136"/>
      <c r="LUT302" s="136"/>
      <c r="LUU302" s="136"/>
      <c r="LUV302" s="136"/>
      <c r="LUW302" s="136"/>
      <c r="LUX302" s="136"/>
      <c r="LUY302" s="136"/>
      <c r="LUZ302" s="136"/>
      <c r="LVA302" s="136"/>
      <c r="LVB302" s="136"/>
      <c r="LVC302" s="136"/>
      <c r="LVD302" s="136"/>
      <c r="LVE302" s="136"/>
      <c r="LVF302" s="136"/>
      <c r="LVG302" s="136"/>
      <c r="LVH302" s="136"/>
      <c r="LVI302" s="136"/>
      <c r="LVJ302" s="136"/>
      <c r="LVK302" s="136"/>
      <c r="LVL302" s="136"/>
      <c r="LVM302" s="136"/>
      <c r="LVN302" s="136"/>
      <c r="LVO302" s="136"/>
      <c r="LVP302" s="136"/>
      <c r="LVQ302" s="136"/>
      <c r="LVR302" s="136"/>
      <c r="LVS302" s="136"/>
      <c r="LVT302" s="136"/>
      <c r="LVU302" s="136"/>
      <c r="LVV302" s="136"/>
      <c r="LVW302" s="136"/>
      <c r="LVX302" s="136"/>
      <c r="LVY302" s="136"/>
      <c r="LVZ302" s="136"/>
      <c r="LWA302" s="136"/>
      <c r="LWB302" s="136"/>
      <c r="LWC302" s="136"/>
      <c r="LWD302" s="136"/>
      <c r="LWE302" s="136"/>
      <c r="LWF302" s="136"/>
      <c r="LWG302" s="136"/>
      <c r="LWH302" s="136"/>
      <c r="LWI302" s="136"/>
      <c r="LWJ302" s="136"/>
      <c r="LWK302" s="136"/>
      <c r="LWL302" s="136"/>
      <c r="LWM302" s="136"/>
      <c r="LWN302" s="136"/>
      <c r="LWO302" s="136"/>
      <c r="LWP302" s="136"/>
      <c r="LWQ302" s="136"/>
      <c r="LWR302" s="136"/>
      <c r="LWS302" s="136"/>
      <c r="LWT302" s="136"/>
      <c r="LWU302" s="136"/>
      <c r="LWV302" s="136"/>
      <c r="LWW302" s="136"/>
      <c r="LWX302" s="136"/>
      <c r="LWY302" s="136"/>
      <c r="LWZ302" s="136"/>
      <c r="LXA302" s="136"/>
      <c r="LXB302" s="136"/>
      <c r="LXC302" s="136"/>
      <c r="LXD302" s="136"/>
      <c r="LXE302" s="136"/>
      <c r="LXF302" s="136"/>
      <c r="LXG302" s="136"/>
      <c r="LXH302" s="136"/>
      <c r="LXI302" s="136"/>
      <c r="LXJ302" s="136"/>
      <c r="LXK302" s="136"/>
      <c r="LXL302" s="136"/>
      <c r="LXM302" s="136"/>
      <c r="LXN302" s="136"/>
      <c r="LXO302" s="136"/>
      <c r="LXP302" s="136"/>
      <c r="LXQ302" s="136"/>
      <c r="LXR302" s="136"/>
      <c r="LXS302" s="136"/>
      <c r="LXT302" s="136"/>
      <c r="LXU302" s="136"/>
      <c r="LXV302" s="136"/>
      <c r="LXW302" s="136"/>
      <c r="LXX302" s="136"/>
      <c r="LXY302" s="136"/>
      <c r="LXZ302" s="136"/>
      <c r="LYA302" s="136"/>
      <c r="LYB302" s="136"/>
      <c r="LYC302" s="136"/>
      <c r="LYD302" s="136"/>
      <c r="LYE302" s="136"/>
      <c r="LYF302" s="136"/>
      <c r="LYG302" s="136"/>
      <c r="LYH302" s="136"/>
      <c r="LYI302" s="136"/>
      <c r="LYJ302" s="136"/>
      <c r="LYK302" s="136"/>
      <c r="LYL302" s="136"/>
      <c r="LYM302" s="136"/>
      <c r="LYN302" s="136"/>
      <c r="LYO302" s="136"/>
      <c r="LYP302" s="136"/>
      <c r="LYQ302" s="136"/>
      <c r="LYR302" s="136"/>
      <c r="LYS302" s="136"/>
      <c r="LYT302" s="136"/>
      <c r="LYU302" s="136"/>
      <c r="LYV302" s="136"/>
      <c r="LYW302" s="136"/>
      <c r="LYX302" s="136"/>
      <c r="LYY302" s="136"/>
      <c r="LYZ302" s="136"/>
      <c r="LZA302" s="136"/>
      <c r="LZB302" s="136"/>
      <c r="LZC302" s="136"/>
      <c r="LZD302" s="136"/>
      <c r="LZE302" s="136"/>
      <c r="LZF302" s="136"/>
      <c r="LZG302" s="136"/>
      <c r="LZH302" s="136"/>
      <c r="LZI302" s="136"/>
      <c r="LZJ302" s="136"/>
      <c r="LZK302" s="136"/>
      <c r="LZL302" s="136"/>
      <c r="LZM302" s="136"/>
      <c r="LZN302" s="136"/>
      <c r="LZO302" s="136"/>
      <c r="LZP302" s="136"/>
      <c r="LZQ302" s="136"/>
      <c r="LZR302" s="136"/>
      <c r="LZS302" s="136"/>
      <c r="LZT302" s="136"/>
      <c r="LZU302" s="136"/>
      <c r="LZV302" s="136"/>
      <c r="LZW302" s="136"/>
      <c r="LZX302" s="136"/>
      <c r="LZY302" s="136"/>
      <c r="LZZ302" s="136"/>
      <c r="MAA302" s="136"/>
      <c r="MAB302" s="136"/>
      <c r="MAC302" s="136"/>
      <c r="MAD302" s="136"/>
      <c r="MAE302" s="136"/>
      <c r="MAF302" s="136"/>
      <c r="MAG302" s="136"/>
      <c r="MAH302" s="136"/>
      <c r="MAI302" s="136"/>
      <c r="MAJ302" s="136"/>
      <c r="MAK302" s="136"/>
      <c r="MAL302" s="136"/>
      <c r="MAM302" s="136"/>
      <c r="MAN302" s="136"/>
      <c r="MAO302" s="136"/>
      <c r="MAP302" s="136"/>
      <c r="MAQ302" s="136"/>
      <c r="MAR302" s="136"/>
      <c r="MAS302" s="136"/>
      <c r="MAT302" s="136"/>
      <c r="MAU302" s="136"/>
      <c r="MAV302" s="136"/>
      <c r="MAW302" s="136"/>
      <c r="MAX302" s="136"/>
      <c r="MAY302" s="136"/>
      <c r="MAZ302" s="136"/>
      <c r="MBA302" s="136"/>
      <c r="MBB302" s="136"/>
      <c r="MBC302" s="136"/>
      <c r="MBD302" s="136"/>
      <c r="MBE302" s="136"/>
      <c r="MBF302" s="136"/>
      <c r="MBG302" s="136"/>
      <c r="MBH302" s="136"/>
      <c r="MBI302" s="136"/>
      <c r="MBJ302" s="136"/>
      <c r="MBK302" s="136"/>
      <c r="MBL302" s="136"/>
      <c r="MBM302" s="136"/>
      <c r="MBN302" s="136"/>
      <c r="MBO302" s="136"/>
      <c r="MBP302" s="136"/>
      <c r="MBQ302" s="136"/>
      <c r="MBR302" s="136"/>
      <c r="MBS302" s="136"/>
      <c r="MBT302" s="136"/>
      <c r="MBU302" s="136"/>
      <c r="MBV302" s="136"/>
      <c r="MBW302" s="136"/>
      <c r="MBX302" s="136"/>
      <c r="MBY302" s="136"/>
      <c r="MBZ302" s="136"/>
      <c r="MCA302" s="136"/>
      <c r="MCB302" s="136"/>
      <c r="MCC302" s="136"/>
      <c r="MCD302" s="136"/>
      <c r="MCE302" s="136"/>
      <c r="MCF302" s="136"/>
      <c r="MCG302" s="136"/>
      <c r="MCH302" s="136"/>
      <c r="MCI302" s="136"/>
      <c r="MCJ302" s="136"/>
      <c r="MCK302" s="136"/>
      <c r="MCL302" s="136"/>
      <c r="MCM302" s="136"/>
      <c r="MCN302" s="136"/>
      <c r="MCO302" s="136"/>
      <c r="MCP302" s="136"/>
      <c r="MCQ302" s="136"/>
      <c r="MCR302" s="136"/>
      <c r="MCS302" s="136"/>
      <c r="MCT302" s="136"/>
      <c r="MCU302" s="136"/>
      <c r="MCV302" s="136"/>
      <c r="MCW302" s="136"/>
      <c r="MCX302" s="136"/>
      <c r="MCY302" s="136"/>
      <c r="MCZ302" s="136"/>
      <c r="MDA302" s="136"/>
      <c r="MDB302" s="136"/>
      <c r="MDC302" s="136"/>
      <c r="MDD302" s="136"/>
      <c r="MDE302" s="136"/>
      <c r="MDF302" s="136"/>
      <c r="MDG302" s="136"/>
      <c r="MDH302" s="136"/>
      <c r="MDI302" s="136"/>
      <c r="MDJ302" s="136"/>
      <c r="MDK302" s="136"/>
      <c r="MDL302" s="136"/>
      <c r="MDM302" s="136"/>
      <c r="MDN302" s="136"/>
      <c r="MDO302" s="136"/>
      <c r="MDP302" s="136"/>
      <c r="MDQ302" s="136"/>
      <c r="MDR302" s="136"/>
      <c r="MDS302" s="136"/>
      <c r="MDT302" s="136"/>
      <c r="MDU302" s="136"/>
      <c r="MDV302" s="136"/>
      <c r="MDW302" s="136"/>
      <c r="MDX302" s="136"/>
      <c r="MDY302" s="136"/>
      <c r="MDZ302" s="136"/>
      <c r="MEA302" s="136"/>
      <c r="MEB302" s="136"/>
      <c r="MEC302" s="136"/>
      <c r="MED302" s="136"/>
      <c r="MEE302" s="136"/>
      <c r="MEF302" s="136"/>
      <c r="MEG302" s="136"/>
      <c r="MEH302" s="136"/>
      <c r="MEI302" s="136"/>
      <c r="MEJ302" s="136"/>
      <c r="MEK302" s="136"/>
      <c r="MEL302" s="136"/>
      <c r="MEM302" s="136"/>
      <c r="MEN302" s="136"/>
      <c r="MEO302" s="136"/>
      <c r="MEP302" s="136"/>
      <c r="MEQ302" s="136"/>
      <c r="MER302" s="136"/>
      <c r="MES302" s="136"/>
      <c r="MET302" s="136"/>
      <c r="MEU302" s="136"/>
      <c r="MEV302" s="136"/>
      <c r="MEW302" s="136"/>
      <c r="MEX302" s="136"/>
      <c r="MEY302" s="136"/>
      <c r="MEZ302" s="136"/>
      <c r="MFA302" s="136"/>
      <c r="MFB302" s="136"/>
      <c r="MFC302" s="136"/>
      <c r="MFD302" s="136"/>
      <c r="MFE302" s="136"/>
      <c r="MFF302" s="136"/>
      <c r="MFG302" s="136"/>
      <c r="MFH302" s="136"/>
      <c r="MFI302" s="136"/>
      <c r="MFJ302" s="136"/>
      <c r="MFK302" s="136"/>
      <c r="MFL302" s="136"/>
      <c r="MFM302" s="136"/>
      <c r="MFN302" s="136"/>
      <c r="MFO302" s="136"/>
      <c r="MFP302" s="136"/>
      <c r="MFQ302" s="136"/>
      <c r="MFR302" s="136"/>
      <c r="MFS302" s="136"/>
      <c r="MFT302" s="136"/>
      <c r="MFU302" s="136"/>
      <c r="MFV302" s="136"/>
      <c r="MFW302" s="136"/>
      <c r="MFX302" s="136"/>
      <c r="MFY302" s="136"/>
      <c r="MFZ302" s="136"/>
      <c r="MGA302" s="136"/>
      <c r="MGB302" s="136"/>
      <c r="MGC302" s="136"/>
      <c r="MGD302" s="136"/>
      <c r="MGE302" s="136"/>
      <c r="MGF302" s="136"/>
      <c r="MGG302" s="136"/>
      <c r="MGH302" s="136"/>
      <c r="MGI302" s="136"/>
      <c r="MGJ302" s="136"/>
      <c r="MGK302" s="136"/>
      <c r="MGL302" s="136"/>
      <c r="MGM302" s="136"/>
      <c r="MGN302" s="136"/>
      <c r="MGO302" s="136"/>
      <c r="MGP302" s="136"/>
      <c r="MGQ302" s="136"/>
      <c r="MGR302" s="136"/>
      <c r="MGS302" s="136"/>
      <c r="MGT302" s="136"/>
      <c r="MGU302" s="136"/>
      <c r="MGV302" s="136"/>
      <c r="MGW302" s="136"/>
      <c r="MGX302" s="136"/>
      <c r="MGY302" s="136"/>
      <c r="MGZ302" s="136"/>
      <c r="MHA302" s="136"/>
      <c r="MHB302" s="136"/>
      <c r="MHC302" s="136"/>
      <c r="MHD302" s="136"/>
      <c r="MHE302" s="136"/>
      <c r="MHF302" s="136"/>
      <c r="MHG302" s="136"/>
      <c r="MHH302" s="136"/>
      <c r="MHI302" s="136"/>
      <c r="MHJ302" s="136"/>
      <c r="MHK302" s="136"/>
      <c r="MHL302" s="136"/>
      <c r="MHM302" s="136"/>
      <c r="MHN302" s="136"/>
      <c r="MHO302" s="136"/>
      <c r="MHP302" s="136"/>
      <c r="MHQ302" s="136"/>
      <c r="MHR302" s="136"/>
      <c r="MHS302" s="136"/>
      <c r="MHT302" s="136"/>
      <c r="MHU302" s="136"/>
      <c r="MHV302" s="136"/>
      <c r="MHW302" s="136"/>
      <c r="MHX302" s="136"/>
      <c r="MHY302" s="136"/>
      <c r="MHZ302" s="136"/>
      <c r="MIA302" s="136"/>
      <c r="MIB302" s="136"/>
      <c r="MIC302" s="136"/>
      <c r="MID302" s="136"/>
      <c r="MIE302" s="136"/>
      <c r="MIF302" s="136"/>
      <c r="MIG302" s="136"/>
      <c r="MIH302" s="136"/>
      <c r="MII302" s="136"/>
      <c r="MIJ302" s="136"/>
      <c r="MIK302" s="136"/>
      <c r="MIL302" s="136"/>
      <c r="MIM302" s="136"/>
      <c r="MIN302" s="136"/>
      <c r="MIO302" s="136"/>
      <c r="MIP302" s="136"/>
      <c r="MIQ302" s="136"/>
      <c r="MIR302" s="136"/>
      <c r="MIS302" s="136"/>
      <c r="MIT302" s="136"/>
      <c r="MIU302" s="136"/>
      <c r="MIV302" s="136"/>
      <c r="MIW302" s="136"/>
      <c r="MIX302" s="136"/>
      <c r="MIY302" s="136"/>
      <c r="MIZ302" s="136"/>
      <c r="MJA302" s="136"/>
      <c r="MJB302" s="136"/>
      <c r="MJC302" s="136"/>
      <c r="MJD302" s="136"/>
      <c r="MJE302" s="136"/>
      <c r="MJF302" s="136"/>
      <c r="MJG302" s="136"/>
      <c r="MJH302" s="136"/>
      <c r="MJI302" s="136"/>
      <c r="MJJ302" s="136"/>
      <c r="MJK302" s="136"/>
      <c r="MJL302" s="136"/>
      <c r="MJM302" s="136"/>
      <c r="MJN302" s="136"/>
      <c r="MJO302" s="136"/>
      <c r="MJP302" s="136"/>
      <c r="MJQ302" s="136"/>
      <c r="MJR302" s="136"/>
      <c r="MJS302" s="136"/>
      <c r="MJT302" s="136"/>
      <c r="MJU302" s="136"/>
      <c r="MJV302" s="136"/>
      <c r="MJW302" s="136"/>
      <c r="MJX302" s="136"/>
      <c r="MJY302" s="136"/>
      <c r="MJZ302" s="136"/>
      <c r="MKA302" s="136"/>
      <c r="MKB302" s="136"/>
      <c r="MKC302" s="136"/>
      <c r="MKD302" s="136"/>
      <c r="MKE302" s="136"/>
      <c r="MKF302" s="136"/>
      <c r="MKG302" s="136"/>
      <c r="MKH302" s="136"/>
      <c r="MKI302" s="136"/>
      <c r="MKJ302" s="136"/>
      <c r="MKK302" s="136"/>
      <c r="MKL302" s="136"/>
      <c r="MKM302" s="136"/>
      <c r="MKN302" s="136"/>
      <c r="MKO302" s="136"/>
      <c r="MKP302" s="136"/>
      <c r="MKQ302" s="136"/>
      <c r="MKR302" s="136"/>
      <c r="MKS302" s="136"/>
      <c r="MKT302" s="136"/>
      <c r="MKU302" s="136"/>
      <c r="MKV302" s="136"/>
      <c r="MKW302" s="136"/>
      <c r="MKX302" s="136"/>
      <c r="MKY302" s="136"/>
      <c r="MKZ302" s="136"/>
      <c r="MLA302" s="136"/>
      <c r="MLB302" s="136"/>
      <c r="MLC302" s="136"/>
      <c r="MLD302" s="136"/>
      <c r="MLE302" s="136"/>
      <c r="MLF302" s="136"/>
      <c r="MLG302" s="136"/>
      <c r="MLH302" s="136"/>
      <c r="MLI302" s="136"/>
      <c r="MLJ302" s="136"/>
      <c r="MLK302" s="136"/>
      <c r="MLL302" s="136"/>
      <c r="MLM302" s="136"/>
      <c r="MLN302" s="136"/>
      <c r="MLO302" s="136"/>
      <c r="MLP302" s="136"/>
      <c r="MLQ302" s="136"/>
      <c r="MLR302" s="136"/>
      <c r="MLS302" s="136"/>
      <c r="MLT302" s="136"/>
      <c r="MLU302" s="136"/>
      <c r="MLV302" s="136"/>
      <c r="MLW302" s="136"/>
      <c r="MLX302" s="136"/>
      <c r="MLY302" s="136"/>
      <c r="MLZ302" s="136"/>
      <c r="MMA302" s="136"/>
      <c r="MMB302" s="136"/>
      <c r="MMC302" s="136"/>
      <c r="MMD302" s="136"/>
      <c r="MME302" s="136"/>
      <c r="MMF302" s="136"/>
      <c r="MMG302" s="136"/>
      <c r="MMH302" s="136"/>
      <c r="MMI302" s="136"/>
      <c r="MMJ302" s="136"/>
      <c r="MMK302" s="136"/>
      <c r="MML302" s="136"/>
      <c r="MMM302" s="136"/>
      <c r="MMN302" s="136"/>
      <c r="MMO302" s="136"/>
      <c r="MMP302" s="136"/>
      <c r="MMQ302" s="136"/>
      <c r="MMR302" s="136"/>
      <c r="MMS302" s="136"/>
      <c r="MMT302" s="136"/>
      <c r="MMU302" s="136"/>
      <c r="MMV302" s="136"/>
      <c r="MMW302" s="136"/>
      <c r="MMX302" s="136"/>
      <c r="MMY302" s="136"/>
      <c r="MMZ302" s="136"/>
      <c r="MNA302" s="136"/>
      <c r="MNB302" s="136"/>
      <c r="MNC302" s="136"/>
      <c r="MND302" s="136"/>
      <c r="MNE302" s="136"/>
      <c r="MNF302" s="136"/>
      <c r="MNG302" s="136"/>
      <c r="MNH302" s="136"/>
      <c r="MNI302" s="136"/>
      <c r="MNJ302" s="136"/>
      <c r="MNK302" s="136"/>
      <c r="MNL302" s="136"/>
      <c r="MNM302" s="136"/>
      <c r="MNN302" s="136"/>
      <c r="MNO302" s="136"/>
      <c r="MNP302" s="136"/>
      <c r="MNQ302" s="136"/>
      <c r="MNR302" s="136"/>
      <c r="MNS302" s="136"/>
      <c r="MNT302" s="136"/>
      <c r="MNU302" s="136"/>
      <c r="MNV302" s="136"/>
      <c r="MNW302" s="136"/>
      <c r="MNX302" s="136"/>
      <c r="MNY302" s="136"/>
      <c r="MNZ302" s="136"/>
      <c r="MOA302" s="136"/>
      <c r="MOB302" s="136"/>
      <c r="MOC302" s="136"/>
      <c r="MOD302" s="136"/>
      <c r="MOE302" s="136"/>
      <c r="MOF302" s="136"/>
      <c r="MOG302" s="136"/>
      <c r="MOH302" s="136"/>
      <c r="MOI302" s="136"/>
      <c r="MOJ302" s="136"/>
      <c r="MOK302" s="136"/>
      <c r="MOL302" s="136"/>
      <c r="MOM302" s="136"/>
      <c r="MON302" s="136"/>
      <c r="MOO302" s="136"/>
      <c r="MOP302" s="136"/>
      <c r="MOQ302" s="136"/>
      <c r="MOR302" s="136"/>
      <c r="MOS302" s="136"/>
      <c r="MOT302" s="136"/>
      <c r="MOU302" s="136"/>
      <c r="MOV302" s="136"/>
      <c r="MOW302" s="136"/>
      <c r="MOX302" s="136"/>
      <c r="MOY302" s="136"/>
      <c r="MOZ302" s="136"/>
      <c r="MPA302" s="136"/>
      <c r="MPB302" s="136"/>
      <c r="MPC302" s="136"/>
      <c r="MPD302" s="136"/>
      <c r="MPE302" s="136"/>
      <c r="MPF302" s="136"/>
      <c r="MPG302" s="136"/>
      <c r="MPH302" s="136"/>
      <c r="MPI302" s="136"/>
      <c r="MPJ302" s="136"/>
      <c r="MPK302" s="136"/>
      <c r="MPL302" s="136"/>
      <c r="MPM302" s="136"/>
      <c r="MPN302" s="136"/>
      <c r="MPO302" s="136"/>
      <c r="MPP302" s="136"/>
      <c r="MPQ302" s="136"/>
      <c r="MPR302" s="136"/>
      <c r="MPS302" s="136"/>
      <c r="MPT302" s="136"/>
      <c r="MPU302" s="136"/>
      <c r="MPV302" s="136"/>
      <c r="MPW302" s="136"/>
      <c r="MPX302" s="136"/>
      <c r="MPY302" s="136"/>
      <c r="MPZ302" s="136"/>
      <c r="MQA302" s="136"/>
      <c r="MQB302" s="136"/>
      <c r="MQC302" s="136"/>
      <c r="MQD302" s="136"/>
      <c r="MQE302" s="136"/>
      <c r="MQF302" s="136"/>
      <c r="MQG302" s="136"/>
      <c r="MQH302" s="136"/>
      <c r="MQI302" s="136"/>
      <c r="MQJ302" s="136"/>
      <c r="MQK302" s="136"/>
      <c r="MQL302" s="136"/>
      <c r="MQM302" s="136"/>
      <c r="MQN302" s="136"/>
      <c r="MQO302" s="136"/>
      <c r="MQP302" s="136"/>
      <c r="MQQ302" s="136"/>
      <c r="MQR302" s="136"/>
      <c r="MQS302" s="136"/>
      <c r="MQT302" s="136"/>
      <c r="MQU302" s="136"/>
      <c r="MQV302" s="136"/>
      <c r="MQW302" s="136"/>
      <c r="MQX302" s="136"/>
      <c r="MQY302" s="136"/>
      <c r="MQZ302" s="136"/>
      <c r="MRA302" s="136"/>
      <c r="MRB302" s="136"/>
      <c r="MRC302" s="136"/>
      <c r="MRD302" s="136"/>
      <c r="MRE302" s="136"/>
      <c r="MRF302" s="136"/>
      <c r="MRG302" s="136"/>
      <c r="MRH302" s="136"/>
      <c r="MRI302" s="136"/>
      <c r="MRJ302" s="136"/>
      <c r="MRK302" s="136"/>
      <c r="MRL302" s="136"/>
      <c r="MRM302" s="136"/>
      <c r="MRN302" s="136"/>
      <c r="MRO302" s="136"/>
      <c r="MRP302" s="136"/>
      <c r="MRQ302" s="136"/>
      <c r="MRR302" s="136"/>
      <c r="MRS302" s="136"/>
      <c r="MRT302" s="136"/>
      <c r="MRU302" s="136"/>
      <c r="MRV302" s="136"/>
      <c r="MRW302" s="136"/>
      <c r="MRX302" s="136"/>
      <c r="MRY302" s="136"/>
      <c r="MRZ302" s="136"/>
      <c r="MSA302" s="136"/>
      <c r="MSB302" s="136"/>
      <c r="MSC302" s="136"/>
      <c r="MSD302" s="136"/>
      <c r="MSE302" s="136"/>
      <c r="MSF302" s="136"/>
      <c r="MSG302" s="136"/>
      <c r="MSH302" s="136"/>
      <c r="MSI302" s="136"/>
      <c r="MSJ302" s="136"/>
      <c r="MSK302" s="136"/>
      <c r="MSL302" s="136"/>
      <c r="MSM302" s="136"/>
      <c r="MSN302" s="136"/>
      <c r="MSO302" s="136"/>
      <c r="MSP302" s="136"/>
      <c r="MSQ302" s="136"/>
      <c r="MSR302" s="136"/>
      <c r="MSS302" s="136"/>
      <c r="MST302" s="136"/>
      <c r="MSU302" s="136"/>
      <c r="MSV302" s="136"/>
      <c r="MSW302" s="136"/>
      <c r="MSX302" s="136"/>
      <c r="MSY302" s="136"/>
      <c r="MSZ302" s="136"/>
      <c r="MTA302" s="136"/>
      <c r="MTB302" s="136"/>
      <c r="MTC302" s="136"/>
      <c r="MTD302" s="136"/>
      <c r="MTE302" s="136"/>
      <c r="MTF302" s="136"/>
      <c r="MTG302" s="136"/>
      <c r="MTH302" s="136"/>
      <c r="MTI302" s="136"/>
      <c r="MTJ302" s="136"/>
      <c r="MTK302" s="136"/>
      <c r="MTL302" s="136"/>
      <c r="MTM302" s="136"/>
      <c r="MTN302" s="136"/>
      <c r="MTO302" s="136"/>
      <c r="MTP302" s="136"/>
      <c r="MTQ302" s="136"/>
      <c r="MTR302" s="136"/>
      <c r="MTS302" s="136"/>
      <c r="MTT302" s="136"/>
      <c r="MTU302" s="136"/>
      <c r="MTV302" s="136"/>
      <c r="MTW302" s="136"/>
      <c r="MTX302" s="136"/>
      <c r="MTY302" s="136"/>
      <c r="MTZ302" s="136"/>
      <c r="MUA302" s="136"/>
      <c r="MUB302" s="136"/>
      <c r="MUC302" s="136"/>
      <c r="MUD302" s="136"/>
      <c r="MUE302" s="136"/>
      <c r="MUF302" s="136"/>
      <c r="MUG302" s="136"/>
      <c r="MUH302" s="136"/>
      <c r="MUI302" s="136"/>
      <c r="MUJ302" s="136"/>
      <c r="MUK302" s="136"/>
      <c r="MUL302" s="136"/>
      <c r="MUM302" s="136"/>
      <c r="MUN302" s="136"/>
      <c r="MUO302" s="136"/>
      <c r="MUP302" s="136"/>
      <c r="MUQ302" s="136"/>
      <c r="MUR302" s="136"/>
      <c r="MUS302" s="136"/>
      <c r="MUT302" s="136"/>
      <c r="MUU302" s="136"/>
      <c r="MUV302" s="136"/>
      <c r="MUW302" s="136"/>
      <c r="MUX302" s="136"/>
      <c r="MUY302" s="136"/>
      <c r="MUZ302" s="136"/>
      <c r="MVA302" s="136"/>
      <c r="MVB302" s="136"/>
      <c r="MVC302" s="136"/>
      <c r="MVD302" s="136"/>
      <c r="MVE302" s="136"/>
      <c r="MVF302" s="136"/>
      <c r="MVG302" s="136"/>
      <c r="MVH302" s="136"/>
      <c r="MVI302" s="136"/>
      <c r="MVJ302" s="136"/>
      <c r="MVK302" s="136"/>
      <c r="MVL302" s="136"/>
      <c r="MVM302" s="136"/>
      <c r="MVN302" s="136"/>
      <c r="MVO302" s="136"/>
      <c r="MVP302" s="136"/>
      <c r="MVQ302" s="136"/>
      <c r="MVR302" s="136"/>
      <c r="MVS302" s="136"/>
      <c r="MVT302" s="136"/>
      <c r="MVU302" s="136"/>
      <c r="MVV302" s="136"/>
      <c r="MVW302" s="136"/>
      <c r="MVX302" s="136"/>
      <c r="MVY302" s="136"/>
      <c r="MVZ302" s="136"/>
      <c r="MWA302" s="136"/>
      <c r="MWB302" s="136"/>
      <c r="MWC302" s="136"/>
      <c r="MWD302" s="136"/>
      <c r="MWE302" s="136"/>
      <c r="MWF302" s="136"/>
      <c r="MWG302" s="136"/>
      <c r="MWH302" s="136"/>
      <c r="MWI302" s="136"/>
      <c r="MWJ302" s="136"/>
      <c r="MWK302" s="136"/>
      <c r="MWL302" s="136"/>
      <c r="MWM302" s="136"/>
      <c r="MWN302" s="136"/>
      <c r="MWO302" s="136"/>
      <c r="MWP302" s="136"/>
      <c r="MWQ302" s="136"/>
      <c r="MWR302" s="136"/>
      <c r="MWS302" s="136"/>
      <c r="MWT302" s="136"/>
      <c r="MWU302" s="136"/>
      <c r="MWV302" s="136"/>
      <c r="MWW302" s="136"/>
      <c r="MWX302" s="136"/>
      <c r="MWY302" s="136"/>
      <c r="MWZ302" s="136"/>
      <c r="MXA302" s="136"/>
      <c r="MXB302" s="136"/>
      <c r="MXC302" s="136"/>
      <c r="MXD302" s="136"/>
      <c r="MXE302" s="136"/>
      <c r="MXF302" s="136"/>
      <c r="MXG302" s="136"/>
      <c r="MXH302" s="136"/>
      <c r="MXI302" s="136"/>
      <c r="MXJ302" s="136"/>
      <c r="MXK302" s="136"/>
      <c r="MXL302" s="136"/>
      <c r="MXM302" s="136"/>
      <c r="MXN302" s="136"/>
      <c r="MXO302" s="136"/>
      <c r="MXP302" s="136"/>
      <c r="MXQ302" s="136"/>
      <c r="MXR302" s="136"/>
      <c r="MXS302" s="136"/>
      <c r="MXT302" s="136"/>
      <c r="MXU302" s="136"/>
      <c r="MXV302" s="136"/>
      <c r="MXW302" s="136"/>
      <c r="MXX302" s="136"/>
      <c r="MXY302" s="136"/>
      <c r="MXZ302" s="136"/>
      <c r="MYA302" s="136"/>
      <c r="MYB302" s="136"/>
      <c r="MYC302" s="136"/>
      <c r="MYD302" s="136"/>
      <c r="MYE302" s="136"/>
      <c r="MYF302" s="136"/>
      <c r="MYG302" s="136"/>
      <c r="MYH302" s="136"/>
      <c r="MYI302" s="136"/>
      <c r="MYJ302" s="136"/>
      <c r="MYK302" s="136"/>
      <c r="MYL302" s="136"/>
      <c r="MYM302" s="136"/>
      <c r="MYN302" s="136"/>
      <c r="MYO302" s="136"/>
      <c r="MYP302" s="136"/>
      <c r="MYQ302" s="136"/>
      <c r="MYR302" s="136"/>
      <c r="MYS302" s="136"/>
      <c r="MYT302" s="136"/>
      <c r="MYU302" s="136"/>
      <c r="MYV302" s="136"/>
      <c r="MYW302" s="136"/>
      <c r="MYX302" s="136"/>
      <c r="MYY302" s="136"/>
      <c r="MYZ302" s="136"/>
      <c r="MZA302" s="136"/>
      <c r="MZB302" s="136"/>
      <c r="MZC302" s="136"/>
      <c r="MZD302" s="136"/>
      <c r="MZE302" s="136"/>
      <c r="MZF302" s="136"/>
      <c r="MZG302" s="136"/>
      <c r="MZH302" s="136"/>
      <c r="MZI302" s="136"/>
      <c r="MZJ302" s="136"/>
      <c r="MZK302" s="136"/>
      <c r="MZL302" s="136"/>
      <c r="MZM302" s="136"/>
      <c r="MZN302" s="136"/>
      <c r="MZO302" s="136"/>
      <c r="MZP302" s="136"/>
      <c r="MZQ302" s="136"/>
      <c r="MZR302" s="136"/>
      <c r="MZS302" s="136"/>
      <c r="MZT302" s="136"/>
      <c r="MZU302" s="136"/>
      <c r="MZV302" s="136"/>
      <c r="MZW302" s="136"/>
      <c r="MZX302" s="136"/>
      <c r="MZY302" s="136"/>
      <c r="MZZ302" s="136"/>
      <c r="NAA302" s="136"/>
      <c r="NAB302" s="136"/>
      <c r="NAC302" s="136"/>
      <c r="NAD302" s="136"/>
      <c r="NAE302" s="136"/>
      <c r="NAF302" s="136"/>
      <c r="NAG302" s="136"/>
      <c r="NAH302" s="136"/>
      <c r="NAI302" s="136"/>
      <c r="NAJ302" s="136"/>
      <c r="NAK302" s="136"/>
      <c r="NAL302" s="136"/>
      <c r="NAM302" s="136"/>
      <c r="NAN302" s="136"/>
      <c r="NAO302" s="136"/>
      <c r="NAP302" s="136"/>
      <c r="NAQ302" s="136"/>
      <c r="NAR302" s="136"/>
      <c r="NAS302" s="136"/>
      <c r="NAT302" s="136"/>
      <c r="NAU302" s="136"/>
      <c r="NAV302" s="136"/>
      <c r="NAW302" s="136"/>
      <c r="NAX302" s="136"/>
      <c r="NAY302" s="136"/>
      <c r="NAZ302" s="136"/>
      <c r="NBA302" s="136"/>
      <c r="NBB302" s="136"/>
      <c r="NBC302" s="136"/>
      <c r="NBD302" s="136"/>
      <c r="NBE302" s="136"/>
      <c r="NBF302" s="136"/>
      <c r="NBG302" s="136"/>
      <c r="NBH302" s="136"/>
      <c r="NBI302" s="136"/>
      <c r="NBJ302" s="136"/>
      <c r="NBK302" s="136"/>
      <c r="NBL302" s="136"/>
      <c r="NBM302" s="136"/>
      <c r="NBN302" s="136"/>
      <c r="NBO302" s="136"/>
      <c r="NBP302" s="136"/>
      <c r="NBQ302" s="136"/>
      <c r="NBR302" s="136"/>
      <c r="NBS302" s="136"/>
      <c r="NBT302" s="136"/>
      <c r="NBU302" s="136"/>
      <c r="NBV302" s="136"/>
      <c r="NBW302" s="136"/>
      <c r="NBX302" s="136"/>
      <c r="NBY302" s="136"/>
      <c r="NBZ302" s="136"/>
      <c r="NCA302" s="136"/>
      <c r="NCB302" s="136"/>
      <c r="NCC302" s="136"/>
      <c r="NCD302" s="136"/>
      <c r="NCE302" s="136"/>
      <c r="NCF302" s="136"/>
      <c r="NCG302" s="136"/>
      <c r="NCH302" s="136"/>
      <c r="NCI302" s="136"/>
      <c r="NCJ302" s="136"/>
      <c r="NCK302" s="136"/>
      <c r="NCL302" s="136"/>
      <c r="NCM302" s="136"/>
      <c r="NCN302" s="136"/>
      <c r="NCO302" s="136"/>
      <c r="NCP302" s="136"/>
      <c r="NCQ302" s="136"/>
      <c r="NCR302" s="136"/>
      <c r="NCS302" s="136"/>
      <c r="NCT302" s="136"/>
      <c r="NCU302" s="136"/>
      <c r="NCV302" s="136"/>
      <c r="NCW302" s="136"/>
      <c r="NCX302" s="136"/>
      <c r="NCY302" s="136"/>
      <c r="NCZ302" s="136"/>
      <c r="NDA302" s="136"/>
      <c r="NDB302" s="136"/>
      <c r="NDC302" s="136"/>
      <c r="NDD302" s="136"/>
      <c r="NDE302" s="136"/>
      <c r="NDF302" s="136"/>
      <c r="NDG302" s="136"/>
      <c r="NDH302" s="136"/>
      <c r="NDI302" s="136"/>
      <c r="NDJ302" s="136"/>
      <c r="NDK302" s="136"/>
      <c r="NDL302" s="136"/>
      <c r="NDM302" s="136"/>
      <c r="NDN302" s="136"/>
      <c r="NDO302" s="136"/>
      <c r="NDP302" s="136"/>
      <c r="NDQ302" s="136"/>
      <c r="NDR302" s="136"/>
      <c r="NDS302" s="136"/>
      <c r="NDT302" s="136"/>
      <c r="NDU302" s="136"/>
      <c r="NDV302" s="136"/>
      <c r="NDW302" s="136"/>
      <c r="NDX302" s="136"/>
      <c r="NDY302" s="136"/>
      <c r="NDZ302" s="136"/>
      <c r="NEA302" s="136"/>
      <c r="NEB302" s="136"/>
      <c r="NEC302" s="136"/>
      <c r="NED302" s="136"/>
      <c r="NEE302" s="136"/>
      <c r="NEF302" s="136"/>
      <c r="NEG302" s="136"/>
      <c r="NEH302" s="136"/>
      <c r="NEI302" s="136"/>
      <c r="NEJ302" s="136"/>
      <c r="NEK302" s="136"/>
      <c r="NEL302" s="136"/>
      <c r="NEM302" s="136"/>
      <c r="NEN302" s="136"/>
      <c r="NEO302" s="136"/>
      <c r="NEP302" s="136"/>
      <c r="NEQ302" s="136"/>
      <c r="NER302" s="136"/>
      <c r="NES302" s="136"/>
      <c r="NET302" s="136"/>
      <c r="NEU302" s="136"/>
      <c r="NEV302" s="136"/>
      <c r="NEW302" s="136"/>
      <c r="NEX302" s="136"/>
      <c r="NEY302" s="136"/>
      <c r="NEZ302" s="136"/>
      <c r="NFA302" s="136"/>
      <c r="NFB302" s="136"/>
      <c r="NFC302" s="136"/>
      <c r="NFD302" s="136"/>
      <c r="NFE302" s="136"/>
      <c r="NFF302" s="136"/>
      <c r="NFG302" s="136"/>
      <c r="NFH302" s="136"/>
      <c r="NFI302" s="136"/>
      <c r="NFJ302" s="136"/>
      <c r="NFK302" s="136"/>
      <c r="NFL302" s="136"/>
      <c r="NFM302" s="136"/>
      <c r="NFN302" s="136"/>
      <c r="NFO302" s="136"/>
      <c r="NFP302" s="136"/>
      <c r="NFQ302" s="136"/>
      <c r="NFR302" s="136"/>
      <c r="NFS302" s="136"/>
      <c r="NFT302" s="136"/>
      <c r="NFU302" s="136"/>
      <c r="NFV302" s="136"/>
      <c r="NFW302" s="136"/>
      <c r="NFX302" s="136"/>
      <c r="NFY302" s="136"/>
      <c r="NFZ302" s="136"/>
      <c r="NGA302" s="136"/>
      <c r="NGB302" s="136"/>
      <c r="NGC302" s="136"/>
      <c r="NGD302" s="136"/>
      <c r="NGE302" s="136"/>
      <c r="NGF302" s="136"/>
      <c r="NGG302" s="136"/>
      <c r="NGH302" s="136"/>
      <c r="NGI302" s="136"/>
      <c r="NGJ302" s="136"/>
      <c r="NGK302" s="136"/>
      <c r="NGL302" s="136"/>
      <c r="NGM302" s="136"/>
      <c r="NGN302" s="136"/>
      <c r="NGO302" s="136"/>
      <c r="NGP302" s="136"/>
      <c r="NGQ302" s="136"/>
      <c r="NGR302" s="136"/>
      <c r="NGS302" s="136"/>
      <c r="NGT302" s="136"/>
      <c r="NGU302" s="136"/>
      <c r="NGV302" s="136"/>
      <c r="NGW302" s="136"/>
      <c r="NGX302" s="136"/>
      <c r="NGY302" s="136"/>
      <c r="NGZ302" s="136"/>
      <c r="NHA302" s="136"/>
      <c r="NHB302" s="136"/>
      <c r="NHC302" s="136"/>
      <c r="NHD302" s="136"/>
      <c r="NHE302" s="136"/>
      <c r="NHF302" s="136"/>
      <c r="NHG302" s="136"/>
      <c r="NHH302" s="136"/>
      <c r="NHI302" s="136"/>
      <c r="NHJ302" s="136"/>
      <c r="NHK302" s="136"/>
      <c r="NHL302" s="136"/>
      <c r="NHM302" s="136"/>
      <c r="NHN302" s="136"/>
      <c r="NHO302" s="136"/>
      <c r="NHP302" s="136"/>
      <c r="NHQ302" s="136"/>
      <c r="NHR302" s="136"/>
      <c r="NHS302" s="136"/>
      <c r="NHT302" s="136"/>
      <c r="NHU302" s="136"/>
      <c r="NHV302" s="136"/>
      <c r="NHW302" s="136"/>
      <c r="NHX302" s="136"/>
      <c r="NHY302" s="136"/>
      <c r="NHZ302" s="136"/>
      <c r="NIA302" s="136"/>
      <c r="NIB302" s="136"/>
      <c r="NIC302" s="136"/>
      <c r="NID302" s="136"/>
      <c r="NIE302" s="136"/>
      <c r="NIF302" s="136"/>
      <c r="NIG302" s="136"/>
      <c r="NIH302" s="136"/>
      <c r="NII302" s="136"/>
      <c r="NIJ302" s="136"/>
      <c r="NIK302" s="136"/>
      <c r="NIL302" s="136"/>
      <c r="NIM302" s="136"/>
      <c r="NIN302" s="136"/>
      <c r="NIO302" s="136"/>
      <c r="NIP302" s="136"/>
      <c r="NIQ302" s="136"/>
      <c r="NIR302" s="136"/>
      <c r="NIS302" s="136"/>
      <c r="NIT302" s="136"/>
      <c r="NIU302" s="136"/>
      <c r="NIV302" s="136"/>
      <c r="NIW302" s="136"/>
      <c r="NIX302" s="136"/>
      <c r="NIY302" s="136"/>
      <c r="NIZ302" s="136"/>
      <c r="NJA302" s="136"/>
      <c r="NJB302" s="136"/>
      <c r="NJC302" s="136"/>
      <c r="NJD302" s="136"/>
      <c r="NJE302" s="136"/>
      <c r="NJF302" s="136"/>
      <c r="NJG302" s="136"/>
      <c r="NJH302" s="136"/>
      <c r="NJI302" s="136"/>
      <c r="NJJ302" s="136"/>
      <c r="NJK302" s="136"/>
      <c r="NJL302" s="136"/>
      <c r="NJM302" s="136"/>
      <c r="NJN302" s="136"/>
      <c r="NJO302" s="136"/>
      <c r="NJP302" s="136"/>
      <c r="NJQ302" s="136"/>
      <c r="NJR302" s="136"/>
      <c r="NJS302" s="136"/>
      <c r="NJT302" s="136"/>
      <c r="NJU302" s="136"/>
      <c r="NJV302" s="136"/>
      <c r="NJW302" s="136"/>
      <c r="NJX302" s="136"/>
      <c r="NJY302" s="136"/>
      <c r="NJZ302" s="136"/>
      <c r="NKA302" s="136"/>
      <c r="NKB302" s="136"/>
      <c r="NKC302" s="136"/>
      <c r="NKD302" s="136"/>
      <c r="NKE302" s="136"/>
      <c r="NKF302" s="136"/>
      <c r="NKG302" s="136"/>
      <c r="NKH302" s="136"/>
      <c r="NKI302" s="136"/>
      <c r="NKJ302" s="136"/>
      <c r="NKK302" s="136"/>
      <c r="NKL302" s="136"/>
      <c r="NKM302" s="136"/>
      <c r="NKN302" s="136"/>
      <c r="NKO302" s="136"/>
      <c r="NKP302" s="136"/>
      <c r="NKQ302" s="136"/>
      <c r="NKR302" s="136"/>
      <c r="NKS302" s="136"/>
      <c r="NKT302" s="136"/>
      <c r="NKU302" s="136"/>
      <c r="NKV302" s="136"/>
      <c r="NKW302" s="136"/>
      <c r="NKX302" s="136"/>
      <c r="NKY302" s="136"/>
      <c r="NKZ302" s="136"/>
      <c r="NLA302" s="136"/>
      <c r="NLB302" s="136"/>
      <c r="NLC302" s="136"/>
      <c r="NLD302" s="136"/>
      <c r="NLE302" s="136"/>
      <c r="NLF302" s="136"/>
      <c r="NLG302" s="136"/>
      <c r="NLH302" s="136"/>
      <c r="NLI302" s="136"/>
      <c r="NLJ302" s="136"/>
      <c r="NLK302" s="136"/>
      <c r="NLL302" s="136"/>
      <c r="NLM302" s="136"/>
      <c r="NLN302" s="136"/>
      <c r="NLO302" s="136"/>
      <c r="NLP302" s="136"/>
      <c r="NLQ302" s="136"/>
      <c r="NLR302" s="136"/>
      <c r="NLS302" s="136"/>
      <c r="NLT302" s="136"/>
      <c r="NLU302" s="136"/>
      <c r="NLV302" s="136"/>
      <c r="NLW302" s="136"/>
      <c r="NLX302" s="136"/>
      <c r="NLY302" s="136"/>
      <c r="NLZ302" s="136"/>
      <c r="NMA302" s="136"/>
      <c r="NMB302" s="136"/>
      <c r="NMC302" s="136"/>
      <c r="NMD302" s="136"/>
      <c r="NME302" s="136"/>
      <c r="NMF302" s="136"/>
      <c r="NMG302" s="136"/>
      <c r="NMH302" s="136"/>
      <c r="NMI302" s="136"/>
      <c r="NMJ302" s="136"/>
      <c r="NMK302" s="136"/>
      <c r="NML302" s="136"/>
      <c r="NMM302" s="136"/>
      <c r="NMN302" s="136"/>
      <c r="NMO302" s="136"/>
      <c r="NMP302" s="136"/>
      <c r="NMQ302" s="136"/>
      <c r="NMR302" s="136"/>
      <c r="NMS302" s="136"/>
      <c r="NMT302" s="136"/>
      <c r="NMU302" s="136"/>
      <c r="NMV302" s="136"/>
      <c r="NMW302" s="136"/>
      <c r="NMX302" s="136"/>
      <c r="NMY302" s="136"/>
      <c r="NMZ302" s="136"/>
      <c r="NNA302" s="136"/>
      <c r="NNB302" s="136"/>
      <c r="NNC302" s="136"/>
      <c r="NND302" s="136"/>
      <c r="NNE302" s="136"/>
      <c r="NNF302" s="136"/>
      <c r="NNG302" s="136"/>
      <c r="NNH302" s="136"/>
      <c r="NNI302" s="136"/>
      <c r="NNJ302" s="136"/>
      <c r="NNK302" s="136"/>
      <c r="NNL302" s="136"/>
      <c r="NNM302" s="136"/>
      <c r="NNN302" s="136"/>
      <c r="NNO302" s="136"/>
      <c r="NNP302" s="136"/>
      <c r="NNQ302" s="136"/>
      <c r="NNR302" s="136"/>
      <c r="NNS302" s="136"/>
      <c r="NNT302" s="136"/>
      <c r="NNU302" s="136"/>
      <c r="NNV302" s="136"/>
      <c r="NNW302" s="136"/>
      <c r="NNX302" s="136"/>
      <c r="NNY302" s="136"/>
      <c r="NNZ302" s="136"/>
      <c r="NOA302" s="136"/>
      <c r="NOB302" s="136"/>
      <c r="NOC302" s="136"/>
      <c r="NOD302" s="136"/>
      <c r="NOE302" s="136"/>
      <c r="NOF302" s="136"/>
      <c r="NOG302" s="136"/>
      <c r="NOH302" s="136"/>
      <c r="NOI302" s="136"/>
      <c r="NOJ302" s="136"/>
      <c r="NOK302" s="136"/>
      <c r="NOL302" s="136"/>
      <c r="NOM302" s="136"/>
      <c r="NON302" s="136"/>
      <c r="NOO302" s="136"/>
      <c r="NOP302" s="136"/>
      <c r="NOQ302" s="136"/>
      <c r="NOR302" s="136"/>
      <c r="NOS302" s="136"/>
      <c r="NOT302" s="136"/>
      <c r="NOU302" s="136"/>
      <c r="NOV302" s="136"/>
      <c r="NOW302" s="136"/>
      <c r="NOX302" s="136"/>
      <c r="NOY302" s="136"/>
      <c r="NOZ302" s="136"/>
      <c r="NPA302" s="136"/>
      <c r="NPB302" s="136"/>
      <c r="NPC302" s="136"/>
      <c r="NPD302" s="136"/>
      <c r="NPE302" s="136"/>
      <c r="NPF302" s="136"/>
      <c r="NPG302" s="136"/>
      <c r="NPH302" s="136"/>
      <c r="NPI302" s="136"/>
      <c r="NPJ302" s="136"/>
      <c r="NPK302" s="136"/>
      <c r="NPL302" s="136"/>
      <c r="NPM302" s="136"/>
      <c r="NPN302" s="136"/>
      <c r="NPO302" s="136"/>
      <c r="NPP302" s="136"/>
      <c r="NPQ302" s="136"/>
      <c r="NPR302" s="136"/>
      <c r="NPS302" s="136"/>
      <c r="NPT302" s="136"/>
      <c r="NPU302" s="136"/>
      <c r="NPV302" s="136"/>
      <c r="NPW302" s="136"/>
      <c r="NPX302" s="136"/>
      <c r="NPY302" s="136"/>
      <c r="NPZ302" s="136"/>
      <c r="NQA302" s="136"/>
      <c r="NQB302" s="136"/>
      <c r="NQC302" s="136"/>
      <c r="NQD302" s="136"/>
      <c r="NQE302" s="136"/>
      <c r="NQF302" s="136"/>
      <c r="NQG302" s="136"/>
      <c r="NQH302" s="136"/>
      <c r="NQI302" s="136"/>
      <c r="NQJ302" s="136"/>
      <c r="NQK302" s="136"/>
      <c r="NQL302" s="136"/>
      <c r="NQM302" s="136"/>
      <c r="NQN302" s="136"/>
      <c r="NQO302" s="136"/>
      <c r="NQP302" s="136"/>
      <c r="NQQ302" s="136"/>
      <c r="NQR302" s="136"/>
      <c r="NQS302" s="136"/>
      <c r="NQT302" s="136"/>
      <c r="NQU302" s="136"/>
      <c r="NQV302" s="136"/>
      <c r="NQW302" s="136"/>
      <c r="NQX302" s="136"/>
      <c r="NQY302" s="136"/>
      <c r="NQZ302" s="136"/>
      <c r="NRA302" s="136"/>
      <c r="NRB302" s="136"/>
      <c r="NRC302" s="136"/>
      <c r="NRD302" s="136"/>
      <c r="NRE302" s="136"/>
      <c r="NRF302" s="136"/>
      <c r="NRG302" s="136"/>
      <c r="NRH302" s="136"/>
      <c r="NRI302" s="136"/>
      <c r="NRJ302" s="136"/>
      <c r="NRK302" s="136"/>
      <c r="NRL302" s="136"/>
      <c r="NRM302" s="136"/>
      <c r="NRN302" s="136"/>
      <c r="NRO302" s="136"/>
      <c r="NRP302" s="136"/>
      <c r="NRQ302" s="136"/>
      <c r="NRR302" s="136"/>
      <c r="NRS302" s="136"/>
      <c r="NRT302" s="136"/>
      <c r="NRU302" s="136"/>
      <c r="NRV302" s="136"/>
      <c r="NRW302" s="136"/>
      <c r="NRX302" s="136"/>
      <c r="NRY302" s="136"/>
      <c r="NRZ302" s="136"/>
      <c r="NSA302" s="136"/>
      <c r="NSB302" s="136"/>
      <c r="NSC302" s="136"/>
      <c r="NSD302" s="136"/>
      <c r="NSE302" s="136"/>
      <c r="NSF302" s="136"/>
      <c r="NSG302" s="136"/>
      <c r="NSH302" s="136"/>
      <c r="NSI302" s="136"/>
      <c r="NSJ302" s="136"/>
      <c r="NSK302" s="136"/>
      <c r="NSL302" s="136"/>
      <c r="NSM302" s="136"/>
      <c r="NSN302" s="136"/>
      <c r="NSO302" s="136"/>
      <c r="NSP302" s="136"/>
      <c r="NSQ302" s="136"/>
      <c r="NSR302" s="136"/>
      <c r="NSS302" s="136"/>
      <c r="NST302" s="136"/>
      <c r="NSU302" s="136"/>
      <c r="NSV302" s="136"/>
      <c r="NSW302" s="136"/>
      <c r="NSX302" s="136"/>
      <c r="NSY302" s="136"/>
      <c r="NSZ302" s="136"/>
      <c r="NTA302" s="136"/>
      <c r="NTB302" s="136"/>
      <c r="NTC302" s="136"/>
      <c r="NTD302" s="136"/>
      <c r="NTE302" s="136"/>
      <c r="NTF302" s="136"/>
      <c r="NTG302" s="136"/>
      <c r="NTH302" s="136"/>
      <c r="NTI302" s="136"/>
      <c r="NTJ302" s="136"/>
      <c r="NTK302" s="136"/>
      <c r="NTL302" s="136"/>
      <c r="NTM302" s="136"/>
      <c r="NTN302" s="136"/>
      <c r="NTO302" s="136"/>
      <c r="NTP302" s="136"/>
      <c r="NTQ302" s="136"/>
      <c r="NTR302" s="136"/>
      <c r="NTS302" s="136"/>
      <c r="NTT302" s="136"/>
      <c r="NTU302" s="136"/>
      <c r="NTV302" s="136"/>
      <c r="NTW302" s="136"/>
      <c r="NTX302" s="136"/>
      <c r="NTY302" s="136"/>
      <c r="NTZ302" s="136"/>
      <c r="NUA302" s="136"/>
      <c r="NUB302" s="136"/>
      <c r="NUC302" s="136"/>
      <c r="NUD302" s="136"/>
      <c r="NUE302" s="136"/>
      <c r="NUF302" s="136"/>
      <c r="NUG302" s="136"/>
      <c r="NUH302" s="136"/>
      <c r="NUI302" s="136"/>
      <c r="NUJ302" s="136"/>
      <c r="NUK302" s="136"/>
      <c r="NUL302" s="136"/>
      <c r="NUM302" s="136"/>
      <c r="NUN302" s="136"/>
      <c r="NUO302" s="136"/>
      <c r="NUP302" s="136"/>
      <c r="NUQ302" s="136"/>
      <c r="NUR302" s="136"/>
      <c r="NUS302" s="136"/>
      <c r="NUT302" s="136"/>
      <c r="NUU302" s="136"/>
      <c r="NUV302" s="136"/>
      <c r="NUW302" s="136"/>
      <c r="NUX302" s="136"/>
      <c r="NUY302" s="136"/>
      <c r="NUZ302" s="136"/>
      <c r="NVA302" s="136"/>
      <c r="NVB302" s="136"/>
      <c r="NVC302" s="136"/>
      <c r="NVD302" s="136"/>
      <c r="NVE302" s="136"/>
      <c r="NVF302" s="136"/>
      <c r="NVG302" s="136"/>
      <c r="NVH302" s="136"/>
      <c r="NVI302" s="136"/>
      <c r="NVJ302" s="136"/>
      <c r="NVK302" s="136"/>
      <c r="NVL302" s="136"/>
      <c r="NVM302" s="136"/>
      <c r="NVN302" s="136"/>
      <c r="NVO302" s="136"/>
      <c r="NVP302" s="136"/>
      <c r="NVQ302" s="136"/>
      <c r="NVR302" s="136"/>
      <c r="NVS302" s="136"/>
      <c r="NVT302" s="136"/>
      <c r="NVU302" s="136"/>
      <c r="NVV302" s="136"/>
      <c r="NVW302" s="136"/>
      <c r="NVX302" s="136"/>
      <c r="NVY302" s="136"/>
      <c r="NVZ302" s="136"/>
      <c r="NWA302" s="136"/>
      <c r="NWB302" s="136"/>
      <c r="NWC302" s="136"/>
      <c r="NWD302" s="136"/>
      <c r="NWE302" s="136"/>
      <c r="NWF302" s="136"/>
      <c r="NWG302" s="136"/>
      <c r="NWH302" s="136"/>
      <c r="NWI302" s="136"/>
      <c r="NWJ302" s="136"/>
      <c r="NWK302" s="136"/>
      <c r="NWL302" s="136"/>
      <c r="NWM302" s="136"/>
      <c r="NWN302" s="136"/>
      <c r="NWO302" s="136"/>
      <c r="NWP302" s="136"/>
      <c r="NWQ302" s="136"/>
      <c r="NWR302" s="136"/>
      <c r="NWS302" s="136"/>
      <c r="NWT302" s="136"/>
      <c r="NWU302" s="136"/>
      <c r="NWV302" s="136"/>
      <c r="NWW302" s="136"/>
      <c r="NWX302" s="136"/>
      <c r="NWY302" s="136"/>
      <c r="NWZ302" s="136"/>
      <c r="NXA302" s="136"/>
      <c r="NXB302" s="136"/>
      <c r="NXC302" s="136"/>
      <c r="NXD302" s="136"/>
      <c r="NXE302" s="136"/>
      <c r="NXF302" s="136"/>
      <c r="NXG302" s="136"/>
      <c r="NXH302" s="136"/>
      <c r="NXI302" s="136"/>
      <c r="NXJ302" s="136"/>
      <c r="NXK302" s="136"/>
      <c r="NXL302" s="136"/>
      <c r="NXM302" s="136"/>
      <c r="NXN302" s="136"/>
      <c r="NXO302" s="136"/>
      <c r="NXP302" s="136"/>
      <c r="NXQ302" s="136"/>
      <c r="NXR302" s="136"/>
      <c r="NXS302" s="136"/>
      <c r="NXT302" s="136"/>
      <c r="NXU302" s="136"/>
      <c r="NXV302" s="136"/>
      <c r="NXW302" s="136"/>
      <c r="NXX302" s="136"/>
      <c r="NXY302" s="136"/>
      <c r="NXZ302" s="136"/>
      <c r="NYA302" s="136"/>
      <c r="NYB302" s="136"/>
      <c r="NYC302" s="136"/>
      <c r="NYD302" s="136"/>
      <c r="NYE302" s="136"/>
      <c r="NYF302" s="136"/>
      <c r="NYG302" s="136"/>
      <c r="NYH302" s="136"/>
      <c r="NYI302" s="136"/>
      <c r="NYJ302" s="136"/>
      <c r="NYK302" s="136"/>
      <c r="NYL302" s="136"/>
      <c r="NYM302" s="136"/>
      <c r="NYN302" s="136"/>
      <c r="NYO302" s="136"/>
      <c r="NYP302" s="136"/>
      <c r="NYQ302" s="136"/>
      <c r="NYR302" s="136"/>
      <c r="NYS302" s="136"/>
      <c r="NYT302" s="136"/>
      <c r="NYU302" s="136"/>
      <c r="NYV302" s="136"/>
      <c r="NYW302" s="136"/>
      <c r="NYX302" s="136"/>
      <c r="NYY302" s="136"/>
      <c r="NYZ302" s="136"/>
      <c r="NZA302" s="136"/>
      <c r="NZB302" s="136"/>
      <c r="NZC302" s="136"/>
      <c r="NZD302" s="136"/>
      <c r="NZE302" s="136"/>
      <c r="NZF302" s="136"/>
      <c r="NZG302" s="136"/>
      <c r="NZH302" s="136"/>
      <c r="NZI302" s="136"/>
      <c r="NZJ302" s="136"/>
      <c r="NZK302" s="136"/>
      <c r="NZL302" s="136"/>
      <c r="NZM302" s="136"/>
      <c r="NZN302" s="136"/>
      <c r="NZO302" s="136"/>
      <c r="NZP302" s="136"/>
      <c r="NZQ302" s="136"/>
      <c r="NZR302" s="136"/>
      <c r="NZS302" s="136"/>
      <c r="NZT302" s="136"/>
      <c r="NZU302" s="136"/>
      <c r="NZV302" s="136"/>
      <c r="NZW302" s="136"/>
      <c r="NZX302" s="136"/>
      <c r="NZY302" s="136"/>
      <c r="NZZ302" s="136"/>
      <c r="OAA302" s="136"/>
      <c r="OAB302" s="136"/>
      <c r="OAC302" s="136"/>
      <c r="OAD302" s="136"/>
      <c r="OAE302" s="136"/>
      <c r="OAF302" s="136"/>
      <c r="OAG302" s="136"/>
      <c r="OAH302" s="136"/>
      <c r="OAI302" s="136"/>
      <c r="OAJ302" s="136"/>
      <c r="OAK302" s="136"/>
      <c r="OAL302" s="136"/>
      <c r="OAM302" s="136"/>
      <c r="OAN302" s="136"/>
      <c r="OAO302" s="136"/>
      <c r="OAP302" s="136"/>
      <c r="OAQ302" s="136"/>
      <c r="OAR302" s="136"/>
      <c r="OAS302" s="136"/>
      <c r="OAT302" s="136"/>
      <c r="OAU302" s="136"/>
      <c r="OAV302" s="136"/>
      <c r="OAW302" s="136"/>
      <c r="OAX302" s="136"/>
      <c r="OAY302" s="136"/>
      <c r="OAZ302" s="136"/>
      <c r="OBA302" s="136"/>
      <c r="OBB302" s="136"/>
      <c r="OBC302" s="136"/>
      <c r="OBD302" s="136"/>
      <c r="OBE302" s="136"/>
      <c r="OBF302" s="136"/>
      <c r="OBG302" s="136"/>
      <c r="OBH302" s="136"/>
      <c r="OBI302" s="136"/>
      <c r="OBJ302" s="136"/>
      <c r="OBK302" s="136"/>
      <c r="OBL302" s="136"/>
      <c r="OBM302" s="136"/>
      <c r="OBN302" s="136"/>
      <c r="OBO302" s="136"/>
      <c r="OBP302" s="136"/>
      <c r="OBQ302" s="136"/>
      <c r="OBR302" s="136"/>
      <c r="OBS302" s="136"/>
      <c r="OBT302" s="136"/>
      <c r="OBU302" s="136"/>
      <c r="OBV302" s="136"/>
      <c r="OBW302" s="136"/>
      <c r="OBX302" s="136"/>
      <c r="OBY302" s="136"/>
      <c r="OBZ302" s="136"/>
      <c r="OCA302" s="136"/>
      <c r="OCB302" s="136"/>
      <c r="OCC302" s="136"/>
      <c r="OCD302" s="136"/>
      <c r="OCE302" s="136"/>
      <c r="OCF302" s="136"/>
      <c r="OCG302" s="136"/>
      <c r="OCH302" s="136"/>
      <c r="OCI302" s="136"/>
      <c r="OCJ302" s="136"/>
      <c r="OCK302" s="136"/>
      <c r="OCL302" s="136"/>
      <c r="OCM302" s="136"/>
      <c r="OCN302" s="136"/>
      <c r="OCO302" s="136"/>
      <c r="OCP302" s="136"/>
      <c r="OCQ302" s="136"/>
      <c r="OCR302" s="136"/>
      <c r="OCS302" s="136"/>
      <c r="OCT302" s="136"/>
      <c r="OCU302" s="136"/>
      <c r="OCV302" s="136"/>
      <c r="OCW302" s="136"/>
      <c r="OCX302" s="136"/>
      <c r="OCY302" s="136"/>
      <c r="OCZ302" s="136"/>
      <c r="ODA302" s="136"/>
      <c r="ODB302" s="136"/>
      <c r="ODC302" s="136"/>
      <c r="ODD302" s="136"/>
      <c r="ODE302" s="136"/>
      <c r="ODF302" s="136"/>
      <c r="ODG302" s="136"/>
      <c r="ODH302" s="136"/>
      <c r="ODI302" s="136"/>
      <c r="ODJ302" s="136"/>
      <c r="ODK302" s="136"/>
      <c r="ODL302" s="136"/>
      <c r="ODM302" s="136"/>
      <c r="ODN302" s="136"/>
      <c r="ODO302" s="136"/>
      <c r="ODP302" s="136"/>
      <c r="ODQ302" s="136"/>
      <c r="ODR302" s="136"/>
      <c r="ODS302" s="136"/>
      <c r="ODT302" s="136"/>
      <c r="ODU302" s="136"/>
      <c r="ODV302" s="136"/>
      <c r="ODW302" s="136"/>
      <c r="ODX302" s="136"/>
      <c r="ODY302" s="136"/>
      <c r="ODZ302" s="136"/>
      <c r="OEA302" s="136"/>
      <c r="OEB302" s="136"/>
      <c r="OEC302" s="136"/>
      <c r="OED302" s="136"/>
      <c r="OEE302" s="136"/>
      <c r="OEF302" s="136"/>
      <c r="OEG302" s="136"/>
      <c r="OEH302" s="136"/>
      <c r="OEI302" s="136"/>
      <c r="OEJ302" s="136"/>
      <c r="OEK302" s="136"/>
      <c r="OEL302" s="136"/>
      <c r="OEM302" s="136"/>
      <c r="OEN302" s="136"/>
      <c r="OEO302" s="136"/>
      <c r="OEP302" s="136"/>
      <c r="OEQ302" s="136"/>
      <c r="OER302" s="136"/>
      <c r="OES302" s="136"/>
      <c r="OET302" s="136"/>
      <c r="OEU302" s="136"/>
      <c r="OEV302" s="136"/>
      <c r="OEW302" s="136"/>
      <c r="OEX302" s="136"/>
      <c r="OEY302" s="136"/>
      <c r="OEZ302" s="136"/>
      <c r="OFA302" s="136"/>
      <c r="OFB302" s="136"/>
      <c r="OFC302" s="136"/>
      <c r="OFD302" s="136"/>
      <c r="OFE302" s="136"/>
      <c r="OFF302" s="136"/>
      <c r="OFG302" s="136"/>
      <c r="OFH302" s="136"/>
      <c r="OFI302" s="136"/>
      <c r="OFJ302" s="136"/>
      <c r="OFK302" s="136"/>
      <c r="OFL302" s="136"/>
      <c r="OFM302" s="136"/>
      <c r="OFN302" s="136"/>
      <c r="OFO302" s="136"/>
      <c r="OFP302" s="136"/>
      <c r="OFQ302" s="136"/>
      <c r="OFR302" s="136"/>
      <c r="OFS302" s="136"/>
      <c r="OFT302" s="136"/>
      <c r="OFU302" s="136"/>
      <c r="OFV302" s="136"/>
      <c r="OFW302" s="136"/>
      <c r="OFX302" s="136"/>
      <c r="OFY302" s="136"/>
      <c r="OFZ302" s="136"/>
      <c r="OGA302" s="136"/>
      <c r="OGB302" s="136"/>
      <c r="OGC302" s="136"/>
      <c r="OGD302" s="136"/>
      <c r="OGE302" s="136"/>
      <c r="OGF302" s="136"/>
      <c r="OGG302" s="136"/>
      <c r="OGH302" s="136"/>
      <c r="OGI302" s="136"/>
      <c r="OGJ302" s="136"/>
      <c r="OGK302" s="136"/>
      <c r="OGL302" s="136"/>
      <c r="OGM302" s="136"/>
      <c r="OGN302" s="136"/>
      <c r="OGO302" s="136"/>
      <c r="OGP302" s="136"/>
      <c r="OGQ302" s="136"/>
      <c r="OGR302" s="136"/>
      <c r="OGS302" s="136"/>
      <c r="OGT302" s="136"/>
      <c r="OGU302" s="136"/>
      <c r="OGV302" s="136"/>
      <c r="OGW302" s="136"/>
      <c r="OGX302" s="136"/>
      <c r="OGY302" s="136"/>
      <c r="OGZ302" s="136"/>
      <c r="OHA302" s="136"/>
      <c r="OHB302" s="136"/>
      <c r="OHC302" s="136"/>
      <c r="OHD302" s="136"/>
      <c r="OHE302" s="136"/>
      <c r="OHF302" s="136"/>
      <c r="OHG302" s="136"/>
      <c r="OHH302" s="136"/>
      <c r="OHI302" s="136"/>
      <c r="OHJ302" s="136"/>
      <c r="OHK302" s="136"/>
      <c r="OHL302" s="136"/>
      <c r="OHM302" s="136"/>
      <c r="OHN302" s="136"/>
      <c r="OHO302" s="136"/>
      <c r="OHP302" s="136"/>
      <c r="OHQ302" s="136"/>
      <c r="OHR302" s="136"/>
      <c r="OHS302" s="136"/>
      <c r="OHT302" s="136"/>
      <c r="OHU302" s="136"/>
      <c r="OHV302" s="136"/>
      <c r="OHW302" s="136"/>
      <c r="OHX302" s="136"/>
      <c r="OHY302" s="136"/>
      <c r="OHZ302" s="136"/>
      <c r="OIA302" s="136"/>
      <c r="OIB302" s="136"/>
      <c r="OIC302" s="136"/>
      <c r="OID302" s="136"/>
      <c r="OIE302" s="136"/>
      <c r="OIF302" s="136"/>
      <c r="OIG302" s="136"/>
      <c r="OIH302" s="136"/>
      <c r="OII302" s="136"/>
      <c r="OIJ302" s="136"/>
      <c r="OIK302" s="136"/>
      <c r="OIL302" s="136"/>
      <c r="OIM302" s="136"/>
      <c r="OIN302" s="136"/>
      <c r="OIO302" s="136"/>
      <c r="OIP302" s="136"/>
      <c r="OIQ302" s="136"/>
      <c r="OIR302" s="136"/>
      <c r="OIS302" s="136"/>
      <c r="OIT302" s="136"/>
      <c r="OIU302" s="136"/>
      <c r="OIV302" s="136"/>
      <c r="OIW302" s="136"/>
      <c r="OIX302" s="136"/>
      <c r="OIY302" s="136"/>
      <c r="OIZ302" s="136"/>
      <c r="OJA302" s="136"/>
      <c r="OJB302" s="136"/>
      <c r="OJC302" s="136"/>
      <c r="OJD302" s="136"/>
      <c r="OJE302" s="136"/>
      <c r="OJF302" s="136"/>
      <c r="OJG302" s="136"/>
      <c r="OJH302" s="136"/>
      <c r="OJI302" s="136"/>
      <c r="OJJ302" s="136"/>
      <c r="OJK302" s="136"/>
      <c r="OJL302" s="136"/>
      <c r="OJM302" s="136"/>
      <c r="OJN302" s="136"/>
      <c r="OJO302" s="136"/>
      <c r="OJP302" s="136"/>
      <c r="OJQ302" s="136"/>
      <c r="OJR302" s="136"/>
      <c r="OJS302" s="136"/>
      <c r="OJT302" s="136"/>
      <c r="OJU302" s="136"/>
      <c r="OJV302" s="136"/>
      <c r="OJW302" s="136"/>
      <c r="OJX302" s="136"/>
      <c r="OJY302" s="136"/>
      <c r="OJZ302" s="136"/>
      <c r="OKA302" s="136"/>
      <c r="OKB302" s="136"/>
      <c r="OKC302" s="136"/>
      <c r="OKD302" s="136"/>
      <c r="OKE302" s="136"/>
      <c r="OKF302" s="136"/>
      <c r="OKG302" s="136"/>
      <c r="OKH302" s="136"/>
      <c r="OKI302" s="136"/>
      <c r="OKJ302" s="136"/>
      <c r="OKK302" s="136"/>
      <c r="OKL302" s="136"/>
      <c r="OKM302" s="136"/>
      <c r="OKN302" s="136"/>
      <c r="OKO302" s="136"/>
      <c r="OKP302" s="136"/>
      <c r="OKQ302" s="136"/>
      <c r="OKR302" s="136"/>
      <c r="OKS302" s="136"/>
      <c r="OKT302" s="136"/>
      <c r="OKU302" s="136"/>
      <c r="OKV302" s="136"/>
      <c r="OKW302" s="136"/>
      <c r="OKX302" s="136"/>
      <c r="OKY302" s="136"/>
      <c r="OKZ302" s="136"/>
      <c r="OLA302" s="136"/>
      <c r="OLB302" s="136"/>
      <c r="OLC302" s="136"/>
      <c r="OLD302" s="136"/>
      <c r="OLE302" s="136"/>
      <c r="OLF302" s="136"/>
      <c r="OLG302" s="136"/>
      <c r="OLH302" s="136"/>
      <c r="OLI302" s="136"/>
      <c r="OLJ302" s="136"/>
      <c r="OLK302" s="136"/>
      <c r="OLL302" s="136"/>
      <c r="OLM302" s="136"/>
      <c r="OLN302" s="136"/>
      <c r="OLO302" s="136"/>
      <c r="OLP302" s="136"/>
      <c r="OLQ302" s="136"/>
      <c r="OLR302" s="136"/>
      <c r="OLS302" s="136"/>
      <c r="OLT302" s="136"/>
      <c r="OLU302" s="136"/>
      <c r="OLV302" s="136"/>
      <c r="OLW302" s="136"/>
      <c r="OLX302" s="136"/>
      <c r="OLY302" s="136"/>
      <c r="OLZ302" s="136"/>
      <c r="OMA302" s="136"/>
      <c r="OMB302" s="136"/>
      <c r="OMC302" s="136"/>
      <c r="OMD302" s="136"/>
      <c r="OME302" s="136"/>
      <c r="OMF302" s="136"/>
      <c r="OMG302" s="136"/>
      <c r="OMH302" s="136"/>
      <c r="OMI302" s="136"/>
      <c r="OMJ302" s="136"/>
      <c r="OMK302" s="136"/>
      <c r="OML302" s="136"/>
      <c r="OMM302" s="136"/>
      <c r="OMN302" s="136"/>
      <c r="OMO302" s="136"/>
      <c r="OMP302" s="136"/>
      <c r="OMQ302" s="136"/>
      <c r="OMR302" s="136"/>
      <c r="OMS302" s="136"/>
      <c r="OMT302" s="136"/>
      <c r="OMU302" s="136"/>
      <c r="OMV302" s="136"/>
      <c r="OMW302" s="136"/>
      <c r="OMX302" s="136"/>
      <c r="OMY302" s="136"/>
      <c r="OMZ302" s="136"/>
      <c r="ONA302" s="136"/>
      <c r="ONB302" s="136"/>
      <c r="ONC302" s="136"/>
      <c r="OND302" s="136"/>
      <c r="ONE302" s="136"/>
      <c r="ONF302" s="136"/>
      <c r="ONG302" s="136"/>
      <c r="ONH302" s="136"/>
      <c r="ONI302" s="136"/>
      <c r="ONJ302" s="136"/>
      <c r="ONK302" s="136"/>
      <c r="ONL302" s="136"/>
      <c r="ONM302" s="136"/>
      <c r="ONN302" s="136"/>
      <c r="ONO302" s="136"/>
      <c r="ONP302" s="136"/>
      <c r="ONQ302" s="136"/>
      <c r="ONR302" s="136"/>
      <c r="ONS302" s="136"/>
      <c r="ONT302" s="136"/>
      <c r="ONU302" s="136"/>
      <c r="ONV302" s="136"/>
      <c r="ONW302" s="136"/>
      <c r="ONX302" s="136"/>
      <c r="ONY302" s="136"/>
      <c r="ONZ302" s="136"/>
      <c r="OOA302" s="136"/>
      <c r="OOB302" s="136"/>
      <c r="OOC302" s="136"/>
      <c r="OOD302" s="136"/>
      <c r="OOE302" s="136"/>
      <c r="OOF302" s="136"/>
      <c r="OOG302" s="136"/>
      <c r="OOH302" s="136"/>
      <c r="OOI302" s="136"/>
      <c r="OOJ302" s="136"/>
      <c r="OOK302" s="136"/>
      <c r="OOL302" s="136"/>
      <c r="OOM302" s="136"/>
      <c r="OON302" s="136"/>
      <c r="OOO302" s="136"/>
      <c r="OOP302" s="136"/>
      <c r="OOQ302" s="136"/>
      <c r="OOR302" s="136"/>
      <c r="OOS302" s="136"/>
      <c r="OOT302" s="136"/>
      <c r="OOU302" s="136"/>
      <c r="OOV302" s="136"/>
      <c r="OOW302" s="136"/>
      <c r="OOX302" s="136"/>
      <c r="OOY302" s="136"/>
      <c r="OOZ302" s="136"/>
      <c r="OPA302" s="136"/>
      <c r="OPB302" s="136"/>
      <c r="OPC302" s="136"/>
      <c r="OPD302" s="136"/>
      <c r="OPE302" s="136"/>
      <c r="OPF302" s="136"/>
      <c r="OPG302" s="136"/>
      <c r="OPH302" s="136"/>
      <c r="OPI302" s="136"/>
      <c r="OPJ302" s="136"/>
      <c r="OPK302" s="136"/>
      <c r="OPL302" s="136"/>
      <c r="OPM302" s="136"/>
      <c r="OPN302" s="136"/>
      <c r="OPO302" s="136"/>
      <c r="OPP302" s="136"/>
      <c r="OPQ302" s="136"/>
      <c r="OPR302" s="136"/>
      <c r="OPS302" s="136"/>
      <c r="OPT302" s="136"/>
      <c r="OPU302" s="136"/>
      <c r="OPV302" s="136"/>
      <c r="OPW302" s="136"/>
      <c r="OPX302" s="136"/>
      <c r="OPY302" s="136"/>
      <c r="OPZ302" s="136"/>
      <c r="OQA302" s="136"/>
      <c r="OQB302" s="136"/>
      <c r="OQC302" s="136"/>
      <c r="OQD302" s="136"/>
      <c r="OQE302" s="136"/>
      <c r="OQF302" s="136"/>
      <c r="OQG302" s="136"/>
      <c r="OQH302" s="136"/>
      <c r="OQI302" s="136"/>
      <c r="OQJ302" s="136"/>
      <c r="OQK302" s="136"/>
      <c r="OQL302" s="136"/>
      <c r="OQM302" s="136"/>
      <c r="OQN302" s="136"/>
      <c r="OQO302" s="136"/>
      <c r="OQP302" s="136"/>
      <c r="OQQ302" s="136"/>
      <c r="OQR302" s="136"/>
      <c r="OQS302" s="136"/>
      <c r="OQT302" s="136"/>
      <c r="OQU302" s="136"/>
      <c r="OQV302" s="136"/>
      <c r="OQW302" s="136"/>
      <c r="OQX302" s="136"/>
      <c r="OQY302" s="136"/>
      <c r="OQZ302" s="136"/>
      <c r="ORA302" s="136"/>
      <c r="ORB302" s="136"/>
      <c r="ORC302" s="136"/>
      <c r="ORD302" s="136"/>
      <c r="ORE302" s="136"/>
      <c r="ORF302" s="136"/>
      <c r="ORG302" s="136"/>
      <c r="ORH302" s="136"/>
      <c r="ORI302" s="136"/>
      <c r="ORJ302" s="136"/>
      <c r="ORK302" s="136"/>
      <c r="ORL302" s="136"/>
      <c r="ORM302" s="136"/>
      <c r="ORN302" s="136"/>
      <c r="ORO302" s="136"/>
      <c r="ORP302" s="136"/>
      <c r="ORQ302" s="136"/>
      <c r="ORR302" s="136"/>
      <c r="ORS302" s="136"/>
      <c r="ORT302" s="136"/>
      <c r="ORU302" s="136"/>
      <c r="ORV302" s="136"/>
      <c r="ORW302" s="136"/>
      <c r="ORX302" s="136"/>
      <c r="ORY302" s="136"/>
      <c r="ORZ302" s="136"/>
      <c r="OSA302" s="136"/>
      <c r="OSB302" s="136"/>
      <c r="OSC302" s="136"/>
      <c r="OSD302" s="136"/>
      <c r="OSE302" s="136"/>
      <c r="OSF302" s="136"/>
      <c r="OSG302" s="136"/>
      <c r="OSH302" s="136"/>
      <c r="OSI302" s="136"/>
      <c r="OSJ302" s="136"/>
      <c r="OSK302" s="136"/>
      <c r="OSL302" s="136"/>
      <c r="OSM302" s="136"/>
      <c r="OSN302" s="136"/>
      <c r="OSO302" s="136"/>
      <c r="OSP302" s="136"/>
      <c r="OSQ302" s="136"/>
      <c r="OSR302" s="136"/>
      <c r="OSS302" s="136"/>
      <c r="OST302" s="136"/>
      <c r="OSU302" s="136"/>
      <c r="OSV302" s="136"/>
      <c r="OSW302" s="136"/>
      <c r="OSX302" s="136"/>
      <c r="OSY302" s="136"/>
      <c r="OSZ302" s="136"/>
      <c r="OTA302" s="136"/>
      <c r="OTB302" s="136"/>
      <c r="OTC302" s="136"/>
      <c r="OTD302" s="136"/>
      <c r="OTE302" s="136"/>
      <c r="OTF302" s="136"/>
      <c r="OTG302" s="136"/>
      <c r="OTH302" s="136"/>
      <c r="OTI302" s="136"/>
      <c r="OTJ302" s="136"/>
      <c r="OTK302" s="136"/>
      <c r="OTL302" s="136"/>
      <c r="OTM302" s="136"/>
      <c r="OTN302" s="136"/>
      <c r="OTO302" s="136"/>
      <c r="OTP302" s="136"/>
      <c r="OTQ302" s="136"/>
      <c r="OTR302" s="136"/>
      <c r="OTS302" s="136"/>
      <c r="OTT302" s="136"/>
      <c r="OTU302" s="136"/>
      <c r="OTV302" s="136"/>
      <c r="OTW302" s="136"/>
      <c r="OTX302" s="136"/>
      <c r="OTY302" s="136"/>
      <c r="OTZ302" s="136"/>
      <c r="OUA302" s="136"/>
      <c r="OUB302" s="136"/>
      <c r="OUC302" s="136"/>
      <c r="OUD302" s="136"/>
      <c r="OUE302" s="136"/>
      <c r="OUF302" s="136"/>
      <c r="OUG302" s="136"/>
      <c r="OUH302" s="136"/>
      <c r="OUI302" s="136"/>
      <c r="OUJ302" s="136"/>
      <c r="OUK302" s="136"/>
      <c r="OUL302" s="136"/>
      <c r="OUM302" s="136"/>
      <c r="OUN302" s="136"/>
      <c r="OUO302" s="136"/>
      <c r="OUP302" s="136"/>
      <c r="OUQ302" s="136"/>
      <c r="OUR302" s="136"/>
      <c r="OUS302" s="136"/>
      <c r="OUT302" s="136"/>
      <c r="OUU302" s="136"/>
      <c r="OUV302" s="136"/>
      <c r="OUW302" s="136"/>
      <c r="OUX302" s="136"/>
      <c r="OUY302" s="136"/>
      <c r="OUZ302" s="136"/>
      <c r="OVA302" s="136"/>
      <c r="OVB302" s="136"/>
      <c r="OVC302" s="136"/>
      <c r="OVD302" s="136"/>
      <c r="OVE302" s="136"/>
      <c r="OVF302" s="136"/>
      <c r="OVG302" s="136"/>
      <c r="OVH302" s="136"/>
      <c r="OVI302" s="136"/>
      <c r="OVJ302" s="136"/>
      <c r="OVK302" s="136"/>
      <c r="OVL302" s="136"/>
      <c r="OVM302" s="136"/>
      <c r="OVN302" s="136"/>
      <c r="OVO302" s="136"/>
      <c r="OVP302" s="136"/>
      <c r="OVQ302" s="136"/>
      <c r="OVR302" s="136"/>
      <c r="OVS302" s="136"/>
      <c r="OVT302" s="136"/>
      <c r="OVU302" s="136"/>
      <c r="OVV302" s="136"/>
      <c r="OVW302" s="136"/>
      <c r="OVX302" s="136"/>
      <c r="OVY302" s="136"/>
      <c r="OVZ302" s="136"/>
      <c r="OWA302" s="136"/>
      <c r="OWB302" s="136"/>
      <c r="OWC302" s="136"/>
      <c r="OWD302" s="136"/>
      <c r="OWE302" s="136"/>
      <c r="OWF302" s="136"/>
      <c r="OWG302" s="136"/>
      <c r="OWH302" s="136"/>
      <c r="OWI302" s="136"/>
      <c r="OWJ302" s="136"/>
      <c r="OWK302" s="136"/>
      <c r="OWL302" s="136"/>
      <c r="OWM302" s="136"/>
      <c r="OWN302" s="136"/>
      <c r="OWO302" s="136"/>
      <c r="OWP302" s="136"/>
      <c r="OWQ302" s="136"/>
      <c r="OWR302" s="136"/>
      <c r="OWS302" s="136"/>
      <c r="OWT302" s="136"/>
      <c r="OWU302" s="136"/>
      <c r="OWV302" s="136"/>
      <c r="OWW302" s="136"/>
      <c r="OWX302" s="136"/>
      <c r="OWY302" s="136"/>
      <c r="OWZ302" s="136"/>
      <c r="OXA302" s="136"/>
      <c r="OXB302" s="136"/>
      <c r="OXC302" s="136"/>
      <c r="OXD302" s="136"/>
      <c r="OXE302" s="136"/>
      <c r="OXF302" s="136"/>
      <c r="OXG302" s="136"/>
      <c r="OXH302" s="136"/>
      <c r="OXI302" s="136"/>
      <c r="OXJ302" s="136"/>
      <c r="OXK302" s="136"/>
      <c r="OXL302" s="136"/>
      <c r="OXM302" s="136"/>
      <c r="OXN302" s="136"/>
      <c r="OXO302" s="136"/>
      <c r="OXP302" s="136"/>
      <c r="OXQ302" s="136"/>
      <c r="OXR302" s="136"/>
      <c r="OXS302" s="136"/>
      <c r="OXT302" s="136"/>
      <c r="OXU302" s="136"/>
      <c r="OXV302" s="136"/>
      <c r="OXW302" s="136"/>
      <c r="OXX302" s="136"/>
      <c r="OXY302" s="136"/>
      <c r="OXZ302" s="136"/>
      <c r="OYA302" s="136"/>
      <c r="OYB302" s="136"/>
      <c r="OYC302" s="136"/>
      <c r="OYD302" s="136"/>
      <c r="OYE302" s="136"/>
      <c r="OYF302" s="136"/>
      <c r="OYG302" s="136"/>
      <c r="OYH302" s="136"/>
      <c r="OYI302" s="136"/>
      <c r="OYJ302" s="136"/>
      <c r="OYK302" s="136"/>
      <c r="OYL302" s="136"/>
      <c r="OYM302" s="136"/>
      <c r="OYN302" s="136"/>
      <c r="OYO302" s="136"/>
      <c r="OYP302" s="136"/>
      <c r="OYQ302" s="136"/>
      <c r="OYR302" s="136"/>
      <c r="OYS302" s="136"/>
      <c r="OYT302" s="136"/>
      <c r="OYU302" s="136"/>
      <c r="OYV302" s="136"/>
      <c r="OYW302" s="136"/>
      <c r="OYX302" s="136"/>
      <c r="OYY302" s="136"/>
      <c r="OYZ302" s="136"/>
      <c r="OZA302" s="136"/>
      <c r="OZB302" s="136"/>
      <c r="OZC302" s="136"/>
      <c r="OZD302" s="136"/>
      <c r="OZE302" s="136"/>
      <c r="OZF302" s="136"/>
      <c r="OZG302" s="136"/>
      <c r="OZH302" s="136"/>
      <c r="OZI302" s="136"/>
      <c r="OZJ302" s="136"/>
      <c r="OZK302" s="136"/>
      <c r="OZL302" s="136"/>
      <c r="OZM302" s="136"/>
      <c r="OZN302" s="136"/>
      <c r="OZO302" s="136"/>
      <c r="OZP302" s="136"/>
      <c r="OZQ302" s="136"/>
      <c r="OZR302" s="136"/>
      <c r="OZS302" s="136"/>
      <c r="OZT302" s="136"/>
      <c r="OZU302" s="136"/>
      <c r="OZV302" s="136"/>
      <c r="OZW302" s="136"/>
      <c r="OZX302" s="136"/>
      <c r="OZY302" s="136"/>
      <c r="OZZ302" s="136"/>
      <c r="PAA302" s="136"/>
      <c r="PAB302" s="136"/>
      <c r="PAC302" s="136"/>
      <c r="PAD302" s="136"/>
      <c r="PAE302" s="136"/>
      <c r="PAF302" s="136"/>
      <c r="PAG302" s="136"/>
      <c r="PAH302" s="136"/>
      <c r="PAI302" s="136"/>
      <c r="PAJ302" s="136"/>
      <c r="PAK302" s="136"/>
      <c r="PAL302" s="136"/>
      <c r="PAM302" s="136"/>
      <c r="PAN302" s="136"/>
      <c r="PAO302" s="136"/>
      <c r="PAP302" s="136"/>
      <c r="PAQ302" s="136"/>
      <c r="PAR302" s="136"/>
      <c r="PAS302" s="136"/>
      <c r="PAT302" s="136"/>
      <c r="PAU302" s="136"/>
      <c r="PAV302" s="136"/>
      <c r="PAW302" s="136"/>
      <c r="PAX302" s="136"/>
      <c r="PAY302" s="136"/>
      <c r="PAZ302" s="136"/>
      <c r="PBA302" s="136"/>
      <c r="PBB302" s="136"/>
      <c r="PBC302" s="136"/>
      <c r="PBD302" s="136"/>
      <c r="PBE302" s="136"/>
      <c r="PBF302" s="136"/>
      <c r="PBG302" s="136"/>
      <c r="PBH302" s="136"/>
      <c r="PBI302" s="136"/>
      <c r="PBJ302" s="136"/>
      <c r="PBK302" s="136"/>
      <c r="PBL302" s="136"/>
      <c r="PBM302" s="136"/>
      <c r="PBN302" s="136"/>
      <c r="PBO302" s="136"/>
      <c r="PBP302" s="136"/>
      <c r="PBQ302" s="136"/>
      <c r="PBR302" s="136"/>
      <c r="PBS302" s="136"/>
      <c r="PBT302" s="136"/>
      <c r="PBU302" s="136"/>
      <c r="PBV302" s="136"/>
      <c r="PBW302" s="136"/>
      <c r="PBX302" s="136"/>
      <c r="PBY302" s="136"/>
      <c r="PBZ302" s="136"/>
      <c r="PCA302" s="136"/>
      <c r="PCB302" s="136"/>
      <c r="PCC302" s="136"/>
      <c r="PCD302" s="136"/>
      <c r="PCE302" s="136"/>
      <c r="PCF302" s="136"/>
      <c r="PCG302" s="136"/>
      <c r="PCH302" s="136"/>
      <c r="PCI302" s="136"/>
      <c r="PCJ302" s="136"/>
      <c r="PCK302" s="136"/>
      <c r="PCL302" s="136"/>
      <c r="PCM302" s="136"/>
      <c r="PCN302" s="136"/>
      <c r="PCO302" s="136"/>
      <c r="PCP302" s="136"/>
      <c r="PCQ302" s="136"/>
      <c r="PCR302" s="136"/>
      <c r="PCS302" s="136"/>
      <c r="PCT302" s="136"/>
      <c r="PCU302" s="136"/>
      <c r="PCV302" s="136"/>
      <c r="PCW302" s="136"/>
      <c r="PCX302" s="136"/>
      <c r="PCY302" s="136"/>
      <c r="PCZ302" s="136"/>
      <c r="PDA302" s="136"/>
      <c r="PDB302" s="136"/>
      <c r="PDC302" s="136"/>
      <c r="PDD302" s="136"/>
      <c r="PDE302" s="136"/>
      <c r="PDF302" s="136"/>
      <c r="PDG302" s="136"/>
      <c r="PDH302" s="136"/>
      <c r="PDI302" s="136"/>
      <c r="PDJ302" s="136"/>
      <c r="PDK302" s="136"/>
      <c r="PDL302" s="136"/>
      <c r="PDM302" s="136"/>
      <c r="PDN302" s="136"/>
      <c r="PDO302" s="136"/>
      <c r="PDP302" s="136"/>
      <c r="PDQ302" s="136"/>
      <c r="PDR302" s="136"/>
      <c r="PDS302" s="136"/>
      <c r="PDT302" s="136"/>
      <c r="PDU302" s="136"/>
      <c r="PDV302" s="136"/>
      <c r="PDW302" s="136"/>
      <c r="PDX302" s="136"/>
      <c r="PDY302" s="136"/>
      <c r="PDZ302" s="136"/>
      <c r="PEA302" s="136"/>
      <c r="PEB302" s="136"/>
      <c r="PEC302" s="136"/>
      <c r="PED302" s="136"/>
      <c r="PEE302" s="136"/>
      <c r="PEF302" s="136"/>
      <c r="PEG302" s="136"/>
      <c r="PEH302" s="136"/>
      <c r="PEI302" s="136"/>
      <c r="PEJ302" s="136"/>
      <c r="PEK302" s="136"/>
      <c r="PEL302" s="136"/>
      <c r="PEM302" s="136"/>
      <c r="PEN302" s="136"/>
      <c r="PEO302" s="136"/>
      <c r="PEP302" s="136"/>
      <c r="PEQ302" s="136"/>
      <c r="PER302" s="136"/>
      <c r="PES302" s="136"/>
      <c r="PET302" s="136"/>
      <c r="PEU302" s="136"/>
      <c r="PEV302" s="136"/>
      <c r="PEW302" s="136"/>
      <c r="PEX302" s="136"/>
      <c r="PEY302" s="136"/>
      <c r="PEZ302" s="136"/>
      <c r="PFA302" s="136"/>
      <c r="PFB302" s="136"/>
      <c r="PFC302" s="136"/>
      <c r="PFD302" s="136"/>
      <c r="PFE302" s="136"/>
      <c r="PFF302" s="136"/>
      <c r="PFG302" s="136"/>
      <c r="PFH302" s="136"/>
      <c r="PFI302" s="136"/>
      <c r="PFJ302" s="136"/>
      <c r="PFK302" s="136"/>
      <c r="PFL302" s="136"/>
      <c r="PFM302" s="136"/>
      <c r="PFN302" s="136"/>
      <c r="PFO302" s="136"/>
      <c r="PFP302" s="136"/>
      <c r="PFQ302" s="136"/>
      <c r="PFR302" s="136"/>
      <c r="PFS302" s="136"/>
      <c r="PFT302" s="136"/>
      <c r="PFU302" s="136"/>
      <c r="PFV302" s="136"/>
      <c r="PFW302" s="136"/>
      <c r="PFX302" s="136"/>
      <c r="PFY302" s="136"/>
      <c r="PFZ302" s="136"/>
      <c r="PGA302" s="136"/>
      <c r="PGB302" s="136"/>
      <c r="PGC302" s="136"/>
      <c r="PGD302" s="136"/>
      <c r="PGE302" s="136"/>
      <c r="PGF302" s="136"/>
      <c r="PGG302" s="136"/>
      <c r="PGH302" s="136"/>
      <c r="PGI302" s="136"/>
      <c r="PGJ302" s="136"/>
      <c r="PGK302" s="136"/>
      <c r="PGL302" s="136"/>
      <c r="PGM302" s="136"/>
      <c r="PGN302" s="136"/>
      <c r="PGO302" s="136"/>
      <c r="PGP302" s="136"/>
      <c r="PGQ302" s="136"/>
      <c r="PGR302" s="136"/>
      <c r="PGS302" s="136"/>
      <c r="PGT302" s="136"/>
      <c r="PGU302" s="136"/>
      <c r="PGV302" s="136"/>
      <c r="PGW302" s="136"/>
      <c r="PGX302" s="136"/>
      <c r="PGY302" s="136"/>
      <c r="PGZ302" s="136"/>
      <c r="PHA302" s="136"/>
      <c r="PHB302" s="136"/>
      <c r="PHC302" s="136"/>
      <c r="PHD302" s="136"/>
      <c r="PHE302" s="136"/>
      <c r="PHF302" s="136"/>
      <c r="PHG302" s="136"/>
      <c r="PHH302" s="136"/>
      <c r="PHI302" s="136"/>
      <c r="PHJ302" s="136"/>
      <c r="PHK302" s="136"/>
      <c r="PHL302" s="136"/>
      <c r="PHM302" s="136"/>
      <c r="PHN302" s="136"/>
      <c r="PHO302" s="136"/>
      <c r="PHP302" s="136"/>
      <c r="PHQ302" s="136"/>
      <c r="PHR302" s="136"/>
      <c r="PHS302" s="136"/>
      <c r="PHT302" s="136"/>
      <c r="PHU302" s="136"/>
      <c r="PHV302" s="136"/>
      <c r="PHW302" s="136"/>
      <c r="PHX302" s="136"/>
      <c r="PHY302" s="136"/>
      <c r="PHZ302" s="136"/>
      <c r="PIA302" s="136"/>
      <c r="PIB302" s="136"/>
      <c r="PIC302" s="136"/>
      <c r="PID302" s="136"/>
      <c r="PIE302" s="136"/>
      <c r="PIF302" s="136"/>
      <c r="PIG302" s="136"/>
      <c r="PIH302" s="136"/>
      <c r="PII302" s="136"/>
      <c r="PIJ302" s="136"/>
      <c r="PIK302" s="136"/>
      <c r="PIL302" s="136"/>
      <c r="PIM302" s="136"/>
      <c r="PIN302" s="136"/>
      <c r="PIO302" s="136"/>
      <c r="PIP302" s="136"/>
      <c r="PIQ302" s="136"/>
      <c r="PIR302" s="136"/>
      <c r="PIS302" s="136"/>
      <c r="PIT302" s="136"/>
      <c r="PIU302" s="136"/>
      <c r="PIV302" s="136"/>
      <c r="PIW302" s="136"/>
      <c r="PIX302" s="136"/>
      <c r="PIY302" s="136"/>
      <c r="PIZ302" s="136"/>
      <c r="PJA302" s="136"/>
      <c r="PJB302" s="136"/>
      <c r="PJC302" s="136"/>
      <c r="PJD302" s="136"/>
      <c r="PJE302" s="136"/>
      <c r="PJF302" s="136"/>
      <c r="PJG302" s="136"/>
      <c r="PJH302" s="136"/>
      <c r="PJI302" s="136"/>
      <c r="PJJ302" s="136"/>
      <c r="PJK302" s="136"/>
      <c r="PJL302" s="136"/>
      <c r="PJM302" s="136"/>
      <c r="PJN302" s="136"/>
      <c r="PJO302" s="136"/>
      <c r="PJP302" s="136"/>
      <c r="PJQ302" s="136"/>
      <c r="PJR302" s="136"/>
      <c r="PJS302" s="136"/>
      <c r="PJT302" s="136"/>
      <c r="PJU302" s="136"/>
      <c r="PJV302" s="136"/>
      <c r="PJW302" s="136"/>
      <c r="PJX302" s="136"/>
      <c r="PJY302" s="136"/>
      <c r="PJZ302" s="136"/>
      <c r="PKA302" s="136"/>
      <c r="PKB302" s="136"/>
      <c r="PKC302" s="136"/>
      <c r="PKD302" s="136"/>
      <c r="PKE302" s="136"/>
      <c r="PKF302" s="136"/>
      <c r="PKG302" s="136"/>
      <c r="PKH302" s="136"/>
      <c r="PKI302" s="136"/>
      <c r="PKJ302" s="136"/>
      <c r="PKK302" s="136"/>
      <c r="PKL302" s="136"/>
      <c r="PKM302" s="136"/>
      <c r="PKN302" s="136"/>
      <c r="PKO302" s="136"/>
      <c r="PKP302" s="136"/>
      <c r="PKQ302" s="136"/>
      <c r="PKR302" s="136"/>
      <c r="PKS302" s="136"/>
      <c r="PKT302" s="136"/>
      <c r="PKU302" s="136"/>
      <c r="PKV302" s="136"/>
      <c r="PKW302" s="136"/>
      <c r="PKX302" s="136"/>
      <c r="PKY302" s="136"/>
      <c r="PKZ302" s="136"/>
      <c r="PLA302" s="136"/>
      <c r="PLB302" s="136"/>
      <c r="PLC302" s="136"/>
      <c r="PLD302" s="136"/>
      <c r="PLE302" s="136"/>
      <c r="PLF302" s="136"/>
      <c r="PLG302" s="136"/>
      <c r="PLH302" s="136"/>
      <c r="PLI302" s="136"/>
      <c r="PLJ302" s="136"/>
      <c r="PLK302" s="136"/>
      <c r="PLL302" s="136"/>
      <c r="PLM302" s="136"/>
      <c r="PLN302" s="136"/>
      <c r="PLO302" s="136"/>
      <c r="PLP302" s="136"/>
      <c r="PLQ302" s="136"/>
      <c r="PLR302" s="136"/>
      <c r="PLS302" s="136"/>
      <c r="PLT302" s="136"/>
      <c r="PLU302" s="136"/>
      <c r="PLV302" s="136"/>
      <c r="PLW302" s="136"/>
      <c r="PLX302" s="136"/>
      <c r="PLY302" s="136"/>
      <c r="PLZ302" s="136"/>
      <c r="PMA302" s="136"/>
      <c r="PMB302" s="136"/>
      <c r="PMC302" s="136"/>
      <c r="PMD302" s="136"/>
      <c r="PME302" s="136"/>
      <c r="PMF302" s="136"/>
      <c r="PMG302" s="136"/>
      <c r="PMH302" s="136"/>
      <c r="PMI302" s="136"/>
      <c r="PMJ302" s="136"/>
      <c r="PMK302" s="136"/>
      <c r="PML302" s="136"/>
      <c r="PMM302" s="136"/>
      <c r="PMN302" s="136"/>
      <c r="PMO302" s="136"/>
      <c r="PMP302" s="136"/>
      <c r="PMQ302" s="136"/>
      <c r="PMR302" s="136"/>
      <c r="PMS302" s="136"/>
      <c r="PMT302" s="136"/>
      <c r="PMU302" s="136"/>
      <c r="PMV302" s="136"/>
      <c r="PMW302" s="136"/>
      <c r="PMX302" s="136"/>
      <c r="PMY302" s="136"/>
      <c r="PMZ302" s="136"/>
      <c r="PNA302" s="136"/>
      <c r="PNB302" s="136"/>
      <c r="PNC302" s="136"/>
      <c r="PND302" s="136"/>
      <c r="PNE302" s="136"/>
      <c r="PNF302" s="136"/>
      <c r="PNG302" s="136"/>
      <c r="PNH302" s="136"/>
      <c r="PNI302" s="136"/>
      <c r="PNJ302" s="136"/>
      <c r="PNK302" s="136"/>
      <c r="PNL302" s="136"/>
      <c r="PNM302" s="136"/>
      <c r="PNN302" s="136"/>
      <c r="PNO302" s="136"/>
      <c r="PNP302" s="136"/>
      <c r="PNQ302" s="136"/>
      <c r="PNR302" s="136"/>
      <c r="PNS302" s="136"/>
      <c r="PNT302" s="136"/>
      <c r="PNU302" s="136"/>
      <c r="PNV302" s="136"/>
      <c r="PNW302" s="136"/>
      <c r="PNX302" s="136"/>
      <c r="PNY302" s="136"/>
      <c r="PNZ302" s="136"/>
      <c r="POA302" s="136"/>
      <c r="POB302" s="136"/>
      <c r="POC302" s="136"/>
      <c r="POD302" s="136"/>
      <c r="POE302" s="136"/>
      <c r="POF302" s="136"/>
      <c r="POG302" s="136"/>
      <c r="POH302" s="136"/>
      <c r="POI302" s="136"/>
      <c r="POJ302" s="136"/>
      <c r="POK302" s="136"/>
      <c r="POL302" s="136"/>
      <c r="POM302" s="136"/>
      <c r="PON302" s="136"/>
      <c r="POO302" s="136"/>
      <c r="POP302" s="136"/>
      <c r="POQ302" s="136"/>
      <c r="POR302" s="136"/>
      <c r="POS302" s="136"/>
      <c r="POT302" s="136"/>
      <c r="POU302" s="136"/>
      <c r="POV302" s="136"/>
      <c r="POW302" s="136"/>
      <c r="POX302" s="136"/>
      <c r="POY302" s="136"/>
      <c r="POZ302" s="136"/>
      <c r="PPA302" s="136"/>
      <c r="PPB302" s="136"/>
      <c r="PPC302" s="136"/>
      <c r="PPD302" s="136"/>
      <c r="PPE302" s="136"/>
      <c r="PPF302" s="136"/>
      <c r="PPG302" s="136"/>
      <c r="PPH302" s="136"/>
      <c r="PPI302" s="136"/>
      <c r="PPJ302" s="136"/>
      <c r="PPK302" s="136"/>
      <c r="PPL302" s="136"/>
      <c r="PPM302" s="136"/>
      <c r="PPN302" s="136"/>
      <c r="PPO302" s="136"/>
      <c r="PPP302" s="136"/>
      <c r="PPQ302" s="136"/>
      <c r="PPR302" s="136"/>
      <c r="PPS302" s="136"/>
      <c r="PPT302" s="136"/>
      <c r="PPU302" s="136"/>
      <c r="PPV302" s="136"/>
      <c r="PPW302" s="136"/>
      <c r="PPX302" s="136"/>
      <c r="PPY302" s="136"/>
      <c r="PPZ302" s="136"/>
      <c r="PQA302" s="136"/>
      <c r="PQB302" s="136"/>
      <c r="PQC302" s="136"/>
      <c r="PQD302" s="136"/>
      <c r="PQE302" s="136"/>
      <c r="PQF302" s="136"/>
      <c r="PQG302" s="136"/>
      <c r="PQH302" s="136"/>
      <c r="PQI302" s="136"/>
      <c r="PQJ302" s="136"/>
      <c r="PQK302" s="136"/>
      <c r="PQL302" s="136"/>
      <c r="PQM302" s="136"/>
      <c r="PQN302" s="136"/>
      <c r="PQO302" s="136"/>
      <c r="PQP302" s="136"/>
      <c r="PQQ302" s="136"/>
      <c r="PQR302" s="136"/>
      <c r="PQS302" s="136"/>
      <c r="PQT302" s="136"/>
      <c r="PQU302" s="136"/>
      <c r="PQV302" s="136"/>
      <c r="PQW302" s="136"/>
      <c r="PQX302" s="136"/>
      <c r="PQY302" s="136"/>
      <c r="PQZ302" s="136"/>
      <c r="PRA302" s="136"/>
      <c r="PRB302" s="136"/>
      <c r="PRC302" s="136"/>
      <c r="PRD302" s="136"/>
      <c r="PRE302" s="136"/>
      <c r="PRF302" s="136"/>
      <c r="PRG302" s="136"/>
      <c r="PRH302" s="136"/>
      <c r="PRI302" s="136"/>
      <c r="PRJ302" s="136"/>
      <c r="PRK302" s="136"/>
      <c r="PRL302" s="136"/>
      <c r="PRM302" s="136"/>
      <c r="PRN302" s="136"/>
      <c r="PRO302" s="136"/>
      <c r="PRP302" s="136"/>
      <c r="PRQ302" s="136"/>
      <c r="PRR302" s="136"/>
      <c r="PRS302" s="136"/>
      <c r="PRT302" s="136"/>
      <c r="PRU302" s="136"/>
      <c r="PRV302" s="136"/>
      <c r="PRW302" s="136"/>
      <c r="PRX302" s="136"/>
      <c r="PRY302" s="136"/>
      <c r="PRZ302" s="136"/>
      <c r="PSA302" s="136"/>
      <c r="PSB302" s="136"/>
      <c r="PSC302" s="136"/>
      <c r="PSD302" s="136"/>
      <c r="PSE302" s="136"/>
      <c r="PSF302" s="136"/>
      <c r="PSG302" s="136"/>
      <c r="PSH302" s="136"/>
      <c r="PSI302" s="136"/>
      <c r="PSJ302" s="136"/>
      <c r="PSK302" s="136"/>
      <c r="PSL302" s="136"/>
      <c r="PSM302" s="136"/>
      <c r="PSN302" s="136"/>
      <c r="PSO302" s="136"/>
      <c r="PSP302" s="136"/>
      <c r="PSQ302" s="136"/>
      <c r="PSR302" s="136"/>
      <c r="PSS302" s="136"/>
      <c r="PST302" s="136"/>
      <c r="PSU302" s="136"/>
      <c r="PSV302" s="136"/>
      <c r="PSW302" s="136"/>
      <c r="PSX302" s="136"/>
      <c r="PSY302" s="136"/>
      <c r="PSZ302" s="136"/>
      <c r="PTA302" s="136"/>
      <c r="PTB302" s="136"/>
      <c r="PTC302" s="136"/>
      <c r="PTD302" s="136"/>
      <c r="PTE302" s="136"/>
      <c r="PTF302" s="136"/>
      <c r="PTG302" s="136"/>
      <c r="PTH302" s="136"/>
      <c r="PTI302" s="136"/>
      <c r="PTJ302" s="136"/>
      <c r="PTK302" s="136"/>
      <c r="PTL302" s="136"/>
      <c r="PTM302" s="136"/>
      <c r="PTN302" s="136"/>
      <c r="PTO302" s="136"/>
      <c r="PTP302" s="136"/>
      <c r="PTQ302" s="136"/>
      <c r="PTR302" s="136"/>
      <c r="PTS302" s="136"/>
      <c r="PTT302" s="136"/>
      <c r="PTU302" s="136"/>
      <c r="PTV302" s="136"/>
      <c r="PTW302" s="136"/>
      <c r="PTX302" s="136"/>
      <c r="PTY302" s="136"/>
      <c r="PTZ302" s="136"/>
      <c r="PUA302" s="136"/>
      <c r="PUB302" s="136"/>
      <c r="PUC302" s="136"/>
      <c r="PUD302" s="136"/>
      <c r="PUE302" s="136"/>
      <c r="PUF302" s="136"/>
      <c r="PUG302" s="136"/>
      <c r="PUH302" s="136"/>
      <c r="PUI302" s="136"/>
      <c r="PUJ302" s="136"/>
      <c r="PUK302" s="136"/>
      <c r="PUL302" s="136"/>
      <c r="PUM302" s="136"/>
      <c r="PUN302" s="136"/>
      <c r="PUO302" s="136"/>
      <c r="PUP302" s="136"/>
      <c r="PUQ302" s="136"/>
      <c r="PUR302" s="136"/>
      <c r="PUS302" s="136"/>
      <c r="PUT302" s="136"/>
      <c r="PUU302" s="136"/>
      <c r="PUV302" s="136"/>
      <c r="PUW302" s="136"/>
      <c r="PUX302" s="136"/>
      <c r="PUY302" s="136"/>
      <c r="PUZ302" s="136"/>
      <c r="PVA302" s="136"/>
      <c r="PVB302" s="136"/>
      <c r="PVC302" s="136"/>
      <c r="PVD302" s="136"/>
      <c r="PVE302" s="136"/>
      <c r="PVF302" s="136"/>
      <c r="PVG302" s="136"/>
      <c r="PVH302" s="136"/>
      <c r="PVI302" s="136"/>
      <c r="PVJ302" s="136"/>
      <c r="PVK302" s="136"/>
      <c r="PVL302" s="136"/>
      <c r="PVM302" s="136"/>
      <c r="PVN302" s="136"/>
      <c r="PVO302" s="136"/>
      <c r="PVP302" s="136"/>
      <c r="PVQ302" s="136"/>
      <c r="PVR302" s="136"/>
      <c r="PVS302" s="136"/>
      <c r="PVT302" s="136"/>
      <c r="PVU302" s="136"/>
      <c r="PVV302" s="136"/>
      <c r="PVW302" s="136"/>
      <c r="PVX302" s="136"/>
      <c r="PVY302" s="136"/>
      <c r="PVZ302" s="136"/>
      <c r="PWA302" s="136"/>
      <c r="PWB302" s="136"/>
      <c r="PWC302" s="136"/>
      <c r="PWD302" s="136"/>
      <c r="PWE302" s="136"/>
      <c r="PWF302" s="136"/>
      <c r="PWG302" s="136"/>
      <c r="PWH302" s="136"/>
      <c r="PWI302" s="136"/>
      <c r="PWJ302" s="136"/>
      <c r="PWK302" s="136"/>
      <c r="PWL302" s="136"/>
      <c r="PWM302" s="136"/>
      <c r="PWN302" s="136"/>
      <c r="PWO302" s="136"/>
      <c r="PWP302" s="136"/>
      <c r="PWQ302" s="136"/>
      <c r="PWR302" s="136"/>
      <c r="PWS302" s="136"/>
      <c r="PWT302" s="136"/>
      <c r="PWU302" s="136"/>
      <c r="PWV302" s="136"/>
      <c r="PWW302" s="136"/>
      <c r="PWX302" s="136"/>
      <c r="PWY302" s="136"/>
      <c r="PWZ302" s="136"/>
      <c r="PXA302" s="136"/>
      <c r="PXB302" s="136"/>
      <c r="PXC302" s="136"/>
      <c r="PXD302" s="136"/>
      <c r="PXE302" s="136"/>
      <c r="PXF302" s="136"/>
      <c r="PXG302" s="136"/>
      <c r="PXH302" s="136"/>
      <c r="PXI302" s="136"/>
      <c r="PXJ302" s="136"/>
      <c r="PXK302" s="136"/>
      <c r="PXL302" s="136"/>
      <c r="PXM302" s="136"/>
      <c r="PXN302" s="136"/>
      <c r="PXO302" s="136"/>
      <c r="PXP302" s="136"/>
      <c r="PXQ302" s="136"/>
      <c r="PXR302" s="136"/>
      <c r="PXS302" s="136"/>
      <c r="PXT302" s="136"/>
      <c r="PXU302" s="136"/>
      <c r="PXV302" s="136"/>
      <c r="PXW302" s="136"/>
      <c r="PXX302" s="136"/>
      <c r="PXY302" s="136"/>
      <c r="PXZ302" s="136"/>
      <c r="PYA302" s="136"/>
      <c r="PYB302" s="136"/>
      <c r="PYC302" s="136"/>
      <c r="PYD302" s="136"/>
      <c r="PYE302" s="136"/>
      <c r="PYF302" s="136"/>
      <c r="PYG302" s="136"/>
      <c r="PYH302" s="136"/>
      <c r="PYI302" s="136"/>
      <c r="PYJ302" s="136"/>
      <c r="PYK302" s="136"/>
      <c r="PYL302" s="136"/>
      <c r="PYM302" s="136"/>
      <c r="PYN302" s="136"/>
      <c r="PYO302" s="136"/>
      <c r="PYP302" s="136"/>
      <c r="PYQ302" s="136"/>
      <c r="PYR302" s="136"/>
      <c r="PYS302" s="136"/>
      <c r="PYT302" s="136"/>
      <c r="PYU302" s="136"/>
      <c r="PYV302" s="136"/>
      <c r="PYW302" s="136"/>
      <c r="PYX302" s="136"/>
      <c r="PYY302" s="136"/>
      <c r="PYZ302" s="136"/>
      <c r="PZA302" s="136"/>
      <c r="PZB302" s="136"/>
      <c r="PZC302" s="136"/>
      <c r="PZD302" s="136"/>
      <c r="PZE302" s="136"/>
      <c r="PZF302" s="136"/>
      <c r="PZG302" s="136"/>
      <c r="PZH302" s="136"/>
      <c r="PZI302" s="136"/>
      <c r="PZJ302" s="136"/>
      <c r="PZK302" s="136"/>
      <c r="PZL302" s="136"/>
      <c r="PZM302" s="136"/>
      <c r="PZN302" s="136"/>
      <c r="PZO302" s="136"/>
      <c r="PZP302" s="136"/>
      <c r="PZQ302" s="136"/>
      <c r="PZR302" s="136"/>
      <c r="PZS302" s="136"/>
      <c r="PZT302" s="136"/>
      <c r="PZU302" s="136"/>
      <c r="PZV302" s="136"/>
      <c r="PZW302" s="136"/>
      <c r="PZX302" s="136"/>
      <c r="PZY302" s="136"/>
      <c r="PZZ302" s="136"/>
      <c r="QAA302" s="136"/>
      <c r="QAB302" s="136"/>
      <c r="QAC302" s="136"/>
      <c r="QAD302" s="136"/>
      <c r="QAE302" s="136"/>
      <c r="QAF302" s="136"/>
      <c r="QAG302" s="136"/>
      <c r="QAH302" s="136"/>
      <c r="QAI302" s="136"/>
      <c r="QAJ302" s="136"/>
      <c r="QAK302" s="136"/>
      <c r="QAL302" s="136"/>
      <c r="QAM302" s="136"/>
      <c r="QAN302" s="136"/>
      <c r="QAO302" s="136"/>
      <c r="QAP302" s="136"/>
      <c r="QAQ302" s="136"/>
      <c r="QAR302" s="136"/>
      <c r="QAS302" s="136"/>
      <c r="QAT302" s="136"/>
      <c r="QAU302" s="136"/>
      <c r="QAV302" s="136"/>
      <c r="QAW302" s="136"/>
      <c r="QAX302" s="136"/>
      <c r="QAY302" s="136"/>
      <c r="QAZ302" s="136"/>
      <c r="QBA302" s="136"/>
      <c r="QBB302" s="136"/>
      <c r="QBC302" s="136"/>
      <c r="QBD302" s="136"/>
      <c r="QBE302" s="136"/>
      <c r="QBF302" s="136"/>
      <c r="QBG302" s="136"/>
      <c r="QBH302" s="136"/>
      <c r="QBI302" s="136"/>
      <c r="QBJ302" s="136"/>
      <c r="QBK302" s="136"/>
      <c r="QBL302" s="136"/>
      <c r="QBM302" s="136"/>
      <c r="QBN302" s="136"/>
      <c r="QBO302" s="136"/>
      <c r="QBP302" s="136"/>
      <c r="QBQ302" s="136"/>
      <c r="QBR302" s="136"/>
      <c r="QBS302" s="136"/>
      <c r="QBT302" s="136"/>
      <c r="QBU302" s="136"/>
      <c r="QBV302" s="136"/>
      <c r="QBW302" s="136"/>
      <c r="QBX302" s="136"/>
      <c r="QBY302" s="136"/>
      <c r="QBZ302" s="136"/>
      <c r="QCA302" s="136"/>
      <c r="QCB302" s="136"/>
      <c r="QCC302" s="136"/>
      <c r="QCD302" s="136"/>
      <c r="QCE302" s="136"/>
      <c r="QCF302" s="136"/>
      <c r="QCG302" s="136"/>
      <c r="QCH302" s="136"/>
      <c r="QCI302" s="136"/>
      <c r="QCJ302" s="136"/>
      <c r="QCK302" s="136"/>
      <c r="QCL302" s="136"/>
      <c r="QCM302" s="136"/>
      <c r="QCN302" s="136"/>
      <c r="QCO302" s="136"/>
      <c r="QCP302" s="136"/>
      <c r="QCQ302" s="136"/>
      <c r="QCR302" s="136"/>
      <c r="QCS302" s="136"/>
      <c r="QCT302" s="136"/>
      <c r="QCU302" s="136"/>
      <c r="QCV302" s="136"/>
      <c r="QCW302" s="136"/>
      <c r="QCX302" s="136"/>
      <c r="QCY302" s="136"/>
      <c r="QCZ302" s="136"/>
      <c r="QDA302" s="136"/>
      <c r="QDB302" s="136"/>
      <c r="QDC302" s="136"/>
      <c r="QDD302" s="136"/>
      <c r="QDE302" s="136"/>
      <c r="QDF302" s="136"/>
      <c r="QDG302" s="136"/>
      <c r="QDH302" s="136"/>
      <c r="QDI302" s="136"/>
      <c r="QDJ302" s="136"/>
      <c r="QDK302" s="136"/>
      <c r="QDL302" s="136"/>
      <c r="QDM302" s="136"/>
      <c r="QDN302" s="136"/>
      <c r="QDO302" s="136"/>
      <c r="QDP302" s="136"/>
      <c r="QDQ302" s="136"/>
      <c r="QDR302" s="136"/>
      <c r="QDS302" s="136"/>
      <c r="QDT302" s="136"/>
      <c r="QDU302" s="136"/>
      <c r="QDV302" s="136"/>
      <c r="QDW302" s="136"/>
      <c r="QDX302" s="136"/>
      <c r="QDY302" s="136"/>
      <c r="QDZ302" s="136"/>
      <c r="QEA302" s="136"/>
      <c r="QEB302" s="136"/>
      <c r="QEC302" s="136"/>
      <c r="QED302" s="136"/>
      <c r="QEE302" s="136"/>
      <c r="QEF302" s="136"/>
      <c r="QEG302" s="136"/>
      <c r="QEH302" s="136"/>
      <c r="QEI302" s="136"/>
      <c r="QEJ302" s="136"/>
      <c r="QEK302" s="136"/>
      <c r="QEL302" s="136"/>
      <c r="QEM302" s="136"/>
      <c r="QEN302" s="136"/>
      <c r="QEO302" s="136"/>
      <c r="QEP302" s="136"/>
      <c r="QEQ302" s="136"/>
      <c r="QER302" s="136"/>
      <c r="QES302" s="136"/>
      <c r="QET302" s="136"/>
      <c r="QEU302" s="136"/>
      <c r="QEV302" s="136"/>
      <c r="QEW302" s="136"/>
      <c r="QEX302" s="136"/>
      <c r="QEY302" s="136"/>
      <c r="QEZ302" s="136"/>
      <c r="QFA302" s="136"/>
      <c r="QFB302" s="136"/>
      <c r="QFC302" s="136"/>
      <c r="QFD302" s="136"/>
      <c r="QFE302" s="136"/>
      <c r="QFF302" s="136"/>
      <c r="QFG302" s="136"/>
      <c r="QFH302" s="136"/>
      <c r="QFI302" s="136"/>
      <c r="QFJ302" s="136"/>
      <c r="QFK302" s="136"/>
      <c r="QFL302" s="136"/>
      <c r="QFM302" s="136"/>
      <c r="QFN302" s="136"/>
      <c r="QFO302" s="136"/>
      <c r="QFP302" s="136"/>
      <c r="QFQ302" s="136"/>
      <c r="QFR302" s="136"/>
      <c r="QFS302" s="136"/>
      <c r="QFT302" s="136"/>
      <c r="QFU302" s="136"/>
      <c r="QFV302" s="136"/>
      <c r="QFW302" s="136"/>
      <c r="QFX302" s="136"/>
      <c r="QFY302" s="136"/>
      <c r="QFZ302" s="136"/>
      <c r="QGA302" s="136"/>
      <c r="QGB302" s="136"/>
      <c r="QGC302" s="136"/>
      <c r="QGD302" s="136"/>
      <c r="QGE302" s="136"/>
      <c r="QGF302" s="136"/>
      <c r="QGG302" s="136"/>
      <c r="QGH302" s="136"/>
      <c r="QGI302" s="136"/>
      <c r="QGJ302" s="136"/>
      <c r="QGK302" s="136"/>
      <c r="QGL302" s="136"/>
      <c r="QGM302" s="136"/>
      <c r="QGN302" s="136"/>
      <c r="QGO302" s="136"/>
      <c r="QGP302" s="136"/>
      <c r="QGQ302" s="136"/>
      <c r="QGR302" s="136"/>
      <c r="QGS302" s="136"/>
      <c r="QGT302" s="136"/>
      <c r="QGU302" s="136"/>
      <c r="QGV302" s="136"/>
      <c r="QGW302" s="136"/>
      <c r="QGX302" s="136"/>
      <c r="QGY302" s="136"/>
      <c r="QGZ302" s="136"/>
      <c r="QHA302" s="136"/>
      <c r="QHB302" s="136"/>
      <c r="QHC302" s="136"/>
      <c r="QHD302" s="136"/>
      <c r="QHE302" s="136"/>
      <c r="QHF302" s="136"/>
      <c r="QHG302" s="136"/>
      <c r="QHH302" s="136"/>
      <c r="QHI302" s="136"/>
      <c r="QHJ302" s="136"/>
      <c r="QHK302" s="136"/>
      <c r="QHL302" s="136"/>
      <c r="QHM302" s="136"/>
      <c r="QHN302" s="136"/>
      <c r="QHO302" s="136"/>
      <c r="QHP302" s="136"/>
      <c r="QHQ302" s="136"/>
      <c r="QHR302" s="136"/>
      <c r="QHS302" s="136"/>
      <c r="QHT302" s="136"/>
      <c r="QHU302" s="136"/>
      <c r="QHV302" s="136"/>
      <c r="QHW302" s="136"/>
      <c r="QHX302" s="136"/>
      <c r="QHY302" s="136"/>
      <c r="QHZ302" s="136"/>
      <c r="QIA302" s="136"/>
      <c r="QIB302" s="136"/>
      <c r="QIC302" s="136"/>
      <c r="QID302" s="136"/>
      <c r="QIE302" s="136"/>
      <c r="QIF302" s="136"/>
      <c r="QIG302" s="136"/>
      <c r="QIH302" s="136"/>
      <c r="QII302" s="136"/>
      <c r="QIJ302" s="136"/>
      <c r="QIK302" s="136"/>
      <c r="QIL302" s="136"/>
      <c r="QIM302" s="136"/>
      <c r="QIN302" s="136"/>
      <c r="QIO302" s="136"/>
      <c r="QIP302" s="136"/>
      <c r="QIQ302" s="136"/>
      <c r="QIR302" s="136"/>
      <c r="QIS302" s="136"/>
      <c r="QIT302" s="136"/>
      <c r="QIU302" s="136"/>
      <c r="QIV302" s="136"/>
      <c r="QIW302" s="136"/>
      <c r="QIX302" s="136"/>
      <c r="QIY302" s="136"/>
      <c r="QIZ302" s="136"/>
      <c r="QJA302" s="136"/>
      <c r="QJB302" s="136"/>
      <c r="QJC302" s="136"/>
      <c r="QJD302" s="136"/>
      <c r="QJE302" s="136"/>
      <c r="QJF302" s="136"/>
      <c r="QJG302" s="136"/>
      <c r="QJH302" s="136"/>
      <c r="QJI302" s="136"/>
      <c r="QJJ302" s="136"/>
      <c r="QJK302" s="136"/>
      <c r="QJL302" s="136"/>
      <c r="QJM302" s="136"/>
      <c r="QJN302" s="136"/>
      <c r="QJO302" s="136"/>
      <c r="QJP302" s="136"/>
      <c r="QJQ302" s="136"/>
      <c r="QJR302" s="136"/>
      <c r="QJS302" s="136"/>
      <c r="QJT302" s="136"/>
      <c r="QJU302" s="136"/>
      <c r="QJV302" s="136"/>
      <c r="QJW302" s="136"/>
      <c r="QJX302" s="136"/>
      <c r="QJY302" s="136"/>
      <c r="QJZ302" s="136"/>
      <c r="QKA302" s="136"/>
      <c r="QKB302" s="136"/>
      <c r="QKC302" s="136"/>
      <c r="QKD302" s="136"/>
      <c r="QKE302" s="136"/>
      <c r="QKF302" s="136"/>
      <c r="QKG302" s="136"/>
      <c r="QKH302" s="136"/>
      <c r="QKI302" s="136"/>
      <c r="QKJ302" s="136"/>
      <c r="QKK302" s="136"/>
      <c r="QKL302" s="136"/>
      <c r="QKM302" s="136"/>
      <c r="QKN302" s="136"/>
      <c r="QKO302" s="136"/>
      <c r="QKP302" s="136"/>
      <c r="QKQ302" s="136"/>
      <c r="QKR302" s="136"/>
      <c r="QKS302" s="136"/>
      <c r="QKT302" s="136"/>
      <c r="QKU302" s="136"/>
      <c r="QKV302" s="136"/>
      <c r="QKW302" s="136"/>
      <c r="QKX302" s="136"/>
      <c r="QKY302" s="136"/>
      <c r="QKZ302" s="136"/>
      <c r="QLA302" s="136"/>
      <c r="QLB302" s="136"/>
      <c r="QLC302" s="136"/>
      <c r="QLD302" s="136"/>
      <c r="QLE302" s="136"/>
      <c r="QLF302" s="136"/>
      <c r="QLG302" s="136"/>
      <c r="QLH302" s="136"/>
      <c r="QLI302" s="136"/>
      <c r="QLJ302" s="136"/>
      <c r="QLK302" s="136"/>
      <c r="QLL302" s="136"/>
      <c r="QLM302" s="136"/>
      <c r="QLN302" s="136"/>
      <c r="QLO302" s="136"/>
      <c r="QLP302" s="136"/>
      <c r="QLQ302" s="136"/>
      <c r="QLR302" s="136"/>
      <c r="QLS302" s="136"/>
      <c r="QLT302" s="136"/>
      <c r="QLU302" s="136"/>
      <c r="QLV302" s="136"/>
      <c r="QLW302" s="136"/>
      <c r="QLX302" s="136"/>
      <c r="QLY302" s="136"/>
      <c r="QLZ302" s="136"/>
      <c r="QMA302" s="136"/>
      <c r="QMB302" s="136"/>
      <c r="QMC302" s="136"/>
      <c r="QMD302" s="136"/>
      <c r="QME302" s="136"/>
      <c r="QMF302" s="136"/>
      <c r="QMG302" s="136"/>
      <c r="QMH302" s="136"/>
      <c r="QMI302" s="136"/>
      <c r="QMJ302" s="136"/>
      <c r="QMK302" s="136"/>
      <c r="QML302" s="136"/>
      <c r="QMM302" s="136"/>
      <c r="QMN302" s="136"/>
      <c r="QMO302" s="136"/>
      <c r="QMP302" s="136"/>
      <c r="QMQ302" s="136"/>
      <c r="QMR302" s="136"/>
      <c r="QMS302" s="136"/>
      <c r="QMT302" s="136"/>
      <c r="QMU302" s="136"/>
      <c r="QMV302" s="136"/>
      <c r="QMW302" s="136"/>
      <c r="QMX302" s="136"/>
      <c r="QMY302" s="136"/>
      <c r="QMZ302" s="136"/>
      <c r="QNA302" s="136"/>
      <c r="QNB302" s="136"/>
      <c r="QNC302" s="136"/>
      <c r="QND302" s="136"/>
      <c r="QNE302" s="136"/>
      <c r="QNF302" s="136"/>
      <c r="QNG302" s="136"/>
      <c r="QNH302" s="136"/>
      <c r="QNI302" s="136"/>
      <c r="QNJ302" s="136"/>
      <c r="QNK302" s="136"/>
      <c r="QNL302" s="136"/>
      <c r="QNM302" s="136"/>
      <c r="QNN302" s="136"/>
      <c r="QNO302" s="136"/>
      <c r="QNP302" s="136"/>
      <c r="QNQ302" s="136"/>
      <c r="QNR302" s="136"/>
      <c r="QNS302" s="136"/>
      <c r="QNT302" s="136"/>
      <c r="QNU302" s="136"/>
      <c r="QNV302" s="136"/>
      <c r="QNW302" s="136"/>
      <c r="QNX302" s="136"/>
      <c r="QNY302" s="136"/>
      <c r="QNZ302" s="136"/>
      <c r="QOA302" s="136"/>
      <c r="QOB302" s="136"/>
      <c r="QOC302" s="136"/>
      <c r="QOD302" s="136"/>
      <c r="QOE302" s="136"/>
      <c r="QOF302" s="136"/>
      <c r="QOG302" s="136"/>
      <c r="QOH302" s="136"/>
      <c r="QOI302" s="136"/>
      <c r="QOJ302" s="136"/>
      <c r="QOK302" s="136"/>
      <c r="QOL302" s="136"/>
      <c r="QOM302" s="136"/>
      <c r="QON302" s="136"/>
      <c r="QOO302" s="136"/>
      <c r="QOP302" s="136"/>
      <c r="QOQ302" s="136"/>
      <c r="QOR302" s="136"/>
      <c r="QOS302" s="136"/>
      <c r="QOT302" s="136"/>
      <c r="QOU302" s="136"/>
      <c r="QOV302" s="136"/>
      <c r="QOW302" s="136"/>
      <c r="QOX302" s="136"/>
      <c r="QOY302" s="136"/>
      <c r="QOZ302" s="136"/>
      <c r="QPA302" s="136"/>
      <c r="QPB302" s="136"/>
      <c r="QPC302" s="136"/>
      <c r="QPD302" s="136"/>
      <c r="QPE302" s="136"/>
      <c r="QPF302" s="136"/>
      <c r="QPG302" s="136"/>
      <c r="QPH302" s="136"/>
      <c r="QPI302" s="136"/>
      <c r="QPJ302" s="136"/>
      <c r="QPK302" s="136"/>
      <c r="QPL302" s="136"/>
      <c r="QPM302" s="136"/>
      <c r="QPN302" s="136"/>
      <c r="QPO302" s="136"/>
      <c r="QPP302" s="136"/>
      <c r="QPQ302" s="136"/>
      <c r="QPR302" s="136"/>
      <c r="QPS302" s="136"/>
      <c r="QPT302" s="136"/>
      <c r="QPU302" s="136"/>
      <c r="QPV302" s="136"/>
      <c r="QPW302" s="136"/>
      <c r="QPX302" s="136"/>
      <c r="QPY302" s="136"/>
      <c r="QPZ302" s="136"/>
      <c r="QQA302" s="136"/>
      <c r="QQB302" s="136"/>
      <c r="QQC302" s="136"/>
      <c r="QQD302" s="136"/>
      <c r="QQE302" s="136"/>
      <c r="QQF302" s="136"/>
      <c r="QQG302" s="136"/>
      <c r="QQH302" s="136"/>
      <c r="QQI302" s="136"/>
      <c r="QQJ302" s="136"/>
      <c r="QQK302" s="136"/>
      <c r="QQL302" s="136"/>
      <c r="QQM302" s="136"/>
      <c r="QQN302" s="136"/>
      <c r="QQO302" s="136"/>
      <c r="QQP302" s="136"/>
      <c r="QQQ302" s="136"/>
      <c r="QQR302" s="136"/>
      <c r="QQS302" s="136"/>
      <c r="QQT302" s="136"/>
      <c r="QQU302" s="136"/>
      <c r="QQV302" s="136"/>
      <c r="QQW302" s="136"/>
      <c r="QQX302" s="136"/>
      <c r="QQY302" s="136"/>
      <c r="QQZ302" s="136"/>
      <c r="QRA302" s="136"/>
      <c r="QRB302" s="136"/>
      <c r="QRC302" s="136"/>
      <c r="QRD302" s="136"/>
      <c r="QRE302" s="136"/>
      <c r="QRF302" s="136"/>
      <c r="QRG302" s="136"/>
      <c r="QRH302" s="136"/>
      <c r="QRI302" s="136"/>
      <c r="QRJ302" s="136"/>
      <c r="QRK302" s="136"/>
      <c r="QRL302" s="136"/>
      <c r="QRM302" s="136"/>
      <c r="QRN302" s="136"/>
      <c r="QRO302" s="136"/>
      <c r="QRP302" s="136"/>
      <c r="QRQ302" s="136"/>
      <c r="QRR302" s="136"/>
      <c r="QRS302" s="136"/>
      <c r="QRT302" s="136"/>
      <c r="QRU302" s="136"/>
      <c r="QRV302" s="136"/>
      <c r="QRW302" s="136"/>
      <c r="QRX302" s="136"/>
      <c r="QRY302" s="136"/>
      <c r="QRZ302" s="136"/>
      <c r="QSA302" s="136"/>
      <c r="QSB302" s="136"/>
      <c r="QSC302" s="136"/>
      <c r="QSD302" s="136"/>
      <c r="QSE302" s="136"/>
      <c r="QSF302" s="136"/>
      <c r="QSG302" s="136"/>
      <c r="QSH302" s="136"/>
      <c r="QSI302" s="136"/>
      <c r="QSJ302" s="136"/>
      <c r="QSK302" s="136"/>
      <c r="QSL302" s="136"/>
      <c r="QSM302" s="136"/>
      <c r="QSN302" s="136"/>
      <c r="QSO302" s="136"/>
      <c r="QSP302" s="136"/>
      <c r="QSQ302" s="136"/>
      <c r="QSR302" s="136"/>
      <c r="QSS302" s="136"/>
      <c r="QST302" s="136"/>
      <c r="QSU302" s="136"/>
      <c r="QSV302" s="136"/>
      <c r="QSW302" s="136"/>
      <c r="QSX302" s="136"/>
      <c r="QSY302" s="136"/>
      <c r="QSZ302" s="136"/>
      <c r="QTA302" s="136"/>
      <c r="QTB302" s="136"/>
      <c r="QTC302" s="136"/>
      <c r="QTD302" s="136"/>
      <c r="QTE302" s="136"/>
      <c r="QTF302" s="136"/>
      <c r="QTG302" s="136"/>
      <c r="QTH302" s="136"/>
      <c r="QTI302" s="136"/>
      <c r="QTJ302" s="136"/>
      <c r="QTK302" s="136"/>
      <c r="QTL302" s="136"/>
      <c r="QTM302" s="136"/>
      <c r="QTN302" s="136"/>
      <c r="QTO302" s="136"/>
      <c r="QTP302" s="136"/>
      <c r="QTQ302" s="136"/>
      <c r="QTR302" s="136"/>
      <c r="QTS302" s="136"/>
      <c r="QTT302" s="136"/>
      <c r="QTU302" s="136"/>
      <c r="QTV302" s="136"/>
      <c r="QTW302" s="136"/>
      <c r="QTX302" s="136"/>
      <c r="QTY302" s="136"/>
      <c r="QTZ302" s="136"/>
      <c r="QUA302" s="136"/>
      <c r="QUB302" s="136"/>
      <c r="QUC302" s="136"/>
      <c r="QUD302" s="136"/>
      <c r="QUE302" s="136"/>
      <c r="QUF302" s="136"/>
      <c r="QUG302" s="136"/>
      <c r="QUH302" s="136"/>
      <c r="QUI302" s="136"/>
      <c r="QUJ302" s="136"/>
      <c r="QUK302" s="136"/>
      <c r="QUL302" s="136"/>
      <c r="QUM302" s="136"/>
      <c r="QUN302" s="136"/>
      <c r="QUO302" s="136"/>
      <c r="QUP302" s="136"/>
      <c r="QUQ302" s="136"/>
      <c r="QUR302" s="136"/>
      <c r="QUS302" s="136"/>
      <c r="QUT302" s="136"/>
      <c r="QUU302" s="136"/>
      <c r="QUV302" s="136"/>
      <c r="QUW302" s="136"/>
      <c r="QUX302" s="136"/>
      <c r="QUY302" s="136"/>
      <c r="QUZ302" s="136"/>
      <c r="QVA302" s="136"/>
      <c r="QVB302" s="136"/>
      <c r="QVC302" s="136"/>
      <c r="QVD302" s="136"/>
      <c r="QVE302" s="136"/>
      <c r="QVF302" s="136"/>
      <c r="QVG302" s="136"/>
      <c r="QVH302" s="136"/>
      <c r="QVI302" s="136"/>
      <c r="QVJ302" s="136"/>
      <c r="QVK302" s="136"/>
      <c r="QVL302" s="136"/>
      <c r="QVM302" s="136"/>
      <c r="QVN302" s="136"/>
      <c r="QVO302" s="136"/>
      <c r="QVP302" s="136"/>
      <c r="QVQ302" s="136"/>
      <c r="QVR302" s="136"/>
      <c r="QVS302" s="136"/>
      <c r="QVT302" s="136"/>
      <c r="QVU302" s="136"/>
      <c r="QVV302" s="136"/>
      <c r="QVW302" s="136"/>
      <c r="QVX302" s="136"/>
      <c r="QVY302" s="136"/>
      <c r="QVZ302" s="136"/>
      <c r="QWA302" s="136"/>
      <c r="QWB302" s="136"/>
      <c r="QWC302" s="136"/>
      <c r="QWD302" s="136"/>
      <c r="QWE302" s="136"/>
      <c r="QWF302" s="136"/>
      <c r="QWG302" s="136"/>
      <c r="QWH302" s="136"/>
      <c r="QWI302" s="136"/>
      <c r="QWJ302" s="136"/>
      <c r="QWK302" s="136"/>
      <c r="QWL302" s="136"/>
      <c r="QWM302" s="136"/>
      <c r="QWN302" s="136"/>
      <c r="QWO302" s="136"/>
      <c r="QWP302" s="136"/>
      <c r="QWQ302" s="136"/>
      <c r="QWR302" s="136"/>
      <c r="QWS302" s="136"/>
      <c r="QWT302" s="136"/>
      <c r="QWU302" s="136"/>
      <c r="QWV302" s="136"/>
      <c r="QWW302" s="136"/>
      <c r="QWX302" s="136"/>
      <c r="QWY302" s="136"/>
      <c r="QWZ302" s="136"/>
      <c r="QXA302" s="136"/>
      <c r="QXB302" s="136"/>
      <c r="QXC302" s="136"/>
      <c r="QXD302" s="136"/>
      <c r="QXE302" s="136"/>
      <c r="QXF302" s="136"/>
      <c r="QXG302" s="136"/>
      <c r="QXH302" s="136"/>
      <c r="QXI302" s="136"/>
      <c r="QXJ302" s="136"/>
      <c r="QXK302" s="136"/>
      <c r="QXL302" s="136"/>
      <c r="QXM302" s="136"/>
      <c r="QXN302" s="136"/>
      <c r="QXO302" s="136"/>
      <c r="QXP302" s="136"/>
      <c r="QXQ302" s="136"/>
      <c r="QXR302" s="136"/>
      <c r="QXS302" s="136"/>
      <c r="QXT302" s="136"/>
      <c r="QXU302" s="136"/>
      <c r="QXV302" s="136"/>
      <c r="QXW302" s="136"/>
      <c r="QXX302" s="136"/>
      <c r="QXY302" s="136"/>
      <c r="QXZ302" s="136"/>
      <c r="QYA302" s="136"/>
      <c r="QYB302" s="136"/>
      <c r="QYC302" s="136"/>
      <c r="QYD302" s="136"/>
      <c r="QYE302" s="136"/>
      <c r="QYF302" s="136"/>
      <c r="QYG302" s="136"/>
      <c r="QYH302" s="136"/>
      <c r="QYI302" s="136"/>
      <c r="QYJ302" s="136"/>
      <c r="QYK302" s="136"/>
      <c r="QYL302" s="136"/>
      <c r="QYM302" s="136"/>
      <c r="QYN302" s="136"/>
      <c r="QYO302" s="136"/>
      <c r="QYP302" s="136"/>
      <c r="QYQ302" s="136"/>
      <c r="QYR302" s="136"/>
      <c r="QYS302" s="136"/>
      <c r="QYT302" s="136"/>
      <c r="QYU302" s="136"/>
      <c r="QYV302" s="136"/>
      <c r="QYW302" s="136"/>
      <c r="QYX302" s="136"/>
      <c r="QYY302" s="136"/>
      <c r="QYZ302" s="136"/>
      <c r="QZA302" s="136"/>
      <c r="QZB302" s="136"/>
      <c r="QZC302" s="136"/>
      <c r="QZD302" s="136"/>
      <c r="QZE302" s="136"/>
      <c r="QZF302" s="136"/>
      <c r="QZG302" s="136"/>
      <c r="QZH302" s="136"/>
      <c r="QZI302" s="136"/>
      <c r="QZJ302" s="136"/>
      <c r="QZK302" s="136"/>
      <c r="QZL302" s="136"/>
      <c r="QZM302" s="136"/>
      <c r="QZN302" s="136"/>
      <c r="QZO302" s="136"/>
      <c r="QZP302" s="136"/>
      <c r="QZQ302" s="136"/>
      <c r="QZR302" s="136"/>
      <c r="QZS302" s="136"/>
      <c r="QZT302" s="136"/>
      <c r="QZU302" s="136"/>
      <c r="QZV302" s="136"/>
      <c r="QZW302" s="136"/>
      <c r="QZX302" s="136"/>
      <c r="QZY302" s="136"/>
      <c r="QZZ302" s="136"/>
      <c r="RAA302" s="136"/>
      <c r="RAB302" s="136"/>
      <c r="RAC302" s="136"/>
      <c r="RAD302" s="136"/>
      <c r="RAE302" s="136"/>
      <c r="RAF302" s="136"/>
      <c r="RAG302" s="136"/>
      <c r="RAH302" s="136"/>
      <c r="RAI302" s="136"/>
      <c r="RAJ302" s="136"/>
      <c r="RAK302" s="136"/>
      <c r="RAL302" s="136"/>
      <c r="RAM302" s="136"/>
      <c r="RAN302" s="136"/>
      <c r="RAO302" s="136"/>
      <c r="RAP302" s="136"/>
      <c r="RAQ302" s="136"/>
      <c r="RAR302" s="136"/>
      <c r="RAS302" s="136"/>
      <c r="RAT302" s="136"/>
      <c r="RAU302" s="136"/>
      <c r="RAV302" s="136"/>
      <c r="RAW302" s="136"/>
      <c r="RAX302" s="136"/>
      <c r="RAY302" s="136"/>
      <c r="RAZ302" s="136"/>
      <c r="RBA302" s="136"/>
      <c r="RBB302" s="136"/>
      <c r="RBC302" s="136"/>
      <c r="RBD302" s="136"/>
      <c r="RBE302" s="136"/>
      <c r="RBF302" s="136"/>
      <c r="RBG302" s="136"/>
      <c r="RBH302" s="136"/>
      <c r="RBI302" s="136"/>
      <c r="RBJ302" s="136"/>
      <c r="RBK302" s="136"/>
      <c r="RBL302" s="136"/>
      <c r="RBM302" s="136"/>
      <c r="RBN302" s="136"/>
      <c r="RBO302" s="136"/>
      <c r="RBP302" s="136"/>
      <c r="RBQ302" s="136"/>
      <c r="RBR302" s="136"/>
      <c r="RBS302" s="136"/>
      <c r="RBT302" s="136"/>
      <c r="RBU302" s="136"/>
      <c r="RBV302" s="136"/>
      <c r="RBW302" s="136"/>
      <c r="RBX302" s="136"/>
      <c r="RBY302" s="136"/>
      <c r="RBZ302" s="136"/>
      <c r="RCA302" s="136"/>
      <c r="RCB302" s="136"/>
      <c r="RCC302" s="136"/>
      <c r="RCD302" s="136"/>
      <c r="RCE302" s="136"/>
      <c r="RCF302" s="136"/>
      <c r="RCG302" s="136"/>
      <c r="RCH302" s="136"/>
      <c r="RCI302" s="136"/>
      <c r="RCJ302" s="136"/>
      <c r="RCK302" s="136"/>
      <c r="RCL302" s="136"/>
      <c r="RCM302" s="136"/>
      <c r="RCN302" s="136"/>
      <c r="RCO302" s="136"/>
      <c r="RCP302" s="136"/>
      <c r="RCQ302" s="136"/>
      <c r="RCR302" s="136"/>
      <c r="RCS302" s="136"/>
      <c r="RCT302" s="136"/>
      <c r="RCU302" s="136"/>
      <c r="RCV302" s="136"/>
      <c r="RCW302" s="136"/>
      <c r="RCX302" s="136"/>
      <c r="RCY302" s="136"/>
      <c r="RCZ302" s="136"/>
      <c r="RDA302" s="136"/>
      <c r="RDB302" s="136"/>
      <c r="RDC302" s="136"/>
      <c r="RDD302" s="136"/>
      <c r="RDE302" s="136"/>
      <c r="RDF302" s="136"/>
      <c r="RDG302" s="136"/>
      <c r="RDH302" s="136"/>
      <c r="RDI302" s="136"/>
      <c r="RDJ302" s="136"/>
      <c r="RDK302" s="136"/>
      <c r="RDL302" s="136"/>
      <c r="RDM302" s="136"/>
      <c r="RDN302" s="136"/>
      <c r="RDO302" s="136"/>
      <c r="RDP302" s="136"/>
      <c r="RDQ302" s="136"/>
      <c r="RDR302" s="136"/>
      <c r="RDS302" s="136"/>
      <c r="RDT302" s="136"/>
      <c r="RDU302" s="136"/>
      <c r="RDV302" s="136"/>
      <c r="RDW302" s="136"/>
      <c r="RDX302" s="136"/>
      <c r="RDY302" s="136"/>
      <c r="RDZ302" s="136"/>
      <c r="REA302" s="136"/>
      <c r="REB302" s="136"/>
      <c r="REC302" s="136"/>
      <c r="RED302" s="136"/>
      <c r="REE302" s="136"/>
      <c r="REF302" s="136"/>
      <c r="REG302" s="136"/>
      <c r="REH302" s="136"/>
      <c r="REI302" s="136"/>
      <c r="REJ302" s="136"/>
      <c r="REK302" s="136"/>
      <c r="REL302" s="136"/>
      <c r="REM302" s="136"/>
      <c r="REN302" s="136"/>
      <c r="REO302" s="136"/>
      <c r="REP302" s="136"/>
      <c r="REQ302" s="136"/>
      <c r="RER302" s="136"/>
      <c r="RES302" s="136"/>
      <c r="RET302" s="136"/>
      <c r="REU302" s="136"/>
      <c r="REV302" s="136"/>
      <c r="REW302" s="136"/>
      <c r="REX302" s="136"/>
      <c r="REY302" s="136"/>
      <c r="REZ302" s="136"/>
      <c r="RFA302" s="136"/>
      <c r="RFB302" s="136"/>
      <c r="RFC302" s="136"/>
      <c r="RFD302" s="136"/>
      <c r="RFE302" s="136"/>
      <c r="RFF302" s="136"/>
      <c r="RFG302" s="136"/>
      <c r="RFH302" s="136"/>
      <c r="RFI302" s="136"/>
      <c r="RFJ302" s="136"/>
      <c r="RFK302" s="136"/>
      <c r="RFL302" s="136"/>
      <c r="RFM302" s="136"/>
      <c r="RFN302" s="136"/>
      <c r="RFO302" s="136"/>
      <c r="RFP302" s="136"/>
      <c r="RFQ302" s="136"/>
      <c r="RFR302" s="136"/>
      <c r="RFS302" s="136"/>
      <c r="RFT302" s="136"/>
      <c r="RFU302" s="136"/>
      <c r="RFV302" s="136"/>
      <c r="RFW302" s="136"/>
      <c r="RFX302" s="136"/>
      <c r="RFY302" s="136"/>
      <c r="RFZ302" s="136"/>
      <c r="RGA302" s="136"/>
      <c r="RGB302" s="136"/>
      <c r="RGC302" s="136"/>
      <c r="RGD302" s="136"/>
      <c r="RGE302" s="136"/>
      <c r="RGF302" s="136"/>
      <c r="RGG302" s="136"/>
      <c r="RGH302" s="136"/>
      <c r="RGI302" s="136"/>
      <c r="RGJ302" s="136"/>
      <c r="RGK302" s="136"/>
      <c r="RGL302" s="136"/>
      <c r="RGM302" s="136"/>
      <c r="RGN302" s="136"/>
      <c r="RGO302" s="136"/>
      <c r="RGP302" s="136"/>
      <c r="RGQ302" s="136"/>
      <c r="RGR302" s="136"/>
      <c r="RGS302" s="136"/>
      <c r="RGT302" s="136"/>
      <c r="RGU302" s="136"/>
      <c r="RGV302" s="136"/>
      <c r="RGW302" s="136"/>
      <c r="RGX302" s="136"/>
      <c r="RGY302" s="136"/>
      <c r="RGZ302" s="136"/>
      <c r="RHA302" s="136"/>
      <c r="RHB302" s="136"/>
      <c r="RHC302" s="136"/>
      <c r="RHD302" s="136"/>
      <c r="RHE302" s="136"/>
      <c r="RHF302" s="136"/>
      <c r="RHG302" s="136"/>
      <c r="RHH302" s="136"/>
      <c r="RHI302" s="136"/>
      <c r="RHJ302" s="136"/>
      <c r="RHK302" s="136"/>
      <c r="RHL302" s="136"/>
      <c r="RHM302" s="136"/>
      <c r="RHN302" s="136"/>
      <c r="RHO302" s="136"/>
      <c r="RHP302" s="136"/>
      <c r="RHQ302" s="136"/>
      <c r="RHR302" s="136"/>
      <c r="RHS302" s="136"/>
      <c r="RHT302" s="136"/>
      <c r="RHU302" s="136"/>
      <c r="RHV302" s="136"/>
      <c r="RHW302" s="136"/>
      <c r="RHX302" s="136"/>
      <c r="RHY302" s="136"/>
      <c r="RHZ302" s="136"/>
      <c r="RIA302" s="136"/>
      <c r="RIB302" s="136"/>
      <c r="RIC302" s="136"/>
      <c r="RID302" s="136"/>
      <c r="RIE302" s="136"/>
      <c r="RIF302" s="136"/>
      <c r="RIG302" s="136"/>
      <c r="RIH302" s="136"/>
      <c r="RII302" s="136"/>
      <c r="RIJ302" s="136"/>
      <c r="RIK302" s="136"/>
      <c r="RIL302" s="136"/>
      <c r="RIM302" s="136"/>
      <c r="RIN302" s="136"/>
      <c r="RIO302" s="136"/>
      <c r="RIP302" s="136"/>
      <c r="RIQ302" s="136"/>
      <c r="RIR302" s="136"/>
      <c r="RIS302" s="136"/>
      <c r="RIT302" s="136"/>
      <c r="RIU302" s="136"/>
      <c r="RIV302" s="136"/>
      <c r="RIW302" s="136"/>
      <c r="RIX302" s="136"/>
      <c r="RIY302" s="136"/>
      <c r="RIZ302" s="136"/>
      <c r="RJA302" s="136"/>
      <c r="RJB302" s="136"/>
      <c r="RJC302" s="136"/>
      <c r="RJD302" s="136"/>
      <c r="RJE302" s="136"/>
      <c r="RJF302" s="136"/>
      <c r="RJG302" s="136"/>
      <c r="RJH302" s="136"/>
      <c r="RJI302" s="136"/>
      <c r="RJJ302" s="136"/>
      <c r="RJK302" s="136"/>
      <c r="RJL302" s="136"/>
      <c r="RJM302" s="136"/>
      <c r="RJN302" s="136"/>
      <c r="RJO302" s="136"/>
      <c r="RJP302" s="136"/>
      <c r="RJQ302" s="136"/>
      <c r="RJR302" s="136"/>
      <c r="RJS302" s="136"/>
      <c r="RJT302" s="136"/>
      <c r="RJU302" s="136"/>
      <c r="RJV302" s="136"/>
      <c r="RJW302" s="136"/>
      <c r="RJX302" s="136"/>
      <c r="RJY302" s="136"/>
      <c r="RJZ302" s="136"/>
      <c r="RKA302" s="136"/>
      <c r="RKB302" s="136"/>
      <c r="RKC302" s="136"/>
      <c r="RKD302" s="136"/>
      <c r="RKE302" s="136"/>
      <c r="RKF302" s="136"/>
      <c r="RKG302" s="136"/>
      <c r="RKH302" s="136"/>
      <c r="RKI302" s="136"/>
      <c r="RKJ302" s="136"/>
      <c r="RKK302" s="136"/>
      <c r="RKL302" s="136"/>
      <c r="RKM302" s="136"/>
      <c r="RKN302" s="136"/>
      <c r="RKO302" s="136"/>
      <c r="RKP302" s="136"/>
      <c r="RKQ302" s="136"/>
      <c r="RKR302" s="136"/>
      <c r="RKS302" s="136"/>
      <c r="RKT302" s="136"/>
      <c r="RKU302" s="136"/>
      <c r="RKV302" s="136"/>
      <c r="RKW302" s="136"/>
      <c r="RKX302" s="136"/>
      <c r="RKY302" s="136"/>
      <c r="RKZ302" s="136"/>
      <c r="RLA302" s="136"/>
      <c r="RLB302" s="136"/>
      <c r="RLC302" s="136"/>
      <c r="RLD302" s="136"/>
      <c r="RLE302" s="136"/>
      <c r="RLF302" s="136"/>
      <c r="RLG302" s="136"/>
      <c r="RLH302" s="136"/>
      <c r="RLI302" s="136"/>
      <c r="RLJ302" s="136"/>
      <c r="RLK302" s="136"/>
      <c r="RLL302" s="136"/>
      <c r="RLM302" s="136"/>
      <c r="RLN302" s="136"/>
      <c r="RLO302" s="136"/>
      <c r="RLP302" s="136"/>
      <c r="RLQ302" s="136"/>
      <c r="RLR302" s="136"/>
      <c r="RLS302" s="136"/>
      <c r="RLT302" s="136"/>
      <c r="RLU302" s="136"/>
      <c r="RLV302" s="136"/>
      <c r="RLW302" s="136"/>
      <c r="RLX302" s="136"/>
      <c r="RLY302" s="136"/>
      <c r="RLZ302" s="136"/>
      <c r="RMA302" s="136"/>
      <c r="RMB302" s="136"/>
      <c r="RMC302" s="136"/>
      <c r="RMD302" s="136"/>
      <c r="RME302" s="136"/>
      <c r="RMF302" s="136"/>
      <c r="RMG302" s="136"/>
      <c r="RMH302" s="136"/>
      <c r="RMI302" s="136"/>
      <c r="RMJ302" s="136"/>
      <c r="RMK302" s="136"/>
      <c r="RML302" s="136"/>
      <c r="RMM302" s="136"/>
      <c r="RMN302" s="136"/>
      <c r="RMO302" s="136"/>
      <c r="RMP302" s="136"/>
      <c r="RMQ302" s="136"/>
      <c r="RMR302" s="136"/>
      <c r="RMS302" s="136"/>
      <c r="RMT302" s="136"/>
      <c r="RMU302" s="136"/>
      <c r="RMV302" s="136"/>
      <c r="RMW302" s="136"/>
      <c r="RMX302" s="136"/>
      <c r="RMY302" s="136"/>
      <c r="RMZ302" s="136"/>
      <c r="RNA302" s="136"/>
      <c r="RNB302" s="136"/>
      <c r="RNC302" s="136"/>
      <c r="RND302" s="136"/>
      <c r="RNE302" s="136"/>
      <c r="RNF302" s="136"/>
      <c r="RNG302" s="136"/>
      <c r="RNH302" s="136"/>
      <c r="RNI302" s="136"/>
      <c r="RNJ302" s="136"/>
      <c r="RNK302" s="136"/>
      <c r="RNL302" s="136"/>
      <c r="RNM302" s="136"/>
      <c r="RNN302" s="136"/>
      <c r="RNO302" s="136"/>
      <c r="RNP302" s="136"/>
      <c r="RNQ302" s="136"/>
      <c r="RNR302" s="136"/>
      <c r="RNS302" s="136"/>
      <c r="RNT302" s="136"/>
      <c r="RNU302" s="136"/>
      <c r="RNV302" s="136"/>
      <c r="RNW302" s="136"/>
      <c r="RNX302" s="136"/>
      <c r="RNY302" s="136"/>
      <c r="RNZ302" s="136"/>
      <c r="ROA302" s="136"/>
      <c r="ROB302" s="136"/>
      <c r="ROC302" s="136"/>
      <c r="ROD302" s="136"/>
      <c r="ROE302" s="136"/>
      <c r="ROF302" s="136"/>
      <c r="ROG302" s="136"/>
      <c r="ROH302" s="136"/>
      <c r="ROI302" s="136"/>
      <c r="ROJ302" s="136"/>
      <c r="ROK302" s="136"/>
      <c r="ROL302" s="136"/>
      <c r="ROM302" s="136"/>
      <c r="RON302" s="136"/>
      <c r="ROO302" s="136"/>
      <c r="ROP302" s="136"/>
      <c r="ROQ302" s="136"/>
      <c r="ROR302" s="136"/>
      <c r="ROS302" s="136"/>
      <c r="ROT302" s="136"/>
      <c r="ROU302" s="136"/>
      <c r="ROV302" s="136"/>
      <c r="ROW302" s="136"/>
      <c r="ROX302" s="136"/>
      <c r="ROY302" s="136"/>
      <c r="ROZ302" s="136"/>
      <c r="RPA302" s="136"/>
      <c r="RPB302" s="136"/>
      <c r="RPC302" s="136"/>
      <c r="RPD302" s="136"/>
      <c r="RPE302" s="136"/>
      <c r="RPF302" s="136"/>
      <c r="RPG302" s="136"/>
      <c r="RPH302" s="136"/>
      <c r="RPI302" s="136"/>
      <c r="RPJ302" s="136"/>
      <c r="RPK302" s="136"/>
      <c r="RPL302" s="136"/>
      <c r="RPM302" s="136"/>
      <c r="RPN302" s="136"/>
      <c r="RPO302" s="136"/>
      <c r="RPP302" s="136"/>
      <c r="RPQ302" s="136"/>
      <c r="RPR302" s="136"/>
      <c r="RPS302" s="136"/>
      <c r="RPT302" s="136"/>
      <c r="RPU302" s="136"/>
      <c r="RPV302" s="136"/>
      <c r="RPW302" s="136"/>
      <c r="RPX302" s="136"/>
      <c r="RPY302" s="136"/>
      <c r="RPZ302" s="136"/>
      <c r="RQA302" s="136"/>
      <c r="RQB302" s="136"/>
      <c r="RQC302" s="136"/>
      <c r="RQD302" s="136"/>
      <c r="RQE302" s="136"/>
      <c r="RQF302" s="136"/>
      <c r="RQG302" s="136"/>
      <c r="RQH302" s="136"/>
      <c r="RQI302" s="136"/>
      <c r="RQJ302" s="136"/>
      <c r="RQK302" s="136"/>
      <c r="RQL302" s="136"/>
      <c r="RQM302" s="136"/>
      <c r="RQN302" s="136"/>
      <c r="RQO302" s="136"/>
      <c r="RQP302" s="136"/>
      <c r="RQQ302" s="136"/>
      <c r="RQR302" s="136"/>
      <c r="RQS302" s="136"/>
      <c r="RQT302" s="136"/>
      <c r="RQU302" s="136"/>
      <c r="RQV302" s="136"/>
      <c r="RQW302" s="136"/>
      <c r="RQX302" s="136"/>
      <c r="RQY302" s="136"/>
      <c r="RQZ302" s="136"/>
      <c r="RRA302" s="136"/>
      <c r="RRB302" s="136"/>
      <c r="RRC302" s="136"/>
      <c r="RRD302" s="136"/>
      <c r="RRE302" s="136"/>
      <c r="RRF302" s="136"/>
      <c r="RRG302" s="136"/>
      <c r="RRH302" s="136"/>
      <c r="RRI302" s="136"/>
      <c r="RRJ302" s="136"/>
      <c r="RRK302" s="136"/>
      <c r="RRL302" s="136"/>
      <c r="RRM302" s="136"/>
      <c r="RRN302" s="136"/>
      <c r="RRO302" s="136"/>
      <c r="RRP302" s="136"/>
      <c r="RRQ302" s="136"/>
      <c r="RRR302" s="136"/>
      <c r="RRS302" s="136"/>
      <c r="RRT302" s="136"/>
      <c r="RRU302" s="136"/>
      <c r="RRV302" s="136"/>
      <c r="RRW302" s="136"/>
      <c r="RRX302" s="136"/>
      <c r="RRY302" s="136"/>
      <c r="RRZ302" s="136"/>
      <c r="RSA302" s="136"/>
      <c r="RSB302" s="136"/>
      <c r="RSC302" s="136"/>
      <c r="RSD302" s="136"/>
      <c r="RSE302" s="136"/>
      <c r="RSF302" s="136"/>
      <c r="RSG302" s="136"/>
      <c r="RSH302" s="136"/>
      <c r="RSI302" s="136"/>
      <c r="RSJ302" s="136"/>
      <c r="RSK302" s="136"/>
      <c r="RSL302" s="136"/>
      <c r="RSM302" s="136"/>
      <c r="RSN302" s="136"/>
      <c r="RSO302" s="136"/>
      <c r="RSP302" s="136"/>
      <c r="RSQ302" s="136"/>
      <c r="RSR302" s="136"/>
      <c r="RSS302" s="136"/>
      <c r="RST302" s="136"/>
      <c r="RSU302" s="136"/>
      <c r="RSV302" s="136"/>
      <c r="RSW302" s="136"/>
      <c r="RSX302" s="136"/>
      <c r="RSY302" s="136"/>
      <c r="RSZ302" s="136"/>
      <c r="RTA302" s="136"/>
      <c r="RTB302" s="136"/>
      <c r="RTC302" s="136"/>
      <c r="RTD302" s="136"/>
      <c r="RTE302" s="136"/>
      <c r="RTF302" s="136"/>
      <c r="RTG302" s="136"/>
      <c r="RTH302" s="136"/>
      <c r="RTI302" s="136"/>
      <c r="RTJ302" s="136"/>
      <c r="RTK302" s="136"/>
      <c r="RTL302" s="136"/>
      <c r="RTM302" s="136"/>
      <c r="RTN302" s="136"/>
      <c r="RTO302" s="136"/>
      <c r="RTP302" s="136"/>
      <c r="RTQ302" s="136"/>
      <c r="RTR302" s="136"/>
      <c r="RTS302" s="136"/>
      <c r="RTT302" s="136"/>
      <c r="RTU302" s="136"/>
      <c r="RTV302" s="136"/>
      <c r="RTW302" s="136"/>
      <c r="RTX302" s="136"/>
      <c r="RTY302" s="136"/>
      <c r="RTZ302" s="136"/>
      <c r="RUA302" s="136"/>
      <c r="RUB302" s="136"/>
      <c r="RUC302" s="136"/>
      <c r="RUD302" s="136"/>
      <c r="RUE302" s="136"/>
      <c r="RUF302" s="136"/>
      <c r="RUG302" s="136"/>
      <c r="RUH302" s="136"/>
      <c r="RUI302" s="136"/>
      <c r="RUJ302" s="136"/>
      <c r="RUK302" s="136"/>
      <c r="RUL302" s="136"/>
      <c r="RUM302" s="136"/>
      <c r="RUN302" s="136"/>
      <c r="RUO302" s="136"/>
      <c r="RUP302" s="136"/>
      <c r="RUQ302" s="136"/>
      <c r="RUR302" s="136"/>
      <c r="RUS302" s="136"/>
      <c r="RUT302" s="136"/>
      <c r="RUU302" s="136"/>
      <c r="RUV302" s="136"/>
      <c r="RUW302" s="136"/>
      <c r="RUX302" s="136"/>
      <c r="RUY302" s="136"/>
      <c r="RUZ302" s="136"/>
      <c r="RVA302" s="136"/>
      <c r="RVB302" s="136"/>
      <c r="RVC302" s="136"/>
      <c r="RVD302" s="136"/>
      <c r="RVE302" s="136"/>
      <c r="RVF302" s="136"/>
      <c r="RVG302" s="136"/>
      <c r="RVH302" s="136"/>
      <c r="RVI302" s="136"/>
      <c r="RVJ302" s="136"/>
      <c r="RVK302" s="136"/>
      <c r="RVL302" s="136"/>
      <c r="RVM302" s="136"/>
      <c r="RVN302" s="136"/>
      <c r="RVO302" s="136"/>
      <c r="RVP302" s="136"/>
      <c r="RVQ302" s="136"/>
      <c r="RVR302" s="136"/>
      <c r="RVS302" s="136"/>
      <c r="RVT302" s="136"/>
      <c r="RVU302" s="136"/>
      <c r="RVV302" s="136"/>
      <c r="RVW302" s="136"/>
      <c r="RVX302" s="136"/>
      <c r="RVY302" s="136"/>
      <c r="RVZ302" s="136"/>
      <c r="RWA302" s="136"/>
      <c r="RWB302" s="136"/>
      <c r="RWC302" s="136"/>
      <c r="RWD302" s="136"/>
      <c r="RWE302" s="136"/>
      <c r="RWF302" s="136"/>
      <c r="RWG302" s="136"/>
      <c r="RWH302" s="136"/>
      <c r="RWI302" s="136"/>
      <c r="RWJ302" s="136"/>
      <c r="RWK302" s="136"/>
      <c r="RWL302" s="136"/>
      <c r="RWM302" s="136"/>
      <c r="RWN302" s="136"/>
      <c r="RWO302" s="136"/>
      <c r="RWP302" s="136"/>
      <c r="RWQ302" s="136"/>
      <c r="RWR302" s="136"/>
      <c r="RWS302" s="136"/>
      <c r="RWT302" s="136"/>
      <c r="RWU302" s="136"/>
      <c r="RWV302" s="136"/>
      <c r="RWW302" s="136"/>
      <c r="RWX302" s="136"/>
      <c r="RWY302" s="136"/>
      <c r="RWZ302" s="136"/>
      <c r="RXA302" s="136"/>
      <c r="RXB302" s="136"/>
      <c r="RXC302" s="136"/>
      <c r="RXD302" s="136"/>
      <c r="RXE302" s="136"/>
      <c r="RXF302" s="136"/>
      <c r="RXG302" s="136"/>
      <c r="RXH302" s="136"/>
      <c r="RXI302" s="136"/>
      <c r="RXJ302" s="136"/>
      <c r="RXK302" s="136"/>
      <c r="RXL302" s="136"/>
      <c r="RXM302" s="136"/>
      <c r="RXN302" s="136"/>
      <c r="RXO302" s="136"/>
      <c r="RXP302" s="136"/>
      <c r="RXQ302" s="136"/>
      <c r="RXR302" s="136"/>
      <c r="RXS302" s="136"/>
      <c r="RXT302" s="136"/>
      <c r="RXU302" s="136"/>
      <c r="RXV302" s="136"/>
      <c r="RXW302" s="136"/>
      <c r="RXX302" s="136"/>
      <c r="RXY302" s="136"/>
      <c r="RXZ302" s="136"/>
      <c r="RYA302" s="136"/>
      <c r="RYB302" s="136"/>
      <c r="RYC302" s="136"/>
      <c r="RYD302" s="136"/>
      <c r="RYE302" s="136"/>
      <c r="RYF302" s="136"/>
      <c r="RYG302" s="136"/>
      <c r="RYH302" s="136"/>
      <c r="RYI302" s="136"/>
      <c r="RYJ302" s="136"/>
      <c r="RYK302" s="136"/>
      <c r="RYL302" s="136"/>
      <c r="RYM302" s="136"/>
      <c r="RYN302" s="136"/>
      <c r="RYO302" s="136"/>
      <c r="RYP302" s="136"/>
      <c r="RYQ302" s="136"/>
      <c r="RYR302" s="136"/>
      <c r="RYS302" s="136"/>
      <c r="RYT302" s="136"/>
      <c r="RYU302" s="136"/>
      <c r="RYV302" s="136"/>
      <c r="RYW302" s="136"/>
      <c r="RYX302" s="136"/>
      <c r="RYY302" s="136"/>
      <c r="RYZ302" s="136"/>
      <c r="RZA302" s="136"/>
      <c r="RZB302" s="136"/>
      <c r="RZC302" s="136"/>
      <c r="RZD302" s="136"/>
      <c r="RZE302" s="136"/>
      <c r="RZF302" s="136"/>
      <c r="RZG302" s="136"/>
      <c r="RZH302" s="136"/>
      <c r="RZI302" s="136"/>
      <c r="RZJ302" s="136"/>
      <c r="RZK302" s="136"/>
      <c r="RZL302" s="136"/>
      <c r="RZM302" s="136"/>
      <c r="RZN302" s="136"/>
      <c r="RZO302" s="136"/>
      <c r="RZP302" s="136"/>
      <c r="RZQ302" s="136"/>
      <c r="RZR302" s="136"/>
      <c r="RZS302" s="136"/>
      <c r="RZT302" s="136"/>
      <c r="RZU302" s="136"/>
      <c r="RZV302" s="136"/>
      <c r="RZW302" s="136"/>
      <c r="RZX302" s="136"/>
      <c r="RZY302" s="136"/>
      <c r="RZZ302" s="136"/>
      <c r="SAA302" s="136"/>
      <c r="SAB302" s="136"/>
      <c r="SAC302" s="136"/>
      <c r="SAD302" s="136"/>
      <c r="SAE302" s="136"/>
      <c r="SAF302" s="136"/>
      <c r="SAG302" s="136"/>
      <c r="SAH302" s="136"/>
      <c r="SAI302" s="136"/>
      <c r="SAJ302" s="136"/>
      <c r="SAK302" s="136"/>
      <c r="SAL302" s="136"/>
      <c r="SAM302" s="136"/>
      <c r="SAN302" s="136"/>
      <c r="SAO302" s="136"/>
      <c r="SAP302" s="136"/>
      <c r="SAQ302" s="136"/>
      <c r="SAR302" s="136"/>
      <c r="SAS302" s="136"/>
      <c r="SAT302" s="136"/>
      <c r="SAU302" s="136"/>
      <c r="SAV302" s="136"/>
      <c r="SAW302" s="136"/>
      <c r="SAX302" s="136"/>
      <c r="SAY302" s="136"/>
      <c r="SAZ302" s="136"/>
      <c r="SBA302" s="136"/>
      <c r="SBB302" s="136"/>
      <c r="SBC302" s="136"/>
      <c r="SBD302" s="136"/>
      <c r="SBE302" s="136"/>
      <c r="SBF302" s="136"/>
      <c r="SBG302" s="136"/>
      <c r="SBH302" s="136"/>
      <c r="SBI302" s="136"/>
      <c r="SBJ302" s="136"/>
      <c r="SBK302" s="136"/>
      <c r="SBL302" s="136"/>
      <c r="SBM302" s="136"/>
      <c r="SBN302" s="136"/>
      <c r="SBO302" s="136"/>
      <c r="SBP302" s="136"/>
      <c r="SBQ302" s="136"/>
      <c r="SBR302" s="136"/>
      <c r="SBS302" s="136"/>
      <c r="SBT302" s="136"/>
      <c r="SBU302" s="136"/>
      <c r="SBV302" s="136"/>
      <c r="SBW302" s="136"/>
      <c r="SBX302" s="136"/>
      <c r="SBY302" s="136"/>
      <c r="SBZ302" s="136"/>
      <c r="SCA302" s="136"/>
      <c r="SCB302" s="136"/>
      <c r="SCC302" s="136"/>
      <c r="SCD302" s="136"/>
      <c r="SCE302" s="136"/>
      <c r="SCF302" s="136"/>
      <c r="SCG302" s="136"/>
      <c r="SCH302" s="136"/>
      <c r="SCI302" s="136"/>
      <c r="SCJ302" s="136"/>
      <c r="SCK302" s="136"/>
      <c r="SCL302" s="136"/>
      <c r="SCM302" s="136"/>
      <c r="SCN302" s="136"/>
      <c r="SCO302" s="136"/>
      <c r="SCP302" s="136"/>
      <c r="SCQ302" s="136"/>
      <c r="SCR302" s="136"/>
      <c r="SCS302" s="136"/>
      <c r="SCT302" s="136"/>
      <c r="SCU302" s="136"/>
      <c r="SCV302" s="136"/>
      <c r="SCW302" s="136"/>
      <c r="SCX302" s="136"/>
      <c r="SCY302" s="136"/>
      <c r="SCZ302" s="136"/>
      <c r="SDA302" s="136"/>
      <c r="SDB302" s="136"/>
      <c r="SDC302" s="136"/>
      <c r="SDD302" s="136"/>
      <c r="SDE302" s="136"/>
      <c r="SDF302" s="136"/>
      <c r="SDG302" s="136"/>
      <c r="SDH302" s="136"/>
      <c r="SDI302" s="136"/>
      <c r="SDJ302" s="136"/>
      <c r="SDK302" s="136"/>
      <c r="SDL302" s="136"/>
      <c r="SDM302" s="136"/>
      <c r="SDN302" s="136"/>
      <c r="SDO302" s="136"/>
      <c r="SDP302" s="136"/>
      <c r="SDQ302" s="136"/>
      <c r="SDR302" s="136"/>
      <c r="SDS302" s="136"/>
      <c r="SDT302" s="136"/>
      <c r="SDU302" s="136"/>
      <c r="SDV302" s="136"/>
      <c r="SDW302" s="136"/>
      <c r="SDX302" s="136"/>
      <c r="SDY302" s="136"/>
      <c r="SDZ302" s="136"/>
      <c r="SEA302" s="136"/>
      <c r="SEB302" s="136"/>
      <c r="SEC302" s="136"/>
      <c r="SED302" s="136"/>
      <c r="SEE302" s="136"/>
      <c r="SEF302" s="136"/>
      <c r="SEG302" s="136"/>
      <c r="SEH302" s="136"/>
      <c r="SEI302" s="136"/>
      <c r="SEJ302" s="136"/>
      <c r="SEK302" s="136"/>
      <c r="SEL302" s="136"/>
      <c r="SEM302" s="136"/>
      <c r="SEN302" s="136"/>
      <c r="SEO302" s="136"/>
      <c r="SEP302" s="136"/>
      <c r="SEQ302" s="136"/>
      <c r="SER302" s="136"/>
      <c r="SES302" s="136"/>
      <c r="SET302" s="136"/>
      <c r="SEU302" s="136"/>
      <c r="SEV302" s="136"/>
      <c r="SEW302" s="136"/>
      <c r="SEX302" s="136"/>
      <c r="SEY302" s="136"/>
      <c r="SEZ302" s="136"/>
      <c r="SFA302" s="136"/>
      <c r="SFB302" s="136"/>
      <c r="SFC302" s="136"/>
      <c r="SFD302" s="136"/>
      <c r="SFE302" s="136"/>
      <c r="SFF302" s="136"/>
      <c r="SFG302" s="136"/>
      <c r="SFH302" s="136"/>
      <c r="SFI302" s="136"/>
      <c r="SFJ302" s="136"/>
      <c r="SFK302" s="136"/>
      <c r="SFL302" s="136"/>
      <c r="SFM302" s="136"/>
      <c r="SFN302" s="136"/>
      <c r="SFO302" s="136"/>
      <c r="SFP302" s="136"/>
      <c r="SFQ302" s="136"/>
      <c r="SFR302" s="136"/>
      <c r="SFS302" s="136"/>
      <c r="SFT302" s="136"/>
      <c r="SFU302" s="136"/>
      <c r="SFV302" s="136"/>
      <c r="SFW302" s="136"/>
      <c r="SFX302" s="136"/>
      <c r="SFY302" s="136"/>
      <c r="SFZ302" s="136"/>
      <c r="SGA302" s="136"/>
      <c r="SGB302" s="136"/>
      <c r="SGC302" s="136"/>
      <c r="SGD302" s="136"/>
      <c r="SGE302" s="136"/>
      <c r="SGF302" s="136"/>
      <c r="SGG302" s="136"/>
      <c r="SGH302" s="136"/>
      <c r="SGI302" s="136"/>
      <c r="SGJ302" s="136"/>
      <c r="SGK302" s="136"/>
      <c r="SGL302" s="136"/>
      <c r="SGM302" s="136"/>
      <c r="SGN302" s="136"/>
      <c r="SGO302" s="136"/>
      <c r="SGP302" s="136"/>
      <c r="SGQ302" s="136"/>
      <c r="SGR302" s="136"/>
      <c r="SGS302" s="136"/>
      <c r="SGT302" s="136"/>
      <c r="SGU302" s="136"/>
      <c r="SGV302" s="136"/>
      <c r="SGW302" s="136"/>
      <c r="SGX302" s="136"/>
      <c r="SGY302" s="136"/>
      <c r="SGZ302" s="136"/>
      <c r="SHA302" s="136"/>
      <c r="SHB302" s="136"/>
      <c r="SHC302" s="136"/>
      <c r="SHD302" s="136"/>
      <c r="SHE302" s="136"/>
      <c r="SHF302" s="136"/>
      <c r="SHG302" s="136"/>
      <c r="SHH302" s="136"/>
      <c r="SHI302" s="136"/>
      <c r="SHJ302" s="136"/>
      <c r="SHK302" s="136"/>
      <c r="SHL302" s="136"/>
      <c r="SHM302" s="136"/>
      <c r="SHN302" s="136"/>
      <c r="SHO302" s="136"/>
      <c r="SHP302" s="136"/>
      <c r="SHQ302" s="136"/>
      <c r="SHR302" s="136"/>
      <c r="SHS302" s="136"/>
      <c r="SHT302" s="136"/>
      <c r="SHU302" s="136"/>
      <c r="SHV302" s="136"/>
      <c r="SHW302" s="136"/>
      <c r="SHX302" s="136"/>
      <c r="SHY302" s="136"/>
      <c r="SHZ302" s="136"/>
      <c r="SIA302" s="136"/>
      <c r="SIB302" s="136"/>
      <c r="SIC302" s="136"/>
      <c r="SID302" s="136"/>
      <c r="SIE302" s="136"/>
      <c r="SIF302" s="136"/>
      <c r="SIG302" s="136"/>
      <c r="SIH302" s="136"/>
      <c r="SII302" s="136"/>
      <c r="SIJ302" s="136"/>
      <c r="SIK302" s="136"/>
      <c r="SIL302" s="136"/>
      <c r="SIM302" s="136"/>
      <c r="SIN302" s="136"/>
      <c r="SIO302" s="136"/>
      <c r="SIP302" s="136"/>
      <c r="SIQ302" s="136"/>
      <c r="SIR302" s="136"/>
      <c r="SIS302" s="136"/>
      <c r="SIT302" s="136"/>
      <c r="SIU302" s="136"/>
      <c r="SIV302" s="136"/>
      <c r="SIW302" s="136"/>
      <c r="SIX302" s="136"/>
      <c r="SIY302" s="136"/>
      <c r="SIZ302" s="136"/>
      <c r="SJA302" s="136"/>
      <c r="SJB302" s="136"/>
      <c r="SJC302" s="136"/>
      <c r="SJD302" s="136"/>
      <c r="SJE302" s="136"/>
      <c r="SJF302" s="136"/>
      <c r="SJG302" s="136"/>
      <c r="SJH302" s="136"/>
      <c r="SJI302" s="136"/>
      <c r="SJJ302" s="136"/>
      <c r="SJK302" s="136"/>
      <c r="SJL302" s="136"/>
      <c r="SJM302" s="136"/>
      <c r="SJN302" s="136"/>
      <c r="SJO302" s="136"/>
      <c r="SJP302" s="136"/>
      <c r="SJQ302" s="136"/>
      <c r="SJR302" s="136"/>
      <c r="SJS302" s="136"/>
      <c r="SJT302" s="136"/>
      <c r="SJU302" s="136"/>
      <c r="SJV302" s="136"/>
      <c r="SJW302" s="136"/>
      <c r="SJX302" s="136"/>
      <c r="SJY302" s="136"/>
      <c r="SJZ302" s="136"/>
      <c r="SKA302" s="136"/>
      <c r="SKB302" s="136"/>
      <c r="SKC302" s="136"/>
      <c r="SKD302" s="136"/>
      <c r="SKE302" s="136"/>
      <c r="SKF302" s="136"/>
      <c r="SKG302" s="136"/>
      <c r="SKH302" s="136"/>
      <c r="SKI302" s="136"/>
      <c r="SKJ302" s="136"/>
      <c r="SKK302" s="136"/>
      <c r="SKL302" s="136"/>
      <c r="SKM302" s="136"/>
      <c r="SKN302" s="136"/>
      <c r="SKO302" s="136"/>
      <c r="SKP302" s="136"/>
      <c r="SKQ302" s="136"/>
      <c r="SKR302" s="136"/>
      <c r="SKS302" s="136"/>
      <c r="SKT302" s="136"/>
      <c r="SKU302" s="136"/>
      <c r="SKV302" s="136"/>
      <c r="SKW302" s="136"/>
      <c r="SKX302" s="136"/>
      <c r="SKY302" s="136"/>
      <c r="SKZ302" s="136"/>
      <c r="SLA302" s="136"/>
      <c r="SLB302" s="136"/>
      <c r="SLC302" s="136"/>
      <c r="SLD302" s="136"/>
      <c r="SLE302" s="136"/>
      <c r="SLF302" s="136"/>
      <c r="SLG302" s="136"/>
      <c r="SLH302" s="136"/>
      <c r="SLI302" s="136"/>
      <c r="SLJ302" s="136"/>
      <c r="SLK302" s="136"/>
      <c r="SLL302" s="136"/>
      <c r="SLM302" s="136"/>
      <c r="SLN302" s="136"/>
      <c r="SLO302" s="136"/>
      <c r="SLP302" s="136"/>
      <c r="SLQ302" s="136"/>
      <c r="SLR302" s="136"/>
      <c r="SLS302" s="136"/>
      <c r="SLT302" s="136"/>
      <c r="SLU302" s="136"/>
      <c r="SLV302" s="136"/>
      <c r="SLW302" s="136"/>
      <c r="SLX302" s="136"/>
      <c r="SLY302" s="136"/>
      <c r="SLZ302" s="136"/>
      <c r="SMA302" s="136"/>
      <c r="SMB302" s="136"/>
      <c r="SMC302" s="136"/>
      <c r="SMD302" s="136"/>
      <c r="SME302" s="136"/>
      <c r="SMF302" s="136"/>
      <c r="SMG302" s="136"/>
      <c r="SMH302" s="136"/>
      <c r="SMI302" s="136"/>
      <c r="SMJ302" s="136"/>
      <c r="SMK302" s="136"/>
      <c r="SML302" s="136"/>
      <c r="SMM302" s="136"/>
      <c r="SMN302" s="136"/>
      <c r="SMO302" s="136"/>
      <c r="SMP302" s="136"/>
      <c r="SMQ302" s="136"/>
      <c r="SMR302" s="136"/>
      <c r="SMS302" s="136"/>
      <c r="SMT302" s="136"/>
      <c r="SMU302" s="136"/>
      <c r="SMV302" s="136"/>
      <c r="SMW302" s="136"/>
      <c r="SMX302" s="136"/>
      <c r="SMY302" s="136"/>
      <c r="SMZ302" s="136"/>
      <c r="SNA302" s="136"/>
      <c r="SNB302" s="136"/>
      <c r="SNC302" s="136"/>
      <c r="SND302" s="136"/>
      <c r="SNE302" s="136"/>
      <c r="SNF302" s="136"/>
      <c r="SNG302" s="136"/>
      <c r="SNH302" s="136"/>
      <c r="SNI302" s="136"/>
      <c r="SNJ302" s="136"/>
      <c r="SNK302" s="136"/>
      <c r="SNL302" s="136"/>
      <c r="SNM302" s="136"/>
      <c r="SNN302" s="136"/>
      <c r="SNO302" s="136"/>
      <c r="SNP302" s="136"/>
      <c r="SNQ302" s="136"/>
      <c r="SNR302" s="136"/>
      <c r="SNS302" s="136"/>
      <c r="SNT302" s="136"/>
      <c r="SNU302" s="136"/>
      <c r="SNV302" s="136"/>
      <c r="SNW302" s="136"/>
      <c r="SNX302" s="136"/>
      <c r="SNY302" s="136"/>
      <c r="SNZ302" s="136"/>
      <c r="SOA302" s="136"/>
      <c r="SOB302" s="136"/>
      <c r="SOC302" s="136"/>
      <c r="SOD302" s="136"/>
      <c r="SOE302" s="136"/>
      <c r="SOF302" s="136"/>
      <c r="SOG302" s="136"/>
      <c r="SOH302" s="136"/>
      <c r="SOI302" s="136"/>
      <c r="SOJ302" s="136"/>
      <c r="SOK302" s="136"/>
      <c r="SOL302" s="136"/>
      <c r="SOM302" s="136"/>
      <c r="SON302" s="136"/>
      <c r="SOO302" s="136"/>
      <c r="SOP302" s="136"/>
      <c r="SOQ302" s="136"/>
      <c r="SOR302" s="136"/>
      <c r="SOS302" s="136"/>
      <c r="SOT302" s="136"/>
      <c r="SOU302" s="136"/>
      <c r="SOV302" s="136"/>
      <c r="SOW302" s="136"/>
      <c r="SOX302" s="136"/>
      <c r="SOY302" s="136"/>
      <c r="SOZ302" s="136"/>
      <c r="SPA302" s="136"/>
      <c r="SPB302" s="136"/>
      <c r="SPC302" s="136"/>
      <c r="SPD302" s="136"/>
      <c r="SPE302" s="136"/>
      <c r="SPF302" s="136"/>
      <c r="SPG302" s="136"/>
      <c r="SPH302" s="136"/>
      <c r="SPI302" s="136"/>
      <c r="SPJ302" s="136"/>
      <c r="SPK302" s="136"/>
      <c r="SPL302" s="136"/>
      <c r="SPM302" s="136"/>
      <c r="SPN302" s="136"/>
      <c r="SPO302" s="136"/>
      <c r="SPP302" s="136"/>
      <c r="SPQ302" s="136"/>
      <c r="SPR302" s="136"/>
      <c r="SPS302" s="136"/>
      <c r="SPT302" s="136"/>
      <c r="SPU302" s="136"/>
      <c r="SPV302" s="136"/>
      <c r="SPW302" s="136"/>
      <c r="SPX302" s="136"/>
      <c r="SPY302" s="136"/>
      <c r="SPZ302" s="136"/>
      <c r="SQA302" s="136"/>
      <c r="SQB302" s="136"/>
      <c r="SQC302" s="136"/>
      <c r="SQD302" s="136"/>
      <c r="SQE302" s="136"/>
      <c r="SQF302" s="136"/>
      <c r="SQG302" s="136"/>
      <c r="SQH302" s="136"/>
      <c r="SQI302" s="136"/>
      <c r="SQJ302" s="136"/>
      <c r="SQK302" s="136"/>
      <c r="SQL302" s="136"/>
      <c r="SQM302" s="136"/>
      <c r="SQN302" s="136"/>
      <c r="SQO302" s="136"/>
      <c r="SQP302" s="136"/>
      <c r="SQQ302" s="136"/>
      <c r="SQR302" s="136"/>
      <c r="SQS302" s="136"/>
      <c r="SQT302" s="136"/>
      <c r="SQU302" s="136"/>
      <c r="SQV302" s="136"/>
      <c r="SQW302" s="136"/>
      <c r="SQX302" s="136"/>
      <c r="SQY302" s="136"/>
      <c r="SQZ302" s="136"/>
      <c r="SRA302" s="136"/>
      <c r="SRB302" s="136"/>
      <c r="SRC302" s="136"/>
      <c r="SRD302" s="136"/>
      <c r="SRE302" s="136"/>
      <c r="SRF302" s="136"/>
      <c r="SRG302" s="136"/>
      <c r="SRH302" s="136"/>
      <c r="SRI302" s="136"/>
      <c r="SRJ302" s="136"/>
      <c r="SRK302" s="136"/>
      <c r="SRL302" s="136"/>
      <c r="SRM302" s="136"/>
      <c r="SRN302" s="136"/>
      <c r="SRO302" s="136"/>
      <c r="SRP302" s="136"/>
      <c r="SRQ302" s="136"/>
      <c r="SRR302" s="136"/>
      <c r="SRS302" s="136"/>
      <c r="SRT302" s="136"/>
      <c r="SRU302" s="136"/>
      <c r="SRV302" s="136"/>
      <c r="SRW302" s="136"/>
      <c r="SRX302" s="136"/>
      <c r="SRY302" s="136"/>
      <c r="SRZ302" s="136"/>
      <c r="SSA302" s="136"/>
      <c r="SSB302" s="136"/>
      <c r="SSC302" s="136"/>
      <c r="SSD302" s="136"/>
      <c r="SSE302" s="136"/>
      <c r="SSF302" s="136"/>
      <c r="SSG302" s="136"/>
      <c r="SSH302" s="136"/>
      <c r="SSI302" s="136"/>
      <c r="SSJ302" s="136"/>
      <c r="SSK302" s="136"/>
      <c r="SSL302" s="136"/>
      <c r="SSM302" s="136"/>
      <c r="SSN302" s="136"/>
      <c r="SSO302" s="136"/>
      <c r="SSP302" s="136"/>
      <c r="SSQ302" s="136"/>
      <c r="SSR302" s="136"/>
      <c r="SSS302" s="136"/>
      <c r="SST302" s="136"/>
      <c r="SSU302" s="136"/>
      <c r="SSV302" s="136"/>
      <c r="SSW302" s="136"/>
      <c r="SSX302" s="136"/>
      <c r="SSY302" s="136"/>
      <c r="SSZ302" s="136"/>
      <c r="STA302" s="136"/>
      <c r="STB302" s="136"/>
      <c r="STC302" s="136"/>
      <c r="STD302" s="136"/>
      <c r="STE302" s="136"/>
      <c r="STF302" s="136"/>
      <c r="STG302" s="136"/>
      <c r="STH302" s="136"/>
      <c r="STI302" s="136"/>
      <c r="STJ302" s="136"/>
      <c r="STK302" s="136"/>
      <c r="STL302" s="136"/>
      <c r="STM302" s="136"/>
      <c r="STN302" s="136"/>
      <c r="STO302" s="136"/>
      <c r="STP302" s="136"/>
      <c r="STQ302" s="136"/>
      <c r="STR302" s="136"/>
      <c r="STS302" s="136"/>
      <c r="STT302" s="136"/>
      <c r="STU302" s="136"/>
      <c r="STV302" s="136"/>
      <c r="STW302" s="136"/>
      <c r="STX302" s="136"/>
      <c r="STY302" s="136"/>
      <c r="STZ302" s="136"/>
      <c r="SUA302" s="136"/>
      <c r="SUB302" s="136"/>
      <c r="SUC302" s="136"/>
      <c r="SUD302" s="136"/>
      <c r="SUE302" s="136"/>
      <c r="SUF302" s="136"/>
      <c r="SUG302" s="136"/>
      <c r="SUH302" s="136"/>
      <c r="SUI302" s="136"/>
      <c r="SUJ302" s="136"/>
      <c r="SUK302" s="136"/>
      <c r="SUL302" s="136"/>
      <c r="SUM302" s="136"/>
      <c r="SUN302" s="136"/>
      <c r="SUO302" s="136"/>
      <c r="SUP302" s="136"/>
      <c r="SUQ302" s="136"/>
      <c r="SUR302" s="136"/>
      <c r="SUS302" s="136"/>
      <c r="SUT302" s="136"/>
      <c r="SUU302" s="136"/>
      <c r="SUV302" s="136"/>
      <c r="SUW302" s="136"/>
      <c r="SUX302" s="136"/>
      <c r="SUY302" s="136"/>
      <c r="SUZ302" s="136"/>
      <c r="SVA302" s="136"/>
      <c r="SVB302" s="136"/>
      <c r="SVC302" s="136"/>
      <c r="SVD302" s="136"/>
      <c r="SVE302" s="136"/>
      <c r="SVF302" s="136"/>
      <c r="SVG302" s="136"/>
      <c r="SVH302" s="136"/>
      <c r="SVI302" s="136"/>
      <c r="SVJ302" s="136"/>
      <c r="SVK302" s="136"/>
      <c r="SVL302" s="136"/>
      <c r="SVM302" s="136"/>
      <c r="SVN302" s="136"/>
      <c r="SVO302" s="136"/>
      <c r="SVP302" s="136"/>
      <c r="SVQ302" s="136"/>
      <c r="SVR302" s="136"/>
      <c r="SVS302" s="136"/>
      <c r="SVT302" s="136"/>
      <c r="SVU302" s="136"/>
      <c r="SVV302" s="136"/>
      <c r="SVW302" s="136"/>
      <c r="SVX302" s="136"/>
      <c r="SVY302" s="136"/>
      <c r="SVZ302" s="136"/>
      <c r="SWA302" s="136"/>
      <c r="SWB302" s="136"/>
      <c r="SWC302" s="136"/>
      <c r="SWD302" s="136"/>
      <c r="SWE302" s="136"/>
      <c r="SWF302" s="136"/>
      <c r="SWG302" s="136"/>
      <c r="SWH302" s="136"/>
      <c r="SWI302" s="136"/>
      <c r="SWJ302" s="136"/>
      <c r="SWK302" s="136"/>
      <c r="SWL302" s="136"/>
      <c r="SWM302" s="136"/>
      <c r="SWN302" s="136"/>
      <c r="SWO302" s="136"/>
      <c r="SWP302" s="136"/>
      <c r="SWQ302" s="136"/>
      <c r="SWR302" s="136"/>
      <c r="SWS302" s="136"/>
      <c r="SWT302" s="136"/>
      <c r="SWU302" s="136"/>
      <c r="SWV302" s="136"/>
      <c r="SWW302" s="136"/>
      <c r="SWX302" s="136"/>
      <c r="SWY302" s="136"/>
      <c r="SWZ302" s="136"/>
      <c r="SXA302" s="136"/>
      <c r="SXB302" s="136"/>
      <c r="SXC302" s="136"/>
      <c r="SXD302" s="136"/>
      <c r="SXE302" s="136"/>
      <c r="SXF302" s="136"/>
      <c r="SXG302" s="136"/>
      <c r="SXH302" s="136"/>
      <c r="SXI302" s="136"/>
      <c r="SXJ302" s="136"/>
      <c r="SXK302" s="136"/>
      <c r="SXL302" s="136"/>
      <c r="SXM302" s="136"/>
      <c r="SXN302" s="136"/>
      <c r="SXO302" s="136"/>
      <c r="SXP302" s="136"/>
      <c r="SXQ302" s="136"/>
      <c r="SXR302" s="136"/>
      <c r="SXS302" s="136"/>
      <c r="SXT302" s="136"/>
      <c r="SXU302" s="136"/>
      <c r="SXV302" s="136"/>
      <c r="SXW302" s="136"/>
      <c r="SXX302" s="136"/>
      <c r="SXY302" s="136"/>
      <c r="SXZ302" s="136"/>
      <c r="SYA302" s="136"/>
      <c r="SYB302" s="136"/>
      <c r="SYC302" s="136"/>
      <c r="SYD302" s="136"/>
      <c r="SYE302" s="136"/>
      <c r="SYF302" s="136"/>
      <c r="SYG302" s="136"/>
      <c r="SYH302" s="136"/>
      <c r="SYI302" s="136"/>
      <c r="SYJ302" s="136"/>
      <c r="SYK302" s="136"/>
      <c r="SYL302" s="136"/>
      <c r="SYM302" s="136"/>
      <c r="SYN302" s="136"/>
      <c r="SYO302" s="136"/>
      <c r="SYP302" s="136"/>
      <c r="SYQ302" s="136"/>
      <c r="SYR302" s="136"/>
      <c r="SYS302" s="136"/>
      <c r="SYT302" s="136"/>
      <c r="SYU302" s="136"/>
      <c r="SYV302" s="136"/>
      <c r="SYW302" s="136"/>
      <c r="SYX302" s="136"/>
      <c r="SYY302" s="136"/>
      <c r="SYZ302" s="136"/>
      <c r="SZA302" s="136"/>
      <c r="SZB302" s="136"/>
      <c r="SZC302" s="136"/>
      <c r="SZD302" s="136"/>
      <c r="SZE302" s="136"/>
      <c r="SZF302" s="136"/>
      <c r="SZG302" s="136"/>
      <c r="SZH302" s="136"/>
      <c r="SZI302" s="136"/>
      <c r="SZJ302" s="136"/>
      <c r="SZK302" s="136"/>
      <c r="SZL302" s="136"/>
      <c r="SZM302" s="136"/>
      <c r="SZN302" s="136"/>
      <c r="SZO302" s="136"/>
      <c r="SZP302" s="136"/>
      <c r="SZQ302" s="136"/>
      <c r="SZR302" s="136"/>
      <c r="SZS302" s="136"/>
      <c r="SZT302" s="136"/>
      <c r="SZU302" s="136"/>
      <c r="SZV302" s="136"/>
      <c r="SZW302" s="136"/>
      <c r="SZX302" s="136"/>
      <c r="SZY302" s="136"/>
      <c r="SZZ302" s="136"/>
      <c r="TAA302" s="136"/>
      <c r="TAB302" s="136"/>
      <c r="TAC302" s="136"/>
      <c r="TAD302" s="136"/>
      <c r="TAE302" s="136"/>
      <c r="TAF302" s="136"/>
      <c r="TAG302" s="136"/>
      <c r="TAH302" s="136"/>
      <c r="TAI302" s="136"/>
      <c r="TAJ302" s="136"/>
      <c r="TAK302" s="136"/>
      <c r="TAL302" s="136"/>
      <c r="TAM302" s="136"/>
      <c r="TAN302" s="136"/>
      <c r="TAO302" s="136"/>
      <c r="TAP302" s="136"/>
      <c r="TAQ302" s="136"/>
      <c r="TAR302" s="136"/>
      <c r="TAS302" s="136"/>
      <c r="TAT302" s="136"/>
      <c r="TAU302" s="136"/>
      <c r="TAV302" s="136"/>
      <c r="TAW302" s="136"/>
      <c r="TAX302" s="136"/>
      <c r="TAY302" s="136"/>
      <c r="TAZ302" s="136"/>
      <c r="TBA302" s="136"/>
      <c r="TBB302" s="136"/>
      <c r="TBC302" s="136"/>
      <c r="TBD302" s="136"/>
      <c r="TBE302" s="136"/>
      <c r="TBF302" s="136"/>
      <c r="TBG302" s="136"/>
      <c r="TBH302" s="136"/>
      <c r="TBI302" s="136"/>
      <c r="TBJ302" s="136"/>
      <c r="TBK302" s="136"/>
      <c r="TBL302" s="136"/>
      <c r="TBM302" s="136"/>
      <c r="TBN302" s="136"/>
      <c r="TBO302" s="136"/>
      <c r="TBP302" s="136"/>
      <c r="TBQ302" s="136"/>
      <c r="TBR302" s="136"/>
      <c r="TBS302" s="136"/>
      <c r="TBT302" s="136"/>
      <c r="TBU302" s="136"/>
      <c r="TBV302" s="136"/>
      <c r="TBW302" s="136"/>
      <c r="TBX302" s="136"/>
      <c r="TBY302" s="136"/>
      <c r="TBZ302" s="136"/>
      <c r="TCA302" s="136"/>
      <c r="TCB302" s="136"/>
      <c r="TCC302" s="136"/>
      <c r="TCD302" s="136"/>
      <c r="TCE302" s="136"/>
      <c r="TCF302" s="136"/>
      <c r="TCG302" s="136"/>
      <c r="TCH302" s="136"/>
      <c r="TCI302" s="136"/>
      <c r="TCJ302" s="136"/>
      <c r="TCK302" s="136"/>
      <c r="TCL302" s="136"/>
      <c r="TCM302" s="136"/>
      <c r="TCN302" s="136"/>
      <c r="TCO302" s="136"/>
      <c r="TCP302" s="136"/>
      <c r="TCQ302" s="136"/>
      <c r="TCR302" s="136"/>
      <c r="TCS302" s="136"/>
      <c r="TCT302" s="136"/>
      <c r="TCU302" s="136"/>
      <c r="TCV302" s="136"/>
      <c r="TCW302" s="136"/>
      <c r="TCX302" s="136"/>
      <c r="TCY302" s="136"/>
      <c r="TCZ302" s="136"/>
      <c r="TDA302" s="136"/>
      <c r="TDB302" s="136"/>
      <c r="TDC302" s="136"/>
      <c r="TDD302" s="136"/>
      <c r="TDE302" s="136"/>
      <c r="TDF302" s="136"/>
      <c r="TDG302" s="136"/>
      <c r="TDH302" s="136"/>
      <c r="TDI302" s="136"/>
      <c r="TDJ302" s="136"/>
      <c r="TDK302" s="136"/>
      <c r="TDL302" s="136"/>
      <c r="TDM302" s="136"/>
      <c r="TDN302" s="136"/>
      <c r="TDO302" s="136"/>
      <c r="TDP302" s="136"/>
      <c r="TDQ302" s="136"/>
      <c r="TDR302" s="136"/>
      <c r="TDS302" s="136"/>
      <c r="TDT302" s="136"/>
      <c r="TDU302" s="136"/>
      <c r="TDV302" s="136"/>
      <c r="TDW302" s="136"/>
      <c r="TDX302" s="136"/>
      <c r="TDY302" s="136"/>
      <c r="TDZ302" s="136"/>
      <c r="TEA302" s="136"/>
      <c r="TEB302" s="136"/>
      <c r="TEC302" s="136"/>
      <c r="TED302" s="136"/>
      <c r="TEE302" s="136"/>
      <c r="TEF302" s="136"/>
      <c r="TEG302" s="136"/>
      <c r="TEH302" s="136"/>
      <c r="TEI302" s="136"/>
      <c r="TEJ302" s="136"/>
      <c r="TEK302" s="136"/>
      <c r="TEL302" s="136"/>
      <c r="TEM302" s="136"/>
      <c r="TEN302" s="136"/>
      <c r="TEO302" s="136"/>
      <c r="TEP302" s="136"/>
      <c r="TEQ302" s="136"/>
      <c r="TER302" s="136"/>
      <c r="TES302" s="136"/>
      <c r="TET302" s="136"/>
      <c r="TEU302" s="136"/>
      <c r="TEV302" s="136"/>
      <c r="TEW302" s="136"/>
      <c r="TEX302" s="136"/>
      <c r="TEY302" s="136"/>
      <c r="TEZ302" s="136"/>
      <c r="TFA302" s="136"/>
      <c r="TFB302" s="136"/>
      <c r="TFC302" s="136"/>
      <c r="TFD302" s="136"/>
      <c r="TFE302" s="136"/>
      <c r="TFF302" s="136"/>
      <c r="TFG302" s="136"/>
      <c r="TFH302" s="136"/>
      <c r="TFI302" s="136"/>
      <c r="TFJ302" s="136"/>
      <c r="TFK302" s="136"/>
      <c r="TFL302" s="136"/>
      <c r="TFM302" s="136"/>
      <c r="TFN302" s="136"/>
      <c r="TFO302" s="136"/>
      <c r="TFP302" s="136"/>
      <c r="TFQ302" s="136"/>
      <c r="TFR302" s="136"/>
      <c r="TFS302" s="136"/>
      <c r="TFT302" s="136"/>
      <c r="TFU302" s="136"/>
      <c r="TFV302" s="136"/>
      <c r="TFW302" s="136"/>
      <c r="TFX302" s="136"/>
      <c r="TFY302" s="136"/>
      <c r="TFZ302" s="136"/>
      <c r="TGA302" s="136"/>
      <c r="TGB302" s="136"/>
      <c r="TGC302" s="136"/>
      <c r="TGD302" s="136"/>
      <c r="TGE302" s="136"/>
      <c r="TGF302" s="136"/>
      <c r="TGG302" s="136"/>
      <c r="TGH302" s="136"/>
      <c r="TGI302" s="136"/>
      <c r="TGJ302" s="136"/>
      <c r="TGK302" s="136"/>
      <c r="TGL302" s="136"/>
      <c r="TGM302" s="136"/>
      <c r="TGN302" s="136"/>
      <c r="TGO302" s="136"/>
      <c r="TGP302" s="136"/>
      <c r="TGQ302" s="136"/>
      <c r="TGR302" s="136"/>
      <c r="TGS302" s="136"/>
      <c r="TGT302" s="136"/>
      <c r="TGU302" s="136"/>
      <c r="TGV302" s="136"/>
      <c r="TGW302" s="136"/>
      <c r="TGX302" s="136"/>
      <c r="TGY302" s="136"/>
      <c r="TGZ302" s="136"/>
      <c r="THA302" s="136"/>
      <c r="THB302" s="136"/>
      <c r="THC302" s="136"/>
      <c r="THD302" s="136"/>
      <c r="THE302" s="136"/>
      <c r="THF302" s="136"/>
      <c r="THG302" s="136"/>
      <c r="THH302" s="136"/>
      <c r="THI302" s="136"/>
      <c r="THJ302" s="136"/>
      <c r="THK302" s="136"/>
      <c r="THL302" s="136"/>
      <c r="THM302" s="136"/>
      <c r="THN302" s="136"/>
      <c r="THO302" s="136"/>
      <c r="THP302" s="136"/>
      <c r="THQ302" s="136"/>
      <c r="THR302" s="136"/>
      <c r="THS302" s="136"/>
      <c r="THT302" s="136"/>
      <c r="THU302" s="136"/>
      <c r="THV302" s="136"/>
      <c r="THW302" s="136"/>
      <c r="THX302" s="136"/>
      <c r="THY302" s="136"/>
      <c r="THZ302" s="136"/>
      <c r="TIA302" s="136"/>
      <c r="TIB302" s="136"/>
      <c r="TIC302" s="136"/>
      <c r="TID302" s="136"/>
      <c r="TIE302" s="136"/>
      <c r="TIF302" s="136"/>
      <c r="TIG302" s="136"/>
      <c r="TIH302" s="136"/>
      <c r="TII302" s="136"/>
      <c r="TIJ302" s="136"/>
      <c r="TIK302" s="136"/>
      <c r="TIL302" s="136"/>
      <c r="TIM302" s="136"/>
      <c r="TIN302" s="136"/>
      <c r="TIO302" s="136"/>
      <c r="TIP302" s="136"/>
      <c r="TIQ302" s="136"/>
      <c r="TIR302" s="136"/>
      <c r="TIS302" s="136"/>
      <c r="TIT302" s="136"/>
      <c r="TIU302" s="136"/>
      <c r="TIV302" s="136"/>
      <c r="TIW302" s="136"/>
      <c r="TIX302" s="136"/>
      <c r="TIY302" s="136"/>
      <c r="TIZ302" s="136"/>
      <c r="TJA302" s="136"/>
      <c r="TJB302" s="136"/>
      <c r="TJC302" s="136"/>
      <c r="TJD302" s="136"/>
      <c r="TJE302" s="136"/>
      <c r="TJF302" s="136"/>
      <c r="TJG302" s="136"/>
      <c r="TJH302" s="136"/>
      <c r="TJI302" s="136"/>
      <c r="TJJ302" s="136"/>
      <c r="TJK302" s="136"/>
      <c r="TJL302" s="136"/>
      <c r="TJM302" s="136"/>
      <c r="TJN302" s="136"/>
      <c r="TJO302" s="136"/>
      <c r="TJP302" s="136"/>
      <c r="TJQ302" s="136"/>
      <c r="TJR302" s="136"/>
      <c r="TJS302" s="136"/>
      <c r="TJT302" s="136"/>
      <c r="TJU302" s="136"/>
      <c r="TJV302" s="136"/>
      <c r="TJW302" s="136"/>
      <c r="TJX302" s="136"/>
      <c r="TJY302" s="136"/>
      <c r="TJZ302" s="136"/>
      <c r="TKA302" s="136"/>
      <c r="TKB302" s="136"/>
      <c r="TKC302" s="136"/>
      <c r="TKD302" s="136"/>
      <c r="TKE302" s="136"/>
      <c r="TKF302" s="136"/>
      <c r="TKG302" s="136"/>
      <c r="TKH302" s="136"/>
      <c r="TKI302" s="136"/>
      <c r="TKJ302" s="136"/>
      <c r="TKK302" s="136"/>
      <c r="TKL302" s="136"/>
      <c r="TKM302" s="136"/>
      <c r="TKN302" s="136"/>
      <c r="TKO302" s="136"/>
      <c r="TKP302" s="136"/>
      <c r="TKQ302" s="136"/>
      <c r="TKR302" s="136"/>
      <c r="TKS302" s="136"/>
      <c r="TKT302" s="136"/>
      <c r="TKU302" s="136"/>
      <c r="TKV302" s="136"/>
      <c r="TKW302" s="136"/>
      <c r="TKX302" s="136"/>
      <c r="TKY302" s="136"/>
      <c r="TKZ302" s="136"/>
      <c r="TLA302" s="136"/>
      <c r="TLB302" s="136"/>
      <c r="TLC302" s="136"/>
      <c r="TLD302" s="136"/>
      <c r="TLE302" s="136"/>
      <c r="TLF302" s="136"/>
      <c r="TLG302" s="136"/>
      <c r="TLH302" s="136"/>
      <c r="TLI302" s="136"/>
      <c r="TLJ302" s="136"/>
      <c r="TLK302" s="136"/>
      <c r="TLL302" s="136"/>
      <c r="TLM302" s="136"/>
      <c r="TLN302" s="136"/>
      <c r="TLO302" s="136"/>
      <c r="TLP302" s="136"/>
      <c r="TLQ302" s="136"/>
      <c r="TLR302" s="136"/>
      <c r="TLS302" s="136"/>
      <c r="TLT302" s="136"/>
      <c r="TLU302" s="136"/>
      <c r="TLV302" s="136"/>
      <c r="TLW302" s="136"/>
      <c r="TLX302" s="136"/>
      <c r="TLY302" s="136"/>
      <c r="TLZ302" s="136"/>
      <c r="TMA302" s="136"/>
      <c r="TMB302" s="136"/>
      <c r="TMC302" s="136"/>
      <c r="TMD302" s="136"/>
      <c r="TME302" s="136"/>
      <c r="TMF302" s="136"/>
      <c r="TMG302" s="136"/>
      <c r="TMH302" s="136"/>
      <c r="TMI302" s="136"/>
      <c r="TMJ302" s="136"/>
      <c r="TMK302" s="136"/>
      <c r="TML302" s="136"/>
      <c r="TMM302" s="136"/>
      <c r="TMN302" s="136"/>
      <c r="TMO302" s="136"/>
      <c r="TMP302" s="136"/>
      <c r="TMQ302" s="136"/>
      <c r="TMR302" s="136"/>
      <c r="TMS302" s="136"/>
      <c r="TMT302" s="136"/>
      <c r="TMU302" s="136"/>
      <c r="TMV302" s="136"/>
      <c r="TMW302" s="136"/>
      <c r="TMX302" s="136"/>
      <c r="TMY302" s="136"/>
      <c r="TMZ302" s="136"/>
      <c r="TNA302" s="136"/>
      <c r="TNB302" s="136"/>
      <c r="TNC302" s="136"/>
      <c r="TND302" s="136"/>
      <c r="TNE302" s="136"/>
      <c r="TNF302" s="136"/>
      <c r="TNG302" s="136"/>
      <c r="TNH302" s="136"/>
      <c r="TNI302" s="136"/>
      <c r="TNJ302" s="136"/>
      <c r="TNK302" s="136"/>
      <c r="TNL302" s="136"/>
      <c r="TNM302" s="136"/>
      <c r="TNN302" s="136"/>
      <c r="TNO302" s="136"/>
      <c r="TNP302" s="136"/>
      <c r="TNQ302" s="136"/>
      <c r="TNR302" s="136"/>
      <c r="TNS302" s="136"/>
      <c r="TNT302" s="136"/>
      <c r="TNU302" s="136"/>
      <c r="TNV302" s="136"/>
      <c r="TNW302" s="136"/>
      <c r="TNX302" s="136"/>
      <c r="TNY302" s="136"/>
      <c r="TNZ302" s="136"/>
      <c r="TOA302" s="136"/>
      <c r="TOB302" s="136"/>
      <c r="TOC302" s="136"/>
      <c r="TOD302" s="136"/>
      <c r="TOE302" s="136"/>
      <c r="TOF302" s="136"/>
      <c r="TOG302" s="136"/>
      <c r="TOH302" s="136"/>
      <c r="TOI302" s="136"/>
      <c r="TOJ302" s="136"/>
      <c r="TOK302" s="136"/>
      <c r="TOL302" s="136"/>
      <c r="TOM302" s="136"/>
      <c r="TON302" s="136"/>
      <c r="TOO302" s="136"/>
      <c r="TOP302" s="136"/>
      <c r="TOQ302" s="136"/>
      <c r="TOR302" s="136"/>
      <c r="TOS302" s="136"/>
      <c r="TOT302" s="136"/>
      <c r="TOU302" s="136"/>
      <c r="TOV302" s="136"/>
      <c r="TOW302" s="136"/>
      <c r="TOX302" s="136"/>
      <c r="TOY302" s="136"/>
      <c r="TOZ302" s="136"/>
      <c r="TPA302" s="136"/>
      <c r="TPB302" s="136"/>
      <c r="TPC302" s="136"/>
      <c r="TPD302" s="136"/>
      <c r="TPE302" s="136"/>
      <c r="TPF302" s="136"/>
      <c r="TPG302" s="136"/>
      <c r="TPH302" s="136"/>
      <c r="TPI302" s="136"/>
      <c r="TPJ302" s="136"/>
      <c r="TPK302" s="136"/>
      <c r="TPL302" s="136"/>
      <c r="TPM302" s="136"/>
      <c r="TPN302" s="136"/>
      <c r="TPO302" s="136"/>
      <c r="TPP302" s="136"/>
      <c r="TPQ302" s="136"/>
      <c r="TPR302" s="136"/>
      <c r="TPS302" s="136"/>
      <c r="TPT302" s="136"/>
      <c r="TPU302" s="136"/>
      <c r="TPV302" s="136"/>
      <c r="TPW302" s="136"/>
      <c r="TPX302" s="136"/>
      <c r="TPY302" s="136"/>
      <c r="TPZ302" s="136"/>
      <c r="TQA302" s="136"/>
      <c r="TQB302" s="136"/>
      <c r="TQC302" s="136"/>
      <c r="TQD302" s="136"/>
      <c r="TQE302" s="136"/>
      <c r="TQF302" s="136"/>
      <c r="TQG302" s="136"/>
      <c r="TQH302" s="136"/>
      <c r="TQI302" s="136"/>
      <c r="TQJ302" s="136"/>
      <c r="TQK302" s="136"/>
      <c r="TQL302" s="136"/>
      <c r="TQM302" s="136"/>
      <c r="TQN302" s="136"/>
      <c r="TQO302" s="136"/>
      <c r="TQP302" s="136"/>
      <c r="TQQ302" s="136"/>
      <c r="TQR302" s="136"/>
      <c r="TQS302" s="136"/>
      <c r="TQT302" s="136"/>
      <c r="TQU302" s="136"/>
      <c r="TQV302" s="136"/>
      <c r="TQW302" s="136"/>
      <c r="TQX302" s="136"/>
      <c r="TQY302" s="136"/>
      <c r="TQZ302" s="136"/>
      <c r="TRA302" s="136"/>
      <c r="TRB302" s="136"/>
      <c r="TRC302" s="136"/>
      <c r="TRD302" s="136"/>
      <c r="TRE302" s="136"/>
      <c r="TRF302" s="136"/>
      <c r="TRG302" s="136"/>
      <c r="TRH302" s="136"/>
      <c r="TRI302" s="136"/>
      <c r="TRJ302" s="136"/>
      <c r="TRK302" s="136"/>
      <c r="TRL302" s="136"/>
      <c r="TRM302" s="136"/>
      <c r="TRN302" s="136"/>
      <c r="TRO302" s="136"/>
      <c r="TRP302" s="136"/>
      <c r="TRQ302" s="136"/>
      <c r="TRR302" s="136"/>
      <c r="TRS302" s="136"/>
      <c r="TRT302" s="136"/>
      <c r="TRU302" s="136"/>
      <c r="TRV302" s="136"/>
      <c r="TRW302" s="136"/>
      <c r="TRX302" s="136"/>
      <c r="TRY302" s="136"/>
      <c r="TRZ302" s="136"/>
      <c r="TSA302" s="136"/>
      <c r="TSB302" s="136"/>
      <c r="TSC302" s="136"/>
      <c r="TSD302" s="136"/>
      <c r="TSE302" s="136"/>
      <c r="TSF302" s="136"/>
      <c r="TSG302" s="136"/>
      <c r="TSH302" s="136"/>
      <c r="TSI302" s="136"/>
      <c r="TSJ302" s="136"/>
      <c r="TSK302" s="136"/>
      <c r="TSL302" s="136"/>
      <c r="TSM302" s="136"/>
      <c r="TSN302" s="136"/>
      <c r="TSO302" s="136"/>
      <c r="TSP302" s="136"/>
      <c r="TSQ302" s="136"/>
      <c r="TSR302" s="136"/>
      <c r="TSS302" s="136"/>
      <c r="TST302" s="136"/>
      <c r="TSU302" s="136"/>
      <c r="TSV302" s="136"/>
      <c r="TSW302" s="136"/>
      <c r="TSX302" s="136"/>
      <c r="TSY302" s="136"/>
      <c r="TSZ302" s="136"/>
      <c r="TTA302" s="136"/>
      <c r="TTB302" s="136"/>
      <c r="TTC302" s="136"/>
      <c r="TTD302" s="136"/>
      <c r="TTE302" s="136"/>
      <c r="TTF302" s="136"/>
      <c r="TTG302" s="136"/>
      <c r="TTH302" s="136"/>
      <c r="TTI302" s="136"/>
      <c r="TTJ302" s="136"/>
      <c r="TTK302" s="136"/>
      <c r="TTL302" s="136"/>
      <c r="TTM302" s="136"/>
      <c r="TTN302" s="136"/>
      <c r="TTO302" s="136"/>
      <c r="TTP302" s="136"/>
      <c r="TTQ302" s="136"/>
      <c r="TTR302" s="136"/>
      <c r="TTS302" s="136"/>
      <c r="TTT302" s="136"/>
      <c r="TTU302" s="136"/>
      <c r="TTV302" s="136"/>
      <c r="TTW302" s="136"/>
      <c r="TTX302" s="136"/>
      <c r="TTY302" s="136"/>
      <c r="TTZ302" s="136"/>
      <c r="TUA302" s="136"/>
      <c r="TUB302" s="136"/>
      <c r="TUC302" s="136"/>
      <c r="TUD302" s="136"/>
      <c r="TUE302" s="136"/>
      <c r="TUF302" s="136"/>
      <c r="TUG302" s="136"/>
      <c r="TUH302" s="136"/>
      <c r="TUI302" s="136"/>
      <c r="TUJ302" s="136"/>
      <c r="TUK302" s="136"/>
      <c r="TUL302" s="136"/>
      <c r="TUM302" s="136"/>
      <c r="TUN302" s="136"/>
      <c r="TUO302" s="136"/>
      <c r="TUP302" s="136"/>
      <c r="TUQ302" s="136"/>
      <c r="TUR302" s="136"/>
      <c r="TUS302" s="136"/>
      <c r="TUT302" s="136"/>
      <c r="TUU302" s="136"/>
      <c r="TUV302" s="136"/>
      <c r="TUW302" s="136"/>
      <c r="TUX302" s="136"/>
      <c r="TUY302" s="136"/>
      <c r="TUZ302" s="136"/>
      <c r="TVA302" s="136"/>
      <c r="TVB302" s="136"/>
      <c r="TVC302" s="136"/>
      <c r="TVD302" s="136"/>
      <c r="TVE302" s="136"/>
      <c r="TVF302" s="136"/>
      <c r="TVG302" s="136"/>
      <c r="TVH302" s="136"/>
      <c r="TVI302" s="136"/>
      <c r="TVJ302" s="136"/>
      <c r="TVK302" s="136"/>
      <c r="TVL302" s="136"/>
      <c r="TVM302" s="136"/>
      <c r="TVN302" s="136"/>
      <c r="TVO302" s="136"/>
      <c r="TVP302" s="136"/>
      <c r="TVQ302" s="136"/>
      <c r="TVR302" s="136"/>
      <c r="TVS302" s="136"/>
      <c r="TVT302" s="136"/>
      <c r="TVU302" s="136"/>
      <c r="TVV302" s="136"/>
      <c r="TVW302" s="136"/>
      <c r="TVX302" s="136"/>
      <c r="TVY302" s="136"/>
      <c r="TVZ302" s="136"/>
      <c r="TWA302" s="136"/>
      <c r="TWB302" s="136"/>
      <c r="TWC302" s="136"/>
      <c r="TWD302" s="136"/>
      <c r="TWE302" s="136"/>
      <c r="TWF302" s="136"/>
      <c r="TWG302" s="136"/>
      <c r="TWH302" s="136"/>
      <c r="TWI302" s="136"/>
      <c r="TWJ302" s="136"/>
      <c r="TWK302" s="136"/>
      <c r="TWL302" s="136"/>
      <c r="TWM302" s="136"/>
      <c r="TWN302" s="136"/>
      <c r="TWO302" s="136"/>
      <c r="TWP302" s="136"/>
      <c r="TWQ302" s="136"/>
      <c r="TWR302" s="136"/>
      <c r="TWS302" s="136"/>
      <c r="TWT302" s="136"/>
      <c r="TWU302" s="136"/>
      <c r="TWV302" s="136"/>
      <c r="TWW302" s="136"/>
      <c r="TWX302" s="136"/>
      <c r="TWY302" s="136"/>
      <c r="TWZ302" s="136"/>
      <c r="TXA302" s="136"/>
      <c r="TXB302" s="136"/>
      <c r="TXC302" s="136"/>
      <c r="TXD302" s="136"/>
      <c r="TXE302" s="136"/>
      <c r="TXF302" s="136"/>
      <c r="TXG302" s="136"/>
      <c r="TXH302" s="136"/>
      <c r="TXI302" s="136"/>
      <c r="TXJ302" s="136"/>
      <c r="TXK302" s="136"/>
      <c r="TXL302" s="136"/>
      <c r="TXM302" s="136"/>
      <c r="TXN302" s="136"/>
      <c r="TXO302" s="136"/>
      <c r="TXP302" s="136"/>
      <c r="TXQ302" s="136"/>
      <c r="TXR302" s="136"/>
      <c r="TXS302" s="136"/>
      <c r="TXT302" s="136"/>
      <c r="TXU302" s="136"/>
      <c r="TXV302" s="136"/>
      <c r="TXW302" s="136"/>
      <c r="TXX302" s="136"/>
      <c r="TXY302" s="136"/>
      <c r="TXZ302" s="136"/>
      <c r="TYA302" s="136"/>
      <c r="TYB302" s="136"/>
      <c r="TYC302" s="136"/>
      <c r="TYD302" s="136"/>
      <c r="TYE302" s="136"/>
      <c r="TYF302" s="136"/>
      <c r="TYG302" s="136"/>
      <c r="TYH302" s="136"/>
      <c r="TYI302" s="136"/>
      <c r="TYJ302" s="136"/>
      <c r="TYK302" s="136"/>
      <c r="TYL302" s="136"/>
      <c r="TYM302" s="136"/>
      <c r="TYN302" s="136"/>
      <c r="TYO302" s="136"/>
      <c r="TYP302" s="136"/>
      <c r="TYQ302" s="136"/>
      <c r="TYR302" s="136"/>
      <c r="TYS302" s="136"/>
      <c r="TYT302" s="136"/>
      <c r="TYU302" s="136"/>
      <c r="TYV302" s="136"/>
      <c r="TYW302" s="136"/>
      <c r="TYX302" s="136"/>
      <c r="TYY302" s="136"/>
      <c r="TYZ302" s="136"/>
      <c r="TZA302" s="136"/>
      <c r="TZB302" s="136"/>
      <c r="TZC302" s="136"/>
      <c r="TZD302" s="136"/>
      <c r="TZE302" s="136"/>
      <c r="TZF302" s="136"/>
      <c r="TZG302" s="136"/>
      <c r="TZH302" s="136"/>
      <c r="TZI302" s="136"/>
      <c r="TZJ302" s="136"/>
      <c r="TZK302" s="136"/>
      <c r="TZL302" s="136"/>
      <c r="TZM302" s="136"/>
      <c r="TZN302" s="136"/>
      <c r="TZO302" s="136"/>
      <c r="TZP302" s="136"/>
      <c r="TZQ302" s="136"/>
      <c r="TZR302" s="136"/>
      <c r="TZS302" s="136"/>
      <c r="TZT302" s="136"/>
      <c r="TZU302" s="136"/>
      <c r="TZV302" s="136"/>
      <c r="TZW302" s="136"/>
      <c r="TZX302" s="136"/>
      <c r="TZY302" s="136"/>
      <c r="TZZ302" s="136"/>
      <c r="UAA302" s="136"/>
      <c r="UAB302" s="136"/>
      <c r="UAC302" s="136"/>
      <c r="UAD302" s="136"/>
      <c r="UAE302" s="136"/>
      <c r="UAF302" s="136"/>
      <c r="UAG302" s="136"/>
      <c r="UAH302" s="136"/>
      <c r="UAI302" s="136"/>
      <c r="UAJ302" s="136"/>
      <c r="UAK302" s="136"/>
      <c r="UAL302" s="136"/>
      <c r="UAM302" s="136"/>
      <c r="UAN302" s="136"/>
      <c r="UAO302" s="136"/>
      <c r="UAP302" s="136"/>
      <c r="UAQ302" s="136"/>
      <c r="UAR302" s="136"/>
      <c r="UAS302" s="136"/>
      <c r="UAT302" s="136"/>
      <c r="UAU302" s="136"/>
      <c r="UAV302" s="136"/>
      <c r="UAW302" s="136"/>
      <c r="UAX302" s="136"/>
      <c r="UAY302" s="136"/>
      <c r="UAZ302" s="136"/>
      <c r="UBA302" s="136"/>
      <c r="UBB302" s="136"/>
      <c r="UBC302" s="136"/>
      <c r="UBD302" s="136"/>
      <c r="UBE302" s="136"/>
      <c r="UBF302" s="136"/>
      <c r="UBG302" s="136"/>
      <c r="UBH302" s="136"/>
      <c r="UBI302" s="136"/>
      <c r="UBJ302" s="136"/>
      <c r="UBK302" s="136"/>
      <c r="UBL302" s="136"/>
      <c r="UBM302" s="136"/>
      <c r="UBN302" s="136"/>
      <c r="UBO302" s="136"/>
      <c r="UBP302" s="136"/>
      <c r="UBQ302" s="136"/>
      <c r="UBR302" s="136"/>
      <c r="UBS302" s="136"/>
      <c r="UBT302" s="136"/>
      <c r="UBU302" s="136"/>
      <c r="UBV302" s="136"/>
      <c r="UBW302" s="136"/>
      <c r="UBX302" s="136"/>
      <c r="UBY302" s="136"/>
      <c r="UBZ302" s="136"/>
      <c r="UCA302" s="136"/>
      <c r="UCB302" s="136"/>
      <c r="UCC302" s="136"/>
      <c r="UCD302" s="136"/>
      <c r="UCE302" s="136"/>
      <c r="UCF302" s="136"/>
      <c r="UCG302" s="136"/>
      <c r="UCH302" s="136"/>
      <c r="UCI302" s="136"/>
      <c r="UCJ302" s="136"/>
      <c r="UCK302" s="136"/>
      <c r="UCL302" s="136"/>
      <c r="UCM302" s="136"/>
      <c r="UCN302" s="136"/>
      <c r="UCO302" s="136"/>
      <c r="UCP302" s="136"/>
      <c r="UCQ302" s="136"/>
      <c r="UCR302" s="136"/>
      <c r="UCS302" s="136"/>
      <c r="UCT302" s="136"/>
      <c r="UCU302" s="136"/>
      <c r="UCV302" s="136"/>
      <c r="UCW302" s="136"/>
      <c r="UCX302" s="136"/>
      <c r="UCY302" s="136"/>
      <c r="UCZ302" s="136"/>
      <c r="UDA302" s="136"/>
      <c r="UDB302" s="136"/>
      <c r="UDC302" s="136"/>
      <c r="UDD302" s="136"/>
      <c r="UDE302" s="136"/>
      <c r="UDF302" s="136"/>
      <c r="UDG302" s="136"/>
      <c r="UDH302" s="136"/>
      <c r="UDI302" s="136"/>
      <c r="UDJ302" s="136"/>
      <c r="UDK302" s="136"/>
      <c r="UDL302" s="136"/>
      <c r="UDM302" s="136"/>
      <c r="UDN302" s="136"/>
      <c r="UDO302" s="136"/>
      <c r="UDP302" s="136"/>
      <c r="UDQ302" s="136"/>
      <c r="UDR302" s="136"/>
      <c r="UDS302" s="136"/>
      <c r="UDT302" s="136"/>
      <c r="UDU302" s="136"/>
      <c r="UDV302" s="136"/>
      <c r="UDW302" s="136"/>
      <c r="UDX302" s="136"/>
      <c r="UDY302" s="136"/>
      <c r="UDZ302" s="136"/>
      <c r="UEA302" s="136"/>
      <c r="UEB302" s="136"/>
      <c r="UEC302" s="136"/>
      <c r="UED302" s="136"/>
      <c r="UEE302" s="136"/>
      <c r="UEF302" s="136"/>
      <c r="UEG302" s="136"/>
      <c r="UEH302" s="136"/>
      <c r="UEI302" s="136"/>
      <c r="UEJ302" s="136"/>
      <c r="UEK302" s="136"/>
      <c r="UEL302" s="136"/>
      <c r="UEM302" s="136"/>
      <c r="UEN302" s="136"/>
      <c r="UEO302" s="136"/>
      <c r="UEP302" s="136"/>
      <c r="UEQ302" s="136"/>
      <c r="UER302" s="136"/>
      <c r="UES302" s="136"/>
      <c r="UET302" s="136"/>
      <c r="UEU302" s="136"/>
      <c r="UEV302" s="136"/>
      <c r="UEW302" s="136"/>
      <c r="UEX302" s="136"/>
      <c r="UEY302" s="136"/>
      <c r="UEZ302" s="136"/>
      <c r="UFA302" s="136"/>
      <c r="UFB302" s="136"/>
      <c r="UFC302" s="136"/>
      <c r="UFD302" s="136"/>
      <c r="UFE302" s="136"/>
      <c r="UFF302" s="136"/>
      <c r="UFG302" s="136"/>
      <c r="UFH302" s="136"/>
      <c r="UFI302" s="136"/>
      <c r="UFJ302" s="136"/>
      <c r="UFK302" s="136"/>
      <c r="UFL302" s="136"/>
      <c r="UFM302" s="136"/>
      <c r="UFN302" s="136"/>
      <c r="UFO302" s="136"/>
      <c r="UFP302" s="136"/>
      <c r="UFQ302" s="136"/>
      <c r="UFR302" s="136"/>
      <c r="UFS302" s="136"/>
      <c r="UFT302" s="136"/>
      <c r="UFU302" s="136"/>
      <c r="UFV302" s="136"/>
      <c r="UFW302" s="136"/>
      <c r="UFX302" s="136"/>
      <c r="UFY302" s="136"/>
      <c r="UFZ302" s="136"/>
      <c r="UGA302" s="136"/>
      <c r="UGB302" s="136"/>
      <c r="UGC302" s="136"/>
      <c r="UGD302" s="136"/>
      <c r="UGE302" s="136"/>
      <c r="UGF302" s="136"/>
      <c r="UGG302" s="136"/>
      <c r="UGH302" s="136"/>
      <c r="UGI302" s="136"/>
      <c r="UGJ302" s="136"/>
      <c r="UGK302" s="136"/>
      <c r="UGL302" s="136"/>
      <c r="UGM302" s="136"/>
      <c r="UGN302" s="136"/>
      <c r="UGO302" s="136"/>
      <c r="UGP302" s="136"/>
      <c r="UGQ302" s="136"/>
      <c r="UGR302" s="136"/>
      <c r="UGS302" s="136"/>
      <c r="UGT302" s="136"/>
      <c r="UGU302" s="136"/>
      <c r="UGV302" s="136"/>
      <c r="UGW302" s="136"/>
      <c r="UGX302" s="136"/>
      <c r="UGY302" s="136"/>
      <c r="UGZ302" s="136"/>
      <c r="UHA302" s="136"/>
      <c r="UHB302" s="136"/>
      <c r="UHC302" s="136"/>
      <c r="UHD302" s="136"/>
      <c r="UHE302" s="136"/>
      <c r="UHF302" s="136"/>
      <c r="UHG302" s="136"/>
      <c r="UHH302" s="136"/>
      <c r="UHI302" s="136"/>
      <c r="UHJ302" s="136"/>
      <c r="UHK302" s="136"/>
      <c r="UHL302" s="136"/>
      <c r="UHM302" s="136"/>
      <c r="UHN302" s="136"/>
      <c r="UHO302" s="136"/>
      <c r="UHP302" s="136"/>
      <c r="UHQ302" s="136"/>
      <c r="UHR302" s="136"/>
      <c r="UHS302" s="136"/>
      <c r="UHT302" s="136"/>
      <c r="UHU302" s="136"/>
      <c r="UHV302" s="136"/>
      <c r="UHW302" s="136"/>
      <c r="UHX302" s="136"/>
      <c r="UHY302" s="136"/>
      <c r="UHZ302" s="136"/>
      <c r="UIA302" s="136"/>
      <c r="UIB302" s="136"/>
      <c r="UIC302" s="136"/>
      <c r="UID302" s="136"/>
      <c r="UIE302" s="136"/>
      <c r="UIF302" s="136"/>
      <c r="UIG302" s="136"/>
      <c r="UIH302" s="136"/>
      <c r="UII302" s="136"/>
      <c r="UIJ302" s="136"/>
      <c r="UIK302" s="136"/>
      <c r="UIL302" s="136"/>
      <c r="UIM302" s="136"/>
      <c r="UIN302" s="136"/>
      <c r="UIO302" s="136"/>
      <c r="UIP302" s="136"/>
      <c r="UIQ302" s="136"/>
      <c r="UIR302" s="136"/>
      <c r="UIS302" s="136"/>
      <c r="UIT302" s="136"/>
      <c r="UIU302" s="136"/>
      <c r="UIV302" s="136"/>
      <c r="UIW302" s="136"/>
      <c r="UIX302" s="136"/>
      <c r="UIY302" s="136"/>
      <c r="UIZ302" s="136"/>
      <c r="UJA302" s="136"/>
      <c r="UJB302" s="136"/>
      <c r="UJC302" s="136"/>
      <c r="UJD302" s="136"/>
      <c r="UJE302" s="136"/>
      <c r="UJF302" s="136"/>
      <c r="UJG302" s="136"/>
      <c r="UJH302" s="136"/>
      <c r="UJI302" s="136"/>
      <c r="UJJ302" s="136"/>
      <c r="UJK302" s="136"/>
      <c r="UJL302" s="136"/>
      <c r="UJM302" s="136"/>
      <c r="UJN302" s="136"/>
      <c r="UJO302" s="136"/>
      <c r="UJP302" s="136"/>
      <c r="UJQ302" s="136"/>
      <c r="UJR302" s="136"/>
      <c r="UJS302" s="136"/>
      <c r="UJT302" s="136"/>
      <c r="UJU302" s="136"/>
      <c r="UJV302" s="136"/>
      <c r="UJW302" s="136"/>
      <c r="UJX302" s="136"/>
      <c r="UJY302" s="136"/>
      <c r="UJZ302" s="136"/>
      <c r="UKA302" s="136"/>
      <c r="UKB302" s="136"/>
      <c r="UKC302" s="136"/>
      <c r="UKD302" s="136"/>
      <c r="UKE302" s="136"/>
      <c r="UKF302" s="136"/>
      <c r="UKG302" s="136"/>
      <c r="UKH302" s="136"/>
      <c r="UKI302" s="136"/>
      <c r="UKJ302" s="136"/>
      <c r="UKK302" s="136"/>
      <c r="UKL302" s="136"/>
      <c r="UKM302" s="136"/>
      <c r="UKN302" s="136"/>
      <c r="UKO302" s="136"/>
      <c r="UKP302" s="136"/>
      <c r="UKQ302" s="136"/>
      <c r="UKR302" s="136"/>
      <c r="UKS302" s="136"/>
      <c r="UKT302" s="136"/>
      <c r="UKU302" s="136"/>
      <c r="UKV302" s="136"/>
      <c r="UKW302" s="136"/>
      <c r="UKX302" s="136"/>
      <c r="UKY302" s="136"/>
      <c r="UKZ302" s="136"/>
      <c r="ULA302" s="136"/>
      <c r="ULB302" s="136"/>
      <c r="ULC302" s="136"/>
      <c r="ULD302" s="136"/>
      <c r="ULE302" s="136"/>
      <c r="ULF302" s="136"/>
      <c r="ULG302" s="136"/>
      <c r="ULH302" s="136"/>
      <c r="ULI302" s="136"/>
      <c r="ULJ302" s="136"/>
      <c r="ULK302" s="136"/>
      <c r="ULL302" s="136"/>
      <c r="ULM302" s="136"/>
      <c r="ULN302" s="136"/>
      <c r="ULO302" s="136"/>
      <c r="ULP302" s="136"/>
      <c r="ULQ302" s="136"/>
      <c r="ULR302" s="136"/>
      <c r="ULS302" s="136"/>
      <c r="ULT302" s="136"/>
      <c r="ULU302" s="136"/>
      <c r="ULV302" s="136"/>
      <c r="ULW302" s="136"/>
      <c r="ULX302" s="136"/>
      <c r="ULY302" s="136"/>
      <c r="ULZ302" s="136"/>
      <c r="UMA302" s="136"/>
      <c r="UMB302" s="136"/>
      <c r="UMC302" s="136"/>
      <c r="UMD302" s="136"/>
      <c r="UME302" s="136"/>
      <c r="UMF302" s="136"/>
      <c r="UMG302" s="136"/>
      <c r="UMH302" s="136"/>
      <c r="UMI302" s="136"/>
      <c r="UMJ302" s="136"/>
      <c r="UMK302" s="136"/>
      <c r="UML302" s="136"/>
      <c r="UMM302" s="136"/>
      <c r="UMN302" s="136"/>
      <c r="UMO302" s="136"/>
      <c r="UMP302" s="136"/>
      <c r="UMQ302" s="136"/>
      <c r="UMR302" s="136"/>
      <c r="UMS302" s="136"/>
      <c r="UMT302" s="136"/>
      <c r="UMU302" s="136"/>
      <c r="UMV302" s="136"/>
      <c r="UMW302" s="136"/>
      <c r="UMX302" s="136"/>
      <c r="UMY302" s="136"/>
      <c r="UMZ302" s="136"/>
      <c r="UNA302" s="136"/>
      <c r="UNB302" s="136"/>
      <c r="UNC302" s="136"/>
      <c r="UND302" s="136"/>
      <c r="UNE302" s="136"/>
      <c r="UNF302" s="136"/>
      <c r="UNG302" s="136"/>
      <c r="UNH302" s="136"/>
      <c r="UNI302" s="136"/>
      <c r="UNJ302" s="136"/>
      <c r="UNK302" s="136"/>
      <c r="UNL302" s="136"/>
      <c r="UNM302" s="136"/>
      <c r="UNN302" s="136"/>
      <c r="UNO302" s="136"/>
      <c r="UNP302" s="136"/>
      <c r="UNQ302" s="136"/>
      <c r="UNR302" s="136"/>
      <c r="UNS302" s="136"/>
      <c r="UNT302" s="136"/>
      <c r="UNU302" s="136"/>
      <c r="UNV302" s="136"/>
      <c r="UNW302" s="136"/>
      <c r="UNX302" s="136"/>
      <c r="UNY302" s="136"/>
      <c r="UNZ302" s="136"/>
      <c r="UOA302" s="136"/>
      <c r="UOB302" s="136"/>
      <c r="UOC302" s="136"/>
      <c r="UOD302" s="136"/>
      <c r="UOE302" s="136"/>
      <c r="UOF302" s="136"/>
      <c r="UOG302" s="136"/>
      <c r="UOH302" s="136"/>
      <c r="UOI302" s="136"/>
      <c r="UOJ302" s="136"/>
      <c r="UOK302" s="136"/>
      <c r="UOL302" s="136"/>
      <c r="UOM302" s="136"/>
      <c r="UON302" s="136"/>
      <c r="UOO302" s="136"/>
      <c r="UOP302" s="136"/>
      <c r="UOQ302" s="136"/>
      <c r="UOR302" s="136"/>
      <c r="UOS302" s="136"/>
      <c r="UOT302" s="136"/>
      <c r="UOU302" s="136"/>
      <c r="UOV302" s="136"/>
      <c r="UOW302" s="136"/>
      <c r="UOX302" s="136"/>
      <c r="UOY302" s="136"/>
      <c r="UOZ302" s="136"/>
      <c r="UPA302" s="136"/>
      <c r="UPB302" s="136"/>
      <c r="UPC302" s="136"/>
      <c r="UPD302" s="136"/>
      <c r="UPE302" s="136"/>
      <c r="UPF302" s="136"/>
      <c r="UPG302" s="136"/>
      <c r="UPH302" s="136"/>
      <c r="UPI302" s="136"/>
      <c r="UPJ302" s="136"/>
      <c r="UPK302" s="136"/>
      <c r="UPL302" s="136"/>
      <c r="UPM302" s="136"/>
      <c r="UPN302" s="136"/>
      <c r="UPO302" s="136"/>
      <c r="UPP302" s="136"/>
      <c r="UPQ302" s="136"/>
      <c r="UPR302" s="136"/>
      <c r="UPS302" s="136"/>
      <c r="UPT302" s="136"/>
      <c r="UPU302" s="136"/>
      <c r="UPV302" s="136"/>
      <c r="UPW302" s="136"/>
      <c r="UPX302" s="136"/>
      <c r="UPY302" s="136"/>
      <c r="UPZ302" s="136"/>
      <c r="UQA302" s="136"/>
      <c r="UQB302" s="136"/>
      <c r="UQC302" s="136"/>
      <c r="UQD302" s="136"/>
      <c r="UQE302" s="136"/>
      <c r="UQF302" s="136"/>
      <c r="UQG302" s="136"/>
      <c r="UQH302" s="136"/>
      <c r="UQI302" s="136"/>
      <c r="UQJ302" s="136"/>
      <c r="UQK302" s="136"/>
      <c r="UQL302" s="136"/>
      <c r="UQM302" s="136"/>
      <c r="UQN302" s="136"/>
      <c r="UQO302" s="136"/>
      <c r="UQP302" s="136"/>
      <c r="UQQ302" s="136"/>
      <c r="UQR302" s="136"/>
      <c r="UQS302" s="136"/>
      <c r="UQT302" s="136"/>
      <c r="UQU302" s="136"/>
      <c r="UQV302" s="136"/>
      <c r="UQW302" s="136"/>
      <c r="UQX302" s="136"/>
      <c r="UQY302" s="136"/>
      <c r="UQZ302" s="136"/>
      <c r="URA302" s="136"/>
      <c r="URB302" s="136"/>
      <c r="URC302" s="136"/>
      <c r="URD302" s="136"/>
      <c r="URE302" s="136"/>
      <c r="URF302" s="136"/>
      <c r="URG302" s="136"/>
      <c r="URH302" s="136"/>
      <c r="URI302" s="136"/>
      <c r="URJ302" s="136"/>
      <c r="URK302" s="136"/>
      <c r="URL302" s="136"/>
      <c r="URM302" s="136"/>
      <c r="URN302" s="136"/>
      <c r="URO302" s="136"/>
      <c r="URP302" s="136"/>
      <c r="URQ302" s="136"/>
      <c r="URR302" s="136"/>
      <c r="URS302" s="136"/>
      <c r="URT302" s="136"/>
      <c r="URU302" s="136"/>
      <c r="URV302" s="136"/>
      <c r="URW302" s="136"/>
      <c r="URX302" s="136"/>
      <c r="URY302" s="136"/>
      <c r="URZ302" s="136"/>
      <c r="USA302" s="136"/>
      <c r="USB302" s="136"/>
      <c r="USC302" s="136"/>
      <c r="USD302" s="136"/>
      <c r="USE302" s="136"/>
      <c r="USF302" s="136"/>
      <c r="USG302" s="136"/>
      <c r="USH302" s="136"/>
      <c r="USI302" s="136"/>
      <c r="USJ302" s="136"/>
      <c r="USK302" s="136"/>
      <c r="USL302" s="136"/>
      <c r="USM302" s="136"/>
      <c r="USN302" s="136"/>
      <c r="USO302" s="136"/>
      <c r="USP302" s="136"/>
      <c r="USQ302" s="136"/>
      <c r="USR302" s="136"/>
      <c r="USS302" s="136"/>
      <c r="UST302" s="136"/>
      <c r="USU302" s="136"/>
      <c r="USV302" s="136"/>
      <c r="USW302" s="136"/>
      <c r="USX302" s="136"/>
      <c r="USY302" s="136"/>
      <c r="USZ302" s="136"/>
      <c r="UTA302" s="136"/>
      <c r="UTB302" s="136"/>
      <c r="UTC302" s="136"/>
      <c r="UTD302" s="136"/>
      <c r="UTE302" s="136"/>
      <c r="UTF302" s="136"/>
      <c r="UTG302" s="136"/>
      <c r="UTH302" s="136"/>
      <c r="UTI302" s="136"/>
      <c r="UTJ302" s="136"/>
      <c r="UTK302" s="136"/>
      <c r="UTL302" s="136"/>
      <c r="UTM302" s="136"/>
      <c r="UTN302" s="136"/>
      <c r="UTO302" s="136"/>
      <c r="UTP302" s="136"/>
      <c r="UTQ302" s="136"/>
      <c r="UTR302" s="136"/>
      <c r="UTS302" s="136"/>
      <c r="UTT302" s="136"/>
      <c r="UTU302" s="136"/>
      <c r="UTV302" s="136"/>
      <c r="UTW302" s="136"/>
      <c r="UTX302" s="136"/>
      <c r="UTY302" s="136"/>
      <c r="UTZ302" s="136"/>
      <c r="UUA302" s="136"/>
      <c r="UUB302" s="136"/>
      <c r="UUC302" s="136"/>
      <c r="UUD302" s="136"/>
      <c r="UUE302" s="136"/>
      <c r="UUF302" s="136"/>
      <c r="UUG302" s="136"/>
      <c r="UUH302" s="136"/>
      <c r="UUI302" s="136"/>
      <c r="UUJ302" s="136"/>
      <c r="UUK302" s="136"/>
      <c r="UUL302" s="136"/>
      <c r="UUM302" s="136"/>
      <c r="UUN302" s="136"/>
      <c r="UUO302" s="136"/>
      <c r="UUP302" s="136"/>
      <c r="UUQ302" s="136"/>
      <c r="UUR302" s="136"/>
      <c r="UUS302" s="136"/>
      <c r="UUT302" s="136"/>
      <c r="UUU302" s="136"/>
      <c r="UUV302" s="136"/>
      <c r="UUW302" s="136"/>
      <c r="UUX302" s="136"/>
      <c r="UUY302" s="136"/>
      <c r="UUZ302" s="136"/>
      <c r="UVA302" s="136"/>
      <c r="UVB302" s="136"/>
      <c r="UVC302" s="136"/>
      <c r="UVD302" s="136"/>
      <c r="UVE302" s="136"/>
      <c r="UVF302" s="136"/>
      <c r="UVG302" s="136"/>
      <c r="UVH302" s="136"/>
      <c r="UVI302" s="136"/>
      <c r="UVJ302" s="136"/>
      <c r="UVK302" s="136"/>
      <c r="UVL302" s="136"/>
      <c r="UVM302" s="136"/>
      <c r="UVN302" s="136"/>
      <c r="UVO302" s="136"/>
      <c r="UVP302" s="136"/>
      <c r="UVQ302" s="136"/>
      <c r="UVR302" s="136"/>
      <c r="UVS302" s="136"/>
      <c r="UVT302" s="136"/>
      <c r="UVU302" s="136"/>
      <c r="UVV302" s="136"/>
      <c r="UVW302" s="136"/>
      <c r="UVX302" s="136"/>
      <c r="UVY302" s="136"/>
      <c r="UVZ302" s="136"/>
      <c r="UWA302" s="136"/>
      <c r="UWB302" s="136"/>
      <c r="UWC302" s="136"/>
      <c r="UWD302" s="136"/>
      <c r="UWE302" s="136"/>
      <c r="UWF302" s="136"/>
      <c r="UWG302" s="136"/>
      <c r="UWH302" s="136"/>
      <c r="UWI302" s="136"/>
      <c r="UWJ302" s="136"/>
      <c r="UWK302" s="136"/>
      <c r="UWL302" s="136"/>
      <c r="UWM302" s="136"/>
      <c r="UWN302" s="136"/>
      <c r="UWO302" s="136"/>
      <c r="UWP302" s="136"/>
      <c r="UWQ302" s="136"/>
      <c r="UWR302" s="136"/>
      <c r="UWS302" s="136"/>
      <c r="UWT302" s="136"/>
      <c r="UWU302" s="136"/>
      <c r="UWV302" s="136"/>
      <c r="UWW302" s="136"/>
      <c r="UWX302" s="136"/>
      <c r="UWY302" s="136"/>
      <c r="UWZ302" s="136"/>
      <c r="UXA302" s="136"/>
      <c r="UXB302" s="136"/>
      <c r="UXC302" s="136"/>
      <c r="UXD302" s="136"/>
      <c r="UXE302" s="136"/>
      <c r="UXF302" s="136"/>
      <c r="UXG302" s="136"/>
      <c r="UXH302" s="136"/>
      <c r="UXI302" s="136"/>
      <c r="UXJ302" s="136"/>
      <c r="UXK302" s="136"/>
      <c r="UXL302" s="136"/>
      <c r="UXM302" s="136"/>
      <c r="UXN302" s="136"/>
      <c r="UXO302" s="136"/>
      <c r="UXP302" s="136"/>
      <c r="UXQ302" s="136"/>
      <c r="UXR302" s="136"/>
      <c r="UXS302" s="136"/>
      <c r="UXT302" s="136"/>
      <c r="UXU302" s="136"/>
      <c r="UXV302" s="136"/>
      <c r="UXW302" s="136"/>
      <c r="UXX302" s="136"/>
      <c r="UXY302" s="136"/>
      <c r="UXZ302" s="136"/>
      <c r="UYA302" s="136"/>
      <c r="UYB302" s="136"/>
      <c r="UYC302" s="136"/>
      <c r="UYD302" s="136"/>
      <c r="UYE302" s="136"/>
      <c r="UYF302" s="136"/>
      <c r="UYG302" s="136"/>
      <c r="UYH302" s="136"/>
      <c r="UYI302" s="136"/>
      <c r="UYJ302" s="136"/>
      <c r="UYK302" s="136"/>
      <c r="UYL302" s="136"/>
      <c r="UYM302" s="136"/>
      <c r="UYN302" s="136"/>
      <c r="UYO302" s="136"/>
      <c r="UYP302" s="136"/>
      <c r="UYQ302" s="136"/>
      <c r="UYR302" s="136"/>
      <c r="UYS302" s="136"/>
      <c r="UYT302" s="136"/>
      <c r="UYU302" s="136"/>
      <c r="UYV302" s="136"/>
      <c r="UYW302" s="136"/>
      <c r="UYX302" s="136"/>
      <c r="UYY302" s="136"/>
      <c r="UYZ302" s="136"/>
      <c r="UZA302" s="136"/>
      <c r="UZB302" s="136"/>
      <c r="UZC302" s="136"/>
      <c r="UZD302" s="136"/>
      <c r="UZE302" s="136"/>
      <c r="UZF302" s="136"/>
      <c r="UZG302" s="136"/>
      <c r="UZH302" s="136"/>
      <c r="UZI302" s="136"/>
      <c r="UZJ302" s="136"/>
      <c r="UZK302" s="136"/>
      <c r="UZL302" s="136"/>
      <c r="UZM302" s="136"/>
      <c r="UZN302" s="136"/>
      <c r="UZO302" s="136"/>
      <c r="UZP302" s="136"/>
      <c r="UZQ302" s="136"/>
      <c r="UZR302" s="136"/>
      <c r="UZS302" s="136"/>
      <c r="UZT302" s="136"/>
      <c r="UZU302" s="136"/>
      <c r="UZV302" s="136"/>
      <c r="UZW302" s="136"/>
      <c r="UZX302" s="136"/>
      <c r="UZY302" s="136"/>
      <c r="UZZ302" s="136"/>
      <c r="VAA302" s="136"/>
      <c r="VAB302" s="136"/>
      <c r="VAC302" s="136"/>
      <c r="VAD302" s="136"/>
      <c r="VAE302" s="136"/>
      <c r="VAF302" s="136"/>
      <c r="VAG302" s="136"/>
      <c r="VAH302" s="136"/>
      <c r="VAI302" s="136"/>
      <c r="VAJ302" s="136"/>
      <c r="VAK302" s="136"/>
      <c r="VAL302" s="136"/>
      <c r="VAM302" s="136"/>
      <c r="VAN302" s="136"/>
      <c r="VAO302" s="136"/>
      <c r="VAP302" s="136"/>
      <c r="VAQ302" s="136"/>
      <c r="VAR302" s="136"/>
      <c r="VAS302" s="136"/>
      <c r="VAT302" s="136"/>
      <c r="VAU302" s="136"/>
      <c r="VAV302" s="136"/>
      <c r="VAW302" s="136"/>
      <c r="VAX302" s="136"/>
      <c r="VAY302" s="136"/>
      <c r="VAZ302" s="136"/>
      <c r="VBA302" s="136"/>
      <c r="VBB302" s="136"/>
      <c r="VBC302" s="136"/>
      <c r="VBD302" s="136"/>
      <c r="VBE302" s="136"/>
      <c r="VBF302" s="136"/>
      <c r="VBG302" s="136"/>
      <c r="VBH302" s="136"/>
      <c r="VBI302" s="136"/>
      <c r="VBJ302" s="136"/>
      <c r="VBK302" s="136"/>
      <c r="VBL302" s="136"/>
      <c r="VBM302" s="136"/>
      <c r="VBN302" s="136"/>
      <c r="VBO302" s="136"/>
      <c r="VBP302" s="136"/>
      <c r="VBQ302" s="136"/>
      <c r="VBR302" s="136"/>
      <c r="VBS302" s="136"/>
      <c r="VBT302" s="136"/>
      <c r="VBU302" s="136"/>
      <c r="VBV302" s="136"/>
      <c r="VBW302" s="136"/>
      <c r="VBX302" s="136"/>
      <c r="VBY302" s="136"/>
      <c r="VBZ302" s="136"/>
      <c r="VCA302" s="136"/>
      <c r="VCB302" s="136"/>
      <c r="VCC302" s="136"/>
      <c r="VCD302" s="136"/>
      <c r="VCE302" s="136"/>
      <c r="VCF302" s="136"/>
      <c r="VCG302" s="136"/>
      <c r="VCH302" s="136"/>
      <c r="VCI302" s="136"/>
      <c r="VCJ302" s="136"/>
      <c r="VCK302" s="136"/>
      <c r="VCL302" s="136"/>
      <c r="VCM302" s="136"/>
      <c r="VCN302" s="136"/>
      <c r="VCO302" s="136"/>
      <c r="VCP302" s="136"/>
      <c r="VCQ302" s="136"/>
      <c r="VCR302" s="136"/>
      <c r="VCS302" s="136"/>
      <c r="VCT302" s="136"/>
      <c r="VCU302" s="136"/>
      <c r="VCV302" s="136"/>
      <c r="VCW302" s="136"/>
      <c r="VCX302" s="136"/>
      <c r="VCY302" s="136"/>
      <c r="VCZ302" s="136"/>
      <c r="VDA302" s="136"/>
      <c r="VDB302" s="136"/>
      <c r="VDC302" s="136"/>
      <c r="VDD302" s="136"/>
      <c r="VDE302" s="136"/>
      <c r="VDF302" s="136"/>
      <c r="VDG302" s="136"/>
      <c r="VDH302" s="136"/>
      <c r="VDI302" s="136"/>
      <c r="VDJ302" s="136"/>
      <c r="VDK302" s="136"/>
      <c r="VDL302" s="136"/>
      <c r="VDM302" s="136"/>
      <c r="VDN302" s="136"/>
      <c r="VDO302" s="136"/>
      <c r="VDP302" s="136"/>
      <c r="VDQ302" s="136"/>
      <c r="VDR302" s="136"/>
      <c r="VDS302" s="136"/>
      <c r="VDT302" s="136"/>
      <c r="VDU302" s="136"/>
      <c r="VDV302" s="136"/>
      <c r="VDW302" s="136"/>
      <c r="VDX302" s="136"/>
      <c r="VDY302" s="136"/>
      <c r="VDZ302" s="136"/>
      <c r="VEA302" s="136"/>
      <c r="VEB302" s="136"/>
      <c r="VEC302" s="136"/>
      <c r="VED302" s="136"/>
      <c r="VEE302" s="136"/>
      <c r="VEF302" s="136"/>
      <c r="VEG302" s="136"/>
      <c r="VEH302" s="136"/>
      <c r="VEI302" s="136"/>
      <c r="VEJ302" s="136"/>
      <c r="VEK302" s="136"/>
      <c r="VEL302" s="136"/>
      <c r="VEM302" s="136"/>
      <c r="VEN302" s="136"/>
      <c r="VEO302" s="136"/>
      <c r="VEP302" s="136"/>
      <c r="VEQ302" s="136"/>
      <c r="VER302" s="136"/>
      <c r="VES302" s="136"/>
      <c r="VET302" s="136"/>
      <c r="VEU302" s="136"/>
      <c r="VEV302" s="136"/>
      <c r="VEW302" s="136"/>
      <c r="VEX302" s="136"/>
      <c r="VEY302" s="136"/>
      <c r="VEZ302" s="136"/>
      <c r="VFA302" s="136"/>
      <c r="VFB302" s="136"/>
      <c r="VFC302" s="136"/>
      <c r="VFD302" s="136"/>
      <c r="VFE302" s="136"/>
      <c r="VFF302" s="136"/>
      <c r="VFG302" s="136"/>
      <c r="VFH302" s="136"/>
      <c r="VFI302" s="136"/>
      <c r="VFJ302" s="136"/>
      <c r="VFK302" s="136"/>
      <c r="VFL302" s="136"/>
      <c r="VFM302" s="136"/>
      <c r="VFN302" s="136"/>
      <c r="VFO302" s="136"/>
      <c r="VFP302" s="136"/>
      <c r="VFQ302" s="136"/>
      <c r="VFR302" s="136"/>
      <c r="VFS302" s="136"/>
      <c r="VFT302" s="136"/>
      <c r="VFU302" s="136"/>
      <c r="VFV302" s="136"/>
      <c r="VFW302" s="136"/>
      <c r="VFX302" s="136"/>
      <c r="VFY302" s="136"/>
      <c r="VFZ302" s="136"/>
      <c r="VGA302" s="136"/>
      <c r="VGB302" s="136"/>
      <c r="VGC302" s="136"/>
      <c r="VGD302" s="136"/>
      <c r="VGE302" s="136"/>
      <c r="VGF302" s="136"/>
      <c r="VGG302" s="136"/>
      <c r="VGH302" s="136"/>
      <c r="VGI302" s="136"/>
      <c r="VGJ302" s="136"/>
      <c r="VGK302" s="136"/>
      <c r="VGL302" s="136"/>
      <c r="VGM302" s="136"/>
      <c r="VGN302" s="136"/>
      <c r="VGO302" s="136"/>
      <c r="VGP302" s="136"/>
      <c r="VGQ302" s="136"/>
      <c r="VGR302" s="136"/>
      <c r="VGS302" s="136"/>
      <c r="VGT302" s="136"/>
      <c r="VGU302" s="136"/>
      <c r="VGV302" s="136"/>
      <c r="VGW302" s="136"/>
      <c r="VGX302" s="136"/>
      <c r="VGY302" s="136"/>
      <c r="VGZ302" s="136"/>
      <c r="VHA302" s="136"/>
      <c r="VHB302" s="136"/>
      <c r="VHC302" s="136"/>
      <c r="VHD302" s="136"/>
      <c r="VHE302" s="136"/>
      <c r="VHF302" s="136"/>
      <c r="VHG302" s="136"/>
      <c r="VHH302" s="136"/>
      <c r="VHI302" s="136"/>
      <c r="VHJ302" s="136"/>
      <c r="VHK302" s="136"/>
      <c r="VHL302" s="136"/>
      <c r="VHM302" s="136"/>
      <c r="VHN302" s="136"/>
      <c r="VHO302" s="136"/>
      <c r="VHP302" s="136"/>
      <c r="VHQ302" s="136"/>
      <c r="VHR302" s="136"/>
      <c r="VHS302" s="136"/>
      <c r="VHT302" s="136"/>
      <c r="VHU302" s="136"/>
      <c r="VHV302" s="136"/>
      <c r="VHW302" s="136"/>
      <c r="VHX302" s="136"/>
      <c r="VHY302" s="136"/>
      <c r="VHZ302" s="136"/>
      <c r="VIA302" s="136"/>
      <c r="VIB302" s="136"/>
      <c r="VIC302" s="136"/>
      <c r="VID302" s="136"/>
      <c r="VIE302" s="136"/>
      <c r="VIF302" s="136"/>
      <c r="VIG302" s="136"/>
      <c r="VIH302" s="136"/>
      <c r="VII302" s="136"/>
      <c r="VIJ302" s="136"/>
      <c r="VIK302" s="136"/>
      <c r="VIL302" s="136"/>
      <c r="VIM302" s="136"/>
      <c r="VIN302" s="136"/>
      <c r="VIO302" s="136"/>
      <c r="VIP302" s="136"/>
      <c r="VIQ302" s="136"/>
      <c r="VIR302" s="136"/>
      <c r="VIS302" s="136"/>
      <c r="VIT302" s="136"/>
      <c r="VIU302" s="136"/>
      <c r="VIV302" s="136"/>
      <c r="VIW302" s="136"/>
      <c r="VIX302" s="136"/>
      <c r="VIY302" s="136"/>
      <c r="VIZ302" s="136"/>
      <c r="VJA302" s="136"/>
      <c r="VJB302" s="136"/>
      <c r="VJC302" s="136"/>
      <c r="VJD302" s="136"/>
      <c r="VJE302" s="136"/>
      <c r="VJF302" s="136"/>
      <c r="VJG302" s="136"/>
      <c r="VJH302" s="136"/>
      <c r="VJI302" s="136"/>
      <c r="VJJ302" s="136"/>
      <c r="VJK302" s="136"/>
      <c r="VJL302" s="136"/>
      <c r="VJM302" s="136"/>
      <c r="VJN302" s="136"/>
      <c r="VJO302" s="136"/>
      <c r="VJP302" s="136"/>
      <c r="VJQ302" s="136"/>
      <c r="VJR302" s="136"/>
      <c r="VJS302" s="136"/>
      <c r="VJT302" s="136"/>
      <c r="VJU302" s="136"/>
      <c r="VJV302" s="136"/>
      <c r="VJW302" s="136"/>
      <c r="VJX302" s="136"/>
      <c r="VJY302" s="136"/>
      <c r="VJZ302" s="136"/>
      <c r="VKA302" s="136"/>
      <c r="VKB302" s="136"/>
      <c r="VKC302" s="136"/>
      <c r="VKD302" s="136"/>
      <c r="VKE302" s="136"/>
      <c r="VKF302" s="136"/>
      <c r="VKG302" s="136"/>
      <c r="VKH302" s="136"/>
      <c r="VKI302" s="136"/>
      <c r="VKJ302" s="136"/>
      <c r="VKK302" s="136"/>
      <c r="VKL302" s="136"/>
      <c r="VKM302" s="136"/>
      <c r="VKN302" s="136"/>
      <c r="VKO302" s="136"/>
      <c r="VKP302" s="136"/>
      <c r="VKQ302" s="136"/>
      <c r="VKR302" s="136"/>
      <c r="VKS302" s="136"/>
      <c r="VKT302" s="136"/>
      <c r="VKU302" s="136"/>
      <c r="VKV302" s="136"/>
      <c r="VKW302" s="136"/>
      <c r="VKX302" s="136"/>
      <c r="VKY302" s="136"/>
      <c r="VKZ302" s="136"/>
      <c r="VLA302" s="136"/>
      <c r="VLB302" s="136"/>
      <c r="VLC302" s="136"/>
      <c r="VLD302" s="136"/>
      <c r="VLE302" s="136"/>
      <c r="VLF302" s="136"/>
      <c r="VLG302" s="136"/>
      <c r="VLH302" s="136"/>
      <c r="VLI302" s="136"/>
      <c r="VLJ302" s="136"/>
      <c r="VLK302" s="136"/>
      <c r="VLL302" s="136"/>
      <c r="VLM302" s="136"/>
      <c r="VLN302" s="136"/>
      <c r="VLO302" s="136"/>
      <c r="VLP302" s="136"/>
      <c r="VLQ302" s="136"/>
      <c r="VLR302" s="136"/>
      <c r="VLS302" s="136"/>
      <c r="VLT302" s="136"/>
      <c r="VLU302" s="136"/>
      <c r="VLV302" s="136"/>
      <c r="VLW302" s="136"/>
      <c r="VLX302" s="136"/>
      <c r="VLY302" s="136"/>
      <c r="VLZ302" s="136"/>
      <c r="VMA302" s="136"/>
      <c r="VMB302" s="136"/>
      <c r="VMC302" s="136"/>
      <c r="VMD302" s="136"/>
      <c r="VME302" s="136"/>
      <c r="VMF302" s="136"/>
      <c r="VMG302" s="136"/>
      <c r="VMH302" s="136"/>
      <c r="VMI302" s="136"/>
      <c r="VMJ302" s="136"/>
      <c r="VMK302" s="136"/>
      <c r="VML302" s="136"/>
      <c r="VMM302" s="136"/>
      <c r="VMN302" s="136"/>
      <c r="VMO302" s="136"/>
      <c r="VMP302" s="136"/>
      <c r="VMQ302" s="136"/>
      <c r="VMR302" s="136"/>
      <c r="VMS302" s="136"/>
      <c r="VMT302" s="136"/>
      <c r="VMU302" s="136"/>
      <c r="VMV302" s="136"/>
      <c r="VMW302" s="136"/>
      <c r="VMX302" s="136"/>
      <c r="VMY302" s="136"/>
      <c r="VMZ302" s="136"/>
      <c r="VNA302" s="136"/>
      <c r="VNB302" s="136"/>
      <c r="VNC302" s="136"/>
      <c r="VND302" s="136"/>
      <c r="VNE302" s="136"/>
      <c r="VNF302" s="136"/>
      <c r="VNG302" s="136"/>
      <c r="VNH302" s="136"/>
      <c r="VNI302" s="136"/>
      <c r="VNJ302" s="136"/>
      <c r="VNK302" s="136"/>
      <c r="VNL302" s="136"/>
      <c r="VNM302" s="136"/>
      <c r="VNN302" s="136"/>
      <c r="VNO302" s="136"/>
      <c r="VNP302" s="136"/>
      <c r="VNQ302" s="136"/>
      <c r="VNR302" s="136"/>
      <c r="VNS302" s="136"/>
      <c r="VNT302" s="136"/>
      <c r="VNU302" s="136"/>
      <c r="VNV302" s="136"/>
      <c r="VNW302" s="136"/>
      <c r="VNX302" s="136"/>
      <c r="VNY302" s="136"/>
      <c r="VNZ302" s="136"/>
      <c r="VOA302" s="136"/>
      <c r="VOB302" s="136"/>
      <c r="VOC302" s="136"/>
      <c r="VOD302" s="136"/>
      <c r="VOE302" s="136"/>
      <c r="VOF302" s="136"/>
      <c r="VOG302" s="136"/>
      <c r="VOH302" s="136"/>
      <c r="VOI302" s="136"/>
      <c r="VOJ302" s="136"/>
      <c r="VOK302" s="136"/>
      <c r="VOL302" s="136"/>
      <c r="VOM302" s="136"/>
      <c r="VON302" s="136"/>
      <c r="VOO302" s="136"/>
      <c r="VOP302" s="136"/>
      <c r="VOQ302" s="136"/>
      <c r="VOR302" s="136"/>
      <c r="VOS302" s="136"/>
      <c r="VOT302" s="136"/>
      <c r="VOU302" s="136"/>
      <c r="VOV302" s="136"/>
      <c r="VOW302" s="136"/>
      <c r="VOX302" s="136"/>
      <c r="VOY302" s="136"/>
      <c r="VOZ302" s="136"/>
      <c r="VPA302" s="136"/>
      <c r="VPB302" s="136"/>
      <c r="VPC302" s="136"/>
      <c r="VPD302" s="136"/>
      <c r="VPE302" s="136"/>
      <c r="VPF302" s="136"/>
      <c r="VPG302" s="136"/>
      <c r="VPH302" s="136"/>
      <c r="VPI302" s="136"/>
      <c r="VPJ302" s="136"/>
      <c r="VPK302" s="136"/>
      <c r="VPL302" s="136"/>
      <c r="VPM302" s="136"/>
      <c r="VPN302" s="136"/>
      <c r="VPO302" s="136"/>
      <c r="VPP302" s="136"/>
      <c r="VPQ302" s="136"/>
      <c r="VPR302" s="136"/>
      <c r="VPS302" s="136"/>
      <c r="VPT302" s="136"/>
      <c r="VPU302" s="136"/>
      <c r="VPV302" s="136"/>
      <c r="VPW302" s="136"/>
      <c r="VPX302" s="136"/>
      <c r="VPY302" s="136"/>
      <c r="VPZ302" s="136"/>
      <c r="VQA302" s="136"/>
      <c r="VQB302" s="136"/>
      <c r="VQC302" s="136"/>
      <c r="VQD302" s="136"/>
      <c r="VQE302" s="136"/>
      <c r="VQF302" s="136"/>
      <c r="VQG302" s="136"/>
      <c r="VQH302" s="136"/>
      <c r="VQI302" s="136"/>
      <c r="VQJ302" s="136"/>
      <c r="VQK302" s="136"/>
      <c r="VQL302" s="136"/>
      <c r="VQM302" s="136"/>
      <c r="VQN302" s="136"/>
      <c r="VQO302" s="136"/>
      <c r="VQP302" s="136"/>
      <c r="VQQ302" s="136"/>
      <c r="VQR302" s="136"/>
      <c r="VQS302" s="136"/>
      <c r="VQT302" s="136"/>
      <c r="VQU302" s="136"/>
      <c r="VQV302" s="136"/>
      <c r="VQW302" s="136"/>
      <c r="VQX302" s="136"/>
      <c r="VQY302" s="136"/>
      <c r="VQZ302" s="136"/>
      <c r="VRA302" s="136"/>
      <c r="VRB302" s="136"/>
      <c r="VRC302" s="136"/>
      <c r="VRD302" s="136"/>
      <c r="VRE302" s="136"/>
      <c r="VRF302" s="136"/>
      <c r="VRG302" s="136"/>
      <c r="VRH302" s="136"/>
      <c r="VRI302" s="136"/>
      <c r="VRJ302" s="136"/>
      <c r="VRK302" s="136"/>
      <c r="VRL302" s="136"/>
      <c r="VRM302" s="136"/>
      <c r="VRN302" s="136"/>
      <c r="VRO302" s="136"/>
      <c r="VRP302" s="136"/>
      <c r="VRQ302" s="136"/>
      <c r="VRR302" s="136"/>
      <c r="VRS302" s="136"/>
      <c r="VRT302" s="136"/>
      <c r="VRU302" s="136"/>
      <c r="VRV302" s="136"/>
      <c r="VRW302" s="136"/>
      <c r="VRX302" s="136"/>
      <c r="VRY302" s="136"/>
      <c r="VRZ302" s="136"/>
      <c r="VSA302" s="136"/>
      <c r="VSB302" s="136"/>
      <c r="VSC302" s="136"/>
      <c r="VSD302" s="136"/>
      <c r="VSE302" s="136"/>
      <c r="VSF302" s="136"/>
      <c r="VSG302" s="136"/>
      <c r="VSH302" s="136"/>
      <c r="VSI302" s="136"/>
      <c r="VSJ302" s="136"/>
      <c r="VSK302" s="136"/>
      <c r="VSL302" s="136"/>
      <c r="VSM302" s="136"/>
      <c r="VSN302" s="136"/>
      <c r="VSO302" s="136"/>
      <c r="VSP302" s="136"/>
      <c r="VSQ302" s="136"/>
      <c r="VSR302" s="136"/>
      <c r="VSS302" s="136"/>
      <c r="VST302" s="136"/>
      <c r="VSU302" s="136"/>
      <c r="VSV302" s="136"/>
      <c r="VSW302" s="136"/>
      <c r="VSX302" s="136"/>
      <c r="VSY302" s="136"/>
      <c r="VSZ302" s="136"/>
      <c r="VTA302" s="136"/>
      <c r="VTB302" s="136"/>
      <c r="VTC302" s="136"/>
      <c r="VTD302" s="136"/>
      <c r="VTE302" s="136"/>
      <c r="VTF302" s="136"/>
      <c r="VTG302" s="136"/>
      <c r="VTH302" s="136"/>
      <c r="VTI302" s="136"/>
      <c r="VTJ302" s="136"/>
      <c r="VTK302" s="136"/>
      <c r="VTL302" s="136"/>
      <c r="VTM302" s="136"/>
      <c r="VTN302" s="136"/>
      <c r="VTO302" s="136"/>
      <c r="VTP302" s="136"/>
      <c r="VTQ302" s="136"/>
      <c r="VTR302" s="136"/>
      <c r="VTS302" s="136"/>
      <c r="VTT302" s="136"/>
      <c r="VTU302" s="136"/>
      <c r="VTV302" s="136"/>
      <c r="VTW302" s="136"/>
      <c r="VTX302" s="136"/>
      <c r="VTY302" s="136"/>
      <c r="VTZ302" s="136"/>
      <c r="VUA302" s="136"/>
      <c r="VUB302" s="136"/>
      <c r="VUC302" s="136"/>
      <c r="VUD302" s="136"/>
      <c r="VUE302" s="136"/>
      <c r="VUF302" s="136"/>
      <c r="VUG302" s="136"/>
      <c r="VUH302" s="136"/>
      <c r="VUI302" s="136"/>
      <c r="VUJ302" s="136"/>
      <c r="VUK302" s="136"/>
      <c r="VUL302" s="136"/>
      <c r="VUM302" s="136"/>
      <c r="VUN302" s="136"/>
      <c r="VUO302" s="136"/>
      <c r="VUP302" s="136"/>
      <c r="VUQ302" s="136"/>
      <c r="VUR302" s="136"/>
      <c r="VUS302" s="136"/>
      <c r="VUT302" s="136"/>
      <c r="VUU302" s="136"/>
      <c r="VUV302" s="136"/>
      <c r="VUW302" s="136"/>
      <c r="VUX302" s="136"/>
      <c r="VUY302" s="136"/>
      <c r="VUZ302" s="136"/>
      <c r="VVA302" s="136"/>
      <c r="VVB302" s="136"/>
      <c r="VVC302" s="136"/>
      <c r="VVD302" s="136"/>
      <c r="VVE302" s="136"/>
      <c r="VVF302" s="136"/>
      <c r="VVG302" s="136"/>
      <c r="VVH302" s="136"/>
      <c r="VVI302" s="136"/>
      <c r="VVJ302" s="136"/>
      <c r="VVK302" s="136"/>
      <c r="VVL302" s="136"/>
      <c r="VVM302" s="136"/>
      <c r="VVN302" s="136"/>
      <c r="VVO302" s="136"/>
      <c r="VVP302" s="136"/>
      <c r="VVQ302" s="136"/>
      <c r="VVR302" s="136"/>
      <c r="VVS302" s="136"/>
      <c r="VVT302" s="136"/>
      <c r="VVU302" s="136"/>
      <c r="VVV302" s="136"/>
      <c r="VVW302" s="136"/>
      <c r="VVX302" s="136"/>
      <c r="VVY302" s="136"/>
      <c r="VVZ302" s="136"/>
      <c r="VWA302" s="136"/>
      <c r="VWB302" s="136"/>
      <c r="VWC302" s="136"/>
      <c r="VWD302" s="136"/>
      <c r="VWE302" s="136"/>
      <c r="VWF302" s="136"/>
      <c r="VWG302" s="136"/>
      <c r="VWH302" s="136"/>
      <c r="VWI302" s="136"/>
      <c r="VWJ302" s="136"/>
      <c r="VWK302" s="136"/>
      <c r="VWL302" s="136"/>
      <c r="VWM302" s="136"/>
      <c r="VWN302" s="136"/>
      <c r="VWO302" s="136"/>
      <c r="VWP302" s="136"/>
      <c r="VWQ302" s="136"/>
      <c r="VWR302" s="136"/>
      <c r="VWS302" s="136"/>
      <c r="VWT302" s="136"/>
      <c r="VWU302" s="136"/>
      <c r="VWV302" s="136"/>
      <c r="VWW302" s="136"/>
      <c r="VWX302" s="136"/>
      <c r="VWY302" s="136"/>
      <c r="VWZ302" s="136"/>
      <c r="VXA302" s="136"/>
      <c r="VXB302" s="136"/>
      <c r="VXC302" s="136"/>
      <c r="VXD302" s="136"/>
      <c r="VXE302" s="136"/>
      <c r="VXF302" s="136"/>
      <c r="VXG302" s="136"/>
      <c r="VXH302" s="136"/>
      <c r="VXI302" s="136"/>
      <c r="VXJ302" s="136"/>
      <c r="VXK302" s="136"/>
      <c r="VXL302" s="136"/>
      <c r="VXM302" s="136"/>
      <c r="VXN302" s="136"/>
      <c r="VXO302" s="136"/>
      <c r="VXP302" s="136"/>
      <c r="VXQ302" s="136"/>
      <c r="VXR302" s="136"/>
      <c r="VXS302" s="136"/>
      <c r="VXT302" s="136"/>
      <c r="VXU302" s="136"/>
      <c r="VXV302" s="136"/>
      <c r="VXW302" s="136"/>
      <c r="VXX302" s="136"/>
      <c r="VXY302" s="136"/>
      <c r="VXZ302" s="136"/>
      <c r="VYA302" s="136"/>
      <c r="VYB302" s="136"/>
      <c r="VYC302" s="136"/>
      <c r="VYD302" s="136"/>
      <c r="VYE302" s="136"/>
      <c r="VYF302" s="136"/>
      <c r="VYG302" s="136"/>
      <c r="VYH302" s="136"/>
      <c r="VYI302" s="136"/>
      <c r="VYJ302" s="136"/>
      <c r="VYK302" s="136"/>
      <c r="VYL302" s="136"/>
      <c r="VYM302" s="136"/>
      <c r="VYN302" s="136"/>
      <c r="VYO302" s="136"/>
      <c r="VYP302" s="136"/>
      <c r="VYQ302" s="136"/>
      <c r="VYR302" s="136"/>
      <c r="VYS302" s="136"/>
      <c r="VYT302" s="136"/>
      <c r="VYU302" s="136"/>
      <c r="VYV302" s="136"/>
      <c r="VYW302" s="136"/>
      <c r="VYX302" s="136"/>
      <c r="VYY302" s="136"/>
      <c r="VYZ302" s="136"/>
      <c r="VZA302" s="136"/>
      <c r="VZB302" s="136"/>
      <c r="VZC302" s="136"/>
      <c r="VZD302" s="136"/>
      <c r="VZE302" s="136"/>
      <c r="VZF302" s="136"/>
      <c r="VZG302" s="136"/>
      <c r="VZH302" s="136"/>
      <c r="VZI302" s="136"/>
      <c r="VZJ302" s="136"/>
      <c r="VZK302" s="136"/>
      <c r="VZL302" s="136"/>
      <c r="VZM302" s="136"/>
      <c r="VZN302" s="136"/>
      <c r="VZO302" s="136"/>
      <c r="VZP302" s="136"/>
      <c r="VZQ302" s="136"/>
      <c r="VZR302" s="136"/>
      <c r="VZS302" s="136"/>
      <c r="VZT302" s="136"/>
      <c r="VZU302" s="136"/>
      <c r="VZV302" s="136"/>
      <c r="VZW302" s="136"/>
      <c r="VZX302" s="136"/>
      <c r="VZY302" s="136"/>
      <c r="VZZ302" s="136"/>
      <c r="WAA302" s="136"/>
      <c r="WAB302" s="136"/>
      <c r="WAC302" s="136"/>
      <c r="WAD302" s="136"/>
      <c r="WAE302" s="136"/>
      <c r="WAF302" s="136"/>
      <c r="WAG302" s="136"/>
      <c r="WAH302" s="136"/>
      <c r="WAI302" s="136"/>
      <c r="WAJ302" s="136"/>
      <c r="WAK302" s="136"/>
      <c r="WAL302" s="136"/>
      <c r="WAM302" s="136"/>
      <c r="WAN302" s="136"/>
      <c r="WAO302" s="136"/>
      <c r="WAP302" s="136"/>
      <c r="WAQ302" s="136"/>
      <c r="WAR302" s="136"/>
      <c r="WAS302" s="136"/>
      <c r="WAT302" s="136"/>
      <c r="WAU302" s="136"/>
      <c r="WAV302" s="136"/>
      <c r="WAW302" s="136"/>
      <c r="WAX302" s="136"/>
      <c r="WAY302" s="136"/>
      <c r="WAZ302" s="136"/>
      <c r="WBA302" s="136"/>
      <c r="WBB302" s="136"/>
      <c r="WBC302" s="136"/>
      <c r="WBD302" s="136"/>
      <c r="WBE302" s="136"/>
      <c r="WBF302" s="136"/>
      <c r="WBG302" s="136"/>
      <c r="WBH302" s="136"/>
      <c r="WBI302" s="136"/>
      <c r="WBJ302" s="136"/>
      <c r="WBK302" s="136"/>
      <c r="WBL302" s="136"/>
      <c r="WBM302" s="136"/>
      <c r="WBN302" s="136"/>
      <c r="WBO302" s="136"/>
      <c r="WBP302" s="136"/>
      <c r="WBQ302" s="136"/>
      <c r="WBR302" s="136"/>
      <c r="WBS302" s="136"/>
      <c r="WBT302" s="136"/>
      <c r="WBU302" s="136"/>
      <c r="WBV302" s="136"/>
      <c r="WBW302" s="136"/>
      <c r="WBX302" s="136"/>
      <c r="WBY302" s="136"/>
      <c r="WBZ302" s="136"/>
      <c r="WCA302" s="136"/>
      <c r="WCB302" s="136"/>
      <c r="WCC302" s="136"/>
      <c r="WCD302" s="136"/>
      <c r="WCE302" s="136"/>
      <c r="WCF302" s="136"/>
      <c r="WCG302" s="136"/>
      <c r="WCH302" s="136"/>
      <c r="WCI302" s="136"/>
      <c r="WCJ302" s="136"/>
      <c r="WCK302" s="136"/>
      <c r="WCL302" s="136"/>
      <c r="WCM302" s="136"/>
      <c r="WCN302" s="136"/>
      <c r="WCO302" s="136"/>
      <c r="WCP302" s="136"/>
      <c r="WCQ302" s="136"/>
      <c r="WCR302" s="136"/>
      <c r="WCS302" s="136"/>
      <c r="WCT302" s="136"/>
      <c r="WCU302" s="136"/>
      <c r="WCV302" s="136"/>
      <c r="WCW302" s="136"/>
      <c r="WCX302" s="136"/>
      <c r="WCY302" s="136"/>
      <c r="WCZ302" s="136"/>
      <c r="WDA302" s="136"/>
      <c r="WDB302" s="136"/>
      <c r="WDC302" s="136"/>
      <c r="WDD302" s="136"/>
      <c r="WDE302" s="136"/>
      <c r="WDF302" s="136"/>
      <c r="WDG302" s="136"/>
      <c r="WDH302" s="136"/>
      <c r="WDI302" s="136"/>
      <c r="WDJ302" s="136"/>
      <c r="WDK302" s="136"/>
      <c r="WDL302" s="136"/>
      <c r="WDM302" s="136"/>
      <c r="WDN302" s="136"/>
      <c r="WDO302" s="136"/>
      <c r="WDP302" s="136"/>
      <c r="WDQ302" s="136"/>
      <c r="WDR302" s="136"/>
      <c r="WDS302" s="136"/>
      <c r="WDT302" s="136"/>
      <c r="WDU302" s="136"/>
      <c r="WDV302" s="136"/>
      <c r="WDW302" s="136"/>
      <c r="WDX302" s="136"/>
      <c r="WDY302" s="136"/>
      <c r="WDZ302" s="136"/>
      <c r="WEA302" s="136"/>
      <c r="WEB302" s="136"/>
      <c r="WEC302" s="136"/>
      <c r="WED302" s="136"/>
      <c r="WEE302" s="136"/>
      <c r="WEF302" s="136"/>
      <c r="WEG302" s="136"/>
      <c r="WEH302" s="136"/>
      <c r="WEI302" s="136"/>
      <c r="WEJ302" s="136"/>
      <c r="WEK302" s="136"/>
      <c r="WEL302" s="136"/>
      <c r="WEM302" s="136"/>
      <c r="WEN302" s="136"/>
      <c r="WEO302" s="136"/>
      <c r="WEP302" s="136"/>
      <c r="WEQ302" s="136"/>
      <c r="WER302" s="136"/>
      <c r="WES302" s="136"/>
      <c r="WET302" s="136"/>
      <c r="WEU302" s="136"/>
      <c r="WEV302" s="136"/>
      <c r="WEW302" s="136"/>
      <c r="WEX302" s="136"/>
      <c r="WEY302" s="136"/>
      <c r="WEZ302" s="136"/>
      <c r="WFA302" s="136"/>
      <c r="WFB302" s="136"/>
      <c r="WFC302" s="136"/>
      <c r="WFD302" s="136"/>
      <c r="WFE302" s="136"/>
      <c r="WFF302" s="136"/>
      <c r="WFG302" s="136"/>
      <c r="WFH302" s="136"/>
      <c r="WFI302" s="136"/>
      <c r="WFJ302" s="136"/>
      <c r="WFK302" s="136"/>
      <c r="WFL302" s="136"/>
      <c r="WFM302" s="136"/>
      <c r="WFN302" s="136"/>
      <c r="WFO302" s="136"/>
      <c r="WFP302" s="136"/>
      <c r="WFQ302" s="136"/>
      <c r="WFR302" s="136"/>
      <c r="WFS302" s="136"/>
      <c r="WFT302" s="136"/>
      <c r="WFU302" s="136"/>
      <c r="WFV302" s="136"/>
      <c r="WFW302" s="136"/>
      <c r="WFX302" s="136"/>
      <c r="WFY302" s="136"/>
      <c r="WFZ302" s="136"/>
      <c r="WGA302" s="136"/>
      <c r="WGB302" s="136"/>
      <c r="WGC302" s="136"/>
      <c r="WGD302" s="136"/>
      <c r="WGE302" s="136"/>
      <c r="WGF302" s="136"/>
      <c r="WGG302" s="136"/>
      <c r="WGH302" s="136"/>
      <c r="WGI302" s="136"/>
      <c r="WGJ302" s="136"/>
      <c r="WGK302" s="136"/>
      <c r="WGL302" s="136"/>
      <c r="WGM302" s="136"/>
      <c r="WGN302" s="136"/>
      <c r="WGO302" s="136"/>
      <c r="WGP302" s="136"/>
      <c r="WGQ302" s="136"/>
      <c r="WGR302" s="136"/>
      <c r="WGS302" s="136"/>
      <c r="WGT302" s="136"/>
      <c r="WGU302" s="136"/>
      <c r="WGV302" s="136"/>
      <c r="WGW302" s="136"/>
      <c r="WGX302" s="136"/>
      <c r="WGY302" s="136"/>
      <c r="WGZ302" s="136"/>
      <c r="WHA302" s="136"/>
      <c r="WHB302" s="136"/>
      <c r="WHC302" s="136"/>
      <c r="WHD302" s="136"/>
      <c r="WHE302" s="136"/>
      <c r="WHF302" s="136"/>
      <c r="WHG302" s="136"/>
      <c r="WHH302" s="136"/>
      <c r="WHI302" s="136"/>
      <c r="WHJ302" s="136"/>
      <c r="WHK302" s="136"/>
      <c r="WHL302" s="136"/>
      <c r="WHM302" s="136"/>
      <c r="WHN302" s="136"/>
      <c r="WHO302" s="136"/>
      <c r="WHP302" s="136"/>
      <c r="WHQ302" s="136"/>
      <c r="WHR302" s="136"/>
      <c r="WHS302" s="136"/>
      <c r="WHT302" s="136"/>
      <c r="WHU302" s="136"/>
      <c r="WHV302" s="136"/>
      <c r="WHW302" s="136"/>
      <c r="WHX302" s="136"/>
      <c r="WHY302" s="136"/>
      <c r="WHZ302" s="136"/>
      <c r="WIA302" s="136"/>
      <c r="WIB302" s="136"/>
      <c r="WIC302" s="136"/>
      <c r="WID302" s="136"/>
      <c r="WIE302" s="136"/>
      <c r="WIF302" s="136"/>
      <c r="WIG302" s="136"/>
      <c r="WIH302" s="136"/>
      <c r="WII302" s="136"/>
      <c r="WIJ302" s="136"/>
      <c r="WIK302" s="136"/>
      <c r="WIL302" s="136"/>
      <c r="WIM302" s="136"/>
      <c r="WIN302" s="136"/>
      <c r="WIO302" s="136"/>
      <c r="WIP302" s="136"/>
      <c r="WIQ302" s="136"/>
      <c r="WIR302" s="136"/>
      <c r="WIS302" s="136"/>
      <c r="WIT302" s="136"/>
      <c r="WIU302" s="136"/>
      <c r="WIV302" s="136"/>
      <c r="WIW302" s="136"/>
      <c r="WIX302" s="136"/>
      <c r="WIY302" s="136"/>
      <c r="WIZ302" s="136"/>
      <c r="WJA302" s="136"/>
      <c r="WJB302" s="136"/>
      <c r="WJC302" s="136"/>
      <c r="WJD302" s="136"/>
      <c r="WJE302" s="136"/>
      <c r="WJF302" s="136"/>
      <c r="WJG302" s="136"/>
      <c r="WJH302" s="136"/>
      <c r="WJI302" s="136"/>
      <c r="WJJ302" s="136"/>
      <c r="WJK302" s="136"/>
      <c r="WJL302" s="136"/>
      <c r="WJM302" s="136"/>
      <c r="WJN302" s="136"/>
      <c r="WJO302" s="136"/>
      <c r="WJP302" s="136"/>
      <c r="WJQ302" s="136"/>
      <c r="WJR302" s="136"/>
      <c r="WJS302" s="136"/>
      <c r="WJT302" s="136"/>
      <c r="WJU302" s="136"/>
      <c r="WJV302" s="136"/>
      <c r="WJW302" s="136"/>
      <c r="WJX302" s="136"/>
      <c r="WJY302" s="136"/>
      <c r="WJZ302" s="136"/>
      <c r="WKA302" s="136"/>
      <c r="WKB302" s="136"/>
      <c r="WKC302" s="136"/>
      <c r="WKD302" s="136"/>
      <c r="WKE302" s="136"/>
      <c r="WKF302" s="136"/>
      <c r="WKG302" s="136"/>
      <c r="WKH302" s="136"/>
      <c r="WKI302" s="136"/>
      <c r="WKJ302" s="136"/>
      <c r="WKK302" s="136"/>
      <c r="WKL302" s="136"/>
      <c r="WKM302" s="136"/>
      <c r="WKN302" s="136"/>
      <c r="WKO302" s="136"/>
      <c r="WKP302" s="136"/>
      <c r="WKQ302" s="136"/>
      <c r="WKR302" s="136"/>
      <c r="WKS302" s="136"/>
      <c r="WKT302" s="136"/>
      <c r="WKU302" s="136"/>
      <c r="WKV302" s="136"/>
      <c r="WKW302" s="136"/>
      <c r="WKX302" s="136"/>
      <c r="WKY302" s="136"/>
      <c r="WKZ302" s="136"/>
      <c r="WLA302" s="136"/>
      <c r="WLB302" s="136"/>
      <c r="WLC302" s="136"/>
      <c r="WLD302" s="136"/>
      <c r="WLE302" s="136"/>
      <c r="WLF302" s="136"/>
      <c r="WLG302" s="136"/>
      <c r="WLH302" s="136"/>
      <c r="WLI302" s="136"/>
      <c r="WLJ302" s="136"/>
      <c r="WLK302" s="136"/>
      <c r="WLL302" s="136"/>
      <c r="WLM302" s="136"/>
      <c r="WLN302" s="136"/>
      <c r="WLO302" s="136"/>
      <c r="WLP302" s="136"/>
      <c r="WLQ302" s="136"/>
      <c r="WLR302" s="136"/>
      <c r="WLS302" s="136"/>
      <c r="WLT302" s="136"/>
      <c r="WLU302" s="136"/>
      <c r="WLV302" s="136"/>
      <c r="WLW302" s="136"/>
      <c r="WLX302" s="136"/>
      <c r="WLY302" s="136"/>
      <c r="WLZ302" s="136"/>
      <c r="WMA302" s="136"/>
      <c r="WMB302" s="136"/>
      <c r="WMC302" s="136"/>
      <c r="WMD302" s="136"/>
      <c r="WME302" s="136"/>
      <c r="WMF302" s="136"/>
      <c r="WMG302" s="136"/>
      <c r="WMH302" s="136"/>
      <c r="WMI302" s="136"/>
      <c r="WMJ302" s="136"/>
      <c r="WMK302" s="136"/>
      <c r="WML302" s="136"/>
      <c r="WMM302" s="136"/>
      <c r="WMN302" s="136"/>
      <c r="WMO302" s="136"/>
      <c r="WMP302" s="136"/>
      <c r="WMQ302" s="136"/>
      <c r="WMR302" s="136"/>
      <c r="WMS302" s="136"/>
      <c r="WMT302" s="136"/>
      <c r="WMU302" s="136"/>
      <c r="WMV302" s="136"/>
      <c r="WMW302" s="136"/>
      <c r="WMX302" s="136"/>
      <c r="WMY302" s="136"/>
      <c r="WMZ302" s="136"/>
      <c r="WNA302" s="136"/>
      <c r="WNB302" s="136"/>
      <c r="WNC302" s="136"/>
      <c r="WND302" s="136"/>
      <c r="WNE302" s="136"/>
      <c r="WNF302" s="136"/>
      <c r="WNG302" s="136"/>
      <c r="WNH302" s="136"/>
      <c r="WNI302" s="136"/>
      <c r="WNJ302" s="136"/>
      <c r="WNK302" s="136"/>
      <c r="WNL302" s="136"/>
      <c r="WNM302" s="136"/>
      <c r="WNN302" s="136"/>
      <c r="WNO302" s="136"/>
      <c r="WNP302" s="136"/>
      <c r="WNQ302" s="136"/>
      <c r="WNR302" s="136"/>
      <c r="WNS302" s="136"/>
      <c r="WNT302" s="136"/>
      <c r="WNU302" s="136"/>
      <c r="WNV302" s="136"/>
      <c r="WNW302" s="136"/>
      <c r="WNX302" s="136"/>
      <c r="WNY302" s="136"/>
      <c r="WNZ302" s="136"/>
      <c r="WOA302" s="136"/>
      <c r="WOB302" s="136"/>
      <c r="WOC302" s="136"/>
      <c r="WOD302" s="136"/>
      <c r="WOE302" s="136"/>
      <c r="WOF302" s="136"/>
      <c r="WOG302" s="136"/>
      <c r="WOH302" s="136"/>
      <c r="WOI302" s="136"/>
      <c r="WOJ302" s="136"/>
      <c r="WOK302" s="136"/>
      <c r="WOL302" s="136"/>
      <c r="WOM302" s="136"/>
      <c r="WON302" s="136"/>
      <c r="WOO302" s="136"/>
      <c r="WOP302" s="136"/>
      <c r="WOQ302" s="136"/>
      <c r="WOR302" s="136"/>
      <c r="WOS302" s="136"/>
      <c r="WOT302" s="136"/>
      <c r="WOU302" s="136"/>
      <c r="WOV302" s="136"/>
      <c r="WOW302" s="136"/>
      <c r="WOX302" s="136"/>
      <c r="WOY302" s="136"/>
      <c r="WOZ302" s="136"/>
      <c r="WPA302" s="136"/>
      <c r="WPB302" s="136"/>
      <c r="WPC302" s="136"/>
      <c r="WPD302" s="136"/>
      <c r="WPE302" s="136"/>
      <c r="WPF302" s="136"/>
      <c r="WPG302" s="136"/>
      <c r="WPH302" s="136"/>
      <c r="WPI302" s="136"/>
      <c r="WPJ302" s="136"/>
      <c r="WPK302" s="136"/>
      <c r="WPL302" s="136"/>
      <c r="WPM302" s="136"/>
      <c r="WPN302" s="136"/>
      <c r="WPO302" s="136"/>
      <c r="WPP302" s="136"/>
      <c r="WPQ302" s="136"/>
      <c r="WPR302" s="136"/>
      <c r="WPS302" s="136"/>
      <c r="WPT302" s="136"/>
      <c r="WPU302" s="136"/>
      <c r="WPV302" s="136"/>
      <c r="WPW302" s="136"/>
      <c r="WPX302" s="136"/>
      <c r="WPY302" s="136"/>
      <c r="WPZ302" s="136"/>
      <c r="WQA302" s="136"/>
      <c r="WQB302" s="136"/>
      <c r="WQC302" s="136"/>
      <c r="WQD302" s="136"/>
      <c r="WQE302" s="136"/>
      <c r="WQF302" s="136"/>
      <c r="WQG302" s="136"/>
      <c r="WQH302" s="136"/>
      <c r="WQI302" s="136"/>
      <c r="WQJ302" s="136"/>
      <c r="WQK302" s="136"/>
      <c r="WQL302" s="136"/>
      <c r="WQM302" s="136"/>
      <c r="WQN302" s="136"/>
      <c r="WQO302" s="136"/>
      <c r="WQP302" s="136"/>
      <c r="WQQ302" s="136"/>
      <c r="WQR302" s="136"/>
      <c r="WQS302" s="136"/>
      <c r="WQT302" s="136"/>
      <c r="WQU302" s="136"/>
      <c r="WQV302" s="136"/>
      <c r="WQW302" s="136"/>
      <c r="WQX302" s="136"/>
      <c r="WQY302" s="136"/>
      <c r="WQZ302" s="136"/>
      <c r="WRA302" s="136"/>
      <c r="WRB302" s="136"/>
      <c r="WRC302" s="136"/>
      <c r="WRD302" s="136"/>
      <c r="WRE302" s="136"/>
      <c r="WRF302" s="136"/>
      <c r="WRG302" s="136"/>
      <c r="WRH302" s="136"/>
      <c r="WRI302" s="136"/>
      <c r="WRJ302" s="136"/>
      <c r="WRK302" s="136"/>
      <c r="WRL302" s="136"/>
      <c r="WRM302" s="136"/>
      <c r="WRN302" s="136"/>
      <c r="WRO302" s="136"/>
      <c r="WRP302" s="136"/>
      <c r="WRQ302" s="136"/>
      <c r="WRR302" s="136"/>
      <c r="WRS302" s="136"/>
      <c r="WRT302" s="136"/>
      <c r="WRU302" s="136"/>
      <c r="WRV302" s="136"/>
      <c r="WRW302" s="136"/>
      <c r="WRX302" s="136"/>
      <c r="WRY302" s="136"/>
      <c r="WRZ302" s="136"/>
      <c r="WSA302" s="136"/>
      <c r="WSB302" s="136"/>
      <c r="WSC302" s="136"/>
      <c r="WSD302" s="136"/>
      <c r="WSE302" s="136"/>
      <c r="WSF302" s="136"/>
      <c r="WSG302" s="136"/>
      <c r="WSH302" s="136"/>
      <c r="WSI302" s="136"/>
      <c r="WSJ302" s="136"/>
      <c r="WSK302" s="136"/>
      <c r="WSL302" s="136"/>
      <c r="WSM302" s="136"/>
      <c r="WSN302" s="136"/>
      <c r="WSO302" s="136"/>
      <c r="WSP302" s="136"/>
      <c r="WSQ302" s="136"/>
      <c r="WSR302" s="136"/>
      <c r="WSS302" s="136"/>
      <c r="WST302" s="136"/>
      <c r="WSU302" s="136"/>
      <c r="WSV302" s="136"/>
      <c r="WSW302" s="136"/>
      <c r="WSX302" s="136"/>
      <c r="WSY302" s="136"/>
      <c r="WSZ302" s="136"/>
      <c r="WTA302" s="136"/>
      <c r="WTB302" s="136"/>
      <c r="WTC302" s="136"/>
      <c r="WTD302" s="136"/>
      <c r="WTE302" s="136"/>
      <c r="WTF302" s="136"/>
      <c r="WTG302" s="136"/>
      <c r="WTH302" s="136"/>
      <c r="WTI302" s="136"/>
      <c r="WTJ302" s="136"/>
      <c r="WTK302" s="136"/>
      <c r="WTL302" s="136"/>
      <c r="WTM302" s="136"/>
      <c r="WTN302" s="136"/>
      <c r="WTO302" s="136"/>
      <c r="WTP302" s="136"/>
      <c r="WTQ302" s="136"/>
      <c r="WTR302" s="136"/>
      <c r="WTS302" s="136"/>
      <c r="WTT302" s="136"/>
      <c r="WTU302" s="136"/>
      <c r="WTV302" s="136"/>
      <c r="WTW302" s="136"/>
      <c r="WTX302" s="136"/>
      <c r="WTY302" s="136"/>
      <c r="WTZ302" s="136"/>
      <c r="WUA302" s="136"/>
      <c r="WUB302" s="136"/>
      <c r="WUC302" s="136"/>
      <c r="WUD302" s="136"/>
      <c r="WUE302" s="136"/>
      <c r="WUF302" s="136"/>
      <c r="WUG302" s="136"/>
      <c r="WUH302" s="136"/>
      <c r="WUI302" s="136"/>
      <c r="WUJ302" s="136"/>
      <c r="WUK302" s="136"/>
      <c r="WUL302" s="136"/>
      <c r="WUM302" s="136"/>
      <c r="WUN302" s="136"/>
      <c r="WUO302" s="136"/>
      <c r="WUP302" s="136"/>
      <c r="WUQ302" s="136"/>
      <c r="WUR302" s="136"/>
      <c r="WUS302" s="136"/>
      <c r="WUT302" s="136"/>
      <c r="WUU302" s="136"/>
      <c r="WUV302" s="136"/>
      <c r="WUW302" s="136"/>
      <c r="WUX302" s="136"/>
      <c r="WUY302" s="136"/>
      <c r="WUZ302" s="136"/>
      <c r="WVA302" s="136"/>
      <c r="WVB302" s="136"/>
      <c r="WVC302" s="136"/>
      <c r="WVD302" s="136"/>
      <c r="WVE302" s="136"/>
      <c r="WVF302" s="136"/>
      <c r="WVG302" s="136"/>
      <c r="WVH302" s="136"/>
      <c r="WVI302" s="136"/>
      <c r="WVJ302" s="136"/>
      <c r="WVK302" s="136"/>
      <c r="WVL302" s="136"/>
      <c r="WVM302" s="136"/>
      <c r="WVN302" s="136"/>
      <c r="WVO302" s="136"/>
      <c r="WVP302" s="136"/>
      <c r="WVQ302" s="136"/>
      <c r="WVR302" s="136"/>
      <c r="WVS302" s="136"/>
      <c r="WVT302" s="136"/>
      <c r="WVU302" s="136"/>
      <c r="WVV302" s="136"/>
      <c r="WVW302" s="136"/>
      <c r="WVX302" s="136"/>
      <c r="WVY302" s="136"/>
      <c r="WVZ302" s="136"/>
      <c r="WWA302" s="136"/>
      <c r="WWB302" s="136"/>
      <c r="WWC302" s="136"/>
      <c r="WWD302" s="136"/>
      <c r="WWE302" s="136"/>
      <c r="WWF302" s="136"/>
      <c r="WWG302" s="136"/>
      <c r="WWH302" s="136"/>
      <c r="WWI302" s="136"/>
      <c r="WWJ302" s="136"/>
      <c r="WWK302" s="136"/>
      <c r="WWL302" s="136"/>
      <c r="WWM302" s="136"/>
      <c r="WWN302" s="136"/>
      <c r="WWO302" s="136"/>
      <c r="WWP302" s="136"/>
      <c r="WWQ302" s="136"/>
      <c r="WWR302" s="136"/>
      <c r="WWS302" s="136"/>
      <c r="WWT302" s="136"/>
      <c r="WWU302" s="136"/>
      <c r="WWV302" s="136"/>
      <c r="WWW302" s="136"/>
      <c r="WWX302" s="136"/>
      <c r="WWY302" s="136"/>
      <c r="WWZ302" s="136"/>
      <c r="WXA302" s="136"/>
      <c r="WXB302" s="136"/>
      <c r="WXC302" s="136"/>
      <c r="WXD302" s="136"/>
      <c r="WXE302" s="136"/>
      <c r="WXF302" s="136"/>
      <c r="WXG302" s="136"/>
      <c r="WXH302" s="136"/>
      <c r="WXI302" s="136"/>
      <c r="WXJ302" s="136"/>
      <c r="WXK302" s="136"/>
      <c r="WXL302" s="136"/>
      <c r="WXM302" s="136"/>
      <c r="WXN302" s="136"/>
      <c r="WXO302" s="136"/>
      <c r="WXP302" s="136"/>
      <c r="WXQ302" s="136"/>
      <c r="WXR302" s="136"/>
      <c r="WXS302" s="136"/>
      <c r="WXT302" s="136"/>
      <c r="WXU302" s="136"/>
      <c r="WXV302" s="136"/>
      <c r="WXW302" s="136"/>
      <c r="WXX302" s="136"/>
      <c r="WXY302" s="136"/>
      <c r="WXZ302" s="136"/>
      <c r="WYA302" s="136"/>
      <c r="WYB302" s="136"/>
      <c r="WYC302" s="136"/>
      <c r="WYD302" s="136"/>
      <c r="WYE302" s="136"/>
      <c r="WYF302" s="136"/>
      <c r="WYG302" s="136"/>
      <c r="WYH302" s="136"/>
      <c r="WYI302" s="136"/>
      <c r="WYJ302" s="136"/>
      <c r="WYK302" s="136"/>
      <c r="WYL302" s="136"/>
      <c r="WYM302" s="136"/>
      <c r="WYN302" s="136"/>
      <c r="WYO302" s="136"/>
      <c r="WYP302" s="136"/>
      <c r="WYQ302" s="136"/>
      <c r="WYR302" s="136"/>
      <c r="WYS302" s="136"/>
      <c r="WYT302" s="136"/>
      <c r="WYU302" s="136"/>
      <c r="WYV302" s="136"/>
      <c r="WYW302" s="136"/>
      <c r="WYX302" s="136"/>
      <c r="WYY302" s="136"/>
      <c r="WYZ302" s="136"/>
      <c r="WZA302" s="136"/>
      <c r="WZB302" s="136"/>
      <c r="WZC302" s="136"/>
      <c r="WZD302" s="136"/>
      <c r="WZE302" s="136"/>
      <c r="WZF302" s="136"/>
      <c r="WZG302" s="136"/>
      <c r="WZH302" s="136"/>
      <c r="WZI302" s="136"/>
      <c r="WZJ302" s="136"/>
      <c r="WZK302" s="136"/>
      <c r="WZL302" s="136"/>
      <c r="WZM302" s="136"/>
      <c r="WZN302" s="136"/>
      <c r="WZO302" s="136"/>
      <c r="WZP302" s="136"/>
      <c r="WZQ302" s="136"/>
      <c r="WZR302" s="136"/>
      <c r="WZS302" s="136"/>
      <c r="WZT302" s="136"/>
      <c r="WZU302" s="136"/>
      <c r="WZV302" s="136"/>
      <c r="WZW302" s="136"/>
      <c r="WZX302" s="136"/>
      <c r="WZY302" s="136"/>
      <c r="WZZ302" s="136"/>
      <c r="XAA302" s="136"/>
      <c r="XAB302" s="136"/>
      <c r="XAC302" s="136"/>
      <c r="XAD302" s="136"/>
      <c r="XAE302" s="136"/>
      <c r="XAF302" s="136"/>
      <c r="XAG302" s="136"/>
      <c r="XAH302" s="136"/>
      <c r="XAI302" s="136"/>
      <c r="XAJ302" s="136"/>
      <c r="XAK302" s="136"/>
      <c r="XAL302" s="136"/>
      <c r="XAM302" s="136"/>
      <c r="XAN302" s="136"/>
      <c r="XAO302" s="136"/>
      <c r="XAP302" s="136"/>
      <c r="XAQ302" s="136"/>
      <c r="XAR302" s="136"/>
      <c r="XAS302" s="136"/>
      <c r="XAT302" s="136"/>
      <c r="XAU302" s="136"/>
      <c r="XAV302" s="136"/>
      <c r="XAW302" s="136"/>
      <c r="XAX302" s="136"/>
      <c r="XAY302" s="136"/>
      <c r="XAZ302" s="136"/>
      <c r="XBA302" s="136"/>
      <c r="XBB302" s="136"/>
      <c r="XBC302" s="136"/>
      <c r="XBD302" s="136"/>
      <c r="XBE302" s="136"/>
      <c r="XBF302" s="136"/>
      <c r="XBG302" s="136"/>
      <c r="XBH302" s="136"/>
      <c r="XBI302" s="136"/>
      <c r="XBJ302" s="136"/>
      <c r="XBK302" s="136"/>
      <c r="XBL302" s="136"/>
      <c r="XBM302" s="136"/>
      <c r="XBN302" s="136"/>
      <c r="XBO302" s="136"/>
      <c r="XBP302" s="136"/>
      <c r="XBQ302" s="136"/>
      <c r="XBR302" s="136"/>
      <c r="XBS302" s="136"/>
      <c r="XBT302" s="136"/>
      <c r="XBU302" s="136"/>
      <c r="XBV302" s="136"/>
      <c r="XBW302" s="136"/>
      <c r="XBX302" s="136"/>
      <c r="XBY302" s="136"/>
      <c r="XBZ302" s="136"/>
      <c r="XCA302" s="136"/>
      <c r="XCB302" s="136"/>
      <c r="XCC302" s="136"/>
      <c r="XCD302" s="136"/>
      <c r="XCE302" s="136"/>
      <c r="XCF302" s="136"/>
      <c r="XCG302" s="136"/>
      <c r="XCH302" s="136"/>
      <c r="XCI302" s="136"/>
      <c r="XCJ302" s="136"/>
      <c r="XCK302" s="136"/>
      <c r="XCL302" s="136"/>
      <c r="XCM302" s="136"/>
      <c r="XCN302" s="136"/>
      <c r="XCO302" s="136"/>
      <c r="XCP302" s="136"/>
      <c r="XCQ302" s="136"/>
      <c r="XCR302" s="136"/>
      <c r="XCS302" s="136"/>
      <c r="XCT302" s="136"/>
      <c r="XCU302" s="136"/>
      <c r="XCV302" s="136"/>
      <c r="XCW302" s="136"/>
      <c r="XCX302" s="136"/>
      <c r="XCY302" s="136"/>
      <c r="XCZ302" s="136"/>
      <c r="XDA302" s="136"/>
      <c r="XDB302" s="136"/>
      <c r="XDC302" s="136"/>
      <c r="XDD302" s="136"/>
      <c r="XDE302" s="136"/>
      <c r="XDF302" s="136"/>
      <c r="XDG302" s="136"/>
      <c r="XDH302" s="136"/>
      <c r="XDI302" s="136"/>
      <c r="XDJ302" s="136"/>
      <c r="XDK302" s="136"/>
      <c r="XDL302" s="136"/>
      <c r="XDM302" s="136"/>
      <c r="XDN302" s="136"/>
      <c r="XDO302" s="136"/>
      <c r="XDP302" s="136"/>
      <c r="XDQ302" s="136"/>
      <c r="XDR302" s="136"/>
      <c r="XDS302" s="136"/>
      <c r="XDT302" s="136"/>
      <c r="XDU302" s="136"/>
      <c r="XDV302" s="136"/>
      <c r="XDW302" s="136"/>
      <c r="XDX302" s="136"/>
      <c r="XDY302" s="136"/>
      <c r="XDZ302" s="136"/>
      <c r="XEA302" s="136"/>
      <c r="XEB302" s="136"/>
      <c r="XEC302" s="136"/>
      <c r="XED302" s="136"/>
      <c r="XEE302" s="136"/>
      <c r="XEF302" s="136"/>
      <c r="XEG302" s="136"/>
      <c r="XEH302" s="136"/>
      <c r="XEI302" s="136"/>
      <c r="XEJ302" s="136"/>
      <c r="XEK302" s="136"/>
      <c r="XEL302" s="136"/>
      <c r="XEM302" s="136"/>
      <c r="XEN302" s="136"/>
      <c r="XEO302" s="136"/>
      <c r="XEP302" s="136"/>
      <c r="XEQ302" s="136"/>
      <c r="XER302" s="136"/>
      <c r="XES302" s="136"/>
      <c r="XET302" s="136"/>
      <c r="XEU302" s="136"/>
      <c r="XEV302" s="136"/>
      <c r="XEW302" s="136"/>
      <c r="XEX302" s="136"/>
      <c r="XEY302" s="136"/>
      <c r="XEZ302" s="136"/>
      <c r="XFA302" s="136"/>
      <c r="XFB302" s="136"/>
      <c r="XFC302" s="136"/>
      <c r="XFD302" s="136"/>
    </row>
    <row r="303" spans="1:16384" x14ac:dyDescent="0.25">
      <c r="A303" s="500" t="s">
        <v>1381</v>
      </c>
      <c r="B303" s="91">
        <f>IF($A303=Recto!$I$28,VLOOKUP($A303,Recto!$I$28:$L$44,4,FALSE),0)</f>
        <v>0</v>
      </c>
      <c r="C303" s="91">
        <f>IF($A303=Recto!$I$29,VLOOKUP($A303,Recto!$I$28:$L$44,4,FALSE),0)</f>
        <v>0</v>
      </c>
      <c r="D303" s="91">
        <f>IF($A303=Recto!$I$30,VLOOKUP($A303,Recto!$I$28:$L$44,4,FALSE),0)</f>
        <v>0</v>
      </c>
      <c r="E303" s="91">
        <f>IF($A303=Recto!$I$31,VLOOKUP($A303,Recto!$I$28:$L$44,4,FALSE),0)</f>
        <v>0</v>
      </c>
      <c r="F303" s="91">
        <f>IF($A303=Recto!$I$32,VLOOKUP($A303,Recto!$I$28:$L$44,4,FALSE),0)</f>
        <v>0</v>
      </c>
      <c r="G303" s="91">
        <f>IF($A303=Recto!$I$33,VLOOKUP($A303,Recto!$I$28:$L$44,4,FALSE),0)</f>
        <v>0</v>
      </c>
      <c r="H303" s="91">
        <f>IF($A303=Recto!$I$34,VLOOKUP($A303,Recto!$I$28:$L$44,4,FALSE),0)</f>
        <v>0</v>
      </c>
      <c r="I303" s="91">
        <f>IF($A303=Recto!$I$35,VLOOKUP($A303,Recto!$I$28:$L$44,4,FALSE),0)</f>
        <v>0</v>
      </c>
      <c r="J303" s="91">
        <f>IF($A303=Recto!$I$36,VLOOKUP($A303,Recto!$I$28:$L$44,4,FALSE),0)</f>
        <v>0</v>
      </c>
      <c r="K303" s="91">
        <f>IF($A303=Recto!$I$37,VLOOKUP($A303,Recto!$I$28:$L$44,4,FALSE),0)</f>
        <v>0</v>
      </c>
      <c r="L303" s="91">
        <f>IF($A303=Recto!$I$38,VLOOKUP($A303,Recto!$I$28:$L$44,4,FALSE),0)</f>
        <v>0</v>
      </c>
      <c r="M303" s="91">
        <f>IF($A303=Recto!$I$39,VLOOKUP($A303,Recto!$I$28:$L$44,4,FALSE),0)</f>
        <v>0</v>
      </c>
      <c r="N303" s="91">
        <f>IF($A303=Recto!$I$40,VLOOKUP($A303,Recto!$I$28:$L$44,4,FALSE),0)</f>
        <v>0</v>
      </c>
      <c r="O303" s="91">
        <f>IF($A303=Recto!$I$41,VLOOKUP($A303,Recto!$I$28:$L$44,4,FALSE),0)</f>
        <v>0</v>
      </c>
      <c r="P303" s="91">
        <f>IF($A303=Recto!$I$42,VLOOKUP($A303,Recto!$I$28:$L$44,4,FALSE),0)</f>
        <v>0</v>
      </c>
      <c r="Q303" s="91">
        <f>IF($A303=Recto!$I$43,VLOOKUP($A303,Recto!$I$28:$L$44,4,FALSE),0)</f>
        <v>0</v>
      </c>
      <c r="R303" s="91">
        <f>IF($A303=Recto!$I$44,VLOOKUP($A303,Recto!$I$28:$L$44,4,FALSE),0)</f>
        <v>0</v>
      </c>
      <c r="S303" s="295">
        <f t="shared" si="9"/>
        <v>0</v>
      </c>
    </row>
    <row r="304" spans="1:16384" x14ac:dyDescent="0.25">
      <c r="A304" s="500" t="s">
        <v>336</v>
      </c>
      <c r="B304" s="91">
        <f>IF($A304=Recto!$I$28,VLOOKUP($A304,Recto!$I$28:$L$44,4,FALSE),0)</f>
        <v>0</v>
      </c>
      <c r="C304" s="91">
        <f>IF($A304=Recto!$I$29,VLOOKUP($A304,Recto!$I$28:$L$44,4,FALSE),0)</f>
        <v>0</v>
      </c>
      <c r="D304" s="91">
        <f>IF($A304=Recto!$I$30,VLOOKUP($A304,Recto!$I$28:$L$44,4,FALSE),0)</f>
        <v>0</v>
      </c>
      <c r="E304" s="91">
        <f>IF($A304=Recto!$I$31,VLOOKUP($A304,Recto!$I$28:$L$44,4,FALSE),0)</f>
        <v>0</v>
      </c>
      <c r="F304" s="91">
        <f>IF($A304=Recto!$I$32,VLOOKUP($A304,Recto!$I$28:$L$44,4,FALSE),0)</f>
        <v>0</v>
      </c>
      <c r="G304" s="91">
        <f>IF($A304=Recto!$I$33,VLOOKUP($A304,Recto!$I$28:$L$44,4,FALSE),0)</f>
        <v>0</v>
      </c>
      <c r="H304" s="91">
        <f>IF($A304=Recto!$I$34,VLOOKUP($A304,Recto!$I$28:$L$44,4,FALSE),0)</f>
        <v>0</v>
      </c>
      <c r="I304" s="91">
        <f>IF($A304=Recto!$I$35,VLOOKUP($A304,Recto!$I$28:$L$44,4,FALSE),0)</f>
        <v>0</v>
      </c>
      <c r="J304" s="91">
        <f>IF($A304=Recto!$I$36,VLOOKUP($A304,Recto!$I$28:$L$44,4,FALSE),0)</f>
        <v>0</v>
      </c>
      <c r="K304" s="91">
        <f>IF($A304=Recto!$I$37,VLOOKUP($A304,Recto!$I$28:$L$44,4,FALSE),0)</f>
        <v>0</v>
      </c>
      <c r="L304" s="91">
        <f>IF($A304=Recto!$I$38,VLOOKUP($A304,Recto!$I$28:$L$44,4,FALSE),0)</f>
        <v>0</v>
      </c>
      <c r="M304" s="91">
        <f>IF($A304=Recto!$I$39,VLOOKUP($A304,Recto!$I$28:$L$44,4,FALSE),0)</f>
        <v>0</v>
      </c>
      <c r="N304" s="91">
        <f>IF($A304=Recto!$I$40,VLOOKUP($A304,Recto!$I$28:$L$44,4,FALSE),0)</f>
        <v>0</v>
      </c>
      <c r="O304" s="91">
        <f>IF($A304=Recto!$I$41,VLOOKUP($A304,Recto!$I$28:$L$44,4,FALSE),0)</f>
        <v>0</v>
      </c>
      <c r="P304" s="91">
        <f>IF($A304=Recto!$I$42,VLOOKUP($A304,Recto!$I$28:$L$44,4,FALSE),0)</f>
        <v>0</v>
      </c>
      <c r="Q304" s="91">
        <f>IF($A304=Recto!$I$43,VLOOKUP($A304,Recto!$I$28:$L$44,4,FALSE),0)</f>
        <v>0</v>
      </c>
      <c r="R304" s="91">
        <f>IF($A304=Recto!$I$44,VLOOKUP($A304,Recto!$I$28:$L$44,4,FALSE),0)</f>
        <v>0</v>
      </c>
      <c r="S304" s="295">
        <f t="shared" si="9"/>
        <v>0</v>
      </c>
    </row>
    <row r="305" spans="1:19" x14ac:dyDescent="0.25">
      <c r="A305" s="500" t="s">
        <v>1350</v>
      </c>
      <c r="B305" s="91">
        <f>IF($A305=Recto!$I$28,VLOOKUP($A305,Recto!$I$28:$L$44,4,FALSE),0)</f>
        <v>0</v>
      </c>
      <c r="C305" s="91">
        <f>IF($A305=Recto!$I$29,VLOOKUP($A305,Recto!$I$28:$L$44,4,FALSE),0)</f>
        <v>0</v>
      </c>
      <c r="D305" s="91">
        <f>IF($A305=Recto!$I$30,VLOOKUP($A305,Recto!$I$28:$L$44,4,FALSE),0)</f>
        <v>0</v>
      </c>
      <c r="E305" s="91">
        <f>IF($A305=Recto!$I$31,VLOOKUP($A305,Recto!$I$28:$L$44,4,FALSE),0)</f>
        <v>0</v>
      </c>
      <c r="F305" s="91">
        <f>IF($A305=Recto!$I$32,VLOOKUP($A305,Recto!$I$28:$L$44,4,FALSE),0)</f>
        <v>0</v>
      </c>
      <c r="G305" s="91">
        <f>IF($A305=Recto!$I$33,VLOOKUP($A305,Recto!$I$28:$L$44,4,FALSE),0)</f>
        <v>0</v>
      </c>
      <c r="H305" s="91">
        <f>IF($A305=Recto!$I$34,VLOOKUP($A305,Recto!$I$28:$L$44,4,FALSE),0)</f>
        <v>0</v>
      </c>
      <c r="I305" s="91">
        <f>IF($A305=Recto!$I$35,VLOOKUP($A305,Recto!$I$28:$L$44,4,FALSE),0)</f>
        <v>0</v>
      </c>
      <c r="J305" s="91">
        <f>IF($A305=Recto!$I$36,VLOOKUP($A305,Recto!$I$28:$L$44,4,FALSE),0)</f>
        <v>0</v>
      </c>
      <c r="K305" s="91">
        <f>IF($A305=Recto!$I$37,VLOOKUP($A305,Recto!$I$28:$L$44,4,FALSE),0)</f>
        <v>0</v>
      </c>
      <c r="L305" s="91">
        <f>IF($A305=Recto!$I$38,VLOOKUP($A305,Recto!$I$28:$L$44,4,FALSE),0)</f>
        <v>0</v>
      </c>
      <c r="M305" s="91">
        <f>IF($A305=Recto!$I$39,VLOOKUP($A305,Recto!$I$28:$L$44,4,FALSE),0)</f>
        <v>0</v>
      </c>
      <c r="N305" s="91">
        <f>IF($A305=Recto!$I$40,VLOOKUP($A305,Recto!$I$28:$L$44,4,FALSE),0)</f>
        <v>0</v>
      </c>
      <c r="O305" s="91">
        <f>IF($A305=Recto!$I$41,VLOOKUP($A305,Recto!$I$28:$L$44,4,FALSE),0)</f>
        <v>0</v>
      </c>
      <c r="P305" s="91">
        <f>IF($A305=Recto!$I$42,VLOOKUP($A305,Recto!$I$28:$L$44,4,FALSE),0)</f>
        <v>0</v>
      </c>
      <c r="Q305" s="91">
        <f>IF($A305=Recto!$I$43,VLOOKUP($A305,Recto!$I$28:$L$44,4,FALSE),0)</f>
        <v>0</v>
      </c>
      <c r="R305" s="91">
        <f>IF($A305=Recto!$I$44,VLOOKUP($A305,Recto!$I$28:$L$44,4,FALSE),0)</f>
        <v>0</v>
      </c>
      <c r="S305" s="295">
        <f t="shared" si="9"/>
        <v>0</v>
      </c>
    </row>
    <row r="306" spans="1:19" x14ac:dyDescent="0.25">
      <c r="A306" s="500" t="s">
        <v>1310</v>
      </c>
      <c r="B306" s="91">
        <f>IF($A306=Recto!$I$28,VLOOKUP($A306,Recto!$I$28:$L$44,4,FALSE),0)</f>
        <v>0</v>
      </c>
      <c r="C306" s="91">
        <f>IF($A306=Recto!$I$29,VLOOKUP($A306,Recto!$I$28:$L$44,4,FALSE),0)</f>
        <v>0</v>
      </c>
      <c r="D306" s="91">
        <f>IF($A306=Recto!$I$30,VLOOKUP($A306,Recto!$I$28:$L$44,4,FALSE),0)</f>
        <v>0</v>
      </c>
      <c r="E306" s="91">
        <f>IF($A306=Recto!$I$31,VLOOKUP($A306,Recto!$I$28:$L$44,4,FALSE),0)</f>
        <v>0</v>
      </c>
      <c r="F306" s="91">
        <f>IF($A306=Recto!$I$32,VLOOKUP($A306,Recto!$I$28:$L$44,4,FALSE),0)</f>
        <v>0</v>
      </c>
      <c r="G306" s="91">
        <f>IF($A306=Recto!$I$33,VLOOKUP($A306,Recto!$I$28:$L$44,4,FALSE),0)</f>
        <v>0</v>
      </c>
      <c r="H306" s="91">
        <f>IF($A306=Recto!$I$34,VLOOKUP($A306,Recto!$I$28:$L$44,4,FALSE),0)</f>
        <v>0</v>
      </c>
      <c r="I306" s="91">
        <f>IF($A306=Recto!$I$35,VLOOKUP($A306,Recto!$I$28:$L$44,4,FALSE),0)</f>
        <v>0</v>
      </c>
      <c r="J306" s="91">
        <f>IF($A306=Recto!$I$36,VLOOKUP($A306,Recto!$I$28:$L$44,4,FALSE),0)</f>
        <v>0</v>
      </c>
      <c r="K306" s="91">
        <f>IF($A306=Recto!$I$37,VLOOKUP($A306,Recto!$I$28:$L$44,4,FALSE),0)</f>
        <v>0</v>
      </c>
      <c r="L306" s="91">
        <f>IF($A306=Recto!$I$38,VLOOKUP($A306,Recto!$I$28:$L$44,4,FALSE),0)</f>
        <v>0</v>
      </c>
      <c r="M306" s="91">
        <f>IF($A306=Recto!$I$39,VLOOKUP($A306,Recto!$I$28:$L$44,4,FALSE),0)</f>
        <v>0</v>
      </c>
      <c r="N306" s="91">
        <f>IF($A306=Recto!$I$40,VLOOKUP($A306,Recto!$I$28:$L$44,4,FALSE),0)</f>
        <v>0</v>
      </c>
      <c r="O306" s="91">
        <f>IF($A306=Recto!$I$41,VLOOKUP($A306,Recto!$I$28:$L$44,4,FALSE),0)</f>
        <v>0</v>
      </c>
      <c r="P306" s="91">
        <f>IF($A306=Recto!$I$42,VLOOKUP($A306,Recto!$I$28:$L$44,4,FALSE),0)</f>
        <v>0</v>
      </c>
      <c r="Q306" s="91">
        <f>IF($A306=Recto!$I$43,VLOOKUP($A306,Recto!$I$28:$L$44,4,FALSE),0)</f>
        <v>0</v>
      </c>
      <c r="R306" s="91">
        <f>IF($A306=Recto!$I$44,VLOOKUP($A306,Recto!$I$28:$L$44,4,FALSE),0)</f>
        <v>0</v>
      </c>
      <c r="S306" s="295">
        <f t="shared" si="9"/>
        <v>0</v>
      </c>
    </row>
    <row r="307" spans="1:19" x14ac:dyDescent="0.25">
      <c r="A307" s="500" t="s">
        <v>1345</v>
      </c>
      <c r="B307" s="91">
        <f>IF($A307=Recto!$I$28,VLOOKUP($A307,Recto!$I$28:$L$44,4,FALSE),0)</f>
        <v>0</v>
      </c>
      <c r="C307" s="91">
        <f>IF($A307=Recto!$I$29,VLOOKUP($A307,Recto!$I$28:$L$44,4,FALSE),0)</f>
        <v>0</v>
      </c>
      <c r="D307" s="91">
        <f>IF($A307=Recto!$I$30,VLOOKUP($A307,Recto!$I$28:$L$44,4,FALSE),0)</f>
        <v>0</v>
      </c>
      <c r="E307" s="91">
        <f>IF($A307=Recto!$I$31,VLOOKUP($A307,Recto!$I$28:$L$44,4,FALSE),0)</f>
        <v>0</v>
      </c>
      <c r="F307" s="91">
        <f>IF($A307=Recto!$I$32,VLOOKUP($A307,Recto!$I$28:$L$44,4,FALSE),0)</f>
        <v>0</v>
      </c>
      <c r="G307" s="91">
        <f>IF($A307=Recto!$I$33,VLOOKUP($A307,Recto!$I$28:$L$44,4,FALSE),0)</f>
        <v>0</v>
      </c>
      <c r="H307" s="91">
        <f>IF($A307=Recto!$I$34,VLOOKUP($A307,Recto!$I$28:$L$44,4,FALSE),0)</f>
        <v>0</v>
      </c>
      <c r="I307" s="91">
        <f>IF($A307=Recto!$I$35,VLOOKUP($A307,Recto!$I$28:$L$44,4,FALSE),0)</f>
        <v>0</v>
      </c>
      <c r="J307" s="91">
        <f>IF($A307=Recto!$I$36,VLOOKUP($A307,Recto!$I$28:$L$44,4,FALSE),0)</f>
        <v>0</v>
      </c>
      <c r="K307" s="91">
        <f>IF($A307=Recto!$I$37,VLOOKUP($A307,Recto!$I$28:$L$44,4,FALSE),0)</f>
        <v>0</v>
      </c>
      <c r="L307" s="91">
        <f>IF($A307=Recto!$I$38,VLOOKUP($A307,Recto!$I$28:$L$44,4,FALSE),0)</f>
        <v>0</v>
      </c>
      <c r="M307" s="91">
        <f>IF($A307=Recto!$I$39,VLOOKUP($A307,Recto!$I$28:$L$44,4,FALSE),0)</f>
        <v>0</v>
      </c>
      <c r="N307" s="91">
        <f>IF($A307=Recto!$I$40,VLOOKUP($A307,Recto!$I$28:$L$44,4,FALSE),0)</f>
        <v>0</v>
      </c>
      <c r="O307" s="91">
        <f>IF($A307=Recto!$I$41,VLOOKUP($A307,Recto!$I$28:$L$44,4,FALSE),0)</f>
        <v>0</v>
      </c>
      <c r="P307" s="91">
        <f>IF($A307=Recto!$I$42,VLOOKUP($A307,Recto!$I$28:$L$44,4,FALSE),0)</f>
        <v>0</v>
      </c>
      <c r="Q307" s="91">
        <f>IF($A307=Recto!$I$43,VLOOKUP($A307,Recto!$I$28:$L$44,4,FALSE),0)</f>
        <v>0</v>
      </c>
      <c r="R307" s="91">
        <f>IF($A307=Recto!$I$44,VLOOKUP($A307,Recto!$I$28:$L$44,4,FALSE),0)</f>
        <v>0</v>
      </c>
      <c r="S307" s="295">
        <f t="shared" si="9"/>
        <v>0</v>
      </c>
    </row>
    <row r="308" spans="1:19" s="196" customFormat="1" x14ac:dyDescent="0.25">
      <c r="A308" s="136" t="s">
        <v>7410</v>
      </c>
      <c r="B308" s="91">
        <f>IF($A308=Recto!$I$28,VLOOKUP($A308,Recto!$I$28:$L$44,4,FALSE),0)</f>
        <v>0</v>
      </c>
      <c r="C308" s="91">
        <f>IF($A308=Recto!$I$29,VLOOKUP($A308,Recto!$I$28:$L$44,4,FALSE),0)</f>
        <v>0</v>
      </c>
      <c r="D308" s="91">
        <f>IF($A308=Recto!$I$30,VLOOKUP($A308,Recto!$I$28:$L$44,4,FALSE),0)</f>
        <v>0</v>
      </c>
      <c r="E308" s="91">
        <f>IF($A308=Recto!$I$31,VLOOKUP($A308,Recto!$I$28:$L$44,4,FALSE),0)</f>
        <v>0</v>
      </c>
      <c r="F308" s="91">
        <f>IF($A308=Recto!$I$32,VLOOKUP($A308,Recto!$I$28:$L$44,4,FALSE),0)</f>
        <v>0</v>
      </c>
      <c r="G308" s="91">
        <f>IF($A308=Recto!$I$33,VLOOKUP($A308,Recto!$I$28:$L$44,4,FALSE),0)</f>
        <v>0</v>
      </c>
      <c r="H308" s="91">
        <f>IF($A308=Recto!$I$34,VLOOKUP($A308,Recto!$I$28:$L$44,4,FALSE),0)</f>
        <v>0</v>
      </c>
      <c r="I308" s="91">
        <f>IF($A308=Recto!$I$35,VLOOKUP($A308,Recto!$I$28:$L$44,4,FALSE),0)</f>
        <v>0</v>
      </c>
      <c r="J308" s="91">
        <f>IF($A308=Recto!$I$36,VLOOKUP($A308,Recto!$I$28:$L$44,4,FALSE),0)</f>
        <v>0</v>
      </c>
      <c r="K308" s="91">
        <f>IF($A308=Recto!$I$37,VLOOKUP($A308,Recto!$I$28:$L$44,4,FALSE),0)</f>
        <v>0</v>
      </c>
      <c r="L308" s="91">
        <f>IF($A308=Recto!$I$38,VLOOKUP($A308,Recto!$I$28:$L$44,4,FALSE),0)</f>
        <v>0</v>
      </c>
      <c r="M308" s="91">
        <f>IF($A308=Recto!$I$39,VLOOKUP($A308,Recto!$I$28:$L$44,4,FALSE),0)</f>
        <v>0</v>
      </c>
      <c r="N308" s="91">
        <f>IF($A308=Recto!$I$40,VLOOKUP($A308,Recto!$I$28:$L$44,4,FALSE),0)</f>
        <v>0</v>
      </c>
      <c r="O308" s="91">
        <f>IF($A308=Recto!$I$41,VLOOKUP($A308,Recto!$I$28:$L$44,4,FALSE),0)</f>
        <v>0</v>
      </c>
      <c r="P308" s="91">
        <f>IF($A308=Recto!$I$42,VLOOKUP($A308,Recto!$I$28:$L$44,4,FALSE),0)</f>
        <v>0</v>
      </c>
      <c r="Q308" s="91">
        <f>IF($A308=Recto!$I$43,VLOOKUP($A308,Recto!$I$28:$L$44,4,FALSE),0)</f>
        <v>0</v>
      </c>
      <c r="R308" s="91">
        <f>IF($A308=Recto!$I$44,VLOOKUP($A308,Recto!$I$28:$L$44,4,FALSE),0)</f>
        <v>0</v>
      </c>
      <c r="S308" s="295">
        <f t="shared" si="9"/>
        <v>0</v>
      </c>
    </row>
    <row r="309" spans="1:19" x14ac:dyDescent="0.25">
      <c r="A309" s="500" t="s">
        <v>33</v>
      </c>
      <c r="B309" s="91">
        <f>IF($A309=Recto!$I$28,VLOOKUP($A309,Recto!$I$28:$L$44,4,FALSE),0)</f>
        <v>0</v>
      </c>
      <c r="C309" s="91">
        <f>IF($A309=Recto!$I$29,VLOOKUP($A309,Recto!$I$28:$L$44,4,FALSE),0)</f>
        <v>0</v>
      </c>
      <c r="D309" s="91">
        <f>IF($A309=Recto!$I$30,VLOOKUP($A309,Recto!$I$28:$L$44,4,FALSE),0)</f>
        <v>0</v>
      </c>
      <c r="E309" s="91">
        <f>IF($A309=Recto!$I$31,VLOOKUP($A309,Recto!$I$28:$L$44,4,FALSE),0)</f>
        <v>0</v>
      </c>
      <c r="F309" s="91">
        <f>IF($A309=Recto!$I$32,VLOOKUP($A309,Recto!$I$28:$L$44,4,FALSE),0)</f>
        <v>0</v>
      </c>
      <c r="G309" s="91">
        <f>IF($A309=Recto!$I$33,VLOOKUP($A309,Recto!$I$28:$L$44,4,FALSE),0)</f>
        <v>0</v>
      </c>
      <c r="H309" s="91">
        <f>IF($A309=Recto!$I$34,VLOOKUP($A309,Recto!$I$28:$L$44,4,FALSE),0)</f>
        <v>0</v>
      </c>
      <c r="I309" s="91">
        <f>IF($A309=Recto!$I$35,VLOOKUP($A309,Recto!$I$28:$L$44,4,FALSE),0)</f>
        <v>0</v>
      </c>
      <c r="J309" s="91">
        <f>IF($A309=Recto!$I$36,VLOOKUP($A309,Recto!$I$28:$L$44,4,FALSE),0)</f>
        <v>0</v>
      </c>
      <c r="K309" s="91">
        <f>IF($A309=Recto!$I$37,VLOOKUP($A309,Recto!$I$28:$L$44,4,FALSE),0)</f>
        <v>0</v>
      </c>
      <c r="L309" s="91">
        <f>IF($A309=Recto!$I$38,VLOOKUP($A309,Recto!$I$28:$L$44,4,FALSE),0)</f>
        <v>0</v>
      </c>
      <c r="M309" s="91">
        <f>IF($A309=Recto!$I$39,VLOOKUP($A309,Recto!$I$28:$L$44,4,FALSE),0)</f>
        <v>0</v>
      </c>
      <c r="N309" s="91">
        <f>IF($A309=Recto!$I$40,VLOOKUP($A309,Recto!$I$28:$L$44,4,FALSE),0)</f>
        <v>0</v>
      </c>
      <c r="O309" s="91">
        <f>IF($A309=Recto!$I$41,VLOOKUP($A309,Recto!$I$28:$L$44,4,FALSE),0)</f>
        <v>0</v>
      </c>
      <c r="P309" s="91">
        <f>IF($A309=Recto!$I$42,VLOOKUP($A309,Recto!$I$28:$L$44,4,FALSE),0)</f>
        <v>0</v>
      </c>
      <c r="Q309" s="91">
        <f>IF($A309=Recto!$I$43,VLOOKUP($A309,Recto!$I$28:$L$44,4,FALSE),0)</f>
        <v>0</v>
      </c>
      <c r="R309" s="91">
        <f>IF($A309=Recto!$I$44,VLOOKUP($A309,Recto!$I$28:$L$44,4,FALSE),0)</f>
        <v>0</v>
      </c>
      <c r="S309" s="295">
        <f t="shared" si="9"/>
        <v>0</v>
      </c>
    </row>
    <row r="310" spans="1:19" x14ac:dyDescent="0.25">
      <c r="A310" s="500" t="s">
        <v>3296</v>
      </c>
      <c r="B310" s="91">
        <f>IF($A310=Recto!$I$28,VLOOKUP($A310,Recto!$I$28:$L$44,4,FALSE),0)</f>
        <v>0</v>
      </c>
      <c r="C310" s="91">
        <f>IF($A310=Recto!$I$29,VLOOKUP($A310,Recto!$I$28:$L$44,4,FALSE),0)</f>
        <v>0</v>
      </c>
      <c r="D310" s="91">
        <f>IF($A310=Recto!$I$30,VLOOKUP($A310,Recto!$I$28:$L$44,4,FALSE),0)</f>
        <v>0</v>
      </c>
      <c r="E310" s="91">
        <f>IF($A310=Recto!$I$31,VLOOKUP($A310,Recto!$I$28:$L$44,4,FALSE),0)</f>
        <v>0</v>
      </c>
      <c r="F310" s="91">
        <f>IF($A310=Recto!$I$32,VLOOKUP($A310,Recto!$I$28:$L$44,4,FALSE),0)</f>
        <v>0</v>
      </c>
      <c r="G310" s="91">
        <f>IF($A310=Recto!$I$33,VLOOKUP($A310,Recto!$I$28:$L$44,4,FALSE),0)</f>
        <v>0</v>
      </c>
      <c r="H310" s="91">
        <f>IF($A310=Recto!$I$34,VLOOKUP($A310,Recto!$I$28:$L$44,4,FALSE),0)</f>
        <v>0</v>
      </c>
      <c r="I310" s="91">
        <f>IF($A310=Recto!$I$35,VLOOKUP($A310,Recto!$I$28:$L$44,4,FALSE),0)</f>
        <v>0</v>
      </c>
      <c r="J310" s="91">
        <f>IF($A310=Recto!$I$36,VLOOKUP($A310,Recto!$I$28:$L$44,4,FALSE),0)</f>
        <v>0</v>
      </c>
      <c r="K310" s="91">
        <f>IF($A310=Recto!$I$37,VLOOKUP($A310,Recto!$I$28:$L$44,4,FALSE),0)</f>
        <v>0</v>
      </c>
      <c r="L310" s="91">
        <f>IF($A310=Recto!$I$38,VLOOKUP($A310,Recto!$I$28:$L$44,4,FALSE),0)</f>
        <v>0</v>
      </c>
      <c r="M310" s="91">
        <f>IF($A310=Recto!$I$39,VLOOKUP($A310,Recto!$I$28:$L$44,4,FALSE),0)</f>
        <v>0</v>
      </c>
      <c r="N310" s="91">
        <f>IF($A310=Recto!$I$40,VLOOKUP($A310,Recto!$I$28:$L$44,4,FALSE),0)</f>
        <v>0</v>
      </c>
      <c r="O310" s="91">
        <f>IF($A310=Recto!$I$41,VLOOKUP($A310,Recto!$I$28:$L$44,4,FALSE),0)</f>
        <v>0</v>
      </c>
      <c r="P310" s="91">
        <f>IF($A310=Recto!$I$42,VLOOKUP($A310,Recto!$I$28:$L$44,4,FALSE),0)</f>
        <v>0</v>
      </c>
      <c r="Q310" s="91">
        <f>IF($A310=Recto!$I$43,VLOOKUP($A310,Recto!$I$28:$L$44,4,FALSE),0)</f>
        <v>0</v>
      </c>
      <c r="R310" s="91">
        <f>IF($A310=Recto!$I$44,VLOOKUP($A310,Recto!$I$28:$L$44,4,FALSE),0)</f>
        <v>0</v>
      </c>
      <c r="S310" s="295">
        <f t="shared" si="9"/>
        <v>0</v>
      </c>
    </row>
    <row r="311" spans="1:19" x14ac:dyDescent="0.25">
      <c r="A311" s="500" t="s">
        <v>6420</v>
      </c>
      <c r="B311" s="91">
        <f>IF($A311=Recto!$I$28,VLOOKUP($A311,Recto!$I$28:$L$44,4,FALSE),0)</f>
        <v>0</v>
      </c>
      <c r="C311" s="91">
        <f>IF($A311=Recto!$I$29,VLOOKUP($A311,Recto!$I$28:$L$44,4,FALSE),0)</f>
        <v>0</v>
      </c>
      <c r="D311" s="91">
        <f>IF($A311=Recto!$I$30,VLOOKUP($A311,Recto!$I$28:$L$44,4,FALSE),0)</f>
        <v>0</v>
      </c>
      <c r="E311" s="91">
        <f>IF($A311=Recto!$I$31,VLOOKUP($A311,Recto!$I$28:$L$44,4,FALSE),0)</f>
        <v>0</v>
      </c>
      <c r="F311" s="91">
        <f>IF($A311=Recto!$I$32,VLOOKUP($A311,Recto!$I$28:$L$44,4,FALSE),0)</f>
        <v>0</v>
      </c>
      <c r="G311" s="91">
        <f>IF($A311=Recto!$I$33,VLOOKUP($A311,Recto!$I$28:$L$44,4,FALSE),0)</f>
        <v>0</v>
      </c>
      <c r="H311" s="91">
        <f>IF($A311=Recto!$I$34,VLOOKUP($A311,Recto!$I$28:$L$44,4,FALSE),0)</f>
        <v>0</v>
      </c>
      <c r="I311" s="91">
        <f>IF($A311=Recto!$I$35,VLOOKUP($A311,Recto!$I$28:$L$44,4,FALSE),0)</f>
        <v>0</v>
      </c>
      <c r="J311" s="91">
        <f>IF($A311=Recto!$I$36,VLOOKUP($A311,Recto!$I$28:$L$44,4,FALSE),0)</f>
        <v>0</v>
      </c>
      <c r="K311" s="91">
        <f>IF($A311=Recto!$I$37,VLOOKUP($A311,Recto!$I$28:$L$44,4,FALSE),0)</f>
        <v>0</v>
      </c>
      <c r="L311" s="91">
        <f>IF($A311=Recto!$I$38,VLOOKUP($A311,Recto!$I$28:$L$44,4,FALSE),0)</f>
        <v>0</v>
      </c>
      <c r="M311" s="91">
        <f>IF($A311=Recto!$I$39,VLOOKUP($A311,Recto!$I$28:$L$44,4,FALSE),0)</f>
        <v>0</v>
      </c>
      <c r="N311" s="91">
        <f>IF($A311=Recto!$I$40,VLOOKUP($A311,Recto!$I$28:$L$44,4,FALSE),0)</f>
        <v>0</v>
      </c>
      <c r="O311" s="91">
        <f>IF($A311=Recto!$I$41,VLOOKUP($A311,Recto!$I$28:$L$44,4,FALSE),0)</f>
        <v>0</v>
      </c>
      <c r="P311" s="91">
        <f>IF($A311=Recto!$I$42,VLOOKUP($A311,Recto!$I$28:$L$44,4,FALSE),0)</f>
        <v>0</v>
      </c>
      <c r="Q311" s="91">
        <f>IF($A311=Recto!$I$43,VLOOKUP($A311,Recto!$I$28:$L$44,4,FALSE),0)</f>
        <v>0</v>
      </c>
      <c r="R311" s="91">
        <f>IF($A311=Recto!$I$44,VLOOKUP($A311,Recto!$I$28:$L$44,4,FALSE),0)</f>
        <v>0</v>
      </c>
      <c r="S311" s="295">
        <f t="shared" si="9"/>
        <v>0</v>
      </c>
    </row>
    <row r="312" spans="1:19" x14ac:dyDescent="0.25">
      <c r="A312" s="500" t="s">
        <v>1333</v>
      </c>
      <c r="B312" s="91">
        <f>IF($A312=Recto!$I$28,VLOOKUP($A312,Recto!$I$28:$L$44,4,FALSE),0)</f>
        <v>0</v>
      </c>
      <c r="C312" s="91">
        <f>IF($A312=Recto!$I$29,VLOOKUP($A312,Recto!$I$28:$L$44,4,FALSE),0)</f>
        <v>0</v>
      </c>
      <c r="D312" s="91">
        <f>IF($A312=Recto!$I$30,VLOOKUP($A312,Recto!$I$28:$L$44,4,FALSE),0)</f>
        <v>0</v>
      </c>
      <c r="E312" s="91">
        <f>IF($A312=Recto!$I$31,VLOOKUP($A312,Recto!$I$28:$L$44,4,FALSE),0)</f>
        <v>0</v>
      </c>
      <c r="F312" s="91">
        <f>IF($A312=Recto!$I$32,VLOOKUP($A312,Recto!$I$28:$L$44,4,FALSE),0)</f>
        <v>0</v>
      </c>
      <c r="G312" s="91">
        <f>IF($A312=Recto!$I$33,VLOOKUP($A312,Recto!$I$28:$L$44,4,FALSE),0)</f>
        <v>0</v>
      </c>
      <c r="H312" s="91">
        <f>IF($A312=Recto!$I$34,VLOOKUP($A312,Recto!$I$28:$L$44,4,FALSE),0)</f>
        <v>0</v>
      </c>
      <c r="I312" s="91">
        <f>IF($A312=Recto!$I$35,VLOOKUP($A312,Recto!$I$28:$L$44,4,FALSE),0)</f>
        <v>0</v>
      </c>
      <c r="J312" s="91">
        <f>IF($A312=Recto!$I$36,VLOOKUP($A312,Recto!$I$28:$L$44,4,FALSE),0)</f>
        <v>0</v>
      </c>
      <c r="K312" s="91">
        <f>IF($A312=Recto!$I$37,VLOOKUP($A312,Recto!$I$28:$L$44,4,FALSE),0)</f>
        <v>0</v>
      </c>
      <c r="L312" s="91">
        <f>IF($A312=Recto!$I$38,VLOOKUP($A312,Recto!$I$28:$L$44,4,FALSE),0)</f>
        <v>0</v>
      </c>
      <c r="M312" s="91">
        <f>IF($A312=Recto!$I$39,VLOOKUP($A312,Recto!$I$28:$L$44,4,FALSE),0)</f>
        <v>0</v>
      </c>
      <c r="N312" s="91">
        <f>IF($A312=Recto!$I$40,VLOOKUP($A312,Recto!$I$28:$L$44,4,FALSE),0)</f>
        <v>0</v>
      </c>
      <c r="O312" s="91">
        <f>IF($A312=Recto!$I$41,VLOOKUP($A312,Recto!$I$28:$L$44,4,FALSE),0)</f>
        <v>0</v>
      </c>
      <c r="P312" s="91">
        <f>IF($A312=Recto!$I$42,VLOOKUP($A312,Recto!$I$28:$L$44,4,FALSE),0)</f>
        <v>0</v>
      </c>
      <c r="Q312" s="91">
        <f>IF($A312=Recto!$I$43,VLOOKUP($A312,Recto!$I$28:$L$44,4,FALSE),0)</f>
        <v>0</v>
      </c>
      <c r="R312" s="91">
        <f>IF($A312=Recto!$I$44,VLOOKUP($A312,Recto!$I$28:$L$44,4,FALSE),0)</f>
        <v>0</v>
      </c>
      <c r="S312" s="295">
        <f t="shared" si="9"/>
        <v>0</v>
      </c>
    </row>
    <row r="313" spans="1:19" s="196" customFormat="1" x14ac:dyDescent="0.25">
      <c r="A313" s="500" t="s">
        <v>6851</v>
      </c>
      <c r="B313" s="91">
        <f>IF($A313=Recto!$I$28,VLOOKUP($A313,Recto!$I$28:$L$44,4,FALSE),0)</f>
        <v>0</v>
      </c>
      <c r="C313" s="91">
        <f>IF($A313=Recto!$I$29,VLOOKUP($A313,Recto!$I$28:$L$44,4,FALSE),0)</f>
        <v>0</v>
      </c>
      <c r="D313" s="91">
        <f>IF($A313=Recto!$I$30,VLOOKUP($A313,Recto!$I$28:$L$44,4,FALSE),0)</f>
        <v>0</v>
      </c>
      <c r="E313" s="91">
        <f>IF($A313=Recto!$I$31,VLOOKUP($A313,Recto!$I$28:$L$44,4,FALSE),0)</f>
        <v>0</v>
      </c>
      <c r="F313" s="91">
        <f>IF($A313=Recto!$I$32,VLOOKUP($A313,Recto!$I$28:$L$44,4,FALSE),0)</f>
        <v>0</v>
      </c>
      <c r="G313" s="91">
        <f>IF($A313=Recto!$I$33,VLOOKUP($A313,Recto!$I$28:$L$44,4,FALSE),0)</f>
        <v>0</v>
      </c>
      <c r="H313" s="91">
        <f>IF($A313=Recto!$I$34,VLOOKUP($A313,Recto!$I$28:$L$44,4,FALSE),0)</f>
        <v>0</v>
      </c>
      <c r="I313" s="91">
        <f>IF($A313=Recto!$I$35,VLOOKUP($A313,Recto!$I$28:$L$44,4,FALSE),0)</f>
        <v>0</v>
      </c>
      <c r="J313" s="91">
        <f>IF($A313=Recto!$I$36,VLOOKUP($A313,Recto!$I$28:$L$44,4,FALSE),0)</f>
        <v>0</v>
      </c>
      <c r="K313" s="91">
        <f>IF($A313=Recto!$I$37,VLOOKUP($A313,Recto!$I$28:$L$44,4,FALSE),0)</f>
        <v>0</v>
      </c>
      <c r="L313" s="91">
        <f>IF($A313=Recto!$I$38,VLOOKUP($A313,Recto!$I$28:$L$44,4,FALSE),0)</f>
        <v>0</v>
      </c>
      <c r="M313" s="91">
        <f>IF($A313=Recto!$I$39,VLOOKUP($A313,Recto!$I$28:$L$44,4,FALSE),0)</f>
        <v>0</v>
      </c>
      <c r="N313" s="91">
        <f>IF($A313=Recto!$I$40,VLOOKUP($A313,Recto!$I$28:$L$44,4,FALSE),0)</f>
        <v>0</v>
      </c>
      <c r="O313" s="91">
        <f>IF($A313=Recto!$I$41,VLOOKUP($A313,Recto!$I$28:$L$44,4,FALSE),0)</f>
        <v>0</v>
      </c>
      <c r="P313" s="91">
        <f>IF($A313=Recto!$I$42,VLOOKUP($A313,Recto!$I$28:$L$44,4,FALSE),0)</f>
        <v>0</v>
      </c>
      <c r="Q313" s="91">
        <f>IF($A313=Recto!$I$43,VLOOKUP($A313,Recto!$I$28:$L$44,4,FALSE),0)</f>
        <v>0</v>
      </c>
      <c r="R313" s="91">
        <f>IF($A313=Recto!$I$44,VLOOKUP($A313,Recto!$I$28:$L$44,4,FALSE),0)</f>
        <v>0</v>
      </c>
      <c r="S313" s="295">
        <f t="shared" si="9"/>
        <v>0</v>
      </c>
    </row>
    <row r="314" spans="1:19" x14ac:dyDescent="0.25">
      <c r="A314" s="500" t="s">
        <v>5990</v>
      </c>
      <c r="B314" s="91">
        <f>IF($A314=Recto!$I$28,VLOOKUP($A314,Recto!$I$28:$L$44,4,FALSE),0)</f>
        <v>0</v>
      </c>
      <c r="C314" s="91">
        <f>IF($A314=Recto!$I$29,VLOOKUP($A314,Recto!$I$28:$L$44,4,FALSE),0)</f>
        <v>0</v>
      </c>
      <c r="D314" s="91">
        <f>IF($A314=Recto!$I$30,VLOOKUP($A314,Recto!$I$28:$L$44,4,FALSE),0)</f>
        <v>0</v>
      </c>
      <c r="E314" s="91">
        <f>IF($A314=Recto!$I$31,VLOOKUP($A314,Recto!$I$28:$L$44,4,FALSE),0)</f>
        <v>0</v>
      </c>
      <c r="F314" s="91">
        <f>IF($A314=Recto!$I$32,VLOOKUP($A314,Recto!$I$28:$L$44,4,FALSE),0)</f>
        <v>0</v>
      </c>
      <c r="G314" s="91">
        <f>IF($A314=Recto!$I$33,VLOOKUP($A314,Recto!$I$28:$L$44,4,FALSE),0)</f>
        <v>0</v>
      </c>
      <c r="H314" s="91">
        <f>IF($A314=Recto!$I$34,VLOOKUP($A314,Recto!$I$28:$L$44,4,FALSE),0)</f>
        <v>0</v>
      </c>
      <c r="I314" s="91">
        <f>IF($A314=Recto!$I$35,VLOOKUP($A314,Recto!$I$28:$L$44,4,FALSE),0)</f>
        <v>0</v>
      </c>
      <c r="J314" s="91">
        <f>IF($A314=Recto!$I$36,VLOOKUP($A314,Recto!$I$28:$L$44,4,FALSE),0)</f>
        <v>0</v>
      </c>
      <c r="K314" s="91">
        <f>IF($A314=Recto!$I$37,VLOOKUP($A314,Recto!$I$28:$L$44,4,FALSE),0)</f>
        <v>0</v>
      </c>
      <c r="L314" s="91">
        <f>IF($A314=Recto!$I$38,VLOOKUP($A314,Recto!$I$28:$L$44,4,FALSE),0)</f>
        <v>0</v>
      </c>
      <c r="M314" s="91">
        <f>IF($A314=Recto!$I$39,VLOOKUP($A314,Recto!$I$28:$L$44,4,FALSE),0)</f>
        <v>0</v>
      </c>
      <c r="N314" s="91">
        <f>IF($A314=Recto!$I$40,VLOOKUP($A314,Recto!$I$28:$L$44,4,FALSE),0)</f>
        <v>0</v>
      </c>
      <c r="O314" s="91">
        <f>IF($A314=Recto!$I$41,VLOOKUP($A314,Recto!$I$28:$L$44,4,FALSE),0)</f>
        <v>0</v>
      </c>
      <c r="P314" s="91">
        <f>IF($A314=Recto!$I$42,VLOOKUP($A314,Recto!$I$28:$L$44,4,FALSE),0)</f>
        <v>0</v>
      </c>
      <c r="Q314" s="91">
        <f>IF($A314=Recto!$I$43,VLOOKUP($A314,Recto!$I$28:$L$44,4,FALSE),0)</f>
        <v>0</v>
      </c>
      <c r="R314" s="91">
        <f>IF($A314=Recto!$I$44,VLOOKUP($A314,Recto!$I$28:$L$44,4,FALSE),0)</f>
        <v>0</v>
      </c>
      <c r="S314" s="295">
        <f t="shared" si="9"/>
        <v>0</v>
      </c>
    </row>
    <row r="315" spans="1:19" x14ac:dyDescent="0.25">
      <c r="A315" s="500" t="s">
        <v>390</v>
      </c>
      <c r="B315" s="91">
        <f>IF($A315=Recto!$I$28,VLOOKUP($A315,Recto!$I$28:$L$44,4,FALSE),0)</f>
        <v>0</v>
      </c>
      <c r="C315" s="91">
        <f>IF($A315=Recto!$I$29,VLOOKUP($A315,Recto!$I$28:$L$44,4,FALSE),0)</f>
        <v>0</v>
      </c>
      <c r="D315" s="91">
        <f>IF($A315=Recto!$I$30,VLOOKUP($A315,Recto!$I$28:$L$44,4,FALSE),0)</f>
        <v>0</v>
      </c>
      <c r="E315" s="91">
        <f>IF($A315=Recto!$I$31,VLOOKUP($A315,Recto!$I$28:$L$44,4,FALSE),0)</f>
        <v>0</v>
      </c>
      <c r="F315" s="91">
        <f>IF($A315=Recto!$I$32,VLOOKUP($A315,Recto!$I$28:$L$44,4,FALSE),0)</f>
        <v>0</v>
      </c>
      <c r="G315" s="91">
        <f>IF($A315=Recto!$I$33,VLOOKUP($A315,Recto!$I$28:$L$44,4,FALSE),0)</f>
        <v>0</v>
      </c>
      <c r="H315" s="91">
        <f>IF($A315=Recto!$I$34,VLOOKUP($A315,Recto!$I$28:$L$44,4,FALSE),0)</f>
        <v>0</v>
      </c>
      <c r="I315" s="91">
        <f>IF($A315=Recto!$I$35,VLOOKUP($A315,Recto!$I$28:$L$44,4,FALSE),0)</f>
        <v>0</v>
      </c>
      <c r="J315" s="91">
        <f>IF($A315=Recto!$I$36,VLOOKUP($A315,Recto!$I$28:$L$44,4,FALSE),0)</f>
        <v>0</v>
      </c>
      <c r="K315" s="91">
        <f>IF($A315=Recto!$I$37,VLOOKUP($A315,Recto!$I$28:$L$44,4,FALSE),0)</f>
        <v>0</v>
      </c>
      <c r="L315" s="91">
        <f>IF($A315=Recto!$I$38,VLOOKUP($A315,Recto!$I$28:$L$44,4,FALSE),0)</f>
        <v>0</v>
      </c>
      <c r="M315" s="91">
        <f>IF($A315=Recto!$I$39,VLOOKUP($A315,Recto!$I$28:$L$44,4,FALSE),0)</f>
        <v>0</v>
      </c>
      <c r="N315" s="91">
        <f>IF($A315=Recto!$I$40,VLOOKUP($A315,Recto!$I$28:$L$44,4,FALSE),0)</f>
        <v>0</v>
      </c>
      <c r="O315" s="91">
        <f>IF($A315=Recto!$I$41,VLOOKUP($A315,Recto!$I$28:$L$44,4,FALSE),0)</f>
        <v>0</v>
      </c>
      <c r="P315" s="91">
        <f>IF($A315=Recto!$I$42,VLOOKUP($A315,Recto!$I$28:$L$44,4,FALSE),0)</f>
        <v>0</v>
      </c>
      <c r="Q315" s="91">
        <f>IF($A315=Recto!$I$43,VLOOKUP($A315,Recto!$I$28:$L$44,4,FALSE),0)</f>
        <v>0</v>
      </c>
      <c r="R315" s="91">
        <f>IF($A315=Recto!$I$44,VLOOKUP($A315,Recto!$I$28:$L$44,4,FALSE),0)</f>
        <v>0</v>
      </c>
      <c r="S315" s="295">
        <f t="shared" si="9"/>
        <v>0</v>
      </c>
    </row>
    <row r="316" spans="1:19" x14ac:dyDescent="0.25">
      <c r="A316" s="500" t="s">
        <v>1288</v>
      </c>
      <c r="B316" s="91">
        <f>IF($A316=Recto!$I$28,VLOOKUP($A316,Recto!$I$28:$L$44,4,FALSE),0)</f>
        <v>0</v>
      </c>
      <c r="C316" s="91">
        <f>IF($A316=Recto!$I$29,VLOOKUP($A316,Recto!$I$28:$L$44,4,FALSE),0)</f>
        <v>0</v>
      </c>
      <c r="D316" s="91">
        <f>IF($A316=Recto!$I$30,VLOOKUP($A316,Recto!$I$28:$L$44,4,FALSE),0)</f>
        <v>0</v>
      </c>
      <c r="E316" s="91">
        <f>IF($A316=Recto!$I$31,VLOOKUP($A316,Recto!$I$28:$L$44,4,FALSE),0)</f>
        <v>0</v>
      </c>
      <c r="F316" s="91">
        <f>IF($A316=Recto!$I$32,VLOOKUP($A316,Recto!$I$28:$L$44,4,FALSE),0)</f>
        <v>0</v>
      </c>
      <c r="G316" s="91">
        <f>IF($A316=Recto!$I$33,VLOOKUP($A316,Recto!$I$28:$L$44,4,FALSE),0)</f>
        <v>0</v>
      </c>
      <c r="H316" s="91">
        <f>IF($A316=Recto!$I$34,VLOOKUP($A316,Recto!$I$28:$L$44,4,FALSE),0)</f>
        <v>0</v>
      </c>
      <c r="I316" s="91">
        <f>IF($A316=Recto!$I$35,VLOOKUP($A316,Recto!$I$28:$L$44,4,FALSE),0)</f>
        <v>0</v>
      </c>
      <c r="J316" s="91">
        <f>IF($A316=Recto!$I$36,VLOOKUP($A316,Recto!$I$28:$L$44,4,FALSE),0)</f>
        <v>0</v>
      </c>
      <c r="K316" s="91">
        <f>IF($A316=Recto!$I$37,VLOOKUP($A316,Recto!$I$28:$L$44,4,FALSE),0)</f>
        <v>0</v>
      </c>
      <c r="L316" s="91">
        <f>IF($A316=Recto!$I$38,VLOOKUP($A316,Recto!$I$28:$L$44,4,FALSE),0)</f>
        <v>0</v>
      </c>
      <c r="M316" s="91">
        <f>IF($A316=Recto!$I$39,VLOOKUP($A316,Recto!$I$28:$L$44,4,FALSE),0)</f>
        <v>0</v>
      </c>
      <c r="N316" s="91">
        <f>IF($A316=Recto!$I$40,VLOOKUP($A316,Recto!$I$28:$L$44,4,FALSE),0)</f>
        <v>0</v>
      </c>
      <c r="O316" s="91">
        <f>IF($A316=Recto!$I$41,VLOOKUP($A316,Recto!$I$28:$L$44,4,FALSE),0)</f>
        <v>0</v>
      </c>
      <c r="P316" s="91">
        <f>IF($A316=Recto!$I$42,VLOOKUP($A316,Recto!$I$28:$L$44,4,FALSE),0)</f>
        <v>0</v>
      </c>
      <c r="Q316" s="91">
        <f>IF($A316=Recto!$I$43,VLOOKUP($A316,Recto!$I$28:$L$44,4,FALSE),0)</f>
        <v>0</v>
      </c>
      <c r="R316" s="91">
        <f>IF($A316=Recto!$I$44,VLOOKUP($A316,Recto!$I$28:$L$44,4,FALSE),0)</f>
        <v>0</v>
      </c>
      <c r="S316" s="295">
        <f t="shared" si="9"/>
        <v>0</v>
      </c>
    </row>
    <row r="317" spans="1:19" s="196" customFormat="1" x14ac:dyDescent="0.25">
      <c r="A317" s="136" t="s">
        <v>7705</v>
      </c>
      <c r="B317" s="91">
        <f>IF($A317=Recto!$I$28,VLOOKUP($A317,Recto!$I$28:$L$44,4,FALSE),0)</f>
        <v>0</v>
      </c>
      <c r="C317" s="91">
        <f>IF($A317=Recto!$I$29,VLOOKUP($A317,Recto!$I$28:$L$44,4,FALSE),0)</f>
        <v>0</v>
      </c>
      <c r="D317" s="91">
        <f>IF($A317=Recto!$I$30,VLOOKUP($A317,Recto!$I$28:$L$44,4,FALSE),0)</f>
        <v>0</v>
      </c>
      <c r="E317" s="91">
        <f>IF($A317=Recto!$I$31,VLOOKUP($A317,Recto!$I$28:$L$44,4,FALSE),0)</f>
        <v>0</v>
      </c>
      <c r="F317" s="91">
        <f>IF($A317=Recto!$I$32,VLOOKUP($A317,Recto!$I$28:$L$44,4,FALSE),0)</f>
        <v>0</v>
      </c>
      <c r="G317" s="91">
        <f>IF($A317=Recto!$I$33,VLOOKUP($A317,Recto!$I$28:$L$44,4,FALSE),0)</f>
        <v>0</v>
      </c>
      <c r="H317" s="91">
        <f>IF($A317=Recto!$I$34,VLOOKUP($A317,Recto!$I$28:$L$44,4,FALSE),0)</f>
        <v>0</v>
      </c>
      <c r="I317" s="91">
        <f>IF($A317=Recto!$I$35,VLOOKUP($A317,Recto!$I$28:$L$44,4,FALSE),0)</f>
        <v>0</v>
      </c>
      <c r="J317" s="91">
        <f>IF($A317=Recto!$I$36,VLOOKUP($A317,Recto!$I$28:$L$44,4,FALSE),0)</f>
        <v>0</v>
      </c>
      <c r="K317" s="91">
        <f>IF($A317=Recto!$I$37,VLOOKUP($A317,Recto!$I$28:$L$44,4,FALSE),0)</f>
        <v>0</v>
      </c>
      <c r="L317" s="91">
        <f>IF($A317=Recto!$I$38,VLOOKUP($A317,Recto!$I$28:$L$44,4,FALSE),0)</f>
        <v>0</v>
      </c>
      <c r="M317" s="91">
        <f>IF($A317=Recto!$I$39,VLOOKUP($A317,Recto!$I$28:$L$44,4,FALSE),0)</f>
        <v>0</v>
      </c>
      <c r="N317" s="91">
        <f>IF($A317=Recto!$I$40,VLOOKUP($A317,Recto!$I$28:$L$44,4,FALSE),0)</f>
        <v>0</v>
      </c>
      <c r="O317" s="91">
        <f>IF($A317=Recto!$I$41,VLOOKUP($A317,Recto!$I$28:$L$44,4,FALSE),0)</f>
        <v>0</v>
      </c>
      <c r="P317" s="91">
        <f>IF($A317=Recto!$I$42,VLOOKUP($A317,Recto!$I$28:$L$44,4,FALSE),0)</f>
        <v>0</v>
      </c>
      <c r="Q317" s="91">
        <f>IF($A317=Recto!$I$43,VLOOKUP($A317,Recto!$I$28:$L$44,4,FALSE),0)</f>
        <v>0</v>
      </c>
      <c r="R317" s="91">
        <f>IF($A317=Recto!$I$44,VLOOKUP($A317,Recto!$I$28:$L$44,4,FALSE),0)</f>
        <v>0</v>
      </c>
      <c r="S317" s="295">
        <f t="shared" si="9"/>
        <v>0</v>
      </c>
    </row>
    <row r="318" spans="1:19" x14ac:dyDescent="0.25">
      <c r="A318" s="500" t="s">
        <v>4475</v>
      </c>
      <c r="B318" s="91">
        <f>IF($A318=Recto!$I$28,VLOOKUP($A318,Recto!$I$28:$L$44,4,FALSE),0)</f>
        <v>0</v>
      </c>
      <c r="C318" s="91">
        <f>IF($A318=Recto!$I$29,VLOOKUP($A318,Recto!$I$28:$L$44,4,FALSE),0)</f>
        <v>0</v>
      </c>
      <c r="D318" s="91">
        <f>IF($A318=Recto!$I$30,VLOOKUP($A318,Recto!$I$28:$L$44,4,FALSE),0)</f>
        <v>0</v>
      </c>
      <c r="E318" s="91">
        <f>IF($A318=Recto!$I$31,VLOOKUP($A318,Recto!$I$28:$L$44,4,FALSE),0)</f>
        <v>0</v>
      </c>
      <c r="F318" s="91">
        <f>IF($A318=Recto!$I$32,VLOOKUP($A318,Recto!$I$28:$L$44,4,FALSE),0)</f>
        <v>0</v>
      </c>
      <c r="G318" s="91">
        <f>IF($A318=Recto!$I$33,VLOOKUP($A318,Recto!$I$28:$L$44,4,FALSE),0)</f>
        <v>0</v>
      </c>
      <c r="H318" s="91">
        <f>IF($A318=Recto!$I$34,VLOOKUP($A318,Recto!$I$28:$L$44,4,FALSE),0)</f>
        <v>0</v>
      </c>
      <c r="I318" s="91">
        <f>IF($A318=Recto!$I$35,VLOOKUP($A318,Recto!$I$28:$L$44,4,FALSE),0)</f>
        <v>0</v>
      </c>
      <c r="J318" s="91">
        <f>IF($A318=Recto!$I$36,VLOOKUP($A318,Recto!$I$28:$L$44,4,FALSE),0)</f>
        <v>0</v>
      </c>
      <c r="K318" s="91">
        <f>IF($A318=Recto!$I$37,VLOOKUP($A318,Recto!$I$28:$L$44,4,FALSE),0)</f>
        <v>0</v>
      </c>
      <c r="L318" s="91">
        <f>IF($A318=Recto!$I$38,VLOOKUP($A318,Recto!$I$28:$L$44,4,FALSE),0)</f>
        <v>0</v>
      </c>
      <c r="M318" s="91">
        <f>IF($A318=Recto!$I$39,VLOOKUP($A318,Recto!$I$28:$L$44,4,FALSE),0)</f>
        <v>0</v>
      </c>
      <c r="N318" s="91">
        <f>IF($A318=Recto!$I$40,VLOOKUP($A318,Recto!$I$28:$L$44,4,FALSE),0)</f>
        <v>0</v>
      </c>
      <c r="O318" s="91">
        <f>IF($A318=Recto!$I$41,VLOOKUP($A318,Recto!$I$28:$L$44,4,FALSE),0)</f>
        <v>0</v>
      </c>
      <c r="P318" s="91">
        <f>IF($A318=Recto!$I$42,VLOOKUP($A318,Recto!$I$28:$L$44,4,FALSE),0)</f>
        <v>0</v>
      </c>
      <c r="Q318" s="91">
        <f>IF($A318=Recto!$I$43,VLOOKUP($A318,Recto!$I$28:$L$44,4,FALSE),0)</f>
        <v>0</v>
      </c>
      <c r="R318" s="91">
        <f>IF($A318=Recto!$I$44,VLOOKUP($A318,Recto!$I$28:$L$44,4,FALSE),0)</f>
        <v>0</v>
      </c>
      <c r="S318" s="295">
        <f t="shared" si="9"/>
        <v>0</v>
      </c>
    </row>
    <row r="319" spans="1:19" s="196" customFormat="1" x14ac:dyDescent="0.25">
      <c r="A319" s="136" t="s">
        <v>7694</v>
      </c>
      <c r="B319" s="91">
        <f>IF($A319=Recto!$I$28,VLOOKUP($A319,Recto!$I$28:$L$44,4,FALSE),0)</f>
        <v>0</v>
      </c>
      <c r="C319" s="91">
        <f>IF($A319=Recto!$I$29,VLOOKUP($A319,Recto!$I$28:$L$44,4,FALSE),0)</f>
        <v>0</v>
      </c>
      <c r="D319" s="91">
        <f>IF($A319=Recto!$I$30,VLOOKUP($A319,Recto!$I$28:$L$44,4,FALSE),0)</f>
        <v>0</v>
      </c>
      <c r="E319" s="91">
        <f>IF($A319=Recto!$I$31,VLOOKUP($A319,Recto!$I$28:$L$44,4,FALSE),0)</f>
        <v>0</v>
      </c>
      <c r="F319" s="91">
        <f>IF($A319=Recto!$I$32,VLOOKUP($A319,Recto!$I$28:$L$44,4,FALSE),0)</f>
        <v>0</v>
      </c>
      <c r="G319" s="91">
        <f>IF($A319=Recto!$I$33,VLOOKUP($A319,Recto!$I$28:$L$44,4,FALSE),0)</f>
        <v>0</v>
      </c>
      <c r="H319" s="91">
        <f>IF($A319=Recto!$I$34,VLOOKUP($A319,Recto!$I$28:$L$44,4,FALSE),0)</f>
        <v>0</v>
      </c>
      <c r="I319" s="91">
        <f>IF($A319=Recto!$I$35,VLOOKUP($A319,Recto!$I$28:$L$44,4,FALSE),0)</f>
        <v>0</v>
      </c>
      <c r="J319" s="91">
        <f>IF($A319=Recto!$I$36,VLOOKUP($A319,Recto!$I$28:$L$44,4,FALSE),0)</f>
        <v>0</v>
      </c>
      <c r="K319" s="91">
        <f>IF($A319=Recto!$I$37,VLOOKUP($A319,Recto!$I$28:$L$44,4,FALSE),0)</f>
        <v>0</v>
      </c>
      <c r="L319" s="91">
        <f>IF($A319=Recto!$I$38,VLOOKUP($A319,Recto!$I$28:$L$44,4,FALSE),0)</f>
        <v>0</v>
      </c>
      <c r="M319" s="91">
        <f>IF($A319=Recto!$I$39,VLOOKUP($A319,Recto!$I$28:$L$44,4,FALSE),0)</f>
        <v>0</v>
      </c>
      <c r="N319" s="91">
        <f>IF($A319=Recto!$I$40,VLOOKUP($A319,Recto!$I$28:$L$44,4,FALSE),0)</f>
        <v>0</v>
      </c>
      <c r="O319" s="91">
        <f>IF($A319=Recto!$I$41,VLOOKUP($A319,Recto!$I$28:$L$44,4,FALSE),0)</f>
        <v>0</v>
      </c>
      <c r="P319" s="91">
        <f>IF($A319=Recto!$I$42,VLOOKUP($A319,Recto!$I$28:$L$44,4,FALSE),0)</f>
        <v>0</v>
      </c>
      <c r="Q319" s="91">
        <f>IF($A319=Recto!$I$43,VLOOKUP($A319,Recto!$I$28:$L$44,4,FALSE),0)</f>
        <v>0</v>
      </c>
      <c r="R319" s="91">
        <f>IF($A319=Recto!$I$44,VLOOKUP($A319,Recto!$I$28:$L$44,4,FALSE),0)</f>
        <v>0</v>
      </c>
      <c r="S319" s="295">
        <f t="shared" si="9"/>
        <v>0</v>
      </c>
    </row>
    <row r="320" spans="1:19" s="196" customFormat="1" x14ac:dyDescent="0.25">
      <c r="A320" s="136" t="s">
        <v>7775</v>
      </c>
      <c r="B320" s="91">
        <f>IF($A320=Recto!$I$28,VLOOKUP($A320,Recto!$I$28:$L$44,4,FALSE),0)</f>
        <v>0</v>
      </c>
      <c r="C320" s="91">
        <f>IF($A320=Recto!$I$29,VLOOKUP($A320,Recto!$I$28:$L$44,4,FALSE),0)</f>
        <v>0</v>
      </c>
      <c r="D320" s="91">
        <f>IF($A320=Recto!$I$30,VLOOKUP($A320,Recto!$I$28:$L$44,4,FALSE),0)</f>
        <v>0</v>
      </c>
      <c r="E320" s="91">
        <f>IF($A320=Recto!$I$31,VLOOKUP($A320,Recto!$I$28:$L$44,4,FALSE),0)</f>
        <v>0</v>
      </c>
      <c r="F320" s="91">
        <f>IF($A320=Recto!$I$32,VLOOKUP($A320,Recto!$I$28:$L$44,4,FALSE),0)</f>
        <v>0</v>
      </c>
      <c r="G320" s="91">
        <f>IF($A320=Recto!$I$33,VLOOKUP($A320,Recto!$I$28:$L$44,4,FALSE),0)</f>
        <v>0</v>
      </c>
      <c r="H320" s="91">
        <f>IF($A320=Recto!$I$34,VLOOKUP($A320,Recto!$I$28:$L$44,4,FALSE),0)</f>
        <v>0</v>
      </c>
      <c r="I320" s="91">
        <f>IF($A320=Recto!$I$35,VLOOKUP($A320,Recto!$I$28:$L$44,4,FALSE),0)</f>
        <v>0</v>
      </c>
      <c r="J320" s="91">
        <f>IF($A320=Recto!$I$36,VLOOKUP($A320,Recto!$I$28:$L$44,4,FALSE),0)</f>
        <v>0</v>
      </c>
      <c r="K320" s="91">
        <f>IF($A320=Recto!$I$37,VLOOKUP($A320,Recto!$I$28:$L$44,4,FALSE),0)</f>
        <v>0</v>
      </c>
      <c r="L320" s="91">
        <f>IF($A320=Recto!$I$38,VLOOKUP($A320,Recto!$I$28:$L$44,4,FALSE),0)</f>
        <v>0</v>
      </c>
      <c r="M320" s="91">
        <f>IF($A320=Recto!$I$39,VLOOKUP($A320,Recto!$I$28:$L$44,4,FALSE),0)</f>
        <v>0</v>
      </c>
      <c r="N320" s="91">
        <f>IF($A320=Recto!$I$40,VLOOKUP($A320,Recto!$I$28:$L$44,4,FALSE),0)</f>
        <v>0</v>
      </c>
      <c r="O320" s="91">
        <f>IF($A320=Recto!$I$41,VLOOKUP($A320,Recto!$I$28:$L$44,4,FALSE),0)</f>
        <v>0</v>
      </c>
      <c r="P320" s="91">
        <f>IF($A320=Recto!$I$42,VLOOKUP($A320,Recto!$I$28:$L$44,4,FALSE),0)</f>
        <v>0</v>
      </c>
      <c r="Q320" s="91">
        <f>IF($A320=Recto!$I$43,VLOOKUP($A320,Recto!$I$28:$L$44,4,FALSE),0)</f>
        <v>0</v>
      </c>
      <c r="R320" s="91">
        <f>IF($A320=Recto!$I$44,VLOOKUP($A320,Recto!$I$28:$L$44,4,FALSE),0)</f>
        <v>0</v>
      </c>
      <c r="S320" s="295">
        <f t="shared" si="9"/>
        <v>0</v>
      </c>
    </row>
    <row r="321" spans="1:19" x14ac:dyDescent="0.25">
      <c r="A321" s="500" t="s">
        <v>3269</v>
      </c>
      <c r="B321" s="91">
        <f>IF($A321=Recto!$I$28,VLOOKUP($A321,Recto!$I$28:$L$44,4,FALSE),0)</f>
        <v>0</v>
      </c>
      <c r="C321" s="91">
        <f>IF($A321=Recto!$I$29,VLOOKUP($A321,Recto!$I$28:$L$44,4,FALSE),0)</f>
        <v>0</v>
      </c>
      <c r="D321" s="91">
        <f>IF($A321=Recto!$I$30,VLOOKUP($A321,Recto!$I$28:$L$44,4,FALSE),0)</f>
        <v>0</v>
      </c>
      <c r="E321" s="91">
        <f>IF($A321=Recto!$I$31,VLOOKUP($A321,Recto!$I$28:$L$44,4,FALSE),0)</f>
        <v>0</v>
      </c>
      <c r="F321" s="91">
        <f>IF($A321=Recto!$I$32,VLOOKUP($A321,Recto!$I$28:$L$44,4,FALSE),0)</f>
        <v>0</v>
      </c>
      <c r="G321" s="91">
        <f>IF($A321=Recto!$I$33,VLOOKUP($A321,Recto!$I$28:$L$44,4,FALSE),0)</f>
        <v>0</v>
      </c>
      <c r="H321" s="91">
        <f>IF($A321=Recto!$I$34,VLOOKUP($A321,Recto!$I$28:$L$44,4,FALSE),0)</f>
        <v>0</v>
      </c>
      <c r="I321" s="91">
        <f>IF($A321=Recto!$I$35,VLOOKUP($A321,Recto!$I$28:$L$44,4,FALSE),0)</f>
        <v>0</v>
      </c>
      <c r="J321" s="91">
        <f>IF($A321=Recto!$I$36,VLOOKUP($A321,Recto!$I$28:$L$44,4,FALSE),0)</f>
        <v>0</v>
      </c>
      <c r="K321" s="91">
        <f>IF($A321=Recto!$I$37,VLOOKUP($A321,Recto!$I$28:$L$44,4,FALSE),0)</f>
        <v>0</v>
      </c>
      <c r="L321" s="91">
        <f>IF($A321=Recto!$I$38,VLOOKUP($A321,Recto!$I$28:$L$44,4,FALSE),0)</f>
        <v>0</v>
      </c>
      <c r="M321" s="91">
        <f>IF($A321=Recto!$I$39,VLOOKUP($A321,Recto!$I$28:$L$44,4,FALSE),0)</f>
        <v>0</v>
      </c>
      <c r="N321" s="91">
        <f>IF($A321=Recto!$I$40,VLOOKUP($A321,Recto!$I$28:$L$44,4,FALSE),0)</f>
        <v>0</v>
      </c>
      <c r="O321" s="91">
        <f>IF($A321=Recto!$I$41,VLOOKUP($A321,Recto!$I$28:$L$44,4,FALSE),0)</f>
        <v>0</v>
      </c>
      <c r="P321" s="91">
        <f>IF($A321=Recto!$I$42,VLOOKUP($A321,Recto!$I$28:$L$44,4,FALSE),0)</f>
        <v>0</v>
      </c>
      <c r="Q321" s="91">
        <f>IF($A321=Recto!$I$43,VLOOKUP($A321,Recto!$I$28:$L$44,4,FALSE),0)</f>
        <v>0</v>
      </c>
      <c r="R321" s="91">
        <f>IF($A321=Recto!$I$44,VLOOKUP($A321,Recto!$I$28:$L$44,4,FALSE),0)</f>
        <v>0</v>
      </c>
      <c r="S321" s="295">
        <f t="shared" si="9"/>
        <v>0</v>
      </c>
    </row>
    <row r="322" spans="1:19" x14ac:dyDescent="0.25">
      <c r="A322" s="500" t="s">
        <v>3174</v>
      </c>
      <c r="B322" s="91">
        <f>IF($A322=Recto!$I$28,VLOOKUP($A322,Recto!$I$28:$L$44,4,FALSE),0)</f>
        <v>0</v>
      </c>
      <c r="C322" s="91">
        <f>IF($A322=Recto!$I$29,VLOOKUP($A322,Recto!$I$28:$L$44,4,FALSE),0)</f>
        <v>0</v>
      </c>
      <c r="D322" s="91">
        <f>IF($A322=Recto!$I$30,VLOOKUP($A322,Recto!$I$28:$L$44,4,FALSE),0)</f>
        <v>0</v>
      </c>
      <c r="E322" s="91">
        <f>IF($A322=Recto!$I$31,VLOOKUP($A322,Recto!$I$28:$L$44,4,FALSE),0)</f>
        <v>0</v>
      </c>
      <c r="F322" s="91">
        <f>IF($A322=Recto!$I$32,VLOOKUP($A322,Recto!$I$28:$L$44,4,FALSE),0)</f>
        <v>0</v>
      </c>
      <c r="G322" s="91">
        <f>IF($A322=Recto!$I$33,VLOOKUP($A322,Recto!$I$28:$L$44,4,FALSE),0)</f>
        <v>0</v>
      </c>
      <c r="H322" s="91">
        <f>IF($A322=Recto!$I$34,VLOOKUP($A322,Recto!$I$28:$L$44,4,FALSE),0)</f>
        <v>0</v>
      </c>
      <c r="I322" s="91">
        <f>IF($A322=Recto!$I$35,VLOOKUP($A322,Recto!$I$28:$L$44,4,FALSE),0)</f>
        <v>0</v>
      </c>
      <c r="J322" s="91">
        <f>IF($A322=Recto!$I$36,VLOOKUP($A322,Recto!$I$28:$L$44,4,FALSE),0)</f>
        <v>0</v>
      </c>
      <c r="K322" s="91">
        <f>IF($A322=Recto!$I$37,VLOOKUP($A322,Recto!$I$28:$L$44,4,FALSE),0)</f>
        <v>0</v>
      </c>
      <c r="L322" s="91">
        <f>IF($A322=Recto!$I$38,VLOOKUP($A322,Recto!$I$28:$L$44,4,FALSE),0)</f>
        <v>0</v>
      </c>
      <c r="M322" s="91">
        <f>IF($A322=Recto!$I$39,VLOOKUP($A322,Recto!$I$28:$L$44,4,FALSE),0)</f>
        <v>0</v>
      </c>
      <c r="N322" s="91">
        <f>IF($A322=Recto!$I$40,VLOOKUP($A322,Recto!$I$28:$L$44,4,FALSE),0)</f>
        <v>0</v>
      </c>
      <c r="O322" s="91">
        <f>IF($A322=Recto!$I$41,VLOOKUP($A322,Recto!$I$28:$L$44,4,FALSE),0)</f>
        <v>0</v>
      </c>
      <c r="P322" s="91">
        <f>IF($A322=Recto!$I$42,VLOOKUP($A322,Recto!$I$28:$L$44,4,FALSE),0)</f>
        <v>0</v>
      </c>
      <c r="Q322" s="91">
        <f>IF($A322=Recto!$I$43,VLOOKUP($A322,Recto!$I$28:$L$44,4,FALSE),0)</f>
        <v>0</v>
      </c>
      <c r="R322" s="91">
        <f>IF($A322=Recto!$I$44,VLOOKUP($A322,Recto!$I$28:$L$44,4,FALSE),0)</f>
        <v>0</v>
      </c>
      <c r="S322" s="295">
        <f t="shared" si="9"/>
        <v>0</v>
      </c>
    </row>
    <row r="323" spans="1:19" x14ac:dyDescent="0.25">
      <c r="A323" s="500" t="s">
        <v>3213</v>
      </c>
      <c r="B323" s="91">
        <f>IF($A323=Recto!$I$28,VLOOKUP($A323,Recto!$I$28:$L$44,4,FALSE),0)</f>
        <v>0</v>
      </c>
      <c r="C323" s="91">
        <f>IF($A323=Recto!$I$29,VLOOKUP($A323,Recto!$I$28:$L$44,4,FALSE),0)</f>
        <v>0</v>
      </c>
      <c r="D323" s="91">
        <f>IF($A323=Recto!$I$30,VLOOKUP($A323,Recto!$I$28:$L$44,4,FALSE),0)</f>
        <v>0</v>
      </c>
      <c r="E323" s="91">
        <f>IF($A323=Recto!$I$31,VLOOKUP($A323,Recto!$I$28:$L$44,4,FALSE),0)</f>
        <v>0</v>
      </c>
      <c r="F323" s="91">
        <f>IF($A323=Recto!$I$32,VLOOKUP($A323,Recto!$I$28:$L$44,4,FALSE),0)</f>
        <v>0</v>
      </c>
      <c r="G323" s="91">
        <f>IF($A323=Recto!$I$33,VLOOKUP($A323,Recto!$I$28:$L$44,4,FALSE),0)</f>
        <v>0</v>
      </c>
      <c r="H323" s="91">
        <f>IF($A323=Recto!$I$34,VLOOKUP($A323,Recto!$I$28:$L$44,4,FALSE),0)</f>
        <v>0</v>
      </c>
      <c r="I323" s="91">
        <f>IF($A323=Recto!$I$35,VLOOKUP($A323,Recto!$I$28:$L$44,4,FALSE),0)</f>
        <v>0</v>
      </c>
      <c r="J323" s="91">
        <f>IF($A323=Recto!$I$36,VLOOKUP($A323,Recto!$I$28:$L$44,4,FALSE),0)</f>
        <v>0</v>
      </c>
      <c r="K323" s="91">
        <f>IF($A323=Recto!$I$37,VLOOKUP($A323,Recto!$I$28:$L$44,4,FALSE),0)</f>
        <v>0</v>
      </c>
      <c r="L323" s="91">
        <f>IF($A323=Recto!$I$38,VLOOKUP($A323,Recto!$I$28:$L$44,4,FALSE),0)</f>
        <v>0</v>
      </c>
      <c r="M323" s="91">
        <f>IF($A323=Recto!$I$39,VLOOKUP($A323,Recto!$I$28:$L$44,4,FALSE),0)</f>
        <v>0</v>
      </c>
      <c r="N323" s="91">
        <f>IF($A323=Recto!$I$40,VLOOKUP($A323,Recto!$I$28:$L$44,4,FALSE),0)</f>
        <v>0</v>
      </c>
      <c r="O323" s="91">
        <f>IF($A323=Recto!$I$41,VLOOKUP($A323,Recto!$I$28:$L$44,4,FALSE),0)</f>
        <v>0</v>
      </c>
      <c r="P323" s="91">
        <f>IF($A323=Recto!$I$42,VLOOKUP($A323,Recto!$I$28:$L$44,4,FALSE),0)</f>
        <v>0</v>
      </c>
      <c r="Q323" s="91">
        <f>IF($A323=Recto!$I$43,VLOOKUP($A323,Recto!$I$28:$L$44,4,FALSE),0)</f>
        <v>0</v>
      </c>
      <c r="R323" s="91">
        <f>IF($A323=Recto!$I$44,VLOOKUP($A323,Recto!$I$28:$L$44,4,FALSE),0)</f>
        <v>0</v>
      </c>
      <c r="S323" s="295">
        <f t="shared" si="9"/>
        <v>0</v>
      </c>
    </row>
    <row r="324" spans="1:19" x14ac:dyDescent="0.25">
      <c r="A324" s="500" t="s">
        <v>1348</v>
      </c>
      <c r="B324" s="91">
        <f>IF($A324=Recto!$I$28,VLOOKUP($A324,Recto!$I$28:$L$44,4,FALSE),0)</f>
        <v>0</v>
      </c>
      <c r="C324" s="91">
        <f>IF($A324=Recto!$I$29,VLOOKUP($A324,Recto!$I$28:$L$44,4,FALSE),0)</f>
        <v>0</v>
      </c>
      <c r="D324" s="91">
        <f>IF($A324=Recto!$I$30,VLOOKUP($A324,Recto!$I$28:$L$44,4,FALSE),0)</f>
        <v>0</v>
      </c>
      <c r="E324" s="91">
        <f>IF($A324=Recto!$I$31,VLOOKUP($A324,Recto!$I$28:$L$44,4,FALSE),0)</f>
        <v>0</v>
      </c>
      <c r="F324" s="91">
        <f>IF($A324=Recto!$I$32,VLOOKUP($A324,Recto!$I$28:$L$44,4,FALSE),0)</f>
        <v>0</v>
      </c>
      <c r="G324" s="91">
        <f>IF($A324=Recto!$I$33,VLOOKUP($A324,Recto!$I$28:$L$44,4,FALSE),0)</f>
        <v>0</v>
      </c>
      <c r="H324" s="91">
        <f>IF($A324=Recto!$I$34,VLOOKUP($A324,Recto!$I$28:$L$44,4,FALSE),0)</f>
        <v>0</v>
      </c>
      <c r="I324" s="91">
        <f>IF($A324=Recto!$I$35,VLOOKUP($A324,Recto!$I$28:$L$44,4,FALSE),0)</f>
        <v>0</v>
      </c>
      <c r="J324" s="91">
        <f>IF($A324=Recto!$I$36,VLOOKUP($A324,Recto!$I$28:$L$44,4,FALSE),0)</f>
        <v>0</v>
      </c>
      <c r="K324" s="91">
        <f>IF($A324=Recto!$I$37,VLOOKUP($A324,Recto!$I$28:$L$44,4,FALSE),0)</f>
        <v>0</v>
      </c>
      <c r="L324" s="91">
        <f>IF($A324=Recto!$I$38,VLOOKUP($A324,Recto!$I$28:$L$44,4,FALSE),0)</f>
        <v>0</v>
      </c>
      <c r="M324" s="91">
        <f>IF($A324=Recto!$I$39,VLOOKUP($A324,Recto!$I$28:$L$44,4,FALSE),0)</f>
        <v>0</v>
      </c>
      <c r="N324" s="91">
        <f>IF($A324=Recto!$I$40,VLOOKUP($A324,Recto!$I$28:$L$44,4,FALSE),0)</f>
        <v>0</v>
      </c>
      <c r="O324" s="91">
        <f>IF($A324=Recto!$I$41,VLOOKUP($A324,Recto!$I$28:$L$44,4,FALSE),0)</f>
        <v>0</v>
      </c>
      <c r="P324" s="91">
        <f>IF($A324=Recto!$I$42,VLOOKUP($A324,Recto!$I$28:$L$44,4,FALSE),0)</f>
        <v>0</v>
      </c>
      <c r="Q324" s="91">
        <f>IF($A324=Recto!$I$43,VLOOKUP($A324,Recto!$I$28:$L$44,4,FALSE),0)</f>
        <v>0</v>
      </c>
      <c r="R324" s="91">
        <f>IF($A324=Recto!$I$44,VLOOKUP($A324,Recto!$I$28:$L$44,4,FALSE),0)</f>
        <v>0</v>
      </c>
      <c r="S324" s="295">
        <f t="shared" si="9"/>
        <v>0</v>
      </c>
    </row>
    <row r="325" spans="1:19" x14ac:dyDescent="0.25">
      <c r="A325" s="500" t="s">
        <v>1325</v>
      </c>
      <c r="B325" s="91">
        <f>IF($A325=Recto!$I$28,VLOOKUP($A325,Recto!$I$28:$L$44,4,FALSE),0)</f>
        <v>0</v>
      </c>
      <c r="C325" s="91">
        <f>IF($A325=Recto!$I$29,VLOOKUP($A325,Recto!$I$28:$L$44,4,FALSE),0)</f>
        <v>0</v>
      </c>
      <c r="D325" s="91">
        <f>IF($A325=Recto!$I$30,VLOOKUP($A325,Recto!$I$28:$L$44,4,FALSE),0)</f>
        <v>0</v>
      </c>
      <c r="E325" s="91">
        <f>IF($A325=Recto!$I$31,VLOOKUP($A325,Recto!$I$28:$L$44,4,FALSE),0)</f>
        <v>0</v>
      </c>
      <c r="F325" s="91">
        <f>IF($A325=Recto!$I$32,VLOOKUP($A325,Recto!$I$28:$L$44,4,FALSE),0)</f>
        <v>0</v>
      </c>
      <c r="G325" s="91">
        <f>IF($A325=Recto!$I$33,VLOOKUP($A325,Recto!$I$28:$L$44,4,FALSE),0)</f>
        <v>0</v>
      </c>
      <c r="H325" s="91">
        <f>IF($A325=Recto!$I$34,VLOOKUP($A325,Recto!$I$28:$L$44,4,FALSE),0)</f>
        <v>0</v>
      </c>
      <c r="I325" s="91">
        <f>IF($A325=Recto!$I$35,VLOOKUP($A325,Recto!$I$28:$L$44,4,FALSE),0)</f>
        <v>0</v>
      </c>
      <c r="J325" s="91">
        <f>IF($A325=Recto!$I$36,VLOOKUP($A325,Recto!$I$28:$L$44,4,FALSE),0)</f>
        <v>0</v>
      </c>
      <c r="K325" s="91">
        <f>IF($A325=Recto!$I$37,VLOOKUP($A325,Recto!$I$28:$L$44,4,FALSE),0)</f>
        <v>0</v>
      </c>
      <c r="L325" s="91">
        <f>IF($A325=Recto!$I$38,VLOOKUP($A325,Recto!$I$28:$L$44,4,FALSE),0)</f>
        <v>0</v>
      </c>
      <c r="M325" s="91">
        <f>IF($A325=Recto!$I$39,VLOOKUP($A325,Recto!$I$28:$L$44,4,FALSE),0)</f>
        <v>0</v>
      </c>
      <c r="N325" s="91">
        <f>IF($A325=Recto!$I$40,VLOOKUP($A325,Recto!$I$28:$L$44,4,FALSE),0)</f>
        <v>0</v>
      </c>
      <c r="O325" s="91">
        <f>IF($A325=Recto!$I$41,VLOOKUP($A325,Recto!$I$28:$L$44,4,FALSE),0)</f>
        <v>0</v>
      </c>
      <c r="P325" s="91">
        <f>IF($A325=Recto!$I$42,VLOOKUP($A325,Recto!$I$28:$L$44,4,FALSE),0)</f>
        <v>0</v>
      </c>
      <c r="Q325" s="91">
        <f>IF($A325=Recto!$I$43,VLOOKUP($A325,Recto!$I$28:$L$44,4,FALSE),0)</f>
        <v>0</v>
      </c>
      <c r="R325" s="91">
        <f>IF($A325=Recto!$I$44,VLOOKUP($A325,Recto!$I$28:$L$44,4,FALSE),0)</f>
        <v>0</v>
      </c>
      <c r="S325" s="295">
        <f t="shared" si="9"/>
        <v>0</v>
      </c>
    </row>
    <row r="326" spans="1:19" x14ac:dyDescent="0.25">
      <c r="A326" s="500" t="s">
        <v>185</v>
      </c>
      <c r="B326" s="91">
        <f>IF($A326=Recto!$I$28,VLOOKUP($A326,Recto!$I$28:$L$44,4,FALSE),0)</f>
        <v>0</v>
      </c>
      <c r="C326" s="91">
        <f>IF($A326=Recto!$I$29,VLOOKUP($A326,Recto!$I$28:$L$44,4,FALSE),0)</f>
        <v>0</v>
      </c>
      <c r="D326" s="91">
        <f>IF($A326=Recto!$I$30,VLOOKUP($A326,Recto!$I$28:$L$44,4,FALSE),0)</f>
        <v>0</v>
      </c>
      <c r="E326" s="91">
        <f>IF($A326=Recto!$I$31,VLOOKUP($A326,Recto!$I$28:$L$44,4,FALSE),0)</f>
        <v>0</v>
      </c>
      <c r="F326" s="91">
        <f>IF($A326=Recto!$I$32,VLOOKUP($A326,Recto!$I$28:$L$44,4,FALSE),0)</f>
        <v>0</v>
      </c>
      <c r="G326" s="91">
        <f>IF($A326=Recto!$I$33,VLOOKUP($A326,Recto!$I$28:$L$44,4,FALSE),0)</f>
        <v>0</v>
      </c>
      <c r="H326" s="91">
        <f>IF($A326=Recto!$I$34,VLOOKUP($A326,Recto!$I$28:$L$44,4,FALSE),0)</f>
        <v>0</v>
      </c>
      <c r="I326" s="91">
        <f>IF($A326=Recto!$I$35,VLOOKUP($A326,Recto!$I$28:$L$44,4,FALSE),0)</f>
        <v>0</v>
      </c>
      <c r="J326" s="91">
        <f>IF($A326=Recto!$I$36,VLOOKUP($A326,Recto!$I$28:$L$44,4,FALSE),0)</f>
        <v>0</v>
      </c>
      <c r="K326" s="91">
        <f>IF($A326=Recto!$I$37,VLOOKUP($A326,Recto!$I$28:$L$44,4,FALSE),0)</f>
        <v>0</v>
      </c>
      <c r="L326" s="91">
        <f>IF($A326=Recto!$I$38,VLOOKUP($A326,Recto!$I$28:$L$44,4,FALSE),0)</f>
        <v>0</v>
      </c>
      <c r="M326" s="91">
        <f>IF($A326=Recto!$I$39,VLOOKUP($A326,Recto!$I$28:$L$44,4,FALSE),0)</f>
        <v>0</v>
      </c>
      <c r="N326" s="91">
        <f>IF($A326=Recto!$I$40,VLOOKUP($A326,Recto!$I$28:$L$44,4,FALSE),0)</f>
        <v>0</v>
      </c>
      <c r="O326" s="91">
        <f>IF($A326=Recto!$I$41,VLOOKUP($A326,Recto!$I$28:$L$44,4,FALSE),0)</f>
        <v>0</v>
      </c>
      <c r="P326" s="91">
        <f>IF($A326=Recto!$I$42,VLOOKUP($A326,Recto!$I$28:$L$44,4,FALSE),0)</f>
        <v>0</v>
      </c>
      <c r="Q326" s="91">
        <f>IF($A326=Recto!$I$43,VLOOKUP($A326,Recto!$I$28:$L$44,4,FALSE),0)</f>
        <v>0</v>
      </c>
      <c r="R326" s="91">
        <f>IF($A326=Recto!$I$44,VLOOKUP($A326,Recto!$I$28:$L$44,4,FALSE),0)</f>
        <v>0</v>
      </c>
      <c r="S326" s="295">
        <f t="shared" si="9"/>
        <v>0</v>
      </c>
    </row>
    <row r="327" spans="1:19" x14ac:dyDescent="0.25">
      <c r="A327" s="500" t="s">
        <v>1311</v>
      </c>
      <c r="B327" s="91">
        <f>IF($A327=Recto!$I$28,VLOOKUP($A327,Recto!$I$28:$L$44,4,FALSE),0)</f>
        <v>0</v>
      </c>
      <c r="C327" s="91">
        <f>IF($A327=Recto!$I$29,VLOOKUP($A327,Recto!$I$28:$L$44,4,FALSE),0)</f>
        <v>0</v>
      </c>
      <c r="D327" s="91">
        <f>IF($A327=Recto!$I$30,VLOOKUP($A327,Recto!$I$28:$L$44,4,FALSE),0)</f>
        <v>0</v>
      </c>
      <c r="E327" s="91">
        <f>IF($A327=Recto!$I$31,VLOOKUP($A327,Recto!$I$28:$L$44,4,FALSE),0)</f>
        <v>0</v>
      </c>
      <c r="F327" s="91">
        <f>IF($A327=Recto!$I$32,VLOOKUP($A327,Recto!$I$28:$L$44,4,FALSE),0)</f>
        <v>0</v>
      </c>
      <c r="G327" s="91">
        <f>IF($A327=Recto!$I$33,VLOOKUP($A327,Recto!$I$28:$L$44,4,FALSE),0)</f>
        <v>0</v>
      </c>
      <c r="H327" s="91">
        <f>IF($A327=Recto!$I$34,VLOOKUP($A327,Recto!$I$28:$L$44,4,FALSE),0)</f>
        <v>0</v>
      </c>
      <c r="I327" s="91">
        <f>IF($A327=Recto!$I$35,VLOOKUP($A327,Recto!$I$28:$L$44,4,FALSE),0)</f>
        <v>0</v>
      </c>
      <c r="J327" s="91">
        <f>IF($A327=Recto!$I$36,VLOOKUP($A327,Recto!$I$28:$L$44,4,FALSE),0)</f>
        <v>0</v>
      </c>
      <c r="K327" s="91">
        <f>IF($A327=Recto!$I$37,VLOOKUP($A327,Recto!$I$28:$L$44,4,FALSE),0)</f>
        <v>0</v>
      </c>
      <c r="L327" s="91">
        <f>IF($A327=Recto!$I$38,VLOOKUP($A327,Recto!$I$28:$L$44,4,FALSE),0)</f>
        <v>0</v>
      </c>
      <c r="M327" s="91">
        <f>IF($A327=Recto!$I$39,VLOOKUP($A327,Recto!$I$28:$L$44,4,FALSE),0)</f>
        <v>0</v>
      </c>
      <c r="N327" s="91">
        <f>IF($A327=Recto!$I$40,VLOOKUP($A327,Recto!$I$28:$L$44,4,FALSE),0)</f>
        <v>0</v>
      </c>
      <c r="O327" s="91">
        <f>IF($A327=Recto!$I$41,VLOOKUP($A327,Recto!$I$28:$L$44,4,FALSE),0)</f>
        <v>0</v>
      </c>
      <c r="P327" s="91">
        <f>IF($A327=Recto!$I$42,VLOOKUP($A327,Recto!$I$28:$L$44,4,FALSE),0)</f>
        <v>0</v>
      </c>
      <c r="Q327" s="91">
        <f>IF($A327=Recto!$I$43,VLOOKUP($A327,Recto!$I$28:$L$44,4,FALSE),0)</f>
        <v>0</v>
      </c>
      <c r="R327" s="91">
        <f>IF($A327=Recto!$I$44,VLOOKUP($A327,Recto!$I$28:$L$44,4,FALSE),0)</f>
        <v>0</v>
      </c>
      <c r="S327" s="295">
        <f t="shared" si="9"/>
        <v>0</v>
      </c>
    </row>
    <row r="328" spans="1:19" x14ac:dyDescent="0.25">
      <c r="A328" s="500" t="s">
        <v>6361</v>
      </c>
      <c r="B328" s="91">
        <f>IF($A328=Recto!$I$28,VLOOKUP($A328,Recto!$I$28:$L$44,4,FALSE),0)</f>
        <v>0</v>
      </c>
      <c r="C328" s="91">
        <f>IF($A328=Recto!$I$29,VLOOKUP($A328,Recto!$I$28:$L$44,4,FALSE),0)</f>
        <v>0</v>
      </c>
      <c r="D328" s="91">
        <f>IF($A328=Recto!$I$30,VLOOKUP($A328,Recto!$I$28:$L$44,4,FALSE),0)</f>
        <v>0</v>
      </c>
      <c r="E328" s="91">
        <f>IF($A328=Recto!$I$31,VLOOKUP($A328,Recto!$I$28:$L$44,4,FALSE),0)</f>
        <v>0</v>
      </c>
      <c r="F328" s="91">
        <f>IF($A328=Recto!$I$32,VLOOKUP($A328,Recto!$I$28:$L$44,4,FALSE),0)</f>
        <v>0</v>
      </c>
      <c r="G328" s="91">
        <f>IF($A328=Recto!$I$33,VLOOKUP($A328,Recto!$I$28:$L$44,4,FALSE),0)</f>
        <v>0</v>
      </c>
      <c r="H328" s="91">
        <f>IF($A328=Recto!$I$34,VLOOKUP($A328,Recto!$I$28:$L$44,4,FALSE),0)</f>
        <v>0</v>
      </c>
      <c r="I328" s="91">
        <f>IF($A328=Recto!$I$35,VLOOKUP($A328,Recto!$I$28:$L$44,4,FALSE),0)</f>
        <v>0</v>
      </c>
      <c r="J328" s="91">
        <f>IF($A328=Recto!$I$36,VLOOKUP($A328,Recto!$I$28:$L$44,4,FALSE),0)</f>
        <v>0</v>
      </c>
      <c r="K328" s="91">
        <f>IF($A328=Recto!$I$37,VLOOKUP($A328,Recto!$I$28:$L$44,4,FALSE),0)</f>
        <v>0</v>
      </c>
      <c r="L328" s="91">
        <f>IF($A328=Recto!$I$38,VLOOKUP($A328,Recto!$I$28:$L$44,4,FALSE),0)</f>
        <v>0</v>
      </c>
      <c r="M328" s="91">
        <f>IF($A328=Recto!$I$39,VLOOKUP($A328,Recto!$I$28:$L$44,4,FALSE),0)</f>
        <v>0</v>
      </c>
      <c r="N328" s="91">
        <f>IF($A328=Recto!$I$40,VLOOKUP($A328,Recto!$I$28:$L$44,4,FALSE),0)</f>
        <v>0</v>
      </c>
      <c r="O328" s="91">
        <f>IF($A328=Recto!$I$41,VLOOKUP($A328,Recto!$I$28:$L$44,4,FALSE),0)</f>
        <v>0</v>
      </c>
      <c r="P328" s="91">
        <f>IF($A328=Recto!$I$42,VLOOKUP($A328,Recto!$I$28:$L$44,4,FALSE),0)</f>
        <v>0</v>
      </c>
      <c r="Q328" s="91">
        <f>IF($A328=Recto!$I$43,VLOOKUP($A328,Recto!$I$28:$L$44,4,FALSE),0)</f>
        <v>0</v>
      </c>
      <c r="R328" s="91">
        <f>IF($A328=Recto!$I$44,VLOOKUP($A328,Recto!$I$28:$L$44,4,FALSE),0)</f>
        <v>0</v>
      </c>
      <c r="S328" s="295">
        <f t="shared" si="9"/>
        <v>0</v>
      </c>
    </row>
    <row r="329" spans="1:19" x14ac:dyDescent="0.25">
      <c r="A329" s="500" t="s">
        <v>1376</v>
      </c>
      <c r="B329" s="91">
        <f>IF($A329=Recto!$I$28,VLOOKUP($A329,Recto!$I$28:$L$44,4,FALSE),0)</f>
        <v>0</v>
      </c>
      <c r="C329" s="91">
        <f>IF($A329=Recto!$I$29,VLOOKUP($A329,Recto!$I$28:$L$44,4,FALSE),0)</f>
        <v>0</v>
      </c>
      <c r="D329" s="91">
        <f>IF($A329=Recto!$I$30,VLOOKUP($A329,Recto!$I$28:$L$44,4,FALSE),0)</f>
        <v>0</v>
      </c>
      <c r="E329" s="91">
        <f>IF($A329=Recto!$I$31,VLOOKUP($A329,Recto!$I$28:$L$44,4,FALSE),0)</f>
        <v>0</v>
      </c>
      <c r="F329" s="91">
        <f>IF($A329=Recto!$I$32,VLOOKUP($A329,Recto!$I$28:$L$44,4,FALSE),0)</f>
        <v>0</v>
      </c>
      <c r="G329" s="91">
        <f>IF($A329=Recto!$I$33,VLOOKUP($A329,Recto!$I$28:$L$44,4,FALSE),0)</f>
        <v>0</v>
      </c>
      <c r="H329" s="91">
        <f>IF($A329=Recto!$I$34,VLOOKUP($A329,Recto!$I$28:$L$44,4,FALSE),0)</f>
        <v>0</v>
      </c>
      <c r="I329" s="91">
        <f>IF($A329=Recto!$I$35,VLOOKUP($A329,Recto!$I$28:$L$44,4,FALSE),0)</f>
        <v>0</v>
      </c>
      <c r="J329" s="91">
        <f>IF($A329=Recto!$I$36,VLOOKUP($A329,Recto!$I$28:$L$44,4,FALSE),0)</f>
        <v>0</v>
      </c>
      <c r="K329" s="91">
        <f>IF($A329=Recto!$I$37,VLOOKUP($A329,Recto!$I$28:$L$44,4,FALSE),0)</f>
        <v>0</v>
      </c>
      <c r="L329" s="91">
        <f>IF($A329=Recto!$I$38,VLOOKUP($A329,Recto!$I$28:$L$44,4,FALSE),0)</f>
        <v>0</v>
      </c>
      <c r="M329" s="91">
        <f>IF($A329=Recto!$I$39,VLOOKUP($A329,Recto!$I$28:$L$44,4,FALSE),0)</f>
        <v>0</v>
      </c>
      <c r="N329" s="91">
        <f>IF($A329=Recto!$I$40,VLOOKUP($A329,Recto!$I$28:$L$44,4,FALSE),0)</f>
        <v>0</v>
      </c>
      <c r="O329" s="91">
        <f>IF($A329=Recto!$I$41,VLOOKUP($A329,Recto!$I$28:$L$44,4,FALSE),0)</f>
        <v>0</v>
      </c>
      <c r="P329" s="91">
        <f>IF($A329=Recto!$I$42,VLOOKUP($A329,Recto!$I$28:$L$44,4,FALSE),0)</f>
        <v>0</v>
      </c>
      <c r="Q329" s="91">
        <f>IF($A329=Recto!$I$43,VLOOKUP($A329,Recto!$I$28:$L$44,4,FALSE),0)</f>
        <v>0</v>
      </c>
      <c r="R329" s="91">
        <f>IF($A329=Recto!$I$44,VLOOKUP($A329,Recto!$I$28:$L$44,4,FALSE),0)</f>
        <v>0</v>
      </c>
      <c r="S329" s="295">
        <f t="shared" si="9"/>
        <v>0</v>
      </c>
    </row>
    <row r="330" spans="1:19" x14ac:dyDescent="0.25">
      <c r="A330" s="500" t="s">
        <v>3267</v>
      </c>
      <c r="B330" s="91">
        <f>IF($A330=Recto!$I$28,VLOOKUP($A330,Recto!$I$28:$L$44,4,FALSE),0)</f>
        <v>0</v>
      </c>
      <c r="C330" s="91">
        <f>IF($A330=Recto!$I$29,VLOOKUP($A330,Recto!$I$28:$L$44,4,FALSE),0)</f>
        <v>0</v>
      </c>
      <c r="D330" s="91">
        <f>IF($A330=Recto!$I$30,VLOOKUP($A330,Recto!$I$28:$L$44,4,FALSE),0)</f>
        <v>0</v>
      </c>
      <c r="E330" s="91">
        <f>IF($A330=Recto!$I$31,VLOOKUP($A330,Recto!$I$28:$L$44,4,FALSE),0)</f>
        <v>0</v>
      </c>
      <c r="F330" s="91">
        <f>IF($A330=Recto!$I$32,VLOOKUP($A330,Recto!$I$28:$L$44,4,FALSE),0)</f>
        <v>0</v>
      </c>
      <c r="G330" s="91">
        <f>IF($A330=Recto!$I$33,VLOOKUP($A330,Recto!$I$28:$L$44,4,FALSE),0)</f>
        <v>0</v>
      </c>
      <c r="H330" s="91">
        <f>IF($A330=Recto!$I$34,VLOOKUP($A330,Recto!$I$28:$L$44,4,FALSE),0)</f>
        <v>0</v>
      </c>
      <c r="I330" s="91">
        <f>IF($A330=Recto!$I$35,VLOOKUP($A330,Recto!$I$28:$L$44,4,FALSE),0)</f>
        <v>0</v>
      </c>
      <c r="J330" s="91">
        <f>IF($A330=Recto!$I$36,VLOOKUP($A330,Recto!$I$28:$L$44,4,FALSE),0)</f>
        <v>0</v>
      </c>
      <c r="K330" s="91">
        <f>IF($A330=Recto!$I$37,VLOOKUP($A330,Recto!$I$28:$L$44,4,FALSE),0)</f>
        <v>0</v>
      </c>
      <c r="L330" s="91">
        <f>IF($A330=Recto!$I$38,VLOOKUP($A330,Recto!$I$28:$L$44,4,FALSE),0)</f>
        <v>0</v>
      </c>
      <c r="M330" s="91">
        <f>IF($A330=Recto!$I$39,VLOOKUP($A330,Recto!$I$28:$L$44,4,FALSE),0)</f>
        <v>0</v>
      </c>
      <c r="N330" s="91">
        <f>IF($A330=Recto!$I$40,VLOOKUP($A330,Recto!$I$28:$L$44,4,FALSE),0)</f>
        <v>0</v>
      </c>
      <c r="O330" s="91">
        <f>IF($A330=Recto!$I$41,VLOOKUP($A330,Recto!$I$28:$L$44,4,FALSE),0)</f>
        <v>0</v>
      </c>
      <c r="P330" s="91">
        <f>IF($A330=Recto!$I$42,VLOOKUP($A330,Recto!$I$28:$L$44,4,FALSE),0)</f>
        <v>0</v>
      </c>
      <c r="Q330" s="91">
        <f>IF($A330=Recto!$I$43,VLOOKUP($A330,Recto!$I$28:$L$44,4,FALSE),0)</f>
        <v>0</v>
      </c>
      <c r="R330" s="91">
        <f>IF($A330=Recto!$I$44,VLOOKUP($A330,Recto!$I$28:$L$44,4,FALSE),0)</f>
        <v>0</v>
      </c>
      <c r="S330" s="295">
        <f t="shared" si="9"/>
        <v>0</v>
      </c>
    </row>
    <row r="331" spans="1:19" x14ac:dyDescent="0.25">
      <c r="A331" s="500" t="s">
        <v>6003</v>
      </c>
      <c r="B331" s="91">
        <f>IF($A331=Recto!$I$28,VLOOKUP($A331,Recto!$I$28:$L$44,4,FALSE),0)</f>
        <v>0</v>
      </c>
      <c r="C331" s="91">
        <f>IF($A331=Recto!$I$29,VLOOKUP($A331,Recto!$I$28:$L$44,4,FALSE),0)</f>
        <v>0</v>
      </c>
      <c r="D331" s="91">
        <f>IF($A331=Recto!$I$30,VLOOKUP($A331,Recto!$I$28:$L$44,4,FALSE),0)</f>
        <v>0</v>
      </c>
      <c r="E331" s="91">
        <f>IF($A331=Recto!$I$31,VLOOKUP($A331,Recto!$I$28:$L$44,4,FALSE),0)</f>
        <v>0</v>
      </c>
      <c r="F331" s="91">
        <f>IF($A331=Recto!$I$32,VLOOKUP($A331,Recto!$I$28:$L$44,4,FALSE),0)</f>
        <v>0</v>
      </c>
      <c r="G331" s="91">
        <f>IF($A331=Recto!$I$33,VLOOKUP($A331,Recto!$I$28:$L$44,4,FALSE),0)</f>
        <v>0</v>
      </c>
      <c r="H331" s="91">
        <f>IF($A331=Recto!$I$34,VLOOKUP($A331,Recto!$I$28:$L$44,4,FALSE),0)</f>
        <v>0</v>
      </c>
      <c r="I331" s="91">
        <f>IF($A331=Recto!$I$35,VLOOKUP($A331,Recto!$I$28:$L$44,4,FALSE),0)</f>
        <v>0</v>
      </c>
      <c r="J331" s="91">
        <f>IF($A331=Recto!$I$36,VLOOKUP($A331,Recto!$I$28:$L$44,4,FALSE),0)</f>
        <v>0</v>
      </c>
      <c r="K331" s="91">
        <f>IF($A331=Recto!$I$37,VLOOKUP($A331,Recto!$I$28:$L$44,4,FALSE),0)</f>
        <v>0</v>
      </c>
      <c r="L331" s="91">
        <f>IF($A331=Recto!$I$38,VLOOKUP($A331,Recto!$I$28:$L$44,4,FALSE),0)</f>
        <v>0</v>
      </c>
      <c r="M331" s="91">
        <f>IF($A331=Recto!$I$39,VLOOKUP($A331,Recto!$I$28:$L$44,4,FALSE),0)</f>
        <v>0</v>
      </c>
      <c r="N331" s="91">
        <f>IF($A331=Recto!$I$40,VLOOKUP($A331,Recto!$I$28:$L$44,4,FALSE),0)</f>
        <v>0</v>
      </c>
      <c r="O331" s="91">
        <f>IF($A331=Recto!$I$41,VLOOKUP($A331,Recto!$I$28:$L$44,4,FALSE),0)</f>
        <v>0</v>
      </c>
      <c r="P331" s="91">
        <f>IF($A331=Recto!$I$42,VLOOKUP($A331,Recto!$I$28:$L$44,4,FALSE),0)</f>
        <v>0</v>
      </c>
      <c r="Q331" s="91">
        <f>IF($A331=Recto!$I$43,VLOOKUP($A331,Recto!$I$28:$L$44,4,FALSE),0)</f>
        <v>0</v>
      </c>
      <c r="R331" s="91">
        <f>IF($A331=Recto!$I$44,VLOOKUP($A331,Recto!$I$28:$L$44,4,FALSE),0)</f>
        <v>0</v>
      </c>
      <c r="S331" s="295">
        <f t="shared" si="9"/>
        <v>0</v>
      </c>
    </row>
    <row r="332" spans="1:19" s="196" customFormat="1" x14ac:dyDescent="0.25">
      <c r="A332" s="500" t="s">
        <v>7778</v>
      </c>
      <c r="B332" s="91">
        <f>IF($A332=Recto!$I$28,VLOOKUP($A332,Recto!$I$28:$L$44,4,FALSE),0)</f>
        <v>0</v>
      </c>
      <c r="C332" s="91">
        <f>IF($A332=Recto!$I$29,VLOOKUP($A332,Recto!$I$28:$L$44,4,FALSE),0)</f>
        <v>0</v>
      </c>
      <c r="D332" s="91">
        <f>IF($A332=Recto!$I$30,VLOOKUP($A332,Recto!$I$28:$L$44,4,FALSE),0)</f>
        <v>0</v>
      </c>
      <c r="E332" s="91">
        <f>IF($A332=Recto!$I$31,VLOOKUP($A332,Recto!$I$28:$L$44,4,FALSE),0)</f>
        <v>0</v>
      </c>
      <c r="F332" s="91">
        <f>IF($A332=Recto!$I$32,VLOOKUP($A332,Recto!$I$28:$L$44,4,FALSE),0)</f>
        <v>0</v>
      </c>
      <c r="G332" s="91">
        <f>IF($A332=Recto!$I$33,VLOOKUP($A332,Recto!$I$28:$L$44,4,FALSE),0)</f>
        <v>0</v>
      </c>
      <c r="H332" s="91">
        <f>IF($A332=Recto!$I$34,VLOOKUP($A332,Recto!$I$28:$L$44,4,FALSE),0)</f>
        <v>0</v>
      </c>
      <c r="I332" s="91">
        <f>IF($A332=Recto!$I$35,VLOOKUP($A332,Recto!$I$28:$L$44,4,FALSE),0)</f>
        <v>0</v>
      </c>
      <c r="J332" s="91">
        <f>IF($A332=Recto!$I$36,VLOOKUP($A332,Recto!$I$28:$L$44,4,FALSE),0)</f>
        <v>0</v>
      </c>
      <c r="K332" s="91">
        <f>IF($A332=Recto!$I$37,VLOOKUP($A332,Recto!$I$28:$L$44,4,FALSE),0)</f>
        <v>0</v>
      </c>
      <c r="L332" s="91">
        <f>IF($A332=Recto!$I$38,VLOOKUP($A332,Recto!$I$28:$L$44,4,FALSE),0)</f>
        <v>0</v>
      </c>
      <c r="M332" s="91">
        <f>IF($A332=Recto!$I$39,VLOOKUP($A332,Recto!$I$28:$L$44,4,FALSE),0)</f>
        <v>0</v>
      </c>
      <c r="N332" s="91">
        <f>IF($A332=Recto!$I$40,VLOOKUP($A332,Recto!$I$28:$L$44,4,FALSE),0)</f>
        <v>0</v>
      </c>
      <c r="O332" s="91">
        <f>IF($A332=Recto!$I$41,VLOOKUP($A332,Recto!$I$28:$L$44,4,FALSE),0)</f>
        <v>0</v>
      </c>
      <c r="P332" s="91">
        <f>IF($A332=Recto!$I$42,VLOOKUP($A332,Recto!$I$28:$L$44,4,FALSE),0)</f>
        <v>0</v>
      </c>
      <c r="Q332" s="91">
        <f>IF($A332=Recto!$I$43,VLOOKUP($A332,Recto!$I$28:$L$44,4,FALSE),0)</f>
        <v>0</v>
      </c>
      <c r="R332" s="91">
        <f>IF($A332=Recto!$I$44,VLOOKUP($A332,Recto!$I$28:$L$44,4,FALSE),0)</f>
        <v>0</v>
      </c>
      <c r="S332" s="295">
        <f t="shared" si="9"/>
        <v>0</v>
      </c>
    </row>
    <row r="333" spans="1:19" x14ac:dyDescent="0.25">
      <c r="A333" s="500" t="s">
        <v>3215</v>
      </c>
      <c r="B333" s="91">
        <f>IF($A333=Recto!$I$28,VLOOKUP($A333,Recto!$I$28:$L$44,4,FALSE),0)</f>
        <v>0</v>
      </c>
      <c r="C333" s="91">
        <f>IF($A333=Recto!$I$29,VLOOKUP($A333,Recto!$I$28:$L$44,4,FALSE),0)</f>
        <v>0</v>
      </c>
      <c r="D333" s="91">
        <f>IF($A333=Recto!$I$30,VLOOKUP($A333,Recto!$I$28:$L$44,4,FALSE),0)</f>
        <v>0</v>
      </c>
      <c r="E333" s="91">
        <f>IF($A333=Recto!$I$31,VLOOKUP($A333,Recto!$I$28:$L$44,4,FALSE),0)</f>
        <v>0</v>
      </c>
      <c r="F333" s="91">
        <f>IF($A333=Recto!$I$32,VLOOKUP($A333,Recto!$I$28:$L$44,4,FALSE),0)</f>
        <v>0</v>
      </c>
      <c r="G333" s="91">
        <f>IF($A333=Recto!$I$33,VLOOKUP($A333,Recto!$I$28:$L$44,4,FALSE),0)</f>
        <v>0</v>
      </c>
      <c r="H333" s="91">
        <f>IF($A333=Recto!$I$34,VLOOKUP($A333,Recto!$I$28:$L$44,4,FALSE),0)</f>
        <v>0</v>
      </c>
      <c r="I333" s="91">
        <f>IF($A333=Recto!$I$35,VLOOKUP($A333,Recto!$I$28:$L$44,4,FALSE),0)</f>
        <v>0</v>
      </c>
      <c r="J333" s="91">
        <f>IF($A333=Recto!$I$36,VLOOKUP($A333,Recto!$I$28:$L$44,4,FALSE),0)</f>
        <v>0</v>
      </c>
      <c r="K333" s="91">
        <f>IF($A333=Recto!$I$37,VLOOKUP($A333,Recto!$I$28:$L$44,4,FALSE),0)</f>
        <v>0</v>
      </c>
      <c r="L333" s="91">
        <f>IF($A333=Recto!$I$38,VLOOKUP($A333,Recto!$I$28:$L$44,4,FALSE),0)</f>
        <v>0</v>
      </c>
      <c r="M333" s="91">
        <f>IF($A333=Recto!$I$39,VLOOKUP($A333,Recto!$I$28:$L$44,4,FALSE),0)</f>
        <v>0</v>
      </c>
      <c r="N333" s="91">
        <f>IF($A333=Recto!$I$40,VLOOKUP($A333,Recto!$I$28:$L$44,4,FALSE),0)</f>
        <v>0</v>
      </c>
      <c r="O333" s="91">
        <f>IF($A333=Recto!$I$41,VLOOKUP($A333,Recto!$I$28:$L$44,4,FALSE),0)</f>
        <v>0</v>
      </c>
      <c r="P333" s="91">
        <f>IF($A333=Recto!$I$42,VLOOKUP($A333,Recto!$I$28:$L$44,4,FALSE),0)</f>
        <v>0</v>
      </c>
      <c r="Q333" s="91">
        <f>IF($A333=Recto!$I$43,VLOOKUP($A333,Recto!$I$28:$L$44,4,FALSE),0)</f>
        <v>0</v>
      </c>
      <c r="R333" s="91">
        <f>IF($A333=Recto!$I$44,VLOOKUP($A333,Recto!$I$28:$L$44,4,FALSE),0)</f>
        <v>0</v>
      </c>
      <c r="S333" s="295">
        <f t="shared" si="9"/>
        <v>0</v>
      </c>
    </row>
    <row r="334" spans="1:19" s="196" customFormat="1" x14ac:dyDescent="0.25">
      <c r="A334" s="500" t="s">
        <v>7784</v>
      </c>
      <c r="B334" s="91">
        <f>IF($A334=Recto!$I$28,VLOOKUP($A334,Recto!$I$28:$L$44,4,FALSE),0)</f>
        <v>0</v>
      </c>
      <c r="C334" s="91">
        <f>IF($A334=Recto!$I$29,VLOOKUP($A334,Recto!$I$28:$L$44,4,FALSE),0)</f>
        <v>0</v>
      </c>
      <c r="D334" s="91">
        <f>IF($A334=Recto!$I$30,VLOOKUP($A334,Recto!$I$28:$L$44,4,FALSE),0)</f>
        <v>0</v>
      </c>
      <c r="E334" s="91">
        <f>IF($A334=Recto!$I$31,VLOOKUP($A334,Recto!$I$28:$L$44,4,FALSE),0)</f>
        <v>0</v>
      </c>
      <c r="F334" s="91">
        <f>IF($A334=Recto!$I$32,VLOOKUP($A334,Recto!$I$28:$L$44,4,FALSE),0)</f>
        <v>0</v>
      </c>
      <c r="G334" s="91">
        <f>IF($A334=Recto!$I$33,VLOOKUP($A334,Recto!$I$28:$L$44,4,FALSE),0)</f>
        <v>0</v>
      </c>
      <c r="H334" s="91">
        <f>IF($A334=Recto!$I$34,VLOOKUP($A334,Recto!$I$28:$L$44,4,FALSE),0)</f>
        <v>0</v>
      </c>
      <c r="I334" s="91">
        <f>IF($A334=Recto!$I$35,VLOOKUP($A334,Recto!$I$28:$L$44,4,FALSE),0)</f>
        <v>0</v>
      </c>
      <c r="J334" s="91">
        <f>IF($A334=Recto!$I$36,VLOOKUP($A334,Recto!$I$28:$L$44,4,FALSE),0)</f>
        <v>0</v>
      </c>
      <c r="K334" s="91">
        <f>IF($A334=Recto!$I$37,VLOOKUP($A334,Recto!$I$28:$L$44,4,FALSE),0)</f>
        <v>0</v>
      </c>
      <c r="L334" s="91">
        <f>IF($A334=Recto!$I$38,VLOOKUP($A334,Recto!$I$28:$L$44,4,FALSE),0)</f>
        <v>0</v>
      </c>
      <c r="M334" s="91">
        <f>IF($A334=Recto!$I$39,VLOOKUP($A334,Recto!$I$28:$L$44,4,FALSE),0)</f>
        <v>0</v>
      </c>
      <c r="N334" s="91">
        <f>IF($A334=Recto!$I$40,VLOOKUP($A334,Recto!$I$28:$L$44,4,FALSE),0)</f>
        <v>0</v>
      </c>
      <c r="O334" s="91">
        <f>IF($A334=Recto!$I$41,VLOOKUP($A334,Recto!$I$28:$L$44,4,FALSE),0)</f>
        <v>0</v>
      </c>
      <c r="P334" s="91">
        <f>IF($A334=Recto!$I$42,VLOOKUP($A334,Recto!$I$28:$L$44,4,FALSE),0)</f>
        <v>0</v>
      </c>
      <c r="Q334" s="91">
        <f>IF($A334=Recto!$I$43,VLOOKUP($A334,Recto!$I$28:$L$44,4,FALSE),0)</f>
        <v>0</v>
      </c>
      <c r="R334" s="91">
        <f>IF($A334=Recto!$I$44,VLOOKUP($A334,Recto!$I$28:$L$44,4,FALSE),0)</f>
        <v>0</v>
      </c>
      <c r="S334" s="295">
        <f>SUM(B334:R334)</f>
        <v>0</v>
      </c>
    </row>
    <row r="335" spans="1:19" x14ac:dyDescent="0.25">
      <c r="A335" s="500" t="s">
        <v>3181</v>
      </c>
      <c r="B335" s="91">
        <f>IF($A335=Recto!$I$28,VLOOKUP($A335,Recto!$I$28:$L$44,4,FALSE),0)</f>
        <v>0</v>
      </c>
      <c r="C335" s="91">
        <f>IF($A335=Recto!$I$29,VLOOKUP($A335,Recto!$I$28:$L$44,4,FALSE),0)</f>
        <v>0</v>
      </c>
      <c r="D335" s="91">
        <f>IF($A335=Recto!$I$30,VLOOKUP($A335,Recto!$I$28:$L$44,4,FALSE),0)</f>
        <v>0</v>
      </c>
      <c r="E335" s="91">
        <f>IF($A335=Recto!$I$31,VLOOKUP($A335,Recto!$I$28:$L$44,4,FALSE),0)</f>
        <v>0</v>
      </c>
      <c r="F335" s="91">
        <f>IF($A335=Recto!$I$32,VLOOKUP($A335,Recto!$I$28:$L$44,4,FALSE),0)</f>
        <v>0</v>
      </c>
      <c r="G335" s="91">
        <f>IF($A335=Recto!$I$33,VLOOKUP($A335,Recto!$I$28:$L$44,4,FALSE),0)</f>
        <v>0</v>
      </c>
      <c r="H335" s="91">
        <f>IF($A335=Recto!$I$34,VLOOKUP($A335,Recto!$I$28:$L$44,4,FALSE),0)</f>
        <v>0</v>
      </c>
      <c r="I335" s="91">
        <f>IF($A335=Recto!$I$35,VLOOKUP($A335,Recto!$I$28:$L$44,4,FALSE),0)</f>
        <v>0</v>
      </c>
      <c r="J335" s="91">
        <f>IF($A335=Recto!$I$36,VLOOKUP($A335,Recto!$I$28:$L$44,4,FALSE),0)</f>
        <v>0</v>
      </c>
      <c r="K335" s="91">
        <f>IF($A335=Recto!$I$37,VLOOKUP($A335,Recto!$I$28:$L$44,4,FALSE),0)</f>
        <v>0</v>
      </c>
      <c r="L335" s="91">
        <f>IF($A335=Recto!$I$38,VLOOKUP($A335,Recto!$I$28:$L$44,4,FALSE),0)</f>
        <v>0</v>
      </c>
      <c r="M335" s="91">
        <f>IF($A335=Recto!$I$39,VLOOKUP($A335,Recto!$I$28:$L$44,4,FALSE),0)</f>
        <v>0</v>
      </c>
      <c r="N335" s="91">
        <f>IF($A335=Recto!$I$40,VLOOKUP($A335,Recto!$I$28:$L$44,4,FALSE),0)</f>
        <v>0</v>
      </c>
      <c r="O335" s="91">
        <f>IF($A335=Recto!$I$41,VLOOKUP($A335,Recto!$I$28:$L$44,4,FALSE),0)</f>
        <v>0</v>
      </c>
      <c r="P335" s="91">
        <f>IF($A335=Recto!$I$42,VLOOKUP($A335,Recto!$I$28:$L$44,4,FALSE),0)</f>
        <v>0</v>
      </c>
      <c r="Q335" s="91">
        <f>IF($A335=Recto!$I$43,VLOOKUP($A335,Recto!$I$28:$L$44,4,FALSE),0)</f>
        <v>0</v>
      </c>
      <c r="R335" s="91">
        <f>IF($A335=Recto!$I$44,VLOOKUP($A335,Recto!$I$28:$L$44,4,FALSE),0)</f>
        <v>0</v>
      </c>
      <c r="S335" s="295">
        <f t="shared" si="9"/>
        <v>0</v>
      </c>
    </row>
    <row r="336" spans="1:19" x14ac:dyDescent="0.25">
      <c r="A336" s="500" t="s">
        <v>110</v>
      </c>
      <c r="B336" s="91">
        <f>IF($A336=Recto!$I$28,VLOOKUP($A336,Recto!$I$28:$L$44,4,FALSE),0)</f>
        <v>0</v>
      </c>
      <c r="C336" s="91">
        <f>IF($A336=Recto!$I$29,VLOOKUP($A336,Recto!$I$28:$L$44,4,FALSE),0)</f>
        <v>0</v>
      </c>
      <c r="D336" s="91">
        <f>IF($A336=Recto!$I$30,VLOOKUP($A336,Recto!$I$28:$L$44,4,FALSE),0)</f>
        <v>0</v>
      </c>
      <c r="E336" s="91">
        <f>IF($A336=Recto!$I$31,VLOOKUP($A336,Recto!$I$28:$L$44,4,FALSE),0)</f>
        <v>0</v>
      </c>
      <c r="F336" s="91">
        <f>IF($A336=Recto!$I$32,VLOOKUP($A336,Recto!$I$28:$L$44,4,FALSE),0)</f>
        <v>0</v>
      </c>
      <c r="G336" s="91">
        <f>IF($A336=Recto!$I$33,VLOOKUP($A336,Recto!$I$28:$L$44,4,FALSE),0)</f>
        <v>0</v>
      </c>
      <c r="H336" s="91">
        <f>IF($A336=Recto!$I$34,VLOOKUP($A336,Recto!$I$28:$L$44,4,FALSE),0)</f>
        <v>0</v>
      </c>
      <c r="I336" s="91">
        <f>IF($A336=Recto!$I$35,VLOOKUP($A336,Recto!$I$28:$L$44,4,FALSE),0)</f>
        <v>0</v>
      </c>
      <c r="J336" s="91">
        <f>IF($A336=Recto!$I$36,VLOOKUP($A336,Recto!$I$28:$L$44,4,FALSE),0)</f>
        <v>0</v>
      </c>
      <c r="K336" s="91">
        <f>IF($A336=Recto!$I$37,VLOOKUP($A336,Recto!$I$28:$L$44,4,FALSE),0)</f>
        <v>0</v>
      </c>
      <c r="L336" s="91">
        <f>IF($A336=Recto!$I$38,VLOOKUP($A336,Recto!$I$28:$L$44,4,FALSE),0)</f>
        <v>0</v>
      </c>
      <c r="M336" s="91">
        <f>IF($A336=Recto!$I$39,VLOOKUP($A336,Recto!$I$28:$L$44,4,FALSE),0)</f>
        <v>0</v>
      </c>
      <c r="N336" s="91">
        <f>IF($A336=Recto!$I$40,VLOOKUP($A336,Recto!$I$28:$L$44,4,FALSE),0)</f>
        <v>0</v>
      </c>
      <c r="O336" s="91">
        <f>IF($A336=Recto!$I$41,VLOOKUP($A336,Recto!$I$28:$L$44,4,FALSE),0)</f>
        <v>0</v>
      </c>
      <c r="P336" s="91">
        <f>IF($A336=Recto!$I$42,VLOOKUP($A336,Recto!$I$28:$L$44,4,FALSE),0)</f>
        <v>0</v>
      </c>
      <c r="Q336" s="91">
        <f>IF($A336=Recto!$I$43,VLOOKUP($A336,Recto!$I$28:$L$44,4,FALSE),0)</f>
        <v>0</v>
      </c>
      <c r="R336" s="91">
        <f>IF($A336=Recto!$I$44,VLOOKUP($A336,Recto!$I$28:$L$44,4,FALSE),0)</f>
        <v>0</v>
      </c>
      <c r="S336" s="295">
        <f t="shared" si="9"/>
        <v>0</v>
      </c>
    </row>
    <row r="337" spans="1:19" x14ac:dyDescent="0.25">
      <c r="A337" s="500" t="s">
        <v>4447</v>
      </c>
      <c r="B337" s="91">
        <f>IF($A337=Recto!$I$28,VLOOKUP($A337,Recto!$I$28:$L$44,4,FALSE),0)</f>
        <v>0</v>
      </c>
      <c r="C337" s="91">
        <f>IF($A337=Recto!$I$29,VLOOKUP($A337,Recto!$I$28:$L$44,4,FALSE),0)</f>
        <v>0</v>
      </c>
      <c r="D337" s="91">
        <f>IF($A337=Recto!$I$30,VLOOKUP($A337,Recto!$I$28:$L$44,4,FALSE),0)</f>
        <v>0</v>
      </c>
      <c r="E337" s="91">
        <f>IF($A337=Recto!$I$31,VLOOKUP($A337,Recto!$I$28:$L$44,4,FALSE),0)</f>
        <v>0</v>
      </c>
      <c r="F337" s="91">
        <f>IF($A337=Recto!$I$32,VLOOKUP($A337,Recto!$I$28:$L$44,4,FALSE),0)</f>
        <v>0</v>
      </c>
      <c r="G337" s="91">
        <f>IF($A337=Recto!$I$33,VLOOKUP($A337,Recto!$I$28:$L$44,4,FALSE),0)</f>
        <v>0</v>
      </c>
      <c r="H337" s="91">
        <f>IF($A337=Recto!$I$34,VLOOKUP($A337,Recto!$I$28:$L$44,4,FALSE),0)</f>
        <v>0</v>
      </c>
      <c r="I337" s="91">
        <f>IF($A337=Recto!$I$35,VLOOKUP($A337,Recto!$I$28:$L$44,4,FALSE),0)</f>
        <v>0</v>
      </c>
      <c r="J337" s="91">
        <f>IF($A337=Recto!$I$36,VLOOKUP($A337,Recto!$I$28:$L$44,4,FALSE),0)</f>
        <v>0</v>
      </c>
      <c r="K337" s="91">
        <f>IF($A337=Recto!$I$37,VLOOKUP($A337,Recto!$I$28:$L$44,4,FALSE),0)</f>
        <v>0</v>
      </c>
      <c r="L337" s="91">
        <f>IF($A337=Recto!$I$38,VLOOKUP($A337,Recto!$I$28:$L$44,4,FALSE),0)</f>
        <v>0</v>
      </c>
      <c r="M337" s="91">
        <f>IF($A337=Recto!$I$39,VLOOKUP($A337,Recto!$I$28:$L$44,4,FALSE),0)</f>
        <v>0</v>
      </c>
      <c r="N337" s="91">
        <f>IF($A337=Recto!$I$40,VLOOKUP($A337,Recto!$I$28:$L$44,4,FALSE),0)</f>
        <v>0</v>
      </c>
      <c r="O337" s="91">
        <f>IF($A337=Recto!$I$41,VLOOKUP($A337,Recto!$I$28:$L$44,4,FALSE),0)</f>
        <v>0</v>
      </c>
      <c r="P337" s="91">
        <f>IF($A337=Recto!$I$42,VLOOKUP($A337,Recto!$I$28:$L$44,4,FALSE),0)</f>
        <v>0</v>
      </c>
      <c r="Q337" s="91">
        <f>IF($A337=Recto!$I$43,VLOOKUP($A337,Recto!$I$28:$L$44,4,FALSE),0)</f>
        <v>0</v>
      </c>
      <c r="R337" s="91">
        <f>IF($A337=Recto!$I$44,VLOOKUP($A337,Recto!$I$28:$L$44,4,FALSE),0)</f>
        <v>0</v>
      </c>
      <c r="S337" s="295">
        <f t="shared" si="9"/>
        <v>0</v>
      </c>
    </row>
    <row r="338" spans="1:19" x14ac:dyDescent="0.25">
      <c r="A338" s="500" t="s">
        <v>291</v>
      </c>
      <c r="B338" s="91">
        <f>IF($A338=Recto!$I$28,VLOOKUP($A338,Recto!$I$28:$L$44,4,FALSE),0)</f>
        <v>0</v>
      </c>
      <c r="C338" s="91">
        <f>IF($A338=Recto!$I$29,VLOOKUP($A338,Recto!$I$28:$L$44,4,FALSE),0)</f>
        <v>0</v>
      </c>
      <c r="D338" s="91">
        <f>IF($A338=Recto!$I$30,VLOOKUP($A338,Recto!$I$28:$L$44,4,FALSE),0)</f>
        <v>0</v>
      </c>
      <c r="E338" s="91">
        <f>IF($A338=Recto!$I$31,VLOOKUP($A338,Recto!$I$28:$L$44,4,FALSE),0)</f>
        <v>0</v>
      </c>
      <c r="F338" s="91">
        <f>IF($A338=Recto!$I$32,VLOOKUP($A338,Recto!$I$28:$L$44,4,FALSE),0)</f>
        <v>0</v>
      </c>
      <c r="G338" s="91">
        <f>IF($A338=Recto!$I$33,VLOOKUP($A338,Recto!$I$28:$L$44,4,FALSE),0)</f>
        <v>0</v>
      </c>
      <c r="H338" s="91">
        <f>IF($A338=Recto!$I$34,VLOOKUP($A338,Recto!$I$28:$L$44,4,FALSE),0)</f>
        <v>0</v>
      </c>
      <c r="I338" s="91">
        <f>IF($A338=Recto!$I$35,VLOOKUP($A338,Recto!$I$28:$L$44,4,FALSE),0)</f>
        <v>0</v>
      </c>
      <c r="J338" s="91">
        <f>IF($A338=Recto!$I$36,VLOOKUP($A338,Recto!$I$28:$L$44,4,FALSE),0)</f>
        <v>0</v>
      </c>
      <c r="K338" s="91">
        <f>IF($A338=Recto!$I$37,VLOOKUP($A338,Recto!$I$28:$L$44,4,FALSE),0)</f>
        <v>0</v>
      </c>
      <c r="L338" s="91">
        <f>IF($A338=Recto!$I$38,VLOOKUP($A338,Recto!$I$28:$L$44,4,FALSE),0)</f>
        <v>0</v>
      </c>
      <c r="M338" s="91">
        <f>IF($A338=Recto!$I$39,VLOOKUP($A338,Recto!$I$28:$L$44,4,FALSE),0)</f>
        <v>0</v>
      </c>
      <c r="N338" s="91">
        <f>IF($A338=Recto!$I$40,VLOOKUP($A338,Recto!$I$28:$L$44,4,FALSE),0)</f>
        <v>0</v>
      </c>
      <c r="O338" s="91">
        <f>IF($A338=Recto!$I$41,VLOOKUP($A338,Recto!$I$28:$L$44,4,FALSE),0)</f>
        <v>0</v>
      </c>
      <c r="P338" s="91">
        <f>IF($A338=Recto!$I$42,VLOOKUP($A338,Recto!$I$28:$L$44,4,FALSE),0)</f>
        <v>0</v>
      </c>
      <c r="Q338" s="91">
        <f>IF($A338=Recto!$I$43,VLOOKUP($A338,Recto!$I$28:$L$44,4,FALSE),0)</f>
        <v>0</v>
      </c>
      <c r="R338" s="91">
        <f>IF($A338=Recto!$I$44,VLOOKUP($A338,Recto!$I$28:$L$44,4,FALSE),0)</f>
        <v>0</v>
      </c>
      <c r="S338" s="295">
        <f t="shared" si="9"/>
        <v>0</v>
      </c>
    </row>
    <row r="339" spans="1:19" x14ac:dyDescent="0.25">
      <c r="A339" s="500" t="s">
        <v>1315</v>
      </c>
      <c r="B339" s="91">
        <f>IF($A339=Recto!$I$28,VLOOKUP($A339,Recto!$I$28:$L$44,4,FALSE),0)</f>
        <v>0</v>
      </c>
      <c r="C339" s="91">
        <f>IF($A339=Recto!$I$29,VLOOKUP($A339,Recto!$I$28:$L$44,4,FALSE),0)</f>
        <v>0</v>
      </c>
      <c r="D339" s="91">
        <f>IF($A339=Recto!$I$30,VLOOKUP($A339,Recto!$I$28:$L$44,4,FALSE),0)</f>
        <v>0</v>
      </c>
      <c r="E339" s="91">
        <f>IF($A339=Recto!$I$31,VLOOKUP($A339,Recto!$I$28:$L$44,4,FALSE),0)</f>
        <v>0</v>
      </c>
      <c r="F339" s="91">
        <f>IF($A339=Recto!$I$32,VLOOKUP($A339,Recto!$I$28:$L$44,4,FALSE),0)</f>
        <v>0</v>
      </c>
      <c r="G339" s="91">
        <f>IF($A339=Recto!$I$33,VLOOKUP($A339,Recto!$I$28:$L$44,4,FALSE),0)</f>
        <v>0</v>
      </c>
      <c r="H339" s="91">
        <f>IF($A339=Recto!$I$34,VLOOKUP($A339,Recto!$I$28:$L$44,4,FALSE),0)</f>
        <v>0</v>
      </c>
      <c r="I339" s="91">
        <f>IF($A339=Recto!$I$35,VLOOKUP($A339,Recto!$I$28:$L$44,4,FALSE),0)</f>
        <v>0</v>
      </c>
      <c r="J339" s="91">
        <f>IF($A339=Recto!$I$36,VLOOKUP($A339,Recto!$I$28:$L$44,4,FALSE),0)</f>
        <v>0</v>
      </c>
      <c r="K339" s="91">
        <f>IF($A339=Recto!$I$37,VLOOKUP($A339,Recto!$I$28:$L$44,4,FALSE),0)</f>
        <v>0</v>
      </c>
      <c r="L339" s="91">
        <f>IF($A339=Recto!$I$38,VLOOKUP($A339,Recto!$I$28:$L$44,4,FALSE),0)</f>
        <v>0</v>
      </c>
      <c r="M339" s="91">
        <f>IF($A339=Recto!$I$39,VLOOKUP($A339,Recto!$I$28:$L$44,4,FALSE),0)</f>
        <v>0</v>
      </c>
      <c r="N339" s="91">
        <f>IF($A339=Recto!$I$40,VLOOKUP($A339,Recto!$I$28:$L$44,4,FALSE),0)</f>
        <v>0</v>
      </c>
      <c r="O339" s="91">
        <f>IF($A339=Recto!$I$41,VLOOKUP($A339,Recto!$I$28:$L$44,4,FALSE),0)</f>
        <v>0</v>
      </c>
      <c r="P339" s="91">
        <f>IF($A339=Recto!$I$42,VLOOKUP($A339,Recto!$I$28:$L$44,4,FALSE),0)</f>
        <v>0</v>
      </c>
      <c r="Q339" s="91">
        <f>IF($A339=Recto!$I$43,VLOOKUP($A339,Recto!$I$28:$L$44,4,FALSE),0)</f>
        <v>0</v>
      </c>
      <c r="R339" s="91">
        <f>IF($A339=Recto!$I$44,VLOOKUP($A339,Recto!$I$28:$L$44,4,FALSE),0)</f>
        <v>0</v>
      </c>
      <c r="S339" s="295">
        <f t="shared" si="9"/>
        <v>0</v>
      </c>
    </row>
    <row r="340" spans="1:19" x14ac:dyDescent="0.25">
      <c r="A340" s="500" t="s">
        <v>3214</v>
      </c>
      <c r="B340" s="91">
        <f>IF($A340=Recto!$I$28,VLOOKUP($A340,Recto!$I$28:$L$44,4,FALSE),0)</f>
        <v>0</v>
      </c>
      <c r="C340" s="91">
        <f>IF($A340=Recto!$I$29,VLOOKUP($A340,Recto!$I$28:$L$44,4,FALSE),0)</f>
        <v>0</v>
      </c>
      <c r="D340" s="91">
        <f>IF($A340=Recto!$I$30,VLOOKUP($A340,Recto!$I$28:$L$44,4,FALSE),0)</f>
        <v>0</v>
      </c>
      <c r="E340" s="91">
        <f>IF($A340=Recto!$I$31,VLOOKUP($A340,Recto!$I$28:$L$44,4,FALSE),0)</f>
        <v>0</v>
      </c>
      <c r="F340" s="91">
        <f>IF($A340=Recto!$I$32,VLOOKUP($A340,Recto!$I$28:$L$44,4,FALSE),0)</f>
        <v>0</v>
      </c>
      <c r="G340" s="91">
        <f>IF($A340=Recto!$I$33,VLOOKUP($A340,Recto!$I$28:$L$44,4,FALSE),0)</f>
        <v>0</v>
      </c>
      <c r="H340" s="91">
        <f>IF($A340=Recto!$I$34,VLOOKUP($A340,Recto!$I$28:$L$44,4,FALSE),0)</f>
        <v>0</v>
      </c>
      <c r="I340" s="91">
        <f>IF($A340=Recto!$I$35,VLOOKUP($A340,Recto!$I$28:$L$44,4,FALSE),0)</f>
        <v>0</v>
      </c>
      <c r="J340" s="91">
        <f>IF($A340=Recto!$I$36,VLOOKUP($A340,Recto!$I$28:$L$44,4,FALSE),0)</f>
        <v>0</v>
      </c>
      <c r="K340" s="91">
        <f>IF($A340=Recto!$I$37,VLOOKUP($A340,Recto!$I$28:$L$44,4,FALSE),0)</f>
        <v>0</v>
      </c>
      <c r="L340" s="91">
        <f>IF($A340=Recto!$I$38,VLOOKUP($A340,Recto!$I$28:$L$44,4,FALSE),0)</f>
        <v>0</v>
      </c>
      <c r="M340" s="91">
        <f>IF($A340=Recto!$I$39,VLOOKUP($A340,Recto!$I$28:$L$44,4,FALSE),0)</f>
        <v>0</v>
      </c>
      <c r="N340" s="91">
        <f>IF($A340=Recto!$I$40,VLOOKUP($A340,Recto!$I$28:$L$44,4,FALSE),0)</f>
        <v>0</v>
      </c>
      <c r="O340" s="91">
        <f>IF($A340=Recto!$I$41,VLOOKUP($A340,Recto!$I$28:$L$44,4,FALSE),0)</f>
        <v>0</v>
      </c>
      <c r="P340" s="91">
        <f>IF($A340=Recto!$I$42,VLOOKUP($A340,Recto!$I$28:$L$44,4,FALSE),0)</f>
        <v>0</v>
      </c>
      <c r="Q340" s="91">
        <f>IF($A340=Recto!$I$43,VLOOKUP($A340,Recto!$I$28:$L$44,4,FALSE),0)</f>
        <v>0</v>
      </c>
      <c r="R340" s="91">
        <f>IF($A340=Recto!$I$44,VLOOKUP($A340,Recto!$I$28:$L$44,4,FALSE),0)</f>
        <v>0</v>
      </c>
      <c r="S340" s="295">
        <f t="shared" si="9"/>
        <v>0</v>
      </c>
    </row>
    <row r="341" spans="1:19" x14ac:dyDescent="0.25">
      <c r="A341" s="500" t="s">
        <v>6000</v>
      </c>
      <c r="B341" s="91">
        <f>IF($A341=Recto!$I$28,VLOOKUP($A341,Recto!$I$28:$L$44,4,FALSE),0)</f>
        <v>0</v>
      </c>
      <c r="C341" s="91">
        <f>IF($A341=Recto!$I$29,VLOOKUP($A341,Recto!$I$28:$L$44,4,FALSE),0)</f>
        <v>0</v>
      </c>
      <c r="D341" s="91">
        <f>IF($A341=Recto!$I$30,VLOOKUP($A341,Recto!$I$28:$L$44,4,FALSE),0)</f>
        <v>0</v>
      </c>
      <c r="E341" s="91">
        <f>IF($A341=Recto!$I$31,VLOOKUP($A341,Recto!$I$28:$L$44,4,FALSE),0)</f>
        <v>0</v>
      </c>
      <c r="F341" s="91">
        <f>IF($A341=Recto!$I$32,VLOOKUP($A341,Recto!$I$28:$L$44,4,FALSE),0)</f>
        <v>0</v>
      </c>
      <c r="G341" s="91">
        <f>IF($A341=Recto!$I$33,VLOOKUP($A341,Recto!$I$28:$L$44,4,FALSE),0)</f>
        <v>0</v>
      </c>
      <c r="H341" s="91">
        <f>IF($A341=Recto!$I$34,VLOOKUP($A341,Recto!$I$28:$L$44,4,FALSE),0)</f>
        <v>0</v>
      </c>
      <c r="I341" s="91">
        <f>IF($A341=Recto!$I$35,VLOOKUP($A341,Recto!$I$28:$L$44,4,FALSE),0)</f>
        <v>0</v>
      </c>
      <c r="J341" s="91">
        <f>IF($A341=Recto!$I$36,VLOOKUP($A341,Recto!$I$28:$L$44,4,FALSE),0)</f>
        <v>0</v>
      </c>
      <c r="K341" s="91">
        <f>IF($A341=Recto!$I$37,VLOOKUP($A341,Recto!$I$28:$L$44,4,FALSE),0)</f>
        <v>0</v>
      </c>
      <c r="L341" s="91">
        <f>IF($A341=Recto!$I$38,VLOOKUP($A341,Recto!$I$28:$L$44,4,FALSE),0)</f>
        <v>0</v>
      </c>
      <c r="M341" s="91">
        <f>IF($A341=Recto!$I$39,VLOOKUP($A341,Recto!$I$28:$L$44,4,FALSE),0)</f>
        <v>0</v>
      </c>
      <c r="N341" s="91">
        <f>IF($A341=Recto!$I$40,VLOOKUP($A341,Recto!$I$28:$L$44,4,FALSE),0)</f>
        <v>0</v>
      </c>
      <c r="O341" s="91">
        <f>IF($A341=Recto!$I$41,VLOOKUP($A341,Recto!$I$28:$L$44,4,FALSE),0)</f>
        <v>0</v>
      </c>
      <c r="P341" s="91">
        <f>IF($A341=Recto!$I$42,VLOOKUP($A341,Recto!$I$28:$L$44,4,FALSE),0)</f>
        <v>0</v>
      </c>
      <c r="Q341" s="91">
        <f>IF($A341=Recto!$I$43,VLOOKUP($A341,Recto!$I$28:$L$44,4,FALSE),0)</f>
        <v>0</v>
      </c>
      <c r="R341" s="91">
        <f>IF($A341=Recto!$I$44,VLOOKUP($A341,Recto!$I$28:$L$44,4,FALSE),0)</f>
        <v>0</v>
      </c>
      <c r="S341" s="295">
        <f t="shared" si="9"/>
        <v>0</v>
      </c>
    </row>
    <row r="342" spans="1:19" x14ac:dyDescent="0.25">
      <c r="A342" s="500" t="s">
        <v>393</v>
      </c>
      <c r="B342" s="91">
        <f>IF($A342=Recto!$I$28,VLOOKUP($A342,Recto!$I$28:$L$44,4,FALSE),0)</f>
        <v>0</v>
      </c>
      <c r="C342" s="91">
        <f>IF($A342=Recto!$I$29,VLOOKUP($A342,Recto!$I$28:$L$44,4,FALSE),0)</f>
        <v>0</v>
      </c>
      <c r="D342" s="91">
        <f>IF($A342=Recto!$I$30,VLOOKUP($A342,Recto!$I$28:$L$44,4,FALSE),0)</f>
        <v>0</v>
      </c>
      <c r="E342" s="91">
        <f>IF($A342=Recto!$I$31,VLOOKUP($A342,Recto!$I$28:$L$44,4,FALSE),0)</f>
        <v>0</v>
      </c>
      <c r="F342" s="91">
        <f>IF($A342=Recto!$I$32,VLOOKUP($A342,Recto!$I$28:$L$44,4,FALSE),0)</f>
        <v>0</v>
      </c>
      <c r="G342" s="91">
        <f>IF($A342=Recto!$I$33,VLOOKUP($A342,Recto!$I$28:$L$44,4,FALSE),0)</f>
        <v>0</v>
      </c>
      <c r="H342" s="91">
        <f>IF($A342=Recto!$I$34,VLOOKUP($A342,Recto!$I$28:$L$44,4,FALSE),0)</f>
        <v>0</v>
      </c>
      <c r="I342" s="91">
        <f>IF($A342=Recto!$I$35,VLOOKUP($A342,Recto!$I$28:$L$44,4,FALSE),0)</f>
        <v>0</v>
      </c>
      <c r="J342" s="91">
        <f>IF($A342=Recto!$I$36,VLOOKUP($A342,Recto!$I$28:$L$44,4,FALSE),0)</f>
        <v>0</v>
      </c>
      <c r="K342" s="91">
        <f>IF($A342=Recto!$I$37,VLOOKUP($A342,Recto!$I$28:$L$44,4,FALSE),0)</f>
        <v>0</v>
      </c>
      <c r="L342" s="91">
        <f>IF($A342=Recto!$I$38,VLOOKUP($A342,Recto!$I$28:$L$44,4,FALSE),0)</f>
        <v>0</v>
      </c>
      <c r="M342" s="91">
        <f>IF($A342=Recto!$I$39,VLOOKUP($A342,Recto!$I$28:$L$44,4,FALSE),0)</f>
        <v>0</v>
      </c>
      <c r="N342" s="91">
        <f>IF($A342=Recto!$I$40,VLOOKUP($A342,Recto!$I$28:$L$44,4,FALSE),0)</f>
        <v>0</v>
      </c>
      <c r="O342" s="91">
        <f>IF($A342=Recto!$I$41,VLOOKUP($A342,Recto!$I$28:$L$44,4,FALSE),0)</f>
        <v>0</v>
      </c>
      <c r="P342" s="91">
        <f>IF($A342=Recto!$I$42,VLOOKUP($A342,Recto!$I$28:$L$44,4,FALSE),0)</f>
        <v>0</v>
      </c>
      <c r="Q342" s="91">
        <f>IF($A342=Recto!$I$43,VLOOKUP($A342,Recto!$I$28:$L$44,4,FALSE),0)</f>
        <v>0</v>
      </c>
      <c r="R342" s="91">
        <f>IF($A342=Recto!$I$44,VLOOKUP($A342,Recto!$I$28:$L$44,4,FALSE),0)</f>
        <v>0</v>
      </c>
      <c r="S342" s="295">
        <f t="shared" si="9"/>
        <v>0</v>
      </c>
    </row>
    <row r="343" spans="1:19" x14ac:dyDescent="0.25">
      <c r="A343" s="500" t="s">
        <v>3280</v>
      </c>
      <c r="B343" s="91">
        <f>IF($A343=Recto!$I$28,VLOOKUP($A343,Recto!$I$28:$L$44,4,FALSE),0)</f>
        <v>0</v>
      </c>
      <c r="C343" s="91">
        <f>IF($A343=Recto!$I$29,VLOOKUP($A343,Recto!$I$28:$L$44,4,FALSE),0)</f>
        <v>0</v>
      </c>
      <c r="D343" s="91">
        <f>IF($A343=Recto!$I$30,VLOOKUP($A343,Recto!$I$28:$L$44,4,FALSE),0)</f>
        <v>0</v>
      </c>
      <c r="E343" s="91">
        <f>IF($A343=Recto!$I$31,VLOOKUP($A343,Recto!$I$28:$L$44,4,FALSE),0)</f>
        <v>0</v>
      </c>
      <c r="F343" s="91">
        <f>IF($A343=Recto!$I$32,VLOOKUP($A343,Recto!$I$28:$L$44,4,FALSE),0)</f>
        <v>0</v>
      </c>
      <c r="G343" s="91">
        <f>IF($A343=Recto!$I$33,VLOOKUP($A343,Recto!$I$28:$L$44,4,FALSE),0)</f>
        <v>0</v>
      </c>
      <c r="H343" s="91">
        <f>IF($A343=Recto!$I$34,VLOOKUP($A343,Recto!$I$28:$L$44,4,FALSE),0)</f>
        <v>0</v>
      </c>
      <c r="I343" s="91">
        <f>IF($A343=Recto!$I$35,VLOOKUP($A343,Recto!$I$28:$L$44,4,FALSE),0)</f>
        <v>0</v>
      </c>
      <c r="J343" s="91">
        <f>IF($A343=Recto!$I$36,VLOOKUP($A343,Recto!$I$28:$L$44,4,FALSE),0)</f>
        <v>0</v>
      </c>
      <c r="K343" s="91">
        <f>IF($A343=Recto!$I$37,VLOOKUP($A343,Recto!$I$28:$L$44,4,FALSE),0)</f>
        <v>0</v>
      </c>
      <c r="L343" s="91">
        <f>IF($A343=Recto!$I$38,VLOOKUP($A343,Recto!$I$28:$L$44,4,FALSE),0)</f>
        <v>0</v>
      </c>
      <c r="M343" s="91">
        <f>IF($A343=Recto!$I$39,VLOOKUP($A343,Recto!$I$28:$L$44,4,FALSE),0)</f>
        <v>0</v>
      </c>
      <c r="N343" s="91">
        <f>IF($A343=Recto!$I$40,VLOOKUP($A343,Recto!$I$28:$L$44,4,FALSE),0)</f>
        <v>0</v>
      </c>
      <c r="O343" s="91">
        <f>IF($A343=Recto!$I$41,VLOOKUP($A343,Recto!$I$28:$L$44,4,FALSE),0)</f>
        <v>0</v>
      </c>
      <c r="P343" s="91">
        <f>IF($A343=Recto!$I$42,VLOOKUP($A343,Recto!$I$28:$L$44,4,FALSE),0)</f>
        <v>0</v>
      </c>
      <c r="Q343" s="91">
        <f>IF($A343=Recto!$I$43,VLOOKUP($A343,Recto!$I$28:$L$44,4,FALSE),0)</f>
        <v>0</v>
      </c>
      <c r="R343" s="91">
        <f>IF($A343=Recto!$I$44,VLOOKUP($A343,Recto!$I$28:$L$44,4,FALSE),0)</f>
        <v>0</v>
      </c>
      <c r="S343" s="295">
        <f t="shared" si="9"/>
        <v>0</v>
      </c>
    </row>
    <row r="344" spans="1:19" x14ac:dyDescent="0.25">
      <c r="A344" s="500" t="s">
        <v>1382</v>
      </c>
      <c r="B344" s="91">
        <f>IF($A344=Recto!$I$28,VLOOKUP($A344,Recto!$I$28:$L$44,4,FALSE),0)</f>
        <v>0</v>
      </c>
      <c r="C344" s="91">
        <f>IF($A344=Recto!$I$29,VLOOKUP($A344,Recto!$I$28:$L$44,4,FALSE),0)</f>
        <v>0</v>
      </c>
      <c r="D344" s="91">
        <f>IF($A344=Recto!$I$30,VLOOKUP($A344,Recto!$I$28:$L$44,4,FALSE),0)</f>
        <v>0</v>
      </c>
      <c r="E344" s="91">
        <f>IF($A344=Recto!$I$31,VLOOKUP($A344,Recto!$I$28:$L$44,4,FALSE),0)</f>
        <v>0</v>
      </c>
      <c r="F344" s="91">
        <f>IF($A344=Recto!$I$32,VLOOKUP($A344,Recto!$I$28:$L$44,4,FALSE),0)</f>
        <v>0</v>
      </c>
      <c r="G344" s="91">
        <f>IF($A344=Recto!$I$33,VLOOKUP($A344,Recto!$I$28:$L$44,4,FALSE),0)</f>
        <v>0</v>
      </c>
      <c r="H344" s="91">
        <f>IF($A344=Recto!$I$34,VLOOKUP($A344,Recto!$I$28:$L$44,4,FALSE),0)</f>
        <v>0</v>
      </c>
      <c r="I344" s="91">
        <f>IF($A344=Recto!$I$35,VLOOKUP($A344,Recto!$I$28:$L$44,4,FALSE),0)</f>
        <v>0</v>
      </c>
      <c r="J344" s="91">
        <f>IF($A344=Recto!$I$36,VLOOKUP($A344,Recto!$I$28:$L$44,4,FALSE),0)</f>
        <v>0</v>
      </c>
      <c r="K344" s="91">
        <f>IF($A344=Recto!$I$37,VLOOKUP($A344,Recto!$I$28:$L$44,4,FALSE),0)</f>
        <v>0</v>
      </c>
      <c r="L344" s="91">
        <f>IF($A344=Recto!$I$38,VLOOKUP($A344,Recto!$I$28:$L$44,4,FALSE),0)</f>
        <v>0</v>
      </c>
      <c r="M344" s="91">
        <f>IF($A344=Recto!$I$39,VLOOKUP($A344,Recto!$I$28:$L$44,4,FALSE),0)</f>
        <v>0</v>
      </c>
      <c r="N344" s="91">
        <f>IF($A344=Recto!$I$40,VLOOKUP($A344,Recto!$I$28:$L$44,4,FALSE),0)</f>
        <v>0</v>
      </c>
      <c r="O344" s="91">
        <f>IF($A344=Recto!$I$41,VLOOKUP($A344,Recto!$I$28:$L$44,4,FALSE),0)</f>
        <v>0</v>
      </c>
      <c r="P344" s="91">
        <f>IF($A344=Recto!$I$42,VLOOKUP($A344,Recto!$I$28:$L$44,4,FALSE),0)</f>
        <v>0</v>
      </c>
      <c r="Q344" s="91">
        <f>IF($A344=Recto!$I$43,VLOOKUP($A344,Recto!$I$28:$L$44,4,FALSE),0)</f>
        <v>0</v>
      </c>
      <c r="R344" s="91">
        <f>IF($A344=Recto!$I$44,VLOOKUP($A344,Recto!$I$28:$L$44,4,FALSE),0)</f>
        <v>0</v>
      </c>
      <c r="S344" s="295">
        <f t="shared" si="9"/>
        <v>0</v>
      </c>
    </row>
    <row r="345" spans="1:19" x14ac:dyDescent="0.25">
      <c r="A345" s="500" t="s">
        <v>340</v>
      </c>
      <c r="B345" s="91">
        <f>IF($A345=Recto!$I$28,VLOOKUP($A345,Recto!$I$28:$L$44,4,FALSE),0)</f>
        <v>0</v>
      </c>
      <c r="C345" s="91">
        <f>IF($A345=Recto!$I$29,VLOOKUP($A345,Recto!$I$28:$L$44,4,FALSE),0)</f>
        <v>0</v>
      </c>
      <c r="D345" s="91">
        <f>IF($A345=Recto!$I$30,VLOOKUP($A345,Recto!$I$28:$L$44,4,FALSE),0)</f>
        <v>0</v>
      </c>
      <c r="E345" s="91">
        <f>IF($A345=Recto!$I$31,VLOOKUP($A345,Recto!$I$28:$L$44,4,FALSE),0)</f>
        <v>0</v>
      </c>
      <c r="F345" s="91">
        <f>IF($A345=Recto!$I$32,VLOOKUP($A345,Recto!$I$28:$L$44,4,FALSE),0)</f>
        <v>0</v>
      </c>
      <c r="G345" s="91">
        <f>IF($A345=Recto!$I$33,VLOOKUP($A345,Recto!$I$28:$L$44,4,FALSE),0)</f>
        <v>0</v>
      </c>
      <c r="H345" s="91">
        <f>IF($A345=Recto!$I$34,VLOOKUP($A345,Recto!$I$28:$L$44,4,FALSE),0)</f>
        <v>0</v>
      </c>
      <c r="I345" s="91">
        <f>IF($A345=Recto!$I$35,VLOOKUP($A345,Recto!$I$28:$L$44,4,FALSE),0)</f>
        <v>0</v>
      </c>
      <c r="J345" s="91">
        <f>IF($A345=Recto!$I$36,VLOOKUP($A345,Recto!$I$28:$L$44,4,FALSE),0)</f>
        <v>0</v>
      </c>
      <c r="K345" s="91">
        <f>IF($A345=Recto!$I$37,VLOOKUP($A345,Recto!$I$28:$L$44,4,FALSE),0)</f>
        <v>0</v>
      </c>
      <c r="L345" s="91">
        <f>IF($A345=Recto!$I$38,VLOOKUP($A345,Recto!$I$28:$L$44,4,FALSE),0)</f>
        <v>0</v>
      </c>
      <c r="M345" s="91">
        <f>IF($A345=Recto!$I$39,VLOOKUP($A345,Recto!$I$28:$L$44,4,FALSE),0)</f>
        <v>0</v>
      </c>
      <c r="N345" s="91">
        <f>IF($A345=Recto!$I$40,VLOOKUP($A345,Recto!$I$28:$L$44,4,FALSE),0)</f>
        <v>0</v>
      </c>
      <c r="O345" s="91">
        <f>IF($A345=Recto!$I$41,VLOOKUP($A345,Recto!$I$28:$L$44,4,FALSE),0)</f>
        <v>0</v>
      </c>
      <c r="P345" s="91">
        <f>IF($A345=Recto!$I$42,VLOOKUP($A345,Recto!$I$28:$L$44,4,FALSE),0)</f>
        <v>0</v>
      </c>
      <c r="Q345" s="91">
        <f>IF($A345=Recto!$I$43,VLOOKUP($A345,Recto!$I$28:$L$44,4,FALSE),0)</f>
        <v>0</v>
      </c>
      <c r="R345" s="91">
        <f>IF($A345=Recto!$I$44,VLOOKUP($A345,Recto!$I$28:$L$44,4,FALSE),0)</f>
        <v>0</v>
      </c>
      <c r="S345" s="295">
        <f t="shared" si="9"/>
        <v>0</v>
      </c>
    </row>
    <row r="346" spans="1:19" x14ac:dyDescent="0.25">
      <c r="A346" s="500" t="s">
        <v>1339</v>
      </c>
      <c r="B346" s="91">
        <f>IF($A346=Recto!$I$28,VLOOKUP($A346,Recto!$I$28:$L$44,4,FALSE),0)</f>
        <v>0</v>
      </c>
      <c r="C346" s="91">
        <f>IF($A346=Recto!$I$29,VLOOKUP($A346,Recto!$I$28:$L$44,4,FALSE),0)</f>
        <v>0</v>
      </c>
      <c r="D346" s="91">
        <f>IF($A346=Recto!$I$30,VLOOKUP($A346,Recto!$I$28:$L$44,4,FALSE),0)</f>
        <v>0</v>
      </c>
      <c r="E346" s="91">
        <f>IF($A346=Recto!$I$31,VLOOKUP($A346,Recto!$I$28:$L$44,4,FALSE),0)</f>
        <v>0</v>
      </c>
      <c r="F346" s="91">
        <f>IF($A346=Recto!$I$32,VLOOKUP($A346,Recto!$I$28:$L$44,4,FALSE),0)</f>
        <v>0</v>
      </c>
      <c r="G346" s="91">
        <f>IF($A346=Recto!$I$33,VLOOKUP($A346,Recto!$I$28:$L$44,4,FALSE),0)</f>
        <v>0</v>
      </c>
      <c r="H346" s="91">
        <f>IF($A346=Recto!$I$34,VLOOKUP($A346,Recto!$I$28:$L$44,4,FALSE),0)</f>
        <v>0</v>
      </c>
      <c r="I346" s="91">
        <f>IF($A346=Recto!$I$35,VLOOKUP($A346,Recto!$I$28:$L$44,4,FALSE),0)</f>
        <v>0</v>
      </c>
      <c r="J346" s="91">
        <f>IF($A346=Recto!$I$36,VLOOKUP($A346,Recto!$I$28:$L$44,4,FALSE),0)</f>
        <v>0</v>
      </c>
      <c r="K346" s="91">
        <f>IF($A346=Recto!$I$37,VLOOKUP($A346,Recto!$I$28:$L$44,4,FALSE),0)</f>
        <v>0</v>
      </c>
      <c r="L346" s="91">
        <f>IF($A346=Recto!$I$38,VLOOKUP($A346,Recto!$I$28:$L$44,4,FALSE),0)</f>
        <v>0</v>
      </c>
      <c r="M346" s="91">
        <f>IF($A346=Recto!$I$39,VLOOKUP($A346,Recto!$I$28:$L$44,4,FALSE),0)</f>
        <v>0</v>
      </c>
      <c r="N346" s="91">
        <f>IF($A346=Recto!$I$40,VLOOKUP($A346,Recto!$I$28:$L$44,4,FALSE),0)</f>
        <v>0</v>
      </c>
      <c r="O346" s="91">
        <f>IF($A346=Recto!$I$41,VLOOKUP($A346,Recto!$I$28:$L$44,4,FALSE),0)</f>
        <v>0</v>
      </c>
      <c r="P346" s="91">
        <f>IF($A346=Recto!$I$42,VLOOKUP($A346,Recto!$I$28:$L$44,4,FALSE),0)</f>
        <v>0</v>
      </c>
      <c r="Q346" s="91">
        <f>IF($A346=Recto!$I$43,VLOOKUP($A346,Recto!$I$28:$L$44,4,FALSE),0)</f>
        <v>0</v>
      </c>
      <c r="R346" s="91">
        <f>IF($A346=Recto!$I$44,VLOOKUP($A346,Recto!$I$28:$L$44,4,FALSE),0)</f>
        <v>0</v>
      </c>
      <c r="S346" s="295">
        <f t="shared" si="9"/>
        <v>0</v>
      </c>
    </row>
    <row r="347" spans="1:19" x14ac:dyDescent="0.25">
      <c r="A347" s="500" t="s">
        <v>111</v>
      </c>
      <c r="B347" s="91">
        <f>IF($A347=Recto!$I$28,VLOOKUP($A347,Recto!$I$28:$L$44,4,FALSE),0)</f>
        <v>0</v>
      </c>
      <c r="C347" s="91">
        <f>IF($A347=Recto!$I$29,VLOOKUP($A347,Recto!$I$28:$L$44,4,FALSE),0)</f>
        <v>0</v>
      </c>
      <c r="D347" s="91">
        <f>IF($A347=Recto!$I$30,VLOOKUP($A347,Recto!$I$28:$L$44,4,FALSE),0)</f>
        <v>0</v>
      </c>
      <c r="E347" s="91">
        <f>IF($A347=Recto!$I$31,VLOOKUP($A347,Recto!$I$28:$L$44,4,FALSE),0)</f>
        <v>0</v>
      </c>
      <c r="F347" s="91">
        <f>IF($A347=Recto!$I$32,VLOOKUP($A347,Recto!$I$28:$L$44,4,FALSE),0)</f>
        <v>0</v>
      </c>
      <c r="G347" s="91">
        <f>IF($A347=Recto!$I$33,VLOOKUP($A347,Recto!$I$28:$L$44,4,FALSE),0)</f>
        <v>0</v>
      </c>
      <c r="H347" s="91">
        <f>IF($A347=Recto!$I$34,VLOOKUP($A347,Recto!$I$28:$L$44,4,FALSE),0)</f>
        <v>0</v>
      </c>
      <c r="I347" s="91">
        <f>IF($A347=Recto!$I$35,VLOOKUP($A347,Recto!$I$28:$L$44,4,FALSE),0)</f>
        <v>0</v>
      </c>
      <c r="J347" s="91">
        <f>IF($A347=Recto!$I$36,VLOOKUP($A347,Recto!$I$28:$L$44,4,FALSE),0)</f>
        <v>0</v>
      </c>
      <c r="K347" s="91">
        <f>IF($A347=Recto!$I$37,VLOOKUP($A347,Recto!$I$28:$L$44,4,FALSE),0)</f>
        <v>0</v>
      </c>
      <c r="L347" s="91">
        <f>IF($A347=Recto!$I$38,VLOOKUP($A347,Recto!$I$28:$L$44,4,FALSE),0)</f>
        <v>0</v>
      </c>
      <c r="M347" s="91">
        <f>IF($A347=Recto!$I$39,VLOOKUP($A347,Recto!$I$28:$L$44,4,FALSE),0)</f>
        <v>0</v>
      </c>
      <c r="N347" s="91">
        <f>IF($A347=Recto!$I$40,VLOOKUP($A347,Recto!$I$28:$L$44,4,FALSE),0)</f>
        <v>0</v>
      </c>
      <c r="O347" s="91">
        <f>IF($A347=Recto!$I$41,VLOOKUP($A347,Recto!$I$28:$L$44,4,FALSE),0)</f>
        <v>0</v>
      </c>
      <c r="P347" s="91">
        <f>IF($A347=Recto!$I$42,VLOOKUP($A347,Recto!$I$28:$L$44,4,FALSE),0)</f>
        <v>0</v>
      </c>
      <c r="Q347" s="91">
        <f>IF($A347=Recto!$I$43,VLOOKUP($A347,Recto!$I$28:$L$44,4,FALSE),0)</f>
        <v>0</v>
      </c>
      <c r="R347" s="91">
        <f>IF($A347=Recto!$I$44,VLOOKUP($A347,Recto!$I$28:$L$44,4,FALSE),0)</f>
        <v>0</v>
      </c>
      <c r="S347" s="295">
        <f t="shared" si="9"/>
        <v>0</v>
      </c>
    </row>
    <row r="348" spans="1:19" x14ac:dyDescent="0.25">
      <c r="A348" s="500" t="s">
        <v>3281</v>
      </c>
      <c r="B348" s="91">
        <f>IF($A348=Recto!$I$28,VLOOKUP($A348,Recto!$I$28:$L$44,4,FALSE),0)</f>
        <v>0</v>
      </c>
      <c r="C348" s="91">
        <f>IF($A348=Recto!$I$29,VLOOKUP($A348,Recto!$I$28:$L$44,4,FALSE),0)</f>
        <v>0</v>
      </c>
      <c r="D348" s="91">
        <f>IF($A348=Recto!$I$30,VLOOKUP($A348,Recto!$I$28:$L$44,4,FALSE),0)</f>
        <v>0</v>
      </c>
      <c r="E348" s="91">
        <f>IF($A348=Recto!$I$31,VLOOKUP($A348,Recto!$I$28:$L$44,4,FALSE),0)</f>
        <v>0</v>
      </c>
      <c r="F348" s="91">
        <f>IF($A348=Recto!$I$32,VLOOKUP($A348,Recto!$I$28:$L$44,4,FALSE),0)</f>
        <v>0</v>
      </c>
      <c r="G348" s="91">
        <f>IF($A348=Recto!$I$33,VLOOKUP($A348,Recto!$I$28:$L$44,4,FALSE),0)</f>
        <v>0</v>
      </c>
      <c r="H348" s="91">
        <f>IF($A348=Recto!$I$34,VLOOKUP($A348,Recto!$I$28:$L$44,4,FALSE),0)</f>
        <v>0</v>
      </c>
      <c r="I348" s="91">
        <f>IF($A348=Recto!$I$35,VLOOKUP($A348,Recto!$I$28:$L$44,4,FALSE),0)</f>
        <v>0</v>
      </c>
      <c r="J348" s="91">
        <f>IF($A348=Recto!$I$36,VLOOKUP($A348,Recto!$I$28:$L$44,4,FALSE),0)</f>
        <v>0</v>
      </c>
      <c r="K348" s="91">
        <f>IF($A348=Recto!$I$37,VLOOKUP($A348,Recto!$I$28:$L$44,4,FALSE),0)</f>
        <v>0</v>
      </c>
      <c r="L348" s="91">
        <f>IF($A348=Recto!$I$38,VLOOKUP($A348,Recto!$I$28:$L$44,4,FALSE),0)</f>
        <v>0</v>
      </c>
      <c r="M348" s="91">
        <f>IF($A348=Recto!$I$39,VLOOKUP($A348,Recto!$I$28:$L$44,4,FALSE),0)</f>
        <v>0</v>
      </c>
      <c r="N348" s="91">
        <f>IF($A348=Recto!$I$40,VLOOKUP($A348,Recto!$I$28:$L$44,4,FALSE),0)</f>
        <v>0</v>
      </c>
      <c r="O348" s="91">
        <f>IF($A348=Recto!$I$41,VLOOKUP($A348,Recto!$I$28:$L$44,4,FALSE),0)</f>
        <v>0</v>
      </c>
      <c r="P348" s="91">
        <f>IF($A348=Recto!$I$42,VLOOKUP($A348,Recto!$I$28:$L$44,4,FALSE),0)</f>
        <v>0</v>
      </c>
      <c r="Q348" s="91">
        <f>IF($A348=Recto!$I$43,VLOOKUP($A348,Recto!$I$28:$L$44,4,FALSE),0)</f>
        <v>0</v>
      </c>
      <c r="R348" s="91">
        <f>IF($A348=Recto!$I$44,VLOOKUP($A348,Recto!$I$28:$L$44,4,FALSE),0)</f>
        <v>0</v>
      </c>
      <c r="S348" s="295">
        <f t="shared" si="9"/>
        <v>0</v>
      </c>
    </row>
    <row r="349" spans="1:19" x14ac:dyDescent="0.25">
      <c r="A349" s="500" t="s">
        <v>3282</v>
      </c>
      <c r="B349" s="91">
        <f>IF($A349=Recto!$I$28,VLOOKUP($A349,Recto!$I$28:$L$44,4,FALSE),0)</f>
        <v>0</v>
      </c>
      <c r="C349" s="91">
        <f>IF($A349=Recto!$I$29,VLOOKUP($A349,Recto!$I$28:$L$44,4,FALSE),0)</f>
        <v>0</v>
      </c>
      <c r="D349" s="91">
        <f>IF($A349=Recto!$I$30,VLOOKUP($A349,Recto!$I$28:$L$44,4,FALSE),0)</f>
        <v>0</v>
      </c>
      <c r="E349" s="91">
        <f>IF($A349=Recto!$I$31,VLOOKUP($A349,Recto!$I$28:$L$44,4,FALSE),0)</f>
        <v>0</v>
      </c>
      <c r="F349" s="91">
        <f>IF($A349=Recto!$I$32,VLOOKUP($A349,Recto!$I$28:$L$44,4,FALSE),0)</f>
        <v>0</v>
      </c>
      <c r="G349" s="91">
        <f>IF($A349=Recto!$I$33,VLOOKUP($A349,Recto!$I$28:$L$44,4,FALSE),0)</f>
        <v>0</v>
      </c>
      <c r="H349" s="91">
        <f>IF($A349=Recto!$I$34,VLOOKUP($A349,Recto!$I$28:$L$44,4,FALSE),0)</f>
        <v>0</v>
      </c>
      <c r="I349" s="91">
        <f>IF($A349=Recto!$I$35,VLOOKUP($A349,Recto!$I$28:$L$44,4,FALSE),0)</f>
        <v>0</v>
      </c>
      <c r="J349" s="91">
        <f>IF($A349=Recto!$I$36,VLOOKUP($A349,Recto!$I$28:$L$44,4,FALSE),0)</f>
        <v>0</v>
      </c>
      <c r="K349" s="91">
        <f>IF($A349=Recto!$I$37,VLOOKUP($A349,Recto!$I$28:$L$44,4,FALSE),0)</f>
        <v>0</v>
      </c>
      <c r="L349" s="91">
        <f>IF($A349=Recto!$I$38,VLOOKUP($A349,Recto!$I$28:$L$44,4,FALSE),0)</f>
        <v>0</v>
      </c>
      <c r="M349" s="91">
        <f>IF($A349=Recto!$I$39,VLOOKUP($A349,Recto!$I$28:$L$44,4,FALSE),0)</f>
        <v>0</v>
      </c>
      <c r="N349" s="91">
        <f>IF($A349=Recto!$I$40,VLOOKUP($A349,Recto!$I$28:$L$44,4,FALSE),0)</f>
        <v>0</v>
      </c>
      <c r="O349" s="91">
        <f>IF($A349=Recto!$I$41,VLOOKUP($A349,Recto!$I$28:$L$44,4,FALSE),0)</f>
        <v>0</v>
      </c>
      <c r="P349" s="91">
        <f>IF($A349=Recto!$I$42,VLOOKUP($A349,Recto!$I$28:$L$44,4,FALSE),0)</f>
        <v>0</v>
      </c>
      <c r="Q349" s="91">
        <f>IF($A349=Recto!$I$43,VLOOKUP($A349,Recto!$I$28:$L$44,4,FALSE),0)</f>
        <v>0</v>
      </c>
      <c r="R349" s="91">
        <f>IF($A349=Recto!$I$44,VLOOKUP($A349,Recto!$I$28:$L$44,4,FALSE),0)</f>
        <v>0</v>
      </c>
      <c r="S349" s="295">
        <f t="shared" si="9"/>
        <v>0</v>
      </c>
    </row>
    <row r="350" spans="1:19" s="196" customFormat="1" x14ac:dyDescent="0.25">
      <c r="A350" s="500" t="s">
        <v>5992</v>
      </c>
      <c r="B350" s="91">
        <f>IF($A350=Recto!$I$28,VLOOKUP($A350,Recto!$I$28:$L$44,4,FALSE),0)</f>
        <v>0</v>
      </c>
      <c r="C350" s="91">
        <f>IF($A350=Recto!$I$29,VLOOKUP($A350,Recto!$I$28:$L$44,4,FALSE),0)</f>
        <v>0</v>
      </c>
      <c r="D350" s="91">
        <f>IF($A350=Recto!$I$30,VLOOKUP($A350,Recto!$I$28:$L$44,4,FALSE),0)</f>
        <v>0</v>
      </c>
      <c r="E350" s="91">
        <f>IF($A350=Recto!$I$31,VLOOKUP($A350,Recto!$I$28:$L$44,4,FALSE),0)</f>
        <v>0</v>
      </c>
      <c r="F350" s="91">
        <f>IF($A350=Recto!$I$32,VLOOKUP($A350,Recto!$I$28:$L$44,4,FALSE),0)</f>
        <v>0</v>
      </c>
      <c r="G350" s="91">
        <f>IF($A350=Recto!$I$33,VLOOKUP($A350,Recto!$I$28:$L$44,4,FALSE),0)</f>
        <v>0</v>
      </c>
      <c r="H350" s="91">
        <f>IF($A350=Recto!$I$34,VLOOKUP($A350,Recto!$I$28:$L$44,4,FALSE),0)</f>
        <v>0</v>
      </c>
      <c r="I350" s="91">
        <f>IF($A350=Recto!$I$35,VLOOKUP($A350,Recto!$I$28:$L$44,4,FALSE),0)</f>
        <v>0</v>
      </c>
      <c r="J350" s="91">
        <f>IF($A350=Recto!$I$36,VLOOKUP($A350,Recto!$I$28:$L$44,4,FALSE),0)</f>
        <v>0</v>
      </c>
      <c r="K350" s="91">
        <f>IF($A350=Recto!$I$37,VLOOKUP($A350,Recto!$I$28:$L$44,4,FALSE),0)</f>
        <v>0</v>
      </c>
      <c r="L350" s="91">
        <f>IF($A350=Recto!$I$38,VLOOKUP($A350,Recto!$I$28:$L$44,4,FALSE),0)</f>
        <v>0</v>
      </c>
      <c r="M350" s="91">
        <f>IF($A350=Recto!$I$39,VLOOKUP($A350,Recto!$I$28:$L$44,4,FALSE),0)</f>
        <v>0</v>
      </c>
      <c r="N350" s="91">
        <f>IF($A350=Recto!$I$40,VLOOKUP($A350,Recto!$I$28:$L$44,4,FALSE),0)</f>
        <v>0</v>
      </c>
      <c r="O350" s="91">
        <f>IF($A350=Recto!$I$41,VLOOKUP($A350,Recto!$I$28:$L$44,4,FALSE),0)</f>
        <v>0</v>
      </c>
      <c r="P350" s="91">
        <f>IF($A350=Recto!$I$42,VLOOKUP($A350,Recto!$I$28:$L$44,4,FALSE),0)</f>
        <v>0</v>
      </c>
      <c r="Q350" s="91">
        <f>IF($A350=Recto!$I$43,VLOOKUP($A350,Recto!$I$28:$L$44,4,FALSE),0)</f>
        <v>0</v>
      </c>
      <c r="R350" s="91">
        <f>IF($A350=Recto!$I$44,VLOOKUP($A350,Recto!$I$28:$L$44,4,FALSE),0)</f>
        <v>0</v>
      </c>
      <c r="S350" s="295">
        <f t="shared" si="9"/>
        <v>0</v>
      </c>
    </row>
    <row r="351" spans="1:19" x14ac:dyDescent="0.25">
      <c r="A351" s="500" t="s">
        <v>3291</v>
      </c>
      <c r="B351" s="91">
        <f>IF($A351=Recto!$I$28,VLOOKUP($A351,Recto!$I$28:$L$44,4,FALSE),0)</f>
        <v>0</v>
      </c>
      <c r="C351" s="91">
        <f>IF($A351=Recto!$I$29,VLOOKUP($A351,Recto!$I$28:$L$44,4,FALSE),0)</f>
        <v>0</v>
      </c>
      <c r="D351" s="91">
        <f>IF($A351=Recto!$I$30,VLOOKUP($A351,Recto!$I$28:$L$44,4,FALSE),0)</f>
        <v>0</v>
      </c>
      <c r="E351" s="91">
        <f>IF($A351=Recto!$I$31,VLOOKUP($A351,Recto!$I$28:$L$44,4,FALSE),0)</f>
        <v>0</v>
      </c>
      <c r="F351" s="91">
        <f>IF($A351=Recto!$I$32,VLOOKUP($A351,Recto!$I$28:$L$44,4,FALSE),0)</f>
        <v>0</v>
      </c>
      <c r="G351" s="91">
        <f>IF($A351=Recto!$I$33,VLOOKUP($A351,Recto!$I$28:$L$44,4,FALSE),0)</f>
        <v>0</v>
      </c>
      <c r="H351" s="91">
        <f>IF($A351=Recto!$I$34,VLOOKUP($A351,Recto!$I$28:$L$44,4,FALSE),0)</f>
        <v>0</v>
      </c>
      <c r="I351" s="91">
        <f>IF($A351=Recto!$I$35,VLOOKUP($A351,Recto!$I$28:$L$44,4,FALSE),0)</f>
        <v>0</v>
      </c>
      <c r="J351" s="91">
        <f>IF($A351=Recto!$I$36,VLOOKUP($A351,Recto!$I$28:$L$44,4,FALSE),0)</f>
        <v>0</v>
      </c>
      <c r="K351" s="91">
        <f>IF($A351=Recto!$I$37,VLOOKUP($A351,Recto!$I$28:$L$44,4,FALSE),0)</f>
        <v>0</v>
      </c>
      <c r="L351" s="91">
        <f>IF($A351=Recto!$I$38,VLOOKUP($A351,Recto!$I$28:$L$44,4,FALSE),0)</f>
        <v>0</v>
      </c>
      <c r="M351" s="91">
        <f>IF($A351=Recto!$I$39,VLOOKUP($A351,Recto!$I$28:$L$44,4,FALSE),0)</f>
        <v>0</v>
      </c>
      <c r="N351" s="91">
        <f>IF($A351=Recto!$I$40,VLOOKUP($A351,Recto!$I$28:$L$44,4,FALSE),0)</f>
        <v>0</v>
      </c>
      <c r="O351" s="91">
        <f>IF($A351=Recto!$I$41,VLOOKUP($A351,Recto!$I$28:$L$44,4,FALSE),0)</f>
        <v>0</v>
      </c>
      <c r="P351" s="91">
        <f>IF($A351=Recto!$I$42,VLOOKUP($A351,Recto!$I$28:$L$44,4,FALSE),0)</f>
        <v>0</v>
      </c>
      <c r="Q351" s="91">
        <f>IF($A351=Recto!$I$43,VLOOKUP($A351,Recto!$I$28:$L$44,4,FALSE),0)</f>
        <v>0</v>
      </c>
      <c r="R351" s="91">
        <f>IF($A351=Recto!$I$44,VLOOKUP($A351,Recto!$I$28:$L$44,4,FALSE),0)</f>
        <v>0</v>
      </c>
      <c r="S351" s="295">
        <f t="shared" si="9"/>
        <v>0</v>
      </c>
    </row>
    <row r="352" spans="1:19" x14ac:dyDescent="0.25">
      <c r="A352" s="500" t="s">
        <v>1320</v>
      </c>
      <c r="B352" s="91">
        <f>IF($A352=Recto!$I$28,VLOOKUP($A352,Recto!$I$28:$L$44,4,FALSE),0)</f>
        <v>0</v>
      </c>
      <c r="C352" s="91">
        <f>IF($A352=Recto!$I$29,VLOOKUP($A352,Recto!$I$28:$L$44,4,FALSE),0)</f>
        <v>0</v>
      </c>
      <c r="D352" s="91">
        <f>IF($A352=Recto!$I$30,VLOOKUP($A352,Recto!$I$28:$L$44,4,FALSE),0)</f>
        <v>0</v>
      </c>
      <c r="E352" s="91">
        <f>IF($A352=Recto!$I$31,VLOOKUP($A352,Recto!$I$28:$L$44,4,FALSE),0)</f>
        <v>0</v>
      </c>
      <c r="F352" s="91">
        <f>IF($A352=Recto!$I$32,VLOOKUP($A352,Recto!$I$28:$L$44,4,FALSE),0)</f>
        <v>0</v>
      </c>
      <c r="G352" s="91">
        <f>IF($A352=Recto!$I$33,VLOOKUP($A352,Recto!$I$28:$L$44,4,FALSE),0)</f>
        <v>0</v>
      </c>
      <c r="H352" s="91">
        <f>IF($A352=Recto!$I$34,VLOOKUP($A352,Recto!$I$28:$L$44,4,FALSE),0)</f>
        <v>0</v>
      </c>
      <c r="I352" s="91">
        <f>IF($A352=Recto!$I$35,VLOOKUP($A352,Recto!$I$28:$L$44,4,FALSE),0)</f>
        <v>0</v>
      </c>
      <c r="J352" s="91">
        <f>IF($A352=Recto!$I$36,VLOOKUP($A352,Recto!$I$28:$L$44,4,FALSE),0)</f>
        <v>0</v>
      </c>
      <c r="K352" s="91">
        <f>IF($A352=Recto!$I$37,VLOOKUP($A352,Recto!$I$28:$L$44,4,FALSE),0)</f>
        <v>0</v>
      </c>
      <c r="L352" s="91">
        <f>IF($A352=Recto!$I$38,VLOOKUP($A352,Recto!$I$28:$L$44,4,FALSE),0)</f>
        <v>0</v>
      </c>
      <c r="M352" s="91">
        <f>IF($A352=Recto!$I$39,VLOOKUP($A352,Recto!$I$28:$L$44,4,FALSE),0)</f>
        <v>0</v>
      </c>
      <c r="N352" s="91">
        <f>IF($A352=Recto!$I$40,VLOOKUP($A352,Recto!$I$28:$L$44,4,FALSE),0)</f>
        <v>0</v>
      </c>
      <c r="O352" s="91">
        <f>IF($A352=Recto!$I$41,VLOOKUP($A352,Recto!$I$28:$L$44,4,FALSE),0)</f>
        <v>0</v>
      </c>
      <c r="P352" s="91">
        <f>IF($A352=Recto!$I$42,VLOOKUP($A352,Recto!$I$28:$L$44,4,FALSE),0)</f>
        <v>0</v>
      </c>
      <c r="Q352" s="91">
        <f>IF($A352=Recto!$I$43,VLOOKUP($A352,Recto!$I$28:$L$44,4,FALSE),0)</f>
        <v>0</v>
      </c>
      <c r="R352" s="91">
        <f>IF($A352=Recto!$I$44,VLOOKUP($A352,Recto!$I$28:$L$44,4,FALSE),0)</f>
        <v>0</v>
      </c>
      <c r="S352" s="295">
        <f t="shared" si="9"/>
        <v>0</v>
      </c>
    </row>
    <row r="353" spans="1:20" x14ac:dyDescent="0.25">
      <c r="A353" s="500" t="s">
        <v>1349</v>
      </c>
      <c r="B353" s="91">
        <f>IF($A353=Recto!$I$28,VLOOKUP($A353,Recto!$I$28:$L$44,4,FALSE),0)</f>
        <v>0</v>
      </c>
      <c r="C353" s="91">
        <f>IF($A353=Recto!$I$29,VLOOKUP($A353,Recto!$I$28:$L$44,4,FALSE),0)</f>
        <v>0</v>
      </c>
      <c r="D353" s="91">
        <f>IF($A353=Recto!$I$30,VLOOKUP($A353,Recto!$I$28:$L$44,4,FALSE),0)</f>
        <v>0</v>
      </c>
      <c r="E353" s="91">
        <f>IF($A353=Recto!$I$31,VLOOKUP($A353,Recto!$I$28:$L$44,4,FALSE),0)</f>
        <v>0</v>
      </c>
      <c r="F353" s="91">
        <f>IF($A353=Recto!$I$32,VLOOKUP($A353,Recto!$I$28:$L$44,4,FALSE),0)</f>
        <v>0</v>
      </c>
      <c r="G353" s="91">
        <f>IF($A353=Recto!$I$33,VLOOKUP($A353,Recto!$I$28:$L$44,4,FALSE),0)</f>
        <v>0</v>
      </c>
      <c r="H353" s="91">
        <f>IF($A353=Recto!$I$34,VLOOKUP($A353,Recto!$I$28:$L$44,4,FALSE),0)</f>
        <v>0</v>
      </c>
      <c r="I353" s="91">
        <f>IF($A353=Recto!$I$35,VLOOKUP($A353,Recto!$I$28:$L$44,4,FALSE),0)</f>
        <v>0</v>
      </c>
      <c r="J353" s="91">
        <f>IF($A353=Recto!$I$36,VLOOKUP($A353,Recto!$I$28:$L$44,4,FALSE),0)</f>
        <v>0</v>
      </c>
      <c r="K353" s="91">
        <f>IF($A353=Recto!$I$37,VLOOKUP($A353,Recto!$I$28:$L$44,4,FALSE),0)</f>
        <v>0</v>
      </c>
      <c r="L353" s="91">
        <f>IF($A353=Recto!$I$38,VLOOKUP($A353,Recto!$I$28:$L$44,4,FALSE),0)</f>
        <v>0</v>
      </c>
      <c r="M353" s="91">
        <f>IF($A353=Recto!$I$39,VLOOKUP($A353,Recto!$I$28:$L$44,4,FALSE),0)</f>
        <v>0</v>
      </c>
      <c r="N353" s="91">
        <f>IF($A353=Recto!$I$40,VLOOKUP($A353,Recto!$I$28:$L$44,4,FALSE),0)</f>
        <v>0</v>
      </c>
      <c r="O353" s="91">
        <f>IF($A353=Recto!$I$41,VLOOKUP($A353,Recto!$I$28:$L$44,4,FALSE),0)</f>
        <v>0</v>
      </c>
      <c r="P353" s="91">
        <f>IF($A353=Recto!$I$42,VLOOKUP($A353,Recto!$I$28:$L$44,4,FALSE),0)</f>
        <v>0</v>
      </c>
      <c r="Q353" s="91">
        <f>IF($A353=Recto!$I$43,VLOOKUP($A353,Recto!$I$28:$L$44,4,FALSE),0)</f>
        <v>0</v>
      </c>
      <c r="R353" s="91">
        <f>IF($A353=Recto!$I$44,VLOOKUP($A353,Recto!$I$28:$L$44,4,FALSE),0)</f>
        <v>0</v>
      </c>
      <c r="S353" s="295">
        <f t="shared" si="9"/>
        <v>0</v>
      </c>
    </row>
    <row r="354" spans="1:20" x14ac:dyDescent="0.25">
      <c r="A354" s="500" t="s">
        <v>3270</v>
      </c>
      <c r="B354" s="91">
        <f>IF($A354=Recto!$I$28,VLOOKUP($A354,Recto!$I$28:$L$44,4,FALSE),0)</f>
        <v>0</v>
      </c>
      <c r="C354" s="91">
        <f>IF($A354=Recto!$I$29,VLOOKUP($A354,Recto!$I$28:$L$44,4,FALSE),0)</f>
        <v>0</v>
      </c>
      <c r="D354" s="91">
        <f>IF($A354=Recto!$I$30,VLOOKUP($A354,Recto!$I$28:$L$44,4,FALSE),0)</f>
        <v>0</v>
      </c>
      <c r="E354" s="91">
        <f>IF($A354=Recto!$I$31,VLOOKUP($A354,Recto!$I$28:$L$44,4,FALSE),0)</f>
        <v>0</v>
      </c>
      <c r="F354" s="91">
        <f>IF($A354=Recto!$I$32,VLOOKUP($A354,Recto!$I$28:$L$44,4,FALSE),0)</f>
        <v>0</v>
      </c>
      <c r="G354" s="91">
        <f>IF($A354=Recto!$I$33,VLOOKUP($A354,Recto!$I$28:$L$44,4,FALSE),0)</f>
        <v>0</v>
      </c>
      <c r="H354" s="91">
        <f>IF($A354=Recto!$I$34,VLOOKUP($A354,Recto!$I$28:$L$44,4,FALSE),0)</f>
        <v>0</v>
      </c>
      <c r="I354" s="91">
        <f>IF($A354=Recto!$I$35,VLOOKUP($A354,Recto!$I$28:$L$44,4,FALSE),0)</f>
        <v>0</v>
      </c>
      <c r="J354" s="91">
        <f>IF($A354=Recto!$I$36,VLOOKUP($A354,Recto!$I$28:$L$44,4,FALSE),0)</f>
        <v>0</v>
      </c>
      <c r="K354" s="91">
        <f>IF($A354=Recto!$I$37,VLOOKUP($A354,Recto!$I$28:$L$44,4,FALSE),0)</f>
        <v>0</v>
      </c>
      <c r="L354" s="91">
        <f>IF($A354=Recto!$I$38,VLOOKUP($A354,Recto!$I$28:$L$44,4,FALSE),0)</f>
        <v>0</v>
      </c>
      <c r="M354" s="91">
        <f>IF($A354=Recto!$I$39,VLOOKUP($A354,Recto!$I$28:$L$44,4,FALSE),0)</f>
        <v>0</v>
      </c>
      <c r="N354" s="91">
        <f>IF($A354=Recto!$I$40,VLOOKUP($A354,Recto!$I$28:$L$44,4,FALSE),0)</f>
        <v>0</v>
      </c>
      <c r="O354" s="91">
        <f>IF($A354=Recto!$I$41,VLOOKUP($A354,Recto!$I$28:$L$44,4,FALSE),0)</f>
        <v>0</v>
      </c>
      <c r="P354" s="91">
        <f>IF($A354=Recto!$I$42,VLOOKUP($A354,Recto!$I$28:$L$44,4,FALSE),0)</f>
        <v>0</v>
      </c>
      <c r="Q354" s="91">
        <f>IF($A354=Recto!$I$43,VLOOKUP($A354,Recto!$I$28:$L$44,4,FALSE),0)</f>
        <v>0</v>
      </c>
      <c r="R354" s="91">
        <f>IF($A354=Recto!$I$44,VLOOKUP($A354,Recto!$I$28:$L$44,4,FALSE),0)</f>
        <v>0</v>
      </c>
      <c r="S354" s="295">
        <f t="shared" si="9"/>
        <v>0</v>
      </c>
    </row>
    <row r="355" spans="1:20" s="196" customFormat="1" x14ac:dyDescent="0.25">
      <c r="A355" s="495" t="s">
        <v>6485</v>
      </c>
      <c r="B355" s="91">
        <f>IF($A355=Recto!$I$28,VLOOKUP($A355,Recto!$I$28:$L$44,4,FALSE),0)</f>
        <v>0</v>
      </c>
      <c r="C355" s="91">
        <f>IF($A355=Recto!$I$29,VLOOKUP($A355,Recto!$I$28:$L$44,4,FALSE),0)</f>
        <v>0</v>
      </c>
      <c r="D355" s="91">
        <f>IF($A355=Recto!$I$30,VLOOKUP($A355,Recto!$I$28:$L$44,4,FALSE),0)</f>
        <v>0</v>
      </c>
      <c r="E355" s="91">
        <f>IF($A355=Recto!$I$31,VLOOKUP($A355,Recto!$I$28:$L$44,4,FALSE),0)</f>
        <v>0</v>
      </c>
      <c r="F355" s="91">
        <f>IF($A355=Recto!$I$32,VLOOKUP($A355,Recto!$I$28:$L$44,4,FALSE),0)</f>
        <v>0</v>
      </c>
      <c r="G355" s="91">
        <f>IF($A355=Recto!$I$33,VLOOKUP($A355,Recto!$I$28:$L$44,4,FALSE),0)</f>
        <v>0</v>
      </c>
      <c r="H355" s="91">
        <f>IF($A355=Recto!$I$34,VLOOKUP($A355,Recto!$I$28:$L$44,4,FALSE),0)</f>
        <v>0</v>
      </c>
      <c r="I355" s="91">
        <f>IF($A355=Recto!$I$35,VLOOKUP($A355,Recto!$I$28:$L$44,4,FALSE),0)</f>
        <v>0</v>
      </c>
      <c r="J355" s="91">
        <f>IF($A355=Recto!$I$36,VLOOKUP($A355,Recto!$I$28:$L$44,4,FALSE),0)</f>
        <v>0</v>
      </c>
      <c r="K355" s="91">
        <f>IF($A355=Recto!$I$37,VLOOKUP($A355,Recto!$I$28:$L$44,4,FALSE),0)</f>
        <v>0</v>
      </c>
      <c r="L355" s="91">
        <f>IF($A355=Recto!$I$38,VLOOKUP($A355,Recto!$I$28:$L$44,4,FALSE),0)</f>
        <v>0</v>
      </c>
      <c r="M355" s="91">
        <f>IF($A355=Recto!$I$39,VLOOKUP($A355,Recto!$I$28:$L$44,4,FALSE),0)</f>
        <v>0</v>
      </c>
      <c r="N355" s="91">
        <f>IF($A355=Recto!$I$40,VLOOKUP($A355,Recto!$I$28:$L$44,4,FALSE),0)</f>
        <v>0</v>
      </c>
      <c r="O355" s="91">
        <f>IF($A355=Recto!$I$41,VLOOKUP($A355,Recto!$I$28:$L$44,4,FALSE),0)</f>
        <v>0</v>
      </c>
      <c r="P355" s="91">
        <f>IF($A355=Recto!$I$42,VLOOKUP($A355,Recto!$I$28:$L$44,4,FALSE),0)</f>
        <v>0</v>
      </c>
      <c r="Q355" s="91">
        <f>IF($A355=Recto!$I$43,VLOOKUP($A355,Recto!$I$28:$L$44,4,FALSE),0)</f>
        <v>0</v>
      </c>
      <c r="R355" s="91">
        <f>IF($A355=Recto!$I$44,VLOOKUP($A355,Recto!$I$28:$L$44,4,FALSE),0)</f>
        <v>0</v>
      </c>
      <c r="S355" s="295">
        <f t="shared" si="9"/>
        <v>0</v>
      </c>
      <c r="T355" s="294"/>
    </row>
    <row r="356" spans="1:20" x14ac:dyDescent="0.25">
      <c r="A356" s="500" t="s">
        <v>1337</v>
      </c>
      <c r="B356" s="91">
        <f>IF($A356=Recto!$I$28,VLOOKUP($A356,Recto!$I$28:$L$44,4,FALSE),0)</f>
        <v>0</v>
      </c>
      <c r="C356" s="91">
        <f>IF($A356=Recto!$I$29,VLOOKUP($A356,Recto!$I$28:$L$44,4,FALSE),0)</f>
        <v>0</v>
      </c>
      <c r="D356" s="91">
        <f>IF($A356=Recto!$I$30,VLOOKUP($A356,Recto!$I$28:$L$44,4,FALSE),0)</f>
        <v>0</v>
      </c>
      <c r="E356" s="91">
        <f>IF($A356=Recto!$I$31,VLOOKUP($A356,Recto!$I$28:$L$44,4,FALSE),0)</f>
        <v>0</v>
      </c>
      <c r="F356" s="91">
        <f>IF($A356=Recto!$I$32,VLOOKUP($A356,Recto!$I$28:$L$44,4,FALSE),0)</f>
        <v>0</v>
      </c>
      <c r="G356" s="91">
        <f>IF($A356=Recto!$I$33,VLOOKUP($A356,Recto!$I$28:$L$44,4,FALSE),0)</f>
        <v>0</v>
      </c>
      <c r="H356" s="91">
        <f>IF($A356=Recto!$I$34,VLOOKUP($A356,Recto!$I$28:$L$44,4,FALSE),0)</f>
        <v>0</v>
      </c>
      <c r="I356" s="91">
        <f>IF($A356=Recto!$I$35,VLOOKUP($A356,Recto!$I$28:$L$44,4,FALSE),0)</f>
        <v>0</v>
      </c>
      <c r="J356" s="91">
        <f>IF($A356=Recto!$I$36,VLOOKUP($A356,Recto!$I$28:$L$44,4,FALSE),0)</f>
        <v>0</v>
      </c>
      <c r="K356" s="91">
        <f>IF($A356=Recto!$I$37,VLOOKUP($A356,Recto!$I$28:$L$44,4,FALSE),0)</f>
        <v>0</v>
      </c>
      <c r="L356" s="91">
        <f>IF($A356=Recto!$I$38,VLOOKUP($A356,Recto!$I$28:$L$44,4,FALSE),0)</f>
        <v>0</v>
      </c>
      <c r="M356" s="91">
        <f>IF($A356=Recto!$I$39,VLOOKUP($A356,Recto!$I$28:$L$44,4,FALSE),0)</f>
        <v>0</v>
      </c>
      <c r="N356" s="91">
        <f>IF($A356=Recto!$I$40,VLOOKUP($A356,Recto!$I$28:$L$44,4,FALSE),0)</f>
        <v>0</v>
      </c>
      <c r="O356" s="91">
        <f>IF($A356=Recto!$I$41,VLOOKUP($A356,Recto!$I$28:$L$44,4,FALSE),0)</f>
        <v>0</v>
      </c>
      <c r="P356" s="91">
        <f>IF($A356=Recto!$I$42,VLOOKUP($A356,Recto!$I$28:$L$44,4,FALSE),0)</f>
        <v>0</v>
      </c>
      <c r="Q356" s="91">
        <f>IF($A356=Recto!$I$43,VLOOKUP($A356,Recto!$I$28:$L$44,4,FALSE),0)</f>
        <v>0</v>
      </c>
      <c r="R356" s="91">
        <f>IF($A356=Recto!$I$44,VLOOKUP($A356,Recto!$I$28:$L$44,4,FALSE),0)</f>
        <v>0</v>
      </c>
      <c r="S356" s="295">
        <f t="shared" si="9"/>
        <v>0</v>
      </c>
    </row>
    <row r="357" spans="1:20" x14ac:dyDescent="0.25">
      <c r="A357" s="500" t="s">
        <v>1363</v>
      </c>
      <c r="B357" s="91">
        <f>IF($A357=Recto!$I$28,VLOOKUP($A357,Recto!$I$28:$L$44,4,FALSE),0)</f>
        <v>0</v>
      </c>
      <c r="C357" s="91">
        <f>IF($A357=Recto!$I$29,VLOOKUP($A357,Recto!$I$28:$L$44,4,FALSE),0)</f>
        <v>0</v>
      </c>
      <c r="D357" s="91">
        <f>IF($A357=Recto!$I$30,VLOOKUP($A357,Recto!$I$28:$L$44,4,FALSE),0)</f>
        <v>0</v>
      </c>
      <c r="E357" s="91">
        <f>IF($A357=Recto!$I$31,VLOOKUP($A357,Recto!$I$28:$L$44,4,FALSE),0)</f>
        <v>0</v>
      </c>
      <c r="F357" s="91">
        <f>IF($A357=Recto!$I$32,VLOOKUP($A357,Recto!$I$28:$L$44,4,FALSE),0)</f>
        <v>0</v>
      </c>
      <c r="G357" s="91">
        <f>IF($A357=Recto!$I$33,VLOOKUP($A357,Recto!$I$28:$L$44,4,FALSE),0)</f>
        <v>0</v>
      </c>
      <c r="H357" s="91">
        <f>IF($A357=Recto!$I$34,VLOOKUP($A357,Recto!$I$28:$L$44,4,FALSE),0)</f>
        <v>0</v>
      </c>
      <c r="I357" s="91">
        <f>IF($A357=Recto!$I$35,VLOOKUP($A357,Recto!$I$28:$L$44,4,FALSE),0)</f>
        <v>0</v>
      </c>
      <c r="J357" s="91">
        <f>IF($A357=Recto!$I$36,VLOOKUP($A357,Recto!$I$28:$L$44,4,FALSE),0)</f>
        <v>0</v>
      </c>
      <c r="K357" s="91">
        <f>IF($A357=Recto!$I$37,VLOOKUP($A357,Recto!$I$28:$L$44,4,FALSE),0)</f>
        <v>0</v>
      </c>
      <c r="L357" s="91">
        <f>IF($A357=Recto!$I$38,VLOOKUP($A357,Recto!$I$28:$L$44,4,FALSE),0)</f>
        <v>0</v>
      </c>
      <c r="M357" s="91">
        <f>IF($A357=Recto!$I$39,VLOOKUP($A357,Recto!$I$28:$L$44,4,FALSE),0)</f>
        <v>0</v>
      </c>
      <c r="N357" s="91">
        <f>IF($A357=Recto!$I$40,VLOOKUP($A357,Recto!$I$28:$L$44,4,FALSE),0)</f>
        <v>0</v>
      </c>
      <c r="O357" s="91">
        <f>IF($A357=Recto!$I$41,VLOOKUP($A357,Recto!$I$28:$L$44,4,FALSE),0)</f>
        <v>0</v>
      </c>
      <c r="P357" s="91">
        <f>IF($A357=Recto!$I$42,VLOOKUP($A357,Recto!$I$28:$L$44,4,FALSE),0)</f>
        <v>0</v>
      </c>
      <c r="Q357" s="91">
        <f>IF($A357=Recto!$I$43,VLOOKUP($A357,Recto!$I$28:$L$44,4,FALSE),0)</f>
        <v>0</v>
      </c>
      <c r="R357" s="91">
        <f>IF($A357=Recto!$I$44,VLOOKUP($A357,Recto!$I$28:$L$44,4,FALSE),0)</f>
        <v>0</v>
      </c>
      <c r="S357" s="295">
        <f t="shared" si="9"/>
        <v>0</v>
      </c>
    </row>
    <row r="358" spans="1:20" x14ac:dyDescent="0.25">
      <c r="A358" s="500" t="s">
        <v>3308</v>
      </c>
      <c r="B358" s="91">
        <f>IF($A358=Recto!$I$28,VLOOKUP($A358,Recto!$I$28:$L$44,4,FALSE),0)</f>
        <v>0</v>
      </c>
      <c r="C358" s="91">
        <f>IF($A358=Recto!$I$29,VLOOKUP($A358,Recto!$I$28:$L$44,4,FALSE),0)</f>
        <v>0</v>
      </c>
      <c r="D358" s="91">
        <f>IF($A358=Recto!$I$30,VLOOKUP($A358,Recto!$I$28:$L$44,4,FALSE),0)</f>
        <v>0</v>
      </c>
      <c r="E358" s="91">
        <f>IF($A358=Recto!$I$31,VLOOKUP($A358,Recto!$I$28:$L$44,4,FALSE),0)</f>
        <v>0</v>
      </c>
      <c r="F358" s="91">
        <f>IF($A358=Recto!$I$32,VLOOKUP($A358,Recto!$I$28:$L$44,4,FALSE),0)</f>
        <v>0</v>
      </c>
      <c r="G358" s="91">
        <f>IF($A358=Recto!$I$33,VLOOKUP($A358,Recto!$I$28:$L$44,4,FALSE),0)</f>
        <v>0</v>
      </c>
      <c r="H358" s="91">
        <f>IF($A358=Recto!$I$34,VLOOKUP($A358,Recto!$I$28:$L$44,4,FALSE),0)</f>
        <v>0</v>
      </c>
      <c r="I358" s="91">
        <f>IF($A358=Recto!$I$35,VLOOKUP($A358,Recto!$I$28:$L$44,4,FALSE),0)</f>
        <v>0</v>
      </c>
      <c r="J358" s="91">
        <f>IF($A358=Recto!$I$36,VLOOKUP($A358,Recto!$I$28:$L$44,4,FALSE),0)</f>
        <v>0</v>
      </c>
      <c r="K358" s="91">
        <f>IF($A358=Recto!$I$37,VLOOKUP($A358,Recto!$I$28:$L$44,4,FALSE),0)</f>
        <v>0</v>
      </c>
      <c r="L358" s="91">
        <f>IF($A358=Recto!$I$38,VLOOKUP($A358,Recto!$I$28:$L$44,4,FALSE),0)</f>
        <v>0</v>
      </c>
      <c r="M358" s="91">
        <f>IF($A358=Recto!$I$39,VLOOKUP($A358,Recto!$I$28:$L$44,4,FALSE),0)</f>
        <v>0</v>
      </c>
      <c r="N358" s="91">
        <f>IF($A358=Recto!$I$40,VLOOKUP($A358,Recto!$I$28:$L$44,4,FALSE),0)</f>
        <v>0</v>
      </c>
      <c r="O358" s="91">
        <f>IF($A358=Recto!$I$41,VLOOKUP($A358,Recto!$I$28:$L$44,4,FALSE),0)</f>
        <v>0</v>
      </c>
      <c r="P358" s="91">
        <f>IF($A358=Recto!$I$42,VLOOKUP($A358,Recto!$I$28:$L$44,4,FALSE),0)</f>
        <v>0</v>
      </c>
      <c r="Q358" s="91">
        <f>IF($A358=Recto!$I$43,VLOOKUP($A358,Recto!$I$28:$L$44,4,FALSE),0)</f>
        <v>0</v>
      </c>
      <c r="R358" s="91">
        <f>IF($A358=Recto!$I$44,VLOOKUP($A358,Recto!$I$28:$L$44,4,FALSE),0)</f>
        <v>0</v>
      </c>
      <c r="S358" s="295">
        <f t="shared" si="9"/>
        <v>0</v>
      </c>
    </row>
    <row r="359" spans="1:20" x14ac:dyDescent="0.25">
      <c r="A359" s="500" t="s">
        <v>3765</v>
      </c>
      <c r="B359" s="91">
        <f>IF($A359=Recto!$I$28,VLOOKUP($A359,Recto!$I$28:$L$44,4,FALSE),0)</f>
        <v>0</v>
      </c>
      <c r="C359" s="91">
        <f>IF($A359=Recto!$I$29,VLOOKUP($A359,Recto!$I$28:$L$44,4,FALSE),0)</f>
        <v>0</v>
      </c>
      <c r="D359" s="91">
        <f>IF($A359=Recto!$I$30,VLOOKUP($A359,Recto!$I$28:$L$44,4,FALSE),0)</f>
        <v>0</v>
      </c>
      <c r="E359" s="91">
        <f>IF($A359=Recto!$I$31,VLOOKUP($A359,Recto!$I$28:$L$44,4,FALSE),0)</f>
        <v>0</v>
      </c>
      <c r="F359" s="91">
        <f>IF($A359=Recto!$I$32,VLOOKUP($A359,Recto!$I$28:$L$44,4,FALSE),0)</f>
        <v>0</v>
      </c>
      <c r="G359" s="91">
        <f>IF($A359=Recto!$I$33,VLOOKUP($A359,Recto!$I$28:$L$44,4,FALSE),0)</f>
        <v>0</v>
      </c>
      <c r="H359" s="91">
        <f>IF($A359=Recto!$I$34,VLOOKUP($A359,Recto!$I$28:$L$44,4,FALSE),0)</f>
        <v>0</v>
      </c>
      <c r="I359" s="91">
        <f>IF($A359=Recto!$I$35,VLOOKUP($A359,Recto!$I$28:$L$44,4,FALSE),0)</f>
        <v>0</v>
      </c>
      <c r="J359" s="91">
        <f>IF($A359=Recto!$I$36,VLOOKUP($A359,Recto!$I$28:$L$44,4,FALSE),0)</f>
        <v>0</v>
      </c>
      <c r="K359" s="91">
        <f>IF($A359=Recto!$I$37,VLOOKUP($A359,Recto!$I$28:$L$44,4,FALSE),0)</f>
        <v>0</v>
      </c>
      <c r="L359" s="91">
        <f>IF($A359=Recto!$I$38,VLOOKUP($A359,Recto!$I$28:$L$44,4,FALSE),0)</f>
        <v>0</v>
      </c>
      <c r="M359" s="91">
        <f>IF($A359=Recto!$I$39,VLOOKUP($A359,Recto!$I$28:$L$44,4,FALSE),0)</f>
        <v>0</v>
      </c>
      <c r="N359" s="91">
        <f>IF($A359=Recto!$I$40,VLOOKUP($A359,Recto!$I$28:$L$44,4,FALSE),0)</f>
        <v>0</v>
      </c>
      <c r="O359" s="91">
        <f>IF($A359=Recto!$I$41,VLOOKUP($A359,Recto!$I$28:$L$44,4,FALSE),0)</f>
        <v>0</v>
      </c>
      <c r="P359" s="91">
        <f>IF($A359=Recto!$I$42,VLOOKUP($A359,Recto!$I$28:$L$44,4,FALSE),0)</f>
        <v>0</v>
      </c>
      <c r="Q359" s="91">
        <f>IF($A359=Recto!$I$43,VLOOKUP($A359,Recto!$I$28:$L$44,4,FALSE),0)</f>
        <v>0</v>
      </c>
      <c r="R359" s="91">
        <f>IF($A359=Recto!$I$44,VLOOKUP($A359,Recto!$I$28:$L$44,4,FALSE),0)</f>
        <v>0</v>
      </c>
      <c r="S359" s="295">
        <f t="shared" si="9"/>
        <v>0</v>
      </c>
    </row>
    <row r="360" spans="1:20" x14ac:dyDescent="0.25">
      <c r="A360" s="500" t="s">
        <v>3728</v>
      </c>
      <c r="B360" s="91">
        <f>IF($A360=Recto!$I$28,VLOOKUP($A360,Recto!$I$28:$L$44,4,FALSE),0)</f>
        <v>0</v>
      </c>
      <c r="C360" s="91">
        <f>IF($A360=Recto!$I$29,VLOOKUP($A360,Recto!$I$28:$L$44,4,FALSE),0)</f>
        <v>0</v>
      </c>
      <c r="D360" s="91">
        <f>IF($A360=Recto!$I$30,VLOOKUP($A360,Recto!$I$28:$L$44,4,FALSE),0)</f>
        <v>0</v>
      </c>
      <c r="E360" s="91">
        <f>IF($A360=Recto!$I$31,VLOOKUP($A360,Recto!$I$28:$L$44,4,FALSE),0)</f>
        <v>0</v>
      </c>
      <c r="F360" s="91">
        <f>IF($A360=Recto!$I$32,VLOOKUP($A360,Recto!$I$28:$L$44,4,FALSE),0)</f>
        <v>0</v>
      </c>
      <c r="G360" s="91">
        <f>IF($A360=Recto!$I$33,VLOOKUP($A360,Recto!$I$28:$L$44,4,FALSE),0)</f>
        <v>0</v>
      </c>
      <c r="H360" s="91">
        <f>IF($A360=Recto!$I$34,VLOOKUP($A360,Recto!$I$28:$L$44,4,FALSE),0)</f>
        <v>0</v>
      </c>
      <c r="I360" s="91">
        <f>IF($A360=Recto!$I$35,VLOOKUP($A360,Recto!$I$28:$L$44,4,FALSE),0)</f>
        <v>0</v>
      </c>
      <c r="J360" s="91">
        <f>IF($A360=Recto!$I$36,VLOOKUP($A360,Recto!$I$28:$L$44,4,FALSE),0)</f>
        <v>0</v>
      </c>
      <c r="K360" s="91">
        <f>IF($A360=Recto!$I$37,VLOOKUP($A360,Recto!$I$28:$L$44,4,FALSE),0)</f>
        <v>0</v>
      </c>
      <c r="L360" s="91">
        <f>IF($A360=Recto!$I$38,VLOOKUP($A360,Recto!$I$28:$L$44,4,FALSE),0)</f>
        <v>0</v>
      </c>
      <c r="M360" s="91">
        <f>IF($A360=Recto!$I$39,VLOOKUP($A360,Recto!$I$28:$L$44,4,FALSE),0)</f>
        <v>0</v>
      </c>
      <c r="N360" s="91">
        <f>IF($A360=Recto!$I$40,VLOOKUP($A360,Recto!$I$28:$L$44,4,FALSE),0)</f>
        <v>0</v>
      </c>
      <c r="O360" s="91">
        <f>IF($A360=Recto!$I$41,VLOOKUP($A360,Recto!$I$28:$L$44,4,FALSE),0)</f>
        <v>0</v>
      </c>
      <c r="P360" s="91">
        <f>IF($A360=Recto!$I$42,VLOOKUP($A360,Recto!$I$28:$L$44,4,FALSE),0)</f>
        <v>0</v>
      </c>
      <c r="Q360" s="91">
        <f>IF($A360=Recto!$I$43,VLOOKUP($A360,Recto!$I$28:$L$44,4,FALSE),0)</f>
        <v>0</v>
      </c>
      <c r="R360" s="91">
        <f>IF($A360=Recto!$I$44,VLOOKUP($A360,Recto!$I$28:$L$44,4,FALSE),0)</f>
        <v>0</v>
      </c>
      <c r="S360" s="295">
        <f t="shared" si="9"/>
        <v>0</v>
      </c>
    </row>
    <row r="361" spans="1:20" x14ac:dyDescent="0.25">
      <c r="A361" s="500" t="s">
        <v>117</v>
      </c>
      <c r="B361" s="91">
        <f>IF($A361=Recto!$I$28,VLOOKUP($A361,Recto!$I$28:$L$44,4,FALSE),0)</f>
        <v>0</v>
      </c>
      <c r="C361" s="91">
        <f>IF($A361=Recto!$I$29,VLOOKUP($A361,Recto!$I$28:$L$44,4,FALSE),0)</f>
        <v>0</v>
      </c>
      <c r="D361" s="91">
        <f>IF($A361=Recto!$I$30,VLOOKUP($A361,Recto!$I$28:$L$44,4,FALSE),0)</f>
        <v>0</v>
      </c>
      <c r="E361" s="91">
        <f>IF($A361=Recto!$I$31,VLOOKUP($A361,Recto!$I$28:$L$44,4,FALSE),0)</f>
        <v>0</v>
      </c>
      <c r="F361" s="91">
        <f>IF($A361=Recto!$I$32,VLOOKUP($A361,Recto!$I$28:$L$44,4,FALSE),0)</f>
        <v>0</v>
      </c>
      <c r="G361" s="91">
        <f>IF($A361=Recto!$I$33,VLOOKUP($A361,Recto!$I$28:$L$44,4,FALSE),0)</f>
        <v>0</v>
      </c>
      <c r="H361" s="91">
        <f>IF($A361=Recto!$I$34,VLOOKUP($A361,Recto!$I$28:$L$44,4,FALSE),0)</f>
        <v>0</v>
      </c>
      <c r="I361" s="91">
        <f>IF($A361=Recto!$I$35,VLOOKUP($A361,Recto!$I$28:$L$44,4,FALSE),0)</f>
        <v>0</v>
      </c>
      <c r="J361" s="91">
        <f>IF($A361=Recto!$I$36,VLOOKUP($A361,Recto!$I$28:$L$44,4,FALSE),0)</f>
        <v>0</v>
      </c>
      <c r="K361" s="91">
        <f>IF($A361=Recto!$I$37,VLOOKUP($A361,Recto!$I$28:$L$44,4,FALSE),0)</f>
        <v>0</v>
      </c>
      <c r="L361" s="91">
        <f>IF($A361=Recto!$I$38,VLOOKUP($A361,Recto!$I$28:$L$44,4,FALSE),0)</f>
        <v>0</v>
      </c>
      <c r="M361" s="91">
        <f>IF($A361=Recto!$I$39,VLOOKUP($A361,Recto!$I$28:$L$44,4,FALSE),0)</f>
        <v>0</v>
      </c>
      <c r="N361" s="91">
        <f>IF($A361=Recto!$I$40,VLOOKUP($A361,Recto!$I$28:$L$44,4,FALSE),0)</f>
        <v>0</v>
      </c>
      <c r="O361" s="91">
        <f>IF($A361=Recto!$I$41,VLOOKUP($A361,Recto!$I$28:$L$44,4,FALSE),0)</f>
        <v>0</v>
      </c>
      <c r="P361" s="91">
        <f>IF($A361=Recto!$I$42,VLOOKUP($A361,Recto!$I$28:$L$44,4,FALSE),0)</f>
        <v>0</v>
      </c>
      <c r="Q361" s="91">
        <f>IF($A361=Recto!$I$43,VLOOKUP($A361,Recto!$I$28:$L$44,4,FALSE),0)</f>
        <v>0</v>
      </c>
      <c r="R361" s="91">
        <f>IF($A361=Recto!$I$44,VLOOKUP($A361,Recto!$I$28:$L$44,4,FALSE),0)</f>
        <v>0</v>
      </c>
      <c r="S361" s="295">
        <f t="shared" si="9"/>
        <v>0</v>
      </c>
    </row>
    <row r="362" spans="1:20" x14ac:dyDescent="0.25">
      <c r="A362" s="500" t="s">
        <v>3223</v>
      </c>
      <c r="B362" s="91">
        <f>IF($A362=Recto!$I$28,VLOOKUP($A362,Recto!$I$28:$L$44,4,FALSE),0)</f>
        <v>0</v>
      </c>
      <c r="C362" s="91">
        <f>IF($A362=Recto!$I$29,VLOOKUP($A362,Recto!$I$28:$L$44,4,FALSE),0)</f>
        <v>0</v>
      </c>
      <c r="D362" s="91">
        <f>IF($A362=Recto!$I$30,VLOOKUP($A362,Recto!$I$28:$L$44,4,FALSE),0)</f>
        <v>0</v>
      </c>
      <c r="E362" s="91">
        <f>IF($A362=Recto!$I$31,VLOOKUP($A362,Recto!$I$28:$L$44,4,FALSE),0)</f>
        <v>0</v>
      </c>
      <c r="F362" s="91">
        <f>IF($A362=Recto!$I$32,VLOOKUP($A362,Recto!$I$28:$L$44,4,FALSE),0)</f>
        <v>0</v>
      </c>
      <c r="G362" s="91">
        <f>IF($A362=Recto!$I$33,VLOOKUP($A362,Recto!$I$28:$L$44,4,FALSE),0)</f>
        <v>0</v>
      </c>
      <c r="H362" s="91">
        <f>IF($A362=Recto!$I$34,VLOOKUP($A362,Recto!$I$28:$L$44,4,FALSE),0)</f>
        <v>0</v>
      </c>
      <c r="I362" s="91">
        <f>IF($A362=Recto!$I$35,VLOOKUP($A362,Recto!$I$28:$L$44,4,FALSE),0)</f>
        <v>0</v>
      </c>
      <c r="J362" s="91">
        <f>IF($A362=Recto!$I$36,VLOOKUP($A362,Recto!$I$28:$L$44,4,FALSE),0)</f>
        <v>0</v>
      </c>
      <c r="K362" s="91">
        <f>IF($A362=Recto!$I$37,VLOOKUP($A362,Recto!$I$28:$L$44,4,FALSE),0)</f>
        <v>0</v>
      </c>
      <c r="L362" s="91">
        <f>IF($A362=Recto!$I$38,VLOOKUP($A362,Recto!$I$28:$L$44,4,FALSE),0)</f>
        <v>0</v>
      </c>
      <c r="M362" s="91">
        <f>IF($A362=Recto!$I$39,VLOOKUP($A362,Recto!$I$28:$L$44,4,FALSE),0)</f>
        <v>0</v>
      </c>
      <c r="N362" s="91">
        <f>IF($A362=Recto!$I$40,VLOOKUP($A362,Recto!$I$28:$L$44,4,FALSE),0)</f>
        <v>0</v>
      </c>
      <c r="O362" s="91">
        <f>IF($A362=Recto!$I$41,VLOOKUP($A362,Recto!$I$28:$L$44,4,FALSE),0)</f>
        <v>0</v>
      </c>
      <c r="P362" s="91">
        <f>IF($A362=Recto!$I$42,VLOOKUP($A362,Recto!$I$28:$L$44,4,FALSE),0)</f>
        <v>0</v>
      </c>
      <c r="Q362" s="91">
        <f>IF($A362=Recto!$I$43,VLOOKUP($A362,Recto!$I$28:$L$44,4,FALSE),0)</f>
        <v>0</v>
      </c>
      <c r="R362" s="91">
        <f>IF($A362=Recto!$I$44,VLOOKUP($A362,Recto!$I$28:$L$44,4,FALSE),0)</f>
        <v>0</v>
      </c>
      <c r="S362" s="295">
        <f t="shared" si="9"/>
        <v>0</v>
      </c>
    </row>
    <row r="363" spans="1:20" s="91" customFormat="1" x14ac:dyDescent="0.25">
      <c r="A363" s="501" t="s">
        <v>1357</v>
      </c>
      <c r="B363" s="91">
        <f>IF($A363=Recto!$I$28,VLOOKUP($A363,Recto!$I$28:$L$44,4,FALSE),0)</f>
        <v>0</v>
      </c>
      <c r="C363" s="91">
        <f>IF($A363=Recto!$I$29,VLOOKUP($A363,Recto!$I$28:$L$44,4,FALSE),0)</f>
        <v>0</v>
      </c>
      <c r="D363" s="91">
        <f>IF($A363=Recto!$I$30,VLOOKUP($A363,Recto!$I$28:$L$44,4,FALSE),0)</f>
        <v>0</v>
      </c>
      <c r="E363" s="91">
        <f>IF($A363=Recto!$I$31,VLOOKUP($A363,Recto!$I$28:$L$44,4,FALSE),0)</f>
        <v>0</v>
      </c>
      <c r="F363" s="91">
        <f>IF($A363=Recto!$I$32,VLOOKUP($A363,Recto!$I$28:$L$44,4,FALSE),0)</f>
        <v>0</v>
      </c>
      <c r="G363" s="91">
        <f>IF($A363=Recto!$I$33,VLOOKUP($A363,Recto!$I$28:$L$44,4,FALSE),0)</f>
        <v>0</v>
      </c>
      <c r="H363" s="91">
        <f>IF($A363=Recto!$I$34,VLOOKUP($A363,Recto!$I$28:$L$44,4,FALSE),0)</f>
        <v>0</v>
      </c>
      <c r="I363" s="91">
        <f>IF($A363=Recto!$I$35,VLOOKUP($A363,Recto!$I$28:$L$44,4,FALSE),0)</f>
        <v>0</v>
      </c>
      <c r="J363" s="91">
        <f>IF($A363=Recto!$I$36,VLOOKUP($A363,Recto!$I$28:$L$44,4,FALSE),0)</f>
        <v>0</v>
      </c>
      <c r="K363" s="91">
        <f>IF($A363=Recto!$I$37,VLOOKUP($A363,Recto!$I$28:$L$44,4,FALSE),0)</f>
        <v>0</v>
      </c>
      <c r="L363" s="91">
        <f>IF($A363=Recto!$I$38,VLOOKUP($A363,Recto!$I$28:$L$44,4,FALSE),0)</f>
        <v>0</v>
      </c>
      <c r="M363" s="91">
        <f>IF($A363=Recto!$I$39,VLOOKUP($A363,Recto!$I$28:$L$44,4,FALSE),0)</f>
        <v>0</v>
      </c>
      <c r="N363" s="91">
        <f>IF($A363=Recto!$I$40,VLOOKUP($A363,Recto!$I$28:$L$44,4,FALSE),0)</f>
        <v>0</v>
      </c>
      <c r="O363" s="91">
        <f>IF($A363=Recto!$I$41,VLOOKUP($A363,Recto!$I$28:$L$44,4,FALSE),0)</f>
        <v>0</v>
      </c>
      <c r="P363" s="91">
        <f>IF($A363=Recto!$I$42,VLOOKUP($A363,Recto!$I$28:$L$44,4,FALSE),0)</f>
        <v>0</v>
      </c>
      <c r="Q363" s="91">
        <f>IF($A363=Recto!$I$43,VLOOKUP($A363,Recto!$I$28:$L$44,4,FALSE),0)</f>
        <v>0</v>
      </c>
      <c r="R363" s="91">
        <f>IF($A363=Recto!$I$44,VLOOKUP($A363,Recto!$I$28:$L$44,4,FALSE),0)</f>
        <v>0</v>
      </c>
      <c r="S363" s="295">
        <f t="shared" si="9"/>
        <v>0</v>
      </c>
      <c r="T363" s="294"/>
    </row>
    <row r="364" spans="1:20" s="196" customFormat="1" x14ac:dyDescent="0.25">
      <c r="A364" s="972" t="s">
        <v>6423</v>
      </c>
      <c r="B364" s="973"/>
      <c r="C364" s="353"/>
      <c r="D364" s="353"/>
      <c r="E364" s="353" t="s">
        <v>6406</v>
      </c>
      <c r="F364" s="353" t="s">
        <v>6407</v>
      </c>
      <c r="G364" s="353" t="s">
        <v>6408</v>
      </c>
      <c r="H364" s="353" t="s">
        <v>6409</v>
      </c>
      <c r="I364" s="353" t="s">
        <v>6410</v>
      </c>
      <c r="J364" s="353" t="s">
        <v>6411</v>
      </c>
      <c r="K364" s="353" t="s">
        <v>6412</v>
      </c>
      <c r="L364" s="353" t="s">
        <v>6413</v>
      </c>
      <c r="M364" s="353" t="s">
        <v>6414</v>
      </c>
      <c r="N364" s="353" t="s">
        <v>6415</v>
      </c>
      <c r="O364" s="353" t="s">
        <v>6416</v>
      </c>
      <c r="P364" s="353" t="s">
        <v>6417</v>
      </c>
      <c r="Q364" s="974" t="s">
        <v>6427</v>
      </c>
      <c r="R364" s="974"/>
      <c r="S364" s="227">
        <f>S365+S366+S368+S369+S377+S379+S395+S403+S413</f>
        <v>0</v>
      </c>
    </row>
    <row r="365" spans="1:20" x14ac:dyDescent="0.25">
      <c r="A365" s="502" t="s">
        <v>1270</v>
      </c>
      <c r="B365" s="91">
        <f>IF($A365=Recto!$B$28,VLOOKUP($A365,Recto!$B$28:$L$44,6,FALSE),0)</f>
        <v>0</v>
      </c>
      <c r="C365" s="91">
        <f>IF($A365=Recto!$B$29,VLOOKUP($A365,Recto!$B$28:$L$44,6,FALSE),0)</f>
        <v>0</v>
      </c>
      <c r="D365" s="91">
        <f>IF($A365=Recto!$B$30,VLOOKUP($A365,Recto!$B$28:$L$44,6,FALSE),0)</f>
        <v>0</v>
      </c>
      <c r="E365" s="91">
        <f>IF($A365=Recto!$B$31,VLOOKUP($A365,Recto!$B$28:$L$44,6,FALSE),0)</f>
        <v>0</v>
      </c>
      <c r="F365" s="91">
        <f>IF($A365=Recto!$B$32,VLOOKUP($A365,Recto!$B$28:$L$44,6,FALSE),0)</f>
        <v>0</v>
      </c>
      <c r="G365" s="91">
        <f>IF($A365=Recto!$B$33,VLOOKUP($A365,Recto!$B$28:$L$44,6,FALSE),0)</f>
        <v>0</v>
      </c>
      <c r="H365" s="91">
        <f>IF($A365=Recto!$B$34,VLOOKUP($A365,Recto!$B$28:$L$44,6,FALSE),0)</f>
        <v>0</v>
      </c>
      <c r="I365" s="91">
        <f>IF($A365=Recto!$B$35,VLOOKUP($A365,Recto!$B$28:$L$44,6,FALSE),0)</f>
        <v>0</v>
      </c>
      <c r="J365" s="91">
        <f>IF($A365=Recto!$B$36,VLOOKUP($A365,Recto!$B$28:$L$44,6,FALSE),0)</f>
        <v>0</v>
      </c>
      <c r="K365" s="91">
        <f>IF($A365=Recto!$B$37,VLOOKUP($A365,Recto!$B$28:$L$44,6,FALSE),0)</f>
        <v>0</v>
      </c>
      <c r="L365" s="91">
        <f>IF($A365=Recto!$B$38,VLOOKUP($A365,Recto!$B$28:$L$44,6,FALSE),0)</f>
        <v>0</v>
      </c>
      <c r="M365" s="91">
        <f>IF($A365=Recto!$B$39,VLOOKUP($A365,Recto!$B$28:$L$44,6,FALSE),0)</f>
        <v>0</v>
      </c>
      <c r="N365" s="91">
        <f>IF($A365=Recto!$B$40,VLOOKUP($A365,Recto!$B$28:$L$44,6,FALSE),0)</f>
        <v>0</v>
      </c>
      <c r="O365" s="91">
        <f>IF($A365=Recto!$B$41,VLOOKUP($A365,Recto!$B$28:$L$44,6,FALSE),0)</f>
        <v>0</v>
      </c>
      <c r="P365" s="91">
        <f>IF($A365=Recto!$B$42,VLOOKUP($A365,Recto!$B$28:$L$44,6,FALSE),0)</f>
        <v>0</v>
      </c>
      <c r="Q365" s="91">
        <f>IF($A365=Recto!$B$43,VLOOKUP($A365,Recto!$B$28:$L$44,6,FALSE),0)</f>
        <v>0</v>
      </c>
      <c r="R365" s="91">
        <f>IF($A365=Recto!$B$44,VLOOKUP($A365,Recto!$B$28:$L$44,6,FALSE),0)</f>
        <v>0</v>
      </c>
      <c r="S365" s="295">
        <f>SUM(B365:R365)</f>
        <v>0</v>
      </c>
    </row>
    <row r="366" spans="1:20" x14ac:dyDescent="0.25">
      <c r="A366" s="502" t="s">
        <v>1271</v>
      </c>
      <c r="B366" s="91">
        <f>IF($A366=Recto!$B$28,VLOOKUP($A366,Recto!$B$28:$L$44,6,FALSE),0)</f>
        <v>0</v>
      </c>
      <c r="C366" s="91">
        <f>IF($A366=Recto!$B$29,VLOOKUP($A366,Recto!$B$28:$L$44,6,FALSE),0)</f>
        <v>0</v>
      </c>
      <c r="D366" s="91">
        <f>IF($A366=Recto!$B$30,VLOOKUP($A366,Recto!$B$28:$L$44,6,FALSE),0)</f>
        <v>0</v>
      </c>
      <c r="E366" s="91">
        <f>IF($A366=Recto!$B$31,VLOOKUP($A366,Recto!$B$28:$L$44,6,FALSE),0)</f>
        <v>0</v>
      </c>
      <c r="F366" s="91">
        <f>IF($A366=Recto!$B$32,VLOOKUP($A366,Recto!$B$28:$L$44,6,FALSE),0)</f>
        <v>0</v>
      </c>
      <c r="G366" s="91">
        <f>IF($A366=Recto!$B$33,VLOOKUP($A366,Recto!$B$28:$L$44,6,FALSE),0)</f>
        <v>0</v>
      </c>
      <c r="H366" s="91">
        <f>IF($A366=Recto!$B$34,VLOOKUP($A366,Recto!$B$28:$L$44,6,FALSE),0)</f>
        <v>0</v>
      </c>
      <c r="I366" s="91">
        <f>IF($A366=Recto!$B$35,VLOOKUP($A366,Recto!$B$28:$L$44,6,FALSE),0)</f>
        <v>0</v>
      </c>
      <c r="J366" s="91">
        <f>IF($A366=Recto!$B$36,VLOOKUP($A366,Recto!$B$28:$L$44,6,FALSE),0)</f>
        <v>0</v>
      </c>
      <c r="K366" s="91">
        <f>IF($A366=Recto!$B$37,VLOOKUP($A366,Recto!$B$28:$L$44,6,FALSE),0)</f>
        <v>0</v>
      </c>
      <c r="L366" s="91">
        <f>IF($A366=Recto!$B$38,VLOOKUP($A366,Recto!$B$28:$L$44,6,FALSE),0)</f>
        <v>0</v>
      </c>
      <c r="M366" s="91">
        <f>IF($A366=Recto!$B$39,VLOOKUP($A366,Recto!$B$28:$L$44,6,FALSE),0)</f>
        <v>0</v>
      </c>
      <c r="N366" s="91">
        <f>IF($A366=Recto!$B$40,VLOOKUP($A366,Recto!$B$28:$L$44,6,FALSE),0)</f>
        <v>0</v>
      </c>
      <c r="O366" s="91">
        <f>IF($A366=Recto!$B$41,VLOOKUP($A366,Recto!$B$28:$L$44,6,FALSE),0)</f>
        <v>0</v>
      </c>
      <c r="P366" s="91">
        <f>IF($A366=Recto!$B$42,VLOOKUP($A366,Recto!$B$28:$L$44,6,FALSE),0)</f>
        <v>0</v>
      </c>
      <c r="Q366" s="91">
        <f>IF($A366=Recto!$B$43,VLOOKUP($A366,Recto!$B$28:$L$44,6,FALSE),0)</f>
        <v>0</v>
      </c>
      <c r="R366" s="91">
        <f>IF($A366=Recto!$B$44,VLOOKUP($A366,Recto!$B$28:$L$44,6,FALSE),0)</f>
        <v>0</v>
      </c>
      <c r="S366" s="295">
        <f t="shared" ref="S366:S381" si="10">SUM(B366:R366)</f>
        <v>0</v>
      </c>
    </row>
    <row r="367" spans="1:20" x14ac:dyDescent="0.25">
      <c r="A367" s="502" t="s">
        <v>5826</v>
      </c>
      <c r="B367" s="91">
        <f>IF($A367=Recto!$B$28,VLOOKUP($A367,Recto!$B$28:$L$44,6,FALSE),0)</f>
        <v>0</v>
      </c>
      <c r="C367" s="91">
        <f>IF($A367=Recto!$B$29,VLOOKUP($A367,Recto!$B$28:$L$44,6,FALSE),0)</f>
        <v>0</v>
      </c>
      <c r="D367" s="91">
        <f>IF($A367=Recto!$B$30,VLOOKUP($A367,Recto!$B$28:$L$44,6,FALSE),0)</f>
        <v>0</v>
      </c>
      <c r="E367" s="91">
        <f>IF($A367=Recto!$B$31,VLOOKUP($A367,Recto!$B$28:$L$44,6,FALSE),0)</f>
        <v>0</v>
      </c>
      <c r="F367" s="91">
        <f>IF($A367=Recto!$B$32,VLOOKUP($A367,Recto!$B$28:$L$44,6,FALSE),0)</f>
        <v>0</v>
      </c>
      <c r="G367" s="91">
        <f>IF($A367=Recto!$B$33,VLOOKUP($A367,Recto!$B$28:$L$44,6,FALSE),0)</f>
        <v>0</v>
      </c>
      <c r="H367" s="91">
        <f>IF($A367=Recto!$B$34,VLOOKUP($A367,Recto!$B$28:$L$44,6,FALSE),0)</f>
        <v>0</v>
      </c>
      <c r="I367" s="91">
        <f>IF($A367=Recto!$B$35,VLOOKUP($A367,Recto!$B$28:$L$44,6,FALSE),0)</f>
        <v>0</v>
      </c>
      <c r="J367" s="91">
        <f>IF($A367=Recto!$B$36,VLOOKUP($A367,Recto!$B$28:$L$44,6,FALSE),0)</f>
        <v>0</v>
      </c>
      <c r="K367" s="91">
        <f>IF($A367=Recto!$B$37,VLOOKUP($A367,Recto!$B$28:$L$44,6,FALSE),0)</f>
        <v>0</v>
      </c>
      <c r="L367" s="91">
        <f>IF($A367=Recto!$B$38,VLOOKUP($A367,Recto!$B$28:$L$44,6,FALSE),0)</f>
        <v>0</v>
      </c>
      <c r="M367" s="91">
        <f>IF($A367=Recto!$B$39,VLOOKUP($A367,Recto!$B$28:$L$44,6,FALSE),0)</f>
        <v>0</v>
      </c>
      <c r="N367" s="91">
        <f>IF($A367=Recto!$B$40,VLOOKUP($A367,Recto!$B$28:$L$44,6,FALSE),0)</f>
        <v>0</v>
      </c>
      <c r="O367" s="91">
        <f>IF($A367=Recto!$B$41,VLOOKUP($A367,Recto!$B$28:$L$44,6,FALSE),0)</f>
        <v>0</v>
      </c>
      <c r="P367" s="91">
        <f>IF($A367=Recto!$B$42,VLOOKUP($A367,Recto!$B$28:$L$44,6,FALSE),0)</f>
        <v>0</v>
      </c>
      <c r="Q367" s="91">
        <f>IF($A367=Recto!$B$43,VLOOKUP($A367,Recto!$B$28:$L$44,6,FALSE),0)</f>
        <v>0</v>
      </c>
      <c r="R367" s="91">
        <f>IF($A367=Recto!$B$44,VLOOKUP($A367,Recto!$B$28:$L$44,6,FALSE),0)</f>
        <v>0</v>
      </c>
      <c r="S367" s="295">
        <f t="shared" si="10"/>
        <v>0</v>
      </c>
    </row>
    <row r="368" spans="1:20" x14ac:dyDescent="0.25">
      <c r="A368" s="502" t="s">
        <v>1274</v>
      </c>
      <c r="B368" s="91">
        <f>IF($A368=Recto!$B$28,VLOOKUP($A368,Recto!$B$28:$L$44,6,FALSE),0)</f>
        <v>0</v>
      </c>
      <c r="C368" s="91">
        <f>IF($A368=Recto!$B$29,VLOOKUP($A368,Recto!$B$28:$L$44,6,FALSE),0)</f>
        <v>0</v>
      </c>
      <c r="D368" s="91">
        <f>IF($A368=Recto!$B$30,VLOOKUP($A368,Recto!$B$28:$L$44,6,FALSE),0)</f>
        <v>0</v>
      </c>
      <c r="E368" s="91">
        <f>IF($A368=Recto!$B$31,VLOOKUP($A368,Recto!$B$28:$L$44,6,FALSE),0)</f>
        <v>0</v>
      </c>
      <c r="F368" s="91">
        <f>IF($A368=Recto!$B$32,VLOOKUP($A368,Recto!$B$28:$L$44,6,FALSE),0)</f>
        <v>0</v>
      </c>
      <c r="G368" s="91">
        <f>IF($A368=Recto!$B$33,VLOOKUP($A368,Recto!$B$28:$L$44,6,FALSE),0)</f>
        <v>0</v>
      </c>
      <c r="H368" s="91">
        <f>IF($A368=Recto!$B$34,VLOOKUP($A368,Recto!$B$28:$L$44,6,FALSE),0)</f>
        <v>0</v>
      </c>
      <c r="I368" s="91">
        <f>IF($A368=Recto!$B$35,VLOOKUP($A368,Recto!$B$28:$L$44,6,FALSE),0)</f>
        <v>0</v>
      </c>
      <c r="J368" s="91">
        <f>IF($A368=Recto!$B$36,VLOOKUP($A368,Recto!$B$28:$L$44,6,FALSE),0)</f>
        <v>0</v>
      </c>
      <c r="K368" s="91">
        <f>IF($A368=Recto!$B$37,VLOOKUP($A368,Recto!$B$28:$L$44,6,FALSE),0)</f>
        <v>0</v>
      </c>
      <c r="L368" s="91">
        <f>IF($A368=Recto!$B$38,VLOOKUP($A368,Recto!$B$28:$L$44,6,FALSE),0)</f>
        <v>0</v>
      </c>
      <c r="M368" s="91">
        <f>IF($A368=Recto!$B$39,VLOOKUP($A368,Recto!$B$28:$L$44,6,FALSE),0)</f>
        <v>0</v>
      </c>
      <c r="N368" s="91">
        <f>IF($A368=Recto!$B$40,VLOOKUP($A368,Recto!$B$28:$L$44,6,FALSE),0)</f>
        <v>0</v>
      </c>
      <c r="O368" s="91">
        <f>IF($A368=Recto!$B$41,VLOOKUP($A368,Recto!$B$28:$L$44,6,FALSE),0)</f>
        <v>0</v>
      </c>
      <c r="P368" s="91">
        <f>IF($A368=Recto!$B$42,VLOOKUP($A368,Recto!$B$28:$L$44,6,FALSE),0)</f>
        <v>0</v>
      </c>
      <c r="Q368" s="91">
        <f>IF($A368=Recto!$B$43,VLOOKUP($A368,Recto!$B$28:$L$44,6,FALSE),0)</f>
        <v>0</v>
      </c>
      <c r="R368" s="91">
        <f>IF($A368=Recto!$B$44,VLOOKUP($A368,Recto!$B$28:$L$44,6,FALSE),0)</f>
        <v>0</v>
      </c>
      <c r="S368" s="295">
        <f t="shared" si="10"/>
        <v>0</v>
      </c>
    </row>
    <row r="369" spans="1:19" x14ac:dyDescent="0.25">
      <c r="A369" s="502" t="s">
        <v>1272</v>
      </c>
      <c r="B369" s="91">
        <f>IF($A369=Recto!$B$28,VLOOKUP($A369,Recto!$B$28:$L$44,6,FALSE),0)</f>
        <v>0</v>
      </c>
      <c r="C369" s="91">
        <f>IF($A369=Recto!$B$29,VLOOKUP($A369,Recto!$B$28:$L$44,6,FALSE),0)</f>
        <v>0</v>
      </c>
      <c r="D369" s="91">
        <f>IF($A369=Recto!$B$30,VLOOKUP($A369,Recto!$B$28:$L$44,6,FALSE),0)</f>
        <v>0</v>
      </c>
      <c r="E369" s="91">
        <f>IF($A369=Recto!$B$31,VLOOKUP($A369,Recto!$B$28:$L$44,6,FALSE),0)</f>
        <v>0</v>
      </c>
      <c r="F369" s="91">
        <f>IF($A369=Recto!$B$32,VLOOKUP($A369,Recto!$B$28:$L$44,6,FALSE),0)</f>
        <v>0</v>
      </c>
      <c r="G369" s="91">
        <f>IF($A369=Recto!$B$33,VLOOKUP($A369,Recto!$B$28:$L$44,6,FALSE),0)</f>
        <v>0</v>
      </c>
      <c r="H369" s="91">
        <f>IF($A369=Recto!$B$34,VLOOKUP($A369,Recto!$B$28:$L$44,6,FALSE),0)</f>
        <v>0</v>
      </c>
      <c r="I369" s="91">
        <f>IF($A369=Recto!$B$35,VLOOKUP($A369,Recto!$B$28:$L$44,6,FALSE),0)</f>
        <v>0</v>
      </c>
      <c r="J369" s="91">
        <f>IF($A369=Recto!$B$36,VLOOKUP($A369,Recto!$B$28:$L$44,6,FALSE),0)</f>
        <v>0</v>
      </c>
      <c r="K369" s="91">
        <f>IF($A369=Recto!$B$37,VLOOKUP($A369,Recto!$B$28:$L$44,6,FALSE),0)</f>
        <v>0</v>
      </c>
      <c r="L369" s="91">
        <f>IF($A369=Recto!$B$38,VLOOKUP($A369,Recto!$B$28:$L$44,6,FALSE),0)</f>
        <v>0</v>
      </c>
      <c r="M369" s="91">
        <f>IF($A369=Recto!$B$39,VLOOKUP($A369,Recto!$B$28:$L$44,6,FALSE),0)</f>
        <v>0</v>
      </c>
      <c r="N369" s="91">
        <f>IF($A369=Recto!$B$40,VLOOKUP($A369,Recto!$B$28:$L$44,6,FALSE),0)</f>
        <v>0</v>
      </c>
      <c r="O369" s="91">
        <f>IF($A369=Recto!$B$41,VLOOKUP($A369,Recto!$B$28:$L$44,6,FALSE),0)</f>
        <v>0</v>
      </c>
      <c r="P369" s="91">
        <f>IF($A369=Recto!$B$42,VLOOKUP($A369,Recto!$B$28:$L$44,6,FALSE),0)</f>
        <v>0</v>
      </c>
      <c r="Q369" s="91">
        <f>IF($A369=Recto!$B$43,VLOOKUP($A369,Recto!$B$28:$L$44,6,FALSE),0)</f>
        <v>0</v>
      </c>
      <c r="R369" s="91">
        <f>IF($A369=Recto!$B$44,VLOOKUP($A369,Recto!$B$28:$L$44,6,FALSE),0)</f>
        <v>0</v>
      </c>
      <c r="S369" s="295">
        <f t="shared" si="10"/>
        <v>0</v>
      </c>
    </row>
    <row r="370" spans="1:19" x14ac:dyDescent="0.25">
      <c r="A370" s="502" t="s">
        <v>1262</v>
      </c>
      <c r="B370" s="91">
        <f>IF($A370=Recto!$B$28,VLOOKUP($A370,Recto!$B$28:$L$44,6,FALSE),0)</f>
        <v>0</v>
      </c>
      <c r="C370" s="91">
        <f>IF($A370=Recto!$B$29,VLOOKUP($A370,Recto!$B$28:$L$44,6,FALSE),0)</f>
        <v>0</v>
      </c>
      <c r="D370" s="91">
        <f>IF($A370=Recto!$B$30,VLOOKUP($A370,Recto!$B$28:$L$44,6,FALSE),0)</f>
        <v>0</v>
      </c>
      <c r="E370" s="91">
        <f>IF($A370=Recto!$B$31,VLOOKUP($A370,Recto!$B$28:$L$44,6,FALSE),0)</f>
        <v>0</v>
      </c>
      <c r="F370" s="91">
        <f>IF($A370=Recto!$B$32,VLOOKUP($A370,Recto!$B$28:$L$44,6,FALSE),0)</f>
        <v>0</v>
      </c>
      <c r="G370" s="91">
        <f>IF($A370=Recto!$B$33,VLOOKUP($A370,Recto!$B$28:$L$44,6,FALSE),0)</f>
        <v>0</v>
      </c>
      <c r="H370" s="91">
        <f>IF($A370=Recto!$B$34,VLOOKUP($A370,Recto!$B$28:$L$44,6,FALSE),0)</f>
        <v>0</v>
      </c>
      <c r="I370" s="91">
        <f>IF($A370=Recto!$B$35,VLOOKUP($A370,Recto!$B$28:$L$44,6,FALSE),0)</f>
        <v>0</v>
      </c>
      <c r="J370" s="91">
        <f>IF($A370=Recto!$B$36,VLOOKUP($A370,Recto!$B$28:$L$44,6,FALSE),0)</f>
        <v>0</v>
      </c>
      <c r="K370" s="91">
        <f>IF($A370=Recto!$B$37,VLOOKUP($A370,Recto!$B$28:$L$44,6,FALSE),0)</f>
        <v>0</v>
      </c>
      <c r="L370" s="91">
        <f>IF($A370=Recto!$B$38,VLOOKUP($A370,Recto!$B$28:$L$44,6,FALSE),0)</f>
        <v>0</v>
      </c>
      <c r="M370" s="91">
        <f>IF($A370=Recto!$B$39,VLOOKUP($A370,Recto!$B$28:$L$44,6,FALSE),0)</f>
        <v>0</v>
      </c>
      <c r="N370" s="91">
        <f>IF($A370=Recto!$B$40,VLOOKUP($A370,Recto!$B$28:$L$44,6,FALSE),0)</f>
        <v>0</v>
      </c>
      <c r="O370" s="91">
        <f>IF($A370=Recto!$B$41,VLOOKUP($A370,Recto!$B$28:$L$44,6,FALSE),0)</f>
        <v>0</v>
      </c>
      <c r="P370" s="91">
        <f>IF($A370=Recto!$B$42,VLOOKUP($A370,Recto!$B$28:$L$44,6,FALSE),0)</f>
        <v>0</v>
      </c>
      <c r="Q370" s="91">
        <f>IF($A370=Recto!$B$43,VLOOKUP($A370,Recto!$B$28:$L$44,6,FALSE),0)</f>
        <v>0</v>
      </c>
      <c r="R370" s="91">
        <f>IF($A370=Recto!$B$44,VLOOKUP($A370,Recto!$B$28:$L$44,6,FALSE),0)</f>
        <v>0</v>
      </c>
      <c r="S370" s="295">
        <f t="shared" si="10"/>
        <v>0</v>
      </c>
    </row>
    <row r="371" spans="1:19" x14ac:dyDescent="0.25">
      <c r="A371" s="502" t="s">
        <v>231</v>
      </c>
      <c r="B371" s="91">
        <f>IF($A371=Recto!$B$28,VLOOKUP($A371,Recto!$B$28:$L$44,6,FALSE),0)</f>
        <v>0</v>
      </c>
      <c r="C371" s="91">
        <f>IF($A371=Recto!$B$29,VLOOKUP($A371,Recto!$B$28:$L$44,6,FALSE),0)</f>
        <v>0</v>
      </c>
      <c r="D371" s="91">
        <f>IF($A371=Recto!$B$30,VLOOKUP($A371,Recto!$B$28:$L$44,6,FALSE),0)</f>
        <v>0</v>
      </c>
      <c r="E371" s="91">
        <f>IF($A371=Recto!$B$31,VLOOKUP($A371,Recto!$B$28:$L$44,6,FALSE),0)</f>
        <v>0</v>
      </c>
      <c r="F371" s="91">
        <f>IF($A371=Recto!$B$32,VLOOKUP($A371,Recto!$B$28:$L$44,6,FALSE),0)</f>
        <v>0</v>
      </c>
      <c r="G371" s="91">
        <f>IF($A371=Recto!$B$33,VLOOKUP($A371,Recto!$B$28:$L$44,6,FALSE),0)</f>
        <v>0</v>
      </c>
      <c r="H371" s="91">
        <f>IF($A371=Recto!$B$34,VLOOKUP($A371,Recto!$B$28:$L$44,6,FALSE),0)</f>
        <v>0</v>
      </c>
      <c r="I371" s="91">
        <f>IF($A371=Recto!$B$35,VLOOKUP($A371,Recto!$B$28:$L$44,6,FALSE),0)</f>
        <v>0</v>
      </c>
      <c r="J371" s="91">
        <f>IF($A371=Recto!$B$36,VLOOKUP($A371,Recto!$B$28:$L$44,6,FALSE),0)</f>
        <v>0</v>
      </c>
      <c r="K371" s="91">
        <f>IF($A371=Recto!$B$37,VLOOKUP($A371,Recto!$B$28:$L$44,6,FALSE),0)</f>
        <v>0</v>
      </c>
      <c r="L371" s="91">
        <f>IF($A371=Recto!$B$38,VLOOKUP($A371,Recto!$B$28:$L$44,6,FALSE),0)</f>
        <v>0</v>
      </c>
      <c r="M371" s="91">
        <f>IF($A371=Recto!$B$39,VLOOKUP($A371,Recto!$B$28:$L$44,6,FALSE),0)</f>
        <v>0</v>
      </c>
      <c r="N371" s="91">
        <f>IF($A371=Recto!$B$40,VLOOKUP($A371,Recto!$B$28:$L$44,6,FALSE),0)</f>
        <v>0</v>
      </c>
      <c r="O371" s="91">
        <f>IF($A371=Recto!$B$41,VLOOKUP($A371,Recto!$B$28:$L$44,6,FALSE),0)</f>
        <v>0</v>
      </c>
      <c r="P371" s="91">
        <f>IF($A371=Recto!$B$42,VLOOKUP($A371,Recto!$B$28:$L$44,6,FALSE),0)</f>
        <v>0</v>
      </c>
      <c r="Q371" s="91">
        <f>IF($A371=Recto!$B$43,VLOOKUP($A371,Recto!$B$28:$L$44,6,FALSE),0)</f>
        <v>0</v>
      </c>
      <c r="R371" s="91">
        <f>IF($A371=Recto!$B$44,VLOOKUP($A371,Recto!$B$28:$L$44,6,FALSE),0)</f>
        <v>0</v>
      </c>
      <c r="S371" s="295">
        <f t="shared" si="10"/>
        <v>0</v>
      </c>
    </row>
    <row r="372" spans="1:19" x14ac:dyDescent="0.25">
      <c r="A372" s="502" t="s">
        <v>1260</v>
      </c>
      <c r="B372" s="91">
        <f>IF($A372=Recto!$B$28,VLOOKUP($A372,Recto!$B$28:$L$44,6,FALSE),0)</f>
        <v>0</v>
      </c>
      <c r="C372" s="91">
        <f>IF($A372=Recto!$B$29,VLOOKUP($A372,Recto!$B$28:$L$44,6,FALSE),0)</f>
        <v>0</v>
      </c>
      <c r="D372" s="91">
        <f>IF($A372=Recto!$B$30,VLOOKUP($A372,Recto!$B$28:$L$44,6,FALSE),0)</f>
        <v>0</v>
      </c>
      <c r="E372" s="91">
        <f>IF($A372=Recto!$B$31,VLOOKUP($A372,Recto!$B$28:$L$44,6,FALSE),0)</f>
        <v>0</v>
      </c>
      <c r="F372" s="91">
        <f>IF($A372=Recto!$B$32,VLOOKUP($A372,Recto!$B$28:$L$44,6,FALSE),0)</f>
        <v>0</v>
      </c>
      <c r="G372" s="91">
        <f>IF($A372=Recto!$B$33,VLOOKUP($A372,Recto!$B$28:$L$44,6,FALSE),0)</f>
        <v>0</v>
      </c>
      <c r="H372" s="91">
        <f>IF($A372=Recto!$B$34,VLOOKUP($A372,Recto!$B$28:$L$44,6,FALSE),0)</f>
        <v>0</v>
      </c>
      <c r="I372" s="91">
        <f>IF($A372=Recto!$B$35,VLOOKUP($A372,Recto!$B$28:$L$44,6,FALSE),0)</f>
        <v>0</v>
      </c>
      <c r="J372" s="91">
        <f>IF($A372=Recto!$B$36,VLOOKUP($A372,Recto!$B$28:$L$44,6,FALSE),0)</f>
        <v>0</v>
      </c>
      <c r="K372" s="91">
        <f>IF($A372=Recto!$B$37,VLOOKUP($A372,Recto!$B$28:$L$44,6,FALSE),0)</f>
        <v>0</v>
      </c>
      <c r="L372" s="91">
        <f>IF($A372=Recto!$B$38,VLOOKUP($A372,Recto!$B$28:$L$44,6,FALSE),0)</f>
        <v>0</v>
      </c>
      <c r="M372" s="91">
        <f>IF($A372=Recto!$B$39,VLOOKUP($A372,Recto!$B$28:$L$44,6,FALSE),0)</f>
        <v>0</v>
      </c>
      <c r="N372" s="91">
        <f>IF($A372=Recto!$B$40,VLOOKUP($A372,Recto!$B$28:$L$44,6,FALSE),0)</f>
        <v>0</v>
      </c>
      <c r="O372" s="91">
        <f>IF($A372=Recto!$B$41,VLOOKUP($A372,Recto!$B$28:$L$44,6,FALSE),0)</f>
        <v>0</v>
      </c>
      <c r="P372" s="91">
        <f>IF($A372=Recto!$B$42,VLOOKUP($A372,Recto!$B$28:$L$44,6,FALSE),0)</f>
        <v>0</v>
      </c>
      <c r="Q372" s="91">
        <f>IF($A372=Recto!$B$43,VLOOKUP($A372,Recto!$B$28:$L$44,6,FALSE),0)</f>
        <v>0</v>
      </c>
      <c r="R372" s="91">
        <f>IF($A372=Recto!$B$44,VLOOKUP($A372,Recto!$B$28:$L$44,6,FALSE),0)</f>
        <v>0</v>
      </c>
      <c r="S372" s="295">
        <f t="shared" si="10"/>
        <v>0</v>
      </c>
    </row>
    <row r="373" spans="1:19" x14ac:dyDescent="0.25">
      <c r="A373" s="502" t="s">
        <v>3326</v>
      </c>
      <c r="B373" s="91">
        <f>IF($A373=Recto!$B$28,VLOOKUP($A373,Recto!$B$28:$L$44,6,FALSE),0)</f>
        <v>0</v>
      </c>
      <c r="C373" s="91">
        <f>IF($A373=Recto!$B$29,VLOOKUP($A373,Recto!$B$28:$L$44,6,FALSE),0)</f>
        <v>0</v>
      </c>
      <c r="D373" s="91">
        <f>IF($A373=Recto!$B$30,VLOOKUP($A373,Recto!$B$28:$L$44,6,FALSE),0)</f>
        <v>0</v>
      </c>
      <c r="E373" s="91">
        <f>IF($A373=Recto!$B$31,VLOOKUP($A373,Recto!$B$28:$L$44,6,FALSE),0)</f>
        <v>0</v>
      </c>
      <c r="F373" s="91">
        <f>IF($A373=Recto!$B$32,VLOOKUP($A373,Recto!$B$28:$L$44,6,FALSE),0)</f>
        <v>0</v>
      </c>
      <c r="G373" s="91">
        <f>IF($A373=Recto!$B$33,VLOOKUP($A373,Recto!$B$28:$L$44,6,FALSE),0)</f>
        <v>0</v>
      </c>
      <c r="H373" s="91">
        <f>IF($A373=Recto!$B$34,VLOOKUP($A373,Recto!$B$28:$L$44,6,FALSE),0)</f>
        <v>0</v>
      </c>
      <c r="I373" s="91">
        <f>IF($A373=Recto!$B$35,VLOOKUP($A373,Recto!$B$28:$L$44,6,FALSE),0)</f>
        <v>0</v>
      </c>
      <c r="J373" s="91">
        <f>IF($A373=Recto!$B$36,VLOOKUP($A373,Recto!$B$28:$L$44,6,FALSE),0)</f>
        <v>0</v>
      </c>
      <c r="K373" s="91">
        <f>IF($A373=Recto!$B$37,VLOOKUP($A373,Recto!$B$28:$L$44,6,FALSE),0)</f>
        <v>0</v>
      </c>
      <c r="L373" s="91">
        <f>IF($A373=Recto!$B$38,VLOOKUP($A373,Recto!$B$28:$L$44,6,FALSE),0)</f>
        <v>0</v>
      </c>
      <c r="M373" s="91">
        <f>IF($A373=Recto!$B$39,VLOOKUP($A373,Recto!$B$28:$L$44,6,FALSE),0)</f>
        <v>0</v>
      </c>
      <c r="N373" s="91">
        <f>IF($A373=Recto!$B$40,VLOOKUP($A373,Recto!$B$28:$L$44,6,FALSE),0)</f>
        <v>0</v>
      </c>
      <c r="O373" s="91">
        <f>IF($A373=Recto!$B$41,VLOOKUP($A373,Recto!$B$28:$L$44,6,FALSE),0)</f>
        <v>0</v>
      </c>
      <c r="P373" s="91">
        <f>IF($A373=Recto!$B$42,VLOOKUP($A373,Recto!$B$28:$L$44,6,FALSE),0)</f>
        <v>0</v>
      </c>
      <c r="Q373" s="91">
        <f>IF($A373=Recto!$B$43,VLOOKUP($A373,Recto!$B$28:$L$44,6,FALSE),0)</f>
        <v>0</v>
      </c>
      <c r="R373" s="91">
        <f>IF($A373=Recto!$B$44,VLOOKUP($A373,Recto!$B$28:$L$44,6,FALSE),0)</f>
        <v>0</v>
      </c>
      <c r="S373" s="295">
        <f t="shared" si="10"/>
        <v>0</v>
      </c>
    </row>
    <row r="374" spans="1:19" x14ac:dyDescent="0.25">
      <c r="A374" s="502" t="s">
        <v>3327</v>
      </c>
      <c r="B374" s="91">
        <f>IF($A374=Recto!$B$28,VLOOKUP($A374,Recto!$B$28:$L$44,6,FALSE),0)</f>
        <v>0</v>
      </c>
      <c r="C374" s="91">
        <f>IF($A374=Recto!$B$29,VLOOKUP($A374,Recto!$B$28:$L$44,6,FALSE),0)</f>
        <v>0</v>
      </c>
      <c r="D374" s="91">
        <f>IF($A374=Recto!$B$30,VLOOKUP($A374,Recto!$B$28:$L$44,6,FALSE),0)</f>
        <v>0</v>
      </c>
      <c r="E374" s="91">
        <f>IF($A374=Recto!$B$31,VLOOKUP($A374,Recto!$B$28:$L$44,6,FALSE),0)</f>
        <v>0</v>
      </c>
      <c r="F374" s="91">
        <f>IF($A374=Recto!$B$32,VLOOKUP($A374,Recto!$B$28:$L$44,6,FALSE),0)</f>
        <v>0</v>
      </c>
      <c r="G374" s="91">
        <f>IF($A374=Recto!$B$33,VLOOKUP($A374,Recto!$B$28:$L$44,6,FALSE),0)</f>
        <v>0</v>
      </c>
      <c r="H374" s="91">
        <f>IF($A374=Recto!$B$34,VLOOKUP($A374,Recto!$B$28:$L$44,6,FALSE),0)</f>
        <v>0</v>
      </c>
      <c r="I374" s="91">
        <f>IF($A374=Recto!$B$35,VLOOKUP($A374,Recto!$B$28:$L$44,6,FALSE),0)</f>
        <v>0</v>
      </c>
      <c r="J374" s="91">
        <f>IF($A374=Recto!$B$36,VLOOKUP($A374,Recto!$B$28:$L$44,6,FALSE),0)</f>
        <v>0</v>
      </c>
      <c r="K374" s="91">
        <f>IF($A374=Recto!$B$37,VLOOKUP($A374,Recto!$B$28:$L$44,6,FALSE),0)</f>
        <v>0</v>
      </c>
      <c r="L374" s="91">
        <f>IF($A374=Recto!$B$38,VLOOKUP($A374,Recto!$B$28:$L$44,6,FALSE),0)</f>
        <v>0</v>
      </c>
      <c r="M374" s="91">
        <f>IF($A374=Recto!$B$39,VLOOKUP($A374,Recto!$B$28:$L$44,6,FALSE),0)</f>
        <v>0</v>
      </c>
      <c r="N374" s="91">
        <f>IF($A374=Recto!$B$40,VLOOKUP($A374,Recto!$B$28:$L$44,6,FALSE),0)</f>
        <v>0</v>
      </c>
      <c r="O374" s="91">
        <f>IF($A374=Recto!$B$41,VLOOKUP($A374,Recto!$B$28:$L$44,6,FALSE),0)</f>
        <v>0</v>
      </c>
      <c r="P374" s="91">
        <f>IF($A374=Recto!$B$42,VLOOKUP($A374,Recto!$B$28:$L$44,6,FALSE),0)</f>
        <v>0</v>
      </c>
      <c r="Q374" s="91">
        <f>IF($A374=Recto!$B$43,VLOOKUP($A374,Recto!$B$28:$L$44,6,FALSE),0)</f>
        <v>0</v>
      </c>
      <c r="R374" s="91">
        <f>IF($A374=Recto!$B$44,VLOOKUP($A374,Recto!$B$28:$L$44,6,FALSE),0)</f>
        <v>0</v>
      </c>
      <c r="S374" s="295">
        <f t="shared" si="10"/>
        <v>0</v>
      </c>
    </row>
    <row r="375" spans="1:19" x14ac:dyDescent="0.25">
      <c r="A375" s="502" t="s">
        <v>3328</v>
      </c>
      <c r="B375" s="91">
        <f>IF($A375=Recto!$B$28,VLOOKUP($A375,Recto!$B$28:$L$44,6,FALSE),0)</f>
        <v>0</v>
      </c>
      <c r="C375" s="91">
        <f>IF($A375=Recto!$B$29,VLOOKUP($A375,Recto!$B$28:$L$44,6,FALSE),0)</f>
        <v>0</v>
      </c>
      <c r="D375" s="91">
        <f>IF($A375=Recto!$B$30,VLOOKUP($A375,Recto!$B$28:$L$44,6,FALSE),0)</f>
        <v>0</v>
      </c>
      <c r="E375" s="91">
        <f>IF($A375=Recto!$B$31,VLOOKUP($A375,Recto!$B$28:$L$44,6,FALSE),0)</f>
        <v>0</v>
      </c>
      <c r="F375" s="91">
        <f>IF($A375=Recto!$B$32,VLOOKUP($A375,Recto!$B$28:$L$44,6,FALSE),0)</f>
        <v>0</v>
      </c>
      <c r="G375" s="91">
        <f>IF($A375=Recto!$B$33,VLOOKUP($A375,Recto!$B$28:$L$44,6,FALSE),0)</f>
        <v>0</v>
      </c>
      <c r="H375" s="91">
        <f>IF($A375=Recto!$B$34,VLOOKUP($A375,Recto!$B$28:$L$44,6,FALSE),0)</f>
        <v>0</v>
      </c>
      <c r="I375" s="91">
        <f>IF($A375=Recto!$B$35,VLOOKUP($A375,Recto!$B$28:$L$44,6,FALSE),0)</f>
        <v>0</v>
      </c>
      <c r="J375" s="91">
        <f>IF($A375=Recto!$B$36,VLOOKUP($A375,Recto!$B$28:$L$44,6,FALSE),0)</f>
        <v>0</v>
      </c>
      <c r="K375" s="91">
        <f>IF($A375=Recto!$B$37,VLOOKUP($A375,Recto!$B$28:$L$44,6,FALSE),0)</f>
        <v>0</v>
      </c>
      <c r="L375" s="91">
        <f>IF($A375=Recto!$B$38,VLOOKUP($A375,Recto!$B$28:$L$44,6,FALSE),0)</f>
        <v>0</v>
      </c>
      <c r="M375" s="91">
        <f>IF($A375=Recto!$B$39,VLOOKUP($A375,Recto!$B$28:$L$44,6,FALSE),0)</f>
        <v>0</v>
      </c>
      <c r="N375" s="91">
        <f>IF($A375=Recto!$B$40,VLOOKUP($A375,Recto!$B$28:$L$44,6,FALSE),0)</f>
        <v>0</v>
      </c>
      <c r="O375" s="91">
        <f>IF($A375=Recto!$B$41,VLOOKUP($A375,Recto!$B$28:$L$44,6,FALSE),0)</f>
        <v>0</v>
      </c>
      <c r="P375" s="91">
        <f>IF($A375=Recto!$B$42,VLOOKUP($A375,Recto!$B$28:$L$44,6,FALSE),0)</f>
        <v>0</v>
      </c>
      <c r="Q375" s="91">
        <f>IF($A375=Recto!$B$43,VLOOKUP($A375,Recto!$B$28:$L$44,6,FALSE),0)</f>
        <v>0</v>
      </c>
      <c r="R375" s="91">
        <f>IF($A375=Recto!$B$44,VLOOKUP($A375,Recto!$B$28:$L$44,6,FALSE),0)</f>
        <v>0</v>
      </c>
      <c r="S375" s="295">
        <f t="shared" si="10"/>
        <v>0</v>
      </c>
    </row>
    <row r="376" spans="1:19" x14ac:dyDescent="0.25">
      <c r="A376" s="502" t="s">
        <v>1267</v>
      </c>
      <c r="B376" s="91">
        <f>IF($A376=Recto!$B$28,VLOOKUP($A376,Recto!$B$28:$L$44,6,FALSE),0)</f>
        <v>0</v>
      </c>
      <c r="C376" s="91">
        <f>IF($A376=Recto!$B$29,VLOOKUP($A376,Recto!$B$28:$L$44,6,FALSE),0)</f>
        <v>0</v>
      </c>
      <c r="D376" s="91">
        <f>IF($A376=Recto!$B$30,VLOOKUP($A376,Recto!$B$28:$L$44,6,FALSE),0)</f>
        <v>0</v>
      </c>
      <c r="E376" s="91">
        <f>IF($A376=Recto!$B$31,VLOOKUP($A376,Recto!$B$28:$L$44,6,FALSE),0)</f>
        <v>0</v>
      </c>
      <c r="F376" s="91">
        <f>IF($A376=Recto!$B$32,VLOOKUP($A376,Recto!$B$28:$L$44,6,FALSE),0)</f>
        <v>0</v>
      </c>
      <c r="G376" s="91">
        <f>IF($A376=Recto!$B$33,VLOOKUP($A376,Recto!$B$28:$L$44,6,FALSE),0)</f>
        <v>0</v>
      </c>
      <c r="H376" s="91">
        <f>IF($A376=Recto!$B$34,VLOOKUP($A376,Recto!$B$28:$L$44,6,FALSE),0)</f>
        <v>0</v>
      </c>
      <c r="I376" s="91">
        <f>IF($A376=Recto!$B$35,VLOOKUP($A376,Recto!$B$28:$L$44,6,FALSE),0)</f>
        <v>0</v>
      </c>
      <c r="J376" s="91">
        <f>IF($A376=Recto!$B$36,VLOOKUP($A376,Recto!$B$28:$L$44,6,FALSE),0)</f>
        <v>0</v>
      </c>
      <c r="K376" s="91">
        <f>IF($A376=Recto!$B$37,VLOOKUP($A376,Recto!$B$28:$L$44,6,FALSE),0)</f>
        <v>0</v>
      </c>
      <c r="L376" s="91">
        <f>IF($A376=Recto!$B$38,VLOOKUP($A376,Recto!$B$28:$L$44,6,FALSE),0)</f>
        <v>0</v>
      </c>
      <c r="M376" s="91">
        <f>IF($A376=Recto!$B$39,VLOOKUP($A376,Recto!$B$28:$L$44,6,FALSE),0)</f>
        <v>0</v>
      </c>
      <c r="N376" s="91">
        <f>IF($A376=Recto!$B$40,VLOOKUP($A376,Recto!$B$28:$L$44,6,FALSE),0)</f>
        <v>0</v>
      </c>
      <c r="O376" s="91">
        <f>IF($A376=Recto!$B$41,VLOOKUP($A376,Recto!$B$28:$L$44,6,FALSE),0)</f>
        <v>0</v>
      </c>
      <c r="P376" s="91">
        <f>IF($A376=Recto!$B$42,VLOOKUP($A376,Recto!$B$28:$L$44,6,FALSE),0)</f>
        <v>0</v>
      </c>
      <c r="Q376" s="91">
        <f>IF($A376=Recto!$B$43,VLOOKUP($A376,Recto!$B$28:$L$44,6,FALSE),0)</f>
        <v>0</v>
      </c>
      <c r="R376" s="91">
        <f>IF($A376=Recto!$B$44,VLOOKUP($A376,Recto!$B$28:$L$44,6,FALSE),0)</f>
        <v>0</v>
      </c>
      <c r="S376" s="295">
        <f t="shared" si="10"/>
        <v>0</v>
      </c>
    </row>
    <row r="377" spans="1:19" x14ac:dyDescent="0.25">
      <c r="A377" s="502" t="s">
        <v>1277</v>
      </c>
      <c r="B377" s="91">
        <f>IF($A377=Recto!$B$28,VLOOKUP($A377,Recto!$B$28:$L$44,6,FALSE),0)</f>
        <v>0</v>
      </c>
      <c r="C377" s="91">
        <f>IF($A377=Recto!$B$29,VLOOKUP($A377,Recto!$B$28:$L$44,6,FALSE),0)</f>
        <v>0</v>
      </c>
      <c r="D377" s="91">
        <f>IF($A377=Recto!$B$30,VLOOKUP($A377,Recto!$B$28:$L$44,6,FALSE),0)</f>
        <v>0</v>
      </c>
      <c r="E377" s="91">
        <f>IF($A377=Recto!$B$31,VLOOKUP($A377,Recto!$B$28:$L$44,6,FALSE),0)</f>
        <v>0</v>
      </c>
      <c r="F377" s="91">
        <f>IF($A377=Recto!$B$32,VLOOKUP($A377,Recto!$B$28:$L$44,6,FALSE),0)</f>
        <v>0</v>
      </c>
      <c r="G377" s="91">
        <f>IF($A377=Recto!$B$33,VLOOKUP($A377,Recto!$B$28:$L$44,6,FALSE),0)</f>
        <v>0</v>
      </c>
      <c r="H377" s="91">
        <f>IF($A377=Recto!$B$34,VLOOKUP($A377,Recto!$B$28:$L$44,6,FALSE),0)</f>
        <v>0</v>
      </c>
      <c r="I377" s="91">
        <f>IF($A377=Recto!$B$35,VLOOKUP($A377,Recto!$B$28:$L$44,6,FALSE),0)</f>
        <v>0</v>
      </c>
      <c r="J377" s="91">
        <f>IF($A377=Recto!$B$36,VLOOKUP($A377,Recto!$B$28:$L$44,6,FALSE),0)</f>
        <v>0</v>
      </c>
      <c r="K377" s="91">
        <f>IF($A377=Recto!$B$37,VLOOKUP($A377,Recto!$B$28:$L$44,6,FALSE),0)</f>
        <v>0</v>
      </c>
      <c r="L377" s="91">
        <f>IF($A377=Recto!$B$38,VLOOKUP($A377,Recto!$B$28:$L$44,6,FALSE),0)</f>
        <v>0</v>
      </c>
      <c r="M377" s="91">
        <f>IF($A377=Recto!$B$39,VLOOKUP($A377,Recto!$B$28:$L$44,6,FALSE),0)</f>
        <v>0</v>
      </c>
      <c r="N377" s="91">
        <f>IF($A377=Recto!$B$40,VLOOKUP($A377,Recto!$B$28:$L$44,6,FALSE),0)</f>
        <v>0</v>
      </c>
      <c r="O377" s="91">
        <f>IF($A377=Recto!$B$41,VLOOKUP($A377,Recto!$B$28:$L$44,6,FALSE),0)</f>
        <v>0</v>
      </c>
      <c r="P377" s="91">
        <f>IF($A377=Recto!$B$42,VLOOKUP($A377,Recto!$B$28:$L$44,6,FALSE),0)</f>
        <v>0</v>
      </c>
      <c r="Q377" s="91">
        <f>IF($A377=Recto!$B$43,VLOOKUP($A377,Recto!$B$28:$L$44,6,FALSE),0)</f>
        <v>0</v>
      </c>
      <c r="R377" s="91">
        <f>IF($A377=Recto!$B$44,VLOOKUP($A377,Recto!$B$28:$L$44,6,FALSE),0)</f>
        <v>0</v>
      </c>
      <c r="S377" s="295">
        <f t="shared" si="10"/>
        <v>0</v>
      </c>
    </row>
    <row r="378" spans="1:19" x14ac:dyDescent="0.25">
      <c r="A378" s="502" t="str">
        <f>IF(Contexte_jeu&lt;&gt;"L'Empire Stellaire d'Emeraude","Calligraphie","Cryptographie")</f>
        <v>Calligraphie</v>
      </c>
      <c r="B378" s="91">
        <f>IF($A378=Recto!$B$28,VLOOKUP($A378,Recto!$B$28:$L$44,6,FALSE),0)</f>
        <v>0</v>
      </c>
      <c r="C378" s="91">
        <f>IF($A378=Recto!$B$29,VLOOKUP($A378,Recto!$B$28:$L$44,6,FALSE),0)</f>
        <v>0</v>
      </c>
      <c r="D378" s="91">
        <f>IF($A378=Recto!$B$30,VLOOKUP($A378,Recto!$B$28:$L$44,6,FALSE),0)</f>
        <v>0</v>
      </c>
      <c r="E378" s="91">
        <f>IF($A378=Recto!$B$31,VLOOKUP($A378,Recto!$B$28:$L$44,6,FALSE),0)</f>
        <v>0</v>
      </c>
      <c r="F378" s="91">
        <f>IF($A378=Recto!$B$32,VLOOKUP($A378,Recto!$B$28:$L$44,6,FALSE),0)</f>
        <v>0</v>
      </c>
      <c r="G378" s="91">
        <f>IF($A378=Recto!$B$33,VLOOKUP($A378,Recto!$B$28:$L$44,6,FALSE),0)</f>
        <v>0</v>
      </c>
      <c r="H378" s="91">
        <f>IF($A378=Recto!$B$34,VLOOKUP($A378,Recto!$B$28:$L$44,6,FALSE),0)</f>
        <v>0</v>
      </c>
      <c r="I378" s="91">
        <f>IF($A378=Recto!$B$35,VLOOKUP($A378,Recto!$B$28:$L$44,6,FALSE),0)</f>
        <v>0</v>
      </c>
      <c r="J378" s="91">
        <f>IF($A378=Recto!$B$36,VLOOKUP($A378,Recto!$B$28:$L$44,6,FALSE),0)</f>
        <v>0</v>
      </c>
      <c r="K378" s="91">
        <f>IF($A378=Recto!$B$37,VLOOKUP($A378,Recto!$B$28:$L$44,6,FALSE),0)</f>
        <v>0</v>
      </c>
      <c r="L378" s="91">
        <f>IF($A378=Recto!$B$38,VLOOKUP($A378,Recto!$B$28:$L$44,6,FALSE),0)</f>
        <v>0</v>
      </c>
      <c r="M378" s="91">
        <f>IF($A378=Recto!$B$39,VLOOKUP($A378,Recto!$B$28:$L$44,6,FALSE),0)</f>
        <v>0</v>
      </c>
      <c r="N378" s="91">
        <f>IF($A378=Recto!$B$40,VLOOKUP($A378,Recto!$B$28:$L$44,6,FALSE),0)</f>
        <v>0</v>
      </c>
      <c r="O378" s="91">
        <f>IF($A378=Recto!$B$41,VLOOKUP($A378,Recto!$B$28:$L$44,6,FALSE),0)</f>
        <v>0</v>
      </c>
      <c r="P378" s="91">
        <f>IF($A378=Recto!$B$42,VLOOKUP($A378,Recto!$B$28:$L$44,6,FALSE),0)</f>
        <v>0</v>
      </c>
      <c r="Q378" s="91">
        <f>IF($A378=Recto!$B$43,VLOOKUP($A378,Recto!$B$28:$L$44,6,FALSE),0)</f>
        <v>0</v>
      </c>
      <c r="R378" s="91">
        <f>IF($A378=Recto!$B$44,VLOOKUP($A378,Recto!$B$28:$L$44,6,FALSE),0)</f>
        <v>0</v>
      </c>
      <c r="S378" s="295">
        <f t="shared" si="10"/>
        <v>0</v>
      </c>
    </row>
    <row r="379" spans="1:19" x14ac:dyDescent="0.25">
      <c r="A379" s="502" t="s">
        <v>3664</v>
      </c>
      <c r="B379" s="91">
        <f>IF($A379=Recto!$B$28,VLOOKUP($A379,Recto!$B$28:$L$44,6,FALSE),0)</f>
        <v>0</v>
      </c>
      <c r="C379" s="91">
        <f>IF($A379=Recto!$B$29,VLOOKUP($A379,Recto!$B$28:$L$44,6,FALSE),0)</f>
        <v>0</v>
      </c>
      <c r="D379" s="91">
        <f>IF($A379=Recto!$B$30,VLOOKUP($A379,Recto!$B$28:$L$44,6,FALSE),0)</f>
        <v>0</v>
      </c>
      <c r="E379" s="91">
        <f>IF($A379=Recto!$B$31,VLOOKUP($A379,Recto!$B$28:$L$44,6,FALSE),0)</f>
        <v>0</v>
      </c>
      <c r="F379" s="91">
        <f>IF($A379=Recto!$B$32,VLOOKUP($A379,Recto!$B$28:$L$44,6,FALSE),0)</f>
        <v>0</v>
      </c>
      <c r="G379" s="91">
        <f>IF($A379=Recto!$B$33,VLOOKUP($A379,Recto!$B$28:$L$44,6,FALSE),0)</f>
        <v>0</v>
      </c>
      <c r="H379" s="91">
        <f>IF($A379=Recto!$B$34,VLOOKUP($A379,Recto!$B$28:$L$44,6,FALSE),0)</f>
        <v>0</v>
      </c>
      <c r="I379" s="91">
        <f>IF($A379=Recto!$B$35,VLOOKUP($A379,Recto!$B$28:$L$44,6,FALSE),0)</f>
        <v>0</v>
      </c>
      <c r="J379" s="91">
        <f>IF($A379=Recto!$B$36,VLOOKUP($A379,Recto!$B$28:$L$44,6,FALSE),0)</f>
        <v>0</v>
      </c>
      <c r="K379" s="91">
        <f>IF($A379=Recto!$B$37,VLOOKUP($A379,Recto!$B$28:$L$44,6,FALSE),0)</f>
        <v>0</v>
      </c>
      <c r="L379" s="91">
        <f>IF($A379=Recto!$B$38,VLOOKUP($A379,Recto!$B$28:$L$44,6,FALSE),0)</f>
        <v>0</v>
      </c>
      <c r="M379" s="91">
        <f>IF($A379=Recto!$B$39,VLOOKUP($A379,Recto!$B$28:$L$44,6,FALSE),0)</f>
        <v>0</v>
      </c>
      <c r="N379" s="91">
        <f>IF($A379=Recto!$B$40,VLOOKUP($A379,Recto!$B$28:$L$44,6,FALSE),0)</f>
        <v>0</v>
      </c>
      <c r="O379" s="91">
        <f>IF($A379=Recto!$B$41,VLOOKUP($A379,Recto!$B$28:$L$44,6,FALSE),0)</f>
        <v>0</v>
      </c>
      <c r="P379" s="91">
        <f>IF($A379=Recto!$B$42,VLOOKUP($A379,Recto!$B$28:$L$44,6,FALSE),0)</f>
        <v>0</v>
      </c>
      <c r="Q379" s="91">
        <f>IF($A379=Recto!$B$43,VLOOKUP($A379,Recto!$B$28:$L$44,6,FALSE),0)</f>
        <v>0</v>
      </c>
      <c r="R379" s="91">
        <f>IF($A379=Recto!$B$44,VLOOKUP($A379,Recto!$B$28:$L$44,6,FALSE),0)</f>
        <v>0</v>
      </c>
      <c r="S379" s="295">
        <f t="shared" si="10"/>
        <v>0</v>
      </c>
    </row>
    <row r="380" spans="1:19" x14ac:dyDescent="0.25">
      <c r="A380" s="502" t="s">
        <v>1259</v>
      </c>
      <c r="B380" s="91">
        <f>IF($A380=Recto!$B$28,VLOOKUP($A380,Recto!$B$28:$L$44,6,FALSE),0)</f>
        <v>0</v>
      </c>
      <c r="C380" s="91">
        <f>IF($A380=Recto!$B$29,VLOOKUP($A380,Recto!$B$28:$L$44,6,FALSE),0)</f>
        <v>0</v>
      </c>
      <c r="D380" s="91">
        <f>IF($A380=Recto!$B$30,VLOOKUP($A380,Recto!$B$28:$L$44,6,FALSE),0)</f>
        <v>0</v>
      </c>
      <c r="E380" s="91">
        <f>IF($A380=Recto!$B$31,VLOOKUP($A380,Recto!$B$28:$L$44,6,FALSE),0)</f>
        <v>0</v>
      </c>
      <c r="F380" s="91">
        <f>IF($A380=Recto!$B$32,VLOOKUP($A380,Recto!$B$28:$L$44,6,FALSE),0)</f>
        <v>0</v>
      </c>
      <c r="G380" s="91">
        <f>IF($A380=Recto!$B$33,VLOOKUP($A380,Recto!$B$28:$L$44,6,FALSE),0)</f>
        <v>0</v>
      </c>
      <c r="H380" s="91">
        <f>IF($A380=Recto!$B$34,VLOOKUP($A380,Recto!$B$28:$L$44,6,FALSE),0)</f>
        <v>0</v>
      </c>
      <c r="I380" s="91">
        <f>IF($A380=Recto!$B$35,VLOOKUP($A380,Recto!$B$28:$L$44,6,FALSE),0)</f>
        <v>0</v>
      </c>
      <c r="J380" s="91">
        <f>IF($A380=Recto!$B$36,VLOOKUP($A380,Recto!$B$28:$L$44,6,FALSE),0)</f>
        <v>0</v>
      </c>
      <c r="K380" s="91">
        <f>IF($A380=Recto!$B$37,VLOOKUP($A380,Recto!$B$28:$L$44,6,FALSE),0)</f>
        <v>0</v>
      </c>
      <c r="L380" s="91">
        <f>IF($A380=Recto!$B$38,VLOOKUP($A380,Recto!$B$28:$L$44,6,FALSE),0)</f>
        <v>0</v>
      </c>
      <c r="M380" s="91">
        <f>IF($A380=Recto!$B$39,VLOOKUP($A380,Recto!$B$28:$L$44,6,FALSE),0)</f>
        <v>0</v>
      </c>
      <c r="N380" s="91">
        <f>IF($A380=Recto!$B$40,VLOOKUP($A380,Recto!$B$28:$L$44,6,FALSE),0)</f>
        <v>0</v>
      </c>
      <c r="O380" s="91">
        <f>IF($A380=Recto!$B$41,VLOOKUP($A380,Recto!$B$28:$L$44,6,FALSE),0)</f>
        <v>0</v>
      </c>
      <c r="P380" s="91">
        <f>IF($A380=Recto!$B$42,VLOOKUP($A380,Recto!$B$28:$L$44,6,FALSE),0)</f>
        <v>0</v>
      </c>
      <c r="Q380" s="91">
        <f>IF($A380=Recto!$B$43,VLOOKUP($A380,Recto!$B$28:$L$44,6,FALSE),0)</f>
        <v>0</v>
      </c>
      <c r="R380" s="91">
        <f>IF($A380=Recto!$B$44,VLOOKUP($A380,Recto!$B$28:$L$44,6,FALSE),0)</f>
        <v>0</v>
      </c>
      <c r="S380" s="295">
        <f t="shared" si="10"/>
        <v>0</v>
      </c>
    </row>
    <row r="381" spans="1:19" x14ac:dyDescent="0.25">
      <c r="A381" s="502" t="s">
        <v>1269</v>
      </c>
      <c r="B381" s="91">
        <f>IF($A381=Recto!$B$28,VLOOKUP($A381,Recto!$B$28:$L$44,6,FALSE),0)</f>
        <v>0</v>
      </c>
      <c r="C381" s="91">
        <f>IF($A381=Recto!$B$29,VLOOKUP($A381,Recto!$B$28:$L$44,6,FALSE),0)</f>
        <v>0</v>
      </c>
      <c r="D381" s="91">
        <f>IF($A381=Recto!$B$30,VLOOKUP($A381,Recto!$B$28:$L$44,6,FALSE),0)</f>
        <v>0</v>
      </c>
      <c r="E381" s="91">
        <f>IF($A381=Recto!$B$31,VLOOKUP($A381,Recto!$B$28:$L$44,6,FALSE),0)</f>
        <v>0</v>
      </c>
      <c r="F381" s="91">
        <f>IF($A381=Recto!$B$32,VLOOKUP($A381,Recto!$B$28:$L$44,6,FALSE),0)</f>
        <v>0</v>
      </c>
      <c r="G381" s="91">
        <f>IF($A381=Recto!$B$33,VLOOKUP($A381,Recto!$B$28:$L$44,6,FALSE),0)</f>
        <v>0</v>
      </c>
      <c r="H381" s="91">
        <f>IF($A381=Recto!$B$34,VLOOKUP($A381,Recto!$B$28:$L$44,6,FALSE),0)</f>
        <v>0</v>
      </c>
      <c r="I381" s="91">
        <f>IF($A381=Recto!$B$35,VLOOKUP($A381,Recto!$B$28:$L$44,6,FALSE),0)</f>
        <v>0</v>
      </c>
      <c r="J381" s="91">
        <f>IF($A381=Recto!$B$36,VLOOKUP($A381,Recto!$B$28:$L$44,6,FALSE),0)</f>
        <v>0</v>
      </c>
      <c r="K381" s="91">
        <f>IF($A381=Recto!$B$37,VLOOKUP($A381,Recto!$B$28:$L$44,6,FALSE),0)</f>
        <v>0</v>
      </c>
      <c r="L381" s="91">
        <f>IF($A381=Recto!$B$38,VLOOKUP($A381,Recto!$B$28:$L$44,6,FALSE),0)</f>
        <v>0</v>
      </c>
      <c r="M381" s="91">
        <f>IF($A381=Recto!$B$39,VLOOKUP($A381,Recto!$B$28:$L$44,6,FALSE),0)</f>
        <v>0</v>
      </c>
      <c r="N381" s="91">
        <f>IF($A381=Recto!$B$40,VLOOKUP($A381,Recto!$B$28:$L$44,6,FALSE),0)</f>
        <v>0</v>
      </c>
      <c r="O381" s="91">
        <f>IF($A381=Recto!$B$41,VLOOKUP($A381,Recto!$B$28:$L$44,6,FALSE),0)</f>
        <v>0</v>
      </c>
      <c r="P381" s="91">
        <f>IF($A381=Recto!$B$42,VLOOKUP($A381,Recto!$B$28:$L$44,6,FALSE),0)</f>
        <v>0</v>
      </c>
      <c r="Q381" s="91">
        <f>IF($A381=Recto!$B$43,VLOOKUP($A381,Recto!$B$28:$L$44,6,FALSE),0)</f>
        <v>0</v>
      </c>
      <c r="R381" s="91">
        <f>IF($A381=Recto!$B$44,VLOOKUP($A381,Recto!$B$28:$L$44,6,FALSE),0)</f>
        <v>0</v>
      </c>
      <c r="S381" s="295">
        <f t="shared" si="10"/>
        <v>0</v>
      </c>
    </row>
    <row r="382" spans="1:19" s="196" customFormat="1" x14ac:dyDescent="0.25">
      <c r="A382" s="502" t="s">
        <v>7700</v>
      </c>
      <c r="B382" s="91">
        <f>IF($A382=Recto!$B$28,VLOOKUP($A382,Recto!$B$28:$L$44,6,FALSE),0)</f>
        <v>0</v>
      </c>
      <c r="C382" s="91">
        <f>IF($A382=Recto!$B$29,VLOOKUP($A382,Recto!$B$28:$L$44,6,FALSE),0)</f>
        <v>0</v>
      </c>
      <c r="D382" s="91">
        <f>IF($A382=Recto!$B$30,VLOOKUP($A382,Recto!$B$28:$L$44,6,FALSE),0)</f>
        <v>0</v>
      </c>
      <c r="E382" s="91">
        <f>IF($A382=Recto!$B$31,VLOOKUP($A382,Recto!$B$28:$L$44,6,FALSE),0)</f>
        <v>0</v>
      </c>
      <c r="F382" s="91">
        <f>IF($A382=Recto!$B$32,VLOOKUP($A382,Recto!$B$28:$L$44,6,FALSE),0)</f>
        <v>0</v>
      </c>
      <c r="G382" s="91">
        <f>IF($A382=Recto!$B$33,VLOOKUP($A382,Recto!$B$28:$L$44,6,FALSE),0)</f>
        <v>0</v>
      </c>
      <c r="H382" s="91">
        <f>IF($A382=Recto!$B$34,VLOOKUP($A382,Recto!$B$28:$L$44,6,FALSE),0)</f>
        <v>0</v>
      </c>
      <c r="I382" s="91">
        <f>IF($A382=Recto!$B$35,VLOOKUP($A382,Recto!$B$28:$L$44,6,FALSE),0)</f>
        <v>0</v>
      </c>
      <c r="J382" s="91">
        <f>IF($A382=Recto!$B$36,VLOOKUP($A382,Recto!$B$28:$L$44,6,FALSE),0)</f>
        <v>0</v>
      </c>
      <c r="K382" s="91">
        <f>IF($A382=Recto!$B$37,VLOOKUP($A382,Recto!$B$28:$L$44,6,FALSE),0)</f>
        <v>0</v>
      </c>
      <c r="L382" s="91">
        <f>IF($A382=Recto!$B$38,VLOOKUP($A382,Recto!$B$28:$L$44,6,FALSE),0)</f>
        <v>0</v>
      </c>
      <c r="M382" s="91">
        <f>IF($A382=Recto!$B$39,VLOOKUP($A382,Recto!$B$28:$L$44,6,FALSE),0)</f>
        <v>0</v>
      </c>
      <c r="N382" s="91">
        <f>IF($A382=Recto!$B$40,VLOOKUP($A382,Recto!$B$28:$L$44,6,FALSE),0)</f>
        <v>0</v>
      </c>
      <c r="O382" s="91">
        <f>IF($A382=Recto!$B$41,VLOOKUP($A382,Recto!$B$28:$L$44,6,FALSE),0)</f>
        <v>0</v>
      </c>
      <c r="P382" s="91">
        <f>IF($A382=Recto!$B$42,VLOOKUP($A382,Recto!$B$28:$L$44,6,FALSE),0)</f>
        <v>0</v>
      </c>
      <c r="Q382" s="91">
        <f>IF($A382=Recto!$B$43,VLOOKUP($A382,Recto!$B$28:$L$44,6,FALSE),0)</f>
        <v>0</v>
      </c>
      <c r="R382" s="91">
        <f>IF($A382=Recto!$B$44,VLOOKUP($A382,Recto!$B$28:$L$44,6,FALSE),0)</f>
        <v>0</v>
      </c>
      <c r="S382" s="295">
        <f t="shared" ref="S382:S425" si="11">SUM(B382:R382)</f>
        <v>0</v>
      </c>
    </row>
    <row r="383" spans="1:19" x14ac:dyDescent="0.25">
      <c r="A383" s="502" t="s">
        <v>1244</v>
      </c>
      <c r="B383" s="91">
        <f>IF($A383=Recto!$B$28,VLOOKUP($A383,Recto!$B$28:$L$44,6,FALSE),0)</f>
        <v>0</v>
      </c>
      <c r="C383" s="91">
        <f>IF($A383=Recto!$B$29,VLOOKUP($A383,Recto!$B$28:$L$44,6,FALSE),0)</f>
        <v>0</v>
      </c>
      <c r="D383" s="91">
        <f>IF($A383=Recto!$B$30,VLOOKUP($A383,Recto!$B$28:$L$44,6,FALSE),0)</f>
        <v>0</v>
      </c>
      <c r="E383" s="91">
        <f>IF($A383=Recto!$B$31,VLOOKUP($A383,Recto!$B$28:$L$44,6,FALSE),0)</f>
        <v>0</v>
      </c>
      <c r="F383" s="91">
        <f>IF($A383=Recto!$B$32,VLOOKUP($A383,Recto!$B$28:$L$44,6,FALSE),0)</f>
        <v>0</v>
      </c>
      <c r="G383" s="91">
        <f>IF($A383=Recto!$B$33,VLOOKUP($A383,Recto!$B$28:$L$44,6,FALSE),0)</f>
        <v>0</v>
      </c>
      <c r="H383" s="91">
        <f>IF($A383=Recto!$B$34,VLOOKUP($A383,Recto!$B$28:$L$44,6,FALSE),0)</f>
        <v>0</v>
      </c>
      <c r="I383" s="91">
        <f>IF($A383=Recto!$B$35,VLOOKUP($A383,Recto!$B$28:$L$44,6,FALSE),0)</f>
        <v>0</v>
      </c>
      <c r="J383" s="91">
        <f>IF($A383=Recto!$B$36,VLOOKUP($A383,Recto!$B$28:$L$44,6,FALSE),0)</f>
        <v>0</v>
      </c>
      <c r="K383" s="91">
        <f>IF($A383=Recto!$B$37,VLOOKUP($A383,Recto!$B$28:$L$44,6,FALSE),0)</f>
        <v>0</v>
      </c>
      <c r="L383" s="91">
        <f>IF($A383=Recto!$B$38,VLOOKUP($A383,Recto!$B$28:$L$44,6,FALSE),0)</f>
        <v>0</v>
      </c>
      <c r="M383" s="91">
        <f>IF($A383=Recto!$B$39,VLOOKUP($A383,Recto!$B$28:$L$44,6,FALSE),0)</f>
        <v>0</v>
      </c>
      <c r="N383" s="91">
        <f>IF($A383=Recto!$B$40,VLOOKUP($A383,Recto!$B$28:$L$44,6,FALSE),0)</f>
        <v>0</v>
      </c>
      <c r="O383" s="91">
        <f>IF($A383=Recto!$B$41,VLOOKUP($A383,Recto!$B$28:$L$44,6,FALSE),0)</f>
        <v>0</v>
      </c>
      <c r="P383" s="91">
        <f>IF($A383=Recto!$B$42,VLOOKUP($A383,Recto!$B$28:$L$44,6,FALSE),0)</f>
        <v>0</v>
      </c>
      <c r="Q383" s="91">
        <f>IF($A383=Recto!$B$43,VLOOKUP($A383,Recto!$B$28:$L$44,6,FALSE),0)</f>
        <v>0</v>
      </c>
      <c r="R383" s="91">
        <f>IF($A383=Recto!$B$44,VLOOKUP($A383,Recto!$B$28:$L$44,6,FALSE),0)</f>
        <v>0</v>
      </c>
      <c r="S383" s="295">
        <f t="shared" si="11"/>
        <v>0</v>
      </c>
    </row>
    <row r="384" spans="1:19" x14ac:dyDescent="0.25">
      <c r="A384" s="502" t="s">
        <v>311</v>
      </c>
      <c r="B384" s="91">
        <f>IF($A384=Recto!$B$28,VLOOKUP($A384,Recto!$B$28:$L$44,6,FALSE),0)</f>
        <v>0</v>
      </c>
      <c r="C384" s="91">
        <f>IF($A384=Recto!$B$29,VLOOKUP($A384,Recto!$B$28:$L$44,6,FALSE),0)</f>
        <v>0</v>
      </c>
      <c r="D384" s="91">
        <f>IF($A384=Recto!$B$30,VLOOKUP($A384,Recto!$B$28:$L$44,6,FALSE),0)</f>
        <v>0</v>
      </c>
      <c r="E384" s="91">
        <f>IF($A384=Recto!$B$31,VLOOKUP($A384,Recto!$B$28:$L$44,6,FALSE),0)</f>
        <v>0</v>
      </c>
      <c r="F384" s="91">
        <f>IF($A384=Recto!$B$32,VLOOKUP($A384,Recto!$B$28:$L$44,6,FALSE),0)</f>
        <v>0</v>
      </c>
      <c r="G384" s="91">
        <f>IF($A384=Recto!$B$33,VLOOKUP($A384,Recto!$B$28:$L$44,6,FALSE),0)</f>
        <v>0</v>
      </c>
      <c r="H384" s="91">
        <f>IF($A384=Recto!$B$34,VLOOKUP($A384,Recto!$B$28:$L$44,6,FALSE),0)</f>
        <v>0</v>
      </c>
      <c r="I384" s="91">
        <f>IF($A384=Recto!$B$35,VLOOKUP($A384,Recto!$B$28:$L$44,6,FALSE),0)</f>
        <v>0</v>
      </c>
      <c r="J384" s="91">
        <f>IF($A384=Recto!$B$36,VLOOKUP($A384,Recto!$B$28:$L$44,6,FALSE),0)</f>
        <v>0</v>
      </c>
      <c r="K384" s="91">
        <f>IF($A384=Recto!$B$37,VLOOKUP($A384,Recto!$B$28:$L$44,6,FALSE),0)</f>
        <v>0</v>
      </c>
      <c r="L384" s="91">
        <f>IF($A384=Recto!$B$38,VLOOKUP($A384,Recto!$B$28:$L$44,6,FALSE),0)</f>
        <v>0</v>
      </c>
      <c r="M384" s="91">
        <f>IF($A384=Recto!$B$39,VLOOKUP($A384,Recto!$B$28:$L$44,6,FALSE),0)</f>
        <v>0</v>
      </c>
      <c r="N384" s="91">
        <f>IF($A384=Recto!$B$40,VLOOKUP($A384,Recto!$B$28:$L$44,6,FALSE),0)</f>
        <v>0</v>
      </c>
      <c r="O384" s="91">
        <f>IF($A384=Recto!$B$41,VLOOKUP($A384,Recto!$B$28:$L$44,6,FALSE),0)</f>
        <v>0</v>
      </c>
      <c r="P384" s="91">
        <f>IF($A384=Recto!$B$42,VLOOKUP($A384,Recto!$B$28:$L$44,6,FALSE),0)</f>
        <v>0</v>
      </c>
      <c r="Q384" s="91">
        <f>IF($A384=Recto!$B$43,VLOOKUP($A384,Recto!$B$28:$L$44,6,FALSE),0)</f>
        <v>0</v>
      </c>
      <c r="R384" s="91">
        <f>IF($A384=Recto!$B$44,VLOOKUP($A384,Recto!$B$28:$L$44,6,FALSE),0)</f>
        <v>0</v>
      </c>
      <c r="S384" s="295">
        <f t="shared" si="11"/>
        <v>0</v>
      </c>
    </row>
    <row r="385" spans="1:19" x14ac:dyDescent="0.25">
      <c r="A385" s="502" t="s">
        <v>6367</v>
      </c>
      <c r="B385" s="91">
        <f>IF($A385=Recto!$B$28,VLOOKUP($A385,Recto!$B$28:$L$44,6,FALSE),0)</f>
        <v>0</v>
      </c>
      <c r="C385" s="91">
        <f>IF($A385=Recto!$B$29,VLOOKUP($A385,Recto!$B$28:$L$44,6,FALSE),0)</f>
        <v>0</v>
      </c>
      <c r="D385" s="91">
        <f>IF($A385=Recto!$B$30,VLOOKUP($A385,Recto!$B$28:$L$44,6,FALSE),0)</f>
        <v>0</v>
      </c>
      <c r="E385" s="91">
        <f>IF($A385=Recto!$B$31,VLOOKUP($A385,Recto!$B$28:$L$44,6,FALSE),0)</f>
        <v>0</v>
      </c>
      <c r="F385" s="91">
        <f>IF($A385=Recto!$B$32,VLOOKUP($A385,Recto!$B$28:$L$44,6,FALSE),0)</f>
        <v>0</v>
      </c>
      <c r="G385" s="91">
        <f>IF($A385=Recto!$B$33,VLOOKUP($A385,Recto!$B$28:$L$44,6,FALSE),0)</f>
        <v>0</v>
      </c>
      <c r="H385" s="91">
        <f>IF($A385=Recto!$B$34,VLOOKUP($A385,Recto!$B$28:$L$44,6,FALSE),0)</f>
        <v>0</v>
      </c>
      <c r="I385" s="91">
        <f>IF($A385=Recto!$B$35,VLOOKUP($A385,Recto!$B$28:$L$44,6,FALSE),0)</f>
        <v>0</v>
      </c>
      <c r="J385" s="91">
        <f>IF($A385=Recto!$B$36,VLOOKUP($A385,Recto!$B$28:$L$44,6,FALSE),0)</f>
        <v>0</v>
      </c>
      <c r="K385" s="91">
        <f>IF($A385=Recto!$B$37,VLOOKUP($A385,Recto!$B$28:$L$44,6,FALSE),0)</f>
        <v>0</v>
      </c>
      <c r="L385" s="91">
        <f>IF($A385=Recto!$B$38,VLOOKUP($A385,Recto!$B$28:$L$44,6,FALSE),0)</f>
        <v>0</v>
      </c>
      <c r="M385" s="91">
        <f>IF($A385=Recto!$B$39,VLOOKUP($A385,Recto!$B$28:$L$44,6,FALSE),0)</f>
        <v>0</v>
      </c>
      <c r="N385" s="91">
        <f>IF($A385=Recto!$B$40,VLOOKUP($A385,Recto!$B$28:$L$44,6,FALSE),0)</f>
        <v>0</v>
      </c>
      <c r="O385" s="91">
        <f>IF($A385=Recto!$B$41,VLOOKUP($A385,Recto!$B$28:$L$44,6,FALSE),0)</f>
        <v>0</v>
      </c>
      <c r="P385" s="91">
        <f>IF($A385=Recto!$B$42,VLOOKUP($A385,Recto!$B$28:$L$44,6,FALSE),0)</f>
        <v>0</v>
      </c>
      <c r="Q385" s="91">
        <f>IF($A385=Recto!$B$43,VLOOKUP($A385,Recto!$B$28:$L$44,6,FALSE),0)</f>
        <v>0</v>
      </c>
      <c r="R385" s="91">
        <f>IF($A385=Recto!$B$44,VLOOKUP($A385,Recto!$B$28:$L$44,6,FALSE),0)</f>
        <v>0</v>
      </c>
      <c r="S385" s="295">
        <f t="shared" si="11"/>
        <v>0</v>
      </c>
    </row>
    <row r="386" spans="1:19" x14ac:dyDescent="0.25">
      <c r="A386" s="502" t="s">
        <v>1922</v>
      </c>
      <c r="B386" s="91">
        <f>IF($A386=Recto!$B$28,VLOOKUP($A386,Recto!$B$28:$L$44,6,FALSE),0)</f>
        <v>0</v>
      </c>
      <c r="C386" s="91">
        <f>IF($A386=Recto!$B$29,VLOOKUP($A386,Recto!$B$28:$L$44,6,FALSE),0)</f>
        <v>0</v>
      </c>
      <c r="D386" s="91">
        <f>IF($A386=Recto!$B$30,VLOOKUP($A386,Recto!$B$28:$L$44,6,FALSE),0)</f>
        <v>0</v>
      </c>
      <c r="E386" s="91">
        <f>IF($A386=Recto!$B$31,VLOOKUP($A386,Recto!$B$28:$L$44,6,FALSE),0)</f>
        <v>0</v>
      </c>
      <c r="F386" s="91">
        <f>IF($A386=Recto!$B$32,VLOOKUP($A386,Recto!$B$28:$L$44,6,FALSE),0)</f>
        <v>0</v>
      </c>
      <c r="G386" s="91">
        <f>IF($A386=Recto!$B$33,VLOOKUP($A386,Recto!$B$28:$L$44,6,FALSE),0)</f>
        <v>0</v>
      </c>
      <c r="H386" s="91">
        <f>IF($A386=Recto!$B$34,VLOOKUP($A386,Recto!$B$28:$L$44,6,FALSE),0)</f>
        <v>0</v>
      </c>
      <c r="I386" s="91">
        <f>IF($A386=Recto!$B$35,VLOOKUP($A386,Recto!$B$28:$L$44,6,FALSE),0)</f>
        <v>0</v>
      </c>
      <c r="J386" s="91">
        <f>IF($A386=Recto!$B$36,VLOOKUP($A386,Recto!$B$28:$L$44,6,FALSE),0)</f>
        <v>0</v>
      </c>
      <c r="K386" s="91">
        <f>IF($A386=Recto!$B$37,VLOOKUP($A386,Recto!$B$28:$L$44,6,FALSE),0)</f>
        <v>0</v>
      </c>
      <c r="L386" s="91">
        <f>IF($A386=Recto!$B$38,VLOOKUP($A386,Recto!$B$28:$L$44,6,FALSE),0)</f>
        <v>0</v>
      </c>
      <c r="M386" s="91">
        <f>IF($A386=Recto!$B$39,VLOOKUP($A386,Recto!$B$28:$L$44,6,FALSE),0)</f>
        <v>0</v>
      </c>
      <c r="N386" s="91">
        <f>IF($A386=Recto!$B$40,VLOOKUP($A386,Recto!$B$28:$L$44,6,FALSE),0)</f>
        <v>0</v>
      </c>
      <c r="O386" s="91">
        <f>IF($A386=Recto!$B$41,VLOOKUP($A386,Recto!$B$28:$L$44,6,FALSE),0)</f>
        <v>0</v>
      </c>
      <c r="P386" s="91">
        <f>IF($A386=Recto!$B$42,VLOOKUP($A386,Recto!$B$28:$L$44,6,FALSE),0)</f>
        <v>0</v>
      </c>
      <c r="Q386" s="91">
        <f>IF($A386=Recto!$B$43,VLOOKUP($A386,Recto!$B$28:$L$44,6,FALSE),0)</f>
        <v>0</v>
      </c>
      <c r="R386" s="91">
        <f>IF($A386=Recto!$B$44,VLOOKUP($A386,Recto!$B$28:$L$44,6,FALSE),0)</f>
        <v>0</v>
      </c>
      <c r="S386" s="295">
        <f t="shared" si="11"/>
        <v>0</v>
      </c>
    </row>
    <row r="387" spans="1:19" x14ac:dyDescent="0.25">
      <c r="A387" s="502" t="s">
        <v>3323</v>
      </c>
      <c r="B387" s="91">
        <f>IF($A387=Recto!$B$28,VLOOKUP($A387,Recto!$B$28:$L$44,6,FALSE),0)</f>
        <v>0</v>
      </c>
      <c r="C387" s="91">
        <f>IF($A387=Recto!$B$29,VLOOKUP($A387,Recto!$B$28:$L$44,6,FALSE),0)</f>
        <v>0</v>
      </c>
      <c r="D387" s="91">
        <f>IF($A387=Recto!$B$30,VLOOKUP($A387,Recto!$B$28:$L$44,6,FALSE),0)</f>
        <v>0</v>
      </c>
      <c r="E387" s="91">
        <f>IF($A387=Recto!$B$31,VLOOKUP($A387,Recto!$B$28:$L$44,6,FALSE),0)</f>
        <v>0</v>
      </c>
      <c r="F387" s="91">
        <f>IF($A387=Recto!$B$32,VLOOKUP($A387,Recto!$B$28:$L$44,6,FALSE),0)</f>
        <v>0</v>
      </c>
      <c r="G387" s="91">
        <f>IF($A387=Recto!$B$33,VLOOKUP($A387,Recto!$B$28:$L$44,6,FALSE),0)</f>
        <v>0</v>
      </c>
      <c r="H387" s="91">
        <f>IF($A387=Recto!$B$34,VLOOKUP($A387,Recto!$B$28:$L$44,6,FALSE),0)</f>
        <v>0</v>
      </c>
      <c r="I387" s="91">
        <f>IF($A387=Recto!$B$35,VLOOKUP($A387,Recto!$B$28:$L$44,6,FALSE),0)</f>
        <v>0</v>
      </c>
      <c r="J387" s="91">
        <f>IF($A387=Recto!$B$36,VLOOKUP($A387,Recto!$B$28:$L$44,6,FALSE),0)</f>
        <v>0</v>
      </c>
      <c r="K387" s="91">
        <f>IF($A387=Recto!$B$37,VLOOKUP($A387,Recto!$B$28:$L$44,6,FALSE),0)</f>
        <v>0</v>
      </c>
      <c r="L387" s="91">
        <f>IF($A387=Recto!$B$38,VLOOKUP($A387,Recto!$B$28:$L$44,6,FALSE),0)</f>
        <v>0</v>
      </c>
      <c r="M387" s="91">
        <f>IF($A387=Recto!$B$39,VLOOKUP($A387,Recto!$B$28:$L$44,6,FALSE),0)</f>
        <v>0</v>
      </c>
      <c r="N387" s="91">
        <f>IF($A387=Recto!$B$40,VLOOKUP($A387,Recto!$B$28:$L$44,6,FALSE),0)</f>
        <v>0</v>
      </c>
      <c r="O387" s="91">
        <f>IF($A387=Recto!$B$41,VLOOKUP($A387,Recto!$B$28:$L$44,6,FALSE),0)</f>
        <v>0</v>
      </c>
      <c r="P387" s="91">
        <f>IF($A387=Recto!$B$42,VLOOKUP($A387,Recto!$B$28:$L$44,6,FALSE),0)</f>
        <v>0</v>
      </c>
      <c r="Q387" s="91">
        <f>IF($A387=Recto!$B$43,VLOOKUP($A387,Recto!$B$28:$L$44,6,FALSE),0)</f>
        <v>0</v>
      </c>
      <c r="R387" s="91">
        <f>IF($A387=Recto!$B$44,VLOOKUP($A387,Recto!$B$28:$L$44,6,FALSE),0)</f>
        <v>0</v>
      </c>
      <c r="S387" s="295">
        <f t="shared" si="11"/>
        <v>0</v>
      </c>
    </row>
    <row r="388" spans="1:19" x14ac:dyDescent="0.25">
      <c r="A388" s="502" t="s">
        <v>3325</v>
      </c>
      <c r="B388" s="91">
        <f>IF($A388=Recto!$B$28,VLOOKUP($A388,Recto!$B$28:$L$44,6,FALSE),0)</f>
        <v>0</v>
      </c>
      <c r="C388" s="91">
        <f>IF($A388=Recto!$B$29,VLOOKUP($A388,Recto!$B$28:$L$44,6,FALSE),0)</f>
        <v>0</v>
      </c>
      <c r="D388" s="91">
        <f>IF($A388=Recto!$B$30,VLOOKUP($A388,Recto!$B$28:$L$44,6,FALSE),0)</f>
        <v>0</v>
      </c>
      <c r="E388" s="91">
        <f>IF($A388=Recto!$B$31,VLOOKUP($A388,Recto!$B$28:$L$44,6,FALSE),0)</f>
        <v>0</v>
      </c>
      <c r="F388" s="91">
        <f>IF($A388=Recto!$B$32,VLOOKUP($A388,Recto!$B$28:$L$44,6,FALSE),0)</f>
        <v>0</v>
      </c>
      <c r="G388" s="91">
        <f>IF($A388=Recto!$B$33,VLOOKUP($A388,Recto!$B$28:$L$44,6,FALSE),0)</f>
        <v>0</v>
      </c>
      <c r="H388" s="91">
        <f>IF($A388=Recto!$B$34,VLOOKUP($A388,Recto!$B$28:$L$44,6,FALSE),0)</f>
        <v>0</v>
      </c>
      <c r="I388" s="91">
        <f>IF($A388=Recto!$B$35,VLOOKUP($A388,Recto!$B$28:$L$44,6,FALSE),0)</f>
        <v>0</v>
      </c>
      <c r="J388" s="91">
        <f>IF($A388=Recto!$B$36,VLOOKUP($A388,Recto!$B$28:$L$44,6,FALSE),0)</f>
        <v>0</v>
      </c>
      <c r="K388" s="91">
        <f>IF($A388=Recto!$B$37,VLOOKUP($A388,Recto!$B$28:$L$44,6,FALSE),0)</f>
        <v>0</v>
      </c>
      <c r="L388" s="91">
        <f>IF($A388=Recto!$B$38,VLOOKUP($A388,Recto!$B$28:$L$44,6,FALSE),0)</f>
        <v>0</v>
      </c>
      <c r="M388" s="91">
        <f>IF($A388=Recto!$B$39,VLOOKUP($A388,Recto!$B$28:$L$44,6,FALSE),0)</f>
        <v>0</v>
      </c>
      <c r="N388" s="91">
        <f>IF($A388=Recto!$B$40,VLOOKUP($A388,Recto!$B$28:$L$44,6,FALSE),0)</f>
        <v>0</v>
      </c>
      <c r="O388" s="91">
        <f>IF($A388=Recto!$B$41,VLOOKUP($A388,Recto!$B$28:$L$44,6,FALSE),0)</f>
        <v>0</v>
      </c>
      <c r="P388" s="91">
        <f>IF($A388=Recto!$B$42,VLOOKUP($A388,Recto!$B$28:$L$44,6,FALSE),0)</f>
        <v>0</v>
      </c>
      <c r="Q388" s="91">
        <f>IF($A388=Recto!$B$43,VLOOKUP($A388,Recto!$B$28:$L$44,6,FALSE),0)</f>
        <v>0</v>
      </c>
      <c r="R388" s="91">
        <f>IF($A388=Recto!$B$44,VLOOKUP($A388,Recto!$B$28:$L$44,6,FALSE),0)</f>
        <v>0</v>
      </c>
      <c r="S388" s="295">
        <f t="shared" si="11"/>
        <v>0</v>
      </c>
    </row>
    <row r="389" spans="1:19" x14ac:dyDescent="0.25">
      <c r="A389" s="502" t="s">
        <v>3218</v>
      </c>
      <c r="B389" s="91">
        <f>IF($A389=Recto!$B$28,VLOOKUP($A389,Recto!$B$28:$L$44,6,FALSE),0)</f>
        <v>0</v>
      </c>
      <c r="C389" s="91">
        <f>IF($A389=Recto!$B$29,VLOOKUP($A389,Recto!$B$28:$L$44,6,FALSE),0)</f>
        <v>0</v>
      </c>
      <c r="D389" s="91">
        <f>IF($A389=Recto!$B$30,VLOOKUP($A389,Recto!$B$28:$L$44,6,FALSE),0)</f>
        <v>0</v>
      </c>
      <c r="E389" s="91">
        <f>IF($A389=Recto!$B$31,VLOOKUP($A389,Recto!$B$28:$L$44,6,FALSE),0)</f>
        <v>0</v>
      </c>
      <c r="F389" s="91">
        <f>IF($A389=Recto!$B$32,VLOOKUP($A389,Recto!$B$28:$L$44,6,FALSE),0)</f>
        <v>0</v>
      </c>
      <c r="G389" s="91">
        <f>IF($A389=Recto!$B$33,VLOOKUP($A389,Recto!$B$28:$L$44,6,FALSE),0)</f>
        <v>0</v>
      </c>
      <c r="H389" s="91">
        <f>IF($A389=Recto!$B$34,VLOOKUP($A389,Recto!$B$28:$L$44,6,FALSE),0)</f>
        <v>0</v>
      </c>
      <c r="I389" s="91">
        <f>IF($A389=Recto!$B$35,VLOOKUP($A389,Recto!$B$28:$L$44,6,FALSE),0)</f>
        <v>0</v>
      </c>
      <c r="J389" s="91">
        <f>IF($A389=Recto!$B$36,VLOOKUP($A389,Recto!$B$28:$L$44,6,FALSE),0)</f>
        <v>0</v>
      </c>
      <c r="K389" s="91">
        <f>IF($A389=Recto!$B$37,VLOOKUP($A389,Recto!$B$28:$L$44,6,FALSE),0)</f>
        <v>0</v>
      </c>
      <c r="L389" s="91">
        <f>IF($A389=Recto!$B$38,VLOOKUP($A389,Recto!$B$28:$L$44,6,FALSE),0)</f>
        <v>0</v>
      </c>
      <c r="M389" s="91">
        <f>IF($A389=Recto!$B$39,VLOOKUP($A389,Recto!$B$28:$L$44,6,FALSE),0)</f>
        <v>0</v>
      </c>
      <c r="N389" s="91">
        <f>IF($A389=Recto!$B$40,VLOOKUP($A389,Recto!$B$28:$L$44,6,FALSE),0)</f>
        <v>0</v>
      </c>
      <c r="O389" s="91">
        <f>IF($A389=Recto!$B$41,VLOOKUP($A389,Recto!$B$28:$L$44,6,FALSE),0)</f>
        <v>0</v>
      </c>
      <c r="P389" s="91">
        <f>IF($A389=Recto!$B$42,VLOOKUP($A389,Recto!$B$28:$L$44,6,FALSE),0)</f>
        <v>0</v>
      </c>
      <c r="Q389" s="91">
        <f>IF($A389=Recto!$B$43,VLOOKUP($A389,Recto!$B$28:$L$44,6,FALSE),0)</f>
        <v>0</v>
      </c>
      <c r="R389" s="91">
        <f>IF($A389=Recto!$B$44,VLOOKUP($A389,Recto!$B$28:$L$44,6,FALSE),0)</f>
        <v>0</v>
      </c>
      <c r="S389" s="295">
        <f t="shared" si="11"/>
        <v>0</v>
      </c>
    </row>
    <row r="390" spans="1:19" x14ac:dyDescent="0.25">
      <c r="A390" s="502" t="s">
        <v>3216</v>
      </c>
      <c r="B390" s="91">
        <f>IF($A390=Recto!$B$28,VLOOKUP($A390,Recto!$B$28:$L$44,6,FALSE),0)</f>
        <v>0</v>
      </c>
      <c r="C390" s="91">
        <f>IF($A390=Recto!$B$29,VLOOKUP($A390,Recto!$B$28:$L$44,6,FALSE),0)</f>
        <v>0</v>
      </c>
      <c r="D390" s="91">
        <f>IF($A390=Recto!$B$30,VLOOKUP($A390,Recto!$B$28:$L$44,6,FALSE),0)</f>
        <v>0</v>
      </c>
      <c r="E390" s="91">
        <f>IF($A390=Recto!$B$31,VLOOKUP($A390,Recto!$B$28:$L$44,6,FALSE),0)</f>
        <v>0</v>
      </c>
      <c r="F390" s="91">
        <f>IF($A390=Recto!$B$32,VLOOKUP($A390,Recto!$B$28:$L$44,6,FALSE),0)</f>
        <v>0</v>
      </c>
      <c r="G390" s="91">
        <f>IF($A390=Recto!$B$33,VLOOKUP($A390,Recto!$B$28:$L$44,6,FALSE),0)</f>
        <v>0</v>
      </c>
      <c r="H390" s="91">
        <f>IF($A390=Recto!$B$34,VLOOKUP($A390,Recto!$B$28:$L$44,6,FALSE),0)</f>
        <v>0</v>
      </c>
      <c r="I390" s="91">
        <f>IF($A390=Recto!$B$35,VLOOKUP($A390,Recto!$B$28:$L$44,6,FALSE),0)</f>
        <v>0</v>
      </c>
      <c r="J390" s="91">
        <f>IF($A390=Recto!$B$36,VLOOKUP($A390,Recto!$B$28:$L$44,6,FALSE),0)</f>
        <v>0</v>
      </c>
      <c r="K390" s="91">
        <f>IF($A390=Recto!$B$37,VLOOKUP($A390,Recto!$B$28:$L$44,6,FALSE),0)</f>
        <v>0</v>
      </c>
      <c r="L390" s="91">
        <f>IF($A390=Recto!$B$38,VLOOKUP($A390,Recto!$B$28:$L$44,6,FALSE),0)</f>
        <v>0</v>
      </c>
      <c r="M390" s="91">
        <f>IF($A390=Recto!$B$39,VLOOKUP($A390,Recto!$B$28:$L$44,6,FALSE),0)</f>
        <v>0</v>
      </c>
      <c r="N390" s="91">
        <f>IF($A390=Recto!$B$40,VLOOKUP($A390,Recto!$B$28:$L$44,6,FALSE),0)</f>
        <v>0</v>
      </c>
      <c r="O390" s="91">
        <f>IF($A390=Recto!$B$41,VLOOKUP($A390,Recto!$B$28:$L$44,6,FALSE),0)</f>
        <v>0</v>
      </c>
      <c r="P390" s="91">
        <f>IF($A390=Recto!$B$42,VLOOKUP($A390,Recto!$B$28:$L$44,6,FALSE),0)</f>
        <v>0</v>
      </c>
      <c r="Q390" s="91">
        <f>IF($A390=Recto!$B$43,VLOOKUP($A390,Recto!$B$28:$L$44,6,FALSE),0)</f>
        <v>0</v>
      </c>
      <c r="R390" s="91">
        <f>IF($A390=Recto!$B$44,VLOOKUP($A390,Recto!$B$28:$L$44,6,FALSE),0)</f>
        <v>0</v>
      </c>
      <c r="S390" s="295">
        <f t="shared" si="11"/>
        <v>0</v>
      </c>
    </row>
    <row r="391" spans="1:19" x14ac:dyDescent="0.25">
      <c r="A391" s="502" t="s">
        <v>3217</v>
      </c>
      <c r="B391" s="91">
        <f>IF($A391=Recto!$B$28,VLOOKUP($A391,Recto!$B$28:$L$44,6,FALSE),0)</f>
        <v>0</v>
      </c>
      <c r="C391" s="91">
        <f>IF($A391=Recto!$B$29,VLOOKUP($A391,Recto!$B$28:$L$44,6,FALSE),0)</f>
        <v>0</v>
      </c>
      <c r="D391" s="91">
        <f>IF($A391=Recto!$B$30,VLOOKUP($A391,Recto!$B$28:$L$44,6,FALSE),0)</f>
        <v>0</v>
      </c>
      <c r="E391" s="91">
        <f>IF($A391=Recto!$B$31,VLOOKUP($A391,Recto!$B$28:$L$44,6,FALSE),0)</f>
        <v>0</v>
      </c>
      <c r="F391" s="91">
        <f>IF($A391=Recto!$B$32,VLOOKUP($A391,Recto!$B$28:$L$44,6,FALSE),0)</f>
        <v>0</v>
      </c>
      <c r="G391" s="91">
        <f>IF($A391=Recto!$B$33,VLOOKUP($A391,Recto!$B$28:$L$44,6,FALSE),0)</f>
        <v>0</v>
      </c>
      <c r="H391" s="91">
        <f>IF($A391=Recto!$B$34,VLOOKUP($A391,Recto!$B$28:$L$44,6,FALSE),0)</f>
        <v>0</v>
      </c>
      <c r="I391" s="91">
        <f>IF($A391=Recto!$B$35,VLOOKUP($A391,Recto!$B$28:$L$44,6,FALSE),0)</f>
        <v>0</v>
      </c>
      <c r="J391" s="91">
        <f>IF($A391=Recto!$B$36,VLOOKUP($A391,Recto!$B$28:$L$44,6,FALSE),0)</f>
        <v>0</v>
      </c>
      <c r="K391" s="91">
        <f>IF($A391=Recto!$B$37,VLOOKUP($A391,Recto!$B$28:$L$44,6,FALSE),0)</f>
        <v>0</v>
      </c>
      <c r="L391" s="91">
        <f>IF($A391=Recto!$B$38,VLOOKUP($A391,Recto!$B$28:$L$44,6,FALSE),0)</f>
        <v>0</v>
      </c>
      <c r="M391" s="91">
        <f>IF($A391=Recto!$B$39,VLOOKUP($A391,Recto!$B$28:$L$44,6,FALSE),0)</f>
        <v>0</v>
      </c>
      <c r="N391" s="91">
        <f>IF($A391=Recto!$B$40,VLOOKUP($A391,Recto!$B$28:$L$44,6,FALSE),0)</f>
        <v>0</v>
      </c>
      <c r="O391" s="91">
        <f>IF($A391=Recto!$B$41,VLOOKUP($A391,Recto!$B$28:$L$44,6,FALSE),0)</f>
        <v>0</v>
      </c>
      <c r="P391" s="91">
        <f>IF($A391=Recto!$B$42,VLOOKUP($A391,Recto!$B$28:$L$44,6,FALSE),0)</f>
        <v>0</v>
      </c>
      <c r="Q391" s="91">
        <f>IF($A391=Recto!$B$43,VLOOKUP($A391,Recto!$B$28:$L$44,6,FALSE),0)</f>
        <v>0</v>
      </c>
      <c r="R391" s="91">
        <f>IF($A391=Recto!$B$44,VLOOKUP($A391,Recto!$B$28:$L$44,6,FALSE),0)</f>
        <v>0</v>
      </c>
      <c r="S391" s="295">
        <f t="shared" si="11"/>
        <v>0</v>
      </c>
    </row>
    <row r="392" spans="1:19" x14ac:dyDescent="0.25">
      <c r="A392" s="502" t="s">
        <v>1301</v>
      </c>
      <c r="B392" s="91">
        <f>IF($A392=Recto!$B$28,VLOOKUP($A392,Recto!$B$28:$L$44,6,FALSE),0)</f>
        <v>0</v>
      </c>
      <c r="C392" s="91">
        <f>IF($A392=Recto!$B$29,VLOOKUP($A392,Recto!$B$28:$L$44,6,FALSE),0)</f>
        <v>0</v>
      </c>
      <c r="D392" s="91">
        <f>IF($A392=Recto!$B$30,VLOOKUP($A392,Recto!$B$28:$L$44,6,FALSE),0)</f>
        <v>0</v>
      </c>
      <c r="E392" s="91">
        <f>IF($A392=Recto!$B$31,VLOOKUP($A392,Recto!$B$28:$L$44,6,FALSE),0)</f>
        <v>0</v>
      </c>
      <c r="F392" s="91">
        <f>IF($A392=Recto!$B$32,VLOOKUP($A392,Recto!$B$28:$L$44,6,FALSE),0)</f>
        <v>0</v>
      </c>
      <c r="G392" s="91">
        <f>IF($A392=Recto!$B$33,VLOOKUP($A392,Recto!$B$28:$L$44,6,FALSE),0)</f>
        <v>0</v>
      </c>
      <c r="H392" s="91">
        <f>IF($A392=Recto!$B$34,VLOOKUP($A392,Recto!$B$28:$L$44,6,FALSE),0)</f>
        <v>0</v>
      </c>
      <c r="I392" s="91">
        <f>IF($A392=Recto!$B$35,VLOOKUP($A392,Recto!$B$28:$L$44,6,FALSE),0)</f>
        <v>0</v>
      </c>
      <c r="J392" s="91">
        <f>IF($A392=Recto!$B$36,VLOOKUP($A392,Recto!$B$28:$L$44,6,FALSE),0)</f>
        <v>0</v>
      </c>
      <c r="K392" s="91">
        <f>IF($A392=Recto!$B$37,VLOOKUP($A392,Recto!$B$28:$L$44,6,FALSE),0)</f>
        <v>0</v>
      </c>
      <c r="L392" s="91">
        <f>IF($A392=Recto!$B$38,VLOOKUP($A392,Recto!$B$28:$L$44,6,FALSE),0)</f>
        <v>0</v>
      </c>
      <c r="M392" s="91">
        <f>IF($A392=Recto!$B$39,VLOOKUP($A392,Recto!$B$28:$L$44,6,FALSE),0)</f>
        <v>0</v>
      </c>
      <c r="N392" s="91">
        <f>IF($A392=Recto!$B$40,VLOOKUP($A392,Recto!$B$28:$L$44,6,FALSE),0)</f>
        <v>0</v>
      </c>
      <c r="O392" s="91">
        <f>IF($A392=Recto!$B$41,VLOOKUP($A392,Recto!$B$28:$L$44,6,FALSE),0)</f>
        <v>0</v>
      </c>
      <c r="P392" s="91">
        <f>IF($A392=Recto!$B$42,VLOOKUP($A392,Recto!$B$28:$L$44,6,FALSE),0)</f>
        <v>0</v>
      </c>
      <c r="Q392" s="91">
        <f>IF($A392=Recto!$B$43,VLOOKUP($A392,Recto!$B$28:$L$44,6,FALSE),0)</f>
        <v>0</v>
      </c>
      <c r="R392" s="91">
        <f>IF($A392=Recto!$B$44,VLOOKUP($A392,Recto!$B$28:$L$44,6,FALSE),0)</f>
        <v>0</v>
      </c>
      <c r="S392" s="295">
        <f t="shared" si="11"/>
        <v>0</v>
      </c>
    </row>
    <row r="393" spans="1:19" x14ac:dyDescent="0.25">
      <c r="A393" s="502" t="s">
        <v>1280</v>
      </c>
      <c r="B393" s="91">
        <f>IF($A393=Recto!$B$28,VLOOKUP($A393,Recto!$B$28:$L$44,6,FALSE),0)</f>
        <v>0</v>
      </c>
      <c r="C393" s="91">
        <f>IF($A393=Recto!$B$29,VLOOKUP($A393,Recto!$B$28:$L$44,6,FALSE),0)</f>
        <v>0</v>
      </c>
      <c r="D393" s="91">
        <f>IF($A393=Recto!$B$30,VLOOKUP($A393,Recto!$B$28:$L$44,6,FALSE),0)</f>
        <v>0</v>
      </c>
      <c r="E393" s="91">
        <f>IF($A393=Recto!$B$31,VLOOKUP($A393,Recto!$B$28:$L$44,6,FALSE),0)</f>
        <v>0</v>
      </c>
      <c r="F393" s="91">
        <f>IF($A393=Recto!$B$32,VLOOKUP($A393,Recto!$B$28:$L$44,6,FALSE),0)</f>
        <v>0</v>
      </c>
      <c r="G393" s="91">
        <f>IF($A393=Recto!$B$33,VLOOKUP($A393,Recto!$B$28:$L$44,6,FALSE),0)</f>
        <v>0</v>
      </c>
      <c r="H393" s="91">
        <f>IF($A393=Recto!$B$34,VLOOKUP($A393,Recto!$B$28:$L$44,6,FALSE),0)</f>
        <v>0</v>
      </c>
      <c r="I393" s="91">
        <f>IF($A393=Recto!$B$35,VLOOKUP($A393,Recto!$B$28:$L$44,6,FALSE),0)</f>
        <v>0</v>
      </c>
      <c r="J393" s="91">
        <f>IF($A393=Recto!$B$36,VLOOKUP($A393,Recto!$B$28:$L$44,6,FALSE),0)</f>
        <v>0</v>
      </c>
      <c r="K393" s="91">
        <f>IF($A393=Recto!$B$37,VLOOKUP($A393,Recto!$B$28:$L$44,6,FALSE),0)</f>
        <v>0</v>
      </c>
      <c r="L393" s="91">
        <f>IF($A393=Recto!$B$38,VLOOKUP($A393,Recto!$B$28:$L$44,6,FALSE),0)</f>
        <v>0</v>
      </c>
      <c r="M393" s="91">
        <f>IF($A393=Recto!$B$39,VLOOKUP($A393,Recto!$B$28:$L$44,6,FALSE),0)</f>
        <v>0</v>
      </c>
      <c r="N393" s="91">
        <f>IF($A393=Recto!$B$40,VLOOKUP($A393,Recto!$B$28:$L$44,6,FALSE),0)</f>
        <v>0</v>
      </c>
      <c r="O393" s="91">
        <f>IF($A393=Recto!$B$41,VLOOKUP($A393,Recto!$B$28:$L$44,6,FALSE),0)</f>
        <v>0</v>
      </c>
      <c r="P393" s="91">
        <f>IF($A393=Recto!$B$42,VLOOKUP($A393,Recto!$B$28:$L$44,6,FALSE),0)</f>
        <v>0</v>
      </c>
      <c r="Q393" s="91">
        <f>IF($A393=Recto!$B$43,VLOOKUP($A393,Recto!$B$28:$L$44,6,FALSE),0)</f>
        <v>0</v>
      </c>
      <c r="R393" s="91">
        <f>IF($A393=Recto!$B$44,VLOOKUP($A393,Recto!$B$28:$L$44,6,FALSE),0)</f>
        <v>0</v>
      </c>
      <c r="S393" s="295">
        <f t="shared" si="11"/>
        <v>0</v>
      </c>
    </row>
    <row r="394" spans="1:19" x14ac:dyDescent="0.25">
      <c r="A394" s="502" t="s">
        <v>189</v>
      </c>
      <c r="B394" s="91">
        <f>IF($A394=Recto!$B$28,VLOOKUP($A394,Recto!$B$28:$L$44,6,FALSE),0)</f>
        <v>0</v>
      </c>
      <c r="C394" s="91">
        <f>IF($A394=Recto!$B$29,VLOOKUP($A394,Recto!$B$28:$L$44,6,FALSE),0)</f>
        <v>0</v>
      </c>
      <c r="D394" s="91">
        <f>IF($A394=Recto!$B$30,VLOOKUP($A394,Recto!$B$28:$L$44,6,FALSE),0)</f>
        <v>0</v>
      </c>
      <c r="E394" s="91">
        <f>IF($A394=Recto!$B$31,VLOOKUP($A394,Recto!$B$28:$L$44,6,FALSE),0)</f>
        <v>0</v>
      </c>
      <c r="F394" s="91">
        <f>IF($A394=Recto!$B$32,VLOOKUP($A394,Recto!$B$28:$L$44,6,FALSE),0)</f>
        <v>0</v>
      </c>
      <c r="G394" s="91">
        <f>IF($A394=Recto!$B$33,VLOOKUP($A394,Recto!$B$28:$L$44,6,FALSE),0)</f>
        <v>0</v>
      </c>
      <c r="H394" s="91">
        <f>IF($A394=Recto!$B$34,VLOOKUP($A394,Recto!$B$28:$L$44,6,FALSE),0)</f>
        <v>0</v>
      </c>
      <c r="I394" s="91">
        <f>IF($A394=Recto!$B$35,VLOOKUP($A394,Recto!$B$28:$L$44,6,FALSE),0)</f>
        <v>0</v>
      </c>
      <c r="J394" s="91">
        <f>IF($A394=Recto!$B$36,VLOOKUP($A394,Recto!$B$28:$L$44,6,FALSE),0)</f>
        <v>0</v>
      </c>
      <c r="K394" s="91">
        <f>IF($A394=Recto!$B$37,VLOOKUP($A394,Recto!$B$28:$L$44,6,FALSE),0)</f>
        <v>0</v>
      </c>
      <c r="L394" s="91">
        <f>IF($A394=Recto!$B$38,VLOOKUP($A394,Recto!$B$28:$L$44,6,FALSE),0)</f>
        <v>0</v>
      </c>
      <c r="M394" s="91">
        <f>IF($A394=Recto!$B$39,VLOOKUP($A394,Recto!$B$28:$L$44,6,FALSE),0)</f>
        <v>0</v>
      </c>
      <c r="N394" s="91">
        <f>IF($A394=Recto!$B$40,VLOOKUP($A394,Recto!$B$28:$L$44,6,FALSE),0)</f>
        <v>0</v>
      </c>
      <c r="O394" s="91">
        <f>IF($A394=Recto!$B$41,VLOOKUP($A394,Recto!$B$28:$L$44,6,FALSE),0)</f>
        <v>0</v>
      </c>
      <c r="P394" s="91">
        <f>IF($A394=Recto!$B$42,VLOOKUP($A394,Recto!$B$28:$L$44,6,FALSE),0)</f>
        <v>0</v>
      </c>
      <c r="Q394" s="91">
        <f>IF($A394=Recto!$B$43,VLOOKUP($A394,Recto!$B$28:$L$44,6,FALSE),0)</f>
        <v>0</v>
      </c>
      <c r="R394" s="91">
        <f>IF($A394=Recto!$B$44,VLOOKUP($A394,Recto!$B$28:$L$44,6,FALSE),0)</f>
        <v>0</v>
      </c>
      <c r="S394" s="295">
        <f t="shared" si="11"/>
        <v>0</v>
      </c>
    </row>
    <row r="395" spans="1:19" x14ac:dyDescent="0.25">
      <c r="A395" s="502" t="s">
        <v>1273</v>
      </c>
      <c r="B395" s="91">
        <f>IF($A395=Recto!$B$28,VLOOKUP($A395,Recto!$B$28:$L$44,6,FALSE),0)</f>
        <v>0</v>
      </c>
      <c r="C395" s="91">
        <f>IF($A395=Recto!$B$29,VLOOKUP($A395,Recto!$B$28:$L$44,6,FALSE),0)</f>
        <v>0</v>
      </c>
      <c r="D395" s="91">
        <f>IF($A395=Recto!$B$30,VLOOKUP($A395,Recto!$B$28:$L$44,6,FALSE),0)</f>
        <v>0</v>
      </c>
      <c r="E395" s="91">
        <f>IF($A395=Recto!$B$31,VLOOKUP($A395,Recto!$B$28:$L$44,6,FALSE),0)</f>
        <v>0</v>
      </c>
      <c r="F395" s="91">
        <f>IF($A395=Recto!$B$32,VLOOKUP($A395,Recto!$B$28:$L$44,6,FALSE),0)</f>
        <v>0</v>
      </c>
      <c r="G395" s="91">
        <f>IF($A395=Recto!$B$33,VLOOKUP($A395,Recto!$B$28:$L$44,6,FALSE),0)</f>
        <v>0</v>
      </c>
      <c r="H395" s="91">
        <f>IF($A395=Recto!$B$34,VLOOKUP($A395,Recto!$B$28:$L$44,6,FALSE),0)</f>
        <v>0</v>
      </c>
      <c r="I395" s="91">
        <f>IF($A395=Recto!$B$35,VLOOKUP($A395,Recto!$B$28:$L$44,6,FALSE),0)</f>
        <v>0</v>
      </c>
      <c r="J395" s="91">
        <f>IF($A395=Recto!$B$36,VLOOKUP($A395,Recto!$B$28:$L$44,6,FALSE),0)</f>
        <v>0</v>
      </c>
      <c r="K395" s="91">
        <f>IF($A395=Recto!$B$37,VLOOKUP($A395,Recto!$B$28:$L$44,6,FALSE),0)</f>
        <v>0</v>
      </c>
      <c r="L395" s="91">
        <f>IF($A395=Recto!$B$38,VLOOKUP($A395,Recto!$B$28:$L$44,6,FALSE),0)</f>
        <v>0</v>
      </c>
      <c r="M395" s="91">
        <f>IF($A395=Recto!$B$39,VLOOKUP($A395,Recto!$B$28:$L$44,6,FALSE),0)</f>
        <v>0</v>
      </c>
      <c r="N395" s="91">
        <f>IF($A395=Recto!$B$40,VLOOKUP($A395,Recto!$B$28:$L$44,6,FALSE),0)</f>
        <v>0</v>
      </c>
      <c r="O395" s="91">
        <f>IF($A395=Recto!$B$41,VLOOKUP($A395,Recto!$B$28:$L$44,6,FALSE),0)</f>
        <v>0</v>
      </c>
      <c r="P395" s="91">
        <f>IF($A395=Recto!$B$42,VLOOKUP($A395,Recto!$B$28:$L$44,6,FALSE),0)</f>
        <v>0</v>
      </c>
      <c r="Q395" s="91">
        <f>IF($A395=Recto!$B$43,VLOOKUP($A395,Recto!$B$28:$L$44,6,FALSE),0)</f>
        <v>0</v>
      </c>
      <c r="R395" s="91">
        <f>IF($A395=Recto!$B$44,VLOOKUP($A395,Recto!$B$28:$L$44,6,FALSE),0)</f>
        <v>0</v>
      </c>
      <c r="S395" s="295">
        <f t="shared" si="11"/>
        <v>0</v>
      </c>
    </row>
    <row r="396" spans="1:19" x14ac:dyDescent="0.25">
      <c r="A396" s="502" t="s">
        <v>228</v>
      </c>
      <c r="B396" s="91">
        <f>IF($A396=Recto!$B$28,VLOOKUP($A396,Recto!$B$28:$L$44,6,FALSE),0)</f>
        <v>0</v>
      </c>
      <c r="C396" s="91">
        <f>IF($A396=Recto!$B$29,VLOOKUP($A396,Recto!$B$28:$L$44,6,FALSE),0)</f>
        <v>0</v>
      </c>
      <c r="D396" s="91">
        <f>IF($A396=Recto!$B$30,VLOOKUP($A396,Recto!$B$28:$L$44,6,FALSE),0)</f>
        <v>0</v>
      </c>
      <c r="E396" s="91">
        <f>IF($A396=Recto!$B$31,VLOOKUP($A396,Recto!$B$28:$L$44,6,FALSE),0)</f>
        <v>0</v>
      </c>
      <c r="F396" s="91">
        <f>IF($A396=Recto!$B$32,VLOOKUP($A396,Recto!$B$28:$L$44,6,FALSE),0)</f>
        <v>0</v>
      </c>
      <c r="G396" s="91">
        <f>IF($A396=Recto!$B$33,VLOOKUP($A396,Recto!$B$28:$L$44,6,FALSE),0)</f>
        <v>0</v>
      </c>
      <c r="H396" s="91">
        <f>IF($A396=Recto!$B$34,VLOOKUP($A396,Recto!$B$28:$L$44,6,FALSE),0)</f>
        <v>0</v>
      </c>
      <c r="I396" s="91">
        <f>IF($A396=Recto!$B$35,VLOOKUP($A396,Recto!$B$28:$L$44,6,FALSE),0)</f>
        <v>0</v>
      </c>
      <c r="J396" s="91">
        <f>IF($A396=Recto!$B$36,VLOOKUP($A396,Recto!$B$28:$L$44,6,FALSE),0)</f>
        <v>0</v>
      </c>
      <c r="K396" s="91">
        <f>IF($A396=Recto!$B$37,VLOOKUP($A396,Recto!$B$28:$L$44,6,FALSE),0)</f>
        <v>0</v>
      </c>
      <c r="L396" s="91">
        <f>IF($A396=Recto!$B$38,VLOOKUP($A396,Recto!$B$28:$L$44,6,FALSE),0)</f>
        <v>0</v>
      </c>
      <c r="M396" s="91">
        <f>IF($A396=Recto!$B$39,VLOOKUP($A396,Recto!$B$28:$L$44,6,FALSE),0)</f>
        <v>0</v>
      </c>
      <c r="N396" s="91">
        <f>IF($A396=Recto!$B$40,VLOOKUP($A396,Recto!$B$28:$L$44,6,FALSE),0)</f>
        <v>0</v>
      </c>
      <c r="O396" s="91">
        <f>IF($A396=Recto!$B$41,VLOOKUP($A396,Recto!$B$28:$L$44,6,FALSE),0)</f>
        <v>0</v>
      </c>
      <c r="P396" s="91">
        <f>IF($A396=Recto!$B$42,VLOOKUP($A396,Recto!$B$28:$L$44,6,FALSE),0)</f>
        <v>0</v>
      </c>
      <c r="Q396" s="91">
        <f>IF($A396=Recto!$B$43,VLOOKUP($A396,Recto!$B$28:$L$44,6,FALSE),0)</f>
        <v>0</v>
      </c>
      <c r="R396" s="91">
        <f>IF($A396=Recto!$B$44,VLOOKUP($A396,Recto!$B$28:$L$44,6,FALSE),0)</f>
        <v>0</v>
      </c>
      <c r="S396" s="295">
        <f t="shared" si="11"/>
        <v>0</v>
      </c>
    </row>
    <row r="397" spans="1:19" x14ac:dyDescent="0.25">
      <c r="A397" s="502" t="s">
        <v>1282</v>
      </c>
      <c r="B397" s="91">
        <f>IF($A397=Recto!$B$28,VLOOKUP($A397,Recto!$B$28:$L$44,6,FALSE),0)</f>
        <v>0</v>
      </c>
      <c r="C397" s="91">
        <f>IF($A397=Recto!$B$29,VLOOKUP($A397,Recto!$B$28:$L$44,6,FALSE),0)</f>
        <v>0</v>
      </c>
      <c r="D397" s="91">
        <f>IF($A397=Recto!$B$30,VLOOKUP($A397,Recto!$B$28:$L$44,6,FALSE),0)</f>
        <v>0</v>
      </c>
      <c r="E397" s="91">
        <f>IF($A397=Recto!$B$31,VLOOKUP($A397,Recto!$B$28:$L$44,6,FALSE),0)</f>
        <v>0</v>
      </c>
      <c r="F397" s="91">
        <f>IF($A397=Recto!$B$32,VLOOKUP($A397,Recto!$B$28:$L$44,6,FALSE),0)</f>
        <v>0</v>
      </c>
      <c r="G397" s="91">
        <f>IF($A397=Recto!$B$33,VLOOKUP($A397,Recto!$B$28:$L$44,6,FALSE),0)</f>
        <v>0</v>
      </c>
      <c r="H397" s="91">
        <f>IF($A397=Recto!$B$34,VLOOKUP($A397,Recto!$B$28:$L$44,6,FALSE),0)</f>
        <v>0</v>
      </c>
      <c r="I397" s="91">
        <f>IF($A397=Recto!$B$35,VLOOKUP($A397,Recto!$B$28:$L$44,6,FALSE),0)</f>
        <v>0</v>
      </c>
      <c r="J397" s="91">
        <f>IF($A397=Recto!$B$36,VLOOKUP($A397,Recto!$B$28:$L$44,6,FALSE),0)</f>
        <v>0</v>
      </c>
      <c r="K397" s="91">
        <f>IF($A397=Recto!$B$37,VLOOKUP($A397,Recto!$B$28:$L$44,6,FALSE),0)</f>
        <v>0</v>
      </c>
      <c r="L397" s="91">
        <f>IF($A397=Recto!$B$38,VLOOKUP($A397,Recto!$B$28:$L$44,6,FALSE),0)</f>
        <v>0</v>
      </c>
      <c r="M397" s="91">
        <f>IF($A397=Recto!$B$39,VLOOKUP($A397,Recto!$B$28:$L$44,6,FALSE),0)</f>
        <v>0</v>
      </c>
      <c r="N397" s="91">
        <f>IF($A397=Recto!$B$40,VLOOKUP($A397,Recto!$B$28:$L$44,6,FALSE),0)</f>
        <v>0</v>
      </c>
      <c r="O397" s="91">
        <f>IF($A397=Recto!$B$41,VLOOKUP($A397,Recto!$B$28:$L$44,6,FALSE),0)</f>
        <v>0</v>
      </c>
      <c r="P397" s="91">
        <f>IF($A397=Recto!$B$42,VLOOKUP($A397,Recto!$B$28:$L$44,6,FALSE),0)</f>
        <v>0</v>
      </c>
      <c r="Q397" s="91">
        <f>IF($A397=Recto!$B$43,VLOOKUP($A397,Recto!$B$28:$L$44,6,FALSE),0)</f>
        <v>0</v>
      </c>
      <c r="R397" s="91">
        <f>IF($A397=Recto!$B$44,VLOOKUP($A397,Recto!$B$28:$L$44,6,FALSE),0)</f>
        <v>0</v>
      </c>
      <c r="S397" s="295">
        <f t="shared" si="11"/>
        <v>0</v>
      </c>
    </row>
    <row r="398" spans="1:19" x14ac:dyDescent="0.25">
      <c r="A398" s="502" t="s">
        <v>102</v>
      </c>
      <c r="B398" s="91">
        <f>IF($A398=Recto!$B$28,VLOOKUP($A398,Recto!$B$28:$L$44,6,FALSE),0)</f>
        <v>0</v>
      </c>
      <c r="C398" s="91">
        <f>IF($A398=Recto!$B$29,VLOOKUP($A398,Recto!$B$28:$L$44,6,FALSE),0)</f>
        <v>0</v>
      </c>
      <c r="D398" s="91">
        <f>IF($A398=Recto!$B$30,VLOOKUP($A398,Recto!$B$28:$L$44,6,FALSE),0)</f>
        <v>0</v>
      </c>
      <c r="E398" s="91">
        <f>IF($A398=Recto!$B$31,VLOOKUP($A398,Recto!$B$28:$L$44,6,FALSE),0)</f>
        <v>0</v>
      </c>
      <c r="F398" s="91">
        <f>IF($A398=Recto!$B$32,VLOOKUP($A398,Recto!$B$28:$L$44,6,FALSE),0)</f>
        <v>0</v>
      </c>
      <c r="G398" s="91">
        <f>IF($A398=Recto!$B$33,VLOOKUP($A398,Recto!$B$28:$L$44,6,FALSE),0)</f>
        <v>0</v>
      </c>
      <c r="H398" s="91">
        <f>IF($A398=Recto!$B$34,VLOOKUP($A398,Recto!$B$28:$L$44,6,FALSE),0)</f>
        <v>0</v>
      </c>
      <c r="I398" s="91">
        <f>IF($A398=Recto!$B$35,VLOOKUP($A398,Recto!$B$28:$L$44,6,FALSE),0)</f>
        <v>0</v>
      </c>
      <c r="J398" s="91">
        <f>IF($A398=Recto!$B$36,VLOOKUP($A398,Recto!$B$28:$L$44,6,FALSE),0)</f>
        <v>0</v>
      </c>
      <c r="K398" s="91">
        <f>IF($A398=Recto!$B$37,VLOOKUP($A398,Recto!$B$28:$L$44,6,FALSE),0)</f>
        <v>0</v>
      </c>
      <c r="L398" s="91">
        <f>IF($A398=Recto!$B$38,VLOOKUP($A398,Recto!$B$28:$L$44,6,FALSE),0)</f>
        <v>0</v>
      </c>
      <c r="M398" s="91">
        <f>IF($A398=Recto!$B$39,VLOOKUP($A398,Recto!$B$28:$L$44,6,FALSE),0)</f>
        <v>0</v>
      </c>
      <c r="N398" s="91">
        <f>IF($A398=Recto!$B$40,VLOOKUP($A398,Recto!$B$28:$L$44,6,FALSE),0)</f>
        <v>0</v>
      </c>
      <c r="O398" s="91">
        <f>IF($A398=Recto!$B$41,VLOOKUP($A398,Recto!$B$28:$L$44,6,FALSE),0)</f>
        <v>0</v>
      </c>
      <c r="P398" s="91">
        <f>IF($A398=Recto!$B$42,VLOOKUP($A398,Recto!$B$28:$L$44,6,FALSE),0)</f>
        <v>0</v>
      </c>
      <c r="Q398" s="91">
        <f>IF($A398=Recto!$B$43,VLOOKUP($A398,Recto!$B$28:$L$44,6,FALSE),0)</f>
        <v>0</v>
      </c>
      <c r="R398" s="91">
        <f>IF($A398=Recto!$B$44,VLOOKUP($A398,Recto!$B$28:$L$44,6,FALSE),0)</f>
        <v>0</v>
      </c>
      <c r="S398" s="295">
        <f t="shared" si="11"/>
        <v>0</v>
      </c>
    </row>
    <row r="399" spans="1:19" x14ac:dyDescent="0.25">
      <c r="A399" s="502" t="s">
        <v>1278</v>
      </c>
      <c r="B399" s="91">
        <f>IF($A399=Recto!$B$28,VLOOKUP($A399,Recto!$B$28:$L$44,6,FALSE),0)</f>
        <v>0</v>
      </c>
      <c r="C399" s="91">
        <f>IF($A399=Recto!$B$29,VLOOKUP($A399,Recto!$B$28:$L$44,6,FALSE),0)</f>
        <v>0</v>
      </c>
      <c r="D399" s="91">
        <f>IF($A399=Recto!$B$30,VLOOKUP($A399,Recto!$B$28:$L$44,6,FALSE),0)</f>
        <v>0</v>
      </c>
      <c r="E399" s="91">
        <f>IF($A399=Recto!$B$31,VLOOKUP($A399,Recto!$B$28:$L$44,6,FALSE),0)</f>
        <v>0</v>
      </c>
      <c r="F399" s="91">
        <f>IF($A399=Recto!$B$32,VLOOKUP($A399,Recto!$B$28:$L$44,6,FALSE),0)</f>
        <v>0</v>
      </c>
      <c r="G399" s="91">
        <f>IF($A399=Recto!$B$33,VLOOKUP($A399,Recto!$B$28:$L$44,6,FALSE),0)</f>
        <v>0</v>
      </c>
      <c r="H399" s="91">
        <f>IF($A399=Recto!$B$34,VLOOKUP($A399,Recto!$B$28:$L$44,6,FALSE),0)</f>
        <v>0</v>
      </c>
      <c r="I399" s="91">
        <f>IF($A399=Recto!$B$35,VLOOKUP($A399,Recto!$B$28:$L$44,6,FALSE),0)</f>
        <v>0</v>
      </c>
      <c r="J399" s="91">
        <f>IF($A399=Recto!$B$36,VLOOKUP($A399,Recto!$B$28:$L$44,6,FALSE),0)</f>
        <v>0</v>
      </c>
      <c r="K399" s="91">
        <f>IF($A399=Recto!$B$37,VLOOKUP($A399,Recto!$B$28:$L$44,6,FALSE),0)</f>
        <v>0</v>
      </c>
      <c r="L399" s="91">
        <f>IF($A399=Recto!$B$38,VLOOKUP($A399,Recto!$B$28:$L$44,6,FALSE),0)</f>
        <v>0</v>
      </c>
      <c r="M399" s="91">
        <f>IF($A399=Recto!$B$39,VLOOKUP($A399,Recto!$B$28:$L$44,6,FALSE),0)</f>
        <v>0</v>
      </c>
      <c r="N399" s="91">
        <f>IF($A399=Recto!$B$40,VLOOKUP($A399,Recto!$B$28:$L$44,6,FALSE),0)</f>
        <v>0</v>
      </c>
      <c r="O399" s="91">
        <f>IF($A399=Recto!$B$41,VLOOKUP($A399,Recto!$B$28:$L$44,6,FALSE),0)</f>
        <v>0</v>
      </c>
      <c r="P399" s="91">
        <f>IF($A399=Recto!$B$42,VLOOKUP($A399,Recto!$B$28:$L$44,6,FALSE),0)</f>
        <v>0</v>
      </c>
      <c r="Q399" s="91">
        <f>IF($A399=Recto!$B$43,VLOOKUP($A399,Recto!$B$28:$L$44,6,FALSE),0)</f>
        <v>0</v>
      </c>
      <c r="R399" s="91">
        <f>IF($A399=Recto!$B$44,VLOOKUP($A399,Recto!$B$28:$L$44,6,FALSE),0)</f>
        <v>0</v>
      </c>
      <c r="S399" s="295">
        <f t="shared" si="11"/>
        <v>0</v>
      </c>
    </row>
    <row r="400" spans="1:19" x14ac:dyDescent="0.25">
      <c r="A400" s="502" t="s">
        <v>1263</v>
      </c>
      <c r="B400" s="91">
        <f>IF($A400=Recto!$B$28,VLOOKUP($A400,Recto!$B$28:$L$44,6,FALSE),0)</f>
        <v>0</v>
      </c>
      <c r="C400" s="91">
        <f>IF($A400=Recto!$B$29,VLOOKUP($A400,Recto!$B$28:$L$44,6,FALSE),0)</f>
        <v>0</v>
      </c>
      <c r="D400" s="91">
        <f>IF($A400=Recto!$B$30,VLOOKUP($A400,Recto!$B$28:$L$44,6,FALSE),0)</f>
        <v>0</v>
      </c>
      <c r="E400" s="91">
        <f>IF($A400=Recto!$B$31,VLOOKUP($A400,Recto!$B$28:$L$44,6,FALSE),0)</f>
        <v>0</v>
      </c>
      <c r="F400" s="91">
        <f>IF($A400=Recto!$B$32,VLOOKUP($A400,Recto!$B$28:$L$44,6,FALSE),0)</f>
        <v>0</v>
      </c>
      <c r="G400" s="91">
        <f>IF($A400=Recto!$B$33,VLOOKUP($A400,Recto!$B$28:$L$44,6,FALSE),0)</f>
        <v>0</v>
      </c>
      <c r="H400" s="91">
        <f>IF($A400=Recto!$B$34,VLOOKUP($A400,Recto!$B$28:$L$44,6,FALSE),0)</f>
        <v>0</v>
      </c>
      <c r="I400" s="91">
        <f>IF($A400=Recto!$B$35,VLOOKUP($A400,Recto!$B$28:$L$44,6,FALSE),0)</f>
        <v>0</v>
      </c>
      <c r="J400" s="91">
        <f>IF($A400=Recto!$B$36,VLOOKUP($A400,Recto!$B$28:$L$44,6,FALSE),0)</f>
        <v>0</v>
      </c>
      <c r="K400" s="91">
        <f>IF($A400=Recto!$B$37,VLOOKUP($A400,Recto!$B$28:$L$44,6,FALSE),0)</f>
        <v>0</v>
      </c>
      <c r="L400" s="91">
        <f>IF($A400=Recto!$B$38,VLOOKUP($A400,Recto!$B$28:$L$44,6,FALSE),0)</f>
        <v>0</v>
      </c>
      <c r="M400" s="91">
        <f>IF($A400=Recto!$B$39,VLOOKUP($A400,Recto!$B$28:$L$44,6,FALSE),0)</f>
        <v>0</v>
      </c>
      <c r="N400" s="91">
        <f>IF($A400=Recto!$B$40,VLOOKUP($A400,Recto!$B$28:$L$44,6,FALSE),0)</f>
        <v>0</v>
      </c>
      <c r="O400" s="91">
        <f>IF($A400=Recto!$B$41,VLOOKUP($A400,Recto!$B$28:$L$44,6,FALSE),0)</f>
        <v>0</v>
      </c>
      <c r="P400" s="91">
        <f>IF($A400=Recto!$B$42,VLOOKUP($A400,Recto!$B$28:$L$44,6,FALSE),0)</f>
        <v>0</v>
      </c>
      <c r="Q400" s="91">
        <f>IF($A400=Recto!$B$43,VLOOKUP($A400,Recto!$B$28:$L$44,6,FALSE),0)</f>
        <v>0</v>
      </c>
      <c r="R400" s="91">
        <f>IF($A400=Recto!$B$44,VLOOKUP($A400,Recto!$B$28:$L$44,6,FALSE),0)</f>
        <v>0</v>
      </c>
      <c r="S400" s="295">
        <f t="shared" si="11"/>
        <v>0</v>
      </c>
    </row>
    <row r="401" spans="1:19" s="196" customFormat="1" x14ac:dyDescent="0.25">
      <c r="A401" s="502" t="s">
        <v>1268</v>
      </c>
      <c r="B401" s="91">
        <f>IF($A401=Recto!$B$28,VLOOKUP($A401,Recto!$B$28:$L$44,6,FALSE),0)</f>
        <v>0</v>
      </c>
      <c r="C401" s="91">
        <f>IF($A401=Recto!$B$29,VLOOKUP($A401,Recto!$B$28:$L$44,6,FALSE),0)</f>
        <v>0</v>
      </c>
      <c r="D401" s="91">
        <f>IF($A401=Recto!$B$30,VLOOKUP($A401,Recto!$B$28:$L$44,6,FALSE),0)</f>
        <v>0</v>
      </c>
      <c r="E401" s="91">
        <f>IF($A401=Recto!$B$31,VLOOKUP($A401,Recto!$B$28:$L$44,6,FALSE),0)</f>
        <v>0</v>
      </c>
      <c r="F401" s="91">
        <f>IF($A401=Recto!$B$32,VLOOKUP($A401,Recto!$B$28:$L$44,6,FALSE),0)</f>
        <v>0</v>
      </c>
      <c r="G401" s="91">
        <f>IF($A401=Recto!$B$33,VLOOKUP($A401,Recto!$B$28:$L$44,6,FALSE),0)</f>
        <v>0</v>
      </c>
      <c r="H401" s="91">
        <f>IF($A401=Recto!$B$34,VLOOKUP($A401,Recto!$B$28:$L$44,6,FALSE),0)</f>
        <v>0</v>
      </c>
      <c r="I401" s="91">
        <f>IF($A401=Recto!$B$35,VLOOKUP($A401,Recto!$B$28:$L$44,6,FALSE),0)</f>
        <v>0</v>
      </c>
      <c r="J401" s="91">
        <f>IF($A401=Recto!$B$36,VLOOKUP($A401,Recto!$B$28:$L$44,6,FALSE),0)</f>
        <v>0</v>
      </c>
      <c r="K401" s="91">
        <f>IF($A401=Recto!$B$37,VLOOKUP($A401,Recto!$B$28:$L$44,6,FALSE),0)</f>
        <v>0</v>
      </c>
      <c r="L401" s="91">
        <f>IF($A401=Recto!$B$38,VLOOKUP($A401,Recto!$B$28:$L$44,6,FALSE),0)</f>
        <v>0</v>
      </c>
      <c r="M401" s="91">
        <f>IF($A401=Recto!$B$39,VLOOKUP($A401,Recto!$B$28:$L$44,6,FALSE),0)</f>
        <v>0</v>
      </c>
      <c r="N401" s="91">
        <f>IF($A401=Recto!$B$40,VLOOKUP($A401,Recto!$B$28:$L$44,6,FALSE),0)</f>
        <v>0</v>
      </c>
      <c r="O401" s="91">
        <f>IF($A401=Recto!$B$41,VLOOKUP($A401,Recto!$B$28:$L$44,6,FALSE),0)</f>
        <v>0</v>
      </c>
      <c r="P401" s="91">
        <f>IF($A401=Recto!$B$42,VLOOKUP($A401,Recto!$B$28:$L$44,6,FALSE),0)</f>
        <v>0</v>
      </c>
      <c r="Q401" s="91">
        <f>IF($A401=Recto!$B$43,VLOOKUP($A401,Recto!$B$28:$L$44,6,FALSE),0)</f>
        <v>0</v>
      </c>
      <c r="R401" s="91">
        <f>IF($A401=Recto!$B$44,VLOOKUP($A401,Recto!$B$28:$L$44,6,FALSE),0)</f>
        <v>0</v>
      </c>
      <c r="S401" s="295">
        <f>SUM(B401:R401)</f>
        <v>0</v>
      </c>
    </row>
    <row r="402" spans="1:19" x14ac:dyDescent="0.25">
      <c r="A402" s="502" t="s">
        <v>1208</v>
      </c>
      <c r="B402" s="91">
        <f>IF($A402=Recto!$B$28,VLOOKUP($A402,Recto!$B$28:$L$44,6,FALSE),0)</f>
        <v>0</v>
      </c>
      <c r="C402" s="91">
        <f>IF($A402=Recto!$B$29,VLOOKUP($A402,Recto!$B$28:$L$44,6,FALSE),0)</f>
        <v>0</v>
      </c>
      <c r="D402" s="91">
        <f>IF($A402=Recto!$B$30,VLOOKUP($A402,Recto!$B$28:$L$44,6,FALSE),0)</f>
        <v>0</v>
      </c>
      <c r="E402" s="91">
        <f>IF($A402=Recto!$B$31,VLOOKUP($A402,Recto!$B$28:$L$44,6,FALSE),0)</f>
        <v>0</v>
      </c>
      <c r="F402" s="91">
        <f>IF($A402=Recto!$B$32,VLOOKUP($A402,Recto!$B$28:$L$44,6,FALSE),0)</f>
        <v>0</v>
      </c>
      <c r="G402" s="91">
        <f>IF($A402=Recto!$B$33,VLOOKUP($A402,Recto!$B$28:$L$44,6,FALSE),0)</f>
        <v>0</v>
      </c>
      <c r="H402" s="91">
        <f>IF($A402=Recto!$B$34,VLOOKUP($A402,Recto!$B$28:$L$44,6,FALSE),0)</f>
        <v>0</v>
      </c>
      <c r="I402" s="91">
        <f>IF($A402=Recto!$B$35,VLOOKUP($A402,Recto!$B$28:$L$44,6,FALSE),0)</f>
        <v>0</v>
      </c>
      <c r="J402" s="91">
        <f>IF($A402=Recto!$B$36,VLOOKUP($A402,Recto!$B$28:$L$44,6,FALSE),0)</f>
        <v>0</v>
      </c>
      <c r="K402" s="91">
        <f>IF($A402=Recto!$B$37,VLOOKUP($A402,Recto!$B$28:$L$44,6,FALSE),0)</f>
        <v>0</v>
      </c>
      <c r="L402" s="91">
        <f>IF($A402=Recto!$B$38,VLOOKUP($A402,Recto!$B$28:$L$44,6,FALSE),0)</f>
        <v>0</v>
      </c>
      <c r="M402" s="91">
        <f>IF($A402=Recto!$B$39,VLOOKUP($A402,Recto!$B$28:$L$44,6,FALSE),0)</f>
        <v>0</v>
      </c>
      <c r="N402" s="91">
        <f>IF($A402=Recto!$B$40,VLOOKUP($A402,Recto!$B$28:$L$44,6,FALSE),0)</f>
        <v>0</v>
      </c>
      <c r="O402" s="91">
        <f>IF($A402=Recto!$B$41,VLOOKUP($A402,Recto!$B$28:$L$44,6,FALSE),0)</f>
        <v>0</v>
      </c>
      <c r="P402" s="91">
        <f>IF($A402=Recto!$B$42,VLOOKUP($A402,Recto!$B$28:$L$44,6,FALSE),0)</f>
        <v>0</v>
      </c>
      <c r="Q402" s="91">
        <f>IF($A402=Recto!$B$43,VLOOKUP($A402,Recto!$B$28:$L$44,6,FALSE),0)</f>
        <v>0</v>
      </c>
      <c r="R402" s="91">
        <f>IF($A402=Recto!$B$44,VLOOKUP($A402,Recto!$B$28:$L$44,6,FALSE),0)</f>
        <v>0</v>
      </c>
      <c r="S402" s="295">
        <f t="shared" si="11"/>
        <v>0</v>
      </c>
    </row>
    <row r="403" spans="1:19" x14ac:dyDescent="0.25">
      <c r="A403" s="502" t="s">
        <v>1276</v>
      </c>
      <c r="B403" s="91">
        <f>IF($A403=Recto!$B$28,VLOOKUP($A403,Recto!$B$28:$L$44,6,FALSE),0)</f>
        <v>0</v>
      </c>
      <c r="C403" s="91">
        <f>IF($A403=Recto!$B$29,VLOOKUP($A403,Recto!$B$28:$L$44,6,FALSE),0)</f>
        <v>0</v>
      </c>
      <c r="D403" s="91">
        <f>IF($A403=Recto!$B$30,VLOOKUP($A403,Recto!$B$28:$L$44,6,FALSE),0)</f>
        <v>0</v>
      </c>
      <c r="E403" s="91">
        <f>IF($A403=Recto!$B$31,VLOOKUP($A403,Recto!$B$28:$L$44,6,FALSE),0)</f>
        <v>0</v>
      </c>
      <c r="F403" s="91">
        <f>IF($A403=Recto!$B$32,VLOOKUP($A403,Recto!$B$28:$L$44,6,FALSE),0)</f>
        <v>0</v>
      </c>
      <c r="G403" s="91">
        <f>IF($A403=Recto!$B$33,VLOOKUP($A403,Recto!$B$28:$L$44,6,FALSE),0)</f>
        <v>0</v>
      </c>
      <c r="H403" s="91">
        <f>IF($A403=Recto!$B$34,VLOOKUP($A403,Recto!$B$28:$L$44,6,FALSE),0)</f>
        <v>0</v>
      </c>
      <c r="I403" s="91">
        <f>IF($A403=Recto!$B$35,VLOOKUP($A403,Recto!$B$28:$L$44,6,FALSE),0)</f>
        <v>0</v>
      </c>
      <c r="J403" s="91">
        <f>IF($A403=Recto!$B$36,VLOOKUP($A403,Recto!$B$28:$L$44,6,FALSE),0)</f>
        <v>0</v>
      </c>
      <c r="K403" s="91">
        <f>IF($A403=Recto!$B$37,VLOOKUP($A403,Recto!$B$28:$L$44,6,FALSE),0)</f>
        <v>0</v>
      </c>
      <c r="L403" s="91">
        <f>IF($A403=Recto!$B$38,VLOOKUP($A403,Recto!$B$28:$L$44,6,FALSE),0)</f>
        <v>0</v>
      </c>
      <c r="M403" s="91">
        <f>IF($A403=Recto!$B$39,VLOOKUP($A403,Recto!$B$28:$L$44,6,FALSE),0)</f>
        <v>0</v>
      </c>
      <c r="N403" s="91">
        <f>IF($A403=Recto!$B$40,VLOOKUP($A403,Recto!$B$28:$L$44,6,FALSE),0)</f>
        <v>0</v>
      </c>
      <c r="O403" s="91">
        <f>IF($A403=Recto!$B$41,VLOOKUP($A403,Recto!$B$28:$L$44,6,FALSE),0)</f>
        <v>0</v>
      </c>
      <c r="P403" s="91">
        <f>IF($A403=Recto!$B$42,VLOOKUP($A403,Recto!$B$28:$L$44,6,FALSE),0)</f>
        <v>0</v>
      </c>
      <c r="Q403" s="91">
        <f>IF($A403=Recto!$B$43,VLOOKUP($A403,Recto!$B$28:$L$44,6,FALSE),0)</f>
        <v>0</v>
      </c>
      <c r="R403" s="91">
        <f>IF($A403=Recto!$B$44,VLOOKUP($A403,Recto!$B$28:$L$44,6,FALSE),0)</f>
        <v>0</v>
      </c>
      <c r="S403" s="295">
        <f t="shared" si="11"/>
        <v>0</v>
      </c>
    </row>
    <row r="404" spans="1:19" x14ac:dyDescent="0.25">
      <c r="A404" s="502" t="s">
        <v>1221</v>
      </c>
      <c r="B404" s="91">
        <f>IF($A404=Recto!$B$28,VLOOKUP($A404,Recto!$B$28:$L$44,6,FALSE),0)</f>
        <v>0</v>
      </c>
      <c r="C404" s="91">
        <f>IF($A404=Recto!$B$29,VLOOKUP($A404,Recto!$B$28:$L$44,6,FALSE),0)</f>
        <v>0</v>
      </c>
      <c r="D404" s="91">
        <f>IF($A404=Recto!$B$30,VLOOKUP($A404,Recto!$B$28:$L$44,6,FALSE),0)</f>
        <v>0</v>
      </c>
      <c r="E404" s="91">
        <f>IF($A404=Recto!$B$31,VLOOKUP($A404,Recto!$B$28:$L$44,6,FALSE),0)</f>
        <v>0</v>
      </c>
      <c r="F404" s="91">
        <f>IF($A404=Recto!$B$32,VLOOKUP($A404,Recto!$B$28:$L$44,6,FALSE),0)</f>
        <v>0</v>
      </c>
      <c r="G404" s="91">
        <f>IF($A404=Recto!$B$33,VLOOKUP($A404,Recto!$B$28:$L$44,6,FALSE),0)</f>
        <v>0</v>
      </c>
      <c r="H404" s="91">
        <f>IF($A404=Recto!$B$34,VLOOKUP($A404,Recto!$B$28:$L$44,6,FALSE),0)</f>
        <v>0</v>
      </c>
      <c r="I404" s="91">
        <f>IF($A404=Recto!$B$35,VLOOKUP($A404,Recto!$B$28:$L$44,6,FALSE),0)</f>
        <v>0</v>
      </c>
      <c r="J404" s="91">
        <f>IF($A404=Recto!$B$36,VLOOKUP($A404,Recto!$B$28:$L$44,6,FALSE),0)</f>
        <v>0</v>
      </c>
      <c r="K404" s="91">
        <f>IF($A404=Recto!$B$37,VLOOKUP($A404,Recto!$B$28:$L$44,6,FALSE),0)</f>
        <v>0</v>
      </c>
      <c r="L404" s="91">
        <f>IF($A404=Recto!$B$38,VLOOKUP($A404,Recto!$B$28:$L$44,6,FALSE),0)</f>
        <v>0</v>
      </c>
      <c r="M404" s="91">
        <f>IF($A404=Recto!$B$39,VLOOKUP($A404,Recto!$B$28:$L$44,6,FALSE),0)</f>
        <v>0</v>
      </c>
      <c r="N404" s="91">
        <f>IF($A404=Recto!$B$40,VLOOKUP($A404,Recto!$B$28:$L$44,6,FALSE),0)</f>
        <v>0</v>
      </c>
      <c r="O404" s="91">
        <f>IF($A404=Recto!$B$41,VLOOKUP($A404,Recto!$B$28:$L$44,6,FALSE),0)</f>
        <v>0</v>
      </c>
      <c r="P404" s="91">
        <f>IF($A404=Recto!$B$42,VLOOKUP($A404,Recto!$B$28:$L$44,6,FALSE),0)</f>
        <v>0</v>
      </c>
      <c r="Q404" s="91">
        <f>IF($A404=Recto!$B$43,VLOOKUP($A404,Recto!$B$28:$L$44,6,FALSE),0)</f>
        <v>0</v>
      </c>
      <c r="R404" s="91">
        <f>IF($A404=Recto!$B$44,VLOOKUP($A404,Recto!$B$28:$L$44,6,FALSE),0)</f>
        <v>0</v>
      </c>
      <c r="S404" s="295">
        <f t="shared" si="11"/>
        <v>0</v>
      </c>
    </row>
    <row r="405" spans="1:19" s="196" customFormat="1" x14ac:dyDescent="0.25">
      <c r="A405" s="502" t="s">
        <v>7703</v>
      </c>
      <c r="B405" s="91">
        <f>IF($A405=Recto!$B$28,VLOOKUP($A405,Recto!$B$28:$L$44,6,FALSE),0)</f>
        <v>0</v>
      </c>
      <c r="C405" s="91">
        <f>IF($A405=Recto!$B$29,VLOOKUP($A405,Recto!$B$28:$L$44,6,FALSE),0)</f>
        <v>0</v>
      </c>
      <c r="D405" s="91">
        <f>IF($A405=Recto!$B$30,VLOOKUP($A405,Recto!$B$28:$L$44,6,FALSE),0)</f>
        <v>0</v>
      </c>
      <c r="E405" s="91">
        <f>IF($A405=Recto!$B$31,VLOOKUP($A405,Recto!$B$28:$L$44,6,FALSE),0)</f>
        <v>0</v>
      </c>
      <c r="F405" s="91">
        <f>IF($A405=Recto!$B$32,VLOOKUP($A405,Recto!$B$28:$L$44,6,FALSE),0)</f>
        <v>0</v>
      </c>
      <c r="G405" s="91">
        <f>IF($A405=Recto!$B$33,VLOOKUP($A405,Recto!$B$28:$L$44,6,FALSE),0)</f>
        <v>0</v>
      </c>
      <c r="H405" s="91">
        <f>IF($A405=Recto!$B$34,VLOOKUP($A405,Recto!$B$28:$L$44,6,FALSE),0)</f>
        <v>0</v>
      </c>
      <c r="I405" s="91">
        <f>IF($A405=Recto!$B$35,VLOOKUP($A405,Recto!$B$28:$L$44,6,FALSE),0)</f>
        <v>0</v>
      </c>
      <c r="J405" s="91">
        <f>IF($A405=Recto!$B$36,VLOOKUP($A405,Recto!$B$28:$L$44,6,FALSE),0)</f>
        <v>0</v>
      </c>
      <c r="K405" s="91">
        <f>IF($A405=Recto!$B$37,VLOOKUP($A405,Recto!$B$28:$L$44,6,FALSE),0)</f>
        <v>0</v>
      </c>
      <c r="L405" s="91">
        <f>IF($A405=Recto!$B$38,VLOOKUP($A405,Recto!$B$28:$L$44,6,FALSE),0)</f>
        <v>0</v>
      </c>
      <c r="M405" s="91">
        <f>IF($A405=Recto!$B$39,VLOOKUP($A405,Recto!$B$28:$L$44,6,FALSE),0)</f>
        <v>0</v>
      </c>
      <c r="N405" s="91">
        <f>IF($A405=Recto!$B$40,VLOOKUP($A405,Recto!$B$28:$L$44,6,FALSE),0)</f>
        <v>0</v>
      </c>
      <c r="O405" s="91">
        <f>IF($A405=Recto!$B$41,VLOOKUP($A405,Recto!$B$28:$L$44,6,FALSE),0)</f>
        <v>0</v>
      </c>
      <c r="P405" s="91">
        <f>IF($A405=Recto!$B$42,VLOOKUP($A405,Recto!$B$28:$L$44,6,FALSE),0)</f>
        <v>0</v>
      </c>
      <c r="Q405" s="91">
        <f>IF($A405=Recto!$B$43,VLOOKUP($A405,Recto!$B$28:$L$44,6,FALSE),0)</f>
        <v>0</v>
      </c>
      <c r="R405" s="91">
        <f>IF($A405=Recto!$B$44,VLOOKUP($A405,Recto!$B$28:$L$44,6,FALSE),0)</f>
        <v>0</v>
      </c>
      <c r="S405" s="295">
        <f t="shared" si="11"/>
        <v>0</v>
      </c>
    </row>
    <row r="406" spans="1:19" x14ac:dyDescent="0.25">
      <c r="A406" s="502" t="s">
        <v>1279</v>
      </c>
      <c r="B406" s="91">
        <f>IF($A406=Recto!$B$28,VLOOKUP($A406,Recto!$B$28:$L$44,6,FALSE),0)</f>
        <v>0</v>
      </c>
      <c r="C406" s="91">
        <f>IF($A406=Recto!$B$29,VLOOKUP($A406,Recto!$B$28:$L$44,6,FALSE),0)</f>
        <v>0</v>
      </c>
      <c r="D406" s="91">
        <f>IF($A406=Recto!$B$30,VLOOKUP($A406,Recto!$B$28:$L$44,6,FALSE),0)</f>
        <v>0</v>
      </c>
      <c r="E406" s="91">
        <f>IF($A406=Recto!$B$31,VLOOKUP($A406,Recto!$B$28:$L$44,6,FALSE),0)</f>
        <v>0</v>
      </c>
      <c r="F406" s="91">
        <f>IF($A406=Recto!$B$32,VLOOKUP($A406,Recto!$B$28:$L$44,6,FALSE),0)</f>
        <v>0</v>
      </c>
      <c r="G406" s="91">
        <f>IF($A406=Recto!$B$33,VLOOKUP($A406,Recto!$B$28:$L$44,6,FALSE),0)</f>
        <v>0</v>
      </c>
      <c r="H406" s="91">
        <f>IF($A406=Recto!$B$34,VLOOKUP($A406,Recto!$B$28:$L$44,6,FALSE),0)</f>
        <v>0</v>
      </c>
      <c r="I406" s="91">
        <f>IF($A406=Recto!$B$35,VLOOKUP($A406,Recto!$B$28:$L$44,6,FALSE),0)</f>
        <v>0</v>
      </c>
      <c r="J406" s="91">
        <f>IF($A406=Recto!$B$36,VLOOKUP($A406,Recto!$B$28:$L$44,6,FALSE),0)</f>
        <v>0</v>
      </c>
      <c r="K406" s="91">
        <f>IF($A406=Recto!$B$37,VLOOKUP($A406,Recto!$B$28:$L$44,6,FALSE),0)</f>
        <v>0</v>
      </c>
      <c r="L406" s="91">
        <f>IF($A406=Recto!$B$38,VLOOKUP($A406,Recto!$B$28:$L$44,6,FALSE),0)</f>
        <v>0</v>
      </c>
      <c r="M406" s="91">
        <f>IF($A406=Recto!$B$39,VLOOKUP($A406,Recto!$B$28:$L$44,6,FALSE),0)</f>
        <v>0</v>
      </c>
      <c r="N406" s="91">
        <f>IF($A406=Recto!$B$40,VLOOKUP($A406,Recto!$B$28:$L$44,6,FALSE),0)</f>
        <v>0</v>
      </c>
      <c r="O406" s="91">
        <f>IF($A406=Recto!$B$41,VLOOKUP($A406,Recto!$B$28:$L$44,6,FALSE),0)</f>
        <v>0</v>
      </c>
      <c r="P406" s="91">
        <f>IF($A406=Recto!$B$42,VLOOKUP($A406,Recto!$B$28:$L$44,6,FALSE),0)</f>
        <v>0</v>
      </c>
      <c r="Q406" s="91">
        <f>IF($A406=Recto!$B$43,VLOOKUP($A406,Recto!$B$28:$L$44,6,FALSE),0)</f>
        <v>0</v>
      </c>
      <c r="R406" s="91">
        <f>IF($A406=Recto!$B$44,VLOOKUP($A406,Recto!$B$28:$L$44,6,FALSE),0)</f>
        <v>0</v>
      </c>
      <c r="S406" s="295">
        <f t="shared" si="11"/>
        <v>0</v>
      </c>
    </row>
    <row r="407" spans="1:19" s="196" customFormat="1" x14ac:dyDescent="0.25">
      <c r="A407" s="502" t="s">
        <v>7725</v>
      </c>
      <c r="B407" s="91">
        <f>IF($A407=Recto!$B$28,VLOOKUP($A407,Recto!$B$28:$L$44,6,FALSE),0)</f>
        <v>0</v>
      </c>
      <c r="C407" s="91">
        <f>IF($A407=Recto!$B$29,VLOOKUP($A407,Recto!$B$28:$L$44,6,FALSE),0)</f>
        <v>0</v>
      </c>
      <c r="D407" s="91">
        <f>IF($A407=Recto!$B$30,VLOOKUP($A407,Recto!$B$28:$L$44,6,FALSE),0)</f>
        <v>0</v>
      </c>
      <c r="E407" s="91">
        <f>IF($A407=Recto!$B$31,VLOOKUP($A407,Recto!$B$28:$L$44,6,FALSE),0)</f>
        <v>0</v>
      </c>
      <c r="F407" s="91">
        <f>IF($A407=Recto!$B$32,VLOOKUP($A407,Recto!$B$28:$L$44,6,FALSE),0)</f>
        <v>0</v>
      </c>
      <c r="G407" s="91">
        <f>IF($A407=Recto!$B$33,VLOOKUP($A407,Recto!$B$28:$L$44,6,FALSE),0)</f>
        <v>0</v>
      </c>
      <c r="H407" s="91">
        <f>IF($A407=Recto!$B$34,VLOOKUP($A407,Recto!$B$28:$L$44,6,FALSE),0)</f>
        <v>0</v>
      </c>
      <c r="I407" s="91">
        <f>IF($A407=Recto!$B$35,VLOOKUP($A407,Recto!$B$28:$L$44,6,FALSE),0)</f>
        <v>0</v>
      </c>
      <c r="J407" s="91">
        <f>IF($A407=Recto!$B$36,VLOOKUP($A407,Recto!$B$28:$L$44,6,FALSE),0)</f>
        <v>0</v>
      </c>
      <c r="K407" s="91">
        <f>IF($A407=Recto!$B$37,VLOOKUP($A407,Recto!$B$28:$L$44,6,FALSE),0)</f>
        <v>0</v>
      </c>
      <c r="L407" s="91">
        <f>IF($A407=Recto!$B$38,VLOOKUP($A407,Recto!$B$28:$L$44,6,FALSE),0)</f>
        <v>0</v>
      </c>
      <c r="M407" s="91">
        <f>IF($A407=Recto!$B$39,VLOOKUP($A407,Recto!$B$28:$L$44,6,FALSE),0)</f>
        <v>0</v>
      </c>
      <c r="N407" s="91">
        <f>IF($A407=Recto!$B$40,VLOOKUP($A407,Recto!$B$28:$L$44,6,FALSE),0)</f>
        <v>0</v>
      </c>
      <c r="O407" s="91">
        <f>IF($A407=Recto!$B$41,VLOOKUP($A407,Recto!$B$28:$L$44,6,FALSE),0)</f>
        <v>0</v>
      </c>
      <c r="P407" s="91">
        <f>IF($A407=Recto!$B$42,VLOOKUP($A407,Recto!$B$28:$L$44,6,FALSE),0)</f>
        <v>0</v>
      </c>
      <c r="Q407" s="91">
        <f>IF($A407=Recto!$B$43,VLOOKUP($A407,Recto!$B$28:$L$44,6,FALSE),0)</f>
        <v>0</v>
      </c>
      <c r="R407" s="91">
        <f>IF($A407=Recto!$B$44,VLOOKUP($A407,Recto!$B$28:$L$44,6,FALSE),0)</f>
        <v>0</v>
      </c>
      <c r="S407" s="295">
        <f>SUM(B407:R407)</f>
        <v>0</v>
      </c>
    </row>
    <row r="408" spans="1:19" x14ac:dyDescent="0.25">
      <c r="A408" s="502" t="s">
        <v>376</v>
      </c>
      <c r="B408" s="91">
        <f>IF($A408=Recto!$B$28,VLOOKUP($A408,Recto!$B$28:$L$44,6,FALSE),0)</f>
        <v>0</v>
      </c>
      <c r="C408" s="91">
        <f>IF($A408=Recto!$B$29,VLOOKUP($A408,Recto!$B$28:$L$44,6,FALSE),0)</f>
        <v>0</v>
      </c>
      <c r="D408" s="91">
        <f>IF($A408=Recto!$B$30,VLOOKUP($A408,Recto!$B$28:$L$44,6,FALSE),0)</f>
        <v>0</v>
      </c>
      <c r="E408" s="91">
        <f>IF($A408=Recto!$B$31,VLOOKUP($A408,Recto!$B$28:$L$44,6,FALSE),0)</f>
        <v>0</v>
      </c>
      <c r="F408" s="91">
        <f>IF($A408=Recto!$B$32,VLOOKUP($A408,Recto!$B$28:$L$44,6,FALSE),0)</f>
        <v>0</v>
      </c>
      <c r="G408" s="91">
        <f>IF($A408=Recto!$B$33,VLOOKUP($A408,Recto!$B$28:$L$44,6,FALSE),0)</f>
        <v>0</v>
      </c>
      <c r="H408" s="91">
        <f>IF($A408=Recto!$B$34,VLOOKUP($A408,Recto!$B$28:$L$44,6,FALSE),0)</f>
        <v>0</v>
      </c>
      <c r="I408" s="91">
        <f>IF($A408=Recto!$B$35,VLOOKUP($A408,Recto!$B$28:$L$44,6,FALSE),0)</f>
        <v>0</v>
      </c>
      <c r="J408" s="91">
        <f>IF($A408=Recto!$B$36,VLOOKUP($A408,Recto!$B$28:$L$44,6,FALSE),0)</f>
        <v>0</v>
      </c>
      <c r="K408" s="91">
        <f>IF($A408=Recto!$B$37,VLOOKUP($A408,Recto!$B$28:$L$44,6,FALSE),0)</f>
        <v>0</v>
      </c>
      <c r="L408" s="91">
        <f>IF($A408=Recto!$B$38,VLOOKUP($A408,Recto!$B$28:$L$44,6,FALSE),0)</f>
        <v>0</v>
      </c>
      <c r="M408" s="91">
        <f>IF($A408=Recto!$B$39,VLOOKUP($A408,Recto!$B$28:$L$44,6,FALSE),0)</f>
        <v>0</v>
      </c>
      <c r="N408" s="91">
        <f>IF($A408=Recto!$B$40,VLOOKUP($A408,Recto!$B$28:$L$44,6,FALSE),0)</f>
        <v>0</v>
      </c>
      <c r="O408" s="91">
        <f>IF($A408=Recto!$B$41,VLOOKUP($A408,Recto!$B$28:$L$44,6,FALSE),0)</f>
        <v>0</v>
      </c>
      <c r="P408" s="91">
        <f>IF($A408=Recto!$B$42,VLOOKUP($A408,Recto!$B$28:$L$44,6,FALSE),0)</f>
        <v>0</v>
      </c>
      <c r="Q408" s="91">
        <f>IF($A408=Recto!$B$43,VLOOKUP($A408,Recto!$B$28:$L$44,6,FALSE),0)</f>
        <v>0</v>
      </c>
      <c r="R408" s="91">
        <f>IF($A408=Recto!$B$44,VLOOKUP($A408,Recto!$B$28:$L$44,6,FALSE),0)</f>
        <v>0</v>
      </c>
      <c r="S408" s="295">
        <f t="shared" si="11"/>
        <v>0</v>
      </c>
    </row>
    <row r="409" spans="1:19" x14ac:dyDescent="0.25">
      <c r="A409" s="502" t="s">
        <v>3274</v>
      </c>
      <c r="B409" s="91">
        <f>IF($A409=Recto!$B$28,VLOOKUP($A409,Recto!$B$28:$L$44,6,FALSE),0)</f>
        <v>0</v>
      </c>
      <c r="C409" s="91">
        <f>IF($A409=Recto!$B$29,VLOOKUP($A409,Recto!$B$28:$L$44,6,FALSE),0)</f>
        <v>0</v>
      </c>
      <c r="D409" s="91">
        <f>IF($A409=Recto!$B$30,VLOOKUP($A409,Recto!$B$28:$L$44,6,FALSE),0)</f>
        <v>0</v>
      </c>
      <c r="E409" s="91">
        <f>IF($A409=Recto!$B$31,VLOOKUP($A409,Recto!$B$28:$L$44,6,FALSE),0)</f>
        <v>0</v>
      </c>
      <c r="F409" s="91">
        <f>IF($A409=Recto!$B$32,VLOOKUP($A409,Recto!$B$28:$L$44,6,FALSE),0)</f>
        <v>0</v>
      </c>
      <c r="G409" s="91">
        <f>IF($A409=Recto!$B$33,VLOOKUP($A409,Recto!$B$28:$L$44,6,FALSE),0)</f>
        <v>0</v>
      </c>
      <c r="H409" s="91">
        <f>IF($A409=Recto!$B$34,VLOOKUP($A409,Recto!$B$28:$L$44,6,FALSE),0)</f>
        <v>0</v>
      </c>
      <c r="I409" s="91">
        <f>IF($A409=Recto!$B$35,VLOOKUP($A409,Recto!$B$28:$L$44,6,FALSE),0)</f>
        <v>0</v>
      </c>
      <c r="J409" s="91">
        <f>IF($A409=Recto!$B$36,VLOOKUP($A409,Recto!$B$28:$L$44,6,FALSE),0)</f>
        <v>0</v>
      </c>
      <c r="K409" s="91">
        <f>IF($A409=Recto!$B$37,VLOOKUP($A409,Recto!$B$28:$L$44,6,FALSE),0)</f>
        <v>0</v>
      </c>
      <c r="L409" s="91">
        <f>IF($A409=Recto!$B$38,VLOOKUP($A409,Recto!$B$28:$L$44,6,FALSE),0)</f>
        <v>0</v>
      </c>
      <c r="M409" s="91">
        <f>IF($A409=Recto!$B$39,VLOOKUP($A409,Recto!$B$28:$L$44,6,FALSE),0)</f>
        <v>0</v>
      </c>
      <c r="N409" s="91">
        <f>IF($A409=Recto!$B$40,VLOOKUP($A409,Recto!$B$28:$L$44,6,FALSE),0)</f>
        <v>0</v>
      </c>
      <c r="O409" s="91">
        <f>IF($A409=Recto!$B$41,VLOOKUP($A409,Recto!$B$28:$L$44,6,FALSE),0)</f>
        <v>0</v>
      </c>
      <c r="P409" s="91">
        <f>IF($A409=Recto!$B$42,VLOOKUP($A409,Recto!$B$28:$L$44,6,FALSE),0)</f>
        <v>0</v>
      </c>
      <c r="Q409" s="91">
        <f>IF($A409=Recto!$B$43,VLOOKUP($A409,Recto!$B$28:$L$44,6,FALSE),0)</f>
        <v>0</v>
      </c>
      <c r="R409" s="91">
        <f>IF($A409=Recto!$B$44,VLOOKUP($A409,Recto!$B$28:$L$44,6,FALSE),0)</f>
        <v>0</v>
      </c>
      <c r="S409" s="295">
        <f t="shared" si="11"/>
        <v>0</v>
      </c>
    </row>
    <row r="410" spans="1:19" x14ac:dyDescent="0.25">
      <c r="A410" s="502" t="s">
        <v>1223</v>
      </c>
      <c r="B410" s="91">
        <f>IF($A410=Recto!$B$28,VLOOKUP($A410,Recto!$B$28:$L$44,6,FALSE),0)</f>
        <v>0</v>
      </c>
      <c r="C410" s="91">
        <f>IF($A410=Recto!$B$29,VLOOKUP($A410,Recto!$B$28:$L$44,6,FALSE),0)</f>
        <v>0</v>
      </c>
      <c r="D410" s="91">
        <f>IF($A410=Recto!$B$30,VLOOKUP($A410,Recto!$B$28:$L$44,6,FALSE),0)</f>
        <v>0</v>
      </c>
      <c r="E410" s="91">
        <f>IF($A410=Recto!$B$31,VLOOKUP($A410,Recto!$B$28:$L$44,6,FALSE),0)</f>
        <v>0</v>
      </c>
      <c r="F410" s="91">
        <f>IF($A410=Recto!$B$32,VLOOKUP($A410,Recto!$B$28:$L$44,6,FALSE),0)</f>
        <v>0</v>
      </c>
      <c r="G410" s="91">
        <f>IF($A410=Recto!$B$33,VLOOKUP($A410,Recto!$B$28:$L$44,6,FALSE),0)</f>
        <v>0</v>
      </c>
      <c r="H410" s="91">
        <f>IF($A410=Recto!$B$34,VLOOKUP($A410,Recto!$B$28:$L$44,6,FALSE),0)</f>
        <v>0</v>
      </c>
      <c r="I410" s="91">
        <f>IF($A410=Recto!$B$35,VLOOKUP($A410,Recto!$B$28:$L$44,6,FALSE),0)</f>
        <v>0</v>
      </c>
      <c r="J410" s="91">
        <f>IF($A410=Recto!$B$36,VLOOKUP($A410,Recto!$B$28:$L$44,6,FALSE),0)</f>
        <v>0</v>
      </c>
      <c r="K410" s="91">
        <f>IF($A410=Recto!$B$37,VLOOKUP($A410,Recto!$B$28:$L$44,6,FALSE),0)</f>
        <v>0</v>
      </c>
      <c r="L410" s="91">
        <f>IF($A410=Recto!$B$38,VLOOKUP($A410,Recto!$B$28:$L$44,6,FALSE),0)</f>
        <v>0</v>
      </c>
      <c r="M410" s="91">
        <f>IF($A410=Recto!$B$39,VLOOKUP($A410,Recto!$B$28:$L$44,6,FALSE),0)</f>
        <v>0</v>
      </c>
      <c r="N410" s="91">
        <f>IF($A410=Recto!$B$40,VLOOKUP($A410,Recto!$B$28:$L$44,6,FALSE),0)</f>
        <v>0</v>
      </c>
      <c r="O410" s="91">
        <f>IF($A410=Recto!$B$41,VLOOKUP($A410,Recto!$B$28:$L$44,6,FALSE),0)</f>
        <v>0</v>
      </c>
      <c r="P410" s="91">
        <f>IF($A410=Recto!$B$42,VLOOKUP($A410,Recto!$B$28:$L$44,6,FALSE),0)</f>
        <v>0</v>
      </c>
      <c r="Q410" s="91">
        <f>IF($A410=Recto!$B$43,VLOOKUP($A410,Recto!$B$28:$L$44,6,FALSE),0)</f>
        <v>0</v>
      </c>
      <c r="R410" s="91">
        <f>IF($A410=Recto!$B$44,VLOOKUP($A410,Recto!$B$28:$L$44,6,FALSE),0)</f>
        <v>0</v>
      </c>
      <c r="S410" s="295">
        <f t="shared" si="11"/>
        <v>0</v>
      </c>
    </row>
    <row r="411" spans="1:19" x14ac:dyDescent="0.25">
      <c r="A411" s="502" t="s">
        <v>351</v>
      </c>
      <c r="B411" s="91">
        <f>IF($A411=Recto!$B$28,VLOOKUP($A411,Recto!$B$28:$L$44,6,FALSE),0)</f>
        <v>0</v>
      </c>
      <c r="C411" s="91">
        <f>IF($A411=Recto!$B$29,VLOOKUP($A411,Recto!$B$28:$L$44,6,FALSE),0)</f>
        <v>0</v>
      </c>
      <c r="D411" s="91">
        <f>IF($A411=Recto!$B$30,VLOOKUP($A411,Recto!$B$28:$L$44,6,FALSE),0)</f>
        <v>0</v>
      </c>
      <c r="E411" s="91">
        <f>IF($A411=Recto!$B$31,VLOOKUP($A411,Recto!$B$28:$L$44,6,FALSE),0)</f>
        <v>0</v>
      </c>
      <c r="F411" s="91">
        <f>IF($A411=Recto!$B$32,VLOOKUP($A411,Recto!$B$28:$L$44,6,FALSE),0)</f>
        <v>0</v>
      </c>
      <c r="G411" s="91">
        <f>IF($A411=Recto!$B$33,VLOOKUP($A411,Recto!$B$28:$L$44,6,FALSE),0)</f>
        <v>0</v>
      </c>
      <c r="H411" s="91">
        <f>IF($A411=Recto!$B$34,VLOOKUP($A411,Recto!$B$28:$L$44,6,FALSE),0)</f>
        <v>0</v>
      </c>
      <c r="I411" s="91">
        <f>IF($A411=Recto!$B$35,VLOOKUP($A411,Recto!$B$28:$L$44,6,FALSE),0)</f>
        <v>0</v>
      </c>
      <c r="J411" s="91">
        <f>IF($A411=Recto!$B$36,VLOOKUP($A411,Recto!$B$28:$L$44,6,FALSE),0)</f>
        <v>0</v>
      </c>
      <c r="K411" s="91">
        <f>IF($A411=Recto!$B$37,VLOOKUP($A411,Recto!$B$28:$L$44,6,FALSE),0)</f>
        <v>0</v>
      </c>
      <c r="L411" s="91">
        <f>IF($A411=Recto!$B$38,VLOOKUP($A411,Recto!$B$28:$L$44,6,FALSE),0)</f>
        <v>0</v>
      </c>
      <c r="M411" s="91">
        <f>IF($A411=Recto!$B$39,VLOOKUP($A411,Recto!$B$28:$L$44,6,FALSE),0)</f>
        <v>0</v>
      </c>
      <c r="N411" s="91">
        <f>IF($A411=Recto!$B$40,VLOOKUP($A411,Recto!$B$28:$L$44,6,FALSE),0)</f>
        <v>0</v>
      </c>
      <c r="O411" s="91">
        <f>IF($A411=Recto!$B$41,VLOOKUP($A411,Recto!$B$28:$L$44,6,FALSE),0)</f>
        <v>0</v>
      </c>
      <c r="P411" s="91">
        <f>IF($A411=Recto!$B$42,VLOOKUP($A411,Recto!$B$28:$L$44,6,FALSE),0)</f>
        <v>0</v>
      </c>
      <c r="Q411" s="91">
        <f>IF($A411=Recto!$B$43,VLOOKUP($A411,Recto!$B$28:$L$44,6,FALSE),0)</f>
        <v>0</v>
      </c>
      <c r="R411" s="91">
        <f>IF($A411=Recto!$B$44,VLOOKUP($A411,Recto!$B$28:$L$44,6,FALSE),0)</f>
        <v>0</v>
      </c>
      <c r="S411" s="295">
        <f t="shared" si="11"/>
        <v>0</v>
      </c>
    </row>
    <row r="412" spans="1:19" x14ac:dyDescent="0.25">
      <c r="A412" s="502" t="s">
        <v>1228</v>
      </c>
      <c r="B412" s="91">
        <f>IF($A412=Recto!$B$28,VLOOKUP($A412,Recto!$B$28:$L$44,6,FALSE),0)</f>
        <v>0</v>
      </c>
      <c r="C412" s="91">
        <f>IF($A412=Recto!$B$29,VLOOKUP($A412,Recto!$B$28:$L$44,6,FALSE),0)</f>
        <v>0</v>
      </c>
      <c r="D412" s="91">
        <f>IF($A412=Recto!$B$30,VLOOKUP($A412,Recto!$B$28:$L$44,6,FALSE),0)</f>
        <v>0</v>
      </c>
      <c r="E412" s="91">
        <f>IF($A412=Recto!$B$31,VLOOKUP($A412,Recto!$B$28:$L$44,6,FALSE),0)</f>
        <v>0</v>
      </c>
      <c r="F412" s="91">
        <f>IF($A412=Recto!$B$32,VLOOKUP($A412,Recto!$B$28:$L$44,6,FALSE),0)</f>
        <v>0</v>
      </c>
      <c r="G412" s="91">
        <f>IF($A412=Recto!$B$33,VLOOKUP($A412,Recto!$B$28:$L$44,6,FALSE),0)</f>
        <v>0</v>
      </c>
      <c r="H412" s="91">
        <f>IF($A412=Recto!$B$34,VLOOKUP($A412,Recto!$B$28:$L$44,6,FALSE),0)</f>
        <v>0</v>
      </c>
      <c r="I412" s="91">
        <f>IF($A412=Recto!$B$35,VLOOKUP($A412,Recto!$B$28:$L$44,6,FALSE),0)</f>
        <v>0</v>
      </c>
      <c r="J412" s="91">
        <f>IF($A412=Recto!$B$36,VLOOKUP($A412,Recto!$B$28:$L$44,6,FALSE),0)</f>
        <v>0</v>
      </c>
      <c r="K412" s="91">
        <f>IF($A412=Recto!$B$37,VLOOKUP($A412,Recto!$B$28:$L$44,6,FALSE),0)</f>
        <v>0</v>
      </c>
      <c r="L412" s="91">
        <f>IF($A412=Recto!$B$38,VLOOKUP($A412,Recto!$B$28:$L$44,6,FALSE),0)</f>
        <v>0</v>
      </c>
      <c r="M412" s="91">
        <f>IF($A412=Recto!$B$39,VLOOKUP($A412,Recto!$B$28:$L$44,6,FALSE),0)</f>
        <v>0</v>
      </c>
      <c r="N412" s="91">
        <f>IF($A412=Recto!$B$40,VLOOKUP($A412,Recto!$B$28:$L$44,6,FALSE),0)</f>
        <v>0</v>
      </c>
      <c r="O412" s="91">
        <f>IF($A412=Recto!$B$41,VLOOKUP($A412,Recto!$B$28:$L$44,6,FALSE),0)</f>
        <v>0</v>
      </c>
      <c r="P412" s="91">
        <f>IF($A412=Recto!$B$42,VLOOKUP($A412,Recto!$B$28:$L$44,6,FALSE),0)</f>
        <v>0</v>
      </c>
      <c r="Q412" s="91">
        <f>IF($A412=Recto!$B$43,VLOOKUP($A412,Recto!$B$28:$L$44,6,FALSE),0)</f>
        <v>0</v>
      </c>
      <c r="R412" s="91">
        <f>IF($A412=Recto!$B$44,VLOOKUP($A412,Recto!$B$28:$L$44,6,FALSE),0)</f>
        <v>0</v>
      </c>
      <c r="S412" s="295">
        <f t="shared" si="11"/>
        <v>0</v>
      </c>
    </row>
    <row r="413" spans="1:19" x14ac:dyDescent="0.25">
      <c r="A413" s="502" t="s">
        <v>1275</v>
      </c>
      <c r="B413" s="91">
        <f>IF($A413=Recto!$B$28,VLOOKUP($A413,Recto!$B$28:$L$44,6,FALSE),0)</f>
        <v>0</v>
      </c>
      <c r="C413" s="91">
        <f>IF($A413=Recto!$B$29,VLOOKUP($A413,Recto!$B$28:$L$44,6,FALSE),0)</f>
        <v>0</v>
      </c>
      <c r="D413" s="91">
        <f>IF($A413=Recto!$B$30,VLOOKUP($A413,Recto!$B$28:$L$44,6,FALSE),0)</f>
        <v>0</v>
      </c>
      <c r="E413" s="91">
        <f>IF($A413=Recto!$B$31,VLOOKUP($A413,Recto!$B$28:$L$44,6,FALSE),0)</f>
        <v>0</v>
      </c>
      <c r="F413" s="91">
        <f>IF($A413=Recto!$B$32,VLOOKUP($A413,Recto!$B$28:$L$44,6,FALSE),0)</f>
        <v>0</v>
      </c>
      <c r="G413" s="91">
        <f>IF($A413=Recto!$B$33,VLOOKUP($A413,Recto!$B$28:$L$44,6,FALSE),0)</f>
        <v>0</v>
      </c>
      <c r="H413" s="91">
        <f>IF($A413=Recto!$B$34,VLOOKUP($A413,Recto!$B$28:$L$44,6,FALSE),0)</f>
        <v>0</v>
      </c>
      <c r="I413" s="91">
        <f>IF($A413=Recto!$B$35,VLOOKUP($A413,Recto!$B$28:$L$44,6,FALSE),0)</f>
        <v>0</v>
      </c>
      <c r="J413" s="91">
        <f>IF($A413=Recto!$B$36,VLOOKUP($A413,Recto!$B$28:$L$44,6,FALSE),0)</f>
        <v>0</v>
      </c>
      <c r="K413" s="91">
        <f>IF($A413=Recto!$B$37,VLOOKUP($A413,Recto!$B$28:$L$44,6,FALSE),0)</f>
        <v>0</v>
      </c>
      <c r="L413" s="91">
        <f>IF($A413=Recto!$B$38,VLOOKUP($A413,Recto!$B$28:$L$44,6,FALSE),0)</f>
        <v>0</v>
      </c>
      <c r="M413" s="91">
        <f>IF($A413=Recto!$B$39,VLOOKUP($A413,Recto!$B$28:$L$44,6,FALSE),0)</f>
        <v>0</v>
      </c>
      <c r="N413" s="91">
        <f>IF($A413=Recto!$B$40,VLOOKUP($A413,Recto!$B$28:$L$44,6,FALSE),0)</f>
        <v>0</v>
      </c>
      <c r="O413" s="91">
        <f>IF($A413=Recto!$B$41,VLOOKUP($A413,Recto!$B$28:$L$44,6,FALSE),0)</f>
        <v>0</v>
      </c>
      <c r="P413" s="91">
        <f>IF($A413=Recto!$B$42,VLOOKUP($A413,Recto!$B$28:$L$44,6,FALSE),0)</f>
        <v>0</v>
      </c>
      <c r="Q413" s="91">
        <f>IF($A413=Recto!$B$43,VLOOKUP($A413,Recto!$B$28:$L$44,6,FALSE),0)</f>
        <v>0</v>
      </c>
      <c r="R413" s="91">
        <f>IF($A413=Recto!$B$44,VLOOKUP($A413,Recto!$B$28:$L$44,6,FALSE),0)</f>
        <v>0</v>
      </c>
      <c r="S413" s="295">
        <f t="shared" si="11"/>
        <v>0</v>
      </c>
    </row>
    <row r="414" spans="1:19" x14ac:dyDescent="0.25">
      <c r="A414" s="502" t="s">
        <v>1264</v>
      </c>
      <c r="B414" s="91">
        <f>IF($A414=Recto!$B$28,VLOOKUP($A414,Recto!$B$28:$L$44,6,FALSE),0)</f>
        <v>0</v>
      </c>
      <c r="C414" s="91">
        <f>IF($A414=Recto!$B$29,VLOOKUP($A414,Recto!$B$28:$L$44,6,FALSE),0)</f>
        <v>0</v>
      </c>
      <c r="D414" s="91">
        <f>IF($A414=Recto!$B$30,VLOOKUP($A414,Recto!$B$28:$L$44,6,FALSE),0)</f>
        <v>0</v>
      </c>
      <c r="E414" s="91">
        <f>IF($A414=Recto!$B$31,VLOOKUP($A414,Recto!$B$28:$L$44,6,FALSE),0)</f>
        <v>0</v>
      </c>
      <c r="F414" s="91">
        <f>IF($A414=Recto!$B$32,VLOOKUP($A414,Recto!$B$28:$L$44,6,FALSE),0)</f>
        <v>0</v>
      </c>
      <c r="G414" s="91">
        <f>IF($A414=Recto!$B$33,VLOOKUP($A414,Recto!$B$28:$L$44,6,FALSE),0)</f>
        <v>0</v>
      </c>
      <c r="H414" s="91">
        <f>IF($A414=Recto!$B$34,VLOOKUP($A414,Recto!$B$28:$L$44,6,FALSE),0)</f>
        <v>0</v>
      </c>
      <c r="I414" s="91">
        <f>IF($A414=Recto!$B$35,VLOOKUP($A414,Recto!$B$28:$L$44,6,FALSE),0)</f>
        <v>0</v>
      </c>
      <c r="J414" s="91">
        <f>IF($A414=Recto!$B$36,VLOOKUP($A414,Recto!$B$28:$L$44,6,FALSE),0)</f>
        <v>0</v>
      </c>
      <c r="K414" s="91">
        <f>IF($A414=Recto!$B$37,VLOOKUP($A414,Recto!$B$28:$L$44,6,FALSE),0)</f>
        <v>0</v>
      </c>
      <c r="L414" s="91">
        <f>IF($A414=Recto!$B$38,VLOOKUP($A414,Recto!$B$28:$L$44,6,FALSE),0)</f>
        <v>0</v>
      </c>
      <c r="M414" s="91">
        <f>IF($A414=Recto!$B$39,VLOOKUP($A414,Recto!$B$28:$L$44,6,FALSE),0)</f>
        <v>0</v>
      </c>
      <c r="N414" s="91">
        <f>IF($A414=Recto!$B$40,VLOOKUP($A414,Recto!$B$28:$L$44,6,FALSE),0)</f>
        <v>0</v>
      </c>
      <c r="O414" s="91">
        <f>IF($A414=Recto!$B$41,VLOOKUP($A414,Recto!$B$28:$L$44,6,FALSE),0)</f>
        <v>0</v>
      </c>
      <c r="P414" s="91">
        <f>IF($A414=Recto!$B$42,VLOOKUP($A414,Recto!$B$28:$L$44,6,FALSE),0)</f>
        <v>0</v>
      </c>
      <c r="Q414" s="91">
        <f>IF($A414=Recto!$B$43,VLOOKUP($A414,Recto!$B$28:$L$44,6,FALSE),0)</f>
        <v>0</v>
      </c>
      <c r="R414" s="91">
        <f>IF($A414=Recto!$B$44,VLOOKUP($A414,Recto!$B$28:$L$44,6,FALSE),0)</f>
        <v>0</v>
      </c>
      <c r="S414" s="295">
        <f t="shared" si="11"/>
        <v>0</v>
      </c>
    </row>
    <row r="415" spans="1:19" x14ac:dyDescent="0.25">
      <c r="A415" s="502" t="s">
        <v>1265</v>
      </c>
      <c r="B415" s="91">
        <f>IF($A415=Recto!$B$28,VLOOKUP($A415,Recto!$B$28:$L$44,6,FALSE),0)</f>
        <v>0</v>
      </c>
      <c r="C415" s="91">
        <f>IF($A415=Recto!$B$29,VLOOKUP($A415,Recto!$B$28:$L$44,6,FALSE),0)</f>
        <v>0</v>
      </c>
      <c r="D415" s="91">
        <f>IF($A415=Recto!$B$30,VLOOKUP($A415,Recto!$B$28:$L$44,6,FALSE),0)</f>
        <v>0</v>
      </c>
      <c r="E415" s="91">
        <f>IF($A415=Recto!$B$31,VLOOKUP($A415,Recto!$B$28:$L$44,6,FALSE),0)</f>
        <v>0</v>
      </c>
      <c r="F415" s="91">
        <f>IF($A415=Recto!$B$32,VLOOKUP($A415,Recto!$B$28:$L$44,6,FALSE),0)</f>
        <v>0</v>
      </c>
      <c r="G415" s="91">
        <f>IF($A415=Recto!$B$33,VLOOKUP($A415,Recto!$B$28:$L$44,6,FALSE),0)</f>
        <v>0</v>
      </c>
      <c r="H415" s="91">
        <f>IF($A415=Recto!$B$34,VLOOKUP($A415,Recto!$B$28:$L$44,6,FALSE),0)</f>
        <v>0</v>
      </c>
      <c r="I415" s="91">
        <f>IF($A415=Recto!$B$35,VLOOKUP($A415,Recto!$B$28:$L$44,6,FALSE),0)</f>
        <v>0</v>
      </c>
      <c r="J415" s="91">
        <f>IF($A415=Recto!$B$36,VLOOKUP($A415,Recto!$B$28:$L$44,6,FALSE),0)</f>
        <v>0</v>
      </c>
      <c r="K415" s="91">
        <f>IF($A415=Recto!$B$37,VLOOKUP($A415,Recto!$B$28:$L$44,6,FALSE),0)</f>
        <v>0</v>
      </c>
      <c r="L415" s="91">
        <f>IF($A415=Recto!$B$38,VLOOKUP($A415,Recto!$B$28:$L$44,6,FALSE),0)</f>
        <v>0</v>
      </c>
      <c r="M415" s="91">
        <f>IF($A415=Recto!$B$39,VLOOKUP($A415,Recto!$B$28:$L$44,6,FALSE),0)</f>
        <v>0</v>
      </c>
      <c r="N415" s="91">
        <f>IF($A415=Recto!$B$40,VLOOKUP($A415,Recto!$B$28:$L$44,6,FALSE),0)</f>
        <v>0</v>
      </c>
      <c r="O415" s="91">
        <f>IF($A415=Recto!$B$41,VLOOKUP($A415,Recto!$B$28:$L$44,6,FALSE),0)</f>
        <v>0</v>
      </c>
      <c r="P415" s="91">
        <f>IF($A415=Recto!$B$42,VLOOKUP($A415,Recto!$B$28:$L$44,6,FALSE),0)</f>
        <v>0</v>
      </c>
      <c r="Q415" s="91">
        <f>IF($A415=Recto!$B$43,VLOOKUP($A415,Recto!$B$28:$L$44,6,FALSE),0)</f>
        <v>0</v>
      </c>
      <c r="R415" s="91">
        <f>IF($A415=Recto!$B$44,VLOOKUP($A415,Recto!$B$28:$L$44,6,FALSE),0)</f>
        <v>0</v>
      </c>
      <c r="S415" s="295">
        <f t="shared" si="11"/>
        <v>0</v>
      </c>
    </row>
    <row r="416" spans="1:19" s="196" customFormat="1" x14ac:dyDescent="0.25">
      <c r="A416" s="502" t="s">
        <v>7878</v>
      </c>
      <c r="B416" s="91">
        <f>IF($A416=Recto!$B$28,VLOOKUP($A416,Recto!$B$28:$L$44,6,FALSE),0)</f>
        <v>0</v>
      </c>
      <c r="C416" s="91">
        <f>IF($A416=Recto!$B$29,VLOOKUP($A416,Recto!$B$28:$L$44,6,FALSE),0)</f>
        <v>0</v>
      </c>
      <c r="D416" s="91">
        <f>IF($A416=Recto!$B$30,VLOOKUP($A416,Recto!$B$28:$L$44,6,FALSE),0)</f>
        <v>0</v>
      </c>
      <c r="E416" s="91">
        <f>IF($A416=Recto!$B$31,VLOOKUP($A416,Recto!$B$28:$L$44,6,FALSE),0)</f>
        <v>0</v>
      </c>
      <c r="F416" s="91">
        <f>IF($A416=Recto!$B$32,VLOOKUP($A416,Recto!$B$28:$L$44,6,FALSE),0)</f>
        <v>0</v>
      </c>
      <c r="G416" s="91">
        <f>IF($A416=Recto!$B$33,VLOOKUP($A416,Recto!$B$28:$L$44,6,FALSE),0)</f>
        <v>0</v>
      </c>
      <c r="H416" s="91">
        <f>IF($A416=Recto!$B$34,VLOOKUP($A416,Recto!$B$28:$L$44,6,FALSE),0)</f>
        <v>0</v>
      </c>
      <c r="I416" s="91">
        <f>IF($A416=Recto!$B$35,VLOOKUP($A416,Recto!$B$28:$L$44,6,FALSE),0)</f>
        <v>0</v>
      </c>
      <c r="J416" s="91">
        <f>IF($A416=Recto!$B$36,VLOOKUP($A416,Recto!$B$28:$L$44,6,FALSE),0)</f>
        <v>0</v>
      </c>
      <c r="K416" s="91">
        <f>IF($A416=Recto!$B$37,VLOOKUP($A416,Recto!$B$28:$L$44,6,FALSE),0)</f>
        <v>0</v>
      </c>
      <c r="L416" s="91">
        <f>IF($A416=Recto!$B$38,VLOOKUP($A416,Recto!$B$28:$L$44,6,FALSE),0)</f>
        <v>0</v>
      </c>
      <c r="M416" s="91">
        <f>IF($A416=Recto!$B$39,VLOOKUP($A416,Recto!$B$28:$L$44,6,FALSE),0)</f>
        <v>0</v>
      </c>
      <c r="N416" s="91">
        <f>IF($A416=Recto!$B$40,VLOOKUP($A416,Recto!$B$28:$L$44,6,FALSE),0)</f>
        <v>0</v>
      </c>
      <c r="O416" s="91">
        <f>IF($A416=Recto!$B$41,VLOOKUP($A416,Recto!$B$28:$L$44,6,FALSE),0)</f>
        <v>0</v>
      </c>
      <c r="P416" s="91">
        <f>IF($A416=Recto!$B$42,VLOOKUP($A416,Recto!$B$28:$L$44,6,FALSE),0)</f>
        <v>0</v>
      </c>
      <c r="Q416" s="91">
        <f>IF($A416=Recto!$B$43,VLOOKUP($A416,Recto!$B$28:$L$44,6,FALSE),0)</f>
        <v>0</v>
      </c>
      <c r="R416" s="91">
        <f>IF($A416=Recto!$B$44,VLOOKUP($A416,Recto!$B$28:$L$44,6,FALSE),0)</f>
        <v>0</v>
      </c>
      <c r="S416" s="295">
        <f>SUM(B416:R416)</f>
        <v>0</v>
      </c>
    </row>
    <row r="417" spans="1:19" x14ac:dyDescent="0.25">
      <c r="A417" s="502" t="s">
        <v>3324</v>
      </c>
      <c r="B417" s="91">
        <f>IF($A417=Recto!$B$28,VLOOKUP($A417,Recto!$B$28:$L$44,6,FALSE),0)</f>
        <v>0</v>
      </c>
      <c r="C417" s="91">
        <f>IF($A417=Recto!$B$29,VLOOKUP($A417,Recto!$B$28:$L$44,6,FALSE),0)</f>
        <v>0</v>
      </c>
      <c r="D417" s="91">
        <f>IF($A417=Recto!$B$30,VLOOKUP($A417,Recto!$B$28:$L$44,6,FALSE),0)</f>
        <v>0</v>
      </c>
      <c r="E417" s="91">
        <f>IF($A417=Recto!$B$31,VLOOKUP($A417,Recto!$B$28:$L$44,6,FALSE),0)</f>
        <v>0</v>
      </c>
      <c r="F417" s="91">
        <f>IF($A417=Recto!$B$32,VLOOKUP($A417,Recto!$B$28:$L$44,6,FALSE),0)</f>
        <v>0</v>
      </c>
      <c r="G417" s="91">
        <f>IF($A417=Recto!$B$33,VLOOKUP($A417,Recto!$B$28:$L$44,6,FALSE),0)</f>
        <v>0</v>
      </c>
      <c r="H417" s="91">
        <f>IF($A417=Recto!$B$34,VLOOKUP($A417,Recto!$B$28:$L$44,6,FALSE),0)</f>
        <v>0</v>
      </c>
      <c r="I417" s="91">
        <f>IF($A417=Recto!$B$35,VLOOKUP($A417,Recto!$B$28:$L$44,6,FALSE),0)</f>
        <v>0</v>
      </c>
      <c r="J417" s="91">
        <f>IF($A417=Recto!$B$36,VLOOKUP($A417,Recto!$B$28:$L$44,6,FALSE),0)</f>
        <v>0</v>
      </c>
      <c r="K417" s="91">
        <f>IF($A417=Recto!$B$37,VLOOKUP($A417,Recto!$B$28:$L$44,6,FALSE),0)</f>
        <v>0</v>
      </c>
      <c r="L417" s="91">
        <f>IF($A417=Recto!$B$38,VLOOKUP($A417,Recto!$B$28:$L$44,6,FALSE),0)</f>
        <v>0</v>
      </c>
      <c r="M417" s="91">
        <f>IF($A417=Recto!$B$39,VLOOKUP($A417,Recto!$B$28:$L$44,6,FALSE),0)</f>
        <v>0</v>
      </c>
      <c r="N417" s="91">
        <f>IF($A417=Recto!$B$40,VLOOKUP($A417,Recto!$B$28:$L$44,6,FALSE),0)</f>
        <v>0</v>
      </c>
      <c r="O417" s="91">
        <f>IF($A417=Recto!$B$41,VLOOKUP($A417,Recto!$B$28:$L$44,6,FALSE),0)</f>
        <v>0</v>
      </c>
      <c r="P417" s="91">
        <f>IF($A417=Recto!$B$42,VLOOKUP($A417,Recto!$B$28:$L$44,6,FALSE),0)</f>
        <v>0</v>
      </c>
      <c r="Q417" s="91">
        <f>IF($A417=Recto!$B$43,VLOOKUP($A417,Recto!$B$28:$L$44,6,FALSE),0)</f>
        <v>0</v>
      </c>
      <c r="R417" s="91">
        <f>IF($A417=Recto!$B$44,VLOOKUP($A417,Recto!$B$28:$L$44,6,FALSE),0)</f>
        <v>0</v>
      </c>
      <c r="S417" s="295">
        <f t="shared" si="11"/>
        <v>0</v>
      </c>
    </row>
    <row r="418" spans="1:19" x14ac:dyDescent="0.25">
      <c r="A418" s="502" t="s">
        <v>1230</v>
      </c>
      <c r="B418" s="91">
        <f>IF($A418=Recto!$B$28,VLOOKUP($A418,Recto!$B$28:$L$44,6,FALSE),0)</f>
        <v>0</v>
      </c>
      <c r="C418" s="91">
        <f>IF($A418=Recto!$B$29,VLOOKUP($A418,Recto!$B$28:$L$44,6,FALSE),0)</f>
        <v>0</v>
      </c>
      <c r="D418" s="91">
        <f>IF($A418=Recto!$B$30,VLOOKUP($A418,Recto!$B$28:$L$44,6,FALSE),0)</f>
        <v>0</v>
      </c>
      <c r="E418" s="91">
        <f>IF($A418=Recto!$B$31,VLOOKUP($A418,Recto!$B$28:$L$44,6,FALSE),0)</f>
        <v>0</v>
      </c>
      <c r="F418" s="91">
        <f>IF($A418=Recto!$B$32,VLOOKUP($A418,Recto!$B$28:$L$44,6,FALSE),0)</f>
        <v>0</v>
      </c>
      <c r="G418" s="91">
        <f>IF($A418=Recto!$B$33,VLOOKUP($A418,Recto!$B$28:$L$44,6,FALSE),0)</f>
        <v>0</v>
      </c>
      <c r="H418" s="91">
        <f>IF($A418=Recto!$B$34,VLOOKUP($A418,Recto!$B$28:$L$44,6,FALSE),0)</f>
        <v>0</v>
      </c>
      <c r="I418" s="91">
        <f>IF($A418=Recto!$B$35,VLOOKUP($A418,Recto!$B$28:$L$44,6,FALSE),0)</f>
        <v>0</v>
      </c>
      <c r="J418" s="91">
        <f>IF($A418=Recto!$B$36,VLOOKUP($A418,Recto!$B$28:$L$44,6,FALSE),0)</f>
        <v>0</v>
      </c>
      <c r="K418" s="91">
        <f>IF($A418=Recto!$B$37,VLOOKUP($A418,Recto!$B$28:$L$44,6,FALSE),0)</f>
        <v>0</v>
      </c>
      <c r="L418" s="91">
        <f>IF($A418=Recto!$B$38,VLOOKUP($A418,Recto!$B$28:$L$44,6,FALSE),0)</f>
        <v>0</v>
      </c>
      <c r="M418" s="91">
        <f>IF($A418=Recto!$B$39,VLOOKUP($A418,Recto!$B$28:$L$44,6,FALSE),0)</f>
        <v>0</v>
      </c>
      <c r="N418" s="91">
        <f>IF($A418=Recto!$B$40,VLOOKUP($A418,Recto!$B$28:$L$44,6,FALSE),0)</f>
        <v>0</v>
      </c>
      <c r="O418" s="91">
        <f>IF($A418=Recto!$B$41,VLOOKUP($A418,Recto!$B$28:$L$44,6,FALSE),0)</f>
        <v>0</v>
      </c>
      <c r="P418" s="91">
        <f>IF($A418=Recto!$B$42,VLOOKUP($A418,Recto!$B$28:$L$44,6,FALSE),0)</f>
        <v>0</v>
      </c>
      <c r="Q418" s="91">
        <f>IF($A418=Recto!$B$43,VLOOKUP($A418,Recto!$B$28:$L$44,6,FALSE),0)</f>
        <v>0</v>
      </c>
      <c r="R418" s="91">
        <f>IF($A418=Recto!$B$44,VLOOKUP($A418,Recto!$B$28:$L$44,6,FALSE),0)</f>
        <v>0</v>
      </c>
      <c r="S418" s="295">
        <f t="shared" si="11"/>
        <v>0</v>
      </c>
    </row>
    <row r="419" spans="1:19" x14ac:dyDescent="0.25">
      <c r="A419" s="502" t="s">
        <v>1281</v>
      </c>
      <c r="B419" s="91">
        <f>IF($A419=Recto!$B$28,VLOOKUP($A419,Recto!$B$28:$L$44,6,FALSE),0)</f>
        <v>0</v>
      </c>
      <c r="C419" s="91">
        <f>IF($A419=Recto!$B$29,VLOOKUP($A419,Recto!$B$28:$L$44,6,FALSE),0)</f>
        <v>0</v>
      </c>
      <c r="D419" s="91">
        <f>IF($A419=Recto!$B$30,VLOOKUP($A419,Recto!$B$28:$L$44,6,FALSE),0)</f>
        <v>0</v>
      </c>
      <c r="E419" s="91">
        <f>IF($A419=Recto!$B$31,VLOOKUP($A419,Recto!$B$28:$L$44,6,FALSE),0)</f>
        <v>0</v>
      </c>
      <c r="F419" s="91">
        <f>IF($A419=Recto!$B$32,VLOOKUP($A419,Recto!$B$28:$L$44,6,FALSE),0)</f>
        <v>0</v>
      </c>
      <c r="G419" s="91">
        <f>IF($A419=Recto!$B$33,VLOOKUP($A419,Recto!$B$28:$L$44,6,FALSE),0)</f>
        <v>0</v>
      </c>
      <c r="H419" s="91">
        <f>IF($A419=Recto!$B$34,VLOOKUP($A419,Recto!$B$28:$L$44,6,FALSE),0)</f>
        <v>0</v>
      </c>
      <c r="I419" s="91">
        <f>IF($A419=Recto!$B$35,VLOOKUP($A419,Recto!$B$28:$L$44,6,FALSE),0)</f>
        <v>0</v>
      </c>
      <c r="J419" s="91">
        <f>IF($A419=Recto!$B$36,VLOOKUP($A419,Recto!$B$28:$L$44,6,FALSE),0)</f>
        <v>0</v>
      </c>
      <c r="K419" s="91">
        <f>IF($A419=Recto!$B$37,VLOOKUP($A419,Recto!$B$28:$L$44,6,FALSE),0)</f>
        <v>0</v>
      </c>
      <c r="L419" s="91">
        <f>IF($A419=Recto!$B$38,VLOOKUP($A419,Recto!$B$28:$L$44,6,FALSE),0)</f>
        <v>0</v>
      </c>
      <c r="M419" s="91">
        <f>IF($A419=Recto!$B$39,VLOOKUP($A419,Recto!$B$28:$L$44,6,FALSE),0)</f>
        <v>0</v>
      </c>
      <c r="N419" s="91">
        <f>IF($A419=Recto!$B$40,VLOOKUP($A419,Recto!$B$28:$L$44,6,FALSE),0)</f>
        <v>0</v>
      </c>
      <c r="O419" s="91">
        <f>IF($A419=Recto!$B$41,VLOOKUP($A419,Recto!$B$28:$L$44,6,FALSE),0)</f>
        <v>0</v>
      </c>
      <c r="P419" s="91">
        <f>IF($A419=Recto!$B$42,VLOOKUP($A419,Recto!$B$28:$L$44,6,FALSE),0)</f>
        <v>0</v>
      </c>
      <c r="Q419" s="91">
        <f>IF($A419=Recto!$B$43,VLOOKUP($A419,Recto!$B$28:$L$44,6,FALSE),0)</f>
        <v>0</v>
      </c>
      <c r="R419" s="91">
        <f>IF($A419=Recto!$B$44,VLOOKUP($A419,Recto!$B$28:$L$44,6,FALSE),0)</f>
        <v>0</v>
      </c>
      <c r="S419" s="295">
        <f t="shared" si="11"/>
        <v>0</v>
      </c>
    </row>
    <row r="420" spans="1:19" s="196" customFormat="1" x14ac:dyDescent="0.25">
      <c r="A420" s="502" t="s">
        <v>7701</v>
      </c>
      <c r="B420" s="91">
        <f>IF($A420=Recto!$B$28,VLOOKUP($A420,Recto!$B$28:$L$44,6,FALSE),0)</f>
        <v>0</v>
      </c>
      <c r="C420" s="91">
        <f>IF($A420=Recto!$B$29,VLOOKUP($A420,Recto!$B$28:$L$44,6,FALSE),0)</f>
        <v>0</v>
      </c>
      <c r="D420" s="91">
        <f>IF($A420=Recto!$B$30,VLOOKUP($A420,Recto!$B$28:$L$44,6,FALSE),0)</f>
        <v>0</v>
      </c>
      <c r="E420" s="91">
        <f>IF($A420=Recto!$B$31,VLOOKUP($A420,Recto!$B$28:$L$44,6,FALSE),0)</f>
        <v>0</v>
      </c>
      <c r="F420" s="91">
        <f>IF($A420=Recto!$B$32,VLOOKUP($A420,Recto!$B$28:$L$44,6,FALSE),0)</f>
        <v>0</v>
      </c>
      <c r="G420" s="91">
        <f>IF($A420=Recto!$B$33,VLOOKUP($A420,Recto!$B$28:$L$44,6,FALSE),0)</f>
        <v>0</v>
      </c>
      <c r="H420" s="91">
        <f>IF($A420=Recto!$B$34,VLOOKUP($A420,Recto!$B$28:$L$44,6,FALSE),0)</f>
        <v>0</v>
      </c>
      <c r="I420" s="91">
        <f>IF($A420=Recto!$B$35,VLOOKUP($A420,Recto!$B$28:$L$44,6,FALSE),0)</f>
        <v>0</v>
      </c>
      <c r="J420" s="91">
        <f>IF($A420=Recto!$B$36,VLOOKUP($A420,Recto!$B$28:$L$44,6,FALSE),0)</f>
        <v>0</v>
      </c>
      <c r="K420" s="91">
        <f>IF($A420=Recto!$B$37,VLOOKUP($A420,Recto!$B$28:$L$44,6,FALSE),0)</f>
        <v>0</v>
      </c>
      <c r="L420" s="91">
        <f>IF($A420=Recto!$B$38,VLOOKUP($A420,Recto!$B$28:$L$44,6,FALSE),0)</f>
        <v>0</v>
      </c>
      <c r="M420" s="91">
        <f>IF($A420=Recto!$B$39,VLOOKUP($A420,Recto!$B$28:$L$44,6,FALSE),0)</f>
        <v>0</v>
      </c>
      <c r="N420" s="91">
        <f>IF($A420=Recto!$B$40,VLOOKUP($A420,Recto!$B$28:$L$44,6,FALSE),0)</f>
        <v>0</v>
      </c>
      <c r="O420" s="91">
        <f>IF($A420=Recto!$B$41,VLOOKUP($A420,Recto!$B$28:$L$44,6,FALSE),0)</f>
        <v>0</v>
      </c>
      <c r="P420" s="91">
        <f>IF($A420=Recto!$B$42,VLOOKUP($A420,Recto!$B$28:$L$44,6,FALSE),0)</f>
        <v>0</v>
      </c>
      <c r="Q420" s="91">
        <f>IF($A420=Recto!$B$43,VLOOKUP($A420,Recto!$B$28:$L$44,6,FALSE),0)</f>
        <v>0</v>
      </c>
      <c r="R420" s="91">
        <f>IF($A420=Recto!$B$44,VLOOKUP($A420,Recto!$B$28:$L$44,6,FALSE),0)</f>
        <v>0</v>
      </c>
      <c r="S420" s="295">
        <f t="shared" si="11"/>
        <v>0</v>
      </c>
    </row>
    <row r="421" spans="1:19" s="196" customFormat="1" x14ac:dyDescent="0.25">
      <c r="A421" s="502" t="s">
        <v>7702</v>
      </c>
      <c r="B421" s="91">
        <f>IF($A421=Recto!$B$28,VLOOKUP($A421,Recto!$B$28:$L$44,6,FALSE),0)</f>
        <v>0</v>
      </c>
      <c r="C421" s="91">
        <f>IF($A421=Recto!$B$29,VLOOKUP($A421,Recto!$B$28:$L$44,6,FALSE),0)</f>
        <v>0</v>
      </c>
      <c r="D421" s="91">
        <f>IF($A421=Recto!$B$30,VLOOKUP($A421,Recto!$B$28:$L$44,6,FALSE),0)</f>
        <v>0</v>
      </c>
      <c r="E421" s="91">
        <f>IF($A421=Recto!$B$31,VLOOKUP($A421,Recto!$B$28:$L$44,6,FALSE),0)</f>
        <v>0</v>
      </c>
      <c r="F421" s="91">
        <f>IF($A421=Recto!$B$32,VLOOKUP($A421,Recto!$B$28:$L$44,6,FALSE),0)</f>
        <v>0</v>
      </c>
      <c r="G421" s="91">
        <f>IF($A421=Recto!$B$33,VLOOKUP($A421,Recto!$B$28:$L$44,6,FALSE),0)</f>
        <v>0</v>
      </c>
      <c r="H421" s="91">
        <f>IF($A421=Recto!$B$34,VLOOKUP($A421,Recto!$B$28:$L$44,6,FALSE),0)</f>
        <v>0</v>
      </c>
      <c r="I421" s="91">
        <f>IF($A421=Recto!$B$35,VLOOKUP($A421,Recto!$B$28:$L$44,6,FALSE),0)</f>
        <v>0</v>
      </c>
      <c r="J421" s="91">
        <f>IF($A421=Recto!$B$36,VLOOKUP($A421,Recto!$B$28:$L$44,6,FALSE),0)</f>
        <v>0</v>
      </c>
      <c r="K421" s="91">
        <f>IF($A421=Recto!$B$37,VLOOKUP($A421,Recto!$B$28:$L$44,6,FALSE),0)</f>
        <v>0</v>
      </c>
      <c r="L421" s="91">
        <f>IF($A421=Recto!$B$38,VLOOKUP($A421,Recto!$B$28:$L$44,6,FALSE),0)</f>
        <v>0</v>
      </c>
      <c r="M421" s="91">
        <f>IF($A421=Recto!$B$39,VLOOKUP($A421,Recto!$B$28:$L$44,6,FALSE),0)</f>
        <v>0</v>
      </c>
      <c r="N421" s="91">
        <f>IF($A421=Recto!$B$40,VLOOKUP($A421,Recto!$B$28:$L$44,6,FALSE),0)</f>
        <v>0</v>
      </c>
      <c r="O421" s="91">
        <f>IF($A421=Recto!$B$41,VLOOKUP($A421,Recto!$B$28:$L$44,6,FALSE),0)</f>
        <v>0</v>
      </c>
      <c r="P421" s="91">
        <f>IF($A421=Recto!$B$42,VLOOKUP($A421,Recto!$B$28:$L$44,6,FALSE),0)</f>
        <v>0</v>
      </c>
      <c r="Q421" s="91">
        <f>IF($A421=Recto!$B$43,VLOOKUP($A421,Recto!$B$28:$L$44,6,FALSE),0)</f>
        <v>0</v>
      </c>
      <c r="R421" s="91">
        <f>IF($A421=Recto!$B$44,VLOOKUP($A421,Recto!$B$28:$L$44,6,FALSE),0)</f>
        <v>0</v>
      </c>
      <c r="S421" s="295">
        <f t="shared" si="11"/>
        <v>0</v>
      </c>
    </row>
    <row r="422" spans="1:19" x14ac:dyDescent="0.25">
      <c r="A422" s="502" t="s">
        <v>1266</v>
      </c>
      <c r="B422" s="91">
        <f>IF($A422=Recto!$B$28,VLOOKUP($A422,Recto!$B$28:$L$44,6,FALSE),0)</f>
        <v>0</v>
      </c>
      <c r="C422" s="91">
        <f>IF($A422=Recto!$B$29,VLOOKUP($A422,Recto!$B$28:$L$44,6,FALSE),0)</f>
        <v>0</v>
      </c>
      <c r="D422" s="91">
        <f>IF($A422=Recto!$B$30,VLOOKUP($A422,Recto!$B$28:$L$44,6,FALSE),0)</f>
        <v>0</v>
      </c>
      <c r="E422" s="91">
        <f>IF($A422=Recto!$B$31,VLOOKUP($A422,Recto!$B$28:$L$44,6,FALSE),0)</f>
        <v>0</v>
      </c>
      <c r="F422" s="91">
        <f>IF($A422=Recto!$B$32,VLOOKUP($A422,Recto!$B$28:$L$44,6,FALSE),0)</f>
        <v>0</v>
      </c>
      <c r="G422" s="91">
        <f>IF($A422=Recto!$B$33,VLOOKUP($A422,Recto!$B$28:$L$44,6,FALSE),0)</f>
        <v>0</v>
      </c>
      <c r="H422" s="91">
        <f>IF($A422=Recto!$B$34,VLOOKUP($A422,Recto!$B$28:$L$44,6,FALSE),0)</f>
        <v>0</v>
      </c>
      <c r="I422" s="91">
        <f>IF($A422=Recto!$B$35,VLOOKUP($A422,Recto!$B$28:$L$44,6,FALSE),0)</f>
        <v>0</v>
      </c>
      <c r="J422" s="91">
        <f>IF($A422=Recto!$B$36,VLOOKUP($A422,Recto!$B$28:$L$44,6,FALSE),0)</f>
        <v>0</v>
      </c>
      <c r="K422" s="91">
        <f>IF($A422=Recto!$B$37,VLOOKUP($A422,Recto!$B$28:$L$44,6,FALSE),0)</f>
        <v>0</v>
      </c>
      <c r="L422" s="91">
        <f>IF($A422=Recto!$B$38,VLOOKUP($A422,Recto!$B$28:$L$44,6,FALSE),0)</f>
        <v>0</v>
      </c>
      <c r="M422" s="91">
        <f>IF($A422=Recto!$B$39,VLOOKUP($A422,Recto!$B$28:$L$44,6,FALSE),0)</f>
        <v>0</v>
      </c>
      <c r="N422" s="91">
        <f>IF($A422=Recto!$B$40,VLOOKUP($A422,Recto!$B$28:$L$44,6,FALSE),0)</f>
        <v>0</v>
      </c>
      <c r="O422" s="91">
        <f>IF($A422=Recto!$B$41,VLOOKUP($A422,Recto!$B$28:$L$44,6,FALSE),0)</f>
        <v>0</v>
      </c>
      <c r="P422" s="91">
        <f>IF($A422=Recto!$B$42,VLOOKUP($A422,Recto!$B$28:$L$44,6,FALSE),0)</f>
        <v>0</v>
      </c>
      <c r="Q422" s="91">
        <f>IF($A422=Recto!$B$43,VLOOKUP($A422,Recto!$B$28:$L$44,6,FALSE),0)</f>
        <v>0</v>
      </c>
      <c r="R422" s="91">
        <f>IF($A422=Recto!$B$44,VLOOKUP($A422,Recto!$B$28:$L$44,6,FALSE),0)</f>
        <v>0</v>
      </c>
      <c r="S422" s="295">
        <f t="shared" si="11"/>
        <v>0</v>
      </c>
    </row>
    <row r="423" spans="1:19" x14ac:dyDescent="0.25">
      <c r="A423" s="502" t="s">
        <v>3268</v>
      </c>
      <c r="B423" s="91">
        <f>IF($A423=Recto!$B$28,VLOOKUP($A423,Recto!$B$28:$L$44,6,FALSE),0)</f>
        <v>0</v>
      </c>
      <c r="C423" s="91">
        <f>IF($A423=Recto!$B$29,VLOOKUP($A423,Recto!$B$28:$L$44,6,FALSE),0)</f>
        <v>0</v>
      </c>
      <c r="D423" s="91">
        <f>IF($A423=Recto!$B$30,VLOOKUP($A423,Recto!$B$28:$L$44,6,FALSE),0)</f>
        <v>0</v>
      </c>
      <c r="E423" s="91">
        <f>IF($A423=Recto!$B$31,VLOOKUP($A423,Recto!$B$28:$L$44,6,FALSE),0)</f>
        <v>0</v>
      </c>
      <c r="F423" s="91">
        <f>IF($A423=Recto!$B$32,VLOOKUP($A423,Recto!$B$28:$L$44,6,FALSE),0)</f>
        <v>0</v>
      </c>
      <c r="G423" s="91">
        <f>IF($A423=Recto!$B$33,VLOOKUP($A423,Recto!$B$28:$L$44,6,FALSE),0)</f>
        <v>0</v>
      </c>
      <c r="H423" s="91">
        <f>IF($A423=Recto!$B$34,VLOOKUP($A423,Recto!$B$28:$L$44,6,FALSE),0)</f>
        <v>0</v>
      </c>
      <c r="I423" s="91">
        <f>IF($A423=Recto!$B$35,VLOOKUP($A423,Recto!$B$28:$L$44,6,FALSE),0)</f>
        <v>0</v>
      </c>
      <c r="J423" s="91">
        <f>IF($A423=Recto!$B$36,VLOOKUP($A423,Recto!$B$28:$L$44,6,FALSE),0)</f>
        <v>0</v>
      </c>
      <c r="K423" s="91">
        <f>IF($A423=Recto!$B$37,VLOOKUP($A423,Recto!$B$28:$L$44,6,FALSE),0)</f>
        <v>0</v>
      </c>
      <c r="L423" s="91">
        <f>IF($A423=Recto!$B$38,VLOOKUP($A423,Recto!$B$28:$L$44,6,FALSE),0)</f>
        <v>0</v>
      </c>
      <c r="M423" s="91">
        <f>IF($A423=Recto!$B$39,VLOOKUP($A423,Recto!$B$28:$L$44,6,FALSE),0)</f>
        <v>0</v>
      </c>
      <c r="N423" s="91">
        <f>IF($A423=Recto!$B$40,VLOOKUP($A423,Recto!$B$28:$L$44,6,FALSE),0)</f>
        <v>0</v>
      </c>
      <c r="O423" s="91">
        <f>IF($A423=Recto!$B$41,VLOOKUP($A423,Recto!$B$28:$L$44,6,FALSE),0)</f>
        <v>0</v>
      </c>
      <c r="P423" s="91">
        <f>IF($A423=Recto!$B$42,VLOOKUP($A423,Recto!$B$28:$L$44,6,FALSE),0)</f>
        <v>0</v>
      </c>
      <c r="Q423" s="91">
        <f>IF($A423=Recto!$B$43,VLOOKUP($A423,Recto!$B$28:$L$44,6,FALSE),0)</f>
        <v>0</v>
      </c>
      <c r="R423" s="91">
        <f>IF($A423=Recto!$B$44,VLOOKUP($A423,Recto!$B$28:$L$44,6,FALSE),0)</f>
        <v>0</v>
      </c>
      <c r="S423" s="295">
        <f t="shared" si="11"/>
        <v>0</v>
      </c>
    </row>
    <row r="424" spans="1:19" x14ac:dyDescent="0.25">
      <c r="A424" s="502" t="s">
        <v>1283</v>
      </c>
      <c r="B424" s="91">
        <f>IF($A424=Recto!$B$28,VLOOKUP($A424,Recto!$B$28:$L$44,6,FALSE),0)</f>
        <v>0</v>
      </c>
      <c r="C424" s="91">
        <f>IF($A424=Recto!$B$29,VLOOKUP($A424,Recto!$B$28:$L$44,6,FALSE),0)</f>
        <v>0</v>
      </c>
      <c r="D424" s="91">
        <f>IF($A424=Recto!$B$30,VLOOKUP($A424,Recto!$B$28:$L$44,6,FALSE),0)</f>
        <v>0</v>
      </c>
      <c r="E424" s="91">
        <f>IF($A424=Recto!$B$31,VLOOKUP($A424,Recto!$B$28:$L$44,6,FALSE),0)</f>
        <v>0</v>
      </c>
      <c r="F424" s="91">
        <f>IF($A424=Recto!$B$32,VLOOKUP($A424,Recto!$B$28:$L$44,6,FALSE),0)</f>
        <v>0</v>
      </c>
      <c r="G424" s="91">
        <f>IF($A424=Recto!$B$33,VLOOKUP($A424,Recto!$B$28:$L$44,6,FALSE),0)</f>
        <v>0</v>
      </c>
      <c r="H424" s="91">
        <f>IF($A424=Recto!$B$34,VLOOKUP($A424,Recto!$B$28:$L$44,6,FALSE),0)</f>
        <v>0</v>
      </c>
      <c r="I424" s="91">
        <f>IF($A424=Recto!$B$35,VLOOKUP($A424,Recto!$B$28:$L$44,6,FALSE),0)</f>
        <v>0</v>
      </c>
      <c r="J424" s="91">
        <f>IF($A424=Recto!$B$36,VLOOKUP($A424,Recto!$B$28:$L$44,6,FALSE),0)</f>
        <v>0</v>
      </c>
      <c r="K424" s="91">
        <f>IF($A424=Recto!$B$37,VLOOKUP($A424,Recto!$B$28:$L$44,6,FALSE),0)</f>
        <v>0</v>
      </c>
      <c r="L424" s="91">
        <f>IF($A424=Recto!$B$38,VLOOKUP($A424,Recto!$B$28:$L$44,6,FALSE),0)</f>
        <v>0</v>
      </c>
      <c r="M424" s="91">
        <f>IF($A424=Recto!$B$39,VLOOKUP($A424,Recto!$B$28:$L$44,6,FALSE),0)</f>
        <v>0</v>
      </c>
      <c r="N424" s="91">
        <f>IF($A424=Recto!$B$40,VLOOKUP($A424,Recto!$B$28:$L$44,6,FALSE),0)</f>
        <v>0</v>
      </c>
      <c r="O424" s="91">
        <f>IF($A424=Recto!$B$41,VLOOKUP($A424,Recto!$B$28:$L$44,6,FALSE),0)</f>
        <v>0</v>
      </c>
      <c r="P424" s="91">
        <f>IF($A424=Recto!$B$42,VLOOKUP($A424,Recto!$B$28:$L$44,6,FALSE),0)</f>
        <v>0</v>
      </c>
      <c r="Q424" s="91">
        <f>IF($A424=Recto!$B$43,VLOOKUP($A424,Recto!$B$28:$L$44,6,FALSE),0)</f>
        <v>0</v>
      </c>
      <c r="R424" s="91">
        <f>IF($A424=Recto!$B$44,VLOOKUP($A424,Recto!$B$28:$L$44,6,FALSE),0)</f>
        <v>0</v>
      </c>
      <c r="S424" s="295">
        <f t="shared" si="11"/>
        <v>0</v>
      </c>
    </row>
    <row r="425" spans="1:19" x14ac:dyDescent="0.25">
      <c r="A425" s="503" t="s">
        <v>5737</v>
      </c>
      <c r="B425" s="297">
        <f>IF($A425=Recto!$B$28,VLOOKUP($A425,Recto!$B$28:$L$44,6,FALSE),0)</f>
        <v>0</v>
      </c>
      <c r="C425" s="297">
        <f>IF($A425=Recto!$B$29,VLOOKUP($A425,Recto!$B$28:$L$44,6,FALSE),0)</f>
        <v>0</v>
      </c>
      <c r="D425" s="297">
        <f>IF($A425=Recto!$B$30,VLOOKUP($A425,Recto!$B$28:$L$44,6,FALSE),0)</f>
        <v>0</v>
      </c>
      <c r="E425" s="297">
        <f>IF($A425=Recto!$B$31,VLOOKUP($A425,Recto!$B$28:$L$44,6,FALSE),0)</f>
        <v>0</v>
      </c>
      <c r="F425" s="297">
        <f>IF($A425=Recto!$B$32,VLOOKUP($A425,Recto!$B$28:$L$44,6,FALSE),0)</f>
        <v>0</v>
      </c>
      <c r="G425" s="297">
        <f>IF($A425=Recto!$B$33,VLOOKUP($A425,Recto!$B$28:$L$44,6,FALSE),0)</f>
        <v>0</v>
      </c>
      <c r="H425" s="297">
        <f>IF($A425=Recto!$B$34,VLOOKUP($A425,Recto!$B$28:$L$44,6,FALSE),0)</f>
        <v>0</v>
      </c>
      <c r="I425" s="297">
        <f>IF($A425=Recto!$B$35,VLOOKUP($A425,Recto!$B$28:$L$44,6,FALSE),0)</f>
        <v>0</v>
      </c>
      <c r="J425" s="297">
        <f>IF($A425=Recto!$B$36,VLOOKUP($A425,Recto!$B$28:$L$44,6,FALSE),0)</f>
        <v>0</v>
      </c>
      <c r="K425" s="297">
        <f>IF($A425=Recto!$B$37,VLOOKUP($A425,Recto!$B$28:$L$44,6,FALSE),0)</f>
        <v>0</v>
      </c>
      <c r="L425" s="297">
        <f>IF($A425=Recto!$B$38,VLOOKUP($A425,Recto!$B$28:$L$44,6,FALSE),0)</f>
        <v>0</v>
      </c>
      <c r="M425" s="297">
        <f>IF($A425=Recto!$B$39,VLOOKUP($A425,Recto!$B$28:$L$44,6,FALSE),0)</f>
        <v>0</v>
      </c>
      <c r="N425" s="297">
        <f>IF($A425=Recto!$B$40,VLOOKUP($A425,Recto!$B$28:$L$44,6,FALSE),0)</f>
        <v>0</v>
      </c>
      <c r="O425" s="297">
        <f>IF($A425=Recto!$B$41,VLOOKUP($A425,Recto!$B$28:$L$44,6,FALSE),0)</f>
        <v>0</v>
      </c>
      <c r="P425" s="297">
        <f>IF($A425=Recto!$B$42,VLOOKUP($A425,Recto!$B$28:$L$44,6,FALSE),0)</f>
        <v>0</v>
      </c>
      <c r="Q425" s="297">
        <f>IF($A425=Recto!$B$43,VLOOKUP($A425,Recto!$B$28:$L$44,6,FALSE),0)</f>
        <v>0</v>
      </c>
      <c r="R425" s="297">
        <f>IF($A425=Recto!$B$44,VLOOKUP($A425,Recto!$B$28:$L$44,6,FALSE),0)</f>
        <v>0</v>
      </c>
      <c r="S425" s="298">
        <f t="shared" si="11"/>
        <v>0</v>
      </c>
    </row>
    <row r="426" spans="1:19" x14ac:dyDescent="0.25">
      <c r="A426" s="530" t="s">
        <v>8230</v>
      </c>
      <c r="B426" s="353" t="s">
        <v>6467</v>
      </c>
      <c r="C426" s="353" t="s">
        <v>6468</v>
      </c>
      <c r="D426" s="353" t="s">
        <v>6469</v>
      </c>
      <c r="E426" s="353" t="s">
        <v>6470</v>
      </c>
      <c r="F426" s="353" t="s">
        <v>6471</v>
      </c>
      <c r="G426" s="354" t="s">
        <v>6421</v>
      </c>
    </row>
    <row r="427" spans="1:19" x14ac:dyDescent="0.25">
      <c r="A427" s="531" t="s">
        <v>632</v>
      </c>
      <c r="B427" s="91">
        <f>IF(Verso!$B$22="",0,IF(Verso!$B$22=$A427,1,0))</f>
        <v>0</v>
      </c>
      <c r="C427" s="91">
        <f>IF(Verso!$B$23="",0,IF(Verso!$B$23=$A427,1,0))</f>
        <v>0</v>
      </c>
      <c r="D427" s="91">
        <f>IF(Verso!$B$24="",0,IF(Verso!$B$24=$A427,1,0))</f>
        <v>0</v>
      </c>
      <c r="E427" s="91">
        <f>IF(Verso!$B$25="",0,IF(Verso!$B$25=$A427,1,0))</f>
        <v>0</v>
      </c>
      <c r="F427" s="91">
        <f>IF(Verso!$B$26="",0,IF(Verso!$B$26=$A427,1,0))</f>
        <v>0</v>
      </c>
      <c r="G427" s="295">
        <f>SUM(B427:F427)</f>
        <v>0</v>
      </c>
    </row>
    <row r="428" spans="1:19" x14ac:dyDescent="0.25">
      <c r="A428" s="531" t="s">
        <v>816</v>
      </c>
      <c r="B428" s="91">
        <f>IF(Verso!$B$22="",0,IF(Verso!$B$22=$A428,1,0))</f>
        <v>0</v>
      </c>
      <c r="C428" s="91">
        <f>IF(Verso!$B$23="",0,IF(Verso!$B$23=$A428,1,0))</f>
        <v>0</v>
      </c>
      <c r="D428" s="91">
        <f>IF(Verso!$B$24="",0,IF(Verso!$B$24=$A428,1,0))</f>
        <v>0</v>
      </c>
      <c r="E428" s="91">
        <f>IF(Verso!$B$25="",0,IF(Verso!$B$25=$A428,1,0))</f>
        <v>0</v>
      </c>
      <c r="F428" s="91">
        <f>IF(Verso!$B$26="",0,IF(Verso!$B$26=$A428,1,0))</f>
        <v>0</v>
      </c>
      <c r="G428" s="295">
        <f t="shared" ref="G428:G494" si="12">SUM(B428:F428)</f>
        <v>0</v>
      </c>
    </row>
    <row r="429" spans="1:19" x14ac:dyDescent="0.25">
      <c r="A429" s="531" t="s">
        <v>666</v>
      </c>
      <c r="B429" s="91">
        <f>IF(Verso!$B$22="",0,IF(Verso!$B$22=$A429,1,0))</f>
        <v>0</v>
      </c>
      <c r="C429" s="91">
        <f>IF(Verso!$B$23="",0,IF(Verso!$B$23=$A429,1,0))</f>
        <v>0</v>
      </c>
      <c r="D429" s="91">
        <f>IF(Verso!$B$24="",0,IF(Verso!$B$24=$A429,1,0))</f>
        <v>0</v>
      </c>
      <c r="E429" s="91">
        <f>IF(Verso!$B$25="",0,IF(Verso!$B$25=$A429,1,0))</f>
        <v>0</v>
      </c>
      <c r="F429" s="91">
        <f>IF(Verso!$B$26="",0,IF(Verso!$B$26=$A429,1,0))</f>
        <v>0</v>
      </c>
      <c r="G429" s="295">
        <f t="shared" si="12"/>
        <v>0</v>
      </c>
    </row>
    <row r="430" spans="1:19" x14ac:dyDescent="0.25">
      <c r="A430" s="531" t="s">
        <v>634</v>
      </c>
      <c r="B430" s="91">
        <f>IF(Verso!$B$22="",0,IF(Verso!$B$22=$A430,1,0))</f>
        <v>0</v>
      </c>
      <c r="C430" s="91">
        <f>IF(Verso!$B$23="",0,IF(Verso!$B$23=$A430,1,0))</f>
        <v>0</v>
      </c>
      <c r="D430" s="91">
        <f>IF(Verso!$B$24="",0,IF(Verso!$B$24=$A430,1,0))</f>
        <v>0</v>
      </c>
      <c r="E430" s="91">
        <f>IF(Verso!$B$25="",0,IF(Verso!$B$25=$A430,1,0))</f>
        <v>0</v>
      </c>
      <c r="F430" s="91">
        <f>IF(Verso!$B$26="",0,IF(Verso!$B$26=$A430,1,0))</f>
        <v>0</v>
      </c>
      <c r="G430" s="295">
        <f t="shared" si="12"/>
        <v>0</v>
      </c>
    </row>
    <row r="431" spans="1:19" x14ac:dyDescent="0.25">
      <c r="A431" s="531" t="s">
        <v>652</v>
      </c>
      <c r="B431" s="91">
        <f>IF(Verso!$B$22="",0,IF(Verso!$B$22=$A431,1,0))</f>
        <v>0</v>
      </c>
      <c r="C431" s="91">
        <f>IF(Verso!$B$23="",0,IF(Verso!$B$23=$A431,1,0))</f>
        <v>0</v>
      </c>
      <c r="D431" s="91">
        <f>IF(Verso!$B$24="",0,IF(Verso!$B$24=$A431,1,0))</f>
        <v>0</v>
      </c>
      <c r="E431" s="91">
        <f>IF(Verso!$B$25="",0,IF(Verso!$B$25=$A431,1,0))</f>
        <v>0</v>
      </c>
      <c r="F431" s="91">
        <f>IF(Verso!$B$26="",0,IF(Verso!$B$26=$A431,1,0))</f>
        <v>0</v>
      </c>
      <c r="G431" s="295">
        <f t="shared" si="12"/>
        <v>0</v>
      </c>
    </row>
    <row r="432" spans="1:19" x14ac:dyDescent="0.25">
      <c r="A432" s="531" t="s">
        <v>793</v>
      </c>
      <c r="B432" s="91">
        <f>IF(Verso!$B$22="",0,IF(Verso!$B$22=$A432,1,0))</f>
        <v>0</v>
      </c>
      <c r="C432" s="91">
        <f>IF(Verso!$B$23="",0,IF(Verso!$B$23=$A432,1,0))</f>
        <v>0</v>
      </c>
      <c r="D432" s="91">
        <f>IF(Verso!$B$24="",0,IF(Verso!$B$24=$A432,1,0))</f>
        <v>0</v>
      </c>
      <c r="E432" s="91">
        <f>IF(Verso!$B$25="",0,IF(Verso!$B$25=$A432,1,0))</f>
        <v>0</v>
      </c>
      <c r="F432" s="91">
        <f>IF(Verso!$B$26="",0,IF(Verso!$B$26=$A432,1,0))</f>
        <v>0</v>
      </c>
      <c r="G432" s="295">
        <f t="shared" si="12"/>
        <v>0</v>
      </c>
    </row>
    <row r="433" spans="1:7" x14ac:dyDescent="0.25">
      <c r="A433" s="531" t="s">
        <v>697</v>
      </c>
      <c r="B433" s="91">
        <f>IF(Verso!$B$22="",0,IF(Verso!$B$22=$A433,1,0))</f>
        <v>0</v>
      </c>
      <c r="C433" s="91">
        <f>IF(Verso!$B$23="",0,IF(Verso!$B$23=$A433,1,0))</f>
        <v>0</v>
      </c>
      <c r="D433" s="91">
        <f>IF(Verso!$B$24="",0,IF(Verso!$B$24=$A433,1,0))</f>
        <v>0</v>
      </c>
      <c r="E433" s="91">
        <f>IF(Verso!$B$25="",0,IF(Verso!$B$25=$A433,1,0))</f>
        <v>0</v>
      </c>
      <c r="F433" s="91">
        <f>IF(Verso!$B$26="",0,IF(Verso!$B$26=$A433,1,0))</f>
        <v>0</v>
      </c>
      <c r="G433" s="295">
        <f t="shared" si="12"/>
        <v>0</v>
      </c>
    </row>
    <row r="434" spans="1:7" x14ac:dyDescent="0.25">
      <c r="A434" s="531" t="s">
        <v>7555</v>
      </c>
      <c r="B434" s="91">
        <f>IF(Verso!$B$22="",0,IF(Verso!$B$22=$A434,1,0))</f>
        <v>0</v>
      </c>
      <c r="C434" s="91">
        <f>IF(Verso!$B$23="",0,IF(Verso!$B$23=$A434,1,0))</f>
        <v>0</v>
      </c>
      <c r="D434" s="91">
        <f>IF(Verso!$B$24="",0,IF(Verso!$B$24=$A434,1,0))</f>
        <v>0</v>
      </c>
      <c r="E434" s="91">
        <f>IF(Verso!$B$25="",0,IF(Verso!$B$25=$A434,1,0))</f>
        <v>0</v>
      </c>
      <c r="F434" s="91">
        <f>IF(Verso!$B$26="",0,IF(Verso!$B$26=$A434,1,0))</f>
        <v>0</v>
      </c>
      <c r="G434" s="295">
        <f t="shared" si="12"/>
        <v>0</v>
      </c>
    </row>
    <row r="435" spans="1:7" x14ac:dyDescent="0.25">
      <c r="A435" s="531" t="s">
        <v>7504</v>
      </c>
      <c r="B435" s="91">
        <f>IF(Verso!$B$22="",0,IF(Verso!$B$22=$A435,1,0))</f>
        <v>0</v>
      </c>
      <c r="C435" s="91">
        <f>IF(Verso!$B$23="",0,IF(Verso!$B$23=$A435,1,0))</f>
        <v>0</v>
      </c>
      <c r="D435" s="91">
        <f>IF(Verso!$B$24="",0,IF(Verso!$B$24=$A435,1,0))</f>
        <v>0</v>
      </c>
      <c r="E435" s="91">
        <f>IF(Verso!$B$25="",0,IF(Verso!$B$25=$A435,1,0))</f>
        <v>0</v>
      </c>
      <c r="F435" s="91">
        <f>IF(Verso!$B$26="",0,IF(Verso!$B$26=$A435,1,0))</f>
        <v>0</v>
      </c>
      <c r="G435" s="295">
        <f t="shared" si="12"/>
        <v>0</v>
      </c>
    </row>
    <row r="436" spans="1:7" x14ac:dyDescent="0.25">
      <c r="A436" s="531" t="s">
        <v>7567</v>
      </c>
      <c r="B436" s="91">
        <f>IF(Verso!$B$22="",0,IF(Verso!$B$22=$A436,1,0))</f>
        <v>0</v>
      </c>
      <c r="C436" s="91">
        <f>IF(Verso!$B$23="",0,IF(Verso!$B$23=$A436,1,0))</f>
        <v>0</v>
      </c>
      <c r="D436" s="91">
        <f>IF(Verso!$B$24="",0,IF(Verso!$B$24=$A436,1,0))</f>
        <v>0</v>
      </c>
      <c r="E436" s="91">
        <f>IF(Verso!$B$25="",0,IF(Verso!$B$25=$A436,1,0))</f>
        <v>0</v>
      </c>
      <c r="F436" s="91">
        <f>IF(Verso!$B$26="",0,IF(Verso!$B$26=$A436,1,0))</f>
        <v>0</v>
      </c>
      <c r="G436" s="295">
        <f t="shared" si="12"/>
        <v>0</v>
      </c>
    </row>
    <row r="437" spans="1:7" x14ac:dyDescent="0.25">
      <c r="A437" s="531" t="s">
        <v>7524</v>
      </c>
      <c r="B437" s="91">
        <f>IF(Verso!$B$22="",0,IF(Verso!$B$22=$A437,1,0))</f>
        <v>0</v>
      </c>
      <c r="C437" s="91">
        <f>IF(Verso!$B$23="",0,IF(Verso!$B$23=$A437,1,0))</f>
        <v>0</v>
      </c>
      <c r="D437" s="91">
        <f>IF(Verso!$B$24="",0,IF(Verso!$B$24=$A437,1,0))</f>
        <v>0</v>
      </c>
      <c r="E437" s="91">
        <f>IF(Verso!$B$25="",0,IF(Verso!$B$25=$A437,1,0))</f>
        <v>0</v>
      </c>
      <c r="F437" s="91">
        <f>IF(Verso!$B$26="",0,IF(Verso!$B$26=$A437,1,0))</f>
        <v>0</v>
      </c>
      <c r="G437" s="295">
        <f t="shared" si="12"/>
        <v>0</v>
      </c>
    </row>
    <row r="438" spans="1:7" x14ac:dyDescent="0.25">
      <c r="A438" s="531" t="s">
        <v>7562</v>
      </c>
      <c r="B438" s="91">
        <f>IF(Verso!$B$22="",0,IF(Verso!$B$22=$A438,1,0))</f>
        <v>0</v>
      </c>
      <c r="C438" s="91">
        <f>IF(Verso!$B$23="",0,IF(Verso!$B$23=$A438,1,0))</f>
        <v>0</v>
      </c>
      <c r="D438" s="91">
        <f>IF(Verso!$B$24="",0,IF(Verso!$B$24=$A438,1,0))</f>
        <v>0</v>
      </c>
      <c r="E438" s="91">
        <f>IF(Verso!$B$25="",0,IF(Verso!$B$25=$A438,1,0))</f>
        <v>0</v>
      </c>
      <c r="F438" s="91">
        <f>IF(Verso!$B$26="",0,IF(Verso!$B$26=$A438,1,0))</f>
        <v>0</v>
      </c>
      <c r="G438" s="295">
        <f t="shared" si="12"/>
        <v>0</v>
      </c>
    </row>
    <row r="439" spans="1:7" x14ac:dyDescent="0.25">
      <c r="A439" s="531" t="s">
        <v>5775</v>
      </c>
      <c r="B439" s="91">
        <f>IF(Verso!$B$22="",0,IF(Verso!$B$22=$A439,1,0))</f>
        <v>0</v>
      </c>
      <c r="C439" s="91">
        <f>IF(Verso!$B$23="",0,IF(Verso!$B$23=$A439,1,0))</f>
        <v>0</v>
      </c>
      <c r="D439" s="91">
        <f>IF(Verso!$B$24="",0,IF(Verso!$B$24=$A439,1,0))</f>
        <v>0</v>
      </c>
      <c r="E439" s="91">
        <f>IF(Verso!$B$25="",0,IF(Verso!$B$25=$A439,1,0))</f>
        <v>0</v>
      </c>
      <c r="F439" s="91">
        <f>IF(Verso!$B$26="",0,IF(Verso!$B$26=$A439,1,0))</f>
        <v>0</v>
      </c>
      <c r="G439" s="295">
        <f t="shared" si="12"/>
        <v>0</v>
      </c>
    </row>
    <row r="440" spans="1:7" x14ac:dyDescent="0.25">
      <c r="A440" s="531" t="s">
        <v>7536</v>
      </c>
      <c r="B440" s="91">
        <f>IF(Verso!$B$22="",0,IF(Verso!$B$22=$A440,1,0))</f>
        <v>0</v>
      </c>
      <c r="C440" s="91">
        <f>IF(Verso!$B$23="",0,IF(Verso!$B$23=$A440,1,0))</f>
        <v>0</v>
      </c>
      <c r="D440" s="91">
        <f>IF(Verso!$B$24="",0,IF(Verso!$B$24=$A440,1,0))</f>
        <v>0</v>
      </c>
      <c r="E440" s="91">
        <f>IF(Verso!$B$25="",0,IF(Verso!$B$25=$A440,1,0))</f>
        <v>0</v>
      </c>
      <c r="F440" s="91">
        <f>IF(Verso!$B$26="",0,IF(Verso!$B$26=$A440,1,0))</f>
        <v>0</v>
      </c>
      <c r="G440" s="295">
        <f t="shared" si="12"/>
        <v>0</v>
      </c>
    </row>
    <row r="441" spans="1:7" x14ac:dyDescent="0.25">
      <c r="A441" s="531" t="s">
        <v>7553</v>
      </c>
      <c r="B441" s="91">
        <f>IF(Verso!$B$22="",0,IF(Verso!$B$22=$A441,1,0))</f>
        <v>0</v>
      </c>
      <c r="C441" s="91">
        <f>IF(Verso!$B$23="",0,IF(Verso!$B$23=$A441,1,0))</f>
        <v>0</v>
      </c>
      <c r="D441" s="91">
        <f>IF(Verso!$B$24="",0,IF(Verso!$B$24=$A441,1,0))</f>
        <v>0</v>
      </c>
      <c r="E441" s="91">
        <f>IF(Verso!$B$25="",0,IF(Verso!$B$25=$A441,1,0))</f>
        <v>0</v>
      </c>
      <c r="F441" s="91">
        <f>IF(Verso!$B$26="",0,IF(Verso!$B$26=$A441,1,0))</f>
        <v>0</v>
      </c>
      <c r="G441" s="295">
        <f t="shared" si="12"/>
        <v>0</v>
      </c>
    </row>
    <row r="442" spans="1:7" x14ac:dyDescent="0.25">
      <c r="A442" s="531" t="s">
        <v>7556</v>
      </c>
      <c r="B442" s="91">
        <f>IF(Verso!$B$22="",0,IF(Verso!$B$22=$A442,1,0))</f>
        <v>0</v>
      </c>
      <c r="C442" s="91">
        <f>IF(Verso!$B$23="",0,IF(Verso!$B$23=$A442,1,0))</f>
        <v>0</v>
      </c>
      <c r="D442" s="91">
        <f>IF(Verso!$B$24="",0,IF(Verso!$B$24=$A442,1,0))</f>
        <v>0</v>
      </c>
      <c r="E442" s="91">
        <f>IF(Verso!$B$25="",0,IF(Verso!$B$25=$A442,1,0))</f>
        <v>0</v>
      </c>
      <c r="F442" s="91">
        <f>IF(Verso!$B$26="",0,IF(Verso!$B$26=$A442,1,0))</f>
        <v>0</v>
      </c>
      <c r="G442" s="295">
        <f t="shared" si="12"/>
        <v>0</v>
      </c>
    </row>
    <row r="443" spans="1:7" x14ac:dyDescent="0.25">
      <c r="A443" s="531" t="s">
        <v>5776</v>
      </c>
      <c r="B443" s="91">
        <f>IF(Verso!$B$22="",0,IF(Verso!$B$22=$A443,1,0))</f>
        <v>0</v>
      </c>
      <c r="C443" s="91">
        <f>IF(Verso!$B$23="",0,IF(Verso!$B$23=$A443,1,0))</f>
        <v>0</v>
      </c>
      <c r="D443" s="91">
        <f>IF(Verso!$B$24="",0,IF(Verso!$B$24=$A443,1,0))</f>
        <v>0</v>
      </c>
      <c r="E443" s="91">
        <f>IF(Verso!$B$25="",0,IF(Verso!$B$25=$A443,1,0))</f>
        <v>0</v>
      </c>
      <c r="F443" s="91">
        <f>IF(Verso!$B$26="",0,IF(Verso!$B$26=$A443,1,0))</f>
        <v>0</v>
      </c>
      <c r="G443" s="295">
        <f t="shared" si="12"/>
        <v>0</v>
      </c>
    </row>
    <row r="444" spans="1:7" x14ac:dyDescent="0.25">
      <c r="A444" s="531" t="s">
        <v>8147</v>
      </c>
      <c r="B444" s="91">
        <f>IF(Verso!$B$22="",0,IF(Verso!$B$22=$A444,1,0))</f>
        <v>0</v>
      </c>
      <c r="C444" s="91">
        <f>IF(Verso!$B$23="",0,IF(Verso!$B$23=$A444,1,0))</f>
        <v>0</v>
      </c>
      <c r="D444" s="91">
        <f>IF(Verso!$B$24="",0,IF(Verso!$B$24=$A444,1,0))</f>
        <v>0</v>
      </c>
      <c r="E444" s="91">
        <f>IF(Verso!$B$25="",0,IF(Verso!$B$25=$A444,1,0))</f>
        <v>0</v>
      </c>
      <c r="F444" s="91">
        <f>IF(Verso!$B$26="",0,IF(Verso!$B$26=$A444,1,0))</f>
        <v>0</v>
      </c>
      <c r="G444" s="295">
        <f t="shared" si="12"/>
        <v>0</v>
      </c>
    </row>
    <row r="445" spans="1:7" x14ac:dyDescent="0.25">
      <c r="A445" s="531" t="s">
        <v>7558</v>
      </c>
      <c r="B445" s="91">
        <f>IF(Verso!$B$22="",0,IF(Verso!$B$22=$A445,1,0))</f>
        <v>0</v>
      </c>
      <c r="C445" s="91">
        <f>IF(Verso!$B$23="",0,IF(Verso!$B$23=$A445,1,0))</f>
        <v>0</v>
      </c>
      <c r="D445" s="91">
        <f>IF(Verso!$B$24="",0,IF(Verso!$B$24=$A445,1,0))</f>
        <v>0</v>
      </c>
      <c r="E445" s="91">
        <f>IF(Verso!$B$25="",0,IF(Verso!$B$25=$A445,1,0))</f>
        <v>0</v>
      </c>
      <c r="F445" s="91">
        <f>IF(Verso!$B$26="",0,IF(Verso!$B$26=$A445,1,0))</f>
        <v>0</v>
      </c>
      <c r="G445" s="295">
        <f>SUM(B445:F445)</f>
        <v>0</v>
      </c>
    </row>
    <row r="446" spans="1:7" x14ac:dyDescent="0.25">
      <c r="A446" s="531" t="s">
        <v>7494</v>
      </c>
      <c r="B446" s="91">
        <f>IF(Verso!$B$22="",0,IF(Verso!$B$22=$A446,1,0))</f>
        <v>0</v>
      </c>
      <c r="C446" s="91">
        <f>IF(Verso!$B$23="",0,IF(Verso!$B$23=$A446,1,0))</f>
        <v>0</v>
      </c>
      <c r="D446" s="91">
        <f>IF(Verso!$B$24="",0,IF(Verso!$B$24=$A446,1,0))</f>
        <v>0</v>
      </c>
      <c r="E446" s="91">
        <f>IF(Verso!$B$25="",0,IF(Verso!$B$25=$A446,1,0))</f>
        <v>0</v>
      </c>
      <c r="F446" s="91">
        <f>IF(Verso!$B$26="",0,IF(Verso!$B$26=$A446,1,0))</f>
        <v>0</v>
      </c>
      <c r="G446" s="295">
        <f>SUM(B446:F446)</f>
        <v>0</v>
      </c>
    </row>
    <row r="447" spans="1:7" x14ac:dyDescent="0.25">
      <c r="A447" s="531" t="s">
        <v>7531</v>
      </c>
      <c r="B447" s="91">
        <f>IF(Verso!$B$22="",0,IF(Verso!$B$22=$A447,1,0))</f>
        <v>0</v>
      </c>
      <c r="C447" s="91">
        <f>IF(Verso!$B$23="",0,IF(Verso!$B$23=$A447,1,0))</f>
        <v>0</v>
      </c>
      <c r="D447" s="91">
        <f>IF(Verso!$B$24="",0,IF(Verso!$B$24=$A447,1,0))</f>
        <v>0</v>
      </c>
      <c r="E447" s="91">
        <f>IF(Verso!$B$25="",0,IF(Verso!$B$25=$A447,1,0))</f>
        <v>0</v>
      </c>
      <c r="F447" s="91">
        <f>IF(Verso!$B$26="",0,IF(Verso!$B$26=$A447,1,0))</f>
        <v>0</v>
      </c>
      <c r="G447" s="295">
        <f t="shared" si="12"/>
        <v>0</v>
      </c>
    </row>
    <row r="448" spans="1:7" x14ac:dyDescent="0.25">
      <c r="A448" s="531" t="s">
        <v>7551</v>
      </c>
      <c r="B448" s="91">
        <f>IF(Verso!$B$22="",0,IF(Verso!$B$22=$A448,1,0))</f>
        <v>0</v>
      </c>
      <c r="C448" s="91">
        <f>IF(Verso!$B$23="",0,IF(Verso!$B$23=$A448,1,0))</f>
        <v>0</v>
      </c>
      <c r="D448" s="91">
        <f>IF(Verso!$B$24="",0,IF(Verso!$B$24=$A448,1,0))</f>
        <v>0</v>
      </c>
      <c r="E448" s="91">
        <f>IF(Verso!$B$25="",0,IF(Verso!$B$25=$A448,1,0))</f>
        <v>0</v>
      </c>
      <c r="F448" s="91">
        <f>IF(Verso!$B$26="",0,IF(Verso!$B$26=$A448,1,0))</f>
        <v>0</v>
      </c>
      <c r="G448" s="295">
        <f t="shared" si="12"/>
        <v>0</v>
      </c>
    </row>
    <row r="449" spans="1:7" x14ac:dyDescent="0.25">
      <c r="A449" s="531" t="s">
        <v>5777</v>
      </c>
      <c r="B449" s="91">
        <f>IF(Verso!$B$22="",0,IF(Verso!$B$22=$A449,1,0))</f>
        <v>0</v>
      </c>
      <c r="C449" s="91">
        <f>IF(Verso!$B$23="",0,IF(Verso!$B$23=$A449,1,0))</f>
        <v>0</v>
      </c>
      <c r="D449" s="91">
        <f>IF(Verso!$B$24="",0,IF(Verso!$B$24=$A449,1,0))</f>
        <v>0</v>
      </c>
      <c r="E449" s="91">
        <f>IF(Verso!$B$25="",0,IF(Verso!$B$25=$A449,1,0))</f>
        <v>0</v>
      </c>
      <c r="F449" s="91">
        <f>IF(Verso!$B$26="",0,IF(Verso!$B$26=$A449,1,0))</f>
        <v>0</v>
      </c>
      <c r="G449" s="295">
        <f t="shared" si="12"/>
        <v>0</v>
      </c>
    </row>
    <row r="450" spans="1:7" s="196" customFormat="1" x14ac:dyDescent="0.25">
      <c r="A450" s="531" t="s">
        <v>9089</v>
      </c>
      <c r="B450" s="91">
        <f>IF(Verso!$B$22="",0,IF(Verso!$B$22=$A450,1,0))</f>
        <v>0</v>
      </c>
      <c r="C450" s="91">
        <f>IF(Verso!$B$23="",0,IF(Verso!$B$23=$A450,1,0))</f>
        <v>0</v>
      </c>
      <c r="D450" s="91">
        <f>IF(Verso!$B$24="",0,IF(Verso!$B$24=$A450,1,0))</f>
        <v>0</v>
      </c>
      <c r="E450" s="91">
        <f>IF(Verso!$B$25="",0,IF(Verso!$B$25=$A450,1,0))</f>
        <v>0</v>
      </c>
      <c r="F450" s="91">
        <f>IF(Verso!$B$26="",0,IF(Verso!$B$26=$A450,1,0))</f>
        <v>0</v>
      </c>
      <c r="G450" s="295">
        <f t="shared" ref="G450" si="13">SUM(B450:F450)</f>
        <v>0</v>
      </c>
    </row>
    <row r="451" spans="1:7" x14ac:dyDescent="0.25">
      <c r="A451" s="531" t="s">
        <v>5778</v>
      </c>
      <c r="B451" s="91">
        <f>IF(Verso!$B$22="",0,IF(Verso!$B$22=$A451,1,0))</f>
        <v>0</v>
      </c>
      <c r="C451" s="91">
        <f>IF(Verso!$B$23="",0,IF(Verso!$B$23=$A451,1,0))</f>
        <v>0</v>
      </c>
      <c r="D451" s="91">
        <f>IF(Verso!$B$24="",0,IF(Verso!$B$24=$A451,1,0))</f>
        <v>0</v>
      </c>
      <c r="E451" s="91">
        <f>IF(Verso!$B$25="",0,IF(Verso!$B$25=$A451,1,0))</f>
        <v>0</v>
      </c>
      <c r="F451" s="91">
        <f>IF(Verso!$B$26="",0,IF(Verso!$B$26=$A451,1,0))</f>
        <v>0</v>
      </c>
      <c r="G451" s="295">
        <f t="shared" si="12"/>
        <v>0</v>
      </c>
    </row>
    <row r="452" spans="1:7" x14ac:dyDescent="0.25">
      <c r="A452" s="531" t="s">
        <v>8114</v>
      </c>
      <c r="B452" s="91">
        <f>IF(Verso!$B$22="",0,IF(Verso!$B$22=$A452,1,0))</f>
        <v>0</v>
      </c>
      <c r="C452" s="91">
        <f>IF(Verso!$B$23="",0,IF(Verso!$B$23=$A452,1,0))</f>
        <v>0</v>
      </c>
      <c r="D452" s="91">
        <f>IF(Verso!$B$24="",0,IF(Verso!$B$24=$A452,1,0))</f>
        <v>0</v>
      </c>
      <c r="E452" s="91">
        <f>IF(Verso!$B$25="",0,IF(Verso!$B$25=$A452,1,0))</f>
        <v>0</v>
      </c>
      <c r="F452" s="91">
        <f>IF(Verso!$B$26="",0,IF(Verso!$B$26=$A452,1,0))</f>
        <v>0</v>
      </c>
      <c r="G452" s="295">
        <f t="shared" si="12"/>
        <v>0</v>
      </c>
    </row>
    <row r="453" spans="1:7" x14ac:dyDescent="0.25">
      <c r="A453" s="531" t="s">
        <v>5779</v>
      </c>
      <c r="B453" s="91">
        <f>IF(Verso!$B$22="",0,IF(Verso!$B$22=$A453,1,0))</f>
        <v>0</v>
      </c>
      <c r="C453" s="91">
        <f>IF(Verso!$B$23="",0,IF(Verso!$B$23=$A453,1,0))</f>
        <v>0</v>
      </c>
      <c r="D453" s="91">
        <f>IF(Verso!$B$24="",0,IF(Verso!$B$24=$A453,1,0))</f>
        <v>0</v>
      </c>
      <c r="E453" s="91">
        <f>IF(Verso!$B$25="",0,IF(Verso!$B$25=$A453,1,0))</f>
        <v>0</v>
      </c>
      <c r="F453" s="91">
        <f>IF(Verso!$B$26="",0,IF(Verso!$B$26=$A453,1,0))</f>
        <v>0</v>
      </c>
      <c r="G453" s="295">
        <f t="shared" si="12"/>
        <v>0</v>
      </c>
    </row>
    <row r="454" spans="1:7" x14ac:dyDescent="0.25">
      <c r="A454" s="531" t="s">
        <v>7529</v>
      </c>
      <c r="B454" s="91">
        <f>IF(Verso!$B$22="",0,IF(Verso!$B$22=$A454,1,0))</f>
        <v>0</v>
      </c>
      <c r="C454" s="91">
        <f>IF(Verso!$B$23="",0,IF(Verso!$B$23=$A454,1,0))</f>
        <v>0</v>
      </c>
      <c r="D454" s="91">
        <f>IF(Verso!$B$24="",0,IF(Verso!$B$24=$A454,1,0))</f>
        <v>0</v>
      </c>
      <c r="E454" s="91">
        <f>IF(Verso!$B$25="",0,IF(Verso!$B$25=$A454,1,0))</f>
        <v>0</v>
      </c>
      <c r="F454" s="91">
        <f>IF(Verso!$B$26="",0,IF(Verso!$B$26=$A454,1,0))</f>
        <v>0</v>
      </c>
      <c r="G454" s="295">
        <f t="shared" si="12"/>
        <v>0</v>
      </c>
    </row>
    <row r="455" spans="1:7" x14ac:dyDescent="0.25">
      <c r="A455" s="531" t="s">
        <v>5780</v>
      </c>
      <c r="B455" s="91">
        <f>IF(Verso!$B$22="",0,IF(Verso!$B$22=$A455,1,0))</f>
        <v>0</v>
      </c>
      <c r="C455" s="91">
        <f>IF(Verso!$B$23="",0,IF(Verso!$B$23=$A455,1,0))</f>
        <v>0</v>
      </c>
      <c r="D455" s="91">
        <f>IF(Verso!$B$24="",0,IF(Verso!$B$24=$A455,1,0))</f>
        <v>0</v>
      </c>
      <c r="E455" s="91">
        <f>IF(Verso!$B$25="",0,IF(Verso!$B$25=$A455,1,0))</f>
        <v>0</v>
      </c>
      <c r="F455" s="91">
        <f>IF(Verso!$B$26="",0,IF(Verso!$B$26=$A455,1,0))</f>
        <v>0</v>
      </c>
      <c r="G455" s="295">
        <f t="shared" si="12"/>
        <v>0</v>
      </c>
    </row>
    <row r="456" spans="1:7" x14ac:dyDescent="0.25">
      <c r="A456" s="531" t="s">
        <v>7541</v>
      </c>
      <c r="B456" s="91">
        <f>IF(Verso!$B$22="",0,IF(Verso!$B$22=$A456,1,0))</f>
        <v>0</v>
      </c>
      <c r="C456" s="91">
        <f>IF(Verso!$B$23="",0,IF(Verso!$B$23=$A456,1,0))</f>
        <v>0</v>
      </c>
      <c r="D456" s="91">
        <f>IF(Verso!$B$24="",0,IF(Verso!$B$24=$A456,1,0))</f>
        <v>0</v>
      </c>
      <c r="E456" s="91">
        <f>IF(Verso!$B$25="",0,IF(Verso!$B$25=$A456,1,0))</f>
        <v>0</v>
      </c>
      <c r="F456" s="91">
        <f>IF(Verso!$B$26="",0,IF(Verso!$B$26=$A456,1,0))</f>
        <v>0</v>
      </c>
      <c r="G456" s="295">
        <f t="shared" si="12"/>
        <v>0</v>
      </c>
    </row>
    <row r="457" spans="1:7" s="196" customFormat="1" x14ac:dyDescent="0.25">
      <c r="A457" s="531" t="s">
        <v>9091</v>
      </c>
      <c r="B457" s="91">
        <f>IF(Verso!$B$22="",0,IF(Verso!$B$22=$A457,1,0))</f>
        <v>0</v>
      </c>
      <c r="C457" s="91">
        <f>IF(Verso!$B$23="",0,IF(Verso!$B$23=$A457,1,0))</f>
        <v>0</v>
      </c>
      <c r="D457" s="91">
        <f>IF(Verso!$B$24="",0,IF(Verso!$B$24=$A457,1,0))</f>
        <v>0</v>
      </c>
      <c r="E457" s="91">
        <f>IF(Verso!$B$25="",0,IF(Verso!$B$25=$A457,1,0))</f>
        <v>0</v>
      </c>
      <c r="F457" s="91">
        <f>IF(Verso!$B$26="",0,IF(Verso!$B$26=$A457,1,0))</f>
        <v>0</v>
      </c>
      <c r="G457" s="295">
        <f t="shared" ref="G457" si="14">SUM(B457:F457)</f>
        <v>0</v>
      </c>
    </row>
    <row r="458" spans="1:7" x14ac:dyDescent="0.25">
      <c r="A458" s="531" t="s">
        <v>7560</v>
      </c>
      <c r="B458" s="91">
        <f>IF(Verso!$B$22="",0,IF(Verso!$B$22=$A458,1,0))</f>
        <v>0</v>
      </c>
      <c r="C458" s="91">
        <f>IF(Verso!$B$23="",0,IF(Verso!$B$23=$A458,1,0))</f>
        <v>0</v>
      </c>
      <c r="D458" s="91">
        <f>IF(Verso!$B$24="",0,IF(Verso!$B$24=$A458,1,0))</f>
        <v>0</v>
      </c>
      <c r="E458" s="91">
        <f>IF(Verso!$B$25="",0,IF(Verso!$B$25=$A458,1,0))</f>
        <v>0</v>
      </c>
      <c r="F458" s="91">
        <f>IF(Verso!$B$26="",0,IF(Verso!$B$26=$A458,1,0))</f>
        <v>0</v>
      </c>
      <c r="G458" s="295">
        <f t="shared" si="12"/>
        <v>0</v>
      </c>
    </row>
    <row r="459" spans="1:7" x14ac:dyDescent="0.25">
      <c r="A459" s="531" t="s">
        <v>7549</v>
      </c>
      <c r="B459" s="91">
        <f>IF(Verso!$B$22="",0,IF(Verso!$B$22=$A459,1,0))</f>
        <v>0</v>
      </c>
      <c r="C459" s="91">
        <f>IF(Verso!$B$23="",0,IF(Verso!$B$23=$A459,1,0))</f>
        <v>0</v>
      </c>
      <c r="D459" s="91">
        <f>IF(Verso!$B$24="",0,IF(Verso!$B$24=$A459,1,0))</f>
        <v>0</v>
      </c>
      <c r="E459" s="91">
        <f>IF(Verso!$B$25="",0,IF(Verso!$B$25=$A459,1,0))</f>
        <v>0</v>
      </c>
      <c r="F459" s="91">
        <f>IF(Verso!$B$26="",0,IF(Verso!$B$26=$A459,1,0))</f>
        <v>0</v>
      </c>
      <c r="G459" s="295">
        <f t="shared" si="12"/>
        <v>0</v>
      </c>
    </row>
    <row r="460" spans="1:7" x14ac:dyDescent="0.25">
      <c r="A460" s="531" t="s">
        <v>5781</v>
      </c>
      <c r="B460" s="91">
        <f>IF(Verso!$B$22="",0,IF(Verso!$B$22=$A460,1,0))</f>
        <v>0</v>
      </c>
      <c r="C460" s="91">
        <f>IF(Verso!$B$23="",0,IF(Verso!$B$23=$A460,1,0))</f>
        <v>0</v>
      </c>
      <c r="D460" s="91">
        <f>IF(Verso!$B$24="",0,IF(Verso!$B$24=$A460,1,0))</f>
        <v>0</v>
      </c>
      <c r="E460" s="91">
        <f>IF(Verso!$B$25="",0,IF(Verso!$B$25=$A460,1,0))</f>
        <v>0</v>
      </c>
      <c r="F460" s="91">
        <f>IF(Verso!$B$26="",0,IF(Verso!$B$26=$A460,1,0))</f>
        <v>0</v>
      </c>
      <c r="G460" s="295">
        <f t="shared" si="12"/>
        <v>0</v>
      </c>
    </row>
    <row r="461" spans="1:7" x14ac:dyDescent="0.25">
      <c r="A461" s="531" t="s">
        <v>5782</v>
      </c>
      <c r="B461" s="91">
        <f>IF(Verso!$B$22="",0,IF(Verso!$B$22=$A461,1,0))</f>
        <v>0</v>
      </c>
      <c r="C461" s="91">
        <f>IF(Verso!$B$23="",0,IF(Verso!$B$23=$A461,1,0))</f>
        <v>0</v>
      </c>
      <c r="D461" s="91">
        <f>IF(Verso!$B$24="",0,IF(Verso!$B$24=$A461,1,0))</f>
        <v>0</v>
      </c>
      <c r="E461" s="91">
        <f>IF(Verso!$B$25="",0,IF(Verso!$B$25=$A461,1,0))</f>
        <v>0</v>
      </c>
      <c r="F461" s="91">
        <f>IF(Verso!$B$26="",0,IF(Verso!$B$26=$A461,1,0))</f>
        <v>0</v>
      </c>
      <c r="G461" s="295">
        <f t="shared" si="12"/>
        <v>0</v>
      </c>
    </row>
    <row r="462" spans="1:7" x14ac:dyDescent="0.25">
      <c r="A462" s="531" t="s">
        <v>5783</v>
      </c>
      <c r="B462" s="91">
        <f>IF(Verso!$B$22="",0,IF(Verso!$B$22=$A462,1,0))</f>
        <v>0</v>
      </c>
      <c r="C462" s="91">
        <f>IF(Verso!$B$23="",0,IF(Verso!$B$23=$A462,1,0))</f>
        <v>0</v>
      </c>
      <c r="D462" s="91">
        <f>IF(Verso!$B$24="",0,IF(Verso!$B$24=$A462,1,0))</f>
        <v>0</v>
      </c>
      <c r="E462" s="91">
        <f>IF(Verso!$B$25="",0,IF(Verso!$B$25=$A462,1,0))</f>
        <v>0</v>
      </c>
      <c r="F462" s="91">
        <f>IF(Verso!$B$26="",0,IF(Verso!$B$26=$A462,1,0))</f>
        <v>0</v>
      </c>
      <c r="G462" s="295">
        <f t="shared" si="12"/>
        <v>0</v>
      </c>
    </row>
    <row r="463" spans="1:7" x14ac:dyDescent="0.25">
      <c r="A463" s="531" t="s">
        <v>5784</v>
      </c>
      <c r="B463" s="91">
        <f>IF(Verso!$B$22="",0,IF(Verso!$B$22=$A463,1,0))</f>
        <v>0</v>
      </c>
      <c r="C463" s="91">
        <f>IF(Verso!$B$23="",0,IF(Verso!$B$23=$A463,1,0))</f>
        <v>0</v>
      </c>
      <c r="D463" s="91">
        <f>IF(Verso!$B$24="",0,IF(Verso!$B$24=$A463,1,0))</f>
        <v>0</v>
      </c>
      <c r="E463" s="91">
        <f>IF(Verso!$B$25="",0,IF(Verso!$B$25=$A463,1,0))</f>
        <v>0</v>
      </c>
      <c r="F463" s="91">
        <f>IF(Verso!$B$26="",0,IF(Verso!$B$26=$A463,1,0))</f>
        <v>0</v>
      </c>
      <c r="G463" s="295">
        <f t="shared" si="12"/>
        <v>0</v>
      </c>
    </row>
    <row r="464" spans="1:7" x14ac:dyDescent="0.25">
      <c r="A464" s="531" t="s">
        <v>7533</v>
      </c>
      <c r="B464" s="91">
        <f>IF(Verso!$B$22="",0,IF(Verso!$B$22=$A464,1,0))</f>
        <v>0</v>
      </c>
      <c r="C464" s="91">
        <f>IF(Verso!$B$23="",0,IF(Verso!$B$23=$A464,1,0))</f>
        <v>0</v>
      </c>
      <c r="D464" s="91">
        <f>IF(Verso!$B$24="",0,IF(Verso!$B$24=$A464,1,0))</f>
        <v>0</v>
      </c>
      <c r="E464" s="91">
        <f>IF(Verso!$B$25="",0,IF(Verso!$B$25=$A464,1,0))</f>
        <v>0</v>
      </c>
      <c r="F464" s="91">
        <f>IF(Verso!$B$26="",0,IF(Verso!$B$26=$A464,1,0))</f>
        <v>0</v>
      </c>
      <c r="G464" s="295">
        <f t="shared" si="12"/>
        <v>0</v>
      </c>
    </row>
    <row r="465" spans="1:7" x14ac:dyDescent="0.25">
      <c r="A465" s="531" t="s">
        <v>7523</v>
      </c>
      <c r="B465" s="91">
        <f>IF(Verso!$B$22="",0,IF(Verso!$B$22=$A465,1,0))</f>
        <v>0</v>
      </c>
      <c r="C465" s="91">
        <f>IF(Verso!$B$23="",0,IF(Verso!$B$23=$A465,1,0))</f>
        <v>0</v>
      </c>
      <c r="D465" s="91">
        <f>IF(Verso!$B$24="",0,IF(Verso!$B$24=$A465,1,0))</f>
        <v>0</v>
      </c>
      <c r="E465" s="91">
        <f>IF(Verso!$B$25="",0,IF(Verso!$B$25=$A465,1,0))</f>
        <v>0</v>
      </c>
      <c r="F465" s="91">
        <f>IF(Verso!$B$26="",0,IF(Verso!$B$26=$A465,1,0))</f>
        <v>0</v>
      </c>
      <c r="G465" s="295">
        <f t="shared" si="12"/>
        <v>0</v>
      </c>
    </row>
    <row r="466" spans="1:7" x14ac:dyDescent="0.25">
      <c r="A466" s="531" t="s">
        <v>7527</v>
      </c>
      <c r="B466" s="91">
        <f>IF(Verso!$B$22="",0,IF(Verso!$B$22=$A466,1,0))</f>
        <v>0</v>
      </c>
      <c r="C466" s="91">
        <f>IF(Verso!$B$23="",0,IF(Verso!$B$23=$A466,1,0))</f>
        <v>0</v>
      </c>
      <c r="D466" s="91">
        <f>IF(Verso!$B$24="",0,IF(Verso!$B$24=$A466,1,0))</f>
        <v>0</v>
      </c>
      <c r="E466" s="91">
        <f>IF(Verso!$B$25="",0,IF(Verso!$B$25=$A466,1,0))</f>
        <v>0</v>
      </c>
      <c r="F466" s="91">
        <f>IF(Verso!$B$26="",0,IF(Verso!$B$26=$A466,1,0))</f>
        <v>0</v>
      </c>
      <c r="G466" s="295">
        <f t="shared" si="12"/>
        <v>0</v>
      </c>
    </row>
    <row r="467" spans="1:7" x14ac:dyDescent="0.25">
      <c r="A467" s="531" t="s">
        <v>7456</v>
      </c>
      <c r="B467" s="91">
        <f>IF(Verso!$B$22="",0,IF(Verso!$B$22=$A467,1,0))</f>
        <v>0</v>
      </c>
      <c r="C467" s="91">
        <f>IF(Verso!$B$23="",0,IF(Verso!$B$23=$A467,1,0))</f>
        <v>0</v>
      </c>
      <c r="D467" s="91">
        <f>IF(Verso!$B$24="",0,IF(Verso!$B$24=$A467,1,0))</f>
        <v>0</v>
      </c>
      <c r="E467" s="91">
        <f>IF(Verso!$B$25="",0,IF(Verso!$B$25=$A467,1,0))</f>
        <v>0</v>
      </c>
      <c r="F467" s="91">
        <f>IF(Verso!$B$26="",0,IF(Verso!$B$26=$A467,1,0))</f>
        <v>0</v>
      </c>
      <c r="G467" s="295">
        <f t="shared" si="12"/>
        <v>0</v>
      </c>
    </row>
    <row r="468" spans="1:7" x14ac:dyDescent="0.25">
      <c r="A468" s="531" t="s">
        <v>7545</v>
      </c>
      <c r="B468" s="91">
        <f>IF(Verso!$B$22="",0,IF(Verso!$B$22=$A468,1,0))</f>
        <v>0</v>
      </c>
      <c r="C468" s="91">
        <f>IF(Verso!$B$23="",0,IF(Verso!$B$23=$A468,1,0))</f>
        <v>0</v>
      </c>
      <c r="D468" s="91">
        <f>IF(Verso!$B$24="",0,IF(Verso!$B$24=$A468,1,0))</f>
        <v>0</v>
      </c>
      <c r="E468" s="91">
        <f>IF(Verso!$B$25="",0,IF(Verso!$B$25=$A468,1,0))</f>
        <v>0</v>
      </c>
      <c r="F468" s="91">
        <f>IF(Verso!$B$26="",0,IF(Verso!$B$26=$A468,1,0))</f>
        <v>0</v>
      </c>
      <c r="G468" s="295">
        <f t="shared" si="12"/>
        <v>0</v>
      </c>
    </row>
    <row r="469" spans="1:7" x14ac:dyDescent="0.25">
      <c r="A469" s="531" t="s">
        <v>7499</v>
      </c>
      <c r="B469" s="91">
        <f>IF(Verso!$B$22="",0,IF(Verso!$B$22=$A469,1,0))</f>
        <v>0</v>
      </c>
      <c r="C469" s="91">
        <f>IF(Verso!$B$23="",0,IF(Verso!$B$23=$A469,1,0))</f>
        <v>0</v>
      </c>
      <c r="D469" s="91">
        <f>IF(Verso!$B$24="",0,IF(Verso!$B$24=$A469,1,0))</f>
        <v>0</v>
      </c>
      <c r="E469" s="91">
        <f>IF(Verso!$B$25="",0,IF(Verso!$B$25=$A469,1,0))</f>
        <v>0</v>
      </c>
      <c r="F469" s="91">
        <f>IF(Verso!$B$26="",0,IF(Verso!$B$26=$A469,1,0))</f>
        <v>0</v>
      </c>
      <c r="G469" s="295">
        <f t="shared" si="12"/>
        <v>0</v>
      </c>
    </row>
    <row r="470" spans="1:7" x14ac:dyDescent="0.25">
      <c r="A470" s="531" t="s">
        <v>7492</v>
      </c>
      <c r="B470" s="91">
        <f>IF(Verso!$B$22="",0,IF(Verso!$B$22=$A470,1,0))</f>
        <v>0</v>
      </c>
      <c r="C470" s="91">
        <f>IF(Verso!$B$23="",0,IF(Verso!$B$23=$A470,1,0))</f>
        <v>0</v>
      </c>
      <c r="D470" s="91">
        <f>IF(Verso!$B$24="",0,IF(Verso!$B$24=$A470,1,0))</f>
        <v>0</v>
      </c>
      <c r="E470" s="91">
        <f>IF(Verso!$B$25="",0,IF(Verso!$B$25=$A470,1,0))</f>
        <v>0</v>
      </c>
      <c r="F470" s="91">
        <f>IF(Verso!$B$26="",0,IF(Verso!$B$26=$A470,1,0))</f>
        <v>0</v>
      </c>
      <c r="G470" s="295">
        <f t="shared" si="12"/>
        <v>0</v>
      </c>
    </row>
    <row r="471" spans="1:7" x14ac:dyDescent="0.25">
      <c r="A471" s="531" t="s">
        <v>7501</v>
      </c>
      <c r="B471" s="91">
        <f>IF(Verso!$B$22="",0,IF(Verso!$B$22=$A471,1,0))</f>
        <v>0</v>
      </c>
      <c r="C471" s="91">
        <f>IF(Verso!$B$23="",0,IF(Verso!$B$23=$A471,1,0))</f>
        <v>0</v>
      </c>
      <c r="D471" s="91">
        <f>IF(Verso!$B$24="",0,IF(Verso!$B$24=$A471,1,0))</f>
        <v>0</v>
      </c>
      <c r="E471" s="91">
        <f>IF(Verso!$B$25="",0,IF(Verso!$B$25=$A471,1,0))</f>
        <v>0</v>
      </c>
      <c r="F471" s="91">
        <f>IF(Verso!$B$26="",0,IF(Verso!$B$26=$A471,1,0))</f>
        <v>0</v>
      </c>
      <c r="G471" s="295">
        <f t="shared" si="12"/>
        <v>0</v>
      </c>
    </row>
    <row r="472" spans="1:7" x14ac:dyDescent="0.25">
      <c r="A472" s="531" t="s">
        <v>8201</v>
      </c>
      <c r="B472" s="91">
        <f>IF(Verso!$B$22="",0,IF(Verso!$B$22=$A472,1,0))</f>
        <v>0</v>
      </c>
      <c r="C472" s="91">
        <f>IF(Verso!$B$23="",0,IF(Verso!$B$23=$A472,1,0))</f>
        <v>0</v>
      </c>
      <c r="D472" s="91">
        <f>IF(Verso!$B$24="",0,IF(Verso!$B$24=$A472,1,0))</f>
        <v>0</v>
      </c>
      <c r="E472" s="91">
        <f>IF(Verso!$B$25="",0,IF(Verso!$B$25=$A472,1,0))</f>
        <v>0</v>
      </c>
      <c r="F472" s="91">
        <f>IF(Verso!$B$26="",0,IF(Verso!$B$26=$A472,1,0))</f>
        <v>0</v>
      </c>
      <c r="G472" s="295">
        <f t="shared" si="12"/>
        <v>0</v>
      </c>
    </row>
    <row r="473" spans="1:7" x14ac:dyDescent="0.25">
      <c r="A473" s="531" t="s">
        <v>7538</v>
      </c>
      <c r="B473" s="91">
        <f>IF(Verso!$B$22="",0,IF(Verso!$B$22=$A473,1,0))</f>
        <v>0</v>
      </c>
      <c r="C473" s="91">
        <f>IF(Verso!$B$23="",0,IF(Verso!$B$23=$A473,1,0))</f>
        <v>0</v>
      </c>
      <c r="D473" s="91">
        <f>IF(Verso!$B$24="",0,IF(Verso!$B$24=$A473,1,0))</f>
        <v>0</v>
      </c>
      <c r="E473" s="91">
        <f>IF(Verso!$B$25="",0,IF(Verso!$B$25=$A473,1,0))</f>
        <v>0</v>
      </c>
      <c r="F473" s="91">
        <f>IF(Verso!$B$26="",0,IF(Verso!$B$26=$A473,1,0))</f>
        <v>0</v>
      </c>
      <c r="G473" s="295">
        <f t="shared" si="12"/>
        <v>0</v>
      </c>
    </row>
    <row r="474" spans="1:7" x14ac:dyDescent="0.25">
      <c r="A474" s="531" t="s">
        <v>7495</v>
      </c>
      <c r="B474" s="91">
        <f>IF(Verso!$B$22="",0,IF(Verso!$B$22=$A474,1,0))</f>
        <v>0</v>
      </c>
      <c r="C474" s="91">
        <f>IF(Verso!$B$23="",0,IF(Verso!$B$23=$A474,1,0))</f>
        <v>0</v>
      </c>
      <c r="D474" s="91">
        <f>IF(Verso!$B$24="",0,IF(Verso!$B$24=$A474,1,0))</f>
        <v>0</v>
      </c>
      <c r="E474" s="91">
        <f>IF(Verso!$B$25="",0,IF(Verso!$B$25=$A474,1,0))</f>
        <v>0</v>
      </c>
      <c r="F474" s="91">
        <f>IF(Verso!$B$26="",0,IF(Verso!$B$26=$A474,1,0))</f>
        <v>0</v>
      </c>
      <c r="G474" s="295">
        <f t="shared" si="12"/>
        <v>0</v>
      </c>
    </row>
    <row r="475" spans="1:7" x14ac:dyDescent="0.25">
      <c r="A475" s="531" t="s">
        <v>7547</v>
      </c>
      <c r="B475" s="91">
        <f>IF(Verso!$B$22="",0,IF(Verso!$B$22=$A475,1,0))</f>
        <v>0</v>
      </c>
      <c r="C475" s="91">
        <f>IF(Verso!$B$23="",0,IF(Verso!$B$23=$A475,1,0))</f>
        <v>0</v>
      </c>
      <c r="D475" s="91">
        <f>IF(Verso!$B$24="",0,IF(Verso!$B$24=$A475,1,0))</f>
        <v>0</v>
      </c>
      <c r="E475" s="91">
        <f>IF(Verso!$B$25="",0,IF(Verso!$B$25=$A475,1,0))</f>
        <v>0</v>
      </c>
      <c r="F475" s="91">
        <f>IF(Verso!$B$26="",0,IF(Verso!$B$26=$A475,1,0))</f>
        <v>0</v>
      </c>
      <c r="G475" s="295">
        <f t="shared" si="12"/>
        <v>0</v>
      </c>
    </row>
    <row r="476" spans="1:7" s="196" customFormat="1" x14ac:dyDescent="0.25">
      <c r="A476" s="531" t="s">
        <v>9087</v>
      </c>
      <c r="B476" s="91">
        <f>IF(Verso!$B$22="",0,IF(Verso!$B$22=$A476,1,0))</f>
        <v>0</v>
      </c>
      <c r="C476" s="91">
        <f>IF(Verso!$B$23="",0,IF(Verso!$B$23=$A476,1,0))</f>
        <v>0</v>
      </c>
      <c r="D476" s="91">
        <f>IF(Verso!$B$24="",0,IF(Verso!$B$24=$A476,1,0))</f>
        <v>0</v>
      </c>
      <c r="E476" s="91">
        <f>IF(Verso!$B$25="",0,IF(Verso!$B$25=$A476,1,0))</f>
        <v>0</v>
      </c>
      <c r="F476" s="91">
        <f>IF(Verso!$B$26="",0,IF(Verso!$B$26=$A476,1,0))</f>
        <v>0</v>
      </c>
      <c r="G476" s="295">
        <f t="shared" ref="G476" si="15">SUM(B476:F476)</f>
        <v>0</v>
      </c>
    </row>
    <row r="477" spans="1:7" x14ac:dyDescent="0.25">
      <c r="A477" s="531" t="s">
        <v>7543</v>
      </c>
      <c r="B477" s="91">
        <f>IF(Verso!$B$22="",0,IF(Verso!$B$22=$A477,1,0))</f>
        <v>0</v>
      </c>
      <c r="C477" s="91">
        <f>IF(Verso!$B$23="",0,IF(Verso!$B$23=$A477,1,0))</f>
        <v>0</v>
      </c>
      <c r="D477" s="91">
        <f>IF(Verso!$B$24="",0,IF(Verso!$B$24=$A477,1,0))</f>
        <v>0</v>
      </c>
      <c r="E477" s="91">
        <f>IF(Verso!$B$25="",0,IF(Verso!$B$25=$A477,1,0))</f>
        <v>0</v>
      </c>
      <c r="F477" s="91">
        <f>IF(Verso!$B$26="",0,IF(Verso!$B$26=$A477,1,0))</f>
        <v>0</v>
      </c>
      <c r="G477" s="295">
        <f t="shared" si="12"/>
        <v>0</v>
      </c>
    </row>
    <row r="478" spans="1:7" x14ac:dyDescent="0.25">
      <c r="A478" s="531" t="s">
        <v>653</v>
      </c>
      <c r="B478" s="91">
        <f>IF(Verso!$B$22="",0,IF(Verso!$B$22=$A478,1,0))</f>
        <v>0</v>
      </c>
      <c r="C478" s="91">
        <f>IF(Verso!$B$23="",0,IF(Verso!$B$23=$A478,1,0))</f>
        <v>0</v>
      </c>
      <c r="D478" s="91">
        <f>IF(Verso!$B$24="",0,IF(Verso!$B$24=$A478,1,0))</f>
        <v>0</v>
      </c>
      <c r="E478" s="91">
        <f>IF(Verso!$B$25="",0,IF(Verso!$B$25=$A478,1,0))</f>
        <v>0</v>
      </c>
      <c r="F478" s="91">
        <f>IF(Verso!$B$26="",0,IF(Verso!$B$26=$A478,1,0))</f>
        <v>0</v>
      </c>
      <c r="G478" s="295">
        <f t="shared" si="12"/>
        <v>0</v>
      </c>
    </row>
    <row r="479" spans="1:7" x14ac:dyDescent="0.25">
      <c r="A479" s="531" t="s">
        <v>7451</v>
      </c>
      <c r="B479" s="91">
        <f>IF(Verso!$B$22="",0,IF(Verso!$B$22=$A479,1,0))</f>
        <v>0</v>
      </c>
      <c r="C479" s="91">
        <f>IF(Verso!$B$23="",0,IF(Verso!$B$23=$A479,1,0))</f>
        <v>0</v>
      </c>
      <c r="D479" s="91">
        <f>IF(Verso!$B$24="",0,IF(Verso!$B$24=$A479,1,0))</f>
        <v>0</v>
      </c>
      <c r="E479" s="91">
        <f>IF(Verso!$B$25="",0,IF(Verso!$B$25=$A479,1,0))</f>
        <v>0</v>
      </c>
      <c r="F479" s="91">
        <f>IF(Verso!$B$26="",0,IF(Verso!$B$26=$A479,1,0))</f>
        <v>0</v>
      </c>
      <c r="G479" s="295">
        <f t="shared" si="12"/>
        <v>0</v>
      </c>
    </row>
    <row r="480" spans="1:7" x14ac:dyDescent="0.25">
      <c r="A480" s="531" t="s">
        <v>7452</v>
      </c>
      <c r="B480" s="91">
        <f>IF(Verso!$B$22="",0,IF(Verso!$B$22=$A480,1,0))</f>
        <v>0</v>
      </c>
      <c r="C480" s="91">
        <f>IF(Verso!$B$23="",0,IF(Verso!$B$23=$A480,1,0))</f>
        <v>0</v>
      </c>
      <c r="D480" s="91">
        <f>IF(Verso!$B$24="",0,IF(Verso!$B$24=$A480,1,0))</f>
        <v>0</v>
      </c>
      <c r="E480" s="91">
        <f>IF(Verso!$B$25="",0,IF(Verso!$B$25=$A480,1,0))</f>
        <v>0</v>
      </c>
      <c r="F480" s="91">
        <f>IF(Verso!$B$26="",0,IF(Verso!$B$26=$A480,1,0))</f>
        <v>0</v>
      </c>
      <c r="G480" s="295">
        <f t="shared" si="12"/>
        <v>0</v>
      </c>
    </row>
    <row r="481" spans="1:7" x14ac:dyDescent="0.25">
      <c r="A481" s="531" t="s">
        <v>705</v>
      </c>
      <c r="B481" s="91">
        <f>IF(Verso!$B$22="",0,IF(Verso!$B$22=$A481,1,0))</f>
        <v>0</v>
      </c>
      <c r="C481" s="91">
        <f>IF(Verso!$B$23="",0,IF(Verso!$B$23=$A481,1,0))</f>
        <v>0</v>
      </c>
      <c r="D481" s="91">
        <f>IF(Verso!$B$24="",0,IF(Verso!$B$24=$A481,1,0))</f>
        <v>0</v>
      </c>
      <c r="E481" s="91">
        <f>IF(Verso!$B$25="",0,IF(Verso!$B$25=$A481,1,0))</f>
        <v>0</v>
      </c>
      <c r="F481" s="91">
        <f>IF(Verso!$B$26="",0,IF(Verso!$B$26=$A481,1,0))</f>
        <v>0</v>
      </c>
      <c r="G481" s="295">
        <f t="shared" si="12"/>
        <v>0</v>
      </c>
    </row>
    <row r="482" spans="1:7" x14ac:dyDescent="0.25">
      <c r="A482" s="531" t="s">
        <v>706</v>
      </c>
      <c r="B482" s="91">
        <f>IF(Verso!$B$22="",0,IF(Verso!$B$22=$A482,1,0))</f>
        <v>0</v>
      </c>
      <c r="C482" s="91">
        <f>IF(Verso!$B$23="",0,IF(Verso!$B$23=$A482,1,0))</f>
        <v>0</v>
      </c>
      <c r="D482" s="91">
        <f>IF(Verso!$B$24="",0,IF(Verso!$B$24=$A482,1,0))</f>
        <v>0</v>
      </c>
      <c r="E482" s="91">
        <f>IF(Verso!$B$25="",0,IF(Verso!$B$25=$A482,1,0))</f>
        <v>0</v>
      </c>
      <c r="F482" s="91">
        <f>IF(Verso!$B$26="",0,IF(Verso!$B$26=$A482,1,0))</f>
        <v>0</v>
      </c>
      <c r="G482" s="295">
        <f t="shared" si="12"/>
        <v>0</v>
      </c>
    </row>
    <row r="483" spans="1:7" x14ac:dyDescent="0.25">
      <c r="A483" s="531" t="s">
        <v>707</v>
      </c>
      <c r="B483" s="91">
        <f>IF(Verso!$B$22="",0,IF(Verso!$B$22=$A483,1,0))</f>
        <v>0</v>
      </c>
      <c r="C483" s="91">
        <f>IF(Verso!$B$23="",0,IF(Verso!$B$23=$A483,1,0))</f>
        <v>0</v>
      </c>
      <c r="D483" s="91">
        <f>IF(Verso!$B$24="",0,IF(Verso!$B$24=$A483,1,0))</f>
        <v>0</v>
      </c>
      <c r="E483" s="91">
        <f>IF(Verso!$B$25="",0,IF(Verso!$B$25=$A483,1,0))</f>
        <v>0</v>
      </c>
      <c r="F483" s="91">
        <f>IF(Verso!$B$26="",0,IF(Verso!$B$26=$A483,1,0))</f>
        <v>0</v>
      </c>
      <c r="G483" s="295">
        <f t="shared" si="12"/>
        <v>0</v>
      </c>
    </row>
    <row r="484" spans="1:7" x14ac:dyDescent="0.25">
      <c r="A484" s="531" t="s">
        <v>708</v>
      </c>
      <c r="B484" s="91">
        <f>IF(Verso!$B$22="",0,IF(Verso!$B$22=$A484,1,0))</f>
        <v>0</v>
      </c>
      <c r="C484" s="91">
        <f>IF(Verso!$B$23="",0,IF(Verso!$B$23=$A484,1,0))</f>
        <v>0</v>
      </c>
      <c r="D484" s="91">
        <f>IF(Verso!$B$24="",0,IF(Verso!$B$24=$A484,1,0))</f>
        <v>0</v>
      </c>
      <c r="E484" s="91">
        <f>IF(Verso!$B$25="",0,IF(Verso!$B$25=$A484,1,0))</f>
        <v>0</v>
      </c>
      <c r="F484" s="91">
        <f>IF(Verso!$B$26="",0,IF(Verso!$B$26=$A484,1,0))</f>
        <v>0</v>
      </c>
      <c r="G484" s="295">
        <f t="shared" si="12"/>
        <v>0</v>
      </c>
    </row>
    <row r="485" spans="1:7" x14ac:dyDescent="0.25">
      <c r="A485" s="531" t="s">
        <v>709</v>
      </c>
      <c r="B485" s="91">
        <f>IF(Verso!$B$22="",0,IF(Verso!$B$22=$A485,1,0))</f>
        <v>0</v>
      </c>
      <c r="C485" s="91">
        <f>IF(Verso!$B$23="",0,IF(Verso!$B$23=$A485,1,0))</f>
        <v>0</v>
      </c>
      <c r="D485" s="91">
        <f>IF(Verso!$B$24="",0,IF(Verso!$B$24=$A485,1,0))</f>
        <v>0</v>
      </c>
      <c r="E485" s="91">
        <f>IF(Verso!$B$25="",0,IF(Verso!$B$25=$A485,1,0))</f>
        <v>0</v>
      </c>
      <c r="F485" s="91">
        <f>IF(Verso!$B$26="",0,IF(Verso!$B$26=$A485,1,0))</f>
        <v>0</v>
      </c>
      <c r="G485" s="295">
        <f t="shared" si="12"/>
        <v>0</v>
      </c>
    </row>
    <row r="486" spans="1:7" x14ac:dyDescent="0.25">
      <c r="A486" s="531" t="s">
        <v>710</v>
      </c>
      <c r="B486" s="91">
        <f>IF(Verso!$B$22="",0,IF(Verso!$B$22=$A486,1,0))</f>
        <v>0</v>
      </c>
      <c r="C486" s="91">
        <f>IF(Verso!$B$23="",0,IF(Verso!$B$23=$A486,1,0))</f>
        <v>0</v>
      </c>
      <c r="D486" s="91">
        <f>IF(Verso!$B$24="",0,IF(Verso!$B$24=$A486,1,0))</f>
        <v>0</v>
      </c>
      <c r="E486" s="91">
        <f>IF(Verso!$B$25="",0,IF(Verso!$B$25=$A486,1,0))</f>
        <v>0</v>
      </c>
      <c r="F486" s="91">
        <f>IF(Verso!$B$26="",0,IF(Verso!$B$26=$A486,1,0))</f>
        <v>0</v>
      </c>
      <c r="G486" s="295">
        <f t="shared" si="12"/>
        <v>0</v>
      </c>
    </row>
    <row r="487" spans="1:7" x14ac:dyDescent="0.25">
      <c r="A487" s="531" t="s">
        <v>711</v>
      </c>
      <c r="B487" s="91">
        <f>IF(Verso!$B$22="",0,IF(Verso!$B$22=$A487,1,0))</f>
        <v>0</v>
      </c>
      <c r="C487" s="91">
        <f>IF(Verso!$B$23="",0,IF(Verso!$B$23=$A487,1,0))</f>
        <v>0</v>
      </c>
      <c r="D487" s="91">
        <f>IF(Verso!$B$24="",0,IF(Verso!$B$24=$A487,1,0))</f>
        <v>0</v>
      </c>
      <c r="E487" s="91">
        <f>IF(Verso!$B$25="",0,IF(Verso!$B$25=$A487,1,0))</f>
        <v>0</v>
      </c>
      <c r="F487" s="91">
        <f>IF(Verso!$B$26="",0,IF(Verso!$B$26=$A487,1,0))</f>
        <v>0</v>
      </c>
      <c r="G487" s="295">
        <f t="shared" si="12"/>
        <v>0</v>
      </c>
    </row>
    <row r="488" spans="1:7" x14ac:dyDescent="0.25">
      <c r="A488" s="531" t="s">
        <v>654</v>
      </c>
      <c r="B488" s="91">
        <f>IF(Verso!$B$22="",0,IF(Verso!$B$22=$A488,1,0))</f>
        <v>0</v>
      </c>
      <c r="C488" s="91">
        <f>IF(Verso!$B$23="",0,IF(Verso!$B$23=$A488,1,0))</f>
        <v>0</v>
      </c>
      <c r="D488" s="91">
        <f>IF(Verso!$B$24="",0,IF(Verso!$B$24=$A488,1,0))</f>
        <v>0</v>
      </c>
      <c r="E488" s="91">
        <f>IF(Verso!$B$25="",0,IF(Verso!$B$25=$A488,1,0))</f>
        <v>0</v>
      </c>
      <c r="F488" s="91">
        <f>IF(Verso!$B$26="",0,IF(Verso!$B$26=$A488,1,0))</f>
        <v>0</v>
      </c>
      <c r="G488" s="295">
        <f t="shared" si="12"/>
        <v>0</v>
      </c>
    </row>
    <row r="489" spans="1:7" x14ac:dyDescent="0.25">
      <c r="A489" s="531" t="s">
        <v>7205</v>
      </c>
      <c r="B489" s="91">
        <f>IF(Verso!$B$22="",0,IF(Verso!$B$22=$A489,1,0))</f>
        <v>0</v>
      </c>
      <c r="C489" s="91">
        <f>IF(Verso!$B$23="",0,IF(Verso!$B$23=$A489,1,0))</f>
        <v>0</v>
      </c>
      <c r="D489" s="91">
        <f>IF(Verso!$B$24="",0,IF(Verso!$B$24=$A489,1,0))</f>
        <v>0</v>
      </c>
      <c r="E489" s="91">
        <f>IF(Verso!$B$25="",0,IF(Verso!$B$25=$A489,1,0))</f>
        <v>0</v>
      </c>
      <c r="F489" s="91">
        <f>IF(Verso!$B$26="",0,IF(Verso!$B$26=$A489,1,0))</f>
        <v>0</v>
      </c>
      <c r="G489" s="295">
        <f t="shared" si="12"/>
        <v>0</v>
      </c>
    </row>
    <row r="490" spans="1:7" x14ac:dyDescent="0.25">
      <c r="A490" s="531" t="s">
        <v>655</v>
      </c>
      <c r="B490" s="91">
        <f>IF(Verso!$B$22="",0,IF(Verso!$B$22=$A490,1,0))</f>
        <v>0</v>
      </c>
      <c r="C490" s="91">
        <f>IF(Verso!$B$23="",0,IF(Verso!$B$23=$A490,1,0))</f>
        <v>0</v>
      </c>
      <c r="D490" s="91">
        <f>IF(Verso!$B$24="",0,IF(Verso!$B$24=$A490,1,0))</f>
        <v>0</v>
      </c>
      <c r="E490" s="91">
        <f>IF(Verso!$B$25="",0,IF(Verso!$B$25=$A490,1,0))</f>
        <v>0</v>
      </c>
      <c r="F490" s="91">
        <f>IF(Verso!$B$26="",0,IF(Verso!$B$26=$A490,1,0))</f>
        <v>0</v>
      </c>
      <c r="G490" s="295">
        <f t="shared" si="12"/>
        <v>0</v>
      </c>
    </row>
    <row r="491" spans="1:7" x14ac:dyDescent="0.25">
      <c r="A491" s="531" t="s">
        <v>719</v>
      </c>
      <c r="B491" s="91">
        <f>IF(Verso!$B$22="",0,IF(Verso!$B$22=$A491,1,0))</f>
        <v>0</v>
      </c>
      <c r="C491" s="91">
        <f>IF(Verso!$B$23="",0,IF(Verso!$B$23=$A491,1,0))</f>
        <v>0</v>
      </c>
      <c r="D491" s="91">
        <f>IF(Verso!$B$24="",0,IF(Verso!$B$24=$A491,1,0))</f>
        <v>0</v>
      </c>
      <c r="E491" s="91">
        <f>IF(Verso!$B$25="",0,IF(Verso!$B$25=$A491,1,0))</f>
        <v>0</v>
      </c>
      <c r="F491" s="91">
        <f>IF(Verso!$B$26="",0,IF(Verso!$B$26=$A491,1,0))</f>
        <v>0</v>
      </c>
      <c r="G491" s="295">
        <f t="shared" si="12"/>
        <v>0</v>
      </c>
    </row>
    <row r="492" spans="1:7" x14ac:dyDescent="0.25">
      <c r="A492" s="531" t="s">
        <v>721</v>
      </c>
      <c r="B492" s="91">
        <f>IF(Verso!$B$22="",0,IF(Verso!$B$22=$A492,1,0))</f>
        <v>0</v>
      </c>
      <c r="C492" s="91">
        <f>IF(Verso!$B$23="",0,IF(Verso!$B$23=$A492,1,0))</f>
        <v>0</v>
      </c>
      <c r="D492" s="91">
        <f>IF(Verso!$B$24="",0,IF(Verso!$B$24=$A492,1,0))</f>
        <v>0</v>
      </c>
      <c r="E492" s="91">
        <f>IF(Verso!$B$25="",0,IF(Verso!$B$25=$A492,1,0))</f>
        <v>0</v>
      </c>
      <c r="F492" s="91">
        <f>IF(Verso!$B$26="",0,IF(Verso!$B$26=$A492,1,0))</f>
        <v>0</v>
      </c>
      <c r="G492" s="295">
        <f t="shared" si="12"/>
        <v>0</v>
      </c>
    </row>
    <row r="493" spans="1:7" x14ac:dyDescent="0.25">
      <c r="A493" s="531" t="s">
        <v>723</v>
      </c>
      <c r="B493" s="91">
        <f>IF(Verso!$B$22="",0,IF(Verso!$B$22=$A493,1,0))</f>
        <v>0</v>
      </c>
      <c r="C493" s="91">
        <f>IF(Verso!$B$23="",0,IF(Verso!$B$23=$A493,1,0))</f>
        <v>0</v>
      </c>
      <c r="D493" s="91">
        <f>IF(Verso!$B$24="",0,IF(Verso!$B$24=$A493,1,0))</f>
        <v>0</v>
      </c>
      <c r="E493" s="91">
        <f>IF(Verso!$B$25="",0,IF(Verso!$B$25=$A493,1,0))</f>
        <v>0</v>
      </c>
      <c r="F493" s="91">
        <f>IF(Verso!$B$26="",0,IF(Verso!$B$26=$A493,1,0))</f>
        <v>0</v>
      </c>
      <c r="G493" s="295">
        <f t="shared" si="12"/>
        <v>0</v>
      </c>
    </row>
    <row r="494" spans="1:7" x14ac:dyDescent="0.25">
      <c r="A494" s="531" t="s">
        <v>725</v>
      </c>
      <c r="B494" s="91">
        <f>IF(Verso!$B$22="",0,IF(Verso!$B$22=$A494,1,0))</f>
        <v>0</v>
      </c>
      <c r="C494" s="91">
        <f>IF(Verso!$B$23="",0,IF(Verso!$B$23=$A494,1,0))</f>
        <v>0</v>
      </c>
      <c r="D494" s="91">
        <f>IF(Verso!$B$24="",0,IF(Verso!$B$24=$A494,1,0))</f>
        <v>0</v>
      </c>
      <c r="E494" s="91">
        <f>IF(Verso!$B$25="",0,IF(Verso!$B$25=$A494,1,0))</f>
        <v>0</v>
      </c>
      <c r="F494" s="91">
        <f>IF(Verso!$B$26="",0,IF(Verso!$B$26=$A494,1,0))</f>
        <v>0</v>
      </c>
      <c r="G494" s="295">
        <f t="shared" si="12"/>
        <v>0</v>
      </c>
    </row>
    <row r="495" spans="1:7" x14ac:dyDescent="0.25">
      <c r="A495" s="531" t="s">
        <v>727</v>
      </c>
      <c r="B495" s="91">
        <f>IF(Verso!$B$22="",0,IF(Verso!$B$22=$A495,1,0))</f>
        <v>0</v>
      </c>
      <c r="C495" s="91">
        <f>IF(Verso!$B$23="",0,IF(Verso!$B$23=$A495,1,0))</f>
        <v>0</v>
      </c>
      <c r="D495" s="91">
        <f>IF(Verso!$B$24="",0,IF(Verso!$B$24=$A495,1,0))</f>
        <v>0</v>
      </c>
      <c r="E495" s="91">
        <f>IF(Verso!$B$25="",0,IF(Verso!$B$25=$A495,1,0))</f>
        <v>0</v>
      </c>
      <c r="F495" s="91">
        <f>IF(Verso!$B$26="",0,IF(Verso!$B$26=$A495,1,0))</f>
        <v>0</v>
      </c>
      <c r="G495" s="295">
        <f t="shared" ref="G495:G561" si="16">SUM(B495:F495)</f>
        <v>0</v>
      </c>
    </row>
    <row r="496" spans="1:7" x14ac:dyDescent="0.25">
      <c r="A496" s="531" t="s">
        <v>729</v>
      </c>
      <c r="B496" s="91">
        <f>IF(Verso!$B$22="",0,IF(Verso!$B$22=$A496,1,0))</f>
        <v>0</v>
      </c>
      <c r="C496" s="91">
        <f>IF(Verso!$B$23="",0,IF(Verso!$B$23=$A496,1,0))</f>
        <v>0</v>
      </c>
      <c r="D496" s="91">
        <f>IF(Verso!$B$24="",0,IF(Verso!$B$24=$A496,1,0))</f>
        <v>0</v>
      </c>
      <c r="E496" s="91">
        <f>IF(Verso!$B$25="",0,IF(Verso!$B$25=$A496,1,0))</f>
        <v>0</v>
      </c>
      <c r="F496" s="91">
        <f>IF(Verso!$B$26="",0,IF(Verso!$B$26=$A496,1,0))</f>
        <v>0</v>
      </c>
      <c r="G496" s="295">
        <f t="shared" si="16"/>
        <v>0</v>
      </c>
    </row>
    <row r="497" spans="1:8" x14ac:dyDescent="0.25">
      <c r="A497" s="531" t="s">
        <v>731</v>
      </c>
      <c r="B497" s="91">
        <f>IF(Verso!$B$22="",0,IF(Verso!$B$22=$A497,1,0))</f>
        <v>0</v>
      </c>
      <c r="C497" s="91">
        <f>IF(Verso!$B$23="",0,IF(Verso!$B$23=$A497,1,0))</f>
        <v>0</v>
      </c>
      <c r="D497" s="91">
        <f>IF(Verso!$B$24="",0,IF(Verso!$B$24=$A497,1,0))</f>
        <v>0</v>
      </c>
      <c r="E497" s="91">
        <f>IF(Verso!$B$25="",0,IF(Verso!$B$25=$A497,1,0))</f>
        <v>0</v>
      </c>
      <c r="F497" s="91">
        <f>IF(Verso!$B$26="",0,IF(Verso!$B$26=$A497,1,0))</f>
        <v>0</v>
      </c>
      <c r="G497" s="295">
        <f t="shared" si="16"/>
        <v>0</v>
      </c>
    </row>
    <row r="498" spans="1:8" x14ac:dyDescent="0.25">
      <c r="A498" s="531" t="s">
        <v>733</v>
      </c>
      <c r="B498" s="91">
        <f>IF(Verso!$B$22="",0,IF(Verso!$B$22=$A498,1,0))</f>
        <v>0</v>
      </c>
      <c r="C498" s="91">
        <f>IF(Verso!$B$23="",0,IF(Verso!$B$23=$A498,1,0))</f>
        <v>0</v>
      </c>
      <c r="D498" s="91">
        <f>IF(Verso!$B$24="",0,IF(Verso!$B$24=$A498,1,0))</f>
        <v>0</v>
      </c>
      <c r="E498" s="91">
        <f>IF(Verso!$B$25="",0,IF(Verso!$B$25=$A498,1,0))</f>
        <v>0</v>
      </c>
      <c r="F498" s="91">
        <f>IF(Verso!$B$26="",0,IF(Verso!$B$26=$A498,1,0))</f>
        <v>0</v>
      </c>
      <c r="G498" s="295">
        <f t="shared" si="16"/>
        <v>0</v>
      </c>
    </row>
    <row r="499" spans="1:8" x14ac:dyDescent="0.25">
      <c r="A499" s="531" t="s">
        <v>7758</v>
      </c>
      <c r="B499" s="91">
        <f>IF(Verso!$B$22="",0,IF(Verso!$B$22=$A499,1,0))</f>
        <v>0</v>
      </c>
      <c r="C499" s="91">
        <f>IF(Verso!$B$23="",0,IF(Verso!$B$23=$A499,1,0))</f>
        <v>0</v>
      </c>
      <c r="D499" s="91">
        <f>IF(Verso!$B$24="",0,IF(Verso!$B$24=$A499,1,0))</f>
        <v>0</v>
      </c>
      <c r="E499" s="91">
        <f>IF(Verso!$B$25="",0,IF(Verso!$B$25=$A499,1,0))</f>
        <v>0</v>
      </c>
      <c r="F499" s="91">
        <f>IF(Verso!$B$26="",0,IF(Verso!$B$26=$A499,1,0))</f>
        <v>0</v>
      </c>
      <c r="G499" s="295">
        <f t="shared" si="16"/>
        <v>0</v>
      </c>
    </row>
    <row r="500" spans="1:8" x14ac:dyDescent="0.25">
      <c r="A500" s="531" t="s">
        <v>735</v>
      </c>
      <c r="B500" s="91">
        <f>IF(Verso!$B$22="",0,IF(Verso!$B$22=$A500,1,0))</f>
        <v>0</v>
      </c>
      <c r="C500" s="91">
        <f>IF(Verso!$B$23="",0,IF(Verso!$B$23=$A500,1,0))</f>
        <v>0</v>
      </c>
      <c r="D500" s="91">
        <f>IF(Verso!$B$24="",0,IF(Verso!$B$24=$A500,1,0))</f>
        <v>0</v>
      </c>
      <c r="E500" s="91">
        <f>IF(Verso!$B$25="",0,IF(Verso!$B$25=$A500,1,0))</f>
        <v>0</v>
      </c>
      <c r="F500" s="91">
        <f>IF(Verso!$B$26="",0,IF(Verso!$B$26=$A500,1,0))</f>
        <v>0</v>
      </c>
      <c r="G500" s="295">
        <f t="shared" si="16"/>
        <v>0</v>
      </c>
    </row>
    <row r="501" spans="1:8" x14ac:dyDescent="0.25">
      <c r="A501" s="531" t="s">
        <v>737</v>
      </c>
      <c r="B501" s="91">
        <f>IF(Verso!$B$22="",0,IF(Verso!$B$22=$A501,1,0))</f>
        <v>0</v>
      </c>
      <c r="C501" s="91">
        <f>IF(Verso!$B$23="",0,IF(Verso!$B$23=$A501,1,0))</f>
        <v>0</v>
      </c>
      <c r="D501" s="91">
        <f>IF(Verso!$B$24="",0,IF(Verso!$B$24=$A501,1,0))</f>
        <v>0</v>
      </c>
      <c r="E501" s="91">
        <f>IF(Verso!$B$25="",0,IF(Verso!$B$25=$A501,1,0))</f>
        <v>0</v>
      </c>
      <c r="F501" s="91">
        <f>IF(Verso!$B$26="",0,IF(Verso!$B$26=$A501,1,0))</f>
        <v>0</v>
      </c>
      <c r="G501" s="295">
        <f t="shared" si="16"/>
        <v>0</v>
      </c>
    </row>
    <row r="502" spans="1:8" x14ac:dyDescent="0.25">
      <c r="A502" s="531" t="s">
        <v>4962</v>
      </c>
      <c r="B502" s="91">
        <f>IF(Verso!$B$22="",0,IF(Verso!$B$22=$A502,1,0))</f>
        <v>0</v>
      </c>
      <c r="C502" s="91">
        <f>IF(Verso!$B$23="",0,IF(Verso!$B$23=$A502,1,0))</f>
        <v>0</v>
      </c>
      <c r="D502" s="91">
        <f>IF(Verso!$B$24="",0,IF(Verso!$B$24=$A502,1,0))</f>
        <v>0</v>
      </c>
      <c r="E502" s="91">
        <f>IF(Verso!$B$25="",0,IF(Verso!$B$25=$A502,1,0))</f>
        <v>0</v>
      </c>
      <c r="F502" s="91">
        <f>IF(Verso!$B$26="",0,IF(Verso!$B$26=$A502,1,0))</f>
        <v>0</v>
      </c>
      <c r="G502" s="295">
        <f t="shared" si="16"/>
        <v>0</v>
      </c>
    </row>
    <row r="503" spans="1:8" x14ac:dyDescent="0.25">
      <c r="A503" s="531" t="s">
        <v>1079</v>
      </c>
      <c r="B503" s="91">
        <f>IF(Verso!$B$22="",0,IF(Verso!$B$22=$A503,1,0))</f>
        <v>0</v>
      </c>
      <c r="C503" s="91">
        <f>IF(Verso!$B$23="",0,IF(Verso!$B$23=$A503,1,0))</f>
        <v>0</v>
      </c>
      <c r="D503" s="91">
        <f>IF(Verso!$B$24="",0,IF(Verso!$B$24=$A503,1,0))</f>
        <v>0</v>
      </c>
      <c r="E503" s="91">
        <f>IF(Verso!$B$25="",0,IF(Verso!$B$25=$A503,1,0))</f>
        <v>0</v>
      </c>
      <c r="F503" s="91">
        <f>IF(Verso!$B$26="",0,IF(Verso!$B$26=$A503,1,0))</f>
        <v>0</v>
      </c>
      <c r="G503" s="295">
        <f t="shared" si="16"/>
        <v>0</v>
      </c>
    </row>
    <row r="504" spans="1:8" x14ac:dyDescent="0.25">
      <c r="A504" s="531" t="s">
        <v>1077</v>
      </c>
      <c r="B504" s="91">
        <f>IF(Verso!$B$22="",0,IF(Verso!$B$22=$A504,1,0))</f>
        <v>0</v>
      </c>
      <c r="C504" s="91">
        <f>IF(Verso!$B$23="",0,IF(Verso!$B$23=$A504,1,0))</f>
        <v>0</v>
      </c>
      <c r="D504" s="91">
        <f>IF(Verso!$B$24="",0,IF(Verso!$B$24=$A504,1,0))</f>
        <v>0</v>
      </c>
      <c r="E504" s="91">
        <f>IF(Verso!$B$25="",0,IF(Verso!$B$25=$A504,1,0))</f>
        <v>0</v>
      </c>
      <c r="F504" s="91">
        <f>IF(Verso!$B$26="",0,IF(Verso!$B$26=$A504,1,0))</f>
        <v>0</v>
      </c>
      <c r="G504" s="295">
        <f t="shared" si="16"/>
        <v>0</v>
      </c>
    </row>
    <row r="505" spans="1:8" x14ac:dyDescent="0.25">
      <c r="A505" s="531" t="s">
        <v>1078</v>
      </c>
      <c r="B505" s="91">
        <f>IF(Verso!$B$22="",0,IF(Verso!$B$22=$A505,1,0))</f>
        <v>0</v>
      </c>
      <c r="C505" s="91">
        <f>IF(Verso!$B$23="",0,IF(Verso!$B$23=$A505,1,0))</f>
        <v>0</v>
      </c>
      <c r="D505" s="91">
        <f>IF(Verso!$B$24="",0,IF(Verso!$B$24=$A505,1,0))</f>
        <v>0</v>
      </c>
      <c r="E505" s="91">
        <f>IF(Verso!$B$25="",0,IF(Verso!$B$25=$A505,1,0))</f>
        <v>0</v>
      </c>
      <c r="F505" s="91">
        <f>IF(Verso!$B$26="",0,IF(Verso!$B$26=$A505,1,0))</f>
        <v>0</v>
      </c>
      <c r="G505" s="295">
        <f t="shared" si="16"/>
        <v>0</v>
      </c>
      <c r="H505" s="10" t="s">
        <v>6476</v>
      </c>
    </row>
    <row r="506" spans="1:8" x14ac:dyDescent="0.25">
      <c r="A506" s="531" t="s">
        <v>4030</v>
      </c>
      <c r="B506" s="91">
        <f>IF(Verso!$B$22="",0,IF(Verso!$B$22=$A506,1,0))</f>
        <v>0</v>
      </c>
      <c r="C506" s="91">
        <f>IF(Verso!$B$23="",0,IF(Verso!$B$23=$A506,1,0))</f>
        <v>0</v>
      </c>
      <c r="D506" s="91">
        <f>IF(Verso!$B$24="",0,IF(Verso!$B$24=$A506,1,0))</f>
        <v>0</v>
      </c>
      <c r="E506" s="91">
        <f>IF(Verso!$B$25="",0,IF(Verso!$B$25=$A506,1,0))</f>
        <v>0</v>
      </c>
      <c r="F506" s="91">
        <f>IF(Verso!$B$26="",0,IF(Verso!$B$26=$A506,1,0))</f>
        <v>0</v>
      </c>
      <c r="G506" s="295">
        <f t="shared" si="16"/>
        <v>0</v>
      </c>
      <c r="H506">
        <f>SUM(G506:G515)</f>
        <v>0</v>
      </c>
    </row>
    <row r="507" spans="1:8" x14ac:dyDescent="0.25">
      <c r="A507" s="531" t="s">
        <v>4039</v>
      </c>
      <c r="B507" s="91">
        <f>IF(Verso!$B$22="",0,IF(Verso!$B$22=$A507,1,0))</f>
        <v>0</v>
      </c>
      <c r="C507" s="91">
        <f>IF(Verso!$B$23="",0,IF(Verso!$B$23=$A507,1,0))</f>
        <v>0</v>
      </c>
      <c r="D507" s="91">
        <f>IF(Verso!$B$24="",0,IF(Verso!$B$24=$A507,1,0))</f>
        <v>0</v>
      </c>
      <c r="E507" s="91">
        <f>IF(Verso!$B$25="",0,IF(Verso!$B$25=$A507,1,0))</f>
        <v>0</v>
      </c>
      <c r="F507" s="91">
        <f>IF(Verso!$B$26="",0,IF(Verso!$B$26=$A507,1,0))</f>
        <v>0</v>
      </c>
      <c r="G507" s="295">
        <f t="shared" si="16"/>
        <v>0</v>
      </c>
    </row>
    <row r="508" spans="1:8" x14ac:dyDescent="0.25">
      <c r="A508" s="531" t="s">
        <v>4031</v>
      </c>
      <c r="B508" s="91">
        <f>IF(Verso!$B$22="",0,IF(Verso!$B$22=$A508,1,0))</f>
        <v>0</v>
      </c>
      <c r="C508" s="91">
        <f>IF(Verso!$B$23="",0,IF(Verso!$B$23=$A508,1,0))</f>
        <v>0</v>
      </c>
      <c r="D508" s="91">
        <f>IF(Verso!$B$24="",0,IF(Verso!$B$24=$A508,1,0))</f>
        <v>0</v>
      </c>
      <c r="E508" s="91">
        <f>IF(Verso!$B$25="",0,IF(Verso!$B$25=$A508,1,0))</f>
        <v>0</v>
      </c>
      <c r="F508" s="91">
        <f>IF(Verso!$B$26="",0,IF(Verso!$B$26=$A508,1,0))</f>
        <v>0</v>
      </c>
      <c r="G508" s="295">
        <f t="shared" si="16"/>
        <v>0</v>
      </c>
    </row>
    <row r="509" spans="1:8" x14ac:dyDescent="0.25">
      <c r="A509" s="531" t="s">
        <v>4032</v>
      </c>
      <c r="B509" s="91">
        <f>IF(Verso!$B$22="",0,IF(Verso!$B$22=$A509,1,0))</f>
        <v>0</v>
      </c>
      <c r="C509" s="91">
        <f>IF(Verso!$B$23="",0,IF(Verso!$B$23=$A509,1,0))</f>
        <v>0</v>
      </c>
      <c r="D509" s="91">
        <f>IF(Verso!$B$24="",0,IF(Verso!$B$24=$A509,1,0))</f>
        <v>0</v>
      </c>
      <c r="E509" s="91">
        <f>IF(Verso!$B$25="",0,IF(Verso!$B$25=$A509,1,0))</f>
        <v>0</v>
      </c>
      <c r="F509" s="91">
        <f>IF(Verso!$B$26="",0,IF(Verso!$B$26=$A509,1,0))</f>
        <v>0</v>
      </c>
      <c r="G509" s="295">
        <f t="shared" si="16"/>
        <v>0</v>
      </c>
    </row>
    <row r="510" spans="1:8" x14ac:dyDescent="0.25">
      <c r="A510" s="531" t="s">
        <v>4033</v>
      </c>
      <c r="B510" s="91">
        <f>IF(Verso!$B$22="",0,IF(Verso!$B$22=$A510,1,0))</f>
        <v>0</v>
      </c>
      <c r="C510" s="91">
        <f>IF(Verso!$B$23="",0,IF(Verso!$B$23=$A510,1,0))</f>
        <v>0</v>
      </c>
      <c r="D510" s="91">
        <f>IF(Verso!$B$24="",0,IF(Verso!$B$24=$A510,1,0))</f>
        <v>0</v>
      </c>
      <c r="E510" s="91">
        <f>IF(Verso!$B$25="",0,IF(Verso!$B$25=$A510,1,0))</f>
        <v>0</v>
      </c>
      <c r="F510" s="91">
        <f>IF(Verso!$B$26="",0,IF(Verso!$B$26=$A510,1,0))</f>
        <v>0</v>
      </c>
      <c r="G510" s="295">
        <f t="shared" si="16"/>
        <v>0</v>
      </c>
    </row>
    <row r="511" spans="1:8" x14ac:dyDescent="0.25">
      <c r="A511" s="531" t="s">
        <v>4034</v>
      </c>
      <c r="B511" s="91">
        <f>IF(Verso!$B$22="",0,IF(Verso!$B$22=$A511,1,0))</f>
        <v>0</v>
      </c>
      <c r="C511" s="91">
        <f>IF(Verso!$B$23="",0,IF(Verso!$B$23=$A511,1,0))</f>
        <v>0</v>
      </c>
      <c r="D511" s="91">
        <f>IF(Verso!$B$24="",0,IF(Verso!$B$24=$A511,1,0))</f>
        <v>0</v>
      </c>
      <c r="E511" s="91">
        <f>IF(Verso!$B$25="",0,IF(Verso!$B$25=$A511,1,0))</f>
        <v>0</v>
      </c>
      <c r="F511" s="91">
        <f>IF(Verso!$B$26="",0,IF(Verso!$B$26=$A511,1,0))</f>
        <v>0</v>
      </c>
      <c r="G511" s="295">
        <f t="shared" si="16"/>
        <v>0</v>
      </c>
    </row>
    <row r="512" spans="1:8" x14ac:dyDescent="0.25">
      <c r="A512" s="531" t="s">
        <v>4035</v>
      </c>
      <c r="B512" s="91">
        <f>IF(Verso!$B$22="",0,IF(Verso!$B$22=$A512,1,0))</f>
        <v>0</v>
      </c>
      <c r="C512" s="91">
        <f>IF(Verso!$B$23="",0,IF(Verso!$B$23=$A512,1,0))</f>
        <v>0</v>
      </c>
      <c r="D512" s="91">
        <f>IF(Verso!$B$24="",0,IF(Verso!$B$24=$A512,1,0))</f>
        <v>0</v>
      </c>
      <c r="E512" s="91">
        <f>IF(Verso!$B$25="",0,IF(Verso!$B$25=$A512,1,0))</f>
        <v>0</v>
      </c>
      <c r="F512" s="91">
        <f>IF(Verso!$B$26="",0,IF(Verso!$B$26=$A512,1,0))</f>
        <v>0</v>
      </c>
      <c r="G512" s="295">
        <f t="shared" si="16"/>
        <v>0</v>
      </c>
    </row>
    <row r="513" spans="1:7" x14ac:dyDescent="0.25">
      <c r="A513" s="531" t="s">
        <v>4036</v>
      </c>
      <c r="B513" s="91">
        <f>IF(Verso!$B$22="",0,IF(Verso!$B$22=$A513,1,0))</f>
        <v>0</v>
      </c>
      <c r="C513" s="91">
        <f>IF(Verso!$B$23="",0,IF(Verso!$B$23=$A513,1,0))</f>
        <v>0</v>
      </c>
      <c r="D513" s="91">
        <f>IF(Verso!$B$24="",0,IF(Verso!$B$24=$A513,1,0))</f>
        <v>0</v>
      </c>
      <c r="E513" s="91">
        <f>IF(Verso!$B$25="",0,IF(Verso!$B$25=$A513,1,0))</f>
        <v>0</v>
      </c>
      <c r="F513" s="91">
        <f>IF(Verso!$B$26="",0,IF(Verso!$B$26=$A513,1,0))</f>
        <v>0</v>
      </c>
      <c r="G513" s="295">
        <f t="shared" si="16"/>
        <v>0</v>
      </c>
    </row>
    <row r="514" spans="1:7" x14ac:dyDescent="0.25">
      <c r="A514" s="531" t="s">
        <v>4037</v>
      </c>
      <c r="B514" s="91">
        <f>IF(Verso!$B$22="",0,IF(Verso!$B$22=$A514,1,0))</f>
        <v>0</v>
      </c>
      <c r="C514" s="91">
        <f>IF(Verso!$B$23="",0,IF(Verso!$B$23=$A514,1,0))</f>
        <v>0</v>
      </c>
      <c r="D514" s="91">
        <f>IF(Verso!$B$24="",0,IF(Verso!$B$24=$A514,1,0))</f>
        <v>0</v>
      </c>
      <c r="E514" s="91">
        <f>IF(Verso!$B$25="",0,IF(Verso!$B$25=$A514,1,0))</f>
        <v>0</v>
      </c>
      <c r="F514" s="91">
        <f>IF(Verso!$B$26="",0,IF(Verso!$B$26=$A514,1,0))</f>
        <v>0</v>
      </c>
      <c r="G514" s="295">
        <f t="shared" si="16"/>
        <v>0</v>
      </c>
    </row>
    <row r="515" spans="1:7" x14ac:dyDescent="0.25">
      <c r="A515" s="531" t="s">
        <v>4038</v>
      </c>
      <c r="B515" s="91">
        <f>IF(Verso!$B$22="",0,IF(Verso!$B$22=$A515,1,0))</f>
        <v>0</v>
      </c>
      <c r="C515" s="91">
        <f>IF(Verso!$B$23="",0,IF(Verso!$B$23=$A515,1,0))</f>
        <v>0</v>
      </c>
      <c r="D515" s="91">
        <f>IF(Verso!$B$24="",0,IF(Verso!$B$24=$A515,1,0))</f>
        <v>0</v>
      </c>
      <c r="E515" s="91">
        <f>IF(Verso!$B$25="",0,IF(Verso!$B$25=$A515,1,0))</f>
        <v>0</v>
      </c>
      <c r="F515" s="91">
        <f>IF(Verso!$B$26="",0,IF(Verso!$B$26=$A515,1,0))</f>
        <v>0</v>
      </c>
      <c r="G515" s="295">
        <f t="shared" si="16"/>
        <v>0</v>
      </c>
    </row>
    <row r="516" spans="1:7" x14ac:dyDescent="0.25">
      <c r="A516" s="531" t="s">
        <v>656</v>
      </c>
      <c r="B516" s="91">
        <f>IF(Verso!$B$22="",0,IF(Verso!$B$22=$A516,1,0))</f>
        <v>0</v>
      </c>
      <c r="C516" s="91">
        <f>IF(Verso!$B$23="",0,IF(Verso!$B$23=$A516,1,0))</f>
        <v>0</v>
      </c>
      <c r="D516" s="91">
        <f>IF(Verso!$B$24="",0,IF(Verso!$B$24=$A516,1,0))</f>
        <v>0</v>
      </c>
      <c r="E516" s="91">
        <f>IF(Verso!$B$25="",0,IF(Verso!$B$25=$A516,1,0))</f>
        <v>0</v>
      </c>
      <c r="F516" s="91">
        <f>IF(Verso!$B$26="",0,IF(Verso!$B$26=$A516,1,0))</f>
        <v>0</v>
      </c>
      <c r="G516" s="295">
        <f t="shared" si="16"/>
        <v>0</v>
      </c>
    </row>
    <row r="517" spans="1:7" x14ac:dyDescent="0.25">
      <c r="A517" s="531" t="str">
        <f>IF(Contexte_jeu="L'Empire Stellaire d'Emeraude","Citoyen: Osano-wo Reach","Citoyen: Broken Wave")</f>
        <v>Citoyen: Broken Wave</v>
      </c>
      <c r="B517" s="91">
        <f>IF(Verso!$B$22="",0,IF(Verso!$B$22=$A517,1,0))</f>
        <v>0</v>
      </c>
      <c r="C517" s="91">
        <f>IF(Verso!$B$23="",0,IF(Verso!$B$23=$A517,1,0))</f>
        <v>0</v>
      </c>
      <c r="D517" s="91">
        <f>IF(Verso!$B$24="",0,IF(Verso!$B$24=$A517,1,0))</f>
        <v>0</v>
      </c>
      <c r="E517" s="91">
        <f>IF(Verso!$B$25="",0,IF(Verso!$B$25=$A517,1,0))</f>
        <v>0</v>
      </c>
      <c r="F517" s="91">
        <f>IF(Verso!$B$26="",0,IF(Verso!$B$26=$A517,1,0))</f>
        <v>0</v>
      </c>
      <c r="G517" s="295">
        <f t="shared" si="16"/>
        <v>0</v>
      </c>
    </row>
    <row r="518" spans="1:7" x14ac:dyDescent="0.25">
      <c r="A518" s="531" t="str">
        <f>IF(Contexte_jeu="L'Empire Stellaire d'Emeraude","Citoyen: Hida Prime","Citoyen: Clear Water")</f>
        <v>Citoyen: Clear Water</v>
      </c>
      <c r="B518" s="91">
        <f>IF(Verso!$B$22="",0,IF(Verso!$B$22=$A518,1,0))</f>
        <v>0</v>
      </c>
      <c r="C518" s="91">
        <f>IF(Verso!$B$23="",0,IF(Verso!$B$23=$A518,1,0))</f>
        <v>0</v>
      </c>
      <c r="D518" s="91">
        <f>IF(Verso!$B$24="",0,IF(Verso!$B$24=$A518,1,0))</f>
        <v>0</v>
      </c>
      <c r="E518" s="91">
        <f>IF(Verso!$B$25="",0,IF(Verso!$B$25=$A518,1,0))</f>
        <v>0</v>
      </c>
      <c r="F518" s="91">
        <f>IF(Verso!$B$26="",0,IF(Verso!$B$26=$A518,1,0))</f>
        <v>0</v>
      </c>
      <c r="G518" s="295">
        <f t="shared" si="16"/>
        <v>0</v>
      </c>
    </row>
    <row r="519" spans="1:7" x14ac:dyDescent="0.25">
      <c r="A519" s="531" t="str">
        <f>IF(Contexte_jeu="L'Empire Stellaire d'Emeraude","Citoyen: Burning Star","Citoyen: Dark Edge")</f>
        <v>Citoyen: Dark Edge</v>
      </c>
      <c r="B519" s="91">
        <f>IF(Verso!$B$22="",0,IF(Verso!$B$22=$A519,1,0))</f>
        <v>0</v>
      </c>
      <c r="C519" s="91">
        <f>IF(Verso!$B$23="",0,IF(Verso!$B$23=$A519,1,0))</f>
        <v>0</v>
      </c>
      <c r="D519" s="91">
        <f>IF(Verso!$B$24="",0,IF(Verso!$B$24=$A519,1,0))</f>
        <v>0</v>
      </c>
      <c r="E519" s="91">
        <f>IF(Verso!$B$25="",0,IF(Verso!$B$25=$A519,1,0))</f>
        <v>0</v>
      </c>
      <c r="F519" s="91">
        <f>IF(Verso!$B$26="",0,IF(Verso!$B$26=$A519,1,0))</f>
        <v>0</v>
      </c>
      <c r="G519" s="295">
        <f t="shared" si="16"/>
        <v>0</v>
      </c>
    </row>
    <row r="520" spans="1:7" x14ac:dyDescent="0.25">
      <c r="A520" s="531" t="str">
        <f>IF(Contexte_jeu="L'Empire Stellaire d'Emeraude","Citoyen: Rokugan Prime","Citoyen: Cité Impériale")</f>
        <v>Citoyen: Cité Impériale</v>
      </c>
      <c r="B520" s="91">
        <f>IF(Verso!$B$22="",0,IF(Verso!$B$22=$A520,1,0))</f>
        <v>0</v>
      </c>
      <c r="C520" s="91">
        <f>IF(Verso!$B$23="",0,IF(Verso!$B$23=$A520,1,0))</f>
        <v>0</v>
      </c>
      <c r="D520" s="91">
        <f>IF(Verso!$B$24="",0,IF(Verso!$B$24=$A520,1,0))</f>
        <v>0</v>
      </c>
      <c r="E520" s="91">
        <f>IF(Verso!$B$25="",0,IF(Verso!$B$25=$A520,1,0))</f>
        <v>0</v>
      </c>
      <c r="F520" s="91">
        <f>IF(Verso!$B$26="",0,IF(Verso!$B$26=$A520,1,0))</f>
        <v>0</v>
      </c>
      <c r="G520" s="295">
        <f t="shared" si="16"/>
        <v>0</v>
      </c>
    </row>
    <row r="521" spans="1:7" x14ac:dyDescent="0.25">
      <c r="A521" s="531" t="str">
        <f>IF(Contexte_jeu="L'Empire Stellaire d'Emeraude","Citoyen: Gale","Citoyen: Citoyen: Iron Heart")</f>
        <v>Citoyen: Citoyen: Iron Heart</v>
      </c>
      <c r="B521" s="91">
        <f>IF(Verso!$B$22="",0,IF(Verso!$B$22=$A521,1,0))</f>
        <v>0</v>
      </c>
      <c r="C521" s="91">
        <f>IF(Verso!$B$23="",0,IF(Verso!$B$23=$A521,1,0))</f>
        <v>0</v>
      </c>
      <c r="D521" s="91">
        <f>IF(Verso!$B$24="",0,IF(Verso!$B$24=$A521,1,0))</f>
        <v>0</v>
      </c>
      <c r="E521" s="91">
        <f>IF(Verso!$B$25="",0,IF(Verso!$B$25=$A521,1,0))</f>
        <v>0</v>
      </c>
      <c r="F521" s="91">
        <f>IF(Verso!$B$26="",0,IF(Verso!$B$26=$A521,1,0))</f>
        <v>0</v>
      </c>
      <c r="G521" s="295">
        <f t="shared" si="16"/>
        <v>0</v>
      </c>
    </row>
    <row r="522" spans="1:7" x14ac:dyDescent="0.25">
      <c r="A522" s="531" t="str">
        <f>IF(Contexte_jeu="L'Empire Stellaire d'Emeraude","Citoyen: Golden Mirror","Citoyen: Laughing Plains")</f>
        <v>Citoyen: Laughing Plains</v>
      </c>
      <c r="B522" s="91">
        <f>IF(Verso!$B$22="",0,IF(Verso!$B$22=$A522,1,0))</f>
        <v>0</v>
      </c>
      <c r="C522" s="91">
        <f>IF(Verso!$B$23="",0,IF(Verso!$B$23=$A522,1,0))</f>
        <v>0</v>
      </c>
      <c r="D522" s="91">
        <f>IF(Verso!$B$24="",0,IF(Verso!$B$24=$A522,1,0))</f>
        <v>0</v>
      </c>
      <c r="E522" s="91">
        <f>IF(Verso!$B$25="",0,IF(Verso!$B$25=$A522,1,0))</f>
        <v>0</v>
      </c>
      <c r="F522" s="91">
        <f>IF(Verso!$B$26="",0,IF(Verso!$B$26=$A522,1,0))</f>
        <v>0</v>
      </c>
      <c r="G522" s="295">
        <f t="shared" si="16"/>
        <v>0</v>
      </c>
    </row>
    <row r="523" spans="1:7" x14ac:dyDescent="0.25">
      <c r="A523" s="531" t="str">
        <f>IF(Contexte_jeu="L'Empire Stellaire d'Emeraude","Citoyen: World of Dreams","")</f>
        <v/>
      </c>
      <c r="B523" s="91">
        <f>IF(Verso!$B$22="",0,IF(Verso!$B$22=$A523,1,0))</f>
        <v>0</v>
      </c>
      <c r="C523" s="91">
        <f>IF(Verso!$B$23="",0,IF(Verso!$B$23=$A523,1,0))</f>
        <v>0</v>
      </c>
      <c r="D523" s="91">
        <f>IF(Verso!$B$24="",0,IF(Verso!$B$24=$A523,1,0))</f>
        <v>0</v>
      </c>
      <c r="E523" s="91">
        <f>IF(Verso!$B$25="",0,IF(Verso!$B$25=$A523,1,0))</f>
        <v>0</v>
      </c>
      <c r="F523" s="91">
        <f>IF(Verso!$B$26="",0,IF(Verso!$B$26=$A523,1,0))</f>
        <v>0</v>
      </c>
      <c r="G523" s="295">
        <f t="shared" si="16"/>
        <v>0</v>
      </c>
    </row>
    <row r="524" spans="1:7" x14ac:dyDescent="0.25">
      <c r="A524" s="531" t="str">
        <f>IF(Contexte_jeu="L'Empire Stellaire d'Emeraude","Citoyen: New Rokugan","Citoyen: Naishou")</f>
        <v>Citoyen: Naishou</v>
      </c>
      <c r="B524" s="91">
        <f>IF(Verso!$B$22="",0,IF(Verso!$B$22=$A524,1,0))</f>
        <v>0</v>
      </c>
      <c r="C524" s="91">
        <f>IF(Verso!$B$23="",0,IF(Verso!$B$23=$A524,1,0))</f>
        <v>0</v>
      </c>
      <c r="D524" s="91">
        <f>IF(Verso!$B$24="",0,IF(Verso!$B$24=$A524,1,0))</f>
        <v>0</v>
      </c>
      <c r="E524" s="91">
        <f>IF(Verso!$B$25="",0,IF(Verso!$B$25=$A524,1,0))</f>
        <v>0</v>
      </c>
      <c r="F524" s="91">
        <f>IF(Verso!$B$26="",0,IF(Verso!$B$26=$A524,1,0))</f>
        <v>0</v>
      </c>
      <c r="G524" s="295">
        <f t="shared" si="16"/>
        <v>0</v>
      </c>
    </row>
    <row r="525" spans="1:7" x14ac:dyDescent="0.25">
      <c r="A525" s="531" t="str">
        <f>IF(Contexte_jeu="L'Empire Stellaire d'Emeraude","Citoyen: Ujimitsu","Citoyen: Nikesake")</f>
        <v>Citoyen: Nikesake</v>
      </c>
      <c r="B525" s="91">
        <f>IF(Verso!$B$22="",0,IF(Verso!$B$22=$A525,1,0))</f>
        <v>0</v>
      </c>
      <c r="C525" s="91">
        <f>IF(Verso!$B$23="",0,IF(Verso!$B$23=$A525,1,0))</f>
        <v>0</v>
      </c>
      <c r="D525" s="91">
        <f>IF(Verso!$B$24="",0,IF(Verso!$B$24=$A525,1,0))</f>
        <v>0</v>
      </c>
      <c r="E525" s="91">
        <f>IF(Verso!$B$25="",0,IF(Verso!$B$25=$A525,1,0))</f>
        <v>0</v>
      </c>
      <c r="F525" s="91">
        <f>IF(Verso!$B$26="",0,IF(Verso!$B$26=$A525,1,0))</f>
        <v>0</v>
      </c>
      <c r="G525" s="295">
        <f t="shared" si="16"/>
        <v>0</v>
      </c>
    </row>
    <row r="526" spans="1:7" x14ac:dyDescent="0.25">
      <c r="A526" s="531" t="str">
        <f>IF(Contexte_jeu="L'Empire Stellaire d'Emeraude","Citoyen: First Landing ","Citoyen: Sacred Forest")</f>
        <v>Citoyen: Sacred Forest</v>
      </c>
      <c r="B526" s="91">
        <f>IF(Verso!$B$22="",0,IF(Verso!$B$22=$A526,1,0))</f>
        <v>0</v>
      </c>
      <c r="C526" s="91">
        <f>IF(Verso!$B$23="",0,IF(Verso!$B$23=$A526,1,0))</f>
        <v>0</v>
      </c>
      <c r="D526" s="91">
        <f>IF(Verso!$B$24="",0,IF(Verso!$B$24=$A526,1,0))</f>
        <v>0</v>
      </c>
      <c r="E526" s="91">
        <f>IF(Verso!$B$25="",0,IF(Verso!$B$25=$A526,1,0))</f>
        <v>0</v>
      </c>
      <c r="F526" s="91">
        <f>IF(Verso!$B$26="",0,IF(Verso!$B$26=$A526,1,0))</f>
        <v>0</v>
      </c>
      <c r="G526" s="295">
        <f t="shared" si="16"/>
        <v>0</v>
      </c>
    </row>
    <row r="527" spans="1:7" x14ac:dyDescent="0.25">
      <c r="A527" s="531" t="str">
        <f>IF(Contexte_jeu="L'Empire Stellaire d'Emeraude","Citoyen: Dragon's Eye","Citoyen: Water Hammer City")</f>
        <v>Citoyen: Water Hammer City</v>
      </c>
      <c r="B527" s="91">
        <f>IF(Verso!$B$22="",0,IF(Verso!$B$22=$A527,1,0))</f>
        <v>0</v>
      </c>
      <c r="C527" s="91">
        <f>IF(Verso!$B$23="",0,IF(Verso!$B$23=$A527,1,0))</f>
        <v>0</v>
      </c>
      <c r="D527" s="91">
        <f>IF(Verso!$B$24="",0,IF(Verso!$B$24=$A527,1,0))</f>
        <v>0</v>
      </c>
      <c r="E527" s="91">
        <f>IF(Verso!$B$25="",0,IF(Verso!$B$25=$A527,1,0))</f>
        <v>0</v>
      </c>
      <c r="F527" s="91">
        <f>IF(Verso!$B$26="",0,IF(Verso!$B$26=$A527,1,0))</f>
        <v>0</v>
      </c>
      <c r="G527" s="295">
        <f t="shared" si="16"/>
        <v>0</v>
      </c>
    </row>
    <row r="528" spans="1:7" x14ac:dyDescent="0.25">
      <c r="A528" s="531" t="str">
        <f>IF(Contexte_jeu="L'Empire Stellaire d'Emeraude","Citoyen: World of Dreams","Citoyen: Zakyo Toshi")</f>
        <v>Citoyen: Zakyo Toshi</v>
      </c>
      <c r="B528" s="91">
        <f>IF(Verso!$B$22="",0,IF(Verso!$B$22=$A528,1,0))</f>
        <v>0</v>
      </c>
      <c r="C528" s="91">
        <f>IF(Verso!$B$23="",0,IF(Verso!$B$23=$A528,1,0))</f>
        <v>0</v>
      </c>
      <c r="D528" s="91">
        <f>IF(Verso!$B$24="",0,IF(Verso!$B$24=$A528,1,0))</f>
        <v>0</v>
      </c>
      <c r="E528" s="91">
        <f>IF(Verso!$B$25="",0,IF(Verso!$B$25=$A528,1,0))</f>
        <v>0</v>
      </c>
      <c r="F528" s="91">
        <f>IF(Verso!$B$26="",0,IF(Verso!$B$26=$A528,1,0))</f>
        <v>0</v>
      </c>
      <c r="G528" s="295">
        <f t="shared" si="16"/>
        <v>0</v>
      </c>
    </row>
    <row r="529" spans="1:7" x14ac:dyDescent="0.25">
      <c r="A529" s="531" t="s">
        <v>657</v>
      </c>
      <c r="B529" s="91">
        <f>IF(Verso!$B$22="",0,IF(Verso!$B$22=$A529,1,0))</f>
        <v>0</v>
      </c>
      <c r="C529" s="91">
        <f>IF(Verso!$B$23="",0,IF(Verso!$B$23=$A529,1,0))</f>
        <v>0</v>
      </c>
      <c r="D529" s="91">
        <f>IF(Verso!$B$24="",0,IF(Verso!$B$24=$A529,1,0))</f>
        <v>0</v>
      </c>
      <c r="E529" s="91">
        <f>IF(Verso!$B$25="",0,IF(Verso!$B$25=$A529,1,0))</f>
        <v>0</v>
      </c>
      <c r="F529" s="91">
        <f>IF(Verso!$B$26="",0,IF(Verso!$B$26=$A529,1,0))</f>
        <v>0</v>
      </c>
      <c r="G529" s="295">
        <f t="shared" si="16"/>
        <v>0</v>
      </c>
    </row>
    <row r="530" spans="1:7" x14ac:dyDescent="0.25">
      <c r="A530" s="531" t="s">
        <v>694</v>
      </c>
      <c r="B530" s="91">
        <f>IF(Verso!$B$22="",0,IF(Verso!$B$22=$A530,1,0))</f>
        <v>0</v>
      </c>
      <c r="C530" s="91">
        <f>IF(Verso!$B$23="",0,IF(Verso!$B$23=$A530,1,0))</f>
        <v>0</v>
      </c>
      <c r="D530" s="91">
        <f>IF(Verso!$B$24="",0,IF(Verso!$B$24=$A530,1,0))</f>
        <v>0</v>
      </c>
      <c r="E530" s="91">
        <f>IF(Verso!$B$25="",0,IF(Verso!$B$25=$A530,1,0))</f>
        <v>0</v>
      </c>
      <c r="F530" s="91">
        <f>IF(Verso!$B$26="",0,IF(Verso!$B$26=$A530,1,0))</f>
        <v>0</v>
      </c>
      <c r="G530" s="295">
        <f t="shared" si="16"/>
        <v>0</v>
      </c>
    </row>
    <row r="531" spans="1:7" x14ac:dyDescent="0.25">
      <c r="A531" s="531" t="s">
        <v>797</v>
      </c>
      <c r="B531" s="91">
        <f>IF(Verso!$B$22="",0,IF(Verso!$B$22=$A531,1,0))</f>
        <v>0</v>
      </c>
      <c r="C531" s="91">
        <f>IF(Verso!$B$23="",0,IF(Verso!$B$23=$A531,1,0))</f>
        <v>0</v>
      </c>
      <c r="D531" s="91">
        <f>IF(Verso!$B$24="",0,IF(Verso!$B$24=$A531,1,0))</f>
        <v>0</v>
      </c>
      <c r="E531" s="91">
        <f>IF(Verso!$B$25="",0,IF(Verso!$B$25=$A531,1,0))</f>
        <v>0</v>
      </c>
      <c r="F531" s="91">
        <f>IF(Verso!$B$26="",0,IF(Verso!$B$26=$A531,1,0))</f>
        <v>0</v>
      </c>
      <c r="G531" s="295">
        <f t="shared" si="16"/>
        <v>0</v>
      </c>
    </row>
    <row r="532" spans="1:7" x14ac:dyDescent="0.25">
      <c r="A532" s="531" t="s">
        <v>798</v>
      </c>
      <c r="B532" s="91">
        <f>IF(Verso!$B$22="",0,IF(Verso!$B$22=$A532,1,0))</f>
        <v>0</v>
      </c>
      <c r="C532" s="91">
        <f>IF(Verso!$B$23="",0,IF(Verso!$B$23=$A532,1,0))</f>
        <v>0</v>
      </c>
      <c r="D532" s="91">
        <f>IF(Verso!$B$24="",0,IF(Verso!$B$24=$A532,1,0))</f>
        <v>0</v>
      </c>
      <c r="E532" s="91">
        <f>IF(Verso!$B$25="",0,IF(Verso!$B$25=$A532,1,0))</f>
        <v>0</v>
      </c>
      <c r="F532" s="91">
        <f>IF(Verso!$B$26="",0,IF(Verso!$B$26=$A532,1,0))</f>
        <v>0</v>
      </c>
      <c r="G532" s="295">
        <f t="shared" si="16"/>
        <v>0</v>
      </c>
    </row>
    <row r="533" spans="1:7" x14ac:dyDescent="0.25">
      <c r="A533" s="531" t="s">
        <v>799</v>
      </c>
      <c r="B533" s="91">
        <f>IF(Verso!$B$22="",0,IF(Verso!$B$22=$A533,1,0))</f>
        <v>0</v>
      </c>
      <c r="C533" s="91">
        <f>IF(Verso!$B$23="",0,IF(Verso!$B$23=$A533,1,0))</f>
        <v>0</v>
      </c>
      <c r="D533" s="91">
        <f>IF(Verso!$B$24="",0,IF(Verso!$B$24=$A533,1,0))</f>
        <v>0</v>
      </c>
      <c r="E533" s="91">
        <f>IF(Verso!$B$25="",0,IF(Verso!$B$25=$A533,1,0))</f>
        <v>0</v>
      </c>
      <c r="F533" s="91">
        <f>IF(Verso!$B$26="",0,IF(Verso!$B$26=$A533,1,0))</f>
        <v>0</v>
      </c>
      <c r="G533" s="295">
        <f t="shared" si="16"/>
        <v>0</v>
      </c>
    </row>
    <row r="534" spans="1:7" x14ac:dyDescent="0.25">
      <c r="A534" s="531" t="s">
        <v>800</v>
      </c>
      <c r="B534" s="91">
        <f>IF(Verso!$B$22="",0,IF(Verso!$B$22=$A534,1,0))</f>
        <v>0</v>
      </c>
      <c r="C534" s="91">
        <f>IF(Verso!$B$23="",0,IF(Verso!$B$23=$A534,1,0))</f>
        <v>0</v>
      </c>
      <c r="D534" s="91">
        <f>IF(Verso!$B$24="",0,IF(Verso!$B$24=$A534,1,0))</f>
        <v>0</v>
      </c>
      <c r="E534" s="91">
        <f>IF(Verso!$B$25="",0,IF(Verso!$B$25=$A534,1,0))</f>
        <v>0</v>
      </c>
      <c r="F534" s="91">
        <f>IF(Verso!$B$26="",0,IF(Verso!$B$26=$A534,1,0))</f>
        <v>0</v>
      </c>
      <c r="G534" s="295">
        <f t="shared" si="16"/>
        <v>0</v>
      </c>
    </row>
    <row r="535" spans="1:7" x14ac:dyDescent="0.25">
      <c r="A535" s="531" t="s">
        <v>801</v>
      </c>
      <c r="B535" s="91">
        <f>IF(Verso!$B$22="",0,IF(Verso!$B$22=$A535,1,0))</f>
        <v>0</v>
      </c>
      <c r="C535" s="91">
        <f>IF(Verso!$B$23="",0,IF(Verso!$B$23=$A535,1,0))</f>
        <v>0</v>
      </c>
      <c r="D535" s="91">
        <f>IF(Verso!$B$24="",0,IF(Verso!$B$24=$A535,1,0))</f>
        <v>0</v>
      </c>
      <c r="E535" s="91">
        <f>IF(Verso!$B$25="",0,IF(Verso!$B$25=$A535,1,0))</f>
        <v>0</v>
      </c>
      <c r="F535" s="91">
        <f>IF(Verso!$B$26="",0,IF(Verso!$B$26=$A535,1,0))</f>
        <v>0</v>
      </c>
      <c r="G535" s="295">
        <f t="shared" si="16"/>
        <v>0</v>
      </c>
    </row>
    <row r="536" spans="1:7" x14ac:dyDescent="0.25">
      <c r="A536" s="531" t="s">
        <v>7222</v>
      </c>
      <c r="B536" s="91">
        <f>IF(Verso!$B$22="",0,IF(Verso!$B$22=$A536,1,0))</f>
        <v>0</v>
      </c>
      <c r="C536" s="91">
        <f>IF(Verso!$B$23="",0,IF(Verso!$B$23=$A536,1,0))</f>
        <v>0</v>
      </c>
      <c r="D536" s="91">
        <f>IF(Verso!$B$24="",0,IF(Verso!$B$24=$A536,1,0))</f>
        <v>0</v>
      </c>
      <c r="E536" s="91">
        <f>IF(Verso!$B$25="",0,IF(Verso!$B$25=$A536,1,0))</f>
        <v>0</v>
      </c>
      <c r="F536" s="91">
        <f>IF(Verso!$B$26="",0,IF(Verso!$B$26=$A536,1,0))</f>
        <v>0</v>
      </c>
      <c r="G536" s="295">
        <f t="shared" si="16"/>
        <v>0</v>
      </c>
    </row>
    <row r="537" spans="1:7" x14ac:dyDescent="0.25">
      <c r="A537" s="531" t="s">
        <v>819</v>
      </c>
      <c r="B537" s="91">
        <f>IF(Verso!$B$22="",0,IF(Verso!$B$22=$A537,1,0))</f>
        <v>0</v>
      </c>
      <c r="C537" s="91">
        <f>IF(Verso!$B$23="",0,IF(Verso!$B$23=$A537,1,0))</f>
        <v>0</v>
      </c>
      <c r="D537" s="91">
        <f>IF(Verso!$B$24="",0,IF(Verso!$B$24=$A537,1,0))</f>
        <v>0</v>
      </c>
      <c r="E537" s="91">
        <f>IF(Verso!$B$25="",0,IF(Verso!$B$25=$A537,1,0))</f>
        <v>0</v>
      </c>
      <c r="F537" s="91">
        <f>IF(Verso!$B$26="",0,IF(Verso!$B$26=$A537,1,0))</f>
        <v>0</v>
      </c>
      <c r="G537" s="295">
        <f t="shared" si="16"/>
        <v>0</v>
      </c>
    </row>
    <row r="538" spans="1:7" x14ac:dyDescent="0.25">
      <c r="A538" s="531" t="s">
        <v>658</v>
      </c>
      <c r="B538" s="91">
        <f>IF(Verso!$B$22="",0,IF(Verso!$B$22=$A538,1,0))</f>
        <v>0</v>
      </c>
      <c r="C538" s="91">
        <f>IF(Verso!$B$23="",0,IF(Verso!$B$23=$A538,1,0))</f>
        <v>0</v>
      </c>
      <c r="D538" s="91">
        <f>IF(Verso!$B$24="",0,IF(Verso!$B$24=$A538,1,0))</f>
        <v>0</v>
      </c>
      <c r="E538" s="91">
        <f>IF(Verso!$B$25="",0,IF(Verso!$B$25=$A538,1,0))</f>
        <v>0</v>
      </c>
      <c r="F538" s="91">
        <f>IF(Verso!$B$26="",0,IF(Verso!$B$26=$A538,1,0))</f>
        <v>0</v>
      </c>
      <c r="G538" s="295">
        <f t="shared" si="16"/>
        <v>0</v>
      </c>
    </row>
    <row r="539" spans="1:7" x14ac:dyDescent="0.25">
      <c r="A539" s="531" t="s">
        <v>659</v>
      </c>
      <c r="B539" s="91">
        <f>IF(Verso!$B$22="",0,IF(Verso!$B$22=$A539,1,0))</f>
        <v>0</v>
      </c>
      <c r="C539" s="91">
        <f>IF(Verso!$B$23="",0,IF(Verso!$B$23=$A539,1,0))</f>
        <v>0</v>
      </c>
      <c r="D539" s="91">
        <f>IF(Verso!$B$24="",0,IF(Verso!$B$24=$A539,1,0))</f>
        <v>0</v>
      </c>
      <c r="E539" s="91">
        <f>IF(Verso!$B$25="",0,IF(Verso!$B$25=$A539,1,0))</f>
        <v>0</v>
      </c>
      <c r="F539" s="91">
        <f>IF(Verso!$B$26="",0,IF(Verso!$B$26=$A539,1,0))</f>
        <v>0</v>
      </c>
      <c r="G539" s="295">
        <f t="shared" si="16"/>
        <v>0</v>
      </c>
    </row>
    <row r="540" spans="1:7" x14ac:dyDescent="0.25">
      <c r="A540" s="531" t="s">
        <v>738</v>
      </c>
      <c r="B540" s="91">
        <f>IF(Verso!$B$22="",0,IF(Verso!$B$22=$A540,1,0))</f>
        <v>0</v>
      </c>
      <c r="C540" s="91">
        <f>IF(Verso!$B$23="",0,IF(Verso!$B$23=$A540,1,0))</f>
        <v>0</v>
      </c>
      <c r="D540" s="91">
        <f>IF(Verso!$B$24="",0,IF(Verso!$B$24=$A540,1,0))</f>
        <v>0</v>
      </c>
      <c r="E540" s="91">
        <f>IF(Verso!$B$25="",0,IF(Verso!$B$25=$A540,1,0))</f>
        <v>0</v>
      </c>
      <c r="F540" s="91">
        <f>IF(Verso!$B$26="",0,IF(Verso!$B$26=$A540,1,0))</f>
        <v>0</v>
      </c>
      <c r="G540" s="295">
        <f t="shared" si="16"/>
        <v>0</v>
      </c>
    </row>
    <row r="541" spans="1:7" x14ac:dyDescent="0.25">
      <c r="A541" s="531" t="s">
        <v>739</v>
      </c>
      <c r="B541" s="91">
        <f>IF(Verso!$B$22="",0,IF(Verso!$B$22=$A541,1,0))</f>
        <v>0</v>
      </c>
      <c r="C541" s="91">
        <f>IF(Verso!$B$23="",0,IF(Verso!$B$23=$A541,1,0))</f>
        <v>0</v>
      </c>
      <c r="D541" s="91">
        <f>IF(Verso!$B$24="",0,IF(Verso!$B$24=$A541,1,0))</f>
        <v>0</v>
      </c>
      <c r="E541" s="91">
        <f>IF(Verso!$B$25="",0,IF(Verso!$B$25=$A541,1,0))</f>
        <v>0</v>
      </c>
      <c r="F541" s="91">
        <f>IF(Verso!$B$26="",0,IF(Verso!$B$26=$A541,1,0))</f>
        <v>0</v>
      </c>
      <c r="G541" s="295">
        <f t="shared" si="16"/>
        <v>0</v>
      </c>
    </row>
    <row r="542" spans="1:7" x14ac:dyDescent="0.25">
      <c r="A542" s="531" t="s">
        <v>740</v>
      </c>
      <c r="B542" s="91">
        <f>IF(Verso!$B$22="",0,IF(Verso!$B$22=$A542,1,0))</f>
        <v>0</v>
      </c>
      <c r="C542" s="91">
        <f>IF(Verso!$B$23="",0,IF(Verso!$B$23=$A542,1,0))</f>
        <v>0</v>
      </c>
      <c r="D542" s="91">
        <f>IF(Verso!$B$24="",0,IF(Verso!$B$24=$A542,1,0))</f>
        <v>0</v>
      </c>
      <c r="E542" s="91">
        <f>IF(Verso!$B$25="",0,IF(Verso!$B$25=$A542,1,0))</f>
        <v>0</v>
      </c>
      <c r="F542" s="91">
        <f>IF(Verso!$B$26="",0,IF(Verso!$B$26=$A542,1,0))</f>
        <v>0</v>
      </c>
      <c r="G542" s="295">
        <f t="shared" si="16"/>
        <v>0</v>
      </c>
    </row>
    <row r="543" spans="1:7" x14ac:dyDescent="0.25">
      <c r="A543" s="531" t="s">
        <v>741</v>
      </c>
      <c r="B543" s="91">
        <f>IF(Verso!$B$22="",0,IF(Verso!$B$22=$A543,1,0))</f>
        <v>0</v>
      </c>
      <c r="C543" s="91">
        <f>IF(Verso!$B$23="",0,IF(Verso!$B$23=$A543,1,0))</f>
        <v>0</v>
      </c>
      <c r="D543" s="91">
        <f>IF(Verso!$B$24="",0,IF(Verso!$B$24=$A543,1,0))</f>
        <v>0</v>
      </c>
      <c r="E543" s="91">
        <f>IF(Verso!$B$25="",0,IF(Verso!$B$25=$A543,1,0))</f>
        <v>0</v>
      </c>
      <c r="F543" s="91">
        <f>IF(Verso!$B$26="",0,IF(Verso!$B$26=$A543,1,0))</f>
        <v>0</v>
      </c>
      <c r="G543" s="295">
        <f t="shared" si="16"/>
        <v>0</v>
      </c>
    </row>
    <row r="544" spans="1:7" x14ac:dyDescent="0.25">
      <c r="A544" s="531" t="s">
        <v>742</v>
      </c>
      <c r="B544" s="91">
        <f>IF(Verso!$B$22="",0,IF(Verso!$B$22=$A544,1,0))</f>
        <v>0</v>
      </c>
      <c r="C544" s="91">
        <f>IF(Verso!$B$23="",0,IF(Verso!$B$23=$A544,1,0))</f>
        <v>0</v>
      </c>
      <c r="D544" s="91">
        <f>IF(Verso!$B$24="",0,IF(Verso!$B$24=$A544,1,0))</f>
        <v>0</v>
      </c>
      <c r="E544" s="91">
        <f>IF(Verso!$B$25="",0,IF(Verso!$B$25=$A544,1,0))</f>
        <v>0</v>
      </c>
      <c r="F544" s="91">
        <f>IF(Verso!$B$26="",0,IF(Verso!$B$26=$A544,1,0))</f>
        <v>0</v>
      </c>
      <c r="G544" s="295">
        <f t="shared" si="16"/>
        <v>0</v>
      </c>
    </row>
    <row r="545" spans="1:7" x14ac:dyDescent="0.25">
      <c r="A545" s="531" t="s">
        <v>660</v>
      </c>
      <c r="B545" s="91">
        <f>IF(Verso!$B$22="",0,IF(Verso!$B$22=$A545,1,0))</f>
        <v>0</v>
      </c>
      <c r="C545" s="91">
        <f>IF(Verso!$B$23="",0,IF(Verso!$B$23=$A545,1,0))</f>
        <v>0</v>
      </c>
      <c r="D545" s="91">
        <f>IF(Verso!$B$24="",0,IF(Verso!$B$24=$A545,1,0))</f>
        <v>0</v>
      </c>
      <c r="E545" s="91">
        <f>IF(Verso!$B$25="",0,IF(Verso!$B$25=$A545,1,0))</f>
        <v>0</v>
      </c>
      <c r="F545" s="91">
        <f>IF(Verso!$B$26="",0,IF(Verso!$B$26=$A545,1,0))</f>
        <v>0</v>
      </c>
      <c r="G545" s="295">
        <f t="shared" si="16"/>
        <v>0</v>
      </c>
    </row>
    <row r="546" spans="1:7" x14ac:dyDescent="0.25">
      <c r="A546" s="531" t="s">
        <v>651</v>
      </c>
      <c r="B546" s="91">
        <f>IF(Verso!$B$22="",0,IF(Verso!$B$22=$A546,1,0))</f>
        <v>0</v>
      </c>
      <c r="C546" s="91">
        <f>IF(Verso!$B$23="",0,IF(Verso!$B$23=$A546,1,0))</f>
        <v>0</v>
      </c>
      <c r="D546" s="91">
        <f>IF(Verso!$B$24="",0,IF(Verso!$B$24=$A546,1,0))</f>
        <v>0</v>
      </c>
      <c r="E546" s="91">
        <f>IF(Verso!$B$25="",0,IF(Verso!$B$25=$A546,1,0))</f>
        <v>0</v>
      </c>
      <c r="F546" s="91">
        <f>IF(Verso!$B$26="",0,IF(Verso!$B$26=$A546,1,0))</f>
        <v>0</v>
      </c>
      <c r="G546" s="295">
        <f t="shared" si="16"/>
        <v>0</v>
      </c>
    </row>
    <row r="547" spans="1:7" x14ac:dyDescent="0.25">
      <c r="A547" s="531" t="s">
        <v>813</v>
      </c>
      <c r="B547" s="91">
        <f>IF(Verso!$B$22="",0,IF(Verso!$B$22=$A547,1,0))</f>
        <v>0</v>
      </c>
      <c r="C547" s="91">
        <f>IF(Verso!$B$23="",0,IF(Verso!$B$23=$A547,1,0))</f>
        <v>0</v>
      </c>
      <c r="D547" s="91">
        <f>IF(Verso!$B$24="",0,IF(Verso!$B$24=$A547,1,0))</f>
        <v>0</v>
      </c>
      <c r="E547" s="91">
        <f>IF(Verso!$B$25="",0,IF(Verso!$B$25=$A547,1,0))</f>
        <v>0</v>
      </c>
      <c r="F547" s="91">
        <f>IF(Verso!$B$26="",0,IF(Verso!$B$26=$A547,1,0))</f>
        <v>0</v>
      </c>
      <c r="G547" s="295">
        <f t="shared" si="16"/>
        <v>0</v>
      </c>
    </row>
    <row r="548" spans="1:7" x14ac:dyDescent="0.25">
      <c r="A548" s="531" t="s">
        <v>6507</v>
      </c>
      <c r="B548" s="91">
        <f>IF(Verso!$B$22="",0,IF(Verso!$B$22=$A548,1,0))</f>
        <v>0</v>
      </c>
      <c r="C548" s="91">
        <f>IF(Verso!$B$23="",0,IF(Verso!$B$23=$A548,1,0))</f>
        <v>0</v>
      </c>
      <c r="D548" s="91">
        <f>IF(Verso!$B$24="",0,IF(Verso!$B$24=$A548,1,0))</f>
        <v>0</v>
      </c>
      <c r="E548" s="91">
        <f>IF(Verso!$B$25="",0,IF(Verso!$B$25=$A548,1,0))</f>
        <v>0</v>
      </c>
      <c r="F548" s="91">
        <f>IF(Verso!$B$26="",0,IF(Verso!$B$26=$A548,1,0))</f>
        <v>0</v>
      </c>
      <c r="G548" s="295">
        <f t="shared" si="16"/>
        <v>0</v>
      </c>
    </row>
    <row r="549" spans="1:7" x14ac:dyDescent="0.25">
      <c r="A549" s="531" t="s">
        <v>6505</v>
      </c>
      <c r="B549" s="91">
        <f>IF(Verso!$B$22="",0,IF(Verso!$B$22=$A549,1,0))</f>
        <v>0</v>
      </c>
      <c r="C549" s="91">
        <f>IF(Verso!$B$23="",0,IF(Verso!$B$23=$A549,1,0))</f>
        <v>0</v>
      </c>
      <c r="D549" s="91">
        <f>IF(Verso!$B$24="",0,IF(Verso!$B$24=$A549,1,0))</f>
        <v>0</v>
      </c>
      <c r="E549" s="91">
        <f>IF(Verso!$B$25="",0,IF(Verso!$B$25=$A549,1,0))</f>
        <v>0</v>
      </c>
      <c r="F549" s="91">
        <f>IF(Verso!$B$26="",0,IF(Verso!$B$26=$A549,1,0))</f>
        <v>0</v>
      </c>
      <c r="G549" s="295">
        <f t="shared" si="16"/>
        <v>0</v>
      </c>
    </row>
    <row r="550" spans="1:7" x14ac:dyDescent="0.25">
      <c r="A550" s="531" t="s">
        <v>6506</v>
      </c>
      <c r="B550" s="91">
        <f>IF(Verso!$B$22="",0,IF(Verso!$B$22=$A550,1,0))</f>
        <v>0</v>
      </c>
      <c r="C550" s="91">
        <f>IF(Verso!$B$23="",0,IF(Verso!$B$23=$A550,1,0))</f>
        <v>0</v>
      </c>
      <c r="D550" s="91">
        <f>IF(Verso!$B$24="",0,IF(Verso!$B$24=$A550,1,0))</f>
        <v>0</v>
      </c>
      <c r="E550" s="91">
        <f>IF(Verso!$B$25="",0,IF(Verso!$B$25=$A550,1,0))</f>
        <v>0</v>
      </c>
      <c r="F550" s="91">
        <f>IF(Verso!$B$26="",0,IF(Verso!$B$26=$A550,1,0))</f>
        <v>0</v>
      </c>
      <c r="G550" s="295">
        <f t="shared" si="16"/>
        <v>0</v>
      </c>
    </row>
    <row r="551" spans="1:7" x14ac:dyDescent="0.25">
      <c r="A551" s="531" t="s">
        <v>7609</v>
      </c>
      <c r="B551" s="91">
        <f>IF(Verso!$B$22="",0,IF(Verso!$B$22=$A551,1,0))</f>
        <v>0</v>
      </c>
      <c r="C551" s="91">
        <f>IF(Verso!$B$23="",0,IF(Verso!$B$23=$A551,1,0))</f>
        <v>0</v>
      </c>
      <c r="D551" s="91">
        <f>IF(Verso!$B$24="",0,IF(Verso!$B$24=$A551,1,0))</f>
        <v>0</v>
      </c>
      <c r="E551" s="91">
        <f>IF(Verso!$B$25="",0,IF(Verso!$B$25=$A551,1,0))</f>
        <v>0</v>
      </c>
      <c r="F551" s="91">
        <f>IF(Verso!$B$26="",0,IF(Verso!$B$26=$A551,1,0))</f>
        <v>0</v>
      </c>
      <c r="G551" s="295">
        <f t="shared" si="16"/>
        <v>0</v>
      </c>
    </row>
    <row r="552" spans="1:7" x14ac:dyDescent="0.25">
      <c r="A552" s="531" t="s">
        <v>7570</v>
      </c>
      <c r="B552" s="91">
        <f>IF(Verso!$B$22="",0,IF(Verso!$B$22=$A552,1,0))</f>
        <v>0</v>
      </c>
      <c r="C552" s="91">
        <f>IF(Verso!$B$23="",0,IF(Verso!$B$23=$A552,1,0))</f>
        <v>0</v>
      </c>
      <c r="D552" s="91">
        <f>IF(Verso!$B$24="",0,IF(Verso!$B$24=$A552,1,0))</f>
        <v>0</v>
      </c>
      <c r="E552" s="91">
        <f>IF(Verso!$B$25="",0,IF(Verso!$B$25=$A552,1,0))</f>
        <v>0</v>
      </c>
      <c r="F552" s="91">
        <f>IF(Verso!$B$26="",0,IF(Verso!$B$26=$A552,1,0))</f>
        <v>0</v>
      </c>
      <c r="G552" s="295">
        <f t="shared" si="16"/>
        <v>0</v>
      </c>
    </row>
    <row r="553" spans="1:7" x14ac:dyDescent="0.25">
      <c r="A553" s="531" t="s">
        <v>820</v>
      </c>
      <c r="B553" s="91">
        <f>IF(Verso!$B$22="",0,IF(Verso!$B$22=$A553,1,0))</f>
        <v>0</v>
      </c>
      <c r="C553" s="91">
        <f>IF(Verso!$B$23="",0,IF(Verso!$B$23=$A553,1,0))</f>
        <v>0</v>
      </c>
      <c r="D553" s="91">
        <f>IF(Verso!$B$24="",0,IF(Verso!$B$24=$A553,1,0))</f>
        <v>0</v>
      </c>
      <c r="E553" s="91">
        <f>IF(Verso!$B$25="",0,IF(Verso!$B$25=$A553,1,0))</f>
        <v>0</v>
      </c>
      <c r="F553" s="91">
        <f>IF(Verso!$B$26="",0,IF(Verso!$B$26=$A553,1,0))</f>
        <v>0</v>
      </c>
      <c r="G553" s="295">
        <f t="shared" si="16"/>
        <v>0</v>
      </c>
    </row>
    <row r="554" spans="1:7" x14ac:dyDescent="0.25">
      <c r="A554" s="531" t="s">
        <v>6496</v>
      </c>
      <c r="B554" s="91">
        <f>IF(Verso!$B$22="",0,IF(Verso!$B$22=$A554,1,0))</f>
        <v>0</v>
      </c>
      <c r="C554" s="91">
        <f>IF(Verso!$B$23="",0,IF(Verso!$B$23=$A554,1,0))</f>
        <v>0</v>
      </c>
      <c r="D554" s="91">
        <f>IF(Verso!$B$24="",0,IF(Verso!$B$24=$A554,1,0))</f>
        <v>0</v>
      </c>
      <c r="E554" s="91">
        <f>IF(Verso!$B$25="",0,IF(Verso!$B$25=$A554,1,0))</f>
        <v>0</v>
      </c>
      <c r="F554" s="91">
        <f>IF(Verso!$B$26="",0,IF(Verso!$B$26=$A554,1,0))</f>
        <v>0</v>
      </c>
      <c r="G554" s="295">
        <f t="shared" si="16"/>
        <v>0</v>
      </c>
    </row>
    <row r="555" spans="1:7" x14ac:dyDescent="0.25">
      <c r="A555" s="531" t="s">
        <v>661</v>
      </c>
      <c r="B555" s="91">
        <f>IF(Verso!$B$22="",0,IF(Verso!$B$22=$A555,1,0))</f>
        <v>0</v>
      </c>
      <c r="C555" s="91">
        <f>IF(Verso!$B$23="",0,IF(Verso!$B$23=$A555,1,0))</f>
        <v>0</v>
      </c>
      <c r="D555" s="91">
        <f>IF(Verso!$B$24="",0,IF(Verso!$B$24=$A555,1,0))</f>
        <v>0</v>
      </c>
      <c r="E555" s="91">
        <f>IF(Verso!$B$25="",0,IF(Verso!$B$25=$A555,1,0))</f>
        <v>0</v>
      </c>
      <c r="F555" s="91">
        <f>IF(Verso!$B$26="",0,IF(Verso!$B$26=$A555,1,0))</f>
        <v>0</v>
      </c>
      <c r="G555" s="295">
        <f t="shared" si="16"/>
        <v>0</v>
      </c>
    </row>
    <row r="556" spans="1:7" x14ac:dyDescent="0.25">
      <c r="A556" s="531" t="s">
        <v>698</v>
      </c>
      <c r="B556" s="91">
        <f>IF(Verso!$B$22="",0,IF(Verso!$B$22=$A556,1,0))</f>
        <v>0</v>
      </c>
      <c r="C556" s="91">
        <f>IF(Verso!$B$23="",0,IF(Verso!$B$23=$A556,1,0))</f>
        <v>0</v>
      </c>
      <c r="D556" s="91">
        <f>IF(Verso!$B$24="",0,IF(Verso!$B$24=$A556,1,0))</f>
        <v>0</v>
      </c>
      <c r="E556" s="91">
        <f>IF(Verso!$B$25="",0,IF(Verso!$B$25=$A556,1,0))</f>
        <v>0</v>
      </c>
      <c r="F556" s="91">
        <f>IF(Verso!$B$26="",0,IF(Verso!$B$26=$A556,1,0))</f>
        <v>0</v>
      </c>
      <c r="G556" s="295">
        <f t="shared" si="16"/>
        <v>0</v>
      </c>
    </row>
    <row r="557" spans="1:7" x14ac:dyDescent="0.25">
      <c r="A557" s="531" t="s">
        <v>8241</v>
      </c>
      <c r="B557" s="91">
        <f>IF(Verso!$B$22="",0,IF(Verso!$B$22=$A557,1,0))</f>
        <v>0</v>
      </c>
      <c r="C557" s="91">
        <f>IF(Verso!$B$23="",0,IF(Verso!$B$23=$A557,1,0))</f>
        <v>0</v>
      </c>
      <c r="D557" s="91">
        <f>IF(Verso!$B$24="",0,IF(Verso!$B$24=$A557,1,0))</f>
        <v>0</v>
      </c>
      <c r="E557" s="91">
        <f>IF(Verso!$B$25="",0,IF(Verso!$B$25=$A557,1,0))</f>
        <v>0</v>
      </c>
      <c r="F557" s="91">
        <f>IF(Verso!$B$26="",0,IF(Verso!$B$26=$A557,1,0))</f>
        <v>0</v>
      </c>
      <c r="G557" s="295">
        <f t="shared" si="16"/>
        <v>0</v>
      </c>
    </row>
    <row r="558" spans="1:7" s="196" customFormat="1" x14ac:dyDescent="0.25">
      <c r="A558" s="531" t="s">
        <v>8242</v>
      </c>
      <c r="B558" s="91">
        <f>IF(Verso!$B$22="",0,IF(Verso!$B$22=$A558,1,0))</f>
        <v>0</v>
      </c>
      <c r="C558" s="91">
        <f>IF(Verso!$B$23="",0,IF(Verso!$B$23=$A558,1,0))</f>
        <v>0</v>
      </c>
      <c r="D558" s="91">
        <f>IF(Verso!$B$24="",0,IF(Verso!$B$24=$A558,1,0))</f>
        <v>0</v>
      </c>
      <c r="E558" s="91">
        <f>IF(Verso!$B$25="",0,IF(Verso!$B$25=$A558,1,0))</f>
        <v>0</v>
      </c>
      <c r="F558" s="91">
        <f>IF(Verso!$B$26="",0,IF(Verso!$B$26=$A558,1,0))</f>
        <v>0</v>
      </c>
      <c r="G558" s="295">
        <f>SUM(B558:F558)</f>
        <v>0</v>
      </c>
    </row>
    <row r="559" spans="1:7" s="196" customFormat="1" x14ac:dyDescent="0.25">
      <c r="A559" s="531" t="s">
        <v>8243</v>
      </c>
      <c r="B559" s="91">
        <f>IF(Verso!$B$22="",0,IF(Verso!$B$22=$A559,1,0))</f>
        <v>0</v>
      </c>
      <c r="C559" s="91">
        <f>IF(Verso!$B$23="",0,IF(Verso!$B$23=$A559,1,0))</f>
        <v>0</v>
      </c>
      <c r="D559" s="91">
        <f>IF(Verso!$B$24="",0,IF(Verso!$B$24=$A559,1,0))</f>
        <v>0</v>
      </c>
      <c r="E559" s="91">
        <f>IF(Verso!$B$25="",0,IF(Verso!$B$25=$A559,1,0))</f>
        <v>0</v>
      </c>
      <c r="F559" s="91">
        <f>IF(Verso!$B$26="",0,IF(Verso!$B$26=$A559,1,0))</f>
        <v>0</v>
      </c>
      <c r="G559" s="295">
        <f>SUM(B559:F559)</f>
        <v>0</v>
      </c>
    </row>
    <row r="560" spans="1:7" s="196" customFormat="1" x14ac:dyDescent="0.25">
      <c r="A560" s="531" t="s">
        <v>8244</v>
      </c>
      <c r="B560" s="91">
        <f>IF(Verso!$B$22="",0,IF(Verso!$B$22=$A560,1,0))</f>
        <v>0</v>
      </c>
      <c r="C560" s="91">
        <f>IF(Verso!$B$23="",0,IF(Verso!$B$23=$A560,1,0))</f>
        <v>0</v>
      </c>
      <c r="D560" s="91">
        <f>IF(Verso!$B$24="",0,IF(Verso!$B$24=$A560,1,0))</f>
        <v>0</v>
      </c>
      <c r="E560" s="91">
        <f>IF(Verso!$B$25="",0,IF(Verso!$B$25=$A560,1,0))</f>
        <v>0</v>
      </c>
      <c r="F560" s="91">
        <f>IF(Verso!$B$26="",0,IF(Verso!$B$26=$A560,1,0))</f>
        <v>0</v>
      </c>
      <c r="G560" s="295">
        <f>SUM(B560:F560)</f>
        <v>0</v>
      </c>
    </row>
    <row r="561" spans="1:7" x14ac:dyDescent="0.25">
      <c r="A561" s="531" t="s">
        <v>663</v>
      </c>
      <c r="B561" s="91">
        <f>IF(Verso!$B$22="",0,IF(Verso!$B$22=$A561,1,0))</f>
        <v>0</v>
      </c>
      <c r="C561" s="91">
        <f>IF(Verso!$B$23="",0,IF(Verso!$B$23=$A561,1,0))</f>
        <v>0</v>
      </c>
      <c r="D561" s="91">
        <f>IF(Verso!$B$24="",0,IF(Verso!$B$24=$A561,1,0))</f>
        <v>0</v>
      </c>
      <c r="E561" s="91">
        <f>IF(Verso!$B$25="",0,IF(Verso!$B$25=$A561,1,0))</f>
        <v>0</v>
      </c>
      <c r="F561" s="91">
        <f>IF(Verso!$B$26="",0,IF(Verso!$B$26=$A561,1,0))</f>
        <v>0</v>
      </c>
      <c r="G561" s="295">
        <f t="shared" si="16"/>
        <v>0</v>
      </c>
    </row>
    <row r="562" spans="1:7" x14ac:dyDescent="0.25">
      <c r="A562" s="531" t="s">
        <v>1142</v>
      </c>
      <c r="B562" s="91">
        <f>IF(Verso!$B$22="",0,IF(Verso!$B$22=$A562,1,0))</f>
        <v>0</v>
      </c>
      <c r="C562" s="91">
        <f>IF(Verso!$B$23="",0,IF(Verso!$B$23=$A562,1,0))</f>
        <v>0</v>
      </c>
      <c r="D562" s="91">
        <f>IF(Verso!$B$24="",0,IF(Verso!$B$24=$A562,1,0))</f>
        <v>0</v>
      </c>
      <c r="E562" s="91">
        <f>IF(Verso!$B$25="",0,IF(Verso!$B$25=$A562,1,0))</f>
        <v>0</v>
      </c>
      <c r="F562" s="91">
        <f>IF(Verso!$B$26="",0,IF(Verso!$B$26=$A562,1,0))</f>
        <v>0</v>
      </c>
      <c r="G562" s="295">
        <f t="shared" ref="G562:G625" si="17">SUM(B562:F562)</f>
        <v>0</v>
      </c>
    </row>
    <row r="563" spans="1:7" x14ac:dyDescent="0.25">
      <c r="A563" s="531" t="s">
        <v>1144</v>
      </c>
      <c r="B563" s="91">
        <f>IF(Verso!$B$22="",0,IF(Verso!$B$22=$A563,1,0))</f>
        <v>0</v>
      </c>
      <c r="C563" s="91">
        <f>IF(Verso!$B$23="",0,IF(Verso!$B$23=$A563,1,0))</f>
        <v>0</v>
      </c>
      <c r="D563" s="91">
        <f>IF(Verso!$B$24="",0,IF(Verso!$B$24=$A563,1,0))</f>
        <v>0</v>
      </c>
      <c r="E563" s="91">
        <f>IF(Verso!$B$25="",0,IF(Verso!$B$25=$A563,1,0))</f>
        <v>0</v>
      </c>
      <c r="F563" s="91">
        <f>IF(Verso!$B$26="",0,IF(Verso!$B$26=$A563,1,0))</f>
        <v>0</v>
      </c>
      <c r="G563" s="295">
        <f t="shared" si="17"/>
        <v>0</v>
      </c>
    </row>
    <row r="564" spans="1:7" x14ac:dyDescent="0.25">
      <c r="A564" s="531" t="s">
        <v>1147</v>
      </c>
      <c r="B564" s="91">
        <f>IF(Verso!$B$22="",0,IF(Verso!$B$22=$A564,1,0))</f>
        <v>0</v>
      </c>
      <c r="C564" s="91">
        <f>IF(Verso!$B$23="",0,IF(Verso!$B$23=$A564,1,0))</f>
        <v>0</v>
      </c>
      <c r="D564" s="91">
        <f>IF(Verso!$B$24="",0,IF(Verso!$B$24=$A564,1,0))</f>
        <v>0</v>
      </c>
      <c r="E564" s="91">
        <f>IF(Verso!$B$25="",0,IF(Verso!$B$25=$A564,1,0))</f>
        <v>0</v>
      </c>
      <c r="F564" s="91">
        <f>IF(Verso!$B$26="",0,IF(Verso!$B$26=$A564,1,0))</f>
        <v>0</v>
      </c>
      <c r="G564" s="295">
        <f t="shared" si="17"/>
        <v>0</v>
      </c>
    </row>
    <row r="565" spans="1:7" x14ac:dyDescent="0.25">
      <c r="A565" s="531" t="s">
        <v>1146</v>
      </c>
      <c r="B565" s="91">
        <f>IF(Verso!$B$22="",0,IF(Verso!$B$22=$A565,1,0))</f>
        <v>0</v>
      </c>
      <c r="C565" s="91">
        <f>IF(Verso!$B$23="",0,IF(Verso!$B$23=$A565,1,0))</f>
        <v>0</v>
      </c>
      <c r="D565" s="91">
        <f>IF(Verso!$B$24="",0,IF(Verso!$B$24=$A565,1,0))</f>
        <v>0</v>
      </c>
      <c r="E565" s="91">
        <f>IF(Verso!$B$25="",0,IF(Verso!$B$25=$A565,1,0))</f>
        <v>0</v>
      </c>
      <c r="F565" s="91">
        <f>IF(Verso!$B$26="",0,IF(Verso!$B$26=$A565,1,0))</f>
        <v>0</v>
      </c>
      <c r="G565" s="295">
        <f t="shared" si="17"/>
        <v>0</v>
      </c>
    </row>
    <row r="566" spans="1:7" x14ac:dyDescent="0.25">
      <c r="A566" s="531" t="s">
        <v>1140</v>
      </c>
      <c r="B566" s="91">
        <f>IF(Verso!$B$22="",0,IF(Verso!$B$22=$A566,1,0))</f>
        <v>0</v>
      </c>
      <c r="C566" s="91">
        <f>IF(Verso!$B$23="",0,IF(Verso!$B$23=$A566,1,0))</f>
        <v>0</v>
      </c>
      <c r="D566" s="91">
        <f>IF(Verso!$B$24="",0,IF(Verso!$B$24=$A566,1,0))</f>
        <v>0</v>
      </c>
      <c r="E566" s="91">
        <f>IF(Verso!$B$25="",0,IF(Verso!$B$25=$A566,1,0))</f>
        <v>0</v>
      </c>
      <c r="F566" s="91">
        <f>IF(Verso!$B$26="",0,IF(Verso!$B$26=$A566,1,0))</f>
        <v>0</v>
      </c>
      <c r="G566" s="295">
        <f t="shared" si="17"/>
        <v>0</v>
      </c>
    </row>
    <row r="567" spans="1:7" x14ac:dyDescent="0.25">
      <c r="A567" s="531" t="s">
        <v>664</v>
      </c>
      <c r="B567" s="91">
        <f>IF(Verso!$B$22="",0,IF(Verso!$B$22=$A567,1,0))</f>
        <v>0</v>
      </c>
      <c r="C567" s="91">
        <f>IF(Verso!$B$23="",0,IF(Verso!$B$23=$A567,1,0))</f>
        <v>0</v>
      </c>
      <c r="D567" s="91">
        <f>IF(Verso!$B$24="",0,IF(Verso!$B$24=$A567,1,0))</f>
        <v>0</v>
      </c>
      <c r="E567" s="91">
        <f>IF(Verso!$B$25="",0,IF(Verso!$B$25=$A567,1,0))</f>
        <v>0</v>
      </c>
      <c r="F567" s="91">
        <f>IF(Verso!$B$26="",0,IF(Verso!$B$26=$A567,1,0))</f>
        <v>0</v>
      </c>
      <c r="G567" s="295">
        <f t="shared" si="17"/>
        <v>0</v>
      </c>
    </row>
    <row r="568" spans="1:7" x14ac:dyDescent="0.25">
      <c r="A568" s="531" t="s">
        <v>750</v>
      </c>
      <c r="B568" s="91">
        <f>IF(Verso!$B$22="",0,IF(Verso!$B$22=$A568,1,0))</f>
        <v>0</v>
      </c>
      <c r="C568" s="91">
        <f>IF(Verso!$B$23="",0,IF(Verso!$B$23=$A568,1,0))</f>
        <v>0</v>
      </c>
      <c r="D568" s="91">
        <f>IF(Verso!$B$24="",0,IF(Verso!$B$24=$A568,1,0))</f>
        <v>0</v>
      </c>
      <c r="E568" s="91">
        <f>IF(Verso!$B$25="",0,IF(Verso!$B$25=$A568,1,0))</f>
        <v>0</v>
      </c>
      <c r="F568" s="91">
        <f>IF(Verso!$B$26="",0,IF(Verso!$B$26=$A568,1,0))</f>
        <v>0</v>
      </c>
      <c r="G568" s="295">
        <f t="shared" si="17"/>
        <v>0</v>
      </c>
    </row>
    <row r="569" spans="1:7" x14ac:dyDescent="0.25">
      <c r="A569" s="531" t="s">
        <v>749</v>
      </c>
      <c r="B569" s="91">
        <f>IF(Verso!$B$22="",0,IF(Verso!$B$22=$A569,1,0))</f>
        <v>0</v>
      </c>
      <c r="C569" s="91">
        <f>IF(Verso!$B$23="",0,IF(Verso!$B$23=$A569,1,0))</f>
        <v>0</v>
      </c>
      <c r="D569" s="91">
        <f>IF(Verso!$B$24="",0,IF(Verso!$B$24=$A569,1,0))</f>
        <v>0</v>
      </c>
      <c r="E569" s="91">
        <f>IF(Verso!$B$25="",0,IF(Verso!$B$25=$A569,1,0))</f>
        <v>0</v>
      </c>
      <c r="F569" s="91">
        <f>IF(Verso!$B$26="",0,IF(Verso!$B$26=$A569,1,0))</f>
        <v>0</v>
      </c>
      <c r="G569" s="295">
        <f t="shared" si="17"/>
        <v>0</v>
      </c>
    </row>
    <row r="570" spans="1:7" x14ac:dyDescent="0.25">
      <c r="A570" s="531" t="s">
        <v>748</v>
      </c>
      <c r="B570" s="91">
        <f>IF(Verso!$B$22="",0,IF(Verso!$B$22=$A570,1,0))</f>
        <v>0</v>
      </c>
      <c r="C570" s="91">
        <f>IF(Verso!$B$23="",0,IF(Verso!$B$23=$A570,1,0))</f>
        <v>0</v>
      </c>
      <c r="D570" s="91">
        <f>IF(Verso!$B$24="",0,IF(Verso!$B$24=$A570,1,0))</f>
        <v>0</v>
      </c>
      <c r="E570" s="91">
        <f>IF(Verso!$B$25="",0,IF(Verso!$B$25=$A570,1,0))</f>
        <v>0</v>
      </c>
      <c r="F570" s="91">
        <f>IF(Verso!$B$26="",0,IF(Verso!$B$26=$A570,1,0))</f>
        <v>0</v>
      </c>
      <c r="G570" s="295">
        <f t="shared" si="17"/>
        <v>0</v>
      </c>
    </row>
    <row r="571" spans="1:7" x14ac:dyDescent="0.25">
      <c r="A571" s="531" t="s">
        <v>752</v>
      </c>
      <c r="B571" s="91">
        <f>IF(Verso!$B$22="",0,IF(Verso!$B$22=$A571,1,0))</f>
        <v>0</v>
      </c>
      <c r="C571" s="91">
        <f>IF(Verso!$B$23="",0,IF(Verso!$B$23=$A571,1,0))</f>
        <v>0</v>
      </c>
      <c r="D571" s="91">
        <f>IF(Verso!$B$24="",0,IF(Verso!$B$24=$A571,1,0))</f>
        <v>0</v>
      </c>
      <c r="E571" s="91">
        <f>IF(Verso!$B$25="",0,IF(Verso!$B$25=$A571,1,0))</f>
        <v>0</v>
      </c>
      <c r="F571" s="91">
        <f>IF(Verso!$B$26="",0,IF(Verso!$B$26=$A571,1,0))</f>
        <v>0</v>
      </c>
      <c r="G571" s="295">
        <f t="shared" si="17"/>
        <v>0</v>
      </c>
    </row>
    <row r="572" spans="1:7" x14ac:dyDescent="0.25">
      <c r="A572" s="531" t="s">
        <v>747</v>
      </c>
      <c r="B572" s="91">
        <f>IF(Verso!$B$22="",0,IF(Verso!$B$22=$A572,1,0))</f>
        <v>0</v>
      </c>
      <c r="C572" s="91">
        <f>IF(Verso!$B$23="",0,IF(Verso!$B$23=$A572,1,0))</f>
        <v>0</v>
      </c>
      <c r="D572" s="91">
        <f>IF(Verso!$B$24="",0,IF(Verso!$B$24=$A572,1,0))</f>
        <v>0</v>
      </c>
      <c r="E572" s="91">
        <f>IF(Verso!$B$25="",0,IF(Verso!$B$25=$A572,1,0))</f>
        <v>0</v>
      </c>
      <c r="F572" s="91">
        <f>IF(Verso!$B$26="",0,IF(Verso!$B$26=$A572,1,0))</f>
        <v>0</v>
      </c>
      <c r="G572" s="295">
        <f t="shared" si="17"/>
        <v>0</v>
      </c>
    </row>
    <row r="573" spans="1:7" x14ac:dyDescent="0.25">
      <c r="A573" s="531" t="s">
        <v>751</v>
      </c>
      <c r="B573" s="91">
        <f>IF(Verso!$B$22="",0,IF(Verso!$B$22=$A573,1,0))</f>
        <v>0</v>
      </c>
      <c r="C573" s="91">
        <f>IF(Verso!$B$23="",0,IF(Verso!$B$23=$A573,1,0))</f>
        <v>0</v>
      </c>
      <c r="D573" s="91">
        <f>IF(Verso!$B$24="",0,IF(Verso!$B$24=$A573,1,0))</f>
        <v>0</v>
      </c>
      <c r="E573" s="91">
        <f>IF(Verso!$B$25="",0,IF(Verso!$B$25=$A573,1,0))</f>
        <v>0</v>
      </c>
      <c r="F573" s="91">
        <f>IF(Verso!$B$26="",0,IF(Verso!$B$26=$A573,1,0))</f>
        <v>0</v>
      </c>
      <c r="G573" s="295">
        <f t="shared" si="17"/>
        <v>0</v>
      </c>
    </row>
    <row r="574" spans="1:7" x14ac:dyDescent="0.25">
      <c r="A574" s="531" t="s">
        <v>665</v>
      </c>
      <c r="B574" s="91">
        <f>IF(Verso!$B$22="",0,IF(Verso!$B$22=$A574,1,0))</f>
        <v>0</v>
      </c>
      <c r="C574" s="91">
        <f>IF(Verso!$B$23="",0,IF(Verso!$B$23=$A574,1,0))</f>
        <v>0</v>
      </c>
      <c r="D574" s="91">
        <f>IF(Verso!$B$24="",0,IF(Verso!$B$24=$A574,1,0))</f>
        <v>0</v>
      </c>
      <c r="E574" s="91">
        <f>IF(Verso!$B$25="",0,IF(Verso!$B$25=$A574,1,0))</f>
        <v>0</v>
      </c>
      <c r="F574" s="91">
        <f>IF(Verso!$B$26="",0,IF(Verso!$B$26=$A574,1,0))</f>
        <v>0</v>
      </c>
      <c r="G574" s="295">
        <f t="shared" si="17"/>
        <v>0</v>
      </c>
    </row>
    <row r="575" spans="1:7" x14ac:dyDescent="0.25">
      <c r="A575" s="531" t="s">
        <v>699</v>
      </c>
      <c r="B575" s="91">
        <f>IF(Verso!$B$22="",0,IF(Verso!$B$22=$A575,1,0))</f>
        <v>0</v>
      </c>
      <c r="C575" s="91">
        <f>IF(Verso!$B$23="",0,IF(Verso!$B$23=$A575,1,0))</f>
        <v>0</v>
      </c>
      <c r="D575" s="91">
        <f>IF(Verso!$B$24="",0,IF(Verso!$B$24=$A575,1,0))</f>
        <v>0</v>
      </c>
      <c r="E575" s="91">
        <f>IF(Verso!$B$25="",0,IF(Verso!$B$25=$A575,1,0))</f>
        <v>0</v>
      </c>
      <c r="F575" s="91">
        <f>IF(Verso!$B$26="",0,IF(Verso!$B$26=$A575,1,0))</f>
        <v>0</v>
      </c>
      <c r="G575" s="295">
        <f t="shared" si="17"/>
        <v>0</v>
      </c>
    </row>
    <row r="576" spans="1:7" x14ac:dyDescent="0.25">
      <c r="A576" s="531" t="s">
        <v>667</v>
      </c>
      <c r="B576" s="91">
        <f>IF(Verso!$B$22="",0,IF(Verso!$B$22=$A576,1,0))</f>
        <v>0</v>
      </c>
      <c r="C576" s="91">
        <f>IF(Verso!$B$23="",0,IF(Verso!$B$23=$A576,1,0))</f>
        <v>0</v>
      </c>
      <c r="D576" s="91">
        <f>IF(Verso!$B$24="",0,IF(Verso!$B$24=$A576,1,0))</f>
        <v>0</v>
      </c>
      <c r="E576" s="91">
        <f>IF(Verso!$B$25="",0,IF(Verso!$B$25=$A576,1,0))</f>
        <v>0</v>
      </c>
      <c r="F576" s="91">
        <f>IF(Verso!$B$26="",0,IF(Verso!$B$26=$A576,1,0))</f>
        <v>0</v>
      </c>
      <c r="G576" s="295">
        <f t="shared" si="17"/>
        <v>0</v>
      </c>
    </row>
    <row r="577" spans="1:7" x14ac:dyDescent="0.25">
      <c r="A577" s="531" t="s">
        <v>668</v>
      </c>
      <c r="B577" s="91">
        <f>IF(Verso!$B$22="",0,IF(Verso!$B$22=$A577,1,0))</f>
        <v>0</v>
      </c>
      <c r="C577" s="91">
        <f>IF(Verso!$B$23="",0,IF(Verso!$B$23=$A577,1,0))</f>
        <v>0</v>
      </c>
      <c r="D577" s="91">
        <f>IF(Verso!$B$24="",0,IF(Verso!$B$24=$A577,1,0))</f>
        <v>0</v>
      </c>
      <c r="E577" s="91">
        <f>IF(Verso!$B$25="",0,IF(Verso!$B$25=$A577,1,0))</f>
        <v>0</v>
      </c>
      <c r="F577" s="91">
        <f>IF(Verso!$B$26="",0,IF(Verso!$B$26=$A577,1,0))</f>
        <v>0</v>
      </c>
      <c r="G577" s="295">
        <f t="shared" si="17"/>
        <v>0</v>
      </c>
    </row>
    <row r="578" spans="1:7" x14ac:dyDescent="0.25">
      <c r="A578" s="531" t="s">
        <v>669</v>
      </c>
      <c r="B578" s="91">
        <f>IF(Verso!$B$22="",0,IF(Verso!$B$22=$A578,1,0))</f>
        <v>0</v>
      </c>
      <c r="C578" s="91">
        <f>IF(Verso!$B$23="",0,IF(Verso!$B$23=$A578,1,0))</f>
        <v>0</v>
      </c>
      <c r="D578" s="91">
        <f>IF(Verso!$B$24="",0,IF(Verso!$B$24=$A578,1,0))</f>
        <v>0</v>
      </c>
      <c r="E578" s="91">
        <f>IF(Verso!$B$25="",0,IF(Verso!$B$25=$A578,1,0))</f>
        <v>0</v>
      </c>
      <c r="F578" s="91">
        <f>IF(Verso!$B$26="",0,IF(Verso!$B$26=$A578,1,0))</f>
        <v>0</v>
      </c>
      <c r="G578" s="295">
        <f t="shared" si="17"/>
        <v>0</v>
      </c>
    </row>
    <row r="579" spans="1:7" x14ac:dyDescent="0.25">
      <c r="A579" s="531" t="s">
        <v>5785</v>
      </c>
      <c r="B579" s="91">
        <f>IF(Verso!$B$22="",0,IF(Verso!$B$22=$A579,1,0))</f>
        <v>0</v>
      </c>
      <c r="C579" s="91">
        <f>IF(Verso!$B$23="",0,IF(Verso!$B$23=$A579,1,0))</f>
        <v>0</v>
      </c>
      <c r="D579" s="91">
        <f>IF(Verso!$B$24="",0,IF(Verso!$B$24=$A579,1,0))</f>
        <v>0</v>
      </c>
      <c r="E579" s="91">
        <f>IF(Verso!$B$25="",0,IF(Verso!$B$25=$A579,1,0))</f>
        <v>0</v>
      </c>
      <c r="F579" s="91">
        <f>IF(Verso!$B$26="",0,IF(Verso!$B$26=$A579,1,0))</f>
        <v>0</v>
      </c>
      <c r="G579" s="295">
        <f t="shared" si="17"/>
        <v>0</v>
      </c>
    </row>
    <row r="580" spans="1:7" x14ac:dyDescent="0.25">
      <c r="A580" s="531" t="s">
        <v>5786</v>
      </c>
      <c r="B580" s="91">
        <f>IF(Verso!$B$22="",0,IF(Verso!$B$22=$A580,1,0))</f>
        <v>0</v>
      </c>
      <c r="C580" s="91">
        <f>IF(Verso!$B$23="",0,IF(Verso!$B$23=$A580,1,0))</f>
        <v>0</v>
      </c>
      <c r="D580" s="91">
        <f>IF(Verso!$B$24="",0,IF(Verso!$B$24=$A580,1,0))</f>
        <v>0</v>
      </c>
      <c r="E580" s="91">
        <f>IF(Verso!$B$25="",0,IF(Verso!$B$25=$A580,1,0))</f>
        <v>0</v>
      </c>
      <c r="F580" s="91">
        <f>IF(Verso!$B$26="",0,IF(Verso!$B$26=$A580,1,0))</f>
        <v>0</v>
      </c>
      <c r="G580" s="295">
        <f t="shared" si="17"/>
        <v>0</v>
      </c>
    </row>
    <row r="581" spans="1:7" x14ac:dyDescent="0.25">
      <c r="A581" s="531" t="s">
        <v>5787</v>
      </c>
      <c r="B581" s="91">
        <f>IF(Verso!$B$22="",0,IF(Verso!$B$22=$A581,1,0))</f>
        <v>0</v>
      </c>
      <c r="C581" s="91">
        <f>IF(Verso!$B$23="",0,IF(Verso!$B$23=$A581,1,0))</f>
        <v>0</v>
      </c>
      <c r="D581" s="91">
        <f>IF(Verso!$B$24="",0,IF(Verso!$B$24=$A581,1,0))</f>
        <v>0</v>
      </c>
      <c r="E581" s="91">
        <f>IF(Verso!$B$25="",0,IF(Verso!$B$25=$A581,1,0))</f>
        <v>0</v>
      </c>
      <c r="F581" s="91">
        <f>IF(Verso!$B$26="",0,IF(Verso!$B$26=$A581,1,0))</f>
        <v>0</v>
      </c>
      <c r="G581" s="295">
        <f t="shared" si="17"/>
        <v>0</v>
      </c>
    </row>
    <row r="582" spans="1:7" x14ac:dyDescent="0.25">
      <c r="A582" s="531" t="s">
        <v>5788</v>
      </c>
      <c r="B582" s="91">
        <f>IF(Verso!$B$22="",0,IF(Verso!$B$22=$A582,1,0))</f>
        <v>0</v>
      </c>
      <c r="C582" s="91">
        <f>IF(Verso!$B$23="",0,IF(Verso!$B$23=$A582,1,0))</f>
        <v>0</v>
      </c>
      <c r="D582" s="91">
        <f>IF(Verso!$B$24="",0,IF(Verso!$B$24=$A582,1,0))</f>
        <v>0</v>
      </c>
      <c r="E582" s="91">
        <f>IF(Verso!$B$25="",0,IF(Verso!$B$25=$A582,1,0))</f>
        <v>0</v>
      </c>
      <c r="F582" s="91">
        <f>IF(Verso!$B$26="",0,IF(Verso!$B$26=$A582,1,0))</f>
        <v>0</v>
      </c>
      <c r="G582" s="295">
        <f t="shared" si="17"/>
        <v>0</v>
      </c>
    </row>
    <row r="583" spans="1:7" x14ac:dyDescent="0.25">
      <c r="A583" s="531" t="s">
        <v>5789</v>
      </c>
      <c r="B583" s="91">
        <f>IF(Verso!$B$22="",0,IF(Verso!$B$22=$A583,1,0))</f>
        <v>0</v>
      </c>
      <c r="C583" s="91">
        <f>IF(Verso!$B$23="",0,IF(Verso!$B$23=$A583,1,0))</f>
        <v>0</v>
      </c>
      <c r="D583" s="91">
        <f>IF(Verso!$B$24="",0,IF(Verso!$B$24=$A583,1,0))</f>
        <v>0</v>
      </c>
      <c r="E583" s="91">
        <f>IF(Verso!$B$25="",0,IF(Verso!$B$25=$A583,1,0))</f>
        <v>0</v>
      </c>
      <c r="F583" s="91">
        <f>IF(Verso!$B$26="",0,IF(Verso!$B$26=$A583,1,0))</f>
        <v>0</v>
      </c>
      <c r="G583" s="295">
        <f t="shared" si="17"/>
        <v>0</v>
      </c>
    </row>
    <row r="584" spans="1:7" x14ac:dyDescent="0.25">
      <c r="A584" s="531" t="s">
        <v>693</v>
      </c>
      <c r="B584" s="91">
        <f>IF(Verso!$B$22="",0,IF(Verso!$B$22=$A584,1,0))</f>
        <v>0</v>
      </c>
      <c r="C584" s="91">
        <f>IF(Verso!$B$23="",0,IF(Verso!$B$23=$A584,1,0))</f>
        <v>0</v>
      </c>
      <c r="D584" s="91">
        <f>IF(Verso!$B$24="",0,IF(Verso!$B$24=$A584,1,0))</f>
        <v>0</v>
      </c>
      <c r="E584" s="91">
        <f>IF(Verso!$B$25="",0,IF(Verso!$B$25=$A584,1,0))</f>
        <v>0</v>
      </c>
      <c r="F584" s="91">
        <f>IF(Verso!$B$26="",0,IF(Verso!$B$26=$A584,1,0))</f>
        <v>0</v>
      </c>
      <c r="G584" s="295">
        <f t="shared" si="17"/>
        <v>0</v>
      </c>
    </row>
    <row r="585" spans="1:7" x14ac:dyDescent="0.25">
      <c r="A585" s="531" t="s">
        <v>670</v>
      </c>
      <c r="B585" s="91">
        <f>IF(Verso!$B$22="",0,IF(Verso!$B$22=$A585,1,0))</f>
        <v>0</v>
      </c>
      <c r="C585" s="91">
        <f>IF(Verso!$B$23="",0,IF(Verso!$B$23=$A585,1,0))</f>
        <v>0</v>
      </c>
      <c r="D585" s="91">
        <f>IF(Verso!$B$24="",0,IF(Verso!$B$24=$A585,1,0))</f>
        <v>0</v>
      </c>
      <c r="E585" s="91">
        <f>IF(Verso!$B$25="",0,IF(Verso!$B$25=$A585,1,0))</f>
        <v>0</v>
      </c>
      <c r="F585" s="91">
        <f>IF(Verso!$B$26="",0,IF(Verso!$B$26=$A585,1,0))</f>
        <v>0</v>
      </c>
      <c r="G585" s="295">
        <f t="shared" si="17"/>
        <v>0</v>
      </c>
    </row>
    <row r="586" spans="1:7" x14ac:dyDescent="0.25">
      <c r="A586" s="531" t="s">
        <v>1103</v>
      </c>
      <c r="B586" s="91">
        <f>IF(Verso!$B$22="",0,IF(Verso!$B$22=$A586,1,0))</f>
        <v>0</v>
      </c>
      <c r="C586" s="91">
        <f>IF(Verso!$B$23="",0,IF(Verso!$B$23=$A586,1,0))</f>
        <v>0</v>
      </c>
      <c r="D586" s="91">
        <f>IF(Verso!$B$24="",0,IF(Verso!$B$24=$A586,1,0))</f>
        <v>0</v>
      </c>
      <c r="E586" s="91">
        <f>IF(Verso!$B$25="",0,IF(Verso!$B$25=$A586,1,0))</f>
        <v>0</v>
      </c>
      <c r="F586" s="91">
        <f>IF(Verso!$B$26="",0,IF(Verso!$B$26=$A586,1,0))</f>
        <v>0</v>
      </c>
      <c r="G586" s="295">
        <f t="shared" si="17"/>
        <v>0</v>
      </c>
    </row>
    <row r="587" spans="1:7" x14ac:dyDescent="0.25">
      <c r="A587" s="531" t="s">
        <v>794</v>
      </c>
      <c r="B587" s="91">
        <f>IF(Verso!$B$22="",0,IF(Verso!$B$22=$A587,1,0))</f>
        <v>0</v>
      </c>
      <c r="C587" s="91">
        <f>IF(Verso!$B$23="",0,IF(Verso!$B$23=$A587,1,0))</f>
        <v>0</v>
      </c>
      <c r="D587" s="91">
        <f>IF(Verso!$B$24="",0,IF(Verso!$B$24=$A587,1,0))</f>
        <v>0</v>
      </c>
      <c r="E587" s="91">
        <f>IF(Verso!$B$25="",0,IF(Verso!$B$25=$A587,1,0))</f>
        <v>0</v>
      </c>
      <c r="F587" s="91">
        <f>IF(Verso!$B$26="",0,IF(Verso!$B$26=$A587,1,0))</f>
        <v>0</v>
      </c>
      <c r="G587" s="295">
        <f t="shared" si="17"/>
        <v>0</v>
      </c>
    </row>
    <row r="588" spans="1:7" x14ac:dyDescent="0.25">
      <c r="A588" s="531" t="s">
        <v>1126</v>
      </c>
      <c r="B588" s="91">
        <f>IF(Verso!$B$22="",0,IF(Verso!$B$22=$A588,1,0))</f>
        <v>0</v>
      </c>
      <c r="C588" s="91">
        <f>IF(Verso!$B$23="",0,IF(Verso!$B$23=$A588,1,0))</f>
        <v>0</v>
      </c>
      <c r="D588" s="91">
        <f>IF(Verso!$B$24="",0,IF(Verso!$B$24=$A588,1,0))</f>
        <v>0</v>
      </c>
      <c r="E588" s="91">
        <f>IF(Verso!$B$25="",0,IF(Verso!$B$25=$A588,1,0))</f>
        <v>0</v>
      </c>
      <c r="F588" s="91">
        <f>IF(Verso!$B$26="",0,IF(Verso!$B$26=$A588,1,0))</f>
        <v>0</v>
      </c>
      <c r="G588" s="295">
        <f t="shared" si="17"/>
        <v>0</v>
      </c>
    </row>
    <row r="589" spans="1:7" x14ac:dyDescent="0.25">
      <c r="A589" s="531" t="s">
        <v>4052</v>
      </c>
      <c r="B589" s="91">
        <f>IF(Verso!$B$22="",0,IF(Verso!$B$22=$A589,1,0))</f>
        <v>0</v>
      </c>
      <c r="C589" s="91">
        <f>IF(Verso!$B$23="",0,IF(Verso!$B$23=$A589,1,0))</f>
        <v>0</v>
      </c>
      <c r="D589" s="91">
        <f>IF(Verso!$B$24="",0,IF(Verso!$B$24=$A589,1,0))</f>
        <v>0</v>
      </c>
      <c r="E589" s="91">
        <f>IF(Verso!$B$25="",0,IF(Verso!$B$25=$A589,1,0))</f>
        <v>0</v>
      </c>
      <c r="F589" s="91">
        <f>IF(Verso!$B$26="",0,IF(Verso!$B$26=$A589,1,0))</f>
        <v>0</v>
      </c>
      <c r="G589" s="295">
        <f t="shared" si="17"/>
        <v>0</v>
      </c>
    </row>
    <row r="590" spans="1:7" x14ac:dyDescent="0.25">
      <c r="A590" s="531" t="s">
        <v>1125</v>
      </c>
      <c r="B590" s="91">
        <f>IF(Verso!$B$22="",0,IF(Verso!$B$22=$A590,1,0))</f>
        <v>0</v>
      </c>
      <c r="C590" s="91">
        <f>IF(Verso!$B$23="",0,IF(Verso!$B$23=$A590,1,0))</f>
        <v>0</v>
      </c>
      <c r="D590" s="91">
        <f>IF(Verso!$B$24="",0,IF(Verso!$B$24=$A590,1,0))</f>
        <v>0</v>
      </c>
      <c r="E590" s="91">
        <f>IF(Verso!$B$25="",0,IF(Verso!$B$25=$A590,1,0))</f>
        <v>0</v>
      </c>
      <c r="F590" s="91">
        <f>IF(Verso!$B$26="",0,IF(Verso!$B$26=$A590,1,0))</f>
        <v>0</v>
      </c>
      <c r="G590" s="295">
        <f t="shared" si="17"/>
        <v>0</v>
      </c>
    </row>
    <row r="591" spans="1:7" x14ac:dyDescent="0.25">
      <c r="A591" s="531" t="s">
        <v>1123</v>
      </c>
      <c r="B591" s="91">
        <f>IF(Verso!$B$22="",0,IF(Verso!$B$22=$A591,1,0))</f>
        <v>0</v>
      </c>
      <c r="C591" s="91">
        <f>IF(Verso!$B$23="",0,IF(Verso!$B$23=$A591,1,0))</f>
        <v>0</v>
      </c>
      <c r="D591" s="91">
        <f>IF(Verso!$B$24="",0,IF(Verso!$B$24=$A591,1,0))</f>
        <v>0</v>
      </c>
      <c r="E591" s="91">
        <f>IF(Verso!$B$25="",0,IF(Verso!$B$25=$A591,1,0))</f>
        <v>0</v>
      </c>
      <c r="F591" s="91">
        <f>IF(Verso!$B$26="",0,IF(Verso!$B$26=$A591,1,0))</f>
        <v>0</v>
      </c>
      <c r="G591" s="295">
        <f t="shared" si="17"/>
        <v>0</v>
      </c>
    </row>
    <row r="592" spans="1:7" x14ac:dyDescent="0.25">
      <c r="A592" s="531" t="s">
        <v>1124</v>
      </c>
      <c r="B592" s="91">
        <f>IF(Verso!$B$22="",0,IF(Verso!$B$22=$A592,1,0))</f>
        <v>0</v>
      </c>
      <c r="C592" s="91">
        <f>IF(Verso!$B$23="",0,IF(Verso!$B$23=$A592,1,0))</f>
        <v>0</v>
      </c>
      <c r="D592" s="91">
        <f>IF(Verso!$B$24="",0,IF(Verso!$B$24=$A592,1,0))</f>
        <v>0</v>
      </c>
      <c r="E592" s="91">
        <f>IF(Verso!$B$25="",0,IF(Verso!$B$25=$A592,1,0))</f>
        <v>0</v>
      </c>
      <c r="F592" s="91">
        <f>IF(Verso!$B$26="",0,IF(Verso!$B$26=$A592,1,0))</f>
        <v>0</v>
      </c>
      <c r="G592" s="295">
        <f t="shared" si="17"/>
        <v>0</v>
      </c>
    </row>
    <row r="593" spans="1:7" x14ac:dyDescent="0.25">
      <c r="A593" s="531" t="s">
        <v>671</v>
      </c>
      <c r="B593" s="91">
        <f>IF(Verso!$B$22="",0,IF(Verso!$B$22=$A593,1,0))</f>
        <v>0</v>
      </c>
      <c r="C593" s="91">
        <f>IF(Verso!$B$23="",0,IF(Verso!$B$23=$A593,1,0))</f>
        <v>0</v>
      </c>
      <c r="D593" s="91">
        <f>IF(Verso!$B$24="",0,IF(Verso!$B$24=$A593,1,0))</f>
        <v>0</v>
      </c>
      <c r="E593" s="91">
        <f>IF(Verso!$B$25="",0,IF(Verso!$B$25=$A593,1,0))</f>
        <v>0</v>
      </c>
      <c r="F593" s="91">
        <f>IF(Verso!$B$26="",0,IF(Verso!$B$26=$A593,1,0))</f>
        <v>0</v>
      </c>
      <c r="G593" s="295">
        <f t="shared" si="17"/>
        <v>0</v>
      </c>
    </row>
    <row r="594" spans="1:7" x14ac:dyDescent="0.25">
      <c r="A594" s="531" t="s">
        <v>672</v>
      </c>
      <c r="B594" s="91">
        <f>IF(Verso!$B$22="",0,IF(Verso!$B$22=$A594,1,0))</f>
        <v>0</v>
      </c>
      <c r="C594" s="91">
        <f>IF(Verso!$B$23="",0,IF(Verso!$B$23=$A594,1,0))</f>
        <v>0</v>
      </c>
      <c r="D594" s="91">
        <f>IF(Verso!$B$24="",0,IF(Verso!$B$24=$A594,1,0))</f>
        <v>0</v>
      </c>
      <c r="E594" s="91">
        <f>IF(Verso!$B$25="",0,IF(Verso!$B$25=$A594,1,0))</f>
        <v>0</v>
      </c>
      <c r="F594" s="91">
        <f>IF(Verso!$B$26="",0,IF(Verso!$B$26=$A594,1,0))</f>
        <v>0</v>
      </c>
      <c r="G594" s="295">
        <f t="shared" si="17"/>
        <v>0</v>
      </c>
    </row>
    <row r="595" spans="1:7" x14ac:dyDescent="0.25">
      <c r="A595" s="531" t="s">
        <v>673</v>
      </c>
      <c r="B595" s="91">
        <f>IF(Verso!$B$22="",0,IF(Verso!$B$22=$A595,1,0))</f>
        <v>0</v>
      </c>
      <c r="C595" s="91">
        <f>IF(Verso!$B$23="",0,IF(Verso!$B$23=$A595,1,0))</f>
        <v>0</v>
      </c>
      <c r="D595" s="91">
        <f>IF(Verso!$B$24="",0,IF(Verso!$B$24=$A595,1,0))</f>
        <v>0</v>
      </c>
      <c r="E595" s="91">
        <f>IF(Verso!$B$25="",0,IF(Verso!$B$25=$A595,1,0))</f>
        <v>0</v>
      </c>
      <c r="F595" s="91">
        <f>IF(Verso!$B$26="",0,IF(Verso!$B$26=$A595,1,0))</f>
        <v>0</v>
      </c>
      <c r="G595" s="295">
        <f t="shared" si="17"/>
        <v>0</v>
      </c>
    </row>
    <row r="596" spans="1:7" x14ac:dyDescent="0.25">
      <c r="A596" s="531" t="s">
        <v>79</v>
      </c>
      <c r="B596" s="91">
        <f>IF(Verso!$B$22="",0,IF(Verso!$B$22=$A596,1,0))</f>
        <v>0</v>
      </c>
      <c r="C596" s="91">
        <f>IF(Verso!$B$23="",0,IF(Verso!$B$23=$A596,1,0))</f>
        <v>0</v>
      </c>
      <c r="D596" s="91">
        <f>IF(Verso!$B$24="",0,IF(Verso!$B$24=$A596,1,0))</f>
        <v>0</v>
      </c>
      <c r="E596" s="91">
        <f>IF(Verso!$B$25="",0,IF(Verso!$B$25=$A596,1,0))</f>
        <v>0</v>
      </c>
      <c r="F596" s="91">
        <f>IF(Verso!$B$26="",0,IF(Verso!$B$26=$A596,1,0))</f>
        <v>0</v>
      </c>
      <c r="G596" s="295">
        <f t="shared" si="17"/>
        <v>0</v>
      </c>
    </row>
    <row r="597" spans="1:7" x14ac:dyDescent="0.25">
      <c r="A597" s="531" t="s">
        <v>674</v>
      </c>
      <c r="B597" s="91">
        <f>IF(Verso!$B$22="",0,IF(Verso!$B$22=$A597,1,0))</f>
        <v>0</v>
      </c>
      <c r="C597" s="91">
        <f>IF(Verso!$B$23="",0,IF(Verso!$B$23=$A597,1,0))</f>
        <v>0</v>
      </c>
      <c r="D597" s="91">
        <f>IF(Verso!$B$24="",0,IF(Verso!$B$24=$A597,1,0))</f>
        <v>0</v>
      </c>
      <c r="E597" s="91">
        <f>IF(Verso!$B$25="",0,IF(Verso!$B$25=$A597,1,0))</f>
        <v>0</v>
      </c>
      <c r="F597" s="91">
        <f>IF(Verso!$B$26="",0,IF(Verso!$B$26=$A597,1,0))</f>
        <v>0</v>
      </c>
      <c r="G597" s="295">
        <f t="shared" si="17"/>
        <v>0</v>
      </c>
    </row>
    <row r="598" spans="1:7" x14ac:dyDescent="0.25">
      <c r="A598" s="531" t="s">
        <v>677</v>
      </c>
      <c r="B598" s="91">
        <f>IF(Verso!$B$22="",0,IF(Verso!$B$22=$A598,1,0))</f>
        <v>0</v>
      </c>
      <c r="C598" s="91">
        <f>IF(Verso!$B$23="",0,IF(Verso!$B$23=$A598,1,0))</f>
        <v>0</v>
      </c>
      <c r="D598" s="91">
        <f>IF(Verso!$B$24="",0,IF(Verso!$B$24=$A598,1,0))</f>
        <v>0</v>
      </c>
      <c r="E598" s="91">
        <f>IF(Verso!$B$25="",0,IF(Verso!$B$25=$A598,1,0))</f>
        <v>0</v>
      </c>
      <c r="F598" s="91">
        <f>IF(Verso!$B$26="",0,IF(Verso!$B$26=$A598,1,0))</f>
        <v>0</v>
      </c>
      <c r="G598" s="295">
        <f t="shared" si="17"/>
        <v>0</v>
      </c>
    </row>
    <row r="599" spans="1:7" x14ac:dyDescent="0.25">
      <c r="A599" s="531" t="s">
        <v>6207</v>
      </c>
      <c r="B599" s="91">
        <f>IF(Verso!$B$22="",0,IF(Verso!$B$22=$A599,1,0))</f>
        <v>0</v>
      </c>
      <c r="C599" s="91">
        <f>IF(Verso!$B$23="",0,IF(Verso!$B$23=$A599,1,0))</f>
        <v>0</v>
      </c>
      <c r="D599" s="91">
        <f>IF(Verso!$B$24="",0,IF(Verso!$B$24=$A599,1,0))</f>
        <v>0</v>
      </c>
      <c r="E599" s="91">
        <f>IF(Verso!$B$25="",0,IF(Verso!$B$25=$A599,1,0))</f>
        <v>0</v>
      </c>
      <c r="F599" s="91">
        <f>IF(Verso!$B$26="",0,IF(Verso!$B$26=$A599,1,0))</f>
        <v>0</v>
      </c>
      <c r="G599" s="295">
        <f t="shared" si="17"/>
        <v>0</v>
      </c>
    </row>
    <row r="600" spans="1:7" x14ac:dyDescent="0.25">
      <c r="A600" s="531" t="s">
        <v>4512</v>
      </c>
      <c r="B600" s="91">
        <f>IF(Verso!$B$22="",0,IF(Verso!$B$22=$A600,1,0))</f>
        <v>0</v>
      </c>
      <c r="C600" s="91">
        <f>IF(Verso!$B$23="",0,IF(Verso!$B$23=$A600,1,0))</f>
        <v>0</v>
      </c>
      <c r="D600" s="91">
        <f>IF(Verso!$B$24="",0,IF(Verso!$B$24=$A600,1,0))</f>
        <v>0</v>
      </c>
      <c r="E600" s="91">
        <f>IF(Verso!$B$25="",0,IF(Verso!$B$25=$A600,1,0))</f>
        <v>0</v>
      </c>
      <c r="F600" s="91">
        <f>IF(Verso!$B$26="",0,IF(Verso!$B$26=$A600,1,0))</f>
        <v>0</v>
      </c>
      <c r="G600" s="295">
        <f t="shared" si="17"/>
        <v>0</v>
      </c>
    </row>
    <row r="601" spans="1:7" x14ac:dyDescent="0.25">
      <c r="A601" s="531" t="s">
        <v>7509</v>
      </c>
      <c r="B601" s="91">
        <f>IF(Verso!$B$22="",0,IF(Verso!$B$22=$A601,1,0))</f>
        <v>0</v>
      </c>
      <c r="C601" s="91">
        <f>IF(Verso!$B$23="",0,IF(Verso!$B$23=$A601,1,0))</f>
        <v>0</v>
      </c>
      <c r="D601" s="91">
        <f>IF(Verso!$B$24="",0,IF(Verso!$B$24=$A601,1,0))</f>
        <v>0</v>
      </c>
      <c r="E601" s="91">
        <f>IF(Verso!$B$25="",0,IF(Verso!$B$25=$A601,1,0))</f>
        <v>0</v>
      </c>
      <c r="F601" s="91">
        <f>IF(Verso!$B$26="",0,IF(Verso!$B$26=$A601,1,0))</f>
        <v>0</v>
      </c>
      <c r="G601" s="295">
        <f t="shared" si="17"/>
        <v>0</v>
      </c>
    </row>
    <row r="602" spans="1:7" x14ac:dyDescent="0.25">
      <c r="A602" s="531" t="s">
        <v>7511</v>
      </c>
      <c r="B602" s="91">
        <f>IF(Verso!$B$22="",0,IF(Verso!$B$22=$A602,1,0))</f>
        <v>0</v>
      </c>
      <c r="C602" s="91">
        <f>IF(Verso!$B$23="",0,IF(Verso!$B$23=$A602,1,0))</f>
        <v>0</v>
      </c>
      <c r="D602" s="91">
        <f>IF(Verso!$B$24="",0,IF(Verso!$B$24=$A602,1,0))</f>
        <v>0</v>
      </c>
      <c r="E602" s="91">
        <f>IF(Verso!$B$25="",0,IF(Verso!$B$25=$A602,1,0))</f>
        <v>0</v>
      </c>
      <c r="F602" s="91">
        <f>IF(Verso!$B$26="",0,IF(Verso!$B$26=$A602,1,0))</f>
        <v>0</v>
      </c>
      <c r="G602" s="295">
        <f t="shared" si="17"/>
        <v>0</v>
      </c>
    </row>
    <row r="603" spans="1:7" x14ac:dyDescent="0.25">
      <c r="A603" s="531" t="s">
        <v>1117</v>
      </c>
      <c r="B603" s="91">
        <f>IF(Verso!$B$22="",0,IF(Verso!$B$22=$A603,1,0))</f>
        <v>0</v>
      </c>
      <c r="C603" s="91">
        <f>IF(Verso!$B$23="",0,IF(Verso!$B$23=$A603,1,0))</f>
        <v>0</v>
      </c>
      <c r="D603" s="91">
        <f>IF(Verso!$B$24="",0,IF(Verso!$B$24=$A603,1,0))</f>
        <v>0</v>
      </c>
      <c r="E603" s="91">
        <f>IF(Verso!$B$25="",0,IF(Verso!$B$25=$A603,1,0))</f>
        <v>0</v>
      </c>
      <c r="F603" s="91">
        <f>IF(Verso!$B$26="",0,IF(Verso!$B$26=$A603,1,0))</f>
        <v>0</v>
      </c>
      <c r="G603" s="295">
        <f t="shared" si="17"/>
        <v>0</v>
      </c>
    </row>
    <row r="604" spans="1:7" x14ac:dyDescent="0.25">
      <c r="A604" s="531" t="s">
        <v>1116</v>
      </c>
      <c r="B604" s="91">
        <f>IF(Verso!$B$22="",0,IF(Verso!$B$22=$A604,1,0))</f>
        <v>0</v>
      </c>
      <c r="C604" s="91">
        <f>IF(Verso!$B$23="",0,IF(Verso!$B$23=$A604,1,0))</f>
        <v>0</v>
      </c>
      <c r="D604" s="91">
        <f>IF(Verso!$B$24="",0,IF(Verso!$B$24=$A604,1,0))</f>
        <v>0</v>
      </c>
      <c r="E604" s="91">
        <f>IF(Verso!$B$25="",0,IF(Verso!$B$25=$A604,1,0))</f>
        <v>0</v>
      </c>
      <c r="F604" s="91">
        <f>IF(Verso!$B$26="",0,IF(Verso!$B$26=$A604,1,0))</f>
        <v>0</v>
      </c>
      <c r="G604" s="295">
        <f t="shared" si="17"/>
        <v>0</v>
      </c>
    </row>
    <row r="605" spans="1:7" x14ac:dyDescent="0.25">
      <c r="A605" s="531" t="s">
        <v>7513</v>
      </c>
      <c r="B605" s="91">
        <f>IF(Verso!$B$22="",0,IF(Verso!$B$22=$A605,1,0))</f>
        <v>0</v>
      </c>
      <c r="C605" s="91">
        <f>IF(Verso!$B$23="",0,IF(Verso!$B$23=$A605,1,0))</f>
        <v>0</v>
      </c>
      <c r="D605" s="91">
        <f>IF(Verso!$B$24="",0,IF(Verso!$B$24=$A605,1,0))</f>
        <v>0</v>
      </c>
      <c r="E605" s="91">
        <f>IF(Verso!$B$25="",0,IF(Verso!$B$25=$A605,1,0))</f>
        <v>0</v>
      </c>
      <c r="F605" s="91">
        <f>IF(Verso!$B$26="",0,IF(Verso!$B$26=$A605,1,0))</f>
        <v>0</v>
      </c>
      <c r="G605" s="295">
        <f t="shared" si="17"/>
        <v>0</v>
      </c>
    </row>
    <row r="606" spans="1:7" x14ac:dyDescent="0.25">
      <c r="A606" s="531" t="s">
        <v>7515</v>
      </c>
      <c r="B606" s="91">
        <f>IF(Verso!$B$22="",0,IF(Verso!$B$22=$A606,1,0))</f>
        <v>0</v>
      </c>
      <c r="C606" s="91">
        <f>IF(Verso!$B$23="",0,IF(Verso!$B$23=$A606,1,0))</f>
        <v>0</v>
      </c>
      <c r="D606" s="91">
        <f>IF(Verso!$B$24="",0,IF(Verso!$B$24=$A606,1,0))</f>
        <v>0</v>
      </c>
      <c r="E606" s="91">
        <f>IF(Verso!$B$25="",0,IF(Verso!$B$25=$A606,1,0))</f>
        <v>0</v>
      </c>
      <c r="F606" s="91">
        <f>IF(Verso!$B$26="",0,IF(Verso!$B$26=$A606,1,0))</f>
        <v>0</v>
      </c>
      <c r="G606" s="295">
        <f t="shared" si="17"/>
        <v>0</v>
      </c>
    </row>
    <row r="607" spans="1:7" x14ac:dyDescent="0.25">
      <c r="A607" s="531" t="s">
        <v>1112</v>
      </c>
      <c r="B607" s="91">
        <f>IF(Verso!$B$22="",0,IF(Verso!$B$22=$A607,1,0))</f>
        <v>0</v>
      </c>
      <c r="C607" s="91">
        <f>IF(Verso!$B$23="",0,IF(Verso!$B$23=$A607,1,0))</f>
        <v>0</v>
      </c>
      <c r="D607" s="91">
        <f>IF(Verso!$B$24="",0,IF(Verso!$B$24=$A607,1,0))</f>
        <v>0</v>
      </c>
      <c r="E607" s="91">
        <f>IF(Verso!$B$25="",0,IF(Verso!$B$25=$A607,1,0))</f>
        <v>0</v>
      </c>
      <c r="F607" s="91">
        <f>IF(Verso!$B$26="",0,IF(Verso!$B$26=$A607,1,0))</f>
        <v>0</v>
      </c>
      <c r="G607" s="295">
        <f t="shared" si="17"/>
        <v>0</v>
      </c>
    </row>
    <row r="608" spans="1:7" x14ac:dyDescent="0.25">
      <c r="A608" s="531" t="s">
        <v>1114</v>
      </c>
      <c r="B608" s="91">
        <f>IF(Verso!$B$22="",0,IF(Verso!$B$22=$A608,1,0))</f>
        <v>0</v>
      </c>
      <c r="C608" s="91">
        <f>IF(Verso!$B$23="",0,IF(Verso!$B$23=$A608,1,0))</f>
        <v>0</v>
      </c>
      <c r="D608" s="91">
        <f>IF(Verso!$B$24="",0,IF(Verso!$B$24=$A608,1,0))</f>
        <v>0</v>
      </c>
      <c r="E608" s="91">
        <f>IF(Verso!$B$25="",0,IF(Verso!$B$25=$A608,1,0))</f>
        <v>0</v>
      </c>
      <c r="F608" s="91">
        <f>IF(Verso!$B$26="",0,IF(Verso!$B$26=$A608,1,0))</f>
        <v>0</v>
      </c>
      <c r="G608" s="295">
        <f t="shared" si="17"/>
        <v>0</v>
      </c>
    </row>
    <row r="609" spans="1:7" x14ac:dyDescent="0.25">
      <c r="A609" s="531" t="s">
        <v>1108</v>
      </c>
      <c r="B609" s="91">
        <f>IF(Verso!$B$22="",0,IF(Verso!$B$22=$A609,1,0))</f>
        <v>0</v>
      </c>
      <c r="C609" s="91">
        <f>IF(Verso!$B$23="",0,IF(Verso!$B$23=$A609,1,0))</f>
        <v>0</v>
      </c>
      <c r="D609" s="91">
        <f>IF(Verso!$B$24="",0,IF(Verso!$B$24=$A609,1,0))</f>
        <v>0</v>
      </c>
      <c r="E609" s="91">
        <f>IF(Verso!$B$25="",0,IF(Verso!$B$25=$A609,1,0))</f>
        <v>0</v>
      </c>
      <c r="F609" s="91">
        <f>IF(Verso!$B$26="",0,IF(Verso!$B$26=$A609,1,0))</f>
        <v>0</v>
      </c>
      <c r="G609" s="295">
        <f t="shared" si="17"/>
        <v>0</v>
      </c>
    </row>
    <row r="610" spans="1:7" x14ac:dyDescent="0.25">
      <c r="A610" s="531" t="s">
        <v>1107</v>
      </c>
      <c r="B610" s="91">
        <f>IF(Verso!$B$22="",0,IF(Verso!$B$22=$A610,1,0))</f>
        <v>0</v>
      </c>
      <c r="C610" s="91">
        <f>IF(Verso!$B$23="",0,IF(Verso!$B$23=$A610,1,0))</f>
        <v>0</v>
      </c>
      <c r="D610" s="91">
        <f>IF(Verso!$B$24="",0,IF(Verso!$B$24=$A610,1,0))</f>
        <v>0</v>
      </c>
      <c r="E610" s="91">
        <f>IF(Verso!$B$25="",0,IF(Verso!$B$25=$A610,1,0))</f>
        <v>0</v>
      </c>
      <c r="F610" s="91">
        <f>IF(Verso!$B$26="",0,IF(Verso!$B$26=$A610,1,0))</f>
        <v>0</v>
      </c>
      <c r="G610" s="295">
        <f t="shared" si="17"/>
        <v>0</v>
      </c>
    </row>
    <row r="611" spans="1:7" x14ac:dyDescent="0.25">
      <c r="A611" s="531" t="s">
        <v>1110</v>
      </c>
      <c r="B611" s="91">
        <f>IF(Verso!$B$22="",0,IF(Verso!$B$22=$A611,1,0))</f>
        <v>0</v>
      </c>
      <c r="C611" s="91">
        <f>IF(Verso!$B$23="",0,IF(Verso!$B$23=$A611,1,0))</f>
        <v>0</v>
      </c>
      <c r="D611" s="91">
        <f>IF(Verso!$B$24="",0,IF(Verso!$B$24=$A611,1,0))</f>
        <v>0</v>
      </c>
      <c r="E611" s="91">
        <f>IF(Verso!$B$25="",0,IF(Verso!$B$25=$A611,1,0))</f>
        <v>0</v>
      </c>
      <c r="F611" s="91">
        <f>IF(Verso!$B$26="",0,IF(Verso!$B$26=$A611,1,0))</f>
        <v>0</v>
      </c>
      <c r="G611" s="295">
        <f t="shared" si="17"/>
        <v>0</v>
      </c>
    </row>
    <row r="612" spans="1:7" x14ac:dyDescent="0.25">
      <c r="A612" s="531" t="s">
        <v>7517</v>
      </c>
      <c r="B612" s="91">
        <f>IF(Verso!$B$22="",0,IF(Verso!$B$22=$A612,1,0))</f>
        <v>0</v>
      </c>
      <c r="C612" s="91">
        <f>IF(Verso!$B$23="",0,IF(Verso!$B$23=$A612,1,0))</f>
        <v>0</v>
      </c>
      <c r="D612" s="91">
        <f>IF(Verso!$B$24="",0,IF(Verso!$B$24=$A612,1,0))</f>
        <v>0</v>
      </c>
      <c r="E612" s="91">
        <f>IF(Verso!$B$25="",0,IF(Verso!$B$25=$A612,1,0))</f>
        <v>0</v>
      </c>
      <c r="F612" s="91">
        <f>IF(Verso!$B$26="",0,IF(Verso!$B$26=$A612,1,0))</f>
        <v>0</v>
      </c>
      <c r="G612" s="295">
        <f t="shared" si="17"/>
        <v>0</v>
      </c>
    </row>
    <row r="613" spans="1:7" x14ac:dyDescent="0.25">
      <c r="A613" s="531" t="s">
        <v>5769</v>
      </c>
      <c r="B613" s="91">
        <f>IF(Verso!$B$22="",0,IF(Verso!$B$22=$A613,1,0))</f>
        <v>0</v>
      </c>
      <c r="C613" s="91">
        <f>IF(Verso!$B$23="",0,IF(Verso!$B$23=$A613,1,0))</f>
        <v>0</v>
      </c>
      <c r="D613" s="91">
        <f>IF(Verso!$B$24="",0,IF(Verso!$B$24=$A613,1,0))</f>
        <v>0</v>
      </c>
      <c r="E613" s="91">
        <f>IF(Verso!$B$25="",0,IF(Verso!$B$25=$A613,1,0))</f>
        <v>0</v>
      </c>
      <c r="F613" s="91">
        <f>IF(Verso!$B$26="",0,IF(Verso!$B$26=$A613,1,0))</f>
        <v>0</v>
      </c>
      <c r="G613" s="295">
        <f t="shared" si="17"/>
        <v>0</v>
      </c>
    </row>
    <row r="614" spans="1:7" x14ac:dyDescent="0.25">
      <c r="A614" s="531" t="s">
        <v>5772</v>
      </c>
      <c r="B614" s="91">
        <f>IF(Verso!$B$22="",0,IF(Verso!$B$22=$A614,1,0))</f>
        <v>0</v>
      </c>
      <c r="C614" s="91">
        <f>IF(Verso!$B$23="",0,IF(Verso!$B$23=$A614,1,0))</f>
        <v>0</v>
      </c>
      <c r="D614" s="91">
        <f>IF(Verso!$B$24="",0,IF(Verso!$B$24=$A614,1,0))</f>
        <v>0</v>
      </c>
      <c r="E614" s="91">
        <f>IF(Verso!$B$25="",0,IF(Verso!$B$25=$A614,1,0))</f>
        <v>0</v>
      </c>
      <c r="F614" s="91">
        <f>IF(Verso!$B$26="",0,IF(Verso!$B$26=$A614,1,0))</f>
        <v>0</v>
      </c>
      <c r="G614" s="295">
        <f t="shared" si="17"/>
        <v>0</v>
      </c>
    </row>
    <row r="615" spans="1:7" x14ac:dyDescent="0.25">
      <c r="A615" s="531" t="s">
        <v>5771</v>
      </c>
      <c r="B615" s="91">
        <f>IF(Verso!$B$22="",0,IF(Verso!$B$22=$A615,1,0))</f>
        <v>0</v>
      </c>
      <c r="C615" s="91">
        <f>IF(Verso!$B$23="",0,IF(Verso!$B$23=$A615,1,0))</f>
        <v>0</v>
      </c>
      <c r="D615" s="91">
        <f>IF(Verso!$B$24="",0,IF(Verso!$B$24=$A615,1,0))</f>
        <v>0</v>
      </c>
      <c r="E615" s="91">
        <f>IF(Verso!$B$25="",0,IF(Verso!$B$25=$A615,1,0))</f>
        <v>0</v>
      </c>
      <c r="F615" s="91">
        <f>IF(Verso!$B$26="",0,IF(Verso!$B$26=$A615,1,0))</f>
        <v>0</v>
      </c>
      <c r="G615" s="295">
        <f t="shared" si="17"/>
        <v>0</v>
      </c>
    </row>
    <row r="616" spans="1:7" x14ac:dyDescent="0.25">
      <c r="A616" s="531" t="s">
        <v>678</v>
      </c>
      <c r="B616" s="91">
        <f>IF(Verso!$B$22="",0,IF(Verso!$B$22=$A616,1,0))</f>
        <v>0</v>
      </c>
      <c r="C616" s="91">
        <f>IF(Verso!$B$23="",0,IF(Verso!$B$23=$A616,1,0))</f>
        <v>0</v>
      </c>
      <c r="D616" s="91">
        <f>IF(Verso!$B$24="",0,IF(Verso!$B$24=$A616,1,0))</f>
        <v>0</v>
      </c>
      <c r="E616" s="91">
        <f>IF(Verso!$B$25="",0,IF(Verso!$B$25=$A616,1,0))</f>
        <v>0</v>
      </c>
      <c r="F616" s="91">
        <f>IF(Verso!$B$26="",0,IF(Verso!$B$26=$A616,1,0))</f>
        <v>0</v>
      </c>
      <c r="G616" s="295">
        <f t="shared" si="17"/>
        <v>0</v>
      </c>
    </row>
    <row r="617" spans="1:7" x14ac:dyDescent="0.25">
      <c r="A617" s="531" t="s">
        <v>4047</v>
      </c>
      <c r="B617" s="91">
        <f>IF(Verso!$B$22="",0,IF(Verso!$B$22=$A617,1,0))</f>
        <v>0</v>
      </c>
      <c r="C617" s="91">
        <f>IF(Verso!$B$23="",0,IF(Verso!$B$23=$A617,1,0))</f>
        <v>0</v>
      </c>
      <c r="D617" s="91">
        <f>IF(Verso!$B$24="",0,IF(Verso!$B$24=$A617,1,0))</f>
        <v>0</v>
      </c>
      <c r="E617" s="91">
        <f>IF(Verso!$B$25="",0,IF(Verso!$B$25=$A617,1,0))</f>
        <v>0</v>
      </c>
      <c r="F617" s="91">
        <f>IF(Verso!$B$26="",0,IF(Verso!$B$26=$A617,1,0))</f>
        <v>0</v>
      </c>
      <c r="G617" s="295">
        <f t="shared" si="17"/>
        <v>0</v>
      </c>
    </row>
    <row r="618" spans="1:7" x14ac:dyDescent="0.25">
      <c r="A618" s="531" t="s">
        <v>4046</v>
      </c>
      <c r="B618" s="91">
        <f>IF(Verso!$B$22="",0,IF(Verso!$B$22=$A618,1,0))</f>
        <v>0</v>
      </c>
      <c r="C618" s="91">
        <f>IF(Verso!$B$23="",0,IF(Verso!$B$23=$A618,1,0))</f>
        <v>0</v>
      </c>
      <c r="D618" s="91">
        <f>IF(Verso!$B$24="",0,IF(Verso!$B$24=$A618,1,0))</f>
        <v>0</v>
      </c>
      <c r="E618" s="91">
        <f>IF(Verso!$B$25="",0,IF(Verso!$B$25=$A618,1,0))</f>
        <v>0</v>
      </c>
      <c r="F618" s="91">
        <f>IF(Verso!$B$26="",0,IF(Verso!$B$26=$A618,1,0))</f>
        <v>0</v>
      </c>
      <c r="G618" s="295">
        <f t="shared" si="17"/>
        <v>0</v>
      </c>
    </row>
    <row r="619" spans="1:7" x14ac:dyDescent="0.25">
      <c r="A619" s="531" t="s">
        <v>4044</v>
      </c>
      <c r="B619" s="91">
        <f>IF(Verso!$B$22="",0,IF(Verso!$B$22=$A619,1,0))</f>
        <v>0</v>
      </c>
      <c r="C619" s="91">
        <f>IF(Verso!$B$23="",0,IF(Verso!$B$23=$A619,1,0))</f>
        <v>0</v>
      </c>
      <c r="D619" s="91">
        <f>IF(Verso!$B$24="",0,IF(Verso!$B$24=$A619,1,0))</f>
        <v>0</v>
      </c>
      <c r="E619" s="91">
        <f>IF(Verso!$B$25="",0,IF(Verso!$B$25=$A619,1,0))</f>
        <v>0</v>
      </c>
      <c r="F619" s="91">
        <f>IF(Verso!$B$26="",0,IF(Verso!$B$26=$A619,1,0))</f>
        <v>0</v>
      </c>
      <c r="G619" s="295">
        <f t="shared" si="17"/>
        <v>0</v>
      </c>
    </row>
    <row r="620" spans="1:7" x14ac:dyDescent="0.25">
      <c r="A620" s="531" t="s">
        <v>4040</v>
      </c>
      <c r="B620" s="91">
        <f>IF(Verso!$B$22="",0,IF(Verso!$B$22=$A620,1,0))</f>
        <v>0</v>
      </c>
      <c r="C620" s="91">
        <f>IF(Verso!$B$23="",0,IF(Verso!$B$23=$A620,1,0))</f>
        <v>0</v>
      </c>
      <c r="D620" s="91">
        <f>IF(Verso!$B$24="",0,IF(Verso!$B$24=$A620,1,0))</f>
        <v>0</v>
      </c>
      <c r="E620" s="91">
        <f>IF(Verso!$B$25="",0,IF(Verso!$B$25=$A620,1,0))</f>
        <v>0</v>
      </c>
      <c r="F620" s="91">
        <f>IF(Verso!$B$26="",0,IF(Verso!$B$26=$A620,1,0))</f>
        <v>0</v>
      </c>
      <c r="G620" s="295">
        <f t="shared" si="17"/>
        <v>0</v>
      </c>
    </row>
    <row r="621" spans="1:7" x14ac:dyDescent="0.25">
      <c r="A621" s="531" t="s">
        <v>4042</v>
      </c>
      <c r="B621" s="91">
        <f>IF(Verso!$B$22="",0,IF(Verso!$B$22=$A621,1,0))</f>
        <v>0</v>
      </c>
      <c r="C621" s="91">
        <f>IF(Verso!$B$23="",0,IF(Verso!$B$23=$A621,1,0))</f>
        <v>0</v>
      </c>
      <c r="D621" s="91">
        <f>IF(Verso!$B$24="",0,IF(Verso!$B$24=$A621,1,0))</f>
        <v>0</v>
      </c>
      <c r="E621" s="91">
        <f>IF(Verso!$B$25="",0,IF(Verso!$B$25=$A621,1,0))</f>
        <v>0</v>
      </c>
      <c r="F621" s="91">
        <f>IF(Verso!$B$26="",0,IF(Verso!$B$26=$A621,1,0))</f>
        <v>0</v>
      </c>
      <c r="G621" s="295">
        <f t="shared" si="17"/>
        <v>0</v>
      </c>
    </row>
    <row r="622" spans="1:7" x14ac:dyDescent="0.25">
      <c r="A622" s="531" t="s">
        <v>679</v>
      </c>
      <c r="B622" s="91">
        <f>IF(Verso!$B$22="",0,IF(Verso!$B$22=$A622,1,0))</f>
        <v>0</v>
      </c>
      <c r="C622" s="91">
        <f>IF(Verso!$B$23="",0,IF(Verso!$B$23=$A622,1,0))</f>
        <v>0</v>
      </c>
      <c r="D622" s="91">
        <f>IF(Verso!$B$24="",0,IF(Verso!$B$24=$A622,1,0))</f>
        <v>0</v>
      </c>
      <c r="E622" s="91">
        <f>IF(Verso!$B$25="",0,IF(Verso!$B$25=$A622,1,0))</f>
        <v>0</v>
      </c>
      <c r="F622" s="91">
        <f>IF(Verso!$B$26="",0,IF(Verso!$B$26=$A622,1,0))</f>
        <v>0</v>
      </c>
      <c r="G622" s="295">
        <f t="shared" si="17"/>
        <v>0</v>
      </c>
    </row>
    <row r="623" spans="1:7" x14ac:dyDescent="0.25">
      <c r="A623" s="531" t="s">
        <v>817</v>
      </c>
      <c r="B623" s="91">
        <f>IF(Verso!$B$22="",0,IF(Verso!$B$22=$A623,1,0))</f>
        <v>0</v>
      </c>
      <c r="C623" s="91">
        <f>IF(Verso!$B$23="",0,IF(Verso!$B$23=$A623,1,0))</f>
        <v>0</v>
      </c>
      <c r="D623" s="91">
        <f>IF(Verso!$B$24="",0,IF(Verso!$B$24=$A623,1,0))</f>
        <v>0</v>
      </c>
      <c r="E623" s="91">
        <f>IF(Verso!$B$25="",0,IF(Verso!$B$25=$A623,1,0))</f>
        <v>0</v>
      </c>
      <c r="F623" s="91">
        <f>IF(Verso!$B$26="",0,IF(Verso!$B$26=$A623,1,0))</f>
        <v>0</v>
      </c>
      <c r="G623" s="295">
        <f t="shared" si="17"/>
        <v>0</v>
      </c>
    </row>
    <row r="624" spans="1:7" x14ac:dyDescent="0.25">
      <c r="A624" s="531" t="s">
        <v>81</v>
      </c>
      <c r="B624" s="91">
        <f>IF(Verso!$B$22="",0,IF(Verso!$B$22=$A624,1,0))</f>
        <v>0</v>
      </c>
      <c r="C624" s="91">
        <f>IF(Verso!$B$23="",0,IF(Verso!$B$23=$A624,1,0))</f>
        <v>0</v>
      </c>
      <c r="D624" s="91">
        <f>IF(Verso!$B$24="",0,IF(Verso!$B$24=$A624,1,0))</f>
        <v>0</v>
      </c>
      <c r="E624" s="91">
        <f>IF(Verso!$B$25="",0,IF(Verso!$B$25=$A624,1,0))</f>
        <v>0</v>
      </c>
      <c r="F624" s="91">
        <f>IF(Verso!$B$26="",0,IF(Verso!$B$26=$A624,1,0))</f>
        <v>0</v>
      </c>
      <c r="G624" s="295">
        <f t="shared" si="17"/>
        <v>0</v>
      </c>
    </row>
    <row r="625" spans="1:8" x14ac:dyDescent="0.25">
      <c r="A625" s="531" t="s">
        <v>815</v>
      </c>
      <c r="B625" s="91">
        <f>IF(Verso!$B$22="",0,IF(Verso!$B$22=$A625,1,0))</f>
        <v>0</v>
      </c>
      <c r="C625" s="91">
        <f>IF(Verso!$B$23="",0,IF(Verso!$B$23=$A625,1,0))</f>
        <v>0</v>
      </c>
      <c r="D625" s="91">
        <f>IF(Verso!$B$24="",0,IF(Verso!$B$24=$A625,1,0))</f>
        <v>0</v>
      </c>
      <c r="E625" s="91">
        <f>IF(Verso!$B$25="",0,IF(Verso!$B$25=$A625,1,0))</f>
        <v>0</v>
      </c>
      <c r="F625" s="91">
        <f>IF(Verso!$B$26="",0,IF(Verso!$B$26=$A625,1,0))</f>
        <v>0</v>
      </c>
      <c r="G625" s="295">
        <f t="shared" si="17"/>
        <v>0</v>
      </c>
    </row>
    <row r="626" spans="1:8" x14ac:dyDescent="0.25">
      <c r="A626" s="531" t="s">
        <v>1028</v>
      </c>
      <c r="B626" s="91">
        <f>IF(Verso!$B$22="",0,IF(Verso!$B$22=$A626,1,0))</f>
        <v>0</v>
      </c>
      <c r="C626" s="91">
        <f>IF(Verso!$B$23="",0,IF(Verso!$B$23=$A626,1,0))</f>
        <v>0</v>
      </c>
      <c r="D626" s="91">
        <f>IF(Verso!$B$24="",0,IF(Verso!$B$24=$A626,1,0))</f>
        <v>0</v>
      </c>
      <c r="E626" s="91">
        <f>IF(Verso!$B$25="",0,IF(Verso!$B$25=$A626,1,0))</f>
        <v>0</v>
      </c>
      <c r="F626" s="91">
        <f>IF(Verso!$B$26="",0,IF(Verso!$B$26=$A626,1,0))</f>
        <v>0</v>
      </c>
      <c r="G626" s="295">
        <f t="shared" ref="G626:G690" si="18">SUM(B626:F626)</f>
        <v>0</v>
      </c>
    </row>
    <row r="627" spans="1:8" x14ac:dyDescent="0.25">
      <c r="A627" s="531" t="s">
        <v>1026</v>
      </c>
      <c r="B627" s="91">
        <f>IF(Verso!$B$22="",0,IF(Verso!$B$22=$A627,1,0))</f>
        <v>0</v>
      </c>
      <c r="C627" s="91">
        <f>IF(Verso!$B$23="",0,IF(Verso!$B$23=$A627,1,0))</f>
        <v>0</v>
      </c>
      <c r="D627" s="91">
        <f>IF(Verso!$B$24="",0,IF(Verso!$B$24=$A627,1,0))</f>
        <v>0</v>
      </c>
      <c r="E627" s="91">
        <f>IF(Verso!$B$25="",0,IF(Verso!$B$25=$A627,1,0))</f>
        <v>0</v>
      </c>
      <c r="F627" s="91">
        <f>IF(Verso!$B$26="",0,IF(Verso!$B$26=$A627,1,0))</f>
        <v>0</v>
      </c>
      <c r="G627" s="295">
        <f t="shared" si="18"/>
        <v>0</v>
      </c>
    </row>
    <row r="628" spans="1:8" x14ac:dyDescent="0.25">
      <c r="A628" s="531" t="s">
        <v>1033</v>
      </c>
      <c r="B628" s="91">
        <f>IF(Verso!$B$22="",0,IF(Verso!$B$22=$A628,1,0))</f>
        <v>0</v>
      </c>
      <c r="C628" s="91">
        <f>IF(Verso!$B$23="",0,IF(Verso!$B$23=$A628,1,0))</f>
        <v>0</v>
      </c>
      <c r="D628" s="91">
        <f>IF(Verso!$B$24="",0,IF(Verso!$B$24=$A628,1,0))</f>
        <v>0</v>
      </c>
      <c r="E628" s="91">
        <f>IF(Verso!$B$25="",0,IF(Verso!$B$25=$A628,1,0))</f>
        <v>0</v>
      </c>
      <c r="F628" s="91">
        <f>IF(Verso!$B$26="",0,IF(Verso!$B$26=$A628,1,0))</f>
        <v>0</v>
      </c>
      <c r="G628" s="295">
        <f t="shared" si="18"/>
        <v>0</v>
      </c>
    </row>
    <row r="629" spans="1:8" x14ac:dyDescent="0.25">
      <c r="A629" s="531" t="s">
        <v>1039</v>
      </c>
      <c r="B629" s="91">
        <f>IF(Verso!$B$22="",0,IF(Verso!$B$22=$A629,1,0))</f>
        <v>0</v>
      </c>
      <c r="C629" s="91">
        <f>IF(Verso!$B$23="",0,IF(Verso!$B$23=$A629,1,0))</f>
        <v>0</v>
      </c>
      <c r="D629" s="91">
        <f>IF(Verso!$B$24="",0,IF(Verso!$B$24=$A629,1,0))</f>
        <v>0</v>
      </c>
      <c r="E629" s="91">
        <f>IF(Verso!$B$25="",0,IF(Verso!$B$25=$A629,1,0))</f>
        <v>0</v>
      </c>
      <c r="F629" s="91">
        <f>IF(Verso!$B$26="",0,IF(Verso!$B$26=$A629,1,0))</f>
        <v>0</v>
      </c>
      <c r="G629" s="295">
        <f t="shared" si="18"/>
        <v>0</v>
      </c>
    </row>
    <row r="630" spans="1:8" x14ac:dyDescent="0.25">
      <c r="A630" s="531" t="s">
        <v>1024</v>
      </c>
      <c r="B630" s="91">
        <f>IF(Verso!$B$22="",0,IF(Verso!$B$22=$A630,1,0))</f>
        <v>0</v>
      </c>
      <c r="C630" s="91">
        <f>IF(Verso!$B$23="",0,IF(Verso!$B$23=$A630,1,0))</f>
        <v>0</v>
      </c>
      <c r="D630" s="91">
        <f>IF(Verso!$B$24="",0,IF(Verso!$B$24=$A630,1,0))</f>
        <v>0</v>
      </c>
      <c r="E630" s="91">
        <f>IF(Verso!$B$25="",0,IF(Verso!$B$25=$A630,1,0))</f>
        <v>0</v>
      </c>
      <c r="F630" s="91">
        <f>IF(Verso!$B$26="",0,IF(Verso!$B$26=$A630,1,0))</f>
        <v>0</v>
      </c>
      <c r="G630" s="295">
        <f t="shared" si="18"/>
        <v>0</v>
      </c>
    </row>
    <row r="631" spans="1:8" x14ac:dyDescent="0.25">
      <c r="A631" s="531" t="s">
        <v>1029</v>
      </c>
      <c r="B631" s="91">
        <f>IF(Verso!$B$22="",0,IF(Verso!$B$22=$A631,1,0))</f>
        <v>0</v>
      </c>
      <c r="C631" s="91">
        <f>IF(Verso!$B$23="",0,IF(Verso!$B$23=$A631,1,0))</f>
        <v>0</v>
      </c>
      <c r="D631" s="91">
        <f>IF(Verso!$B$24="",0,IF(Verso!$B$24=$A631,1,0))</f>
        <v>0</v>
      </c>
      <c r="E631" s="91">
        <f>IF(Verso!$B$25="",0,IF(Verso!$B$25=$A631,1,0))</f>
        <v>0</v>
      </c>
      <c r="F631" s="91">
        <f>IF(Verso!$B$26="",0,IF(Verso!$B$26=$A631,1,0))</f>
        <v>0</v>
      </c>
      <c r="G631" s="295">
        <f t="shared" si="18"/>
        <v>0</v>
      </c>
    </row>
    <row r="632" spans="1:8" x14ac:dyDescent="0.25">
      <c r="A632" s="531" t="s">
        <v>1037</v>
      </c>
      <c r="B632" s="91">
        <f>IF(Verso!$B$22="",0,IF(Verso!$B$22=$A632,1,0))</f>
        <v>0</v>
      </c>
      <c r="C632" s="91">
        <f>IF(Verso!$B$23="",0,IF(Verso!$B$23=$A632,1,0))</f>
        <v>0</v>
      </c>
      <c r="D632" s="91">
        <f>IF(Verso!$B$24="",0,IF(Verso!$B$24=$A632,1,0))</f>
        <v>0</v>
      </c>
      <c r="E632" s="91">
        <f>IF(Verso!$B$25="",0,IF(Verso!$B$25=$A632,1,0))</f>
        <v>0</v>
      </c>
      <c r="F632" s="91">
        <f>IF(Verso!$B$26="",0,IF(Verso!$B$26=$A632,1,0))</f>
        <v>0</v>
      </c>
      <c r="G632" s="295">
        <f t="shared" si="18"/>
        <v>0</v>
      </c>
    </row>
    <row r="633" spans="1:8" x14ac:dyDescent="0.25">
      <c r="A633" s="531" t="s">
        <v>1036</v>
      </c>
      <c r="B633" s="91">
        <f>IF(Verso!$B$22="",0,IF(Verso!$B$22=$A633,1,0))</f>
        <v>0</v>
      </c>
      <c r="C633" s="91">
        <f>IF(Verso!$B$23="",0,IF(Verso!$B$23=$A633,1,0))</f>
        <v>0</v>
      </c>
      <c r="D633" s="91">
        <f>IF(Verso!$B$24="",0,IF(Verso!$B$24=$A633,1,0))</f>
        <v>0</v>
      </c>
      <c r="E633" s="91">
        <f>IF(Verso!$B$25="",0,IF(Verso!$B$25=$A633,1,0))</f>
        <v>0</v>
      </c>
      <c r="F633" s="91">
        <f>IF(Verso!$B$26="",0,IF(Verso!$B$26=$A633,1,0))</f>
        <v>0</v>
      </c>
      <c r="G633" s="295">
        <f t="shared" si="18"/>
        <v>0</v>
      </c>
    </row>
    <row r="634" spans="1:8" x14ac:dyDescent="0.25">
      <c r="A634" s="531" t="s">
        <v>1032</v>
      </c>
      <c r="B634" s="91">
        <f>IF(Verso!$B$22="",0,IF(Verso!$B$22=$A634,1,0))</f>
        <v>0</v>
      </c>
      <c r="C634" s="91">
        <f>IF(Verso!$B$23="",0,IF(Verso!$B$23=$A634,1,0))</f>
        <v>0</v>
      </c>
      <c r="D634" s="91">
        <f>IF(Verso!$B$24="",0,IF(Verso!$B$24=$A634,1,0))</f>
        <v>0</v>
      </c>
      <c r="E634" s="91">
        <f>IF(Verso!$B$25="",0,IF(Verso!$B$25=$A634,1,0))</f>
        <v>0</v>
      </c>
      <c r="F634" s="91">
        <f>IF(Verso!$B$26="",0,IF(Verso!$B$26=$A634,1,0))</f>
        <v>0</v>
      </c>
      <c r="G634" s="295">
        <f t="shared" si="18"/>
        <v>0</v>
      </c>
    </row>
    <row r="635" spans="1:8" x14ac:dyDescent="0.25">
      <c r="A635" s="531" t="s">
        <v>1038</v>
      </c>
      <c r="B635" s="91">
        <f>IF(Verso!$B$22="",0,IF(Verso!$B$22=$A635,1,0))</f>
        <v>0</v>
      </c>
      <c r="C635" s="91">
        <f>IF(Verso!$B$23="",0,IF(Verso!$B$23=$A635,1,0))</f>
        <v>0</v>
      </c>
      <c r="D635" s="91">
        <f>IF(Verso!$B$24="",0,IF(Verso!$B$24=$A635,1,0))</f>
        <v>0</v>
      </c>
      <c r="E635" s="91">
        <f>IF(Verso!$B$25="",0,IF(Verso!$B$25=$A635,1,0))</f>
        <v>0</v>
      </c>
      <c r="F635" s="91">
        <f>IF(Verso!$B$26="",0,IF(Verso!$B$26=$A635,1,0))</f>
        <v>0</v>
      </c>
      <c r="G635" s="295">
        <f t="shared" si="18"/>
        <v>0</v>
      </c>
    </row>
    <row r="636" spans="1:8" x14ac:dyDescent="0.25">
      <c r="A636" s="531" t="str">
        <f>IF(Contexte_jeu="L'Empire Stellaire d'Emeraude","Ombre d'Hida Secundus","Ombre de la Cité Ruinée")</f>
        <v>Ombre de la Cité Ruinée</v>
      </c>
      <c r="B636" s="91">
        <f>IF(Verso!$B$22="",0,IF(Verso!$B$22=$A636,1,0))</f>
        <v>0</v>
      </c>
      <c r="C636" s="91">
        <f>IF(Verso!$B$23="",0,IF(Verso!$B$23=$A636,1,0))</f>
        <v>0</v>
      </c>
      <c r="D636" s="91">
        <f>IF(Verso!$B$24="",0,IF(Verso!$B$24=$A636,1,0))</f>
        <v>0</v>
      </c>
      <c r="E636" s="91">
        <f>IF(Verso!$B$25="",0,IF(Verso!$B$25=$A636,1,0))</f>
        <v>0</v>
      </c>
      <c r="F636" s="91">
        <f>IF(Verso!$B$26="",0,IF(Verso!$B$26=$A636,1,0))</f>
        <v>0</v>
      </c>
      <c r="G636" s="295">
        <f t="shared" si="18"/>
        <v>0</v>
      </c>
    </row>
    <row r="637" spans="1:8" x14ac:dyDescent="0.25">
      <c r="A637" s="531" t="s">
        <v>7519</v>
      </c>
      <c r="B637" s="91">
        <f>IF(Verso!$B$22="",0,IF(Verso!$B$22=$A637,1,0))</f>
        <v>0</v>
      </c>
      <c r="C637" s="91">
        <f>IF(Verso!$B$23="",0,IF(Verso!$B$23=$A637,1,0))</f>
        <v>0</v>
      </c>
      <c r="D637" s="91">
        <f>IF(Verso!$B$24="",0,IF(Verso!$B$24=$A637,1,0))</f>
        <v>0</v>
      </c>
      <c r="E637" s="91">
        <f>IF(Verso!$B$25="",0,IF(Verso!$B$25=$A637,1,0))</f>
        <v>0</v>
      </c>
      <c r="F637" s="91">
        <f>IF(Verso!$B$26="",0,IF(Verso!$B$26=$A637,1,0))</f>
        <v>0</v>
      </c>
      <c r="G637" s="295">
        <f t="shared" si="18"/>
        <v>0</v>
      </c>
      <c r="H637" s="534" t="s">
        <v>8240</v>
      </c>
    </row>
    <row r="638" spans="1:8" x14ac:dyDescent="0.25">
      <c r="A638" s="531" t="s">
        <v>6150</v>
      </c>
      <c r="B638" s="91">
        <f>IF(Verso!$B$22="",0,IF(Verso!$B$22=$A638,1,0))</f>
        <v>0</v>
      </c>
      <c r="C638" s="91">
        <f>IF(Verso!$B$23="",0,IF(Verso!$B$23=$A638,1,0))</f>
        <v>0</v>
      </c>
      <c r="D638" s="91">
        <f>IF(Verso!$B$24="",0,IF(Verso!$B$24=$A638,1,0))</f>
        <v>0</v>
      </c>
      <c r="E638" s="91">
        <f>IF(Verso!$B$25="",0,IF(Verso!$B$25=$A638,1,0))</f>
        <v>0</v>
      </c>
      <c r="F638" s="91">
        <f>IF(Verso!$B$26="",0,IF(Verso!$B$26=$A638,1,0))</f>
        <v>0</v>
      </c>
      <c r="G638" s="295">
        <f t="shared" si="18"/>
        <v>0</v>
      </c>
      <c r="H638">
        <f>SUM(G638:G644)</f>
        <v>0</v>
      </c>
    </row>
    <row r="639" spans="1:8" x14ac:dyDescent="0.25">
      <c r="A639" s="531" t="s">
        <v>6151</v>
      </c>
      <c r="B639" s="91">
        <f>IF(Verso!$B$22="",0,IF(Verso!$B$22=$A639,1,0))</f>
        <v>0</v>
      </c>
      <c r="C639" s="91">
        <f>IF(Verso!$B$23="",0,IF(Verso!$B$23=$A639,1,0))</f>
        <v>0</v>
      </c>
      <c r="D639" s="91">
        <f>IF(Verso!$B$24="",0,IF(Verso!$B$24=$A639,1,0))</f>
        <v>0</v>
      </c>
      <c r="E639" s="91">
        <f>IF(Verso!$B$25="",0,IF(Verso!$B$25=$A639,1,0))</f>
        <v>0</v>
      </c>
      <c r="F639" s="91">
        <f>IF(Verso!$B$26="",0,IF(Verso!$B$26=$A639,1,0))</f>
        <v>0</v>
      </c>
      <c r="G639" s="295">
        <f t="shared" si="18"/>
        <v>0</v>
      </c>
    </row>
    <row r="640" spans="1:8" x14ac:dyDescent="0.25">
      <c r="A640" s="531" t="s">
        <v>6152</v>
      </c>
      <c r="B640" s="91">
        <f>IF(Verso!$B$22="",0,IF(Verso!$B$22=$A640,1,0))</f>
        <v>0</v>
      </c>
      <c r="C640" s="91">
        <f>IF(Verso!$B$23="",0,IF(Verso!$B$23=$A640,1,0))</f>
        <v>0</v>
      </c>
      <c r="D640" s="91">
        <f>IF(Verso!$B$24="",0,IF(Verso!$B$24=$A640,1,0))</f>
        <v>0</v>
      </c>
      <c r="E640" s="91">
        <f>IF(Verso!$B$25="",0,IF(Verso!$B$25=$A640,1,0))</f>
        <v>0</v>
      </c>
      <c r="F640" s="91">
        <f>IF(Verso!$B$26="",0,IF(Verso!$B$26=$A640,1,0))</f>
        <v>0</v>
      </c>
      <c r="G640" s="295">
        <f t="shared" si="18"/>
        <v>0</v>
      </c>
    </row>
    <row r="641" spans="1:7" x14ac:dyDescent="0.25">
      <c r="A641" s="531" t="s">
        <v>6153</v>
      </c>
      <c r="B641" s="91">
        <f>IF(Verso!$B$22="",0,IF(Verso!$B$22=$A641,1,0))</f>
        <v>0</v>
      </c>
      <c r="C641" s="91">
        <f>IF(Verso!$B$23="",0,IF(Verso!$B$23=$A641,1,0))</f>
        <v>0</v>
      </c>
      <c r="D641" s="91">
        <f>IF(Verso!$B$24="",0,IF(Verso!$B$24=$A641,1,0))</f>
        <v>0</v>
      </c>
      <c r="E641" s="91">
        <f>IF(Verso!$B$25="",0,IF(Verso!$B$25=$A641,1,0))</f>
        <v>0</v>
      </c>
      <c r="F641" s="91">
        <f>IF(Verso!$B$26="",0,IF(Verso!$B$26=$A641,1,0))</f>
        <v>0</v>
      </c>
      <c r="G641" s="295">
        <f t="shared" si="18"/>
        <v>0</v>
      </c>
    </row>
    <row r="642" spans="1:7" x14ac:dyDescent="0.25">
      <c r="A642" s="531" t="s">
        <v>6154</v>
      </c>
      <c r="B642" s="91">
        <f>IF(Verso!$B$22="",0,IF(Verso!$B$22=$A642,1,0))</f>
        <v>0</v>
      </c>
      <c r="C642" s="91">
        <f>IF(Verso!$B$23="",0,IF(Verso!$B$23=$A642,1,0))</f>
        <v>0</v>
      </c>
      <c r="D642" s="91">
        <f>IF(Verso!$B$24="",0,IF(Verso!$B$24=$A642,1,0))</f>
        <v>0</v>
      </c>
      <c r="E642" s="91">
        <f>IF(Verso!$B$25="",0,IF(Verso!$B$25=$A642,1,0))</f>
        <v>0</v>
      </c>
      <c r="F642" s="91">
        <f>IF(Verso!$B$26="",0,IF(Verso!$B$26=$A642,1,0))</f>
        <v>0</v>
      </c>
      <c r="G642" s="295">
        <f t="shared" si="18"/>
        <v>0</v>
      </c>
    </row>
    <row r="643" spans="1:7" x14ac:dyDescent="0.25">
      <c r="A643" s="531" t="s">
        <v>6155</v>
      </c>
      <c r="B643" s="91">
        <f>IF(Verso!$B$22="",0,IF(Verso!$B$22=$A643,1,0))</f>
        <v>0</v>
      </c>
      <c r="C643" s="91">
        <f>IF(Verso!$B$23="",0,IF(Verso!$B$23=$A643,1,0))</f>
        <v>0</v>
      </c>
      <c r="D643" s="91">
        <f>IF(Verso!$B$24="",0,IF(Verso!$B$24=$A643,1,0))</f>
        <v>0</v>
      </c>
      <c r="E643" s="91">
        <f>IF(Verso!$B$25="",0,IF(Verso!$B$25=$A643,1,0))</f>
        <v>0</v>
      </c>
      <c r="F643" s="91">
        <f>IF(Verso!$B$26="",0,IF(Verso!$B$26=$A643,1,0))</f>
        <v>0</v>
      </c>
      <c r="G643" s="295">
        <f t="shared" si="18"/>
        <v>0</v>
      </c>
    </row>
    <row r="644" spans="1:7" x14ac:dyDescent="0.25">
      <c r="A644" s="531" t="s">
        <v>6156</v>
      </c>
      <c r="B644" s="91">
        <f>IF(Verso!$B$22="",0,IF(Verso!$B$22=$A644,1,0))</f>
        <v>0</v>
      </c>
      <c r="C644" s="91">
        <f>IF(Verso!$B$23="",0,IF(Verso!$B$23=$A644,1,0))</f>
        <v>0</v>
      </c>
      <c r="D644" s="91">
        <f>IF(Verso!$B$24="",0,IF(Verso!$B$24=$A644,1,0))</f>
        <v>0</v>
      </c>
      <c r="E644" s="91">
        <f>IF(Verso!$B$25="",0,IF(Verso!$B$25=$A644,1,0))</f>
        <v>0</v>
      </c>
      <c r="F644" s="91">
        <f>IF(Verso!$B$26="",0,IF(Verso!$B$26=$A644,1,0))</f>
        <v>0</v>
      </c>
      <c r="G644" s="295">
        <f t="shared" si="18"/>
        <v>0</v>
      </c>
    </row>
    <row r="645" spans="1:7" x14ac:dyDescent="0.25">
      <c r="A645" s="531" t="s">
        <v>7564</v>
      </c>
      <c r="B645" s="91">
        <f>IF(Verso!$B$22="",0,IF(Verso!$B$22=$A645,1,0))</f>
        <v>0</v>
      </c>
      <c r="C645" s="91">
        <f>IF(Verso!$B$23="",0,IF(Verso!$B$23=$A645,1,0))</f>
        <v>0</v>
      </c>
      <c r="D645" s="91">
        <f>IF(Verso!$B$24="",0,IF(Verso!$B$24=$A645,1,0))</f>
        <v>0</v>
      </c>
      <c r="E645" s="91">
        <f>IF(Verso!$B$25="",0,IF(Verso!$B$25=$A645,1,0))</f>
        <v>0</v>
      </c>
      <c r="F645" s="91">
        <f>IF(Verso!$B$26="",0,IF(Verso!$B$26=$A645,1,0))</f>
        <v>0</v>
      </c>
      <c r="G645" s="295">
        <f t="shared" si="18"/>
        <v>0</v>
      </c>
    </row>
    <row r="646" spans="1:7" x14ac:dyDescent="0.25">
      <c r="A646" s="531" t="s">
        <v>690</v>
      </c>
      <c r="B646" s="91">
        <f>IF(Verso!$B$22="",0,IF(Verso!$B$22=$A646,1,0))</f>
        <v>0</v>
      </c>
      <c r="C646" s="91">
        <f>IF(Verso!$B$23="",0,IF(Verso!$B$23=$A646,1,0))</f>
        <v>0</v>
      </c>
      <c r="D646" s="91">
        <f>IF(Verso!$B$24="",0,IF(Verso!$B$24=$A646,1,0))</f>
        <v>0</v>
      </c>
      <c r="E646" s="91">
        <f>IF(Verso!$B$25="",0,IF(Verso!$B$25=$A646,1,0))</f>
        <v>0</v>
      </c>
      <c r="F646" s="91">
        <f>IF(Verso!$B$26="",0,IF(Verso!$B$26=$A646,1,0))</f>
        <v>0</v>
      </c>
      <c r="G646" s="295">
        <f t="shared" si="18"/>
        <v>0</v>
      </c>
    </row>
    <row r="647" spans="1:7" s="196" customFormat="1" x14ac:dyDescent="0.25">
      <c r="A647" s="186" t="s">
        <v>8250</v>
      </c>
      <c r="B647" s="91">
        <f>IF(Verso!$B$22="",0,IF(Verso!$B$22=$A647,1,0))</f>
        <v>0</v>
      </c>
      <c r="C647" s="91">
        <f>IF(Verso!$B$23="",0,IF(Verso!$B$23=$A647,1,0))</f>
        <v>0</v>
      </c>
      <c r="D647" s="91">
        <f>IF(Verso!$B$24="",0,IF(Verso!$B$24=$A647,1,0))</f>
        <v>0</v>
      </c>
      <c r="E647" s="91">
        <f>IF(Verso!$B$25="",0,IF(Verso!$B$25=$A647,1,0))</f>
        <v>0</v>
      </c>
      <c r="F647" s="91">
        <f>IF(Verso!$B$26="",0,IF(Verso!$B$26=$A647,1,0))</f>
        <v>0</v>
      </c>
      <c r="G647" s="295">
        <f>SUM(B647:F647)</f>
        <v>0</v>
      </c>
    </row>
    <row r="648" spans="1:7" x14ac:dyDescent="0.25">
      <c r="A648" s="531" t="s">
        <v>795</v>
      </c>
      <c r="B648" s="91">
        <f>IF(Verso!$B$22="",0,IF(Verso!$B$22=$A648,1,0))</f>
        <v>0</v>
      </c>
      <c r="C648" s="91">
        <f>IF(Verso!$B$23="",0,IF(Verso!$B$23=$A648,1,0))</f>
        <v>0</v>
      </c>
      <c r="D648" s="91">
        <f>IF(Verso!$B$24="",0,IF(Verso!$B$24=$A648,1,0))</f>
        <v>0</v>
      </c>
      <c r="E648" s="91">
        <f>IF(Verso!$B$25="",0,IF(Verso!$B$25=$A648,1,0))</f>
        <v>0</v>
      </c>
      <c r="F648" s="91">
        <f>IF(Verso!$B$26="",0,IF(Verso!$B$26=$A648,1,0))</f>
        <v>0</v>
      </c>
      <c r="G648" s="295">
        <f t="shared" si="18"/>
        <v>0</v>
      </c>
    </row>
    <row r="649" spans="1:7" x14ac:dyDescent="0.25">
      <c r="A649" s="531" t="s">
        <v>7521</v>
      </c>
      <c r="B649" s="91">
        <f>IF(Verso!$B$22="",0,IF(Verso!$B$22=$A649,1,0))</f>
        <v>0</v>
      </c>
      <c r="C649" s="91">
        <f>IF(Verso!$B$23="",0,IF(Verso!$B$23=$A649,1,0))</f>
        <v>0</v>
      </c>
      <c r="D649" s="91">
        <f>IF(Verso!$B$24="",0,IF(Verso!$B$24=$A649,1,0))</f>
        <v>0</v>
      </c>
      <c r="E649" s="91">
        <f>IF(Verso!$B$25="",0,IF(Verso!$B$25=$A649,1,0))</f>
        <v>0</v>
      </c>
      <c r="F649" s="91">
        <f>IF(Verso!$B$26="",0,IF(Verso!$B$26=$A649,1,0))</f>
        <v>0</v>
      </c>
      <c r="G649" s="295">
        <f t="shared" si="18"/>
        <v>0</v>
      </c>
    </row>
    <row r="650" spans="1:7" x14ac:dyDescent="0.25">
      <c r="A650" s="531" t="s">
        <v>686</v>
      </c>
      <c r="B650" s="91">
        <f>IF(Verso!$B$22="",0,IF(Verso!$B$22=$A650,1,0))</f>
        <v>0</v>
      </c>
      <c r="C650" s="91">
        <f>IF(Verso!$B$23="",0,IF(Verso!$B$23=$A650,1,0))</f>
        <v>0</v>
      </c>
      <c r="D650" s="91">
        <f>IF(Verso!$B$24="",0,IF(Verso!$B$24=$A650,1,0))</f>
        <v>0</v>
      </c>
      <c r="E650" s="91">
        <f>IF(Verso!$B$25="",0,IF(Verso!$B$25=$A650,1,0))</f>
        <v>0</v>
      </c>
      <c r="F650" s="91">
        <f>IF(Verso!$B$26="",0,IF(Verso!$B$26=$A650,1,0))</f>
        <v>0</v>
      </c>
      <c r="G650" s="295">
        <f t="shared" si="18"/>
        <v>0</v>
      </c>
    </row>
    <row r="651" spans="1:7" x14ac:dyDescent="0.25">
      <c r="A651" s="531" t="s">
        <v>812</v>
      </c>
      <c r="B651" s="91">
        <f>IF(Verso!$B$22="",0,IF(Verso!$B$22=$A651,1,0))</f>
        <v>0</v>
      </c>
      <c r="C651" s="91">
        <f>IF(Verso!$B$23="",0,IF(Verso!$B$23=$A651,1,0))</f>
        <v>0</v>
      </c>
      <c r="D651" s="91">
        <f>IF(Verso!$B$24="",0,IF(Verso!$B$24=$A651,1,0))</f>
        <v>0</v>
      </c>
      <c r="E651" s="91">
        <f>IF(Verso!$B$25="",0,IF(Verso!$B$25=$A651,1,0))</f>
        <v>0</v>
      </c>
      <c r="F651" s="91">
        <f>IF(Verso!$B$26="",0,IF(Verso!$B$26=$A651,1,0))</f>
        <v>0</v>
      </c>
      <c r="G651" s="295">
        <f t="shared" si="18"/>
        <v>0</v>
      </c>
    </row>
    <row r="652" spans="1:7" x14ac:dyDescent="0.25">
      <c r="A652" s="531" t="s">
        <v>796</v>
      </c>
      <c r="B652" s="91">
        <f>IF(Verso!$B$22="",0,IF(Verso!$B$22=$A652,1,0))</f>
        <v>0</v>
      </c>
      <c r="C652" s="91">
        <f>IF(Verso!$B$23="",0,IF(Verso!$B$23=$A652,1,0))</f>
        <v>0</v>
      </c>
      <c r="D652" s="91">
        <f>IF(Verso!$B$24="",0,IF(Verso!$B$24=$A652,1,0))</f>
        <v>0</v>
      </c>
      <c r="E652" s="91">
        <f>IF(Verso!$B$25="",0,IF(Verso!$B$25=$A652,1,0))</f>
        <v>0</v>
      </c>
      <c r="F652" s="91">
        <f>IF(Verso!$B$26="",0,IF(Verso!$B$26=$A652,1,0))</f>
        <v>0</v>
      </c>
      <c r="G652" s="295">
        <f t="shared" si="18"/>
        <v>0</v>
      </c>
    </row>
    <row r="653" spans="1:7" x14ac:dyDescent="0.25">
      <c r="A653" s="531" t="s">
        <v>691</v>
      </c>
      <c r="B653" s="91">
        <f>IF(Verso!$B$22="",0,IF(Verso!$B$22=$A653,1,0))</f>
        <v>0</v>
      </c>
      <c r="C653" s="91">
        <f>IF(Verso!$B$23="",0,IF(Verso!$B$23=$A653,1,0))</f>
        <v>0</v>
      </c>
      <c r="D653" s="91">
        <f>IF(Verso!$B$24="",0,IF(Verso!$B$24=$A653,1,0))</f>
        <v>0</v>
      </c>
      <c r="E653" s="91">
        <f>IF(Verso!$B$25="",0,IF(Verso!$B$25=$A653,1,0))</f>
        <v>0</v>
      </c>
      <c r="F653" s="91">
        <f>IF(Verso!$B$26="",0,IF(Verso!$B$26=$A653,1,0))</f>
        <v>0</v>
      </c>
      <c r="G653" s="295">
        <f t="shared" si="18"/>
        <v>0</v>
      </c>
    </row>
    <row r="654" spans="1:7" x14ac:dyDescent="0.25">
      <c r="A654" s="531" t="s">
        <v>6295</v>
      </c>
      <c r="B654" s="91">
        <f>IF(Verso!$B$22="",0,IF(Verso!$B$22=$A654,1,0))</f>
        <v>0</v>
      </c>
      <c r="C654" s="91">
        <f>IF(Verso!$B$23="",0,IF(Verso!$B$23=$A654,1,0))</f>
        <v>0</v>
      </c>
      <c r="D654" s="91">
        <f>IF(Verso!$B$24="",0,IF(Verso!$B$24=$A654,1,0))</f>
        <v>0</v>
      </c>
      <c r="E654" s="91">
        <f>IF(Verso!$B$25="",0,IF(Verso!$B$25=$A654,1,0))</f>
        <v>0</v>
      </c>
      <c r="F654" s="91">
        <f>IF(Verso!$B$26="",0,IF(Verso!$B$26=$A654,1,0))</f>
        <v>0</v>
      </c>
      <c r="G654" s="295">
        <f t="shared" si="18"/>
        <v>0</v>
      </c>
    </row>
    <row r="655" spans="1:7" x14ac:dyDescent="0.25">
      <c r="A655" s="532" t="s">
        <v>1159</v>
      </c>
      <c r="B655" s="91">
        <f>IF(Verso!$B$22="",0,IF(Verso!$B$22=$A655,1,0))</f>
        <v>0</v>
      </c>
      <c r="C655" s="91">
        <f>IF(Verso!$B$23="",0,IF(Verso!$B$23=$A655,1,0))</f>
        <v>0</v>
      </c>
      <c r="D655" s="91">
        <f>IF(Verso!$B$24="",0,IF(Verso!$B$24=$A655,1,0))</f>
        <v>0</v>
      </c>
      <c r="E655" s="91">
        <f>IF(Verso!$B$25="",0,IF(Verso!$B$25=$A655,1,0))</f>
        <v>0</v>
      </c>
      <c r="F655" s="91">
        <f>IF(Verso!$B$26="",0,IF(Verso!$B$26=$A655,1,0))</f>
        <v>0</v>
      </c>
      <c r="G655" s="295">
        <f t="shared" si="18"/>
        <v>0</v>
      </c>
    </row>
    <row r="656" spans="1:7" x14ac:dyDescent="0.25">
      <c r="A656" s="532" t="s">
        <v>1153</v>
      </c>
      <c r="B656" s="91">
        <f>IF(Verso!$B$22="",0,IF(Verso!$B$22=$A656,1,0))</f>
        <v>0</v>
      </c>
      <c r="C656" s="91">
        <f>IF(Verso!$B$23="",0,IF(Verso!$B$23=$A656,1,0))</f>
        <v>0</v>
      </c>
      <c r="D656" s="91">
        <f>IF(Verso!$B$24="",0,IF(Verso!$B$24=$A656,1,0))</f>
        <v>0</v>
      </c>
      <c r="E656" s="91">
        <f>IF(Verso!$B$25="",0,IF(Verso!$B$25=$A656,1,0))</f>
        <v>0</v>
      </c>
      <c r="F656" s="91">
        <f>IF(Verso!$B$26="",0,IF(Verso!$B$26=$A656,1,0))</f>
        <v>0</v>
      </c>
      <c r="G656" s="295">
        <f t="shared" si="18"/>
        <v>0</v>
      </c>
    </row>
    <row r="657" spans="1:7" x14ac:dyDescent="0.25">
      <c r="A657" s="532" t="s">
        <v>1156</v>
      </c>
      <c r="B657" s="91">
        <f>IF(Verso!$B$22="",0,IF(Verso!$B$22=$A657,1,0))</f>
        <v>0</v>
      </c>
      <c r="C657" s="91">
        <f>IF(Verso!$B$23="",0,IF(Verso!$B$23=$A657,1,0))</f>
        <v>0</v>
      </c>
      <c r="D657" s="91">
        <f>IF(Verso!$B$24="",0,IF(Verso!$B$24=$A657,1,0))</f>
        <v>0</v>
      </c>
      <c r="E657" s="91">
        <f>IF(Verso!$B$25="",0,IF(Verso!$B$25=$A657,1,0))</f>
        <v>0</v>
      </c>
      <c r="F657" s="91">
        <f>IF(Verso!$B$26="",0,IF(Verso!$B$26=$A657,1,0))</f>
        <v>0</v>
      </c>
      <c r="G657" s="295">
        <f t="shared" si="18"/>
        <v>0</v>
      </c>
    </row>
    <row r="658" spans="1:7" x14ac:dyDescent="0.25">
      <c r="A658" s="532" t="s">
        <v>1157</v>
      </c>
      <c r="B658" s="91">
        <f>IF(Verso!$B$22="",0,IF(Verso!$B$22=$A658,1,0))</f>
        <v>0</v>
      </c>
      <c r="C658" s="91">
        <f>IF(Verso!$B$23="",0,IF(Verso!$B$23=$A658,1,0))</f>
        <v>0</v>
      </c>
      <c r="D658" s="91">
        <f>IF(Verso!$B$24="",0,IF(Verso!$B$24=$A658,1,0))</f>
        <v>0</v>
      </c>
      <c r="E658" s="91">
        <f>IF(Verso!$B$25="",0,IF(Verso!$B$25=$A658,1,0))</f>
        <v>0</v>
      </c>
      <c r="F658" s="91">
        <f>IF(Verso!$B$26="",0,IF(Verso!$B$26=$A658,1,0))</f>
        <v>0</v>
      </c>
      <c r="G658" s="295">
        <f t="shared" si="18"/>
        <v>0</v>
      </c>
    </row>
    <row r="659" spans="1:7" x14ac:dyDescent="0.25">
      <c r="A659" s="532" t="s">
        <v>1151</v>
      </c>
      <c r="B659" s="91">
        <f>IF(Verso!$B$22="",0,IF(Verso!$B$22=$A659,1,0))</f>
        <v>0</v>
      </c>
      <c r="C659" s="91">
        <f>IF(Verso!$B$23="",0,IF(Verso!$B$23=$A659,1,0))</f>
        <v>0</v>
      </c>
      <c r="D659" s="91">
        <f>IF(Verso!$B$24="",0,IF(Verso!$B$24=$A659,1,0))</f>
        <v>0</v>
      </c>
      <c r="E659" s="91">
        <f>IF(Verso!$B$25="",0,IF(Verso!$B$25=$A659,1,0))</f>
        <v>0</v>
      </c>
      <c r="F659" s="91">
        <f>IF(Verso!$B$26="",0,IF(Verso!$B$26=$A659,1,0))</f>
        <v>0</v>
      </c>
      <c r="G659" s="295">
        <f t="shared" si="18"/>
        <v>0</v>
      </c>
    </row>
    <row r="660" spans="1:7" x14ac:dyDescent="0.25">
      <c r="A660" s="532" t="s">
        <v>1154</v>
      </c>
      <c r="B660" s="91">
        <f>IF(Verso!$B$22="",0,IF(Verso!$B$22=$A660,1,0))</f>
        <v>0</v>
      </c>
      <c r="C660" s="91">
        <f>IF(Verso!$B$23="",0,IF(Verso!$B$23=$A660,1,0))</f>
        <v>0</v>
      </c>
      <c r="D660" s="91">
        <f>IF(Verso!$B$24="",0,IF(Verso!$B$24=$A660,1,0))</f>
        <v>0</v>
      </c>
      <c r="E660" s="91">
        <f>IF(Verso!$B$25="",0,IF(Verso!$B$25=$A660,1,0))</f>
        <v>0</v>
      </c>
      <c r="F660" s="91">
        <f>IF(Verso!$B$26="",0,IF(Verso!$B$26=$A660,1,0))</f>
        <v>0</v>
      </c>
      <c r="G660" s="295">
        <f t="shared" si="18"/>
        <v>0</v>
      </c>
    </row>
    <row r="661" spans="1:7" x14ac:dyDescent="0.25">
      <c r="A661" s="532" t="s">
        <v>1158</v>
      </c>
      <c r="B661" s="91">
        <f>IF(Verso!$B$22="",0,IF(Verso!$B$22=$A661,1,0))</f>
        <v>0</v>
      </c>
      <c r="C661" s="91">
        <f>IF(Verso!$B$23="",0,IF(Verso!$B$23=$A661,1,0))</f>
        <v>0</v>
      </c>
      <c r="D661" s="91">
        <f>IF(Verso!$B$24="",0,IF(Verso!$B$24=$A661,1,0))</f>
        <v>0</v>
      </c>
      <c r="E661" s="91">
        <f>IF(Verso!$B$25="",0,IF(Verso!$B$25=$A661,1,0))</f>
        <v>0</v>
      </c>
      <c r="F661" s="91">
        <f>IF(Verso!$B$26="",0,IF(Verso!$B$26=$A661,1,0))</f>
        <v>0</v>
      </c>
      <c r="G661" s="295">
        <f t="shared" si="18"/>
        <v>0</v>
      </c>
    </row>
    <row r="662" spans="1:7" x14ac:dyDescent="0.25">
      <c r="A662" s="532" t="s">
        <v>1152</v>
      </c>
      <c r="B662" s="91">
        <f>IF(Verso!$B$22="",0,IF(Verso!$B$22=$A662,1,0))</f>
        <v>0</v>
      </c>
      <c r="C662" s="91">
        <f>IF(Verso!$B$23="",0,IF(Verso!$B$23=$A662,1,0))</f>
        <v>0</v>
      </c>
      <c r="D662" s="91">
        <f>IF(Verso!$B$24="",0,IF(Verso!$B$24=$A662,1,0))</f>
        <v>0</v>
      </c>
      <c r="E662" s="91">
        <f>IF(Verso!$B$25="",0,IF(Verso!$B$25=$A662,1,0))</f>
        <v>0</v>
      </c>
      <c r="F662" s="91">
        <f>IF(Verso!$B$26="",0,IF(Verso!$B$26=$A662,1,0))</f>
        <v>0</v>
      </c>
      <c r="G662" s="295">
        <f t="shared" si="18"/>
        <v>0</v>
      </c>
    </row>
    <row r="663" spans="1:7" x14ac:dyDescent="0.25">
      <c r="A663" s="532" t="s">
        <v>1155</v>
      </c>
      <c r="B663" s="91">
        <f>IF(Verso!$B$22="",0,IF(Verso!$B$22=$A663,1,0))</f>
        <v>0</v>
      </c>
      <c r="C663" s="91">
        <f>IF(Verso!$B$23="",0,IF(Verso!$B$23=$A663,1,0))</f>
        <v>0</v>
      </c>
      <c r="D663" s="91">
        <f>IF(Verso!$B$24="",0,IF(Verso!$B$24=$A663,1,0))</f>
        <v>0</v>
      </c>
      <c r="E663" s="91">
        <f>IF(Verso!$B$25="",0,IF(Verso!$B$25=$A663,1,0))</f>
        <v>0</v>
      </c>
      <c r="F663" s="91">
        <f>IF(Verso!$B$26="",0,IF(Verso!$B$26=$A663,1,0))</f>
        <v>0</v>
      </c>
      <c r="G663" s="295">
        <f t="shared" si="18"/>
        <v>0</v>
      </c>
    </row>
    <row r="664" spans="1:7" x14ac:dyDescent="0.25">
      <c r="A664" s="532" t="s">
        <v>7643</v>
      </c>
      <c r="B664" s="91">
        <f>IF(Verso!$B$22="",0,IF(Verso!$B$22=$A664,1,0))</f>
        <v>0</v>
      </c>
      <c r="C664" s="91">
        <f>IF(Verso!$B$23="",0,IF(Verso!$B$23=$A664,1,0))</f>
        <v>0</v>
      </c>
      <c r="D664" s="91">
        <f>IF(Verso!$B$24="",0,IF(Verso!$B$24=$A664,1,0))</f>
        <v>0</v>
      </c>
      <c r="E664" s="91">
        <f>IF(Verso!$B$25="",0,IF(Verso!$B$25=$A664,1,0))</f>
        <v>0</v>
      </c>
      <c r="F664" s="91">
        <f>IF(Verso!$B$26="",0,IF(Verso!$B$26=$A664,1,0))</f>
        <v>0</v>
      </c>
      <c r="G664" s="295">
        <f t="shared" si="18"/>
        <v>0</v>
      </c>
    </row>
    <row r="665" spans="1:7" x14ac:dyDescent="0.25">
      <c r="A665" s="532" t="s">
        <v>7626</v>
      </c>
      <c r="B665" s="91">
        <f>IF(Verso!$B$22="",0,IF(Verso!$B$22=$A665,1,0))</f>
        <v>0</v>
      </c>
      <c r="C665" s="91">
        <f>IF(Verso!$B$23="",0,IF(Verso!$B$23=$A665,1,0))</f>
        <v>0</v>
      </c>
      <c r="D665" s="91">
        <f>IF(Verso!$B$24="",0,IF(Verso!$B$24=$A665,1,0))</f>
        <v>0</v>
      </c>
      <c r="E665" s="91">
        <f>IF(Verso!$B$25="",0,IF(Verso!$B$25=$A665,1,0))</f>
        <v>0</v>
      </c>
      <c r="F665" s="91">
        <f>IF(Verso!$B$26="",0,IF(Verso!$B$26=$A665,1,0))</f>
        <v>0</v>
      </c>
      <c r="G665" s="295">
        <f t="shared" si="18"/>
        <v>0</v>
      </c>
    </row>
    <row r="666" spans="1:7" x14ac:dyDescent="0.25">
      <c r="A666" s="532" t="s">
        <v>7625</v>
      </c>
      <c r="B666" s="91">
        <f>IF(Verso!$B$22="",0,IF(Verso!$B$22=$A666,1,0))</f>
        <v>0</v>
      </c>
      <c r="C666" s="91">
        <f>IF(Verso!$B$23="",0,IF(Verso!$B$23=$A666,1,0))</f>
        <v>0</v>
      </c>
      <c r="D666" s="91">
        <f>IF(Verso!$B$24="",0,IF(Verso!$B$24=$A666,1,0))</f>
        <v>0</v>
      </c>
      <c r="E666" s="91">
        <f>IF(Verso!$B$25="",0,IF(Verso!$B$25=$A666,1,0))</f>
        <v>0</v>
      </c>
      <c r="F666" s="91">
        <f>IF(Verso!$B$26="",0,IF(Verso!$B$26=$A666,1,0))</f>
        <v>0</v>
      </c>
      <c r="G666" s="295">
        <f t="shared" si="18"/>
        <v>0</v>
      </c>
    </row>
    <row r="667" spans="1:7" x14ac:dyDescent="0.25">
      <c r="A667" s="532" t="s">
        <v>7645</v>
      </c>
      <c r="B667" s="91">
        <f>IF(Verso!$B$22="",0,IF(Verso!$B$22=$A667,1,0))</f>
        <v>0</v>
      </c>
      <c r="C667" s="91">
        <f>IF(Verso!$B$23="",0,IF(Verso!$B$23=$A667,1,0))</f>
        <v>0</v>
      </c>
      <c r="D667" s="91">
        <f>IF(Verso!$B$24="",0,IF(Verso!$B$24=$A667,1,0))</f>
        <v>0</v>
      </c>
      <c r="E667" s="91">
        <f>IF(Verso!$B$25="",0,IF(Verso!$B$25=$A667,1,0))</f>
        <v>0</v>
      </c>
      <c r="F667" s="91">
        <f>IF(Verso!$B$26="",0,IF(Verso!$B$26=$A667,1,0))</f>
        <v>0</v>
      </c>
      <c r="G667" s="295">
        <f t="shared" si="18"/>
        <v>0</v>
      </c>
    </row>
    <row r="668" spans="1:7" x14ac:dyDescent="0.25">
      <c r="A668" s="532" t="s">
        <v>7613</v>
      </c>
      <c r="B668" s="91">
        <f>IF(Verso!$B$22="",0,IF(Verso!$B$22=$A668,1,0))</f>
        <v>0</v>
      </c>
      <c r="C668" s="91">
        <f>IF(Verso!$B$23="",0,IF(Verso!$B$23=$A668,1,0))</f>
        <v>0</v>
      </c>
      <c r="D668" s="91">
        <f>IF(Verso!$B$24="",0,IF(Verso!$B$24=$A668,1,0))</f>
        <v>0</v>
      </c>
      <c r="E668" s="91">
        <f>IF(Verso!$B$25="",0,IF(Verso!$B$25=$A668,1,0))</f>
        <v>0</v>
      </c>
      <c r="F668" s="91">
        <f>IF(Verso!$B$26="",0,IF(Verso!$B$26=$A668,1,0))</f>
        <v>0</v>
      </c>
      <c r="G668" s="295">
        <f t="shared" si="18"/>
        <v>0</v>
      </c>
    </row>
    <row r="669" spans="1:7" x14ac:dyDescent="0.25">
      <c r="A669" s="532" t="s">
        <v>7616</v>
      </c>
      <c r="B669" s="91">
        <f>IF(Verso!$B$22="",0,IF(Verso!$B$22=$A669,1,0))</f>
        <v>0</v>
      </c>
      <c r="C669" s="91">
        <f>IF(Verso!$B$23="",0,IF(Verso!$B$23=$A669,1,0))</f>
        <v>0</v>
      </c>
      <c r="D669" s="91">
        <f>IF(Verso!$B$24="",0,IF(Verso!$B$24=$A669,1,0))</f>
        <v>0</v>
      </c>
      <c r="E669" s="91">
        <f>IF(Verso!$B$25="",0,IF(Verso!$B$25=$A669,1,0))</f>
        <v>0</v>
      </c>
      <c r="F669" s="91">
        <f>IF(Verso!$B$26="",0,IF(Verso!$B$26=$A669,1,0))</f>
        <v>0</v>
      </c>
      <c r="G669" s="295">
        <f t="shared" si="18"/>
        <v>0</v>
      </c>
    </row>
    <row r="670" spans="1:7" x14ac:dyDescent="0.25">
      <c r="A670" s="532" t="s">
        <v>7615</v>
      </c>
      <c r="B670" s="91">
        <f>IF(Verso!$B$22="",0,IF(Verso!$B$22=$A670,1,0))</f>
        <v>0</v>
      </c>
      <c r="C670" s="91">
        <f>IF(Verso!$B$23="",0,IF(Verso!$B$23=$A670,1,0))</f>
        <v>0</v>
      </c>
      <c r="D670" s="91">
        <f>IF(Verso!$B$24="",0,IF(Verso!$B$24=$A670,1,0))</f>
        <v>0</v>
      </c>
      <c r="E670" s="91">
        <f>IF(Verso!$B$25="",0,IF(Verso!$B$25=$A670,1,0))</f>
        <v>0</v>
      </c>
      <c r="F670" s="91">
        <f>IF(Verso!$B$26="",0,IF(Verso!$B$26=$A670,1,0))</f>
        <v>0</v>
      </c>
      <c r="G670" s="295">
        <f t="shared" si="18"/>
        <v>0</v>
      </c>
    </row>
    <row r="671" spans="1:7" x14ac:dyDescent="0.25">
      <c r="A671" s="532" t="s">
        <v>7614</v>
      </c>
      <c r="B671" s="91">
        <f>IF(Verso!$B$22="",0,IF(Verso!$B$22=$A671,1,0))</f>
        <v>0</v>
      </c>
      <c r="C671" s="91">
        <f>IF(Verso!$B$23="",0,IF(Verso!$B$23=$A671,1,0))</f>
        <v>0</v>
      </c>
      <c r="D671" s="91">
        <f>IF(Verso!$B$24="",0,IF(Verso!$B$24=$A671,1,0))</f>
        <v>0</v>
      </c>
      <c r="E671" s="91">
        <f>IF(Verso!$B$25="",0,IF(Verso!$B$25=$A671,1,0))</f>
        <v>0</v>
      </c>
      <c r="F671" s="91">
        <f>IF(Verso!$B$26="",0,IF(Verso!$B$26=$A671,1,0))</f>
        <v>0</v>
      </c>
      <c r="G671" s="295">
        <f t="shared" si="18"/>
        <v>0</v>
      </c>
    </row>
    <row r="672" spans="1:7" x14ac:dyDescent="0.25">
      <c r="A672" s="532" t="s">
        <v>7647</v>
      </c>
      <c r="B672" s="91">
        <f>IF(Verso!$B$22="",0,IF(Verso!$B$22=$A672,1,0))</f>
        <v>0</v>
      </c>
      <c r="C672" s="91">
        <f>IF(Verso!$B$23="",0,IF(Verso!$B$23=$A672,1,0))</f>
        <v>0</v>
      </c>
      <c r="D672" s="91">
        <f>IF(Verso!$B$24="",0,IF(Verso!$B$24=$A672,1,0))</f>
        <v>0</v>
      </c>
      <c r="E672" s="91">
        <f>IF(Verso!$B$25="",0,IF(Verso!$B$25=$A672,1,0))</f>
        <v>0</v>
      </c>
      <c r="F672" s="91">
        <f>IF(Verso!$B$26="",0,IF(Verso!$B$26=$A672,1,0))</f>
        <v>0</v>
      </c>
      <c r="G672" s="295">
        <f t="shared" si="18"/>
        <v>0</v>
      </c>
    </row>
    <row r="673" spans="1:7" x14ac:dyDescent="0.25">
      <c r="A673" s="532" t="s">
        <v>7617</v>
      </c>
      <c r="B673" s="91">
        <f>IF(Verso!$B$22="",0,IF(Verso!$B$22=$A673,1,0))</f>
        <v>0</v>
      </c>
      <c r="C673" s="91">
        <f>IF(Verso!$B$23="",0,IF(Verso!$B$23=$A673,1,0))</f>
        <v>0</v>
      </c>
      <c r="D673" s="91">
        <f>IF(Verso!$B$24="",0,IF(Verso!$B$24=$A673,1,0))</f>
        <v>0</v>
      </c>
      <c r="E673" s="91">
        <f>IF(Verso!$B$25="",0,IF(Verso!$B$25=$A673,1,0))</f>
        <v>0</v>
      </c>
      <c r="F673" s="91">
        <f>IF(Verso!$B$26="",0,IF(Verso!$B$26=$A673,1,0))</f>
        <v>0</v>
      </c>
      <c r="G673" s="295">
        <f t="shared" si="18"/>
        <v>0</v>
      </c>
    </row>
    <row r="674" spans="1:7" x14ac:dyDescent="0.25">
      <c r="A674" s="532" t="s">
        <v>7618</v>
      </c>
      <c r="B674" s="91">
        <f>IF(Verso!$B$22="",0,IF(Verso!$B$22=$A674,1,0))</f>
        <v>0</v>
      </c>
      <c r="C674" s="91">
        <f>IF(Verso!$B$23="",0,IF(Verso!$B$23=$A674,1,0))</f>
        <v>0</v>
      </c>
      <c r="D674" s="91">
        <f>IF(Verso!$B$24="",0,IF(Verso!$B$24=$A674,1,0))</f>
        <v>0</v>
      </c>
      <c r="E674" s="91">
        <f>IF(Verso!$B$25="",0,IF(Verso!$B$25=$A674,1,0))</f>
        <v>0</v>
      </c>
      <c r="F674" s="91">
        <f>IF(Verso!$B$26="",0,IF(Verso!$B$26=$A674,1,0))</f>
        <v>0</v>
      </c>
      <c r="G674" s="295">
        <f t="shared" si="18"/>
        <v>0</v>
      </c>
    </row>
    <row r="675" spans="1:7" x14ac:dyDescent="0.25">
      <c r="A675" s="532" t="s">
        <v>7638</v>
      </c>
      <c r="B675" s="91">
        <f>IF(Verso!$B$22="",0,IF(Verso!$B$22=$A675,1,0))</f>
        <v>0</v>
      </c>
      <c r="C675" s="91">
        <f>IF(Verso!$B$23="",0,IF(Verso!$B$23=$A675,1,0))</f>
        <v>0</v>
      </c>
      <c r="D675" s="91">
        <f>IF(Verso!$B$24="",0,IF(Verso!$B$24=$A675,1,0))</f>
        <v>0</v>
      </c>
      <c r="E675" s="91">
        <f>IF(Verso!$B$25="",0,IF(Verso!$B$25=$A675,1,0))</f>
        <v>0</v>
      </c>
      <c r="F675" s="91">
        <f>IF(Verso!$B$26="",0,IF(Verso!$B$26=$A675,1,0))</f>
        <v>0</v>
      </c>
      <c r="G675" s="295">
        <f t="shared" si="18"/>
        <v>0</v>
      </c>
    </row>
    <row r="676" spans="1:7" x14ac:dyDescent="0.25">
      <c r="A676" s="532" t="s">
        <v>7640</v>
      </c>
      <c r="B676" s="91">
        <f>IF(Verso!$B$22="",0,IF(Verso!$B$22=$A676,1,0))</f>
        <v>0</v>
      </c>
      <c r="C676" s="91">
        <f>IF(Verso!$B$23="",0,IF(Verso!$B$23=$A676,1,0))</f>
        <v>0</v>
      </c>
      <c r="D676" s="91">
        <f>IF(Verso!$B$24="",0,IF(Verso!$B$24=$A676,1,0))</f>
        <v>0</v>
      </c>
      <c r="E676" s="91">
        <f>IF(Verso!$B$25="",0,IF(Verso!$B$25=$A676,1,0))</f>
        <v>0</v>
      </c>
      <c r="F676" s="91">
        <f>IF(Verso!$B$26="",0,IF(Verso!$B$26=$A676,1,0))</f>
        <v>0</v>
      </c>
      <c r="G676" s="295">
        <f t="shared" si="18"/>
        <v>0</v>
      </c>
    </row>
    <row r="677" spans="1:7" x14ac:dyDescent="0.25">
      <c r="A677" s="532" t="s">
        <v>7635</v>
      </c>
      <c r="B677" s="91">
        <f>IF(Verso!$B$22="",0,IF(Verso!$B$22=$A677,1,0))</f>
        <v>0</v>
      </c>
      <c r="C677" s="91">
        <f>IF(Verso!$B$23="",0,IF(Verso!$B$23=$A677,1,0))</f>
        <v>0</v>
      </c>
      <c r="D677" s="91">
        <f>IF(Verso!$B$24="",0,IF(Verso!$B$24=$A677,1,0))</f>
        <v>0</v>
      </c>
      <c r="E677" s="91">
        <f>IF(Verso!$B$25="",0,IF(Verso!$B$25=$A677,1,0))</f>
        <v>0</v>
      </c>
      <c r="F677" s="91">
        <f>IF(Verso!$B$26="",0,IF(Verso!$B$26=$A677,1,0))</f>
        <v>0</v>
      </c>
      <c r="G677" s="295">
        <f t="shared" si="18"/>
        <v>0</v>
      </c>
    </row>
    <row r="678" spans="1:7" x14ac:dyDescent="0.25">
      <c r="A678" s="532" t="s">
        <v>7637</v>
      </c>
      <c r="B678" s="91">
        <f>IF(Verso!$B$22="",0,IF(Verso!$B$22=$A678,1,0))</f>
        <v>0</v>
      </c>
      <c r="C678" s="91">
        <f>IF(Verso!$B$23="",0,IF(Verso!$B$23=$A678,1,0))</f>
        <v>0</v>
      </c>
      <c r="D678" s="91">
        <f>IF(Verso!$B$24="",0,IF(Verso!$B$24=$A678,1,0))</f>
        <v>0</v>
      </c>
      <c r="E678" s="91">
        <f>IF(Verso!$B$25="",0,IF(Verso!$B$25=$A678,1,0))</f>
        <v>0</v>
      </c>
      <c r="F678" s="91">
        <f>IF(Verso!$B$26="",0,IF(Verso!$B$26=$A678,1,0))</f>
        <v>0</v>
      </c>
      <c r="G678" s="295">
        <f t="shared" si="18"/>
        <v>0</v>
      </c>
    </row>
    <row r="679" spans="1:7" x14ac:dyDescent="0.25">
      <c r="A679" s="532" t="s">
        <v>7641</v>
      </c>
      <c r="B679" s="91">
        <f>IF(Verso!$B$22="",0,IF(Verso!$B$22=$A679,1,0))</f>
        <v>0</v>
      </c>
      <c r="C679" s="91">
        <f>IF(Verso!$B$23="",0,IF(Verso!$B$23=$A679,1,0))</f>
        <v>0</v>
      </c>
      <c r="D679" s="91">
        <f>IF(Verso!$B$24="",0,IF(Verso!$B$24=$A679,1,0))</f>
        <v>0</v>
      </c>
      <c r="E679" s="91">
        <f>IF(Verso!$B$25="",0,IF(Verso!$B$25=$A679,1,0))</f>
        <v>0</v>
      </c>
      <c r="F679" s="91">
        <f>IF(Verso!$B$26="",0,IF(Verso!$B$26=$A679,1,0))</f>
        <v>0</v>
      </c>
      <c r="G679" s="295">
        <f t="shared" si="18"/>
        <v>0</v>
      </c>
    </row>
    <row r="680" spans="1:7" x14ac:dyDescent="0.25">
      <c r="A680" s="532" t="s">
        <v>7632</v>
      </c>
      <c r="B680" s="91">
        <f>IF(Verso!$B$22="",0,IF(Verso!$B$22=$A680,1,0))</f>
        <v>0</v>
      </c>
      <c r="C680" s="91">
        <f>IF(Verso!$B$23="",0,IF(Verso!$B$23=$A680,1,0))</f>
        <v>0</v>
      </c>
      <c r="D680" s="91">
        <f>IF(Verso!$B$24="",0,IF(Verso!$B$24=$A680,1,0))</f>
        <v>0</v>
      </c>
      <c r="E680" s="91">
        <f>IF(Verso!$B$25="",0,IF(Verso!$B$25=$A680,1,0))</f>
        <v>0</v>
      </c>
      <c r="F680" s="91">
        <f>IF(Verso!$B$26="",0,IF(Verso!$B$26=$A680,1,0))</f>
        <v>0</v>
      </c>
      <c r="G680" s="295">
        <f t="shared" si="18"/>
        <v>0</v>
      </c>
    </row>
    <row r="681" spans="1:7" x14ac:dyDescent="0.25">
      <c r="A681" s="532" t="s">
        <v>7634</v>
      </c>
      <c r="B681" s="91">
        <f>IF(Verso!$B$22="",0,IF(Verso!$B$22=$A681,1,0))</f>
        <v>0</v>
      </c>
      <c r="C681" s="91">
        <f>IF(Verso!$B$23="",0,IF(Verso!$B$23=$A681,1,0))</f>
        <v>0</v>
      </c>
      <c r="D681" s="91">
        <f>IF(Verso!$B$24="",0,IF(Verso!$B$24=$A681,1,0))</f>
        <v>0</v>
      </c>
      <c r="E681" s="91">
        <f>IF(Verso!$B$25="",0,IF(Verso!$B$25=$A681,1,0))</f>
        <v>0</v>
      </c>
      <c r="F681" s="91">
        <f>IF(Verso!$B$26="",0,IF(Verso!$B$26=$A681,1,0))</f>
        <v>0</v>
      </c>
      <c r="G681" s="295">
        <f t="shared" si="18"/>
        <v>0</v>
      </c>
    </row>
    <row r="682" spans="1:7" x14ac:dyDescent="0.25">
      <c r="A682" s="532" t="s">
        <v>7629</v>
      </c>
      <c r="B682" s="91">
        <f>IF(Verso!$B$22="",0,IF(Verso!$B$22=$A682,1,0))</f>
        <v>0</v>
      </c>
      <c r="C682" s="91">
        <f>IF(Verso!$B$23="",0,IF(Verso!$B$23=$A682,1,0))</f>
        <v>0</v>
      </c>
      <c r="D682" s="91">
        <f>IF(Verso!$B$24="",0,IF(Verso!$B$24=$A682,1,0))</f>
        <v>0</v>
      </c>
      <c r="E682" s="91">
        <f>IF(Verso!$B$25="",0,IF(Verso!$B$25=$A682,1,0))</f>
        <v>0</v>
      </c>
      <c r="F682" s="91">
        <f>IF(Verso!$B$26="",0,IF(Verso!$B$26=$A682,1,0))</f>
        <v>0</v>
      </c>
      <c r="G682" s="295">
        <f t="shared" si="18"/>
        <v>0</v>
      </c>
    </row>
    <row r="683" spans="1:7" x14ac:dyDescent="0.25">
      <c r="A683" s="532" t="s">
        <v>7630</v>
      </c>
      <c r="B683" s="91">
        <f>IF(Verso!$B$22="",0,IF(Verso!$B$22=$A683,1,0))</f>
        <v>0</v>
      </c>
      <c r="C683" s="91">
        <f>IF(Verso!$B$23="",0,IF(Verso!$B$23=$A683,1,0))</f>
        <v>0</v>
      </c>
      <c r="D683" s="91">
        <f>IF(Verso!$B$24="",0,IF(Verso!$B$24=$A683,1,0))</f>
        <v>0</v>
      </c>
      <c r="E683" s="91">
        <f>IF(Verso!$B$25="",0,IF(Verso!$B$25=$A683,1,0))</f>
        <v>0</v>
      </c>
      <c r="F683" s="91">
        <f>IF(Verso!$B$26="",0,IF(Verso!$B$26=$A683,1,0))</f>
        <v>0</v>
      </c>
      <c r="G683" s="295">
        <f t="shared" si="18"/>
        <v>0</v>
      </c>
    </row>
    <row r="684" spans="1:7" x14ac:dyDescent="0.25">
      <c r="A684" s="531" t="s">
        <v>695</v>
      </c>
      <c r="B684" s="91">
        <f>IF(Verso!$B$22="",0,IF(Verso!$B$22=$A684,1,0))</f>
        <v>0</v>
      </c>
      <c r="C684" s="91">
        <f>IF(Verso!$B$23="",0,IF(Verso!$B$23=$A684,1,0))</f>
        <v>0</v>
      </c>
      <c r="D684" s="91">
        <f>IF(Verso!$B$24="",0,IF(Verso!$B$24=$A684,1,0))</f>
        <v>0</v>
      </c>
      <c r="E684" s="91">
        <f>IF(Verso!$B$25="",0,IF(Verso!$B$25=$A684,1,0))</f>
        <v>0</v>
      </c>
      <c r="F684" s="91">
        <f>IF(Verso!$B$26="",0,IF(Verso!$B$26=$A684,1,0))</f>
        <v>0</v>
      </c>
      <c r="G684" s="295">
        <f t="shared" si="18"/>
        <v>0</v>
      </c>
    </row>
    <row r="685" spans="1:7" x14ac:dyDescent="0.25">
      <c r="A685" s="531" t="s">
        <v>1086</v>
      </c>
      <c r="B685" s="91">
        <f>IF(Verso!$B$22="",0,IF(Verso!$B$22=$A685,1,0))</f>
        <v>0</v>
      </c>
      <c r="C685" s="91">
        <f>IF(Verso!$B$23="",0,IF(Verso!$B$23=$A685,1,0))</f>
        <v>0</v>
      </c>
      <c r="D685" s="91">
        <f>IF(Verso!$B$24="",0,IF(Verso!$B$24=$A685,1,0))</f>
        <v>0</v>
      </c>
      <c r="E685" s="91">
        <f>IF(Verso!$B$25="",0,IF(Verso!$B$25=$A685,1,0))</f>
        <v>0</v>
      </c>
      <c r="F685" s="91">
        <f>IF(Verso!$B$26="",0,IF(Verso!$B$26=$A685,1,0))</f>
        <v>0</v>
      </c>
      <c r="G685" s="295">
        <f t="shared" si="18"/>
        <v>0</v>
      </c>
    </row>
    <row r="686" spans="1:7" x14ac:dyDescent="0.25">
      <c r="A686" s="531" t="s">
        <v>1084</v>
      </c>
      <c r="B686" s="91">
        <f>IF(Verso!$B$22="",0,IF(Verso!$B$22=$A686,1,0))</f>
        <v>0</v>
      </c>
      <c r="C686" s="91">
        <f>IF(Verso!$B$23="",0,IF(Verso!$B$23=$A686,1,0))</f>
        <v>0</v>
      </c>
      <c r="D686" s="91">
        <f>IF(Verso!$B$24="",0,IF(Verso!$B$24=$A686,1,0))</f>
        <v>0</v>
      </c>
      <c r="E686" s="91">
        <f>IF(Verso!$B$25="",0,IF(Verso!$B$25=$A686,1,0))</f>
        <v>0</v>
      </c>
      <c r="F686" s="91">
        <f>IF(Verso!$B$26="",0,IF(Verso!$B$26=$A686,1,0))</f>
        <v>0</v>
      </c>
      <c r="G686" s="295">
        <f t="shared" si="18"/>
        <v>0</v>
      </c>
    </row>
    <row r="687" spans="1:7" x14ac:dyDescent="0.25">
      <c r="A687" s="531" t="s">
        <v>1085</v>
      </c>
      <c r="B687" s="91">
        <f>IF(Verso!$B$22="",0,IF(Verso!$B$22=$A687,1,0))</f>
        <v>0</v>
      </c>
      <c r="C687" s="91">
        <f>IF(Verso!$B$23="",0,IF(Verso!$B$23=$A687,1,0))</f>
        <v>0</v>
      </c>
      <c r="D687" s="91">
        <f>IF(Verso!$B$24="",0,IF(Verso!$B$24=$A687,1,0))</f>
        <v>0</v>
      </c>
      <c r="E687" s="91">
        <f>IF(Verso!$B$25="",0,IF(Verso!$B$25=$A687,1,0))</f>
        <v>0</v>
      </c>
      <c r="F687" s="91">
        <f>IF(Verso!$B$26="",0,IF(Verso!$B$26=$A687,1,0))</f>
        <v>0</v>
      </c>
      <c r="G687" s="295">
        <f t="shared" si="18"/>
        <v>0</v>
      </c>
    </row>
    <row r="688" spans="1:7" x14ac:dyDescent="0.25">
      <c r="A688" s="531" t="s">
        <v>687</v>
      </c>
      <c r="B688" s="91">
        <f>IF(Verso!$B$22="",0,IF(Verso!$B$22=$A688,1,0))</f>
        <v>0</v>
      </c>
      <c r="C688" s="91">
        <f>IF(Verso!$B$23="",0,IF(Verso!$B$23=$A688,1,0))</f>
        <v>0</v>
      </c>
      <c r="D688" s="91">
        <f>IF(Verso!$B$24="",0,IF(Verso!$B$24=$A688,1,0))</f>
        <v>0</v>
      </c>
      <c r="E688" s="91">
        <f>IF(Verso!$B$25="",0,IF(Verso!$B$25=$A688,1,0))</f>
        <v>0</v>
      </c>
      <c r="F688" s="91">
        <f>IF(Verso!$B$26="",0,IF(Verso!$B$26=$A688,1,0))</f>
        <v>0</v>
      </c>
      <c r="G688" s="295">
        <f t="shared" si="18"/>
        <v>0</v>
      </c>
    </row>
    <row r="689" spans="1:7" x14ac:dyDescent="0.25">
      <c r="A689" s="531" t="s">
        <v>4050</v>
      </c>
      <c r="B689" s="91">
        <f>IF(Verso!$B$22="",0,IF(Verso!$B$22=$A689,1,0))</f>
        <v>0</v>
      </c>
      <c r="C689" s="91">
        <f>IF(Verso!$B$23="",0,IF(Verso!$B$23=$A689,1,0))</f>
        <v>0</v>
      </c>
      <c r="D689" s="91">
        <f>IF(Verso!$B$24="",0,IF(Verso!$B$24=$A689,1,0))</f>
        <v>0</v>
      </c>
      <c r="E689" s="91">
        <f>IF(Verso!$B$25="",0,IF(Verso!$B$25=$A689,1,0))</f>
        <v>0</v>
      </c>
      <c r="F689" s="91">
        <f>IF(Verso!$B$26="",0,IF(Verso!$B$26=$A689,1,0))</f>
        <v>0</v>
      </c>
      <c r="G689" s="295">
        <f t="shared" si="18"/>
        <v>0</v>
      </c>
    </row>
    <row r="690" spans="1:7" x14ac:dyDescent="0.25">
      <c r="A690" s="531" t="s">
        <v>2843</v>
      </c>
      <c r="B690" s="91">
        <f>IF(Verso!$B$22="",0,IF(Verso!$B$22=$A690,1,0))</f>
        <v>0</v>
      </c>
      <c r="C690" s="91">
        <f>IF(Verso!$B$23="",0,IF(Verso!$B$23=$A690,1,0))</f>
        <v>0</v>
      </c>
      <c r="D690" s="91">
        <f>IF(Verso!$B$24="",0,IF(Verso!$B$24=$A690,1,0))</f>
        <v>0</v>
      </c>
      <c r="E690" s="91">
        <f>IF(Verso!$B$25="",0,IF(Verso!$B$25=$A690,1,0))</f>
        <v>0</v>
      </c>
      <c r="F690" s="91">
        <f>IF(Verso!$B$26="",0,IF(Verso!$B$26=$A690,1,0))</f>
        <v>0</v>
      </c>
      <c r="G690" s="295">
        <f t="shared" si="18"/>
        <v>0</v>
      </c>
    </row>
    <row r="691" spans="1:7" x14ac:dyDescent="0.25">
      <c r="A691" s="531" t="s">
        <v>2842</v>
      </c>
      <c r="B691" s="91">
        <f>IF(Verso!$B$22="",0,IF(Verso!$B$22=$A691,1,0))</f>
        <v>0</v>
      </c>
      <c r="C691" s="91">
        <f>IF(Verso!$B$23="",0,IF(Verso!$B$23=$A691,1,0))</f>
        <v>0</v>
      </c>
      <c r="D691" s="91">
        <f>IF(Verso!$B$24="",0,IF(Verso!$B$24=$A691,1,0))</f>
        <v>0</v>
      </c>
      <c r="E691" s="91">
        <f>IF(Verso!$B$25="",0,IF(Verso!$B$25=$A691,1,0))</f>
        <v>0</v>
      </c>
      <c r="F691" s="91">
        <f>IF(Verso!$B$26="",0,IF(Verso!$B$26=$A691,1,0))</f>
        <v>0</v>
      </c>
      <c r="G691" s="295">
        <f t="shared" ref="G691:G738" si="19">SUM(B691:F691)</f>
        <v>0</v>
      </c>
    </row>
    <row r="692" spans="1:7" x14ac:dyDescent="0.25">
      <c r="A692" s="531" t="s">
        <v>2840</v>
      </c>
      <c r="B692" s="91">
        <f>IF(Verso!$B$22="",0,IF(Verso!$B$22=$A692,1,0))</f>
        <v>0</v>
      </c>
      <c r="C692" s="91">
        <f>IF(Verso!$B$23="",0,IF(Verso!$B$23=$A692,1,0))</f>
        <v>0</v>
      </c>
      <c r="D692" s="91">
        <f>IF(Verso!$B$24="",0,IF(Verso!$B$24=$A692,1,0))</f>
        <v>0</v>
      </c>
      <c r="E692" s="91">
        <f>IF(Verso!$B$25="",0,IF(Verso!$B$25=$A692,1,0))</f>
        <v>0</v>
      </c>
      <c r="F692" s="91">
        <f>IF(Verso!$B$26="",0,IF(Verso!$B$26=$A692,1,0))</f>
        <v>0</v>
      </c>
      <c r="G692" s="295">
        <f t="shared" si="19"/>
        <v>0</v>
      </c>
    </row>
    <row r="693" spans="1:7" x14ac:dyDescent="0.25">
      <c r="A693" s="531" t="s">
        <v>2841</v>
      </c>
      <c r="B693" s="91">
        <f>IF(Verso!$B$22="",0,IF(Verso!$B$22=$A693,1,0))</f>
        <v>0</v>
      </c>
      <c r="C693" s="91">
        <f>IF(Verso!$B$23="",0,IF(Verso!$B$23=$A693,1,0))</f>
        <v>0</v>
      </c>
      <c r="D693" s="91">
        <f>IF(Verso!$B$24="",0,IF(Verso!$B$24=$A693,1,0))</f>
        <v>0</v>
      </c>
      <c r="E693" s="91">
        <f>IF(Verso!$B$25="",0,IF(Verso!$B$25=$A693,1,0))</f>
        <v>0</v>
      </c>
      <c r="F693" s="91">
        <f>IF(Verso!$B$26="",0,IF(Verso!$B$26=$A693,1,0))</f>
        <v>0</v>
      </c>
      <c r="G693" s="295">
        <f t="shared" si="19"/>
        <v>0</v>
      </c>
    </row>
    <row r="694" spans="1:7" x14ac:dyDescent="0.25">
      <c r="A694" s="531" t="s">
        <v>685</v>
      </c>
      <c r="B694" s="91">
        <f>IF(Verso!$B$22="",0,IF(Verso!$B$22=$A694,1,0))</f>
        <v>0</v>
      </c>
      <c r="C694" s="91">
        <f>IF(Verso!$B$23="",0,IF(Verso!$B$23=$A694,1,0))</f>
        <v>0</v>
      </c>
      <c r="D694" s="91">
        <f>IF(Verso!$B$24="",0,IF(Verso!$B$24=$A694,1,0))</f>
        <v>0</v>
      </c>
      <c r="E694" s="91">
        <f>IF(Verso!$B$25="",0,IF(Verso!$B$25=$A694,1,0))</f>
        <v>0</v>
      </c>
      <c r="F694" s="91">
        <f>IF(Verso!$B$26="",0,IF(Verso!$B$26=$A694,1,0))</f>
        <v>0</v>
      </c>
      <c r="G694" s="295">
        <f t="shared" si="19"/>
        <v>0</v>
      </c>
    </row>
    <row r="695" spans="1:7" x14ac:dyDescent="0.25">
      <c r="A695" s="531" t="s">
        <v>633</v>
      </c>
      <c r="B695" s="91">
        <f>IF(Verso!$B$22="",0,IF(Verso!$B$22=$A695,1,0))</f>
        <v>0</v>
      </c>
      <c r="C695" s="91">
        <f>IF(Verso!$B$23="",0,IF(Verso!$B$23=$A695,1,0))</f>
        <v>0</v>
      </c>
      <c r="D695" s="91">
        <f>IF(Verso!$B$24="",0,IF(Verso!$B$24=$A695,1,0))</f>
        <v>0</v>
      </c>
      <c r="E695" s="91">
        <f>IF(Verso!$B$25="",0,IF(Verso!$B$25=$A695,1,0))</f>
        <v>0</v>
      </c>
      <c r="F695" s="91">
        <f>IF(Verso!$B$26="",0,IF(Verso!$B$26=$A695,1,0))</f>
        <v>0</v>
      </c>
      <c r="G695" s="295">
        <f t="shared" si="19"/>
        <v>0</v>
      </c>
    </row>
    <row r="696" spans="1:7" x14ac:dyDescent="0.25">
      <c r="A696" s="531" t="s">
        <v>85</v>
      </c>
      <c r="B696" s="91">
        <f>IF(Verso!$B$22="",0,IF(Verso!$B$22=$A696,1,0))</f>
        <v>0</v>
      </c>
      <c r="C696" s="91">
        <f>IF(Verso!$B$23="",0,IF(Verso!$B$23=$A696,1,0))</f>
        <v>0</v>
      </c>
      <c r="D696" s="91">
        <f>IF(Verso!$B$24="",0,IF(Verso!$B$24=$A696,1,0))</f>
        <v>0</v>
      </c>
      <c r="E696" s="91">
        <f>IF(Verso!$B$25="",0,IF(Verso!$B$25=$A696,1,0))</f>
        <v>0</v>
      </c>
      <c r="F696" s="91">
        <f>IF(Verso!$B$26="",0,IF(Verso!$B$26=$A696,1,0))</f>
        <v>0</v>
      </c>
      <c r="G696" s="295">
        <f t="shared" si="19"/>
        <v>0</v>
      </c>
    </row>
    <row r="697" spans="1:7" x14ac:dyDescent="0.25">
      <c r="A697" s="531" t="s">
        <v>6115</v>
      </c>
      <c r="B697" s="91">
        <f>IF(Verso!$B$22="",0,IF(Verso!$B$22=$A697,1,0))</f>
        <v>0</v>
      </c>
      <c r="C697" s="91">
        <f>IF(Verso!$B$23="",0,IF(Verso!$B$23=$A697,1,0))</f>
        <v>0</v>
      </c>
      <c r="D697" s="91">
        <f>IF(Verso!$B$24="",0,IF(Verso!$B$24=$A697,1,0))</f>
        <v>0</v>
      </c>
      <c r="E697" s="91">
        <f>IF(Verso!$B$25="",0,IF(Verso!$B$25=$A697,1,0))</f>
        <v>0</v>
      </c>
      <c r="F697" s="91">
        <f>IF(Verso!$B$26="",0,IF(Verso!$B$26=$A697,1,0))</f>
        <v>0</v>
      </c>
      <c r="G697" s="295">
        <f t="shared" si="19"/>
        <v>0</v>
      </c>
    </row>
    <row r="698" spans="1:7" x14ac:dyDescent="0.25">
      <c r="A698" s="531" t="s">
        <v>692</v>
      </c>
      <c r="B698" s="91">
        <f>IF(Verso!$B$22="",0,IF(Verso!$B$22=$A698,1,0))</f>
        <v>0</v>
      </c>
      <c r="C698" s="91">
        <f>IF(Verso!$B$23="",0,IF(Verso!$B$23=$A698,1,0))</f>
        <v>0</v>
      </c>
      <c r="D698" s="91">
        <f>IF(Verso!$B$24="",0,IF(Verso!$B$24=$A698,1,0))</f>
        <v>0</v>
      </c>
      <c r="E698" s="91">
        <f>IF(Verso!$B$25="",0,IF(Verso!$B$25=$A698,1,0))</f>
        <v>0</v>
      </c>
      <c r="F698" s="91">
        <f>IF(Verso!$B$26="",0,IF(Verso!$B$26=$A698,1,0))</f>
        <v>0</v>
      </c>
      <c r="G698" s="295">
        <f t="shared" si="19"/>
        <v>0</v>
      </c>
    </row>
    <row r="699" spans="1:7" x14ac:dyDescent="0.25">
      <c r="A699" s="531" t="s">
        <v>5790</v>
      </c>
      <c r="B699" s="91">
        <f>IF(Verso!$B$22="",0,IF(Verso!$B$22=$A699,1,0))</f>
        <v>0</v>
      </c>
      <c r="C699" s="91">
        <f>IF(Verso!$B$23="",0,IF(Verso!$B$23=$A699,1,0))</f>
        <v>0</v>
      </c>
      <c r="D699" s="91">
        <f>IF(Verso!$B$24="",0,IF(Verso!$B$24=$A699,1,0))</f>
        <v>0</v>
      </c>
      <c r="E699" s="91">
        <f>IF(Verso!$B$25="",0,IF(Verso!$B$25=$A699,1,0))</f>
        <v>0</v>
      </c>
      <c r="F699" s="91">
        <f>IF(Verso!$B$26="",0,IF(Verso!$B$26=$A699,1,0))</f>
        <v>0</v>
      </c>
      <c r="G699" s="295">
        <f t="shared" si="19"/>
        <v>0</v>
      </c>
    </row>
    <row r="700" spans="1:7" x14ac:dyDescent="0.25">
      <c r="A700" s="531" t="s">
        <v>814</v>
      </c>
      <c r="B700" s="91">
        <f>IF(Verso!$B$22="",0,IF(Verso!$B$22=$A700,1,0))</f>
        <v>0</v>
      </c>
      <c r="C700" s="91">
        <f>IF(Verso!$B$23="",0,IF(Verso!$B$23=$A700,1,0))</f>
        <v>0</v>
      </c>
      <c r="D700" s="91">
        <f>IF(Verso!$B$24="",0,IF(Verso!$B$24=$A700,1,0))</f>
        <v>0</v>
      </c>
      <c r="E700" s="91">
        <f>IF(Verso!$B$25="",0,IF(Verso!$B$25=$A700,1,0))</f>
        <v>0</v>
      </c>
      <c r="F700" s="91">
        <f>IF(Verso!$B$26="",0,IF(Verso!$B$26=$A700,1,0))</f>
        <v>0</v>
      </c>
      <c r="G700" s="295">
        <f t="shared" si="19"/>
        <v>0</v>
      </c>
    </row>
    <row r="701" spans="1:7" x14ac:dyDescent="0.25">
      <c r="A701" s="531" t="s">
        <v>773</v>
      </c>
      <c r="B701" s="91">
        <f>IF(Verso!$B$22="",0,IF(Verso!$B$22=$A701,1,0))</f>
        <v>0</v>
      </c>
      <c r="C701" s="91">
        <f>IF(Verso!$B$23="",0,IF(Verso!$B$23=$A701,1,0))</f>
        <v>0</v>
      </c>
      <c r="D701" s="91">
        <f>IF(Verso!$B$24="",0,IF(Verso!$B$24=$A701,1,0))</f>
        <v>0</v>
      </c>
      <c r="E701" s="91">
        <f>IF(Verso!$B$25="",0,IF(Verso!$B$25=$A701,1,0))</f>
        <v>0</v>
      </c>
      <c r="F701" s="91">
        <f>IF(Verso!$B$26="",0,IF(Verso!$B$26=$A701,1,0))</f>
        <v>0</v>
      </c>
      <c r="G701" s="295">
        <f t="shared" si="19"/>
        <v>0</v>
      </c>
    </row>
    <row r="702" spans="1:7" x14ac:dyDescent="0.25">
      <c r="A702" s="531" t="s">
        <v>774</v>
      </c>
      <c r="B702" s="91">
        <f>IF(Verso!$B$22="",0,IF(Verso!$B$22=$A702,1,0))</f>
        <v>0</v>
      </c>
      <c r="C702" s="91">
        <f>IF(Verso!$B$23="",0,IF(Verso!$B$23=$A702,1,0))</f>
        <v>0</v>
      </c>
      <c r="D702" s="91">
        <f>IF(Verso!$B$24="",0,IF(Verso!$B$24=$A702,1,0))</f>
        <v>0</v>
      </c>
      <c r="E702" s="91">
        <f>IF(Verso!$B$25="",0,IF(Verso!$B$25=$A702,1,0))</f>
        <v>0</v>
      </c>
      <c r="F702" s="91">
        <f>IF(Verso!$B$26="",0,IF(Verso!$B$26=$A702,1,0))</f>
        <v>0</v>
      </c>
      <c r="G702" s="295">
        <f t="shared" si="19"/>
        <v>0</v>
      </c>
    </row>
    <row r="703" spans="1:7" x14ac:dyDescent="0.25">
      <c r="A703" s="531" t="s">
        <v>775</v>
      </c>
      <c r="B703" s="91">
        <f>IF(Verso!$B$22="",0,IF(Verso!$B$22=$A703,1,0))</f>
        <v>0</v>
      </c>
      <c r="C703" s="91">
        <f>IF(Verso!$B$23="",0,IF(Verso!$B$23=$A703,1,0))</f>
        <v>0</v>
      </c>
      <c r="D703" s="91">
        <f>IF(Verso!$B$24="",0,IF(Verso!$B$24=$A703,1,0))</f>
        <v>0</v>
      </c>
      <c r="E703" s="91">
        <f>IF(Verso!$B$25="",0,IF(Verso!$B$25=$A703,1,0))</f>
        <v>0</v>
      </c>
      <c r="F703" s="91">
        <f>IF(Verso!$B$26="",0,IF(Verso!$B$26=$A703,1,0))</f>
        <v>0</v>
      </c>
      <c r="G703" s="295">
        <f t="shared" si="19"/>
        <v>0</v>
      </c>
    </row>
    <row r="704" spans="1:7" x14ac:dyDescent="0.25">
      <c r="A704" s="531" t="s">
        <v>776</v>
      </c>
      <c r="B704" s="91">
        <f>IF(Verso!$B$22="",0,IF(Verso!$B$22=$A704,1,0))</f>
        <v>0</v>
      </c>
      <c r="C704" s="91">
        <f>IF(Verso!$B$23="",0,IF(Verso!$B$23=$A704,1,0))</f>
        <v>0</v>
      </c>
      <c r="D704" s="91">
        <f>IF(Verso!$B$24="",0,IF(Verso!$B$24=$A704,1,0))</f>
        <v>0</v>
      </c>
      <c r="E704" s="91">
        <f>IF(Verso!$B$25="",0,IF(Verso!$B$25=$A704,1,0))</f>
        <v>0</v>
      </c>
      <c r="F704" s="91">
        <f>IF(Verso!$B$26="",0,IF(Verso!$B$26=$A704,1,0))</f>
        <v>0</v>
      </c>
      <c r="G704" s="295">
        <f t="shared" si="19"/>
        <v>0</v>
      </c>
    </row>
    <row r="705" spans="1:8" x14ac:dyDescent="0.25">
      <c r="A705" s="531" t="s">
        <v>777</v>
      </c>
      <c r="B705" s="91">
        <f>IF(Verso!$B$22="",0,IF(Verso!$B$22=$A705,1,0))</f>
        <v>0</v>
      </c>
      <c r="C705" s="91">
        <f>IF(Verso!$B$23="",0,IF(Verso!$B$23=$A705,1,0))</f>
        <v>0</v>
      </c>
      <c r="D705" s="91">
        <f>IF(Verso!$B$24="",0,IF(Verso!$B$24=$A705,1,0))</f>
        <v>0</v>
      </c>
      <c r="E705" s="91">
        <f>IF(Verso!$B$25="",0,IF(Verso!$B$25=$A705,1,0))</f>
        <v>0</v>
      </c>
      <c r="F705" s="91">
        <f>IF(Verso!$B$26="",0,IF(Verso!$B$26=$A705,1,0))</f>
        <v>0</v>
      </c>
      <c r="G705" s="295">
        <f t="shared" si="19"/>
        <v>0</v>
      </c>
    </row>
    <row r="706" spans="1:8" x14ac:dyDescent="0.25">
      <c r="A706" s="531" t="s">
        <v>3531</v>
      </c>
      <c r="B706" s="91">
        <f>IF(Verso!$B$22="",0,IF(Verso!$B$22=$A706,1,0))</f>
        <v>0</v>
      </c>
      <c r="C706" s="91">
        <f>IF(Verso!$B$23="",0,IF(Verso!$B$23=$A706,1,0))</f>
        <v>0</v>
      </c>
      <c r="D706" s="91">
        <f>IF(Verso!$B$24="",0,IF(Verso!$B$24=$A706,1,0))</f>
        <v>0</v>
      </c>
      <c r="E706" s="91">
        <f>IF(Verso!$B$25="",0,IF(Verso!$B$25=$A706,1,0))</f>
        <v>0</v>
      </c>
      <c r="F706" s="91">
        <f>IF(Verso!$B$26="",0,IF(Verso!$B$26=$A706,1,0))</f>
        <v>0</v>
      </c>
      <c r="G706" s="295">
        <f t="shared" si="19"/>
        <v>0</v>
      </c>
    </row>
    <row r="707" spans="1:8" x14ac:dyDescent="0.25">
      <c r="A707" s="531" t="s">
        <v>696</v>
      </c>
      <c r="B707" s="91">
        <f>IF(Verso!$B$22="",0,IF(Verso!$B$22=$A707,1,0))</f>
        <v>0</v>
      </c>
      <c r="C707" s="91">
        <f>IF(Verso!$B$23="",0,IF(Verso!$B$23=$A707,1,0))</f>
        <v>0</v>
      </c>
      <c r="D707" s="91">
        <f>IF(Verso!$B$24="",0,IF(Verso!$B$24=$A707,1,0))</f>
        <v>0</v>
      </c>
      <c r="E707" s="91">
        <f>IF(Verso!$B$25="",0,IF(Verso!$B$25=$A707,1,0))</f>
        <v>0</v>
      </c>
      <c r="F707" s="91">
        <f>IF(Verso!$B$26="",0,IF(Verso!$B$26=$A707,1,0))</f>
        <v>0</v>
      </c>
      <c r="G707" s="295">
        <f t="shared" si="19"/>
        <v>0</v>
      </c>
    </row>
    <row r="708" spans="1:8" x14ac:dyDescent="0.25">
      <c r="A708" s="531" t="s">
        <v>680</v>
      </c>
      <c r="B708" s="91">
        <f>IF(Verso!$B$22="",0,IF(Verso!$B$22=$A708,1,0))</f>
        <v>0</v>
      </c>
      <c r="C708" s="91">
        <f>IF(Verso!$B$23="",0,IF(Verso!$B$23=$A708,1,0))</f>
        <v>0</v>
      </c>
      <c r="D708" s="91">
        <f>IF(Verso!$B$24="",0,IF(Verso!$B$24=$A708,1,0))</f>
        <v>0</v>
      </c>
      <c r="E708" s="91">
        <f>IF(Verso!$B$25="",0,IF(Verso!$B$25=$A708,1,0))</f>
        <v>0</v>
      </c>
      <c r="F708" s="91">
        <f>IF(Verso!$B$26="",0,IF(Verso!$B$26=$A708,1,0))</f>
        <v>0</v>
      </c>
      <c r="G708" s="295">
        <f t="shared" si="19"/>
        <v>0</v>
      </c>
    </row>
    <row r="709" spans="1:8" x14ac:dyDescent="0.25">
      <c r="A709" s="531" t="s">
        <v>87</v>
      </c>
      <c r="B709" s="91">
        <f>IF(Verso!$B$22="",0,IF(Verso!$B$22=$A709,1,0))</f>
        <v>0</v>
      </c>
      <c r="C709" s="91">
        <f>IF(Verso!$B$23="",0,IF(Verso!$B$23=$A709,1,0))</f>
        <v>0</v>
      </c>
      <c r="D709" s="91">
        <f>IF(Verso!$B$24="",0,IF(Verso!$B$24=$A709,1,0))</f>
        <v>0</v>
      </c>
      <c r="E709" s="91">
        <f>IF(Verso!$B$25="",0,IF(Verso!$B$25=$A709,1,0))</f>
        <v>0</v>
      </c>
      <c r="F709" s="91">
        <f>IF(Verso!$B$26="",0,IF(Verso!$B$26=$A709,1,0))</f>
        <v>0</v>
      </c>
      <c r="G709" s="295">
        <f t="shared" si="19"/>
        <v>0</v>
      </c>
    </row>
    <row r="710" spans="1:8" x14ac:dyDescent="0.25">
      <c r="A710" s="531" t="s">
        <v>782</v>
      </c>
      <c r="B710" s="91">
        <f>IF(Verso!$B$22="",0,IF(Verso!$B$22=$A710,1,0))</f>
        <v>0</v>
      </c>
      <c r="C710" s="91">
        <f>IF(Verso!$B$23="",0,IF(Verso!$B$23=$A710,1,0))</f>
        <v>0</v>
      </c>
      <c r="D710" s="91">
        <f>IF(Verso!$B$24="",0,IF(Verso!$B$24=$A710,1,0))</f>
        <v>0</v>
      </c>
      <c r="E710" s="91">
        <f>IF(Verso!$B$25="",0,IF(Verso!$B$25=$A710,1,0))</f>
        <v>0</v>
      </c>
      <c r="F710" s="91">
        <f>IF(Verso!$B$26="",0,IF(Verso!$B$26=$A710,1,0))</f>
        <v>0</v>
      </c>
      <c r="G710" s="295">
        <f t="shared" si="19"/>
        <v>0</v>
      </c>
    </row>
    <row r="711" spans="1:8" x14ac:dyDescent="0.25">
      <c r="A711" s="531" t="s">
        <v>783</v>
      </c>
      <c r="B711" s="91">
        <f>IF(Verso!$B$22="",0,IF(Verso!$B$22=$A711,1,0))</f>
        <v>0</v>
      </c>
      <c r="C711" s="91">
        <f>IF(Verso!$B$23="",0,IF(Verso!$B$23=$A711,1,0))</f>
        <v>0</v>
      </c>
      <c r="D711" s="91">
        <f>IF(Verso!$B$24="",0,IF(Verso!$B$24=$A711,1,0))</f>
        <v>0</v>
      </c>
      <c r="E711" s="91">
        <f>IF(Verso!$B$25="",0,IF(Verso!$B$25=$A711,1,0))</f>
        <v>0</v>
      </c>
      <c r="F711" s="91">
        <f>IF(Verso!$B$26="",0,IF(Verso!$B$26=$A711,1,0))</f>
        <v>0</v>
      </c>
      <c r="G711" s="295">
        <f t="shared" si="19"/>
        <v>0</v>
      </c>
    </row>
    <row r="712" spans="1:8" x14ac:dyDescent="0.25">
      <c r="A712" s="531" t="s">
        <v>784</v>
      </c>
      <c r="B712" s="91">
        <f>IF(Verso!$B$22="",0,IF(Verso!$B$22=$A712,1,0))</f>
        <v>0</v>
      </c>
      <c r="C712" s="91">
        <f>IF(Verso!$B$23="",0,IF(Verso!$B$23=$A712,1,0))</f>
        <v>0</v>
      </c>
      <c r="D712" s="91">
        <f>IF(Verso!$B$24="",0,IF(Verso!$B$24=$A712,1,0))</f>
        <v>0</v>
      </c>
      <c r="E712" s="91">
        <f>IF(Verso!$B$25="",0,IF(Verso!$B$25=$A712,1,0))</f>
        <v>0</v>
      </c>
      <c r="F712" s="91">
        <f>IF(Verso!$B$26="",0,IF(Verso!$B$26=$A712,1,0))</f>
        <v>0</v>
      </c>
      <c r="G712" s="295">
        <f t="shared" si="19"/>
        <v>0</v>
      </c>
    </row>
    <row r="713" spans="1:8" x14ac:dyDescent="0.25">
      <c r="A713" s="531" t="s">
        <v>785</v>
      </c>
      <c r="B713" s="91">
        <f>IF(Verso!$B$22="",0,IF(Verso!$B$22=$A713,1,0))</f>
        <v>0</v>
      </c>
      <c r="C713" s="91">
        <f>IF(Verso!$B$23="",0,IF(Verso!$B$23=$A713,1,0))</f>
        <v>0</v>
      </c>
      <c r="D713" s="91">
        <f>IF(Verso!$B$24="",0,IF(Verso!$B$24=$A713,1,0))</f>
        <v>0</v>
      </c>
      <c r="E713" s="91">
        <f>IF(Verso!$B$25="",0,IF(Verso!$B$25=$A713,1,0))</f>
        <v>0</v>
      </c>
      <c r="F713" s="91">
        <f>IF(Verso!$B$26="",0,IF(Verso!$B$26=$A713,1,0))</f>
        <v>0</v>
      </c>
      <c r="G713" s="295">
        <f t="shared" si="19"/>
        <v>0</v>
      </c>
    </row>
    <row r="714" spans="1:8" x14ac:dyDescent="0.25">
      <c r="A714" s="531" t="s">
        <v>786</v>
      </c>
      <c r="B714" s="91">
        <f>IF(Verso!$B$22="",0,IF(Verso!$B$22=$A714,1,0))</f>
        <v>0</v>
      </c>
      <c r="C714" s="91">
        <f>IF(Verso!$B$23="",0,IF(Verso!$B$23=$A714,1,0))</f>
        <v>0</v>
      </c>
      <c r="D714" s="91">
        <f>IF(Verso!$B$24="",0,IF(Verso!$B$24=$A714,1,0))</f>
        <v>0</v>
      </c>
      <c r="E714" s="91">
        <f>IF(Verso!$B$25="",0,IF(Verso!$B$25=$A714,1,0))</f>
        <v>0</v>
      </c>
      <c r="F714" s="91">
        <f>IF(Verso!$B$26="",0,IF(Verso!$B$26=$A714,1,0))</f>
        <v>0</v>
      </c>
      <c r="G714" s="295">
        <f t="shared" si="19"/>
        <v>0</v>
      </c>
    </row>
    <row r="715" spans="1:8" x14ac:dyDescent="0.25">
      <c r="A715" s="531" t="s">
        <v>788</v>
      </c>
      <c r="B715" s="91">
        <f>IF(Verso!$B$22="",0,IF(Verso!$B$22=$A715,1,0))</f>
        <v>0</v>
      </c>
      <c r="C715" s="91">
        <f>IF(Verso!$B$23="",0,IF(Verso!$B$23=$A715,1,0))</f>
        <v>0</v>
      </c>
      <c r="D715" s="91">
        <f>IF(Verso!$B$24="",0,IF(Verso!$B$24=$A715,1,0))</f>
        <v>0</v>
      </c>
      <c r="E715" s="91">
        <f>IF(Verso!$B$25="",0,IF(Verso!$B$25=$A715,1,0))</f>
        <v>0</v>
      </c>
      <c r="F715" s="91">
        <f>IF(Verso!$B$26="",0,IF(Verso!$B$26=$A715,1,0))</f>
        <v>0</v>
      </c>
      <c r="G715" s="295">
        <f t="shared" si="19"/>
        <v>0</v>
      </c>
    </row>
    <row r="716" spans="1:8" x14ac:dyDescent="0.25">
      <c r="A716" s="531" t="s">
        <v>787</v>
      </c>
      <c r="B716" s="91">
        <f>IF(Verso!$B$22="",0,IF(Verso!$B$22=$A716,1,0))</f>
        <v>0</v>
      </c>
      <c r="C716" s="91">
        <f>IF(Verso!$B$23="",0,IF(Verso!$B$23=$A716,1,0))</f>
        <v>0</v>
      </c>
      <c r="D716" s="91">
        <f>IF(Verso!$B$24="",0,IF(Verso!$B$24=$A716,1,0))</f>
        <v>0</v>
      </c>
      <c r="E716" s="91">
        <f>IF(Verso!$B$25="",0,IF(Verso!$B$25=$A716,1,0))</f>
        <v>0</v>
      </c>
      <c r="F716" s="91">
        <f>IF(Verso!$B$26="",0,IF(Verso!$B$26=$A716,1,0))</f>
        <v>0</v>
      </c>
      <c r="G716" s="295">
        <f t="shared" si="19"/>
        <v>0</v>
      </c>
    </row>
    <row r="717" spans="1:8" x14ac:dyDescent="0.25">
      <c r="A717" s="531" t="s">
        <v>789</v>
      </c>
      <c r="B717" s="91">
        <f>IF(Verso!$B$22="",0,IF(Verso!$B$22=$A717,1,0))</f>
        <v>0</v>
      </c>
      <c r="C717" s="91">
        <f>IF(Verso!$B$23="",0,IF(Verso!$B$23=$A717,1,0))</f>
        <v>0</v>
      </c>
      <c r="D717" s="91">
        <f>IF(Verso!$B$24="",0,IF(Verso!$B$24=$A717,1,0))</f>
        <v>0</v>
      </c>
      <c r="E717" s="91">
        <f>IF(Verso!$B$25="",0,IF(Verso!$B$25=$A717,1,0))</f>
        <v>0</v>
      </c>
      <c r="F717" s="91">
        <f>IF(Verso!$B$26="",0,IF(Verso!$B$26=$A717,1,0))</f>
        <v>0</v>
      </c>
      <c r="G717" s="295">
        <f t="shared" si="19"/>
        <v>0</v>
      </c>
    </row>
    <row r="718" spans="1:8" x14ac:dyDescent="0.25">
      <c r="A718" s="531" t="s">
        <v>790</v>
      </c>
      <c r="B718" s="91">
        <f>IF(Verso!$B$22="",0,IF(Verso!$B$22=$A718,1,0))</f>
        <v>0</v>
      </c>
      <c r="C718" s="91">
        <f>IF(Verso!$B$23="",0,IF(Verso!$B$23=$A718,1,0))</f>
        <v>0</v>
      </c>
      <c r="D718" s="91">
        <f>IF(Verso!$B$24="",0,IF(Verso!$B$24=$A718,1,0))</f>
        <v>0</v>
      </c>
      <c r="E718" s="91">
        <f>IF(Verso!$B$25="",0,IF(Verso!$B$25=$A718,1,0))</f>
        <v>0</v>
      </c>
      <c r="F718" s="91">
        <f>IF(Verso!$B$26="",0,IF(Verso!$B$26=$A718,1,0))</f>
        <v>0</v>
      </c>
      <c r="G718" s="295">
        <f t="shared" si="19"/>
        <v>0</v>
      </c>
    </row>
    <row r="719" spans="1:8" x14ac:dyDescent="0.25">
      <c r="A719" s="531" t="s">
        <v>681</v>
      </c>
      <c r="B719" s="91">
        <f>IF(Verso!$B$22="",0,IF(Verso!$B$22=$A719,1,0))</f>
        <v>0</v>
      </c>
      <c r="C719" s="91">
        <f>IF(Verso!$B$23="",0,IF(Verso!$B$23=$A719,1,0))</f>
        <v>0</v>
      </c>
      <c r="D719" s="91">
        <f>IF(Verso!$B$24="",0,IF(Verso!$B$24=$A719,1,0))</f>
        <v>0</v>
      </c>
      <c r="E719" s="91">
        <f>IF(Verso!$B$25="",0,IF(Verso!$B$25=$A719,1,0))</f>
        <v>0</v>
      </c>
      <c r="F719" s="91">
        <f>IF(Verso!$B$26="",0,IF(Verso!$B$26=$A719,1,0))</f>
        <v>0</v>
      </c>
      <c r="G719" s="295">
        <f t="shared" si="19"/>
        <v>0</v>
      </c>
    </row>
    <row r="720" spans="1:8" x14ac:dyDescent="0.25">
      <c r="A720" s="531" t="s">
        <v>4412</v>
      </c>
      <c r="B720" s="91">
        <f>IF(Verso!$B$22="",0,IF(Verso!$B$22=$A720,1,0))</f>
        <v>0</v>
      </c>
      <c r="C720" s="91">
        <f>IF(Verso!$B$23="",0,IF(Verso!$B$23=$A720,1,0))</f>
        <v>0</v>
      </c>
      <c r="D720" s="91">
        <f>IF(Verso!$B$24="",0,IF(Verso!$B$24=$A720,1,0))</f>
        <v>0</v>
      </c>
      <c r="E720" s="91">
        <f>IF(Verso!$B$25="",0,IF(Verso!$B$25=$A720,1,0))</f>
        <v>0</v>
      </c>
      <c r="F720" s="91">
        <f>IF(Verso!$B$26="",0,IF(Verso!$B$26=$A720,1,0))</f>
        <v>0</v>
      </c>
      <c r="G720" s="295">
        <f t="shared" si="19"/>
        <v>0</v>
      </c>
      <c r="H720" s="534" t="s">
        <v>8238</v>
      </c>
    </row>
    <row r="721" spans="1:8" x14ac:dyDescent="0.25">
      <c r="A721" s="531" t="s">
        <v>956</v>
      </c>
      <c r="B721" s="91">
        <f>IF(Verso!$B$22="",0,IF(Verso!$B$22=$A721,1,0))</f>
        <v>0</v>
      </c>
      <c r="C721" s="91">
        <f>IF(Verso!$B$23="",0,IF(Verso!$B$23=$A721,1,0))</f>
        <v>0</v>
      </c>
      <c r="D721" s="91">
        <f>IF(Verso!$B$24="",0,IF(Verso!$B$24=$A721,1,0))</f>
        <v>0</v>
      </c>
      <c r="E721" s="91">
        <f>IF(Verso!$B$25="",0,IF(Verso!$B$25=$A721,1,0))</f>
        <v>0</v>
      </c>
      <c r="F721" s="91">
        <f>IF(Verso!$B$26="",0,IF(Verso!$B$26=$A721,1,0))</f>
        <v>0</v>
      </c>
      <c r="G721" s="295">
        <f t="shared" si="19"/>
        <v>0</v>
      </c>
      <c r="H721">
        <f>SUM(G721:G727)</f>
        <v>0</v>
      </c>
    </row>
    <row r="722" spans="1:8" x14ac:dyDescent="0.25">
      <c r="A722" s="531" t="s">
        <v>957</v>
      </c>
      <c r="B722" s="91">
        <f>IF(Verso!$B$22="",0,IF(Verso!$B$22=$A722,1,0))</f>
        <v>0</v>
      </c>
      <c r="C722" s="91">
        <f>IF(Verso!$B$23="",0,IF(Verso!$B$23=$A722,1,0))</f>
        <v>0</v>
      </c>
      <c r="D722" s="91">
        <f>IF(Verso!$B$24="",0,IF(Verso!$B$24=$A722,1,0))</f>
        <v>0</v>
      </c>
      <c r="E722" s="91">
        <f>IF(Verso!$B$25="",0,IF(Verso!$B$25=$A722,1,0))</f>
        <v>0</v>
      </c>
      <c r="F722" s="91">
        <f>IF(Verso!$B$26="",0,IF(Verso!$B$26=$A722,1,0))</f>
        <v>0</v>
      </c>
      <c r="G722" s="295">
        <f t="shared" si="19"/>
        <v>0</v>
      </c>
    </row>
    <row r="723" spans="1:8" x14ac:dyDescent="0.25">
      <c r="A723" s="531" t="s">
        <v>958</v>
      </c>
      <c r="B723" s="91">
        <f>IF(Verso!$B$22="",0,IF(Verso!$B$22=$A723,1,0))</f>
        <v>0</v>
      </c>
      <c r="C723" s="91">
        <f>IF(Verso!$B$23="",0,IF(Verso!$B$23=$A723,1,0))</f>
        <v>0</v>
      </c>
      <c r="D723" s="91">
        <f>IF(Verso!$B$24="",0,IF(Verso!$B$24=$A723,1,0))</f>
        <v>0</v>
      </c>
      <c r="E723" s="91">
        <f>IF(Verso!$B$25="",0,IF(Verso!$B$25=$A723,1,0))</f>
        <v>0</v>
      </c>
      <c r="F723" s="91">
        <f>IF(Verso!$B$26="",0,IF(Verso!$B$26=$A723,1,0))</f>
        <v>0</v>
      </c>
      <c r="G723" s="295">
        <f t="shared" si="19"/>
        <v>0</v>
      </c>
    </row>
    <row r="724" spans="1:8" x14ac:dyDescent="0.25">
      <c r="A724" s="531" t="s">
        <v>959</v>
      </c>
      <c r="B724" s="91">
        <f>IF(Verso!$B$22="",0,IF(Verso!$B$22=$A724,1,0))</f>
        <v>0</v>
      </c>
      <c r="C724" s="91">
        <f>IF(Verso!$B$23="",0,IF(Verso!$B$23=$A724,1,0))</f>
        <v>0</v>
      </c>
      <c r="D724" s="91">
        <f>IF(Verso!$B$24="",0,IF(Verso!$B$24=$A724,1,0))</f>
        <v>0</v>
      </c>
      <c r="E724" s="91">
        <f>IF(Verso!$B$25="",0,IF(Verso!$B$25=$A724,1,0))</f>
        <v>0</v>
      </c>
      <c r="F724" s="91">
        <f>IF(Verso!$B$26="",0,IF(Verso!$B$26=$A724,1,0))</f>
        <v>0</v>
      </c>
      <c r="G724" s="295">
        <f t="shared" si="19"/>
        <v>0</v>
      </c>
    </row>
    <row r="725" spans="1:8" x14ac:dyDescent="0.25">
      <c r="A725" s="531" t="s">
        <v>961</v>
      </c>
      <c r="B725" s="91">
        <f>IF(Verso!$B$22="",0,IF(Verso!$B$22=$A725,1,0))</f>
        <v>0</v>
      </c>
      <c r="C725" s="91">
        <f>IF(Verso!$B$23="",0,IF(Verso!$B$23=$A725,1,0))</f>
        <v>0</v>
      </c>
      <c r="D725" s="91">
        <f>IF(Verso!$B$24="",0,IF(Verso!$B$24=$A725,1,0))</f>
        <v>0</v>
      </c>
      <c r="E725" s="91">
        <f>IF(Verso!$B$25="",0,IF(Verso!$B$25=$A725,1,0))</f>
        <v>0</v>
      </c>
      <c r="F725" s="91">
        <f>IF(Verso!$B$26="",0,IF(Verso!$B$26=$A725,1,0))</f>
        <v>0</v>
      </c>
      <c r="G725" s="295">
        <f t="shared" si="19"/>
        <v>0</v>
      </c>
    </row>
    <row r="726" spans="1:8" x14ac:dyDescent="0.25">
      <c r="A726" s="531" t="s">
        <v>962</v>
      </c>
      <c r="B726" s="91">
        <f>IF(Verso!$B$22="",0,IF(Verso!$B$22=$A726,1,0))</f>
        <v>0</v>
      </c>
      <c r="C726" s="91">
        <f>IF(Verso!$B$23="",0,IF(Verso!$B$23=$A726,1,0))</f>
        <v>0</v>
      </c>
      <c r="D726" s="91">
        <f>IF(Verso!$B$24="",0,IF(Verso!$B$24=$A726,1,0))</f>
        <v>0</v>
      </c>
      <c r="E726" s="91">
        <f>IF(Verso!$B$25="",0,IF(Verso!$B$25=$A726,1,0))</f>
        <v>0</v>
      </c>
      <c r="F726" s="91">
        <f>IF(Verso!$B$26="",0,IF(Verso!$B$26=$A726,1,0))</f>
        <v>0</v>
      </c>
      <c r="G726" s="295">
        <f t="shared" si="19"/>
        <v>0</v>
      </c>
    </row>
    <row r="727" spans="1:8" x14ac:dyDescent="0.25">
      <c r="A727" s="531" t="s">
        <v>963</v>
      </c>
      <c r="B727" s="91">
        <f>IF(Verso!$B$22="",0,IF(Verso!$B$22=$A727,1,0))</f>
        <v>0</v>
      </c>
      <c r="C727" s="91">
        <f>IF(Verso!$B$23="",0,IF(Verso!$B$23=$A727,1,0))</f>
        <v>0</v>
      </c>
      <c r="D727" s="91">
        <f>IF(Verso!$B$24="",0,IF(Verso!$B$24=$A727,1,0))</f>
        <v>0</v>
      </c>
      <c r="E727" s="91">
        <f>IF(Verso!$B$25="",0,IF(Verso!$B$25=$A727,1,0))</f>
        <v>0</v>
      </c>
      <c r="F727" s="91">
        <f>IF(Verso!$B$26="",0,IF(Verso!$B$26=$A727,1,0))</f>
        <v>0</v>
      </c>
      <c r="G727" s="295">
        <f t="shared" si="19"/>
        <v>0</v>
      </c>
    </row>
    <row r="728" spans="1:8" x14ac:dyDescent="0.25">
      <c r="A728" s="531" t="s">
        <v>6161</v>
      </c>
      <c r="B728" s="91">
        <f>IF(Verso!$B$22="",0,IF(Verso!$B$22=$A728,1,0))</f>
        <v>0</v>
      </c>
      <c r="C728" s="91">
        <f>IF(Verso!$B$23="",0,IF(Verso!$B$23=$A728,1,0))</f>
        <v>0</v>
      </c>
      <c r="D728" s="91">
        <f>IF(Verso!$B$24="",0,IF(Verso!$B$24=$A728,1,0))</f>
        <v>0</v>
      </c>
      <c r="E728" s="91">
        <f>IF(Verso!$B$25="",0,IF(Verso!$B$25=$A728,1,0))</f>
        <v>0</v>
      </c>
      <c r="F728" s="91">
        <f>IF(Verso!$B$26="",0,IF(Verso!$B$26=$A728,1,0))</f>
        <v>0</v>
      </c>
      <c r="G728" s="295">
        <f t="shared" si="19"/>
        <v>0</v>
      </c>
    </row>
    <row r="729" spans="1:8" x14ac:dyDescent="0.25">
      <c r="A729" s="531" t="s">
        <v>682</v>
      </c>
      <c r="B729" s="91">
        <f>IF(Verso!$B$22="",0,IF(Verso!$B$22=$A729,1,0))</f>
        <v>0</v>
      </c>
      <c r="C729" s="91">
        <f>IF(Verso!$B$23="",0,IF(Verso!$B$23=$A729,1,0))</f>
        <v>0</v>
      </c>
      <c r="D729" s="91">
        <f>IF(Verso!$B$24="",0,IF(Verso!$B$24=$A729,1,0))</f>
        <v>0</v>
      </c>
      <c r="E729" s="91">
        <f>IF(Verso!$B$25="",0,IF(Verso!$B$25=$A729,1,0))</f>
        <v>0</v>
      </c>
      <c r="F729" s="91">
        <f>IF(Verso!$B$26="",0,IF(Verso!$B$26=$A729,1,0))</f>
        <v>0</v>
      </c>
      <c r="G729" s="295">
        <f t="shared" si="19"/>
        <v>0</v>
      </c>
    </row>
    <row r="730" spans="1:8" s="196" customFormat="1" x14ac:dyDescent="0.25">
      <c r="A730" s="531" t="s">
        <v>3181</v>
      </c>
      <c r="B730" s="91">
        <f>IF(Verso!$B$22="",0,IF(Verso!$B$22=$A730,1,0))</f>
        <v>0</v>
      </c>
      <c r="C730" s="91">
        <f>IF(Verso!$B$23="",0,IF(Verso!$B$23=$A730,1,0))</f>
        <v>0</v>
      </c>
      <c r="D730" s="91">
        <f>IF(Verso!$B$24="",0,IF(Verso!$B$24=$A730,1,0))</f>
        <v>0</v>
      </c>
      <c r="E730" s="91">
        <f>IF(Verso!$B$25="",0,IF(Verso!$B$25=$A730,1,0))</f>
        <v>0</v>
      </c>
      <c r="F730" s="91">
        <f>IF(Verso!$B$26="",0,IF(Verso!$B$26=$A730,1,0))</f>
        <v>0</v>
      </c>
      <c r="G730" s="295">
        <f t="shared" ref="G730" si="20">SUM(B730:F730)</f>
        <v>0</v>
      </c>
    </row>
    <row r="731" spans="1:8" x14ac:dyDescent="0.25">
      <c r="A731" s="531" t="s">
        <v>7566</v>
      </c>
      <c r="B731" s="91">
        <f>IF(Verso!$B$22="",0,IF(Verso!$B$22=$A731,1,0))</f>
        <v>0</v>
      </c>
      <c r="C731" s="91">
        <f>IF(Verso!$B$23="",0,IF(Verso!$B$23=$A731,1,0))</f>
        <v>0</v>
      </c>
      <c r="D731" s="91">
        <f>IF(Verso!$B$24="",0,IF(Verso!$B$24=$A731,1,0))</f>
        <v>0</v>
      </c>
      <c r="E731" s="91">
        <f>IF(Verso!$B$25="",0,IF(Verso!$B$25=$A731,1,0))</f>
        <v>0</v>
      </c>
      <c r="F731" s="91">
        <f>IF(Verso!$B$26="",0,IF(Verso!$B$26=$A731,1,0))</f>
        <v>0</v>
      </c>
      <c r="G731" s="295">
        <f t="shared" si="19"/>
        <v>0</v>
      </c>
    </row>
    <row r="732" spans="1:8" x14ac:dyDescent="0.25">
      <c r="A732" s="531" t="s">
        <v>683</v>
      </c>
      <c r="B732" s="91">
        <f>IF(Verso!$B$22="",0,IF(Verso!$B$22=$A732,1,0))</f>
        <v>0</v>
      </c>
      <c r="C732" s="91">
        <f>IF(Verso!$B$23="",0,IF(Verso!$B$23=$A732,1,0))</f>
        <v>0</v>
      </c>
      <c r="D732" s="91">
        <f>IF(Verso!$B$24="",0,IF(Verso!$B$24=$A732,1,0))</f>
        <v>0</v>
      </c>
      <c r="E732" s="91">
        <f>IF(Verso!$B$25="",0,IF(Verso!$B$25=$A732,1,0))</f>
        <v>0</v>
      </c>
      <c r="F732" s="91">
        <f>IF(Verso!$B$26="",0,IF(Verso!$B$26=$A732,1,0))</f>
        <v>0</v>
      </c>
      <c r="G732" s="295">
        <f t="shared" si="19"/>
        <v>0</v>
      </c>
    </row>
    <row r="733" spans="1:8" x14ac:dyDescent="0.25">
      <c r="A733" s="531" t="s">
        <v>5791</v>
      </c>
      <c r="B733" s="91">
        <f>IF(Verso!$B$22="",0,IF(Verso!$B$22=$A733,1,0))</f>
        <v>0</v>
      </c>
      <c r="C733" s="91">
        <f>IF(Verso!$B$23="",0,IF(Verso!$B$23=$A733,1,0))</f>
        <v>0</v>
      </c>
      <c r="D733" s="91">
        <f>IF(Verso!$B$24="",0,IF(Verso!$B$24=$A733,1,0))</f>
        <v>0</v>
      </c>
      <c r="E733" s="91">
        <f>IF(Verso!$B$25="",0,IF(Verso!$B$25=$A733,1,0))</f>
        <v>0</v>
      </c>
      <c r="F733" s="91">
        <f>IF(Verso!$B$26="",0,IF(Verso!$B$26=$A733,1,0))</f>
        <v>0</v>
      </c>
      <c r="G733" s="295">
        <f t="shared" si="19"/>
        <v>0</v>
      </c>
    </row>
    <row r="734" spans="1:8" x14ac:dyDescent="0.25">
      <c r="A734" s="531" t="s">
        <v>689</v>
      </c>
      <c r="B734" s="91">
        <f>IF(Verso!$B$22="",0,IF(Verso!$B$22=$A734,1,0))</f>
        <v>0</v>
      </c>
      <c r="C734" s="91">
        <f>IF(Verso!$B$23="",0,IF(Verso!$B$23=$A734,1,0))</f>
        <v>0</v>
      </c>
      <c r="D734" s="91">
        <f>IF(Verso!$B$24="",0,IF(Verso!$B$24=$A734,1,0))</f>
        <v>0</v>
      </c>
      <c r="E734" s="91">
        <f>IF(Verso!$B$25="",0,IF(Verso!$B$25=$A734,1,0))</f>
        <v>0</v>
      </c>
      <c r="F734" s="91">
        <f>IF(Verso!$B$26="",0,IF(Verso!$B$26=$A734,1,0))</f>
        <v>0</v>
      </c>
      <c r="G734" s="295">
        <f t="shared" si="19"/>
        <v>0</v>
      </c>
    </row>
    <row r="735" spans="1:8" x14ac:dyDescent="0.25">
      <c r="A735" s="531" t="str">
        <f>IF(Contexte_jeu="L'Empire Stellaire d'Emeraude","Vétéran de Rokugan Prime","Vétéran de la Cité Impériale")</f>
        <v>Vétéran de la Cité Impériale</v>
      </c>
      <c r="B735" s="91">
        <f>IF(Verso!$B$22="",0,IF(Verso!$B$22=$A735,1,0))</f>
        <v>0</v>
      </c>
      <c r="C735" s="91">
        <f>IF(Verso!$B$23="",0,IF(Verso!$B$23=$A735,1,0))</f>
        <v>0</v>
      </c>
      <c r="D735" s="91">
        <f>IF(Verso!$B$24="",0,IF(Verso!$B$24=$A735,1,0))</f>
        <v>0</v>
      </c>
      <c r="E735" s="91">
        <f>IF(Verso!$B$25="",0,IF(Verso!$B$25=$A735,1,0))</f>
        <v>0</v>
      </c>
      <c r="F735" s="91">
        <f>IF(Verso!$B$26="",0,IF(Verso!$B$26=$A735,1,0))</f>
        <v>0</v>
      </c>
      <c r="G735" s="295">
        <f t="shared" si="19"/>
        <v>0</v>
      </c>
    </row>
    <row r="736" spans="1:8" x14ac:dyDescent="0.25">
      <c r="A736" s="531" t="s">
        <v>684</v>
      </c>
      <c r="B736" s="91">
        <f>IF(Verso!$B$22="",0,IF(Verso!$B$22=$A736,1,0))</f>
        <v>0</v>
      </c>
      <c r="C736" s="91">
        <f>IF(Verso!$B$23="",0,IF(Verso!$B$23=$A736,1,0))</f>
        <v>0</v>
      </c>
      <c r="D736" s="91">
        <f>IF(Verso!$B$24="",0,IF(Verso!$B$24=$A736,1,0))</f>
        <v>0</v>
      </c>
      <c r="E736" s="91">
        <f>IF(Verso!$B$25="",0,IF(Verso!$B$25=$A736,1,0))</f>
        <v>0</v>
      </c>
      <c r="F736" s="91">
        <f>IF(Verso!$B$26="",0,IF(Verso!$B$26=$A736,1,0))</f>
        <v>0</v>
      </c>
      <c r="G736" s="295">
        <f t="shared" si="19"/>
        <v>0</v>
      </c>
    </row>
    <row r="737" spans="1:7" x14ac:dyDescent="0.25">
      <c r="A737" s="531" t="s">
        <v>688</v>
      </c>
      <c r="B737" s="91">
        <f>IF(Verso!$B$22="",0,IF(Verso!$B$22=$A737,1,0))</f>
        <v>0</v>
      </c>
      <c r="C737" s="91">
        <f>IF(Verso!$B$23="",0,IF(Verso!$B$23=$A737,1,0))</f>
        <v>0</v>
      </c>
      <c r="D737" s="91">
        <f>IF(Verso!$B$24="",0,IF(Verso!$B$24=$A737,1,0))</f>
        <v>0</v>
      </c>
      <c r="E737" s="91">
        <f>IF(Verso!$B$25="",0,IF(Verso!$B$25=$A737,1,0))</f>
        <v>0</v>
      </c>
      <c r="F737" s="91">
        <f>IF(Verso!$B$26="",0,IF(Verso!$B$26=$A737,1,0))</f>
        <v>0</v>
      </c>
      <c r="G737" s="295">
        <f t="shared" si="19"/>
        <v>0</v>
      </c>
    </row>
    <row r="738" spans="1:7" x14ac:dyDescent="0.25">
      <c r="A738" s="533" t="s">
        <v>818</v>
      </c>
      <c r="B738" s="297">
        <f>IF(Verso!$B$22="",0,IF(Verso!$B$22=$A738,1,0))</f>
        <v>0</v>
      </c>
      <c r="C738" s="297">
        <f>IF(Verso!$B$23="",0,IF(Verso!$B$23=$A738,1,0))</f>
        <v>0</v>
      </c>
      <c r="D738" s="297">
        <f>IF(Verso!$B$24="",0,IF(Verso!$B$24=$A738,1,0))</f>
        <v>0</v>
      </c>
      <c r="E738" s="297">
        <f>IF(Verso!$B$25="",0,IF(Verso!$B$25=$A738,1,0))</f>
        <v>0</v>
      </c>
      <c r="F738" s="297">
        <f>IF(Verso!$B$26="",0,IF(Verso!$B$26=$A738,1,0))</f>
        <v>0</v>
      </c>
      <c r="G738" s="298">
        <f t="shared" si="19"/>
        <v>0</v>
      </c>
    </row>
    <row r="739" spans="1:7" x14ac:dyDescent="0.25">
      <c r="A739" s="530" t="s">
        <v>8231</v>
      </c>
      <c r="B739" s="353" t="s">
        <v>6405</v>
      </c>
      <c r="C739" s="353" t="s">
        <v>6406</v>
      </c>
      <c r="D739" s="353" t="s">
        <v>6407</v>
      </c>
      <c r="E739" s="353" t="s">
        <v>6408</v>
      </c>
      <c r="F739" s="353" t="s">
        <v>6409</v>
      </c>
      <c r="G739" s="354" t="s">
        <v>6421</v>
      </c>
    </row>
    <row r="740" spans="1:7" x14ac:dyDescent="0.25">
      <c r="A740" s="531" t="s">
        <v>850</v>
      </c>
      <c r="B740" s="91">
        <f>IF(Verso!$B$30="",0,IF(Verso!$B$30=$A740,1,0))</f>
        <v>0</v>
      </c>
      <c r="C740" s="91">
        <f>IF(Verso!$B$31="",0,IF(Verso!$B$31=$A740,1,0))</f>
        <v>0</v>
      </c>
      <c r="D740" s="91">
        <f>IF(Verso!$B$32="",0,IF(Verso!$B$32=$A740,1,0))</f>
        <v>0</v>
      </c>
      <c r="E740" s="91">
        <f>IF(Verso!$B$33="",0,IF(Verso!$B$33=$A740,1,0))</f>
        <v>0</v>
      </c>
      <c r="F740" s="91">
        <f>IF(Verso!$B$34="",0,IF(Verso!$B$34=$A740,1,0))</f>
        <v>0</v>
      </c>
      <c r="G740" s="295">
        <f>SUM(B740:F740)</f>
        <v>0</v>
      </c>
    </row>
    <row r="741" spans="1:7" x14ac:dyDescent="0.25">
      <c r="A741" s="531" t="s">
        <v>1952</v>
      </c>
      <c r="B741" s="91">
        <f>IF(Verso!$B$30="",0,IF(Verso!$B$30=$A741,1,0))</f>
        <v>0</v>
      </c>
      <c r="C741" s="91">
        <f>IF(Verso!$B$31="",0,IF(Verso!$B$31=$A741,1,0))</f>
        <v>0</v>
      </c>
      <c r="D741" s="91">
        <f>IF(Verso!$B$32="",0,IF(Verso!$B$32=$A741,1,0))</f>
        <v>0</v>
      </c>
      <c r="E741" s="91">
        <f>IF(Verso!$B$33="",0,IF(Verso!$B$33=$A741,1,0))</f>
        <v>0</v>
      </c>
      <c r="F741" s="91">
        <f>IF(Verso!$B$34="",0,IF(Verso!$B$34=$A741,1,0))</f>
        <v>0</v>
      </c>
      <c r="G741" s="295">
        <f t="shared" ref="G741:G805" si="21">SUM(B741:F741)</f>
        <v>0</v>
      </c>
    </row>
    <row r="742" spans="1:7" x14ac:dyDescent="0.25">
      <c r="A742" s="531" t="s">
        <v>6980</v>
      </c>
      <c r="B742" s="91">
        <f>IF(Verso!$B$30="",0,IF(Verso!$B$30=$A742,1,0))</f>
        <v>0</v>
      </c>
      <c r="C742" s="91">
        <f>IF(Verso!$B$31="",0,IF(Verso!$B$31=$A742,1,0))</f>
        <v>0</v>
      </c>
      <c r="D742" s="91">
        <f>IF(Verso!$B$32="",0,IF(Verso!$B$32=$A742,1,0))</f>
        <v>0</v>
      </c>
      <c r="E742" s="91">
        <f>IF(Verso!$B$33="",0,IF(Verso!$B$33=$A742,1,0))</f>
        <v>0</v>
      </c>
      <c r="F742" s="91">
        <f>IF(Verso!$B$34="",0,IF(Verso!$B$34=$A742,1,0))</f>
        <v>0</v>
      </c>
      <c r="G742" s="295">
        <f t="shared" si="21"/>
        <v>0</v>
      </c>
    </row>
    <row r="743" spans="1:7" x14ac:dyDescent="0.25">
      <c r="A743" s="531" t="s">
        <v>7574</v>
      </c>
      <c r="B743" s="91">
        <f>IF(Verso!$B$30="",0,IF(Verso!$B$30=$A743,1,0))</f>
        <v>0</v>
      </c>
      <c r="C743" s="91">
        <f>IF(Verso!$B$31="",0,IF(Verso!$B$31=$A743,1,0))</f>
        <v>0</v>
      </c>
      <c r="D743" s="91">
        <f>IF(Verso!$B$32="",0,IF(Verso!$B$32=$A743,1,0))</f>
        <v>0</v>
      </c>
      <c r="E743" s="91">
        <f>IF(Verso!$B$33="",0,IF(Verso!$B$33=$A743,1,0))</f>
        <v>0</v>
      </c>
      <c r="F743" s="91">
        <f>IF(Verso!$B$34="",0,IF(Verso!$B$34=$A743,1,0))</f>
        <v>0</v>
      </c>
      <c r="G743" s="295">
        <f t="shared" si="21"/>
        <v>0</v>
      </c>
    </row>
    <row r="744" spans="1:7" x14ac:dyDescent="0.25">
      <c r="A744" s="531" t="s">
        <v>7572</v>
      </c>
      <c r="B744" s="91">
        <f>IF(Verso!$B$30="",0,IF(Verso!$B$30=$A744,1,0))</f>
        <v>0</v>
      </c>
      <c r="C744" s="91">
        <f>IF(Verso!$B$31="",0,IF(Verso!$B$31=$A744,1,0))</f>
        <v>0</v>
      </c>
      <c r="D744" s="91">
        <f>IF(Verso!$B$32="",0,IF(Verso!$B$32=$A744,1,0))</f>
        <v>0</v>
      </c>
      <c r="E744" s="91">
        <f>IF(Verso!$B$33="",0,IF(Verso!$B$33=$A744,1,0))</f>
        <v>0</v>
      </c>
      <c r="F744" s="91">
        <f>IF(Verso!$B$34="",0,IF(Verso!$B$34=$A744,1,0))</f>
        <v>0</v>
      </c>
      <c r="G744" s="295">
        <f t="shared" si="21"/>
        <v>0</v>
      </c>
    </row>
    <row r="745" spans="1:7" x14ac:dyDescent="0.25">
      <c r="A745" s="531" t="s">
        <v>851</v>
      </c>
      <c r="B745" s="91">
        <f>IF(Verso!$B$30="",0,IF(Verso!$B$30=$A745,1,0))</f>
        <v>0</v>
      </c>
      <c r="C745" s="91">
        <f>IF(Verso!$B$31="",0,IF(Verso!$B$31=$A745,1,0))</f>
        <v>0</v>
      </c>
      <c r="D745" s="91">
        <f>IF(Verso!$B$32="",0,IF(Verso!$B$32=$A745,1,0))</f>
        <v>0</v>
      </c>
      <c r="E745" s="91">
        <f>IF(Verso!$B$33="",0,IF(Verso!$B$33=$A745,1,0))</f>
        <v>0</v>
      </c>
      <c r="F745" s="91">
        <f>IF(Verso!$B$34="",0,IF(Verso!$B$34=$A745,1,0))</f>
        <v>0</v>
      </c>
      <c r="G745" s="295">
        <f t="shared" si="21"/>
        <v>0</v>
      </c>
    </row>
    <row r="746" spans="1:7" x14ac:dyDescent="0.25">
      <c r="A746" s="531" t="s">
        <v>852</v>
      </c>
      <c r="B746" s="91">
        <f>IF(Verso!$B$30="",0,IF(Verso!$B$30=$A746,1,0))</f>
        <v>0</v>
      </c>
      <c r="C746" s="91">
        <f>IF(Verso!$B$31="",0,IF(Verso!$B$31=$A746,1,0))</f>
        <v>0</v>
      </c>
      <c r="D746" s="91">
        <f>IF(Verso!$B$32="",0,IF(Verso!$B$32=$A746,1,0))</f>
        <v>0</v>
      </c>
      <c r="E746" s="91">
        <f>IF(Verso!$B$33="",0,IF(Verso!$B$33=$A746,1,0))</f>
        <v>0</v>
      </c>
      <c r="F746" s="91">
        <f>IF(Verso!$B$34="",0,IF(Verso!$B$34=$A746,1,0))</f>
        <v>0</v>
      </c>
      <c r="G746" s="295">
        <f t="shared" si="21"/>
        <v>0</v>
      </c>
    </row>
    <row r="747" spans="1:7" x14ac:dyDescent="0.25">
      <c r="A747" s="531" t="s">
        <v>676</v>
      </c>
      <c r="B747" s="91">
        <f>IF(Verso!$B$30="",0,IF(Verso!$B$30=$A747,1,0))</f>
        <v>0</v>
      </c>
      <c r="C747" s="91">
        <f>IF(Verso!$B$31="",0,IF(Verso!$B$31=$A747,1,0))</f>
        <v>0</v>
      </c>
      <c r="D747" s="91">
        <f>IF(Verso!$B$32="",0,IF(Verso!$B$32=$A747,1,0))</f>
        <v>0</v>
      </c>
      <c r="E747" s="91">
        <f>IF(Verso!$B$33="",0,IF(Verso!$B$33=$A747,1,0))</f>
        <v>0</v>
      </c>
      <c r="F747" s="91">
        <f>IF(Verso!$B$34="",0,IF(Verso!$B$34=$A747,1,0))</f>
        <v>0</v>
      </c>
      <c r="G747" s="295">
        <f t="shared" si="21"/>
        <v>0</v>
      </c>
    </row>
    <row r="748" spans="1:7" x14ac:dyDescent="0.25">
      <c r="A748" s="531" t="s">
        <v>7586</v>
      </c>
      <c r="B748" s="91">
        <f>IF(Verso!$B$30="",0,IF(Verso!$B$30=$A748,1,0))</f>
        <v>0</v>
      </c>
      <c r="C748" s="91">
        <f>IF(Verso!$B$31="",0,IF(Verso!$B$31=$A748,1,0))</f>
        <v>0</v>
      </c>
      <c r="D748" s="91">
        <f>IF(Verso!$B$32="",0,IF(Verso!$B$32=$A748,1,0))</f>
        <v>0</v>
      </c>
      <c r="E748" s="91">
        <f>IF(Verso!$B$33="",0,IF(Verso!$B$33=$A748,1,0))</f>
        <v>0</v>
      </c>
      <c r="F748" s="91">
        <f>IF(Verso!$B$34="",0,IF(Verso!$B$34=$A748,1,0))</f>
        <v>0</v>
      </c>
      <c r="G748" s="295">
        <f t="shared" si="21"/>
        <v>0</v>
      </c>
    </row>
    <row r="749" spans="1:7" x14ac:dyDescent="0.25">
      <c r="A749" s="531" t="s">
        <v>1053</v>
      </c>
      <c r="B749" s="91">
        <f>IF(Verso!$B$30="",0,IF(Verso!$B$30=$A749,1,0))</f>
        <v>0</v>
      </c>
      <c r="C749" s="91">
        <f>IF(Verso!$B$31="",0,IF(Verso!$B$31=$A749,1,0))</f>
        <v>0</v>
      </c>
      <c r="D749" s="91">
        <f>IF(Verso!$B$32="",0,IF(Verso!$B$32=$A749,1,0))</f>
        <v>0</v>
      </c>
      <c r="E749" s="91">
        <f>IF(Verso!$B$33="",0,IF(Verso!$B$33=$A749,1,0))</f>
        <v>0</v>
      </c>
      <c r="F749" s="91">
        <f>IF(Verso!$B$34="",0,IF(Verso!$B$34=$A749,1,0))</f>
        <v>0</v>
      </c>
      <c r="G749" s="295">
        <f t="shared" si="21"/>
        <v>0</v>
      </c>
    </row>
    <row r="750" spans="1:7" x14ac:dyDescent="0.25">
      <c r="A750" s="531" t="s">
        <v>821</v>
      </c>
      <c r="B750" s="91">
        <f>IF(Verso!$B$30="",0,IF(Verso!$B$30=$A750,1,0))</f>
        <v>0</v>
      </c>
      <c r="C750" s="91">
        <f>IF(Verso!$B$31="",0,IF(Verso!$B$31=$A750,1,0))</f>
        <v>0</v>
      </c>
      <c r="D750" s="91">
        <f>IF(Verso!$B$32="",0,IF(Verso!$B$32=$A750,1,0))</f>
        <v>0</v>
      </c>
      <c r="E750" s="91">
        <f>IF(Verso!$B$33="",0,IF(Verso!$B$33=$A750,1,0))</f>
        <v>0</v>
      </c>
      <c r="F750" s="91">
        <f>IF(Verso!$B$34="",0,IF(Verso!$B$34=$A750,1,0))</f>
        <v>0</v>
      </c>
      <c r="G750" s="295">
        <f t="shared" si="21"/>
        <v>0</v>
      </c>
    </row>
    <row r="751" spans="1:7" x14ac:dyDescent="0.25">
      <c r="A751" s="531" t="s">
        <v>986</v>
      </c>
      <c r="B751" s="91">
        <f>IF(Verso!$B$30="",0,IF(Verso!$B$30=$A751,1,0))</f>
        <v>0</v>
      </c>
      <c r="C751" s="91">
        <f>IF(Verso!$B$31="",0,IF(Verso!$B$31=$A751,1,0))</f>
        <v>0</v>
      </c>
      <c r="D751" s="91">
        <f>IF(Verso!$B$32="",0,IF(Verso!$B$32=$A751,1,0))</f>
        <v>0</v>
      </c>
      <c r="E751" s="91">
        <f>IF(Verso!$B$33="",0,IF(Verso!$B$33=$A751,1,0))</f>
        <v>0</v>
      </c>
      <c r="F751" s="91">
        <f>IF(Verso!$B$34="",0,IF(Verso!$B$34=$A751,1,0))</f>
        <v>0</v>
      </c>
      <c r="G751" s="295">
        <f t="shared" si="21"/>
        <v>0</v>
      </c>
    </row>
    <row r="752" spans="1:7" x14ac:dyDescent="0.25">
      <c r="A752" s="531" t="s">
        <v>985</v>
      </c>
      <c r="B752" s="91">
        <f>IF(Verso!$B$30="",0,IF(Verso!$B$30=$A752,1,0))</f>
        <v>0</v>
      </c>
      <c r="C752" s="91">
        <f>IF(Verso!$B$31="",0,IF(Verso!$B$31=$A752,1,0))</f>
        <v>0</v>
      </c>
      <c r="D752" s="91">
        <f>IF(Verso!$B$32="",0,IF(Verso!$B$32=$A752,1,0))</f>
        <v>0</v>
      </c>
      <c r="E752" s="91">
        <f>IF(Verso!$B$33="",0,IF(Verso!$B$33=$A752,1,0))</f>
        <v>0</v>
      </c>
      <c r="F752" s="91">
        <f>IF(Verso!$B$34="",0,IF(Verso!$B$34=$A752,1,0))</f>
        <v>0</v>
      </c>
      <c r="G752" s="295">
        <f t="shared" si="21"/>
        <v>0</v>
      </c>
    </row>
    <row r="753" spans="1:7" x14ac:dyDescent="0.25">
      <c r="A753" s="531" t="s">
        <v>853</v>
      </c>
      <c r="B753" s="91">
        <f>IF(Verso!$B$30="",0,IF(Verso!$B$30=$A753,1,0))</f>
        <v>0</v>
      </c>
      <c r="C753" s="91">
        <f>IF(Verso!$B$31="",0,IF(Verso!$B$31=$A753,1,0))</f>
        <v>0</v>
      </c>
      <c r="D753" s="91">
        <f>IF(Verso!$B$32="",0,IF(Verso!$B$32=$A753,1,0))</f>
        <v>0</v>
      </c>
      <c r="E753" s="91">
        <f>IF(Verso!$B$33="",0,IF(Verso!$B$33=$A753,1,0))</f>
        <v>0</v>
      </c>
      <c r="F753" s="91">
        <f>IF(Verso!$B$34="",0,IF(Verso!$B$34=$A753,1,0))</f>
        <v>0</v>
      </c>
      <c r="G753" s="295">
        <f t="shared" si="21"/>
        <v>0</v>
      </c>
    </row>
    <row r="754" spans="1:7" x14ac:dyDescent="0.25">
      <c r="A754" s="531" t="s">
        <v>854</v>
      </c>
      <c r="B754" s="91">
        <f>IF(Verso!$B$30="",0,IF(Verso!$B$30=$A754,1,0))</f>
        <v>0</v>
      </c>
      <c r="C754" s="91">
        <f>IF(Verso!$B$31="",0,IF(Verso!$B$31=$A754,1,0))</f>
        <v>0</v>
      </c>
      <c r="D754" s="91">
        <f>IF(Verso!$B$32="",0,IF(Verso!$B$32=$A754,1,0))</f>
        <v>0</v>
      </c>
      <c r="E754" s="91">
        <f>IF(Verso!$B$33="",0,IF(Verso!$B$33=$A754,1,0))</f>
        <v>0</v>
      </c>
      <c r="F754" s="91">
        <f>IF(Verso!$B$34="",0,IF(Verso!$B$34=$A754,1,0))</f>
        <v>0</v>
      </c>
      <c r="G754" s="295">
        <f t="shared" si="21"/>
        <v>0</v>
      </c>
    </row>
    <row r="755" spans="1:7" x14ac:dyDescent="0.25">
      <c r="A755" s="531" t="s">
        <v>855</v>
      </c>
      <c r="B755" s="91">
        <f>IF(Verso!$B$30="",0,IF(Verso!$B$30=$A755,1,0))</f>
        <v>0</v>
      </c>
      <c r="C755" s="91">
        <f>IF(Verso!$B$31="",0,IF(Verso!$B$31=$A755,1,0))</f>
        <v>0</v>
      </c>
      <c r="D755" s="91">
        <f>IF(Verso!$B$32="",0,IF(Verso!$B$32=$A755,1,0))</f>
        <v>0</v>
      </c>
      <c r="E755" s="91">
        <f>IF(Verso!$B$33="",0,IF(Verso!$B$33=$A755,1,0))</f>
        <v>0</v>
      </c>
      <c r="F755" s="91">
        <f>IF(Verso!$B$34="",0,IF(Verso!$B$34=$A755,1,0))</f>
        <v>0</v>
      </c>
      <c r="G755" s="295">
        <f t="shared" si="21"/>
        <v>0</v>
      </c>
    </row>
    <row r="756" spans="1:7" x14ac:dyDescent="0.25">
      <c r="A756" s="531" t="s">
        <v>857</v>
      </c>
      <c r="B756" s="91">
        <f>IF(Verso!$B$30="",0,IF(Verso!$B$30=$A756,1,0))</f>
        <v>0</v>
      </c>
      <c r="C756" s="91">
        <f>IF(Verso!$B$31="",0,IF(Verso!$B$31=$A756,1,0))</f>
        <v>0</v>
      </c>
      <c r="D756" s="91">
        <f>IF(Verso!$B$32="",0,IF(Verso!$B$32=$A756,1,0))</f>
        <v>0</v>
      </c>
      <c r="E756" s="91">
        <f>IF(Verso!$B$33="",0,IF(Verso!$B$33=$A756,1,0))</f>
        <v>0</v>
      </c>
      <c r="F756" s="91">
        <f>IF(Verso!$B$34="",0,IF(Verso!$B$34=$A756,1,0))</f>
        <v>0</v>
      </c>
      <c r="G756" s="295">
        <f t="shared" si="21"/>
        <v>0</v>
      </c>
    </row>
    <row r="757" spans="1:7" x14ac:dyDescent="0.25">
      <c r="A757" s="531" t="s">
        <v>858</v>
      </c>
      <c r="B757" s="91">
        <f>IF(Verso!$B$30="",0,IF(Verso!$B$30=$A757,1,0))</f>
        <v>0</v>
      </c>
      <c r="C757" s="91">
        <f>IF(Verso!$B$31="",0,IF(Verso!$B$31=$A757,1,0))</f>
        <v>0</v>
      </c>
      <c r="D757" s="91">
        <f>IF(Verso!$B$32="",0,IF(Verso!$B$32=$A757,1,0))</f>
        <v>0</v>
      </c>
      <c r="E757" s="91">
        <f>IF(Verso!$B$33="",0,IF(Verso!$B$33=$A757,1,0))</f>
        <v>0</v>
      </c>
      <c r="F757" s="91">
        <f>IF(Verso!$B$34="",0,IF(Verso!$B$34=$A757,1,0))</f>
        <v>0</v>
      </c>
      <c r="G757" s="295">
        <f t="shared" si="21"/>
        <v>0</v>
      </c>
    </row>
    <row r="758" spans="1:7" x14ac:dyDescent="0.25">
      <c r="A758" s="531" t="s">
        <v>859</v>
      </c>
      <c r="B758" s="91">
        <f>IF(Verso!$B$30="",0,IF(Verso!$B$30=$A758,1,0))</f>
        <v>0</v>
      </c>
      <c r="C758" s="91">
        <f>IF(Verso!$B$31="",0,IF(Verso!$B$31=$A758,1,0))</f>
        <v>0</v>
      </c>
      <c r="D758" s="91">
        <f>IF(Verso!$B$32="",0,IF(Verso!$B$32=$A758,1,0))</f>
        <v>0</v>
      </c>
      <c r="E758" s="91">
        <f>IF(Verso!$B$33="",0,IF(Verso!$B$33=$A758,1,0))</f>
        <v>0</v>
      </c>
      <c r="F758" s="91">
        <f>IF(Verso!$B$34="",0,IF(Verso!$B$34=$A758,1,0))</f>
        <v>0</v>
      </c>
      <c r="G758" s="295">
        <f t="shared" si="21"/>
        <v>0</v>
      </c>
    </row>
    <row r="759" spans="1:7" x14ac:dyDescent="0.25">
      <c r="A759" s="531" t="s">
        <v>860</v>
      </c>
      <c r="B759" s="91">
        <f>IF(Verso!$B$30="",0,IF(Verso!$B$30=$A759,1,0))</f>
        <v>0</v>
      </c>
      <c r="C759" s="91">
        <f>IF(Verso!$B$31="",0,IF(Verso!$B$31=$A759,1,0))</f>
        <v>0</v>
      </c>
      <c r="D759" s="91">
        <f>IF(Verso!$B$32="",0,IF(Verso!$B$32=$A759,1,0))</f>
        <v>0</v>
      </c>
      <c r="E759" s="91">
        <f>IF(Verso!$B$33="",0,IF(Verso!$B$33=$A759,1,0))</f>
        <v>0</v>
      </c>
      <c r="F759" s="91">
        <f>IF(Verso!$B$34="",0,IF(Verso!$B$34=$A759,1,0))</f>
        <v>0</v>
      </c>
      <c r="G759" s="295">
        <f t="shared" si="21"/>
        <v>0</v>
      </c>
    </row>
    <row r="760" spans="1:7" x14ac:dyDescent="0.25">
      <c r="A760" s="531" t="s">
        <v>861</v>
      </c>
      <c r="B760" s="91">
        <f>IF(Verso!$B$30="",0,IF(Verso!$B$30=$A760,1,0))</f>
        <v>0</v>
      </c>
      <c r="C760" s="91">
        <f>IF(Verso!$B$31="",0,IF(Verso!$B$31=$A760,1,0))</f>
        <v>0</v>
      </c>
      <c r="D760" s="91">
        <f>IF(Verso!$B$32="",0,IF(Verso!$B$32=$A760,1,0))</f>
        <v>0</v>
      </c>
      <c r="E760" s="91">
        <f>IF(Verso!$B$33="",0,IF(Verso!$B$33=$A760,1,0))</f>
        <v>0</v>
      </c>
      <c r="F760" s="91">
        <f>IF(Verso!$B$34="",0,IF(Verso!$B$34=$A760,1,0))</f>
        <v>0</v>
      </c>
      <c r="G760" s="295">
        <f t="shared" si="21"/>
        <v>0</v>
      </c>
    </row>
    <row r="761" spans="1:7" x14ac:dyDescent="0.25">
      <c r="A761" s="531" t="s">
        <v>1069</v>
      </c>
      <c r="B761" s="91">
        <f>IF(Verso!$B$30="",0,IF(Verso!$B$30=$A761,1,0))</f>
        <v>0</v>
      </c>
      <c r="C761" s="91">
        <f>IF(Verso!$B$31="",0,IF(Verso!$B$31=$A761,1,0))</f>
        <v>0</v>
      </c>
      <c r="D761" s="91">
        <f>IF(Verso!$B$32="",0,IF(Verso!$B$32=$A761,1,0))</f>
        <v>0</v>
      </c>
      <c r="E761" s="91">
        <f>IF(Verso!$B$33="",0,IF(Verso!$B$33=$A761,1,0))</f>
        <v>0</v>
      </c>
      <c r="F761" s="91">
        <f>IF(Verso!$B$34="",0,IF(Verso!$B$34=$A761,1,0))</f>
        <v>0</v>
      </c>
      <c r="G761" s="295">
        <f t="shared" si="21"/>
        <v>0</v>
      </c>
    </row>
    <row r="762" spans="1:7" x14ac:dyDescent="0.25">
      <c r="A762" s="531" t="s">
        <v>1067</v>
      </c>
      <c r="B762" s="91">
        <f>IF(Verso!$B$30="",0,IF(Verso!$B$30=$A762,1,0))</f>
        <v>0</v>
      </c>
      <c r="C762" s="91">
        <f>IF(Verso!$B$31="",0,IF(Verso!$B$31=$A762,1,0))</f>
        <v>0</v>
      </c>
      <c r="D762" s="91">
        <f>IF(Verso!$B$32="",0,IF(Verso!$B$32=$A762,1,0))</f>
        <v>0</v>
      </c>
      <c r="E762" s="91">
        <f>IF(Verso!$B$33="",0,IF(Verso!$B$33=$A762,1,0))</f>
        <v>0</v>
      </c>
      <c r="F762" s="91">
        <f>IF(Verso!$B$34="",0,IF(Verso!$B$34=$A762,1,0))</f>
        <v>0</v>
      </c>
      <c r="G762" s="295">
        <f t="shared" si="21"/>
        <v>0</v>
      </c>
    </row>
    <row r="763" spans="1:7" x14ac:dyDescent="0.25">
      <c r="A763" s="531" t="s">
        <v>1068</v>
      </c>
      <c r="B763" s="91">
        <f>IF(Verso!$B$30="",0,IF(Verso!$B$30=$A763,1,0))</f>
        <v>0</v>
      </c>
      <c r="C763" s="91">
        <f>IF(Verso!$B$31="",0,IF(Verso!$B$31=$A763,1,0))</f>
        <v>0</v>
      </c>
      <c r="D763" s="91">
        <f>IF(Verso!$B$32="",0,IF(Verso!$B$32=$A763,1,0))</f>
        <v>0</v>
      </c>
      <c r="E763" s="91">
        <f>IF(Verso!$B$33="",0,IF(Verso!$B$33=$A763,1,0))</f>
        <v>0</v>
      </c>
      <c r="F763" s="91">
        <f>IF(Verso!$B$34="",0,IF(Verso!$B$34=$A763,1,0))</f>
        <v>0</v>
      </c>
      <c r="G763" s="295">
        <f t="shared" si="21"/>
        <v>0</v>
      </c>
    </row>
    <row r="764" spans="1:7" x14ac:dyDescent="0.25">
      <c r="A764" s="531" t="s">
        <v>862</v>
      </c>
      <c r="B764" s="91">
        <f>IF(Verso!$B$30="",0,IF(Verso!$B$30=$A764,1,0))</f>
        <v>0</v>
      </c>
      <c r="C764" s="91">
        <f>IF(Verso!$B$31="",0,IF(Verso!$B$31=$A764,1,0))</f>
        <v>0</v>
      </c>
      <c r="D764" s="91">
        <f>IF(Verso!$B$32="",0,IF(Verso!$B$32=$A764,1,0))</f>
        <v>0</v>
      </c>
      <c r="E764" s="91">
        <f>IF(Verso!$B$33="",0,IF(Verso!$B$33=$A764,1,0))</f>
        <v>0</v>
      </c>
      <c r="F764" s="91">
        <f>IF(Verso!$B$34="",0,IF(Verso!$B$34=$A764,1,0))</f>
        <v>0</v>
      </c>
      <c r="G764" s="295">
        <f t="shared" si="21"/>
        <v>0</v>
      </c>
    </row>
    <row r="765" spans="1:7" x14ac:dyDescent="0.25">
      <c r="A765" s="531" t="s">
        <v>7275</v>
      </c>
      <c r="B765" s="91">
        <f>IF(Verso!$B$30="",0,IF(Verso!$B$30=$A765,1,0))</f>
        <v>0</v>
      </c>
      <c r="C765" s="91">
        <f>IF(Verso!$B$31="",0,IF(Verso!$B$31=$A765,1,0))</f>
        <v>0</v>
      </c>
      <c r="D765" s="91">
        <f>IF(Verso!$B$32="",0,IF(Verso!$B$32=$A765,1,0))</f>
        <v>0</v>
      </c>
      <c r="E765" s="91">
        <f>IF(Verso!$B$33="",0,IF(Verso!$B$33=$A765,1,0))</f>
        <v>0</v>
      </c>
      <c r="F765" s="91">
        <f>IF(Verso!$B$34="",0,IF(Verso!$B$34=$A765,1,0))</f>
        <v>0</v>
      </c>
      <c r="G765" s="295">
        <f t="shared" si="21"/>
        <v>0</v>
      </c>
    </row>
    <row r="766" spans="1:7" x14ac:dyDescent="0.25">
      <c r="A766" s="531" t="s">
        <v>7276</v>
      </c>
      <c r="B766" s="91">
        <f>IF(Verso!$B$30="",0,IF(Verso!$B$30=$A766,1,0))</f>
        <v>0</v>
      </c>
      <c r="C766" s="91">
        <f>IF(Verso!$B$31="",0,IF(Verso!$B$31=$A766,1,0))</f>
        <v>0</v>
      </c>
      <c r="D766" s="91">
        <f>IF(Verso!$B$32="",0,IF(Verso!$B$32=$A766,1,0))</f>
        <v>0</v>
      </c>
      <c r="E766" s="91">
        <f>IF(Verso!$B$33="",0,IF(Verso!$B$33=$A766,1,0))</f>
        <v>0</v>
      </c>
      <c r="F766" s="91">
        <f>IF(Verso!$B$34="",0,IF(Verso!$B$34=$A766,1,0))</f>
        <v>0</v>
      </c>
      <c r="G766" s="295">
        <f t="shared" si="21"/>
        <v>0</v>
      </c>
    </row>
    <row r="767" spans="1:7" x14ac:dyDescent="0.25">
      <c r="A767" s="531" t="s">
        <v>7277</v>
      </c>
      <c r="B767" s="91">
        <f>IF(Verso!$B$30="",0,IF(Verso!$B$30=$A767,1,0))</f>
        <v>0</v>
      </c>
      <c r="C767" s="91">
        <f>IF(Verso!$B$31="",0,IF(Verso!$B$31=$A767,1,0))</f>
        <v>0</v>
      </c>
      <c r="D767" s="91">
        <f>IF(Verso!$B$32="",0,IF(Verso!$B$32=$A767,1,0))</f>
        <v>0</v>
      </c>
      <c r="E767" s="91">
        <f>IF(Verso!$B$33="",0,IF(Verso!$B$33=$A767,1,0))</f>
        <v>0</v>
      </c>
      <c r="F767" s="91">
        <f>IF(Verso!$B$34="",0,IF(Verso!$B$34=$A767,1,0))</f>
        <v>0</v>
      </c>
      <c r="G767" s="295">
        <f t="shared" si="21"/>
        <v>0</v>
      </c>
    </row>
    <row r="768" spans="1:7" x14ac:dyDescent="0.25">
      <c r="A768" s="531" t="s">
        <v>863</v>
      </c>
      <c r="B768" s="91">
        <f>IF(Verso!$B$30="",0,IF(Verso!$B$30=$A768,1,0))</f>
        <v>0</v>
      </c>
      <c r="C768" s="91">
        <f>IF(Verso!$B$31="",0,IF(Verso!$B$31=$A768,1,0))</f>
        <v>0</v>
      </c>
      <c r="D768" s="91">
        <f>IF(Verso!$B$32="",0,IF(Verso!$B$32=$A768,1,0))</f>
        <v>0</v>
      </c>
      <c r="E768" s="91">
        <f>IF(Verso!$B$33="",0,IF(Verso!$B$33=$A768,1,0))</f>
        <v>0</v>
      </c>
      <c r="F768" s="91">
        <f>IF(Verso!$B$34="",0,IF(Verso!$B$34=$A768,1,0))</f>
        <v>0</v>
      </c>
      <c r="G768" s="295">
        <f t="shared" si="21"/>
        <v>0</v>
      </c>
    </row>
    <row r="769" spans="1:7" x14ac:dyDescent="0.25">
      <c r="A769" s="531" t="s">
        <v>864</v>
      </c>
      <c r="B769" s="91">
        <f>IF(Verso!$B$30="",0,IF(Verso!$B$30=$A769,1,0))</f>
        <v>0</v>
      </c>
      <c r="C769" s="91">
        <f>IF(Verso!$B$31="",0,IF(Verso!$B$31=$A769,1,0))</f>
        <v>0</v>
      </c>
      <c r="D769" s="91">
        <f>IF(Verso!$B$32="",0,IF(Verso!$B$32=$A769,1,0))</f>
        <v>0</v>
      </c>
      <c r="E769" s="91">
        <f>IF(Verso!$B$33="",0,IF(Verso!$B$33=$A769,1,0))</f>
        <v>0</v>
      </c>
      <c r="F769" s="91">
        <f>IF(Verso!$B$34="",0,IF(Verso!$B$34=$A769,1,0))</f>
        <v>0</v>
      </c>
      <c r="G769" s="295">
        <f t="shared" si="21"/>
        <v>0</v>
      </c>
    </row>
    <row r="770" spans="1:7" x14ac:dyDescent="0.25">
      <c r="A770" s="531" t="s">
        <v>865</v>
      </c>
      <c r="B770" s="91">
        <f>IF(Verso!$B$30="",0,IF(Verso!$B$30=$A770,1,0))</f>
        <v>0</v>
      </c>
      <c r="C770" s="91">
        <f>IF(Verso!$B$31="",0,IF(Verso!$B$31=$A770,1,0))</f>
        <v>0</v>
      </c>
      <c r="D770" s="91">
        <f>IF(Verso!$B$32="",0,IF(Verso!$B$32=$A770,1,0))</f>
        <v>0</v>
      </c>
      <c r="E770" s="91">
        <f>IF(Verso!$B$33="",0,IF(Verso!$B$33=$A770,1,0))</f>
        <v>0</v>
      </c>
      <c r="F770" s="91">
        <f>IF(Verso!$B$34="",0,IF(Verso!$B$34=$A770,1,0))</f>
        <v>0</v>
      </c>
      <c r="G770" s="295">
        <f t="shared" si="21"/>
        <v>0</v>
      </c>
    </row>
    <row r="771" spans="1:7" x14ac:dyDescent="0.25">
      <c r="A771" s="531" t="s">
        <v>7576</v>
      </c>
      <c r="B771" s="91">
        <f>IF(Verso!$B$30="",0,IF(Verso!$B$30=$A771,1,0))</f>
        <v>0</v>
      </c>
      <c r="C771" s="91">
        <f>IF(Verso!$B$31="",0,IF(Verso!$B$31=$A771,1,0))</f>
        <v>0</v>
      </c>
      <c r="D771" s="91">
        <f>IF(Verso!$B$32="",0,IF(Verso!$B$32=$A771,1,0))</f>
        <v>0</v>
      </c>
      <c r="E771" s="91">
        <f>IF(Verso!$B$33="",0,IF(Verso!$B$33=$A771,1,0))</f>
        <v>0</v>
      </c>
      <c r="F771" s="91">
        <f>IF(Verso!$B$34="",0,IF(Verso!$B$34=$A771,1,0))</f>
        <v>0</v>
      </c>
      <c r="G771" s="295">
        <f t="shared" si="21"/>
        <v>0</v>
      </c>
    </row>
    <row r="772" spans="1:7" s="196" customFormat="1" x14ac:dyDescent="0.25">
      <c r="A772" s="531" t="s">
        <v>8408</v>
      </c>
      <c r="B772" s="91">
        <f>IF(Verso!$B$30="",0,IF(Verso!$B$30=$A772,1,0))</f>
        <v>0</v>
      </c>
      <c r="C772" s="91">
        <f>IF(Verso!$B$31="",0,IF(Verso!$B$31=$A772,1,0))</f>
        <v>0</v>
      </c>
      <c r="D772" s="91">
        <f>IF(Verso!$B$32="",0,IF(Verso!$B$32=$A772,1,0))</f>
        <v>0</v>
      </c>
      <c r="E772" s="91">
        <f>IF(Verso!$B$33="",0,IF(Verso!$B$33=$A772,1,0))</f>
        <v>0</v>
      </c>
      <c r="F772" s="91">
        <f>IF(Verso!$B$34="",0,IF(Verso!$B$34=$A772,1,0))</f>
        <v>0</v>
      </c>
      <c r="G772" s="295">
        <f t="shared" ref="G772" si="22">SUM(B772:F772)</f>
        <v>0</v>
      </c>
    </row>
    <row r="773" spans="1:7" x14ac:dyDescent="0.25">
      <c r="A773" s="531" t="s">
        <v>6296</v>
      </c>
      <c r="B773" s="91">
        <f>IF(Verso!$B$30="",0,IF(Verso!$B$30=$A773,1,0))</f>
        <v>0</v>
      </c>
      <c r="C773" s="91">
        <f>IF(Verso!$B$31="",0,IF(Verso!$B$31=$A773,1,0))</f>
        <v>0</v>
      </c>
      <c r="D773" s="91">
        <f>IF(Verso!$B$32="",0,IF(Verso!$B$32=$A773,1,0))</f>
        <v>0</v>
      </c>
      <c r="E773" s="91">
        <f>IF(Verso!$B$33="",0,IF(Verso!$B$33=$A773,1,0))</f>
        <v>0</v>
      </c>
      <c r="F773" s="91">
        <f>IF(Verso!$B$34="",0,IF(Verso!$B$34=$A773,1,0))</f>
        <v>0</v>
      </c>
      <c r="G773" s="295">
        <f t="shared" si="21"/>
        <v>0</v>
      </c>
    </row>
    <row r="774" spans="1:7" x14ac:dyDescent="0.25">
      <c r="A774" s="531" t="s">
        <v>1023</v>
      </c>
      <c r="B774" s="91">
        <f>IF(Verso!$B$30="",0,IF(Verso!$B$30=$A774,1,0))</f>
        <v>0</v>
      </c>
      <c r="C774" s="91">
        <f>IF(Verso!$B$31="",0,IF(Verso!$B$31=$A774,1,0))</f>
        <v>0</v>
      </c>
      <c r="D774" s="91">
        <f>IF(Verso!$B$32="",0,IF(Verso!$B$32=$A774,1,0))</f>
        <v>0</v>
      </c>
      <c r="E774" s="91">
        <f>IF(Verso!$B$33="",0,IF(Verso!$B$33=$A774,1,0))</f>
        <v>0</v>
      </c>
      <c r="F774" s="91">
        <f>IF(Verso!$B$34="",0,IF(Verso!$B$34=$A774,1,0))</f>
        <v>0</v>
      </c>
      <c r="G774" s="295">
        <f t="shared" si="21"/>
        <v>0</v>
      </c>
    </row>
    <row r="775" spans="1:7" x14ac:dyDescent="0.25">
      <c r="A775" s="531" t="s">
        <v>866</v>
      </c>
      <c r="B775" s="91">
        <f>IF(Verso!$B$30="",0,IF(Verso!$B$30=$A775,1,0))</f>
        <v>0</v>
      </c>
      <c r="C775" s="91">
        <f>IF(Verso!$B$31="",0,IF(Verso!$B$31=$A775,1,0))</f>
        <v>0</v>
      </c>
      <c r="D775" s="91">
        <f>IF(Verso!$B$32="",0,IF(Verso!$B$32=$A775,1,0))</f>
        <v>0</v>
      </c>
      <c r="E775" s="91">
        <f>IF(Verso!$B$33="",0,IF(Verso!$B$33=$A775,1,0))</f>
        <v>0</v>
      </c>
      <c r="F775" s="91">
        <f>IF(Verso!$B$34="",0,IF(Verso!$B$34=$A775,1,0))</f>
        <v>0</v>
      </c>
      <c r="G775" s="295">
        <f t="shared" si="21"/>
        <v>0</v>
      </c>
    </row>
    <row r="776" spans="1:7" x14ac:dyDescent="0.25">
      <c r="A776" s="531" t="s">
        <v>5797</v>
      </c>
      <c r="B776" s="91">
        <f>IF(Verso!$B$30="",0,IF(Verso!$B$30=$A776,1,0))</f>
        <v>0</v>
      </c>
      <c r="C776" s="91">
        <f>IF(Verso!$B$31="",0,IF(Verso!$B$31=$A776,1,0))</f>
        <v>0</v>
      </c>
      <c r="D776" s="91">
        <f>IF(Verso!$B$32="",0,IF(Verso!$B$32=$A776,1,0))</f>
        <v>0</v>
      </c>
      <c r="E776" s="91">
        <f>IF(Verso!$B$33="",0,IF(Verso!$B$33=$A776,1,0))</f>
        <v>0</v>
      </c>
      <c r="F776" s="91">
        <f>IF(Verso!$B$34="",0,IF(Verso!$B$34=$A776,1,0))</f>
        <v>0</v>
      </c>
      <c r="G776" s="295">
        <f t="shared" si="21"/>
        <v>0</v>
      </c>
    </row>
    <row r="777" spans="1:7" x14ac:dyDescent="0.25">
      <c r="A777" s="531" t="s">
        <v>5796</v>
      </c>
      <c r="B777" s="91">
        <f>IF(Verso!$B$30="",0,IF(Verso!$B$30=$A777,1,0))</f>
        <v>0</v>
      </c>
      <c r="C777" s="91">
        <f>IF(Verso!$B$31="",0,IF(Verso!$B$31=$A777,1,0))</f>
        <v>0</v>
      </c>
      <c r="D777" s="91">
        <f>IF(Verso!$B$32="",0,IF(Verso!$B$32=$A777,1,0))</f>
        <v>0</v>
      </c>
      <c r="E777" s="91">
        <f>IF(Verso!$B$33="",0,IF(Verso!$B$33=$A777,1,0))</f>
        <v>0</v>
      </c>
      <c r="F777" s="91">
        <f>IF(Verso!$B$34="",0,IF(Verso!$B$34=$A777,1,0))</f>
        <v>0</v>
      </c>
      <c r="G777" s="295">
        <f t="shared" si="21"/>
        <v>0</v>
      </c>
    </row>
    <row r="778" spans="1:7" x14ac:dyDescent="0.25">
      <c r="A778" s="531" t="s">
        <v>5794</v>
      </c>
      <c r="B778" s="91">
        <f>IF(Verso!$B$30="",0,IF(Verso!$B$30=$A778,1,0))</f>
        <v>0</v>
      </c>
      <c r="C778" s="91">
        <f>IF(Verso!$B$31="",0,IF(Verso!$B$31=$A778,1,0))</f>
        <v>0</v>
      </c>
      <c r="D778" s="91">
        <f>IF(Verso!$B$32="",0,IF(Verso!$B$32=$A778,1,0))</f>
        <v>0</v>
      </c>
      <c r="E778" s="91">
        <f>IF(Verso!$B$33="",0,IF(Verso!$B$33=$A778,1,0))</f>
        <v>0</v>
      </c>
      <c r="F778" s="91">
        <f>IF(Verso!$B$34="",0,IF(Verso!$B$34=$A778,1,0))</f>
        <v>0</v>
      </c>
      <c r="G778" s="295">
        <f t="shared" si="21"/>
        <v>0</v>
      </c>
    </row>
    <row r="779" spans="1:7" x14ac:dyDescent="0.25">
      <c r="A779" s="531" t="s">
        <v>5795</v>
      </c>
      <c r="B779" s="91">
        <f>IF(Verso!$B$30="",0,IF(Verso!$B$30=$A779,1,0))</f>
        <v>0</v>
      </c>
      <c r="C779" s="91">
        <f>IF(Verso!$B$31="",0,IF(Verso!$B$31=$A779,1,0))</f>
        <v>0</v>
      </c>
      <c r="D779" s="91">
        <f>IF(Verso!$B$32="",0,IF(Verso!$B$32=$A779,1,0))</f>
        <v>0</v>
      </c>
      <c r="E779" s="91">
        <f>IF(Verso!$B$33="",0,IF(Verso!$B$33=$A779,1,0))</f>
        <v>0</v>
      </c>
      <c r="F779" s="91">
        <f>IF(Verso!$B$34="",0,IF(Verso!$B$34=$A779,1,0))</f>
        <v>0</v>
      </c>
      <c r="G779" s="295">
        <f t="shared" si="21"/>
        <v>0</v>
      </c>
    </row>
    <row r="780" spans="1:7" x14ac:dyDescent="0.25">
      <c r="A780" s="531" t="s">
        <v>873</v>
      </c>
      <c r="B780" s="91">
        <f>IF(Verso!$B$30="",0,IF(Verso!$B$30=$A780,1,0))</f>
        <v>0</v>
      </c>
      <c r="C780" s="91">
        <f>IF(Verso!$B$31="",0,IF(Verso!$B$31=$A780,1,0))</f>
        <v>0</v>
      </c>
      <c r="D780" s="91">
        <f>IF(Verso!$B$32="",0,IF(Verso!$B$32=$A780,1,0))</f>
        <v>0</v>
      </c>
      <c r="E780" s="91">
        <f>IF(Verso!$B$33="",0,IF(Verso!$B$33=$A780,1,0))</f>
        <v>0</v>
      </c>
      <c r="F780" s="91">
        <f>IF(Verso!$B$34="",0,IF(Verso!$B$34=$A780,1,0))</f>
        <v>0</v>
      </c>
      <c r="G780" s="295">
        <f t="shared" si="21"/>
        <v>0</v>
      </c>
    </row>
    <row r="781" spans="1:7" x14ac:dyDescent="0.25">
      <c r="A781" s="531" t="s">
        <v>874</v>
      </c>
      <c r="B781" s="91">
        <f>IF(Verso!$B$30="",0,IF(Verso!$B$30=$A781,1,0))</f>
        <v>0</v>
      </c>
      <c r="C781" s="91">
        <f>IF(Verso!$B$31="",0,IF(Verso!$B$31=$A781,1,0))</f>
        <v>0</v>
      </c>
      <c r="D781" s="91">
        <f>IF(Verso!$B$32="",0,IF(Verso!$B$32=$A781,1,0))</f>
        <v>0</v>
      </c>
      <c r="E781" s="91">
        <f>IF(Verso!$B$33="",0,IF(Verso!$B$33=$A781,1,0))</f>
        <v>0</v>
      </c>
      <c r="F781" s="91">
        <f>IF(Verso!$B$34="",0,IF(Verso!$B$34=$A781,1,0))</f>
        <v>0</v>
      </c>
      <c r="G781" s="295">
        <f t="shared" si="21"/>
        <v>0</v>
      </c>
    </row>
    <row r="782" spans="1:7" x14ac:dyDescent="0.25">
      <c r="A782" s="531" t="s">
        <v>6512</v>
      </c>
      <c r="B782" s="91">
        <f>IF(Verso!$B$30="",0,IF(Verso!$B$30=$A782,1,0))</f>
        <v>0</v>
      </c>
      <c r="C782" s="91">
        <f>IF(Verso!$B$31="",0,IF(Verso!$B$31=$A782,1,0))</f>
        <v>0</v>
      </c>
      <c r="D782" s="91">
        <f>IF(Verso!$B$32="",0,IF(Verso!$B$32=$A782,1,0))</f>
        <v>0</v>
      </c>
      <c r="E782" s="91">
        <f>IF(Verso!$B$33="",0,IF(Verso!$B$33=$A782,1,0))</f>
        <v>0</v>
      </c>
      <c r="F782" s="91">
        <f>IF(Verso!$B$34="",0,IF(Verso!$B$34=$A782,1,0))</f>
        <v>0</v>
      </c>
      <c r="G782" s="295">
        <f t="shared" si="21"/>
        <v>0</v>
      </c>
    </row>
    <row r="783" spans="1:7" x14ac:dyDescent="0.25">
      <c r="A783" s="531" t="s">
        <v>6514</v>
      </c>
      <c r="B783" s="91">
        <f>IF(Verso!$B$30="",0,IF(Verso!$B$30=$A783,1,0))</f>
        <v>0</v>
      </c>
      <c r="C783" s="91">
        <f>IF(Verso!$B$31="",0,IF(Verso!$B$31=$A783,1,0))</f>
        <v>0</v>
      </c>
      <c r="D783" s="91">
        <f>IF(Verso!$B$32="",0,IF(Verso!$B$32=$A783,1,0))</f>
        <v>0</v>
      </c>
      <c r="E783" s="91">
        <f>IF(Verso!$B$33="",0,IF(Verso!$B$33=$A783,1,0))</f>
        <v>0</v>
      </c>
      <c r="F783" s="91">
        <f>IF(Verso!$B$34="",0,IF(Verso!$B$34=$A783,1,0))</f>
        <v>0</v>
      </c>
      <c r="G783" s="295">
        <f t="shared" si="21"/>
        <v>0</v>
      </c>
    </row>
    <row r="784" spans="1:7" x14ac:dyDescent="0.25">
      <c r="A784" s="531" t="s">
        <v>6511</v>
      </c>
      <c r="B784" s="91">
        <f>IF(Verso!$B$30="",0,IF(Verso!$B$30=$A784,1,0))</f>
        <v>0</v>
      </c>
      <c r="C784" s="91">
        <f>IF(Verso!$B$31="",0,IF(Verso!$B$31=$A784,1,0))</f>
        <v>0</v>
      </c>
      <c r="D784" s="91">
        <f>IF(Verso!$B$32="",0,IF(Verso!$B$32=$A784,1,0))</f>
        <v>0</v>
      </c>
      <c r="E784" s="91">
        <f>IF(Verso!$B$33="",0,IF(Verso!$B$33=$A784,1,0))</f>
        <v>0</v>
      </c>
      <c r="F784" s="91">
        <f>IF(Verso!$B$34="",0,IF(Verso!$B$34=$A784,1,0))</f>
        <v>0</v>
      </c>
      <c r="G784" s="295">
        <f t="shared" si="21"/>
        <v>0</v>
      </c>
    </row>
    <row r="785" spans="1:7" x14ac:dyDescent="0.25">
      <c r="A785" s="531" t="s">
        <v>875</v>
      </c>
      <c r="B785" s="91">
        <f>IF(Verso!$B$30="",0,IF(Verso!$B$30=$A785,1,0))</f>
        <v>0</v>
      </c>
      <c r="C785" s="91">
        <f>IF(Verso!$B$31="",0,IF(Verso!$B$31=$A785,1,0))</f>
        <v>0</v>
      </c>
      <c r="D785" s="91">
        <f>IF(Verso!$B$32="",0,IF(Verso!$B$32=$A785,1,0))</f>
        <v>0</v>
      </c>
      <c r="E785" s="91">
        <f>IF(Verso!$B$33="",0,IF(Verso!$B$33=$A785,1,0))</f>
        <v>0</v>
      </c>
      <c r="F785" s="91">
        <f>IF(Verso!$B$34="",0,IF(Verso!$B$34=$A785,1,0))</f>
        <v>0</v>
      </c>
      <c r="G785" s="295">
        <f t="shared" si="21"/>
        <v>0</v>
      </c>
    </row>
    <row r="786" spans="1:7" x14ac:dyDescent="0.25">
      <c r="A786" s="531" t="s">
        <v>856</v>
      </c>
      <c r="B786" s="91">
        <f>IF(Verso!$B$30="",0,IF(Verso!$B$30=$A786,1,0))</f>
        <v>0</v>
      </c>
      <c r="C786" s="91">
        <f>IF(Verso!$B$31="",0,IF(Verso!$B$31=$A786,1,0))</f>
        <v>0</v>
      </c>
      <c r="D786" s="91">
        <f>IF(Verso!$B$32="",0,IF(Verso!$B$32=$A786,1,0))</f>
        <v>0</v>
      </c>
      <c r="E786" s="91">
        <f>IF(Verso!$B$33="",0,IF(Verso!$B$33=$A786,1,0))</f>
        <v>0</v>
      </c>
      <c r="F786" s="91">
        <f>IF(Verso!$B$34="",0,IF(Verso!$B$34=$A786,1,0))</f>
        <v>0</v>
      </c>
      <c r="G786" s="295">
        <f t="shared" si="21"/>
        <v>0</v>
      </c>
    </row>
    <row r="787" spans="1:7" x14ac:dyDescent="0.25">
      <c r="A787" s="531" t="s">
        <v>876</v>
      </c>
      <c r="B787" s="91">
        <f>IF(Verso!$B$30="",0,IF(Verso!$B$30=$A787,1,0))</f>
        <v>0</v>
      </c>
      <c r="C787" s="91">
        <f>IF(Verso!$B$31="",0,IF(Verso!$B$31=$A787,1,0))</f>
        <v>0</v>
      </c>
      <c r="D787" s="91">
        <f>IF(Verso!$B$32="",0,IF(Verso!$B$32=$A787,1,0))</f>
        <v>0</v>
      </c>
      <c r="E787" s="91">
        <f>IF(Verso!$B$33="",0,IF(Verso!$B$33=$A787,1,0))</f>
        <v>0</v>
      </c>
      <c r="F787" s="91">
        <f>IF(Verso!$B$34="",0,IF(Verso!$B$34=$A787,1,0))</f>
        <v>0</v>
      </c>
      <c r="G787" s="295">
        <f t="shared" si="21"/>
        <v>0</v>
      </c>
    </row>
    <row r="788" spans="1:7" x14ac:dyDescent="0.25">
      <c r="A788" s="531" t="s">
        <v>877</v>
      </c>
      <c r="B788" s="91">
        <f>IF(Verso!$B$30="",0,IF(Verso!$B$30=$A788,1,0))</f>
        <v>0</v>
      </c>
      <c r="C788" s="91">
        <f>IF(Verso!$B$31="",0,IF(Verso!$B$31=$A788,1,0))</f>
        <v>0</v>
      </c>
      <c r="D788" s="91">
        <f>IF(Verso!$B$32="",0,IF(Verso!$B$32=$A788,1,0))</f>
        <v>0</v>
      </c>
      <c r="E788" s="91">
        <f>IF(Verso!$B$33="",0,IF(Verso!$B$33=$A788,1,0))</f>
        <v>0</v>
      </c>
      <c r="F788" s="91">
        <f>IF(Verso!$B$34="",0,IF(Verso!$B$34=$A788,1,0))</f>
        <v>0</v>
      </c>
      <c r="G788" s="295">
        <f t="shared" si="21"/>
        <v>0</v>
      </c>
    </row>
    <row r="789" spans="1:7" x14ac:dyDescent="0.25">
      <c r="A789" s="531" t="s">
        <v>878</v>
      </c>
      <c r="B789" s="91">
        <f>IF(Verso!$B$30="",0,IF(Verso!$B$30=$A789,1,0))</f>
        <v>0</v>
      </c>
      <c r="C789" s="91">
        <f>IF(Verso!$B$31="",0,IF(Verso!$B$31=$A789,1,0))</f>
        <v>0</v>
      </c>
      <c r="D789" s="91">
        <f>IF(Verso!$B$32="",0,IF(Verso!$B$32=$A789,1,0))</f>
        <v>0</v>
      </c>
      <c r="E789" s="91">
        <f>IF(Verso!$B$33="",0,IF(Verso!$B$33=$A789,1,0))</f>
        <v>0</v>
      </c>
      <c r="F789" s="91">
        <f>IF(Verso!$B$34="",0,IF(Verso!$B$34=$A789,1,0))</f>
        <v>0</v>
      </c>
      <c r="G789" s="295">
        <f t="shared" si="21"/>
        <v>0</v>
      </c>
    </row>
    <row r="790" spans="1:7" x14ac:dyDescent="0.25">
      <c r="A790" s="531" t="s">
        <v>97</v>
      </c>
      <c r="B790" s="91">
        <f>IF(Verso!$B$30="",0,IF(Verso!$B$30=$A790,1,0))</f>
        <v>0</v>
      </c>
      <c r="C790" s="91">
        <f>IF(Verso!$B$31="",0,IF(Verso!$B$31=$A790,1,0))</f>
        <v>0</v>
      </c>
      <c r="D790" s="91">
        <f>IF(Verso!$B$32="",0,IF(Verso!$B$32=$A790,1,0))</f>
        <v>0</v>
      </c>
      <c r="E790" s="91">
        <f>IF(Verso!$B$33="",0,IF(Verso!$B$33=$A790,1,0))</f>
        <v>0</v>
      </c>
      <c r="F790" s="91">
        <f>IF(Verso!$B$34="",0,IF(Verso!$B$34=$A790,1,0))</f>
        <v>0</v>
      </c>
      <c r="G790" s="295">
        <f t="shared" si="21"/>
        <v>0</v>
      </c>
    </row>
    <row r="791" spans="1:7" x14ac:dyDescent="0.25">
      <c r="A791" s="531" t="s">
        <v>5798</v>
      </c>
      <c r="B791" s="91">
        <f>IF(Verso!$B$30="",0,IF(Verso!$B$30=$A791,1,0))</f>
        <v>0</v>
      </c>
      <c r="C791" s="91">
        <f>IF(Verso!$B$31="",0,IF(Verso!$B$31=$A791,1,0))</f>
        <v>0</v>
      </c>
      <c r="D791" s="91">
        <f>IF(Verso!$B$32="",0,IF(Verso!$B$32=$A791,1,0))</f>
        <v>0</v>
      </c>
      <c r="E791" s="91">
        <f>IF(Verso!$B$33="",0,IF(Verso!$B$33=$A791,1,0))</f>
        <v>0</v>
      </c>
      <c r="F791" s="91">
        <f>IF(Verso!$B$34="",0,IF(Verso!$B$34=$A791,1,0))</f>
        <v>0</v>
      </c>
      <c r="G791" s="295">
        <f t="shared" si="21"/>
        <v>0</v>
      </c>
    </row>
    <row r="792" spans="1:7" x14ac:dyDescent="0.25">
      <c r="A792" s="531" t="s">
        <v>5799</v>
      </c>
      <c r="B792" s="91">
        <f>IF(Verso!$B$30="",0,IF(Verso!$B$30=$A792,1,0))</f>
        <v>0</v>
      </c>
      <c r="C792" s="91">
        <f>IF(Verso!$B$31="",0,IF(Verso!$B$31=$A792,1,0))</f>
        <v>0</v>
      </c>
      <c r="D792" s="91">
        <f>IF(Verso!$B$32="",0,IF(Verso!$B$32=$A792,1,0))</f>
        <v>0</v>
      </c>
      <c r="E792" s="91">
        <f>IF(Verso!$B$33="",0,IF(Verso!$B$33=$A792,1,0))</f>
        <v>0</v>
      </c>
      <c r="F792" s="91">
        <f>IF(Verso!$B$34="",0,IF(Verso!$B$34=$A792,1,0))</f>
        <v>0</v>
      </c>
      <c r="G792" s="295">
        <f t="shared" si="21"/>
        <v>0</v>
      </c>
    </row>
    <row r="793" spans="1:7" x14ac:dyDescent="0.25">
      <c r="A793" s="531" t="s">
        <v>880</v>
      </c>
      <c r="B793" s="91">
        <f>IF(Verso!$B$30="",0,IF(Verso!$B$30=$A793,1,0))</f>
        <v>0</v>
      </c>
      <c r="C793" s="91">
        <f>IF(Verso!$B$31="",0,IF(Verso!$B$31=$A793,1,0))</f>
        <v>0</v>
      </c>
      <c r="D793" s="91">
        <f>IF(Verso!$B$32="",0,IF(Verso!$B$32=$A793,1,0))</f>
        <v>0</v>
      </c>
      <c r="E793" s="91">
        <f>IF(Verso!$B$33="",0,IF(Verso!$B$33=$A793,1,0))</f>
        <v>0</v>
      </c>
      <c r="F793" s="91">
        <f>IF(Verso!$B$34="",0,IF(Verso!$B$34=$A793,1,0))</f>
        <v>0</v>
      </c>
      <c r="G793" s="295">
        <f t="shared" si="21"/>
        <v>0</v>
      </c>
    </row>
    <row r="794" spans="1:7" x14ac:dyDescent="0.25">
      <c r="A794" s="531" t="s">
        <v>892</v>
      </c>
      <c r="B794" s="91">
        <f>IF(Verso!$B$30="",0,IF(Verso!$B$30=$A794,1,0))</f>
        <v>0</v>
      </c>
      <c r="C794" s="91">
        <f>IF(Verso!$B$31="",0,IF(Verso!$B$31=$A794,1,0))</f>
        <v>0</v>
      </c>
      <c r="D794" s="91">
        <f>IF(Verso!$B$32="",0,IF(Verso!$B$32=$A794,1,0))</f>
        <v>0</v>
      </c>
      <c r="E794" s="91">
        <f>IF(Verso!$B$33="",0,IF(Verso!$B$33=$A794,1,0))</f>
        <v>0</v>
      </c>
      <c r="F794" s="91">
        <f>IF(Verso!$B$34="",0,IF(Verso!$B$34=$A794,1,0))</f>
        <v>0</v>
      </c>
      <c r="G794" s="295">
        <f t="shared" si="21"/>
        <v>0</v>
      </c>
    </row>
    <row r="795" spans="1:7" x14ac:dyDescent="0.25">
      <c r="A795" s="531" t="s">
        <v>884</v>
      </c>
      <c r="B795" s="91">
        <f>IF(Verso!$B$30="",0,IF(Verso!$B$30=$A795,1,0))</f>
        <v>0</v>
      </c>
      <c r="C795" s="91">
        <f>IF(Verso!$B$31="",0,IF(Verso!$B$31=$A795,1,0))</f>
        <v>0</v>
      </c>
      <c r="D795" s="91">
        <f>IF(Verso!$B$32="",0,IF(Verso!$B$32=$A795,1,0))</f>
        <v>0</v>
      </c>
      <c r="E795" s="91">
        <f>IF(Verso!$B$33="",0,IF(Verso!$B$33=$A795,1,0))</f>
        <v>0</v>
      </c>
      <c r="F795" s="91">
        <f>IF(Verso!$B$34="",0,IF(Verso!$B$34=$A795,1,0))</f>
        <v>0</v>
      </c>
      <c r="G795" s="295">
        <f t="shared" si="21"/>
        <v>0</v>
      </c>
    </row>
    <row r="796" spans="1:7" x14ac:dyDescent="0.25">
      <c r="A796" s="531" t="s">
        <v>882</v>
      </c>
      <c r="B796" s="91">
        <f>IF(Verso!$B$30="",0,IF(Verso!$B$30=$A796,1,0))</f>
        <v>0</v>
      </c>
      <c r="C796" s="91">
        <f>IF(Verso!$B$31="",0,IF(Verso!$B$31=$A796,1,0))</f>
        <v>0</v>
      </c>
      <c r="D796" s="91">
        <f>IF(Verso!$B$32="",0,IF(Verso!$B$32=$A796,1,0))</f>
        <v>0</v>
      </c>
      <c r="E796" s="91">
        <f>IF(Verso!$B$33="",0,IF(Verso!$B$33=$A796,1,0))</f>
        <v>0</v>
      </c>
      <c r="F796" s="91">
        <f>IF(Verso!$B$34="",0,IF(Verso!$B$34=$A796,1,0))</f>
        <v>0</v>
      </c>
      <c r="G796" s="295">
        <f t="shared" si="21"/>
        <v>0</v>
      </c>
    </row>
    <row r="797" spans="1:7" x14ac:dyDescent="0.25">
      <c r="A797" s="531" t="s">
        <v>7764</v>
      </c>
      <c r="B797" s="91">
        <f>IF(Verso!$B$30="",0,IF(Verso!$B$30=$A797,1,0))</f>
        <v>0</v>
      </c>
      <c r="C797" s="91">
        <f>IF(Verso!$B$31="",0,IF(Verso!$B$31=$A797,1,0))</f>
        <v>0</v>
      </c>
      <c r="D797" s="91">
        <f>IF(Verso!$B$32="",0,IF(Verso!$B$32=$A797,1,0))</f>
        <v>0</v>
      </c>
      <c r="E797" s="91">
        <f>IF(Verso!$B$33="",0,IF(Verso!$B$33=$A797,1,0))</f>
        <v>0</v>
      </c>
      <c r="F797" s="91">
        <f>IF(Verso!$B$34="",0,IF(Verso!$B$34=$A797,1,0))</f>
        <v>0</v>
      </c>
      <c r="G797" s="295">
        <f t="shared" si="21"/>
        <v>0</v>
      </c>
    </row>
    <row r="798" spans="1:7" x14ac:dyDescent="0.25">
      <c r="A798" s="531" t="s">
        <v>886</v>
      </c>
      <c r="B798" s="91">
        <f>IF(Verso!$B$30="",0,IF(Verso!$B$30=$A798,1,0))</f>
        <v>0</v>
      </c>
      <c r="C798" s="91">
        <f>IF(Verso!$B$31="",0,IF(Verso!$B$31=$A798,1,0))</f>
        <v>0</v>
      </c>
      <c r="D798" s="91">
        <f>IF(Verso!$B$32="",0,IF(Verso!$B$32=$A798,1,0))</f>
        <v>0</v>
      </c>
      <c r="E798" s="91">
        <f>IF(Verso!$B$33="",0,IF(Verso!$B$33=$A798,1,0))</f>
        <v>0</v>
      </c>
      <c r="F798" s="91">
        <f>IF(Verso!$B$34="",0,IF(Verso!$B$34=$A798,1,0))</f>
        <v>0</v>
      </c>
      <c r="G798" s="295">
        <f t="shared" si="21"/>
        <v>0</v>
      </c>
    </row>
    <row r="799" spans="1:7" x14ac:dyDescent="0.25">
      <c r="A799" s="531" t="s">
        <v>893</v>
      </c>
      <c r="B799" s="91">
        <f>IF(Verso!$B$30="",0,IF(Verso!$B$30=$A799,1,0))</f>
        <v>0</v>
      </c>
      <c r="C799" s="91">
        <f>IF(Verso!$B$31="",0,IF(Verso!$B$31=$A799,1,0))</f>
        <v>0</v>
      </c>
      <c r="D799" s="91">
        <f>IF(Verso!$B$32="",0,IF(Verso!$B$32=$A799,1,0))</f>
        <v>0</v>
      </c>
      <c r="E799" s="91">
        <f>IF(Verso!$B$33="",0,IF(Verso!$B$33=$A799,1,0))</f>
        <v>0</v>
      </c>
      <c r="F799" s="91">
        <f>IF(Verso!$B$34="",0,IF(Verso!$B$34=$A799,1,0))</f>
        <v>0</v>
      </c>
      <c r="G799" s="295">
        <f t="shared" si="21"/>
        <v>0</v>
      </c>
    </row>
    <row r="800" spans="1:7" x14ac:dyDescent="0.25">
      <c r="A800" s="531" t="s">
        <v>1013</v>
      </c>
      <c r="B800" s="91">
        <f>IF(Verso!$B$30="",0,IF(Verso!$B$30=$A800,1,0))</f>
        <v>0</v>
      </c>
      <c r="C800" s="91">
        <f>IF(Verso!$B$31="",0,IF(Verso!$B$31=$A800,1,0))</f>
        <v>0</v>
      </c>
      <c r="D800" s="91">
        <f>IF(Verso!$B$32="",0,IF(Verso!$B$32=$A800,1,0))</f>
        <v>0</v>
      </c>
      <c r="E800" s="91">
        <f>IF(Verso!$B$33="",0,IF(Verso!$B$33=$A800,1,0))</f>
        <v>0</v>
      </c>
      <c r="F800" s="91">
        <f>IF(Verso!$B$34="",0,IF(Verso!$B$34=$A800,1,0))</f>
        <v>0</v>
      </c>
      <c r="G800" s="295">
        <f t="shared" si="21"/>
        <v>0</v>
      </c>
    </row>
    <row r="801" spans="1:7" x14ac:dyDescent="0.25">
      <c r="A801" s="531" t="s">
        <v>887</v>
      </c>
      <c r="B801" s="91">
        <f>IF(Verso!$B$30="",0,IF(Verso!$B$30=$A801,1,0))</f>
        <v>0</v>
      </c>
      <c r="C801" s="91">
        <f>IF(Verso!$B$31="",0,IF(Verso!$B$31=$A801,1,0))</f>
        <v>0</v>
      </c>
      <c r="D801" s="91">
        <f>IF(Verso!$B$32="",0,IF(Verso!$B$32=$A801,1,0))</f>
        <v>0</v>
      </c>
      <c r="E801" s="91">
        <f>IF(Verso!$B$33="",0,IF(Verso!$B$33=$A801,1,0))</f>
        <v>0</v>
      </c>
      <c r="F801" s="91">
        <f>IF(Verso!$B$34="",0,IF(Verso!$B$34=$A801,1,0))</f>
        <v>0</v>
      </c>
      <c r="G801" s="295">
        <f t="shared" si="21"/>
        <v>0</v>
      </c>
    </row>
    <row r="802" spans="1:7" x14ac:dyDescent="0.25">
      <c r="A802" s="531" t="s">
        <v>888</v>
      </c>
      <c r="B802" s="91">
        <f>IF(Verso!$B$30="",0,IF(Verso!$B$30=$A802,1,0))</f>
        <v>0</v>
      </c>
      <c r="C802" s="91">
        <f>IF(Verso!$B$31="",0,IF(Verso!$B$31=$A802,1,0))</f>
        <v>0</v>
      </c>
      <c r="D802" s="91">
        <f>IF(Verso!$B$32="",0,IF(Verso!$B$32=$A802,1,0))</f>
        <v>0</v>
      </c>
      <c r="E802" s="91">
        <f>IF(Verso!$B$33="",0,IF(Verso!$B$33=$A802,1,0))</f>
        <v>0</v>
      </c>
      <c r="F802" s="91">
        <f>IF(Verso!$B$34="",0,IF(Verso!$B$34=$A802,1,0))</f>
        <v>0</v>
      </c>
      <c r="G802" s="295">
        <f t="shared" si="21"/>
        <v>0</v>
      </c>
    </row>
    <row r="803" spans="1:7" x14ac:dyDescent="0.25">
      <c r="A803" s="531" t="s">
        <v>889</v>
      </c>
      <c r="B803" s="91">
        <f>IF(Verso!$B$30="",0,IF(Verso!$B$30=$A803,1,0))</f>
        <v>0</v>
      </c>
      <c r="C803" s="91">
        <f>IF(Verso!$B$31="",0,IF(Verso!$B$31=$A803,1,0))</f>
        <v>0</v>
      </c>
      <c r="D803" s="91">
        <f>IF(Verso!$B$32="",0,IF(Verso!$B$32=$A803,1,0))</f>
        <v>0</v>
      </c>
      <c r="E803" s="91">
        <f>IF(Verso!$B$33="",0,IF(Verso!$B$33=$A803,1,0))</f>
        <v>0</v>
      </c>
      <c r="F803" s="91">
        <f>IF(Verso!$B$34="",0,IF(Verso!$B$34=$A803,1,0))</f>
        <v>0</v>
      </c>
      <c r="G803" s="295">
        <f t="shared" si="21"/>
        <v>0</v>
      </c>
    </row>
    <row r="804" spans="1:7" x14ac:dyDescent="0.25">
      <c r="A804" s="531" t="s">
        <v>879</v>
      </c>
      <c r="B804" s="91">
        <f>IF(Verso!$B$30="",0,IF(Verso!$B$30=$A804,1,0))</f>
        <v>0</v>
      </c>
      <c r="C804" s="91">
        <f>IF(Verso!$B$31="",0,IF(Verso!$B$31=$A804,1,0))</f>
        <v>0</v>
      </c>
      <c r="D804" s="91">
        <f>IF(Verso!$B$32="",0,IF(Verso!$B$32=$A804,1,0))</f>
        <v>0</v>
      </c>
      <c r="E804" s="91">
        <f>IF(Verso!$B$33="",0,IF(Verso!$B$33=$A804,1,0))</f>
        <v>0</v>
      </c>
      <c r="F804" s="91">
        <f>IF(Verso!$B$34="",0,IF(Verso!$B$34=$A804,1,0))</f>
        <v>0</v>
      </c>
      <c r="G804" s="295">
        <f t="shared" si="21"/>
        <v>0</v>
      </c>
    </row>
    <row r="805" spans="1:7" x14ac:dyDescent="0.25">
      <c r="A805" s="531" t="s">
        <v>891</v>
      </c>
      <c r="B805" s="91">
        <f>IF(Verso!$B$30="",0,IF(Verso!$B$30=$A805,1,0))</f>
        <v>0</v>
      </c>
      <c r="C805" s="91">
        <f>IF(Verso!$B$31="",0,IF(Verso!$B$31=$A805,1,0))</f>
        <v>0</v>
      </c>
      <c r="D805" s="91">
        <f>IF(Verso!$B$32="",0,IF(Verso!$B$32=$A805,1,0))</f>
        <v>0</v>
      </c>
      <c r="E805" s="91">
        <f>IF(Verso!$B$33="",0,IF(Verso!$B$33=$A805,1,0))</f>
        <v>0</v>
      </c>
      <c r="F805" s="91">
        <f>IF(Verso!$B$34="",0,IF(Verso!$B$34=$A805,1,0))</f>
        <v>0</v>
      </c>
      <c r="G805" s="295">
        <f t="shared" si="21"/>
        <v>0</v>
      </c>
    </row>
    <row r="806" spans="1:7" x14ac:dyDescent="0.25">
      <c r="A806" s="531" t="s">
        <v>99</v>
      </c>
      <c r="B806" s="91">
        <f>IF(Verso!$B$30="",0,IF(Verso!$B$30=$A806,1,0))</f>
        <v>0</v>
      </c>
      <c r="C806" s="91">
        <f>IF(Verso!$B$31="",0,IF(Verso!$B$31=$A806,1,0))</f>
        <v>0</v>
      </c>
      <c r="D806" s="91">
        <f>IF(Verso!$B$32="",0,IF(Verso!$B$32=$A806,1,0))</f>
        <v>0</v>
      </c>
      <c r="E806" s="91">
        <f>IF(Verso!$B$33="",0,IF(Verso!$B$33=$A806,1,0))</f>
        <v>0</v>
      </c>
      <c r="F806" s="91">
        <f>IF(Verso!$B$34="",0,IF(Verso!$B$34=$A806,1,0))</f>
        <v>0</v>
      </c>
      <c r="G806" s="295">
        <f t="shared" ref="G806:G869" si="23">SUM(B806:F806)</f>
        <v>0</v>
      </c>
    </row>
    <row r="807" spans="1:7" x14ac:dyDescent="0.25">
      <c r="A807" s="531" t="s">
        <v>1133</v>
      </c>
      <c r="B807" s="91">
        <f>IF(Verso!$B$30="",0,IF(Verso!$B$30=$A807,1,0))</f>
        <v>0</v>
      </c>
      <c r="C807" s="91">
        <f>IF(Verso!$B$31="",0,IF(Verso!$B$31=$A807,1,0))</f>
        <v>0</v>
      </c>
      <c r="D807" s="91">
        <f>IF(Verso!$B$32="",0,IF(Verso!$B$32=$A807,1,0))</f>
        <v>0</v>
      </c>
      <c r="E807" s="91">
        <f>IF(Verso!$B$33="",0,IF(Verso!$B$33=$A807,1,0))</f>
        <v>0</v>
      </c>
      <c r="F807" s="91">
        <f>IF(Verso!$B$34="",0,IF(Verso!$B$34=$A807,1,0))</f>
        <v>0</v>
      </c>
      <c r="G807" s="295">
        <f t="shared" si="23"/>
        <v>0</v>
      </c>
    </row>
    <row r="808" spans="1:7" x14ac:dyDescent="0.25">
      <c r="A808" s="531" t="s">
        <v>1073</v>
      </c>
      <c r="B808" s="91">
        <f>IF(Verso!$B$30="",0,IF(Verso!$B$30=$A808,1,0))</f>
        <v>0</v>
      </c>
      <c r="C808" s="91">
        <f>IF(Verso!$B$31="",0,IF(Verso!$B$31=$A808,1,0))</f>
        <v>0</v>
      </c>
      <c r="D808" s="91">
        <f>IF(Verso!$B$32="",0,IF(Verso!$B$32=$A808,1,0))</f>
        <v>0</v>
      </c>
      <c r="E808" s="91">
        <f>IF(Verso!$B$33="",0,IF(Verso!$B$33=$A808,1,0))</f>
        <v>0</v>
      </c>
      <c r="F808" s="91">
        <f>IF(Verso!$B$34="",0,IF(Verso!$B$34=$A808,1,0))</f>
        <v>0</v>
      </c>
      <c r="G808" s="295">
        <f t="shared" si="23"/>
        <v>0</v>
      </c>
    </row>
    <row r="809" spans="1:7" x14ac:dyDescent="0.25">
      <c r="A809" s="531" t="s">
        <v>1072</v>
      </c>
      <c r="B809" s="91">
        <f>IF(Verso!$B$30="",0,IF(Verso!$B$30=$A809,1,0))</f>
        <v>0</v>
      </c>
      <c r="C809" s="91">
        <f>IF(Verso!$B$31="",0,IF(Verso!$B$31=$A809,1,0))</f>
        <v>0</v>
      </c>
      <c r="D809" s="91">
        <f>IF(Verso!$B$32="",0,IF(Verso!$B$32=$A809,1,0))</f>
        <v>0</v>
      </c>
      <c r="E809" s="91">
        <f>IF(Verso!$B$33="",0,IF(Verso!$B$33=$A809,1,0))</f>
        <v>0</v>
      </c>
      <c r="F809" s="91">
        <f>IF(Verso!$B$34="",0,IF(Verso!$B$34=$A809,1,0))</f>
        <v>0</v>
      </c>
      <c r="G809" s="295">
        <f t="shared" si="23"/>
        <v>0</v>
      </c>
    </row>
    <row r="810" spans="1:7" x14ac:dyDescent="0.25">
      <c r="A810" s="531" t="s">
        <v>1070</v>
      </c>
      <c r="B810" s="91">
        <f>IF(Verso!$B$30="",0,IF(Verso!$B$30=$A810,1,0))</f>
        <v>0</v>
      </c>
      <c r="C810" s="91">
        <f>IF(Verso!$B$31="",0,IF(Verso!$B$31=$A810,1,0))</f>
        <v>0</v>
      </c>
      <c r="D810" s="91">
        <f>IF(Verso!$B$32="",0,IF(Verso!$B$32=$A810,1,0))</f>
        <v>0</v>
      </c>
      <c r="E810" s="91">
        <f>IF(Verso!$B$33="",0,IF(Verso!$B$33=$A810,1,0))</f>
        <v>0</v>
      </c>
      <c r="F810" s="91">
        <f>IF(Verso!$B$34="",0,IF(Verso!$B$34=$A810,1,0))</f>
        <v>0</v>
      </c>
      <c r="G810" s="295">
        <f t="shared" si="23"/>
        <v>0</v>
      </c>
    </row>
    <row r="811" spans="1:7" x14ac:dyDescent="0.25">
      <c r="A811" s="531" t="s">
        <v>7605</v>
      </c>
      <c r="B811" s="91">
        <f>IF(Verso!$B$30="",0,IF(Verso!$B$30=$A811,1,0))</f>
        <v>0</v>
      </c>
      <c r="C811" s="91">
        <f>IF(Verso!$B$31="",0,IF(Verso!$B$31=$A811,1,0))</f>
        <v>0</v>
      </c>
      <c r="D811" s="91">
        <f>IF(Verso!$B$32="",0,IF(Verso!$B$32=$A811,1,0))</f>
        <v>0</v>
      </c>
      <c r="E811" s="91">
        <f>IF(Verso!$B$33="",0,IF(Verso!$B$33=$A811,1,0))</f>
        <v>0</v>
      </c>
      <c r="F811" s="91">
        <f>IF(Verso!$B$34="",0,IF(Verso!$B$34=$A811,1,0))</f>
        <v>0</v>
      </c>
      <c r="G811" s="295">
        <f t="shared" si="23"/>
        <v>0</v>
      </c>
    </row>
    <row r="812" spans="1:7" x14ac:dyDescent="0.25">
      <c r="A812" s="531" t="s">
        <v>1128</v>
      </c>
      <c r="B812" s="91">
        <f>IF(Verso!$B$30="",0,IF(Verso!$B$30=$A812,1,0))</f>
        <v>0</v>
      </c>
      <c r="C812" s="91">
        <f>IF(Verso!$B$31="",0,IF(Verso!$B$31=$A812,1,0))</f>
        <v>0</v>
      </c>
      <c r="D812" s="91">
        <f>IF(Verso!$B$32="",0,IF(Verso!$B$32=$A812,1,0))</f>
        <v>0</v>
      </c>
      <c r="E812" s="91">
        <f>IF(Verso!$B$33="",0,IF(Verso!$B$33=$A812,1,0))</f>
        <v>0</v>
      </c>
      <c r="F812" s="91">
        <f>IF(Verso!$B$34="",0,IF(Verso!$B$34=$A812,1,0))</f>
        <v>0</v>
      </c>
      <c r="G812" s="295">
        <f t="shared" si="23"/>
        <v>0</v>
      </c>
    </row>
    <row r="813" spans="1:7" x14ac:dyDescent="0.25">
      <c r="A813" s="531" t="s">
        <v>1076</v>
      </c>
      <c r="B813" s="91">
        <f>IF(Verso!$B$30="",0,IF(Verso!$B$30=$A813,1,0))</f>
        <v>0</v>
      </c>
      <c r="C813" s="91">
        <f>IF(Verso!$B$31="",0,IF(Verso!$B$31=$A813,1,0))</f>
        <v>0</v>
      </c>
      <c r="D813" s="91">
        <f>IF(Verso!$B$32="",0,IF(Verso!$B$32=$A813,1,0))</f>
        <v>0</v>
      </c>
      <c r="E813" s="91">
        <f>IF(Verso!$B$33="",0,IF(Verso!$B$33=$A813,1,0))</f>
        <v>0</v>
      </c>
      <c r="F813" s="91">
        <f>IF(Verso!$B$34="",0,IF(Verso!$B$34=$A813,1,0))</f>
        <v>0</v>
      </c>
      <c r="G813" s="295">
        <f t="shared" si="23"/>
        <v>0</v>
      </c>
    </row>
    <row r="814" spans="1:7" x14ac:dyDescent="0.25">
      <c r="A814" s="531" t="s">
        <v>1074</v>
      </c>
      <c r="B814" s="91">
        <f>IF(Verso!$B$30="",0,IF(Verso!$B$30=$A814,1,0))</f>
        <v>0</v>
      </c>
      <c r="C814" s="91">
        <f>IF(Verso!$B$31="",0,IF(Verso!$B$31=$A814,1,0))</f>
        <v>0</v>
      </c>
      <c r="D814" s="91">
        <f>IF(Verso!$B$32="",0,IF(Verso!$B$32=$A814,1,0))</f>
        <v>0</v>
      </c>
      <c r="E814" s="91">
        <f>IF(Verso!$B$33="",0,IF(Verso!$B$33=$A814,1,0))</f>
        <v>0</v>
      </c>
      <c r="F814" s="91">
        <f>IF(Verso!$B$34="",0,IF(Verso!$B$34=$A814,1,0))</f>
        <v>0</v>
      </c>
      <c r="G814" s="295">
        <f t="shared" si="23"/>
        <v>0</v>
      </c>
    </row>
    <row r="815" spans="1:7" x14ac:dyDescent="0.25">
      <c r="A815" s="531" t="s">
        <v>1075</v>
      </c>
      <c r="B815" s="91">
        <f>IF(Verso!$B$30="",0,IF(Verso!$B$30=$A815,1,0))</f>
        <v>0</v>
      </c>
      <c r="C815" s="91">
        <f>IF(Verso!$B$31="",0,IF(Verso!$B$31=$A815,1,0))</f>
        <v>0</v>
      </c>
      <c r="D815" s="91">
        <f>IF(Verso!$B$32="",0,IF(Verso!$B$32=$A815,1,0))</f>
        <v>0</v>
      </c>
      <c r="E815" s="91">
        <f>IF(Verso!$B$33="",0,IF(Verso!$B$33=$A815,1,0))</f>
        <v>0</v>
      </c>
      <c r="F815" s="91">
        <f>IF(Verso!$B$34="",0,IF(Verso!$B$34=$A815,1,0))</f>
        <v>0</v>
      </c>
      <c r="G815" s="295">
        <f t="shared" si="23"/>
        <v>0</v>
      </c>
    </row>
    <row r="816" spans="1:7" x14ac:dyDescent="0.25">
      <c r="A816" s="531" t="s">
        <v>897</v>
      </c>
      <c r="B816" s="91">
        <f>IF(Verso!$B$30="",0,IF(Verso!$B$30=$A816,1,0))</f>
        <v>0</v>
      </c>
      <c r="C816" s="91">
        <f>IF(Verso!$B$31="",0,IF(Verso!$B$31=$A816,1,0))</f>
        <v>0</v>
      </c>
      <c r="D816" s="91">
        <f>IF(Verso!$B$32="",0,IF(Verso!$B$32=$A816,1,0))</f>
        <v>0</v>
      </c>
      <c r="E816" s="91">
        <f>IF(Verso!$B$33="",0,IF(Verso!$B$33=$A816,1,0))</f>
        <v>0</v>
      </c>
      <c r="F816" s="91">
        <f>IF(Verso!$B$34="",0,IF(Verso!$B$34=$A816,1,0))</f>
        <v>0</v>
      </c>
      <c r="G816" s="295">
        <f t="shared" si="23"/>
        <v>0</v>
      </c>
    </row>
    <row r="817" spans="1:7" x14ac:dyDescent="0.25">
      <c r="A817" s="531" t="s">
        <v>899</v>
      </c>
      <c r="B817" s="91">
        <f>IF(Verso!$B$30="",0,IF(Verso!$B$30=$A817,1,0))</f>
        <v>0</v>
      </c>
      <c r="C817" s="91">
        <f>IF(Verso!$B$31="",0,IF(Verso!$B$31=$A817,1,0))</f>
        <v>0</v>
      </c>
      <c r="D817" s="91">
        <f>IF(Verso!$B$32="",0,IF(Verso!$B$32=$A817,1,0))</f>
        <v>0</v>
      </c>
      <c r="E817" s="91">
        <f>IF(Verso!$B$33="",0,IF(Verso!$B$33=$A817,1,0))</f>
        <v>0</v>
      </c>
      <c r="F817" s="91">
        <f>IF(Verso!$B$34="",0,IF(Verso!$B$34=$A817,1,0))</f>
        <v>0</v>
      </c>
      <c r="G817" s="295">
        <f t="shared" si="23"/>
        <v>0</v>
      </c>
    </row>
    <row r="818" spans="1:7" x14ac:dyDescent="0.25">
      <c r="A818" s="531" t="s">
        <v>898</v>
      </c>
      <c r="B818" s="91">
        <f>IF(Verso!$B$30="",0,IF(Verso!$B$30=$A818,1,0))</f>
        <v>0</v>
      </c>
      <c r="C818" s="91">
        <f>IF(Verso!$B$31="",0,IF(Verso!$B$31=$A818,1,0))</f>
        <v>0</v>
      </c>
      <c r="D818" s="91">
        <f>IF(Verso!$B$32="",0,IF(Verso!$B$32=$A818,1,0))</f>
        <v>0</v>
      </c>
      <c r="E818" s="91">
        <f>IF(Verso!$B$33="",0,IF(Verso!$B$33=$A818,1,0))</f>
        <v>0</v>
      </c>
      <c r="F818" s="91">
        <f>IF(Verso!$B$34="",0,IF(Verso!$B$34=$A818,1,0))</f>
        <v>0</v>
      </c>
      <c r="G818" s="295">
        <f t="shared" si="23"/>
        <v>0</v>
      </c>
    </row>
    <row r="819" spans="1:7" x14ac:dyDescent="0.25">
      <c r="A819" s="531" t="s">
        <v>7578</v>
      </c>
      <c r="B819" s="91">
        <f>IF(Verso!$B$30="",0,IF(Verso!$B$30=$A819,1,0))</f>
        <v>0</v>
      </c>
      <c r="C819" s="91">
        <f>IF(Verso!$B$31="",0,IF(Verso!$B$31=$A819,1,0))</f>
        <v>0</v>
      </c>
      <c r="D819" s="91">
        <f>IF(Verso!$B$32="",0,IF(Verso!$B$32=$A819,1,0))</f>
        <v>0</v>
      </c>
      <c r="E819" s="91">
        <f>IF(Verso!$B$33="",0,IF(Verso!$B$33=$A819,1,0))</f>
        <v>0</v>
      </c>
      <c r="F819" s="91">
        <f>IF(Verso!$B$34="",0,IF(Verso!$B$34=$A819,1,0))</f>
        <v>0</v>
      </c>
      <c r="G819" s="295">
        <f t="shared" si="23"/>
        <v>0</v>
      </c>
    </row>
    <row r="820" spans="1:7" x14ac:dyDescent="0.25">
      <c r="A820" s="531" t="s">
        <v>7579</v>
      </c>
      <c r="B820" s="91">
        <f>IF(Verso!$B$30="",0,IF(Verso!$B$30=$A820,1,0))</f>
        <v>0</v>
      </c>
      <c r="C820" s="91">
        <f>IF(Verso!$B$31="",0,IF(Verso!$B$31=$A820,1,0))</f>
        <v>0</v>
      </c>
      <c r="D820" s="91">
        <f>IF(Verso!$B$32="",0,IF(Verso!$B$32=$A820,1,0))</f>
        <v>0</v>
      </c>
      <c r="E820" s="91">
        <f>IF(Verso!$B$33="",0,IF(Verso!$B$33=$A820,1,0))</f>
        <v>0</v>
      </c>
      <c r="F820" s="91">
        <f>IF(Verso!$B$34="",0,IF(Verso!$B$34=$A820,1,0))</f>
        <v>0</v>
      </c>
      <c r="G820" s="295">
        <f t="shared" si="23"/>
        <v>0</v>
      </c>
    </row>
    <row r="821" spans="1:7" x14ac:dyDescent="0.25">
      <c r="A821" s="531" t="s">
        <v>902</v>
      </c>
      <c r="B821" s="91">
        <f>IF(Verso!$B$30="",0,IF(Verso!$B$30=$A821,1,0))</f>
        <v>0</v>
      </c>
      <c r="C821" s="91">
        <f>IF(Verso!$B$31="",0,IF(Verso!$B$31=$A821,1,0))</f>
        <v>0</v>
      </c>
      <c r="D821" s="91">
        <f>IF(Verso!$B$32="",0,IF(Verso!$B$32=$A821,1,0))</f>
        <v>0</v>
      </c>
      <c r="E821" s="91">
        <f>IF(Verso!$B$33="",0,IF(Verso!$B$33=$A821,1,0))</f>
        <v>0</v>
      </c>
      <c r="F821" s="91">
        <f>IF(Verso!$B$34="",0,IF(Verso!$B$34=$A821,1,0))</f>
        <v>0</v>
      </c>
      <c r="G821" s="295">
        <f t="shared" si="23"/>
        <v>0</v>
      </c>
    </row>
    <row r="822" spans="1:7" x14ac:dyDescent="0.25">
      <c r="A822" s="531" t="s">
        <v>903</v>
      </c>
      <c r="B822" s="91">
        <f>IF(Verso!$B$30="",0,IF(Verso!$B$30=$A822,1,0))</f>
        <v>0</v>
      </c>
      <c r="C822" s="91">
        <f>IF(Verso!$B$31="",0,IF(Verso!$B$31=$A822,1,0))</f>
        <v>0</v>
      </c>
      <c r="D822" s="91">
        <f>IF(Verso!$B$32="",0,IF(Verso!$B$32=$A822,1,0))</f>
        <v>0</v>
      </c>
      <c r="E822" s="91">
        <f>IF(Verso!$B$33="",0,IF(Verso!$B$33=$A822,1,0))</f>
        <v>0</v>
      </c>
      <c r="F822" s="91">
        <f>IF(Verso!$B$34="",0,IF(Verso!$B$34=$A822,1,0))</f>
        <v>0</v>
      </c>
      <c r="G822" s="295">
        <f t="shared" si="23"/>
        <v>0</v>
      </c>
    </row>
    <row r="823" spans="1:7" x14ac:dyDescent="0.25">
      <c r="A823" s="531" t="s">
        <v>901</v>
      </c>
      <c r="B823" s="91">
        <f>IF(Verso!$B$30="",0,IF(Verso!$B$30=$A823,1,0))</f>
        <v>0</v>
      </c>
      <c r="C823" s="91">
        <f>IF(Verso!$B$31="",0,IF(Verso!$B$31=$A823,1,0))</f>
        <v>0</v>
      </c>
      <c r="D823" s="91">
        <f>IF(Verso!$B$32="",0,IF(Verso!$B$32=$A823,1,0))</f>
        <v>0</v>
      </c>
      <c r="E823" s="91">
        <f>IF(Verso!$B$33="",0,IF(Verso!$B$33=$A823,1,0))</f>
        <v>0</v>
      </c>
      <c r="F823" s="91">
        <f>IF(Verso!$B$34="",0,IF(Verso!$B$34=$A823,1,0))</f>
        <v>0</v>
      </c>
      <c r="G823" s="295">
        <f t="shared" si="23"/>
        <v>0</v>
      </c>
    </row>
    <row r="824" spans="1:7" x14ac:dyDescent="0.25">
      <c r="A824" s="531" t="s">
        <v>904</v>
      </c>
      <c r="B824" s="91">
        <f>IF(Verso!$B$30="",0,IF(Verso!$B$30=$A824,1,0))</f>
        <v>0</v>
      </c>
      <c r="C824" s="91">
        <f>IF(Verso!$B$31="",0,IF(Verso!$B$31=$A824,1,0))</f>
        <v>0</v>
      </c>
      <c r="D824" s="91">
        <f>IF(Verso!$B$32="",0,IF(Verso!$B$32=$A824,1,0))</f>
        <v>0</v>
      </c>
      <c r="E824" s="91">
        <f>IF(Verso!$B$33="",0,IF(Verso!$B$33=$A824,1,0))</f>
        <v>0</v>
      </c>
      <c r="F824" s="91">
        <f>IF(Verso!$B$34="",0,IF(Verso!$B$34=$A824,1,0))</f>
        <v>0</v>
      </c>
      <c r="G824" s="295">
        <f t="shared" si="23"/>
        <v>0</v>
      </c>
    </row>
    <row r="825" spans="1:7" x14ac:dyDescent="0.25">
      <c r="A825" s="531" t="s">
        <v>905</v>
      </c>
      <c r="B825" s="91">
        <f>IF(Verso!$B$30="",0,IF(Verso!$B$30=$A825,1,0))</f>
        <v>0</v>
      </c>
      <c r="C825" s="91">
        <f>IF(Verso!$B$31="",0,IF(Verso!$B$31=$A825,1,0))</f>
        <v>0</v>
      </c>
      <c r="D825" s="91">
        <f>IF(Verso!$B$32="",0,IF(Verso!$B$32=$A825,1,0))</f>
        <v>0</v>
      </c>
      <c r="E825" s="91">
        <f>IF(Verso!$B$33="",0,IF(Verso!$B$33=$A825,1,0))</f>
        <v>0</v>
      </c>
      <c r="F825" s="91">
        <f>IF(Verso!$B$34="",0,IF(Verso!$B$34=$A825,1,0))</f>
        <v>0</v>
      </c>
      <c r="G825" s="295">
        <f t="shared" si="23"/>
        <v>0</v>
      </c>
    </row>
    <row r="826" spans="1:7" x14ac:dyDescent="0.25">
      <c r="A826" s="531" t="s">
        <v>906</v>
      </c>
      <c r="B826" s="91">
        <f>IF(Verso!$B$30="",0,IF(Verso!$B$30=$A826,1,0))</f>
        <v>0</v>
      </c>
      <c r="C826" s="91">
        <f>IF(Verso!$B$31="",0,IF(Verso!$B$31=$A826,1,0))</f>
        <v>0</v>
      </c>
      <c r="D826" s="91">
        <f>IF(Verso!$B$32="",0,IF(Verso!$B$32=$A826,1,0))</f>
        <v>0</v>
      </c>
      <c r="E826" s="91">
        <f>IF(Verso!$B$33="",0,IF(Verso!$B$33=$A826,1,0))</f>
        <v>0</v>
      </c>
      <c r="F826" s="91">
        <f>IF(Verso!$B$34="",0,IF(Verso!$B$34=$A826,1,0))</f>
        <v>0</v>
      </c>
      <c r="G826" s="295">
        <f t="shared" si="23"/>
        <v>0</v>
      </c>
    </row>
    <row r="827" spans="1:7" x14ac:dyDescent="0.25">
      <c r="A827" s="531" t="s">
        <v>907</v>
      </c>
      <c r="B827" s="91">
        <f>IF(Verso!$B$30="",0,IF(Verso!$B$30=$A827,1,0))</f>
        <v>0</v>
      </c>
      <c r="C827" s="91">
        <f>IF(Verso!$B$31="",0,IF(Verso!$B$31=$A827,1,0))</f>
        <v>0</v>
      </c>
      <c r="D827" s="91">
        <f>IF(Verso!$B$32="",0,IF(Verso!$B$32=$A827,1,0))</f>
        <v>0</v>
      </c>
      <c r="E827" s="91">
        <f>IF(Verso!$B$33="",0,IF(Verso!$B$33=$A827,1,0))</f>
        <v>0</v>
      </c>
      <c r="F827" s="91">
        <f>IF(Verso!$B$34="",0,IF(Verso!$B$34=$A827,1,0))</f>
        <v>0</v>
      </c>
      <c r="G827" s="295">
        <f t="shared" si="23"/>
        <v>0</v>
      </c>
    </row>
    <row r="828" spans="1:7" x14ac:dyDescent="0.25">
      <c r="A828" s="531" t="s">
        <v>915</v>
      </c>
      <c r="B828" s="91">
        <f>IF(Verso!$B$30="",0,IF(Verso!$B$30=$A828,1,0))</f>
        <v>0</v>
      </c>
      <c r="C828" s="91">
        <f>IF(Verso!$B$31="",0,IF(Verso!$B$31=$A828,1,0))</f>
        <v>0</v>
      </c>
      <c r="D828" s="91">
        <f>IF(Verso!$B$32="",0,IF(Verso!$B$32=$A828,1,0))</f>
        <v>0</v>
      </c>
      <c r="E828" s="91">
        <f>IF(Verso!$B$33="",0,IF(Verso!$B$33=$A828,1,0))</f>
        <v>0</v>
      </c>
      <c r="F828" s="91">
        <f>IF(Verso!$B$34="",0,IF(Verso!$B$34=$A828,1,0))</f>
        <v>0</v>
      </c>
      <c r="G828" s="295">
        <f t="shared" si="23"/>
        <v>0</v>
      </c>
    </row>
    <row r="829" spans="1:7" x14ac:dyDescent="0.25">
      <c r="A829" s="531" t="s">
        <v>916</v>
      </c>
      <c r="B829" s="91">
        <f>IF(Verso!$B$30="",0,IF(Verso!$B$30=$A829,1,0))</f>
        <v>0</v>
      </c>
      <c r="C829" s="91">
        <f>IF(Verso!$B$31="",0,IF(Verso!$B$31=$A829,1,0))</f>
        <v>0</v>
      </c>
      <c r="D829" s="91">
        <f>IF(Verso!$B$32="",0,IF(Verso!$B$32=$A829,1,0))</f>
        <v>0</v>
      </c>
      <c r="E829" s="91">
        <f>IF(Verso!$B$33="",0,IF(Verso!$B$33=$A829,1,0))</f>
        <v>0</v>
      </c>
      <c r="F829" s="91">
        <f>IF(Verso!$B$34="",0,IF(Verso!$B$34=$A829,1,0))</f>
        <v>0</v>
      </c>
      <c r="G829" s="295">
        <f t="shared" si="23"/>
        <v>0</v>
      </c>
    </row>
    <row r="830" spans="1:7" x14ac:dyDescent="0.25">
      <c r="A830" s="531" t="s">
        <v>917</v>
      </c>
      <c r="B830" s="91">
        <f>IF(Verso!$B$30="",0,IF(Verso!$B$30=$A830,1,0))</f>
        <v>0</v>
      </c>
      <c r="C830" s="91">
        <f>IF(Verso!$B$31="",0,IF(Verso!$B$31=$A830,1,0))</f>
        <v>0</v>
      </c>
      <c r="D830" s="91">
        <f>IF(Verso!$B$32="",0,IF(Verso!$B$32=$A830,1,0))</f>
        <v>0</v>
      </c>
      <c r="E830" s="91">
        <f>IF(Verso!$B$33="",0,IF(Verso!$B$33=$A830,1,0))</f>
        <v>0</v>
      </c>
      <c r="F830" s="91">
        <f>IF(Verso!$B$34="",0,IF(Verso!$B$34=$A830,1,0))</f>
        <v>0</v>
      </c>
      <c r="G830" s="295">
        <f t="shared" si="23"/>
        <v>0</v>
      </c>
    </row>
    <row r="831" spans="1:7" x14ac:dyDescent="0.25">
      <c r="A831" s="531" t="s">
        <v>918</v>
      </c>
      <c r="B831" s="91">
        <f>IF(Verso!$B$30="",0,IF(Verso!$B$30=$A831,1,0))</f>
        <v>0</v>
      </c>
      <c r="C831" s="91">
        <f>IF(Verso!$B$31="",0,IF(Verso!$B$31=$A831,1,0))</f>
        <v>0</v>
      </c>
      <c r="D831" s="91">
        <f>IF(Verso!$B$32="",0,IF(Verso!$B$32=$A831,1,0))</f>
        <v>0</v>
      </c>
      <c r="E831" s="91">
        <f>IF(Verso!$B$33="",0,IF(Verso!$B$33=$A831,1,0))</f>
        <v>0</v>
      </c>
      <c r="F831" s="91">
        <f>IF(Verso!$B$34="",0,IF(Verso!$B$34=$A831,1,0))</f>
        <v>0</v>
      </c>
      <c r="G831" s="295">
        <f t="shared" si="23"/>
        <v>0</v>
      </c>
    </row>
    <row r="832" spans="1:7" x14ac:dyDescent="0.25">
      <c r="A832" s="531" t="s">
        <v>919</v>
      </c>
      <c r="B832" s="91">
        <f>IF(Verso!$B$30="",0,IF(Verso!$B$30=$A832,1,0))</f>
        <v>0</v>
      </c>
      <c r="C832" s="91">
        <f>IF(Verso!$B$31="",0,IF(Verso!$B$31=$A832,1,0))</f>
        <v>0</v>
      </c>
      <c r="D832" s="91">
        <f>IF(Verso!$B$32="",0,IF(Verso!$B$32=$A832,1,0))</f>
        <v>0</v>
      </c>
      <c r="E832" s="91">
        <f>IF(Verso!$B$33="",0,IF(Verso!$B$33=$A832,1,0))</f>
        <v>0</v>
      </c>
      <c r="F832" s="91">
        <f>IF(Verso!$B$34="",0,IF(Verso!$B$34=$A832,1,0))</f>
        <v>0</v>
      </c>
      <c r="G832" s="295">
        <f t="shared" si="23"/>
        <v>0</v>
      </c>
    </row>
    <row r="833" spans="1:7" x14ac:dyDescent="0.25">
      <c r="A833" s="531" t="s">
        <v>920</v>
      </c>
      <c r="B833" s="91">
        <f>IF(Verso!$B$30="",0,IF(Verso!$B$30=$A833,1,0))</f>
        <v>0</v>
      </c>
      <c r="C833" s="91">
        <f>IF(Verso!$B$31="",0,IF(Verso!$B$31=$A833,1,0))</f>
        <v>0</v>
      </c>
      <c r="D833" s="91">
        <f>IF(Verso!$B$32="",0,IF(Verso!$B$32=$A833,1,0))</f>
        <v>0</v>
      </c>
      <c r="E833" s="91">
        <f>IF(Verso!$B$33="",0,IF(Verso!$B$33=$A833,1,0))</f>
        <v>0</v>
      </c>
      <c r="F833" s="91">
        <f>IF(Verso!$B$34="",0,IF(Verso!$B$34=$A833,1,0))</f>
        <v>0</v>
      </c>
      <c r="G833" s="295">
        <f t="shared" si="23"/>
        <v>0</v>
      </c>
    </row>
    <row r="834" spans="1:7" x14ac:dyDescent="0.25">
      <c r="A834" s="531" t="s">
        <v>921</v>
      </c>
      <c r="B834" s="91">
        <f>IF(Verso!$B$30="",0,IF(Verso!$B$30=$A834,1,0))</f>
        <v>0</v>
      </c>
      <c r="C834" s="91">
        <f>IF(Verso!$B$31="",0,IF(Verso!$B$31=$A834,1,0))</f>
        <v>0</v>
      </c>
      <c r="D834" s="91">
        <f>IF(Verso!$B$32="",0,IF(Verso!$B$32=$A834,1,0))</f>
        <v>0</v>
      </c>
      <c r="E834" s="91">
        <f>IF(Verso!$B$33="",0,IF(Verso!$B$33=$A834,1,0))</f>
        <v>0</v>
      </c>
      <c r="F834" s="91">
        <f>IF(Verso!$B$34="",0,IF(Verso!$B$34=$A834,1,0))</f>
        <v>0</v>
      </c>
      <c r="G834" s="295">
        <f t="shared" si="23"/>
        <v>0</v>
      </c>
    </row>
    <row r="835" spans="1:7" x14ac:dyDescent="0.25">
      <c r="A835" s="531" t="s">
        <v>922</v>
      </c>
      <c r="B835" s="91">
        <f>IF(Verso!$B$30="",0,IF(Verso!$B$30=$A835,1,0))</f>
        <v>0</v>
      </c>
      <c r="C835" s="91">
        <f>IF(Verso!$B$31="",0,IF(Verso!$B$31=$A835,1,0))</f>
        <v>0</v>
      </c>
      <c r="D835" s="91">
        <f>IF(Verso!$B$32="",0,IF(Verso!$B$32=$A835,1,0))</f>
        <v>0</v>
      </c>
      <c r="E835" s="91">
        <f>IF(Verso!$B$33="",0,IF(Verso!$B$33=$A835,1,0))</f>
        <v>0</v>
      </c>
      <c r="F835" s="91">
        <f>IF(Verso!$B$34="",0,IF(Verso!$B$34=$A835,1,0))</f>
        <v>0</v>
      </c>
      <c r="G835" s="295">
        <f t="shared" si="23"/>
        <v>0</v>
      </c>
    </row>
    <row r="836" spans="1:7" x14ac:dyDescent="0.25">
      <c r="A836" s="531" t="s">
        <v>7761</v>
      </c>
      <c r="B836" s="91">
        <f>IF(Verso!$B$30="",0,IF(Verso!$B$30=$A836,1,0))</f>
        <v>0</v>
      </c>
      <c r="C836" s="91">
        <f>IF(Verso!$B$31="",0,IF(Verso!$B$31=$A836,1,0))</f>
        <v>0</v>
      </c>
      <c r="D836" s="91">
        <f>IF(Verso!$B$32="",0,IF(Verso!$B$32=$A836,1,0))</f>
        <v>0</v>
      </c>
      <c r="E836" s="91">
        <f>IF(Verso!$B$33="",0,IF(Verso!$B$33=$A836,1,0))</f>
        <v>0</v>
      </c>
      <c r="F836" s="91">
        <f>IF(Verso!$B$34="",0,IF(Verso!$B$34=$A836,1,0))</f>
        <v>0</v>
      </c>
      <c r="G836" s="295">
        <f t="shared" si="23"/>
        <v>0</v>
      </c>
    </row>
    <row r="837" spans="1:7" x14ac:dyDescent="0.25">
      <c r="A837" s="531" t="s">
        <v>923</v>
      </c>
      <c r="B837" s="91">
        <f>IF(Verso!$B$30="",0,IF(Verso!$B$30=$A837,1,0))</f>
        <v>0</v>
      </c>
      <c r="C837" s="91">
        <f>IF(Verso!$B$31="",0,IF(Verso!$B$31=$A837,1,0))</f>
        <v>0</v>
      </c>
      <c r="D837" s="91">
        <f>IF(Verso!$B$32="",0,IF(Verso!$B$32=$A837,1,0))</f>
        <v>0</v>
      </c>
      <c r="E837" s="91">
        <f>IF(Verso!$B$33="",0,IF(Verso!$B$33=$A837,1,0))</f>
        <v>0</v>
      </c>
      <c r="F837" s="91">
        <f>IF(Verso!$B$34="",0,IF(Verso!$B$34=$A837,1,0))</f>
        <v>0</v>
      </c>
      <c r="G837" s="295">
        <f t="shared" si="23"/>
        <v>0</v>
      </c>
    </row>
    <row r="838" spans="1:7" x14ac:dyDescent="0.25">
      <c r="A838" s="531" t="s">
        <v>924</v>
      </c>
      <c r="B838" s="91">
        <f>IF(Verso!$B$30="",0,IF(Verso!$B$30=$A838,1,0))</f>
        <v>0</v>
      </c>
      <c r="C838" s="91">
        <f>IF(Verso!$B$31="",0,IF(Verso!$B$31=$A838,1,0))</f>
        <v>0</v>
      </c>
      <c r="D838" s="91">
        <f>IF(Verso!$B$32="",0,IF(Verso!$B$32=$A838,1,0))</f>
        <v>0</v>
      </c>
      <c r="E838" s="91">
        <f>IF(Verso!$B$33="",0,IF(Verso!$B$33=$A838,1,0))</f>
        <v>0</v>
      </c>
      <c r="F838" s="91">
        <f>IF(Verso!$B$34="",0,IF(Verso!$B$34=$A838,1,0))</f>
        <v>0</v>
      </c>
      <c r="G838" s="295">
        <f t="shared" si="23"/>
        <v>0</v>
      </c>
    </row>
    <row r="839" spans="1:7" x14ac:dyDescent="0.25">
      <c r="A839" s="531" t="s">
        <v>934</v>
      </c>
      <c r="B839" s="91">
        <f>IF(Verso!$B$30="",0,IF(Verso!$B$30=$A839,1,0))</f>
        <v>0</v>
      </c>
      <c r="C839" s="91">
        <f>IF(Verso!$B$31="",0,IF(Verso!$B$31=$A839,1,0))</f>
        <v>0</v>
      </c>
      <c r="D839" s="91">
        <f>IF(Verso!$B$32="",0,IF(Verso!$B$32=$A839,1,0))</f>
        <v>0</v>
      </c>
      <c r="E839" s="91">
        <f>IF(Verso!$B$33="",0,IF(Verso!$B$33=$A839,1,0))</f>
        <v>0</v>
      </c>
      <c r="F839" s="91">
        <f>IF(Verso!$B$34="",0,IF(Verso!$B$34=$A839,1,0))</f>
        <v>0</v>
      </c>
      <c r="G839" s="295">
        <f t="shared" si="23"/>
        <v>0</v>
      </c>
    </row>
    <row r="840" spans="1:7" x14ac:dyDescent="0.25">
      <c r="A840" s="531" t="s">
        <v>936</v>
      </c>
      <c r="B840" s="91">
        <f>IF(Verso!$B$30="",0,IF(Verso!$B$30=$A840,1,0))</f>
        <v>0</v>
      </c>
      <c r="C840" s="91">
        <f>IF(Verso!$B$31="",0,IF(Verso!$B$31=$A840,1,0))</f>
        <v>0</v>
      </c>
      <c r="D840" s="91">
        <f>IF(Verso!$B$32="",0,IF(Verso!$B$32=$A840,1,0))</f>
        <v>0</v>
      </c>
      <c r="E840" s="91">
        <f>IF(Verso!$B$33="",0,IF(Verso!$B$33=$A840,1,0))</f>
        <v>0</v>
      </c>
      <c r="F840" s="91">
        <f>IF(Verso!$B$34="",0,IF(Verso!$B$34=$A840,1,0))</f>
        <v>0</v>
      </c>
      <c r="G840" s="295">
        <f t="shared" si="23"/>
        <v>0</v>
      </c>
    </row>
    <row r="841" spans="1:7" x14ac:dyDescent="0.25">
      <c r="A841" s="531" t="s">
        <v>938</v>
      </c>
      <c r="B841" s="91">
        <f>IF(Verso!$B$30="",0,IF(Verso!$B$30=$A841,1,0))</f>
        <v>0</v>
      </c>
      <c r="C841" s="91">
        <f>IF(Verso!$B$31="",0,IF(Verso!$B$31=$A841,1,0))</f>
        <v>0</v>
      </c>
      <c r="D841" s="91">
        <f>IF(Verso!$B$32="",0,IF(Verso!$B$32=$A841,1,0))</f>
        <v>0</v>
      </c>
      <c r="E841" s="91">
        <f>IF(Verso!$B$33="",0,IF(Verso!$B$33=$A841,1,0))</f>
        <v>0</v>
      </c>
      <c r="F841" s="91">
        <f>IF(Verso!$B$34="",0,IF(Verso!$B$34=$A841,1,0))</f>
        <v>0</v>
      </c>
      <c r="G841" s="295">
        <f t="shared" si="23"/>
        <v>0</v>
      </c>
    </row>
    <row r="842" spans="1:7" x14ac:dyDescent="0.25">
      <c r="A842" s="531" t="s">
        <v>940</v>
      </c>
      <c r="B842" s="91">
        <f>IF(Verso!$B$30="",0,IF(Verso!$B$30=$A842,1,0))</f>
        <v>0</v>
      </c>
      <c r="C842" s="91">
        <f>IF(Verso!$B$31="",0,IF(Verso!$B$31=$A842,1,0))</f>
        <v>0</v>
      </c>
      <c r="D842" s="91">
        <f>IF(Verso!$B$32="",0,IF(Verso!$B$32=$A842,1,0))</f>
        <v>0</v>
      </c>
      <c r="E842" s="91">
        <f>IF(Verso!$B$33="",0,IF(Verso!$B$33=$A842,1,0))</f>
        <v>0</v>
      </c>
      <c r="F842" s="91">
        <f>IF(Verso!$B$34="",0,IF(Verso!$B$34=$A842,1,0))</f>
        <v>0</v>
      </c>
      <c r="G842" s="295">
        <f t="shared" si="23"/>
        <v>0</v>
      </c>
    </row>
    <row r="843" spans="1:7" x14ac:dyDescent="0.25">
      <c r="A843" s="531" t="s">
        <v>942</v>
      </c>
      <c r="B843" s="91">
        <f>IF(Verso!$B$30="",0,IF(Verso!$B$30=$A843,1,0))</f>
        <v>0</v>
      </c>
      <c r="C843" s="91">
        <f>IF(Verso!$B$31="",0,IF(Verso!$B$31=$A843,1,0))</f>
        <v>0</v>
      </c>
      <c r="D843" s="91">
        <f>IF(Verso!$B$32="",0,IF(Verso!$B$32=$A843,1,0))</f>
        <v>0</v>
      </c>
      <c r="E843" s="91">
        <f>IF(Verso!$B$33="",0,IF(Verso!$B$33=$A843,1,0))</f>
        <v>0</v>
      </c>
      <c r="F843" s="91">
        <f>IF(Verso!$B$34="",0,IF(Verso!$B$34=$A843,1,0))</f>
        <v>0</v>
      </c>
      <c r="G843" s="295">
        <f t="shared" si="23"/>
        <v>0</v>
      </c>
    </row>
    <row r="844" spans="1:7" x14ac:dyDescent="0.25">
      <c r="A844" s="531" t="s">
        <v>5792</v>
      </c>
      <c r="B844" s="91">
        <f>IF(Verso!$B$30="",0,IF(Verso!$B$30=$A844,1,0))</f>
        <v>0</v>
      </c>
      <c r="C844" s="91">
        <f>IF(Verso!$B$31="",0,IF(Verso!$B$31=$A844,1,0))</f>
        <v>0</v>
      </c>
      <c r="D844" s="91">
        <f>IF(Verso!$B$32="",0,IF(Verso!$B$32=$A844,1,0))</f>
        <v>0</v>
      </c>
      <c r="E844" s="91">
        <f>IF(Verso!$B$33="",0,IF(Verso!$B$33=$A844,1,0))</f>
        <v>0</v>
      </c>
      <c r="F844" s="91">
        <f>IF(Verso!$B$34="",0,IF(Verso!$B$34=$A844,1,0))</f>
        <v>0</v>
      </c>
      <c r="G844" s="295">
        <f t="shared" si="23"/>
        <v>0</v>
      </c>
    </row>
    <row r="845" spans="1:7" x14ac:dyDescent="0.25">
      <c r="A845" s="531" t="s">
        <v>5793</v>
      </c>
      <c r="B845" s="91">
        <f>IF(Verso!$B$30="",0,IF(Verso!$B$30=$A845,1,0))</f>
        <v>0</v>
      </c>
      <c r="C845" s="91">
        <f>IF(Verso!$B$31="",0,IF(Verso!$B$31=$A845,1,0))</f>
        <v>0</v>
      </c>
      <c r="D845" s="91">
        <f>IF(Verso!$B$32="",0,IF(Verso!$B$32=$A845,1,0))</f>
        <v>0</v>
      </c>
      <c r="E845" s="91">
        <f>IF(Verso!$B$33="",0,IF(Verso!$B$33=$A845,1,0))</f>
        <v>0</v>
      </c>
      <c r="F845" s="91">
        <f>IF(Verso!$B$34="",0,IF(Verso!$B$34=$A845,1,0))</f>
        <v>0</v>
      </c>
      <c r="G845" s="295">
        <f t="shared" si="23"/>
        <v>0</v>
      </c>
    </row>
    <row r="846" spans="1:7" x14ac:dyDescent="0.25">
      <c r="A846" s="531" t="s">
        <v>948</v>
      </c>
      <c r="B846" s="91">
        <f>IF(Verso!$B$30="",0,IF(Verso!$B$30=$A846,1,0))</f>
        <v>0</v>
      </c>
      <c r="C846" s="91">
        <f>IF(Verso!$B$31="",0,IF(Verso!$B$31=$A846,1,0))</f>
        <v>0</v>
      </c>
      <c r="D846" s="91">
        <f>IF(Verso!$B$32="",0,IF(Verso!$B$32=$A846,1,0))</f>
        <v>0</v>
      </c>
      <c r="E846" s="91">
        <f>IF(Verso!$B$33="",0,IF(Verso!$B$33=$A846,1,0))</f>
        <v>0</v>
      </c>
      <c r="F846" s="91">
        <f>IF(Verso!$B$34="",0,IF(Verso!$B$34=$A846,1,0))</f>
        <v>0</v>
      </c>
      <c r="G846" s="295">
        <f t="shared" si="23"/>
        <v>0</v>
      </c>
    </row>
    <row r="847" spans="1:7" x14ac:dyDescent="0.25">
      <c r="A847" s="531" t="s">
        <v>822</v>
      </c>
      <c r="B847" s="91">
        <f>IF(Verso!$B$30="",0,IF(Verso!$B$30=$A847,1,0))</f>
        <v>0</v>
      </c>
      <c r="C847" s="91">
        <f>IF(Verso!$B$31="",0,IF(Verso!$B$31=$A847,1,0))</f>
        <v>0</v>
      </c>
      <c r="D847" s="91">
        <f>IF(Verso!$B$32="",0,IF(Verso!$B$32=$A847,1,0))</f>
        <v>0</v>
      </c>
      <c r="E847" s="91">
        <f>IF(Verso!$B$33="",0,IF(Verso!$B$33=$A847,1,0))</f>
        <v>0</v>
      </c>
      <c r="F847" s="91">
        <f>IF(Verso!$B$34="",0,IF(Verso!$B$34=$A847,1,0))</f>
        <v>0</v>
      </c>
      <c r="G847" s="295">
        <f t="shared" si="23"/>
        <v>0</v>
      </c>
    </row>
    <row r="848" spans="1:7" x14ac:dyDescent="0.25">
      <c r="A848" s="531" t="s">
        <v>7589</v>
      </c>
      <c r="B848" s="91">
        <f>IF(Verso!$B$30="",0,IF(Verso!$B$30=$A848,1,0))</f>
        <v>0</v>
      </c>
      <c r="C848" s="91">
        <f>IF(Verso!$B$31="",0,IF(Verso!$B$31=$A848,1,0))</f>
        <v>0</v>
      </c>
      <c r="D848" s="91">
        <f>IF(Verso!$B$32="",0,IF(Verso!$B$32=$A848,1,0))</f>
        <v>0</v>
      </c>
      <c r="E848" s="91">
        <f>IF(Verso!$B$33="",0,IF(Verso!$B$33=$A848,1,0))</f>
        <v>0</v>
      </c>
      <c r="F848" s="91">
        <f>IF(Verso!$B$34="",0,IF(Verso!$B$34=$A848,1,0))</f>
        <v>0</v>
      </c>
      <c r="G848" s="295">
        <f t="shared" si="23"/>
        <v>0</v>
      </c>
    </row>
    <row r="849" spans="1:7" x14ac:dyDescent="0.25">
      <c r="A849" s="531" t="s">
        <v>900</v>
      </c>
      <c r="B849" s="91">
        <f>IF(Verso!$B$30="",0,IF(Verso!$B$30=$A849,1,0))</f>
        <v>0</v>
      </c>
      <c r="C849" s="91">
        <f>IF(Verso!$B$31="",0,IF(Verso!$B$31=$A849,1,0))</f>
        <v>0</v>
      </c>
      <c r="D849" s="91">
        <f>IF(Verso!$B$32="",0,IF(Verso!$B$32=$A849,1,0))</f>
        <v>0</v>
      </c>
      <c r="E849" s="91">
        <f>IF(Verso!$B$33="",0,IF(Verso!$B$33=$A849,1,0))</f>
        <v>0</v>
      </c>
      <c r="F849" s="91">
        <f>IF(Verso!$B$34="",0,IF(Verso!$B$34=$A849,1,0))</f>
        <v>0</v>
      </c>
      <c r="G849" s="295">
        <f t="shared" si="23"/>
        <v>0</v>
      </c>
    </row>
    <row r="850" spans="1:7" x14ac:dyDescent="0.25">
      <c r="A850" s="531" t="s">
        <v>98</v>
      </c>
      <c r="B850" s="91">
        <f>IF(Verso!$B$30="",0,IF(Verso!$B$30=$A850,1,0))</f>
        <v>0</v>
      </c>
      <c r="C850" s="91">
        <f>IF(Verso!$B$31="",0,IF(Verso!$B$31=$A850,1,0))</f>
        <v>0</v>
      </c>
      <c r="D850" s="91">
        <f>IF(Verso!$B$32="",0,IF(Verso!$B$32=$A850,1,0))</f>
        <v>0</v>
      </c>
      <c r="E850" s="91">
        <f>IF(Verso!$B$33="",0,IF(Verso!$B$33=$A850,1,0))</f>
        <v>0</v>
      </c>
      <c r="F850" s="91">
        <f>IF(Verso!$B$34="",0,IF(Verso!$B$34=$A850,1,0))</f>
        <v>0</v>
      </c>
      <c r="G850" s="295">
        <f t="shared" si="23"/>
        <v>0</v>
      </c>
    </row>
    <row r="851" spans="1:7" x14ac:dyDescent="0.25">
      <c r="A851" s="531" t="s">
        <v>1047</v>
      </c>
      <c r="B851" s="91">
        <f>IF(Verso!$B$30="",0,IF(Verso!$B$30=$A851,1,0))</f>
        <v>0</v>
      </c>
      <c r="C851" s="91">
        <f>IF(Verso!$B$31="",0,IF(Verso!$B$31=$A851,1,0))</f>
        <v>0</v>
      </c>
      <c r="D851" s="91">
        <f>IF(Verso!$B$32="",0,IF(Verso!$B$32=$A851,1,0))</f>
        <v>0</v>
      </c>
      <c r="E851" s="91">
        <f>IF(Verso!$B$33="",0,IF(Verso!$B$33=$A851,1,0))</f>
        <v>0</v>
      </c>
      <c r="F851" s="91">
        <f>IF(Verso!$B$34="",0,IF(Verso!$B$34=$A851,1,0))</f>
        <v>0</v>
      </c>
      <c r="G851" s="295">
        <f t="shared" si="23"/>
        <v>0</v>
      </c>
    </row>
    <row r="852" spans="1:7" x14ac:dyDescent="0.25">
      <c r="A852" s="531" t="s">
        <v>1045</v>
      </c>
      <c r="B852" s="91">
        <f>IF(Verso!$B$30="",0,IF(Verso!$B$30=$A852,1,0))</f>
        <v>0</v>
      </c>
      <c r="C852" s="91">
        <f>IF(Verso!$B$31="",0,IF(Verso!$B$31=$A852,1,0))</f>
        <v>0</v>
      </c>
      <c r="D852" s="91">
        <f>IF(Verso!$B$32="",0,IF(Verso!$B$32=$A852,1,0))</f>
        <v>0</v>
      </c>
      <c r="E852" s="91">
        <f>IF(Verso!$B$33="",0,IF(Verso!$B$33=$A852,1,0))</f>
        <v>0</v>
      </c>
      <c r="F852" s="91">
        <f>IF(Verso!$B$34="",0,IF(Verso!$B$34=$A852,1,0))</f>
        <v>0</v>
      </c>
      <c r="G852" s="295">
        <f t="shared" si="23"/>
        <v>0</v>
      </c>
    </row>
    <row r="853" spans="1:7" x14ac:dyDescent="0.25">
      <c r="A853" s="531" t="s">
        <v>1044</v>
      </c>
      <c r="B853" s="91">
        <f>IF(Verso!$B$30="",0,IF(Verso!$B$30=$A853,1,0))</f>
        <v>0</v>
      </c>
      <c r="C853" s="91">
        <f>IF(Verso!$B$31="",0,IF(Verso!$B$31=$A853,1,0))</f>
        <v>0</v>
      </c>
      <c r="D853" s="91">
        <f>IF(Verso!$B$32="",0,IF(Verso!$B$32=$A853,1,0))</f>
        <v>0</v>
      </c>
      <c r="E853" s="91">
        <f>IF(Verso!$B$33="",0,IF(Verso!$B$33=$A853,1,0))</f>
        <v>0</v>
      </c>
      <c r="F853" s="91">
        <f>IF(Verso!$B$34="",0,IF(Verso!$B$34=$A853,1,0))</f>
        <v>0</v>
      </c>
      <c r="G853" s="295">
        <f t="shared" si="23"/>
        <v>0</v>
      </c>
    </row>
    <row r="854" spans="1:7" x14ac:dyDescent="0.25">
      <c r="A854" s="531" t="s">
        <v>1048</v>
      </c>
      <c r="B854" s="91">
        <f>IF(Verso!$B$30="",0,IF(Verso!$B$30=$A854,1,0))</f>
        <v>0</v>
      </c>
      <c r="C854" s="91">
        <f>IF(Verso!$B$31="",0,IF(Verso!$B$31=$A854,1,0))</f>
        <v>0</v>
      </c>
      <c r="D854" s="91">
        <f>IF(Verso!$B$32="",0,IF(Verso!$B$32=$A854,1,0))</f>
        <v>0</v>
      </c>
      <c r="E854" s="91">
        <f>IF(Verso!$B$33="",0,IF(Verso!$B$33=$A854,1,0))</f>
        <v>0</v>
      </c>
      <c r="F854" s="91">
        <f>IF(Verso!$B$34="",0,IF(Verso!$B$34=$A854,1,0))</f>
        <v>0</v>
      </c>
      <c r="G854" s="295">
        <f t="shared" si="23"/>
        <v>0</v>
      </c>
    </row>
    <row r="855" spans="1:7" x14ac:dyDescent="0.25">
      <c r="A855" s="531" t="s">
        <v>1046</v>
      </c>
      <c r="B855" s="91">
        <f>IF(Verso!$B$30="",0,IF(Verso!$B$30=$A855,1,0))</f>
        <v>0</v>
      </c>
      <c r="C855" s="91">
        <f>IF(Verso!$B$31="",0,IF(Verso!$B$31=$A855,1,0))</f>
        <v>0</v>
      </c>
      <c r="D855" s="91">
        <f>IF(Verso!$B$32="",0,IF(Verso!$B$32=$A855,1,0))</f>
        <v>0</v>
      </c>
      <c r="E855" s="91">
        <f>IF(Verso!$B$33="",0,IF(Verso!$B$33=$A855,1,0))</f>
        <v>0</v>
      </c>
      <c r="F855" s="91">
        <f>IF(Verso!$B$34="",0,IF(Verso!$B$34=$A855,1,0))</f>
        <v>0</v>
      </c>
      <c r="G855" s="295">
        <f t="shared" si="23"/>
        <v>0</v>
      </c>
    </row>
    <row r="856" spans="1:7" x14ac:dyDescent="0.25">
      <c r="A856" s="531" t="s">
        <v>1052</v>
      </c>
      <c r="B856" s="91">
        <f>IF(Verso!$B$30="",0,IF(Verso!$B$30=$A856,1,0))</f>
        <v>0</v>
      </c>
      <c r="C856" s="91">
        <f>IF(Verso!$B$31="",0,IF(Verso!$B$31=$A856,1,0))</f>
        <v>0</v>
      </c>
      <c r="D856" s="91">
        <f>IF(Verso!$B$32="",0,IF(Verso!$B$32=$A856,1,0))</f>
        <v>0</v>
      </c>
      <c r="E856" s="91">
        <f>IF(Verso!$B$33="",0,IF(Verso!$B$33=$A856,1,0))</f>
        <v>0</v>
      </c>
      <c r="F856" s="91">
        <f>IF(Verso!$B$34="",0,IF(Verso!$B$34=$A856,1,0))</f>
        <v>0</v>
      </c>
      <c r="G856" s="295">
        <f t="shared" si="23"/>
        <v>0</v>
      </c>
    </row>
    <row r="857" spans="1:7" x14ac:dyDescent="0.25">
      <c r="A857" s="531" t="s">
        <v>7591</v>
      </c>
      <c r="B857" s="91">
        <f>IF(Verso!$B$30="",0,IF(Verso!$B$30=$A857,1,0))</f>
        <v>0</v>
      </c>
      <c r="C857" s="91">
        <f>IF(Verso!$B$31="",0,IF(Verso!$B$31=$A857,1,0))</f>
        <v>0</v>
      </c>
      <c r="D857" s="91">
        <f>IF(Verso!$B$32="",0,IF(Verso!$B$32=$A857,1,0))</f>
        <v>0</v>
      </c>
      <c r="E857" s="91">
        <f>IF(Verso!$B$33="",0,IF(Verso!$B$33=$A857,1,0))</f>
        <v>0</v>
      </c>
      <c r="F857" s="91">
        <f>IF(Verso!$B$34="",0,IF(Verso!$B$34=$A857,1,0))</f>
        <v>0</v>
      </c>
      <c r="G857" s="295">
        <f t="shared" si="23"/>
        <v>0</v>
      </c>
    </row>
    <row r="858" spans="1:7" x14ac:dyDescent="0.25">
      <c r="A858" s="531" t="s">
        <v>952</v>
      </c>
      <c r="B858" s="91">
        <f>IF(Verso!$B$30="",0,IF(Verso!$B$30=$A858,1,0))</f>
        <v>0</v>
      </c>
      <c r="C858" s="91">
        <f>IF(Verso!$B$31="",0,IF(Verso!$B$31=$A858,1,0))</f>
        <v>0</v>
      </c>
      <c r="D858" s="91">
        <f>IF(Verso!$B$32="",0,IF(Verso!$B$32=$A858,1,0))</f>
        <v>0</v>
      </c>
      <c r="E858" s="91">
        <f>IF(Verso!$B$33="",0,IF(Verso!$B$33=$A858,1,0))</f>
        <v>0</v>
      </c>
      <c r="F858" s="91">
        <f>IF(Verso!$B$34="",0,IF(Verso!$B$34=$A858,1,0))</f>
        <v>0</v>
      </c>
      <c r="G858" s="295">
        <f t="shared" si="23"/>
        <v>0</v>
      </c>
    </row>
    <row r="859" spans="1:7" x14ac:dyDescent="0.25">
      <c r="A859" s="531" t="s">
        <v>988</v>
      </c>
      <c r="B859" s="91">
        <f>IF(Verso!$B$30="",0,IF(Verso!$B$30=$A859,1,0))</f>
        <v>0</v>
      </c>
      <c r="C859" s="91">
        <f>IF(Verso!$B$31="",0,IF(Verso!$B$31=$A859,1,0))</f>
        <v>0</v>
      </c>
      <c r="D859" s="91">
        <f>IF(Verso!$B$32="",0,IF(Verso!$B$32=$A859,1,0))</f>
        <v>0</v>
      </c>
      <c r="E859" s="91">
        <f>IF(Verso!$B$33="",0,IF(Verso!$B$33=$A859,1,0))</f>
        <v>0</v>
      </c>
      <c r="F859" s="91">
        <f>IF(Verso!$B$34="",0,IF(Verso!$B$34=$A859,1,0))</f>
        <v>0</v>
      </c>
      <c r="G859" s="295">
        <f t="shared" si="23"/>
        <v>0</v>
      </c>
    </row>
    <row r="860" spans="1:7" x14ac:dyDescent="0.25">
      <c r="A860" s="531" t="s">
        <v>987</v>
      </c>
      <c r="B860" s="91">
        <f>IF(Verso!$B$30="",0,IF(Verso!$B$30=$A860,1,0))</f>
        <v>0</v>
      </c>
      <c r="C860" s="91">
        <f>IF(Verso!$B$31="",0,IF(Verso!$B$31=$A860,1,0))</f>
        <v>0</v>
      </c>
      <c r="D860" s="91">
        <f>IF(Verso!$B$32="",0,IF(Verso!$B$32=$A860,1,0))</f>
        <v>0</v>
      </c>
      <c r="E860" s="91">
        <f>IF(Verso!$B$33="",0,IF(Verso!$B$33=$A860,1,0))</f>
        <v>0</v>
      </c>
      <c r="F860" s="91">
        <f>IF(Verso!$B$34="",0,IF(Verso!$B$34=$A860,1,0))</f>
        <v>0</v>
      </c>
      <c r="G860" s="295">
        <f t="shared" si="23"/>
        <v>0</v>
      </c>
    </row>
    <row r="861" spans="1:7" x14ac:dyDescent="0.25">
      <c r="A861" s="531" t="s">
        <v>954</v>
      </c>
      <c r="B861" s="91">
        <f>IF(Verso!$B$30="",0,IF(Verso!$B$30=$A861,1,0))</f>
        <v>0</v>
      </c>
      <c r="C861" s="91">
        <f>IF(Verso!$B$31="",0,IF(Verso!$B$31=$A861,1,0))</f>
        <v>0</v>
      </c>
      <c r="D861" s="91">
        <f>IF(Verso!$B$32="",0,IF(Verso!$B$32=$A861,1,0))</f>
        <v>0</v>
      </c>
      <c r="E861" s="91">
        <f>IF(Verso!$B$33="",0,IF(Verso!$B$33=$A861,1,0))</f>
        <v>0</v>
      </c>
      <c r="F861" s="91">
        <f>IF(Verso!$B$34="",0,IF(Verso!$B$34=$A861,1,0))</f>
        <v>0</v>
      </c>
      <c r="G861" s="295">
        <f t="shared" si="23"/>
        <v>0</v>
      </c>
    </row>
    <row r="862" spans="1:7" x14ac:dyDescent="0.25">
      <c r="A862" s="531" t="s">
        <v>953</v>
      </c>
      <c r="B862" s="91">
        <f>IF(Verso!$B$30="",0,IF(Verso!$B$30=$A862,1,0))</f>
        <v>0</v>
      </c>
      <c r="C862" s="91">
        <f>IF(Verso!$B$31="",0,IF(Verso!$B$31=$A862,1,0))</f>
        <v>0</v>
      </c>
      <c r="D862" s="91">
        <f>IF(Verso!$B$32="",0,IF(Verso!$B$32=$A862,1,0))</f>
        <v>0</v>
      </c>
      <c r="E862" s="91">
        <f>IF(Verso!$B$33="",0,IF(Verso!$B$33=$A862,1,0))</f>
        <v>0</v>
      </c>
      <c r="F862" s="91">
        <f>IF(Verso!$B$34="",0,IF(Verso!$B$34=$A862,1,0))</f>
        <v>0</v>
      </c>
      <c r="G862" s="295">
        <f t="shared" si="23"/>
        <v>0</v>
      </c>
    </row>
    <row r="863" spans="1:7" x14ac:dyDescent="0.25">
      <c r="A863" s="531" t="s">
        <v>867</v>
      </c>
      <c r="B863" s="91">
        <f>IF(Verso!$B$30="",0,IF(Verso!$B$30=$A863,1,0))</f>
        <v>0</v>
      </c>
      <c r="C863" s="91">
        <f>IF(Verso!$B$31="",0,IF(Verso!$B$31=$A863,1,0))</f>
        <v>0</v>
      </c>
      <c r="D863" s="91">
        <f>IF(Verso!$B$32="",0,IF(Verso!$B$32=$A863,1,0))</f>
        <v>0</v>
      </c>
      <c r="E863" s="91">
        <f>IF(Verso!$B$33="",0,IF(Verso!$B$33=$A863,1,0))</f>
        <v>0</v>
      </c>
      <c r="F863" s="91">
        <f>IF(Verso!$B$34="",0,IF(Verso!$B$34=$A863,1,0))</f>
        <v>0</v>
      </c>
      <c r="G863" s="295">
        <f t="shared" si="23"/>
        <v>0</v>
      </c>
    </row>
    <row r="864" spans="1:7" x14ac:dyDescent="0.25">
      <c r="A864" s="531" t="s">
        <v>970</v>
      </c>
      <c r="B864" s="91">
        <f>IF(Verso!$B$30="",0,IF(Verso!$B$30=$A864,1,0))</f>
        <v>0</v>
      </c>
      <c r="C864" s="91">
        <f>IF(Verso!$B$31="",0,IF(Verso!$B$31=$A864,1,0))</f>
        <v>0</v>
      </c>
      <c r="D864" s="91">
        <f>IF(Verso!$B$32="",0,IF(Verso!$B$32=$A864,1,0))</f>
        <v>0</v>
      </c>
      <c r="E864" s="91">
        <f>IF(Verso!$B$33="",0,IF(Verso!$B$33=$A864,1,0))</f>
        <v>0</v>
      </c>
      <c r="F864" s="91">
        <f>IF(Verso!$B$34="",0,IF(Verso!$B$34=$A864,1,0))</f>
        <v>0</v>
      </c>
      <c r="G864" s="295">
        <f t="shared" si="23"/>
        <v>0</v>
      </c>
    </row>
    <row r="865" spans="1:7" x14ac:dyDescent="0.25">
      <c r="A865" s="531" t="s">
        <v>971</v>
      </c>
      <c r="B865" s="91">
        <f>IF(Verso!$B$30="",0,IF(Verso!$B$30=$A865,1,0))</f>
        <v>0</v>
      </c>
      <c r="C865" s="91">
        <f>IF(Verso!$B$31="",0,IF(Verso!$B$31=$A865,1,0))</f>
        <v>0</v>
      </c>
      <c r="D865" s="91">
        <f>IF(Verso!$B$32="",0,IF(Verso!$B$32=$A865,1,0))</f>
        <v>0</v>
      </c>
      <c r="E865" s="91">
        <f>IF(Verso!$B$33="",0,IF(Verso!$B$33=$A865,1,0))</f>
        <v>0</v>
      </c>
      <c r="F865" s="91">
        <f>IF(Verso!$B$34="",0,IF(Verso!$B$34=$A865,1,0))</f>
        <v>0</v>
      </c>
      <c r="G865" s="295">
        <f t="shared" si="23"/>
        <v>0</v>
      </c>
    </row>
    <row r="866" spans="1:7" x14ac:dyDescent="0.25">
      <c r="A866" s="531" t="s">
        <v>972</v>
      </c>
      <c r="B866" s="91">
        <f>IF(Verso!$B$30="",0,IF(Verso!$B$30=$A866,1,0))</f>
        <v>0</v>
      </c>
      <c r="C866" s="91">
        <f>IF(Verso!$B$31="",0,IF(Verso!$B$31=$A866,1,0))</f>
        <v>0</v>
      </c>
      <c r="D866" s="91">
        <f>IF(Verso!$B$32="",0,IF(Verso!$B$32=$A866,1,0))</f>
        <v>0</v>
      </c>
      <c r="E866" s="91">
        <f>IF(Verso!$B$33="",0,IF(Verso!$B$33=$A866,1,0))</f>
        <v>0</v>
      </c>
      <c r="F866" s="91">
        <f>IF(Verso!$B$34="",0,IF(Verso!$B$34=$A866,1,0))</f>
        <v>0</v>
      </c>
      <c r="G866" s="295">
        <f t="shared" si="23"/>
        <v>0</v>
      </c>
    </row>
    <row r="867" spans="1:7" x14ac:dyDescent="0.25">
      <c r="A867" s="531" t="s">
        <v>973</v>
      </c>
      <c r="B867" s="91">
        <f>IF(Verso!$B$30="",0,IF(Verso!$B$30=$A867,1,0))</f>
        <v>0</v>
      </c>
      <c r="C867" s="91">
        <f>IF(Verso!$B$31="",0,IF(Verso!$B$31=$A867,1,0))</f>
        <v>0</v>
      </c>
      <c r="D867" s="91">
        <f>IF(Verso!$B$32="",0,IF(Verso!$B$32=$A867,1,0))</f>
        <v>0</v>
      </c>
      <c r="E867" s="91">
        <f>IF(Verso!$B$33="",0,IF(Verso!$B$33=$A867,1,0))</f>
        <v>0</v>
      </c>
      <c r="F867" s="91">
        <f>IF(Verso!$B$34="",0,IF(Verso!$B$34=$A867,1,0))</f>
        <v>0</v>
      </c>
      <c r="G867" s="295">
        <f t="shared" si="23"/>
        <v>0</v>
      </c>
    </row>
    <row r="868" spans="1:7" x14ac:dyDescent="0.25">
      <c r="A868" s="531" t="s">
        <v>974</v>
      </c>
      <c r="B868" s="91">
        <f>IF(Verso!$B$30="",0,IF(Verso!$B$30=$A868,1,0))</f>
        <v>0</v>
      </c>
      <c r="C868" s="91">
        <f>IF(Verso!$B$31="",0,IF(Verso!$B$31=$A868,1,0))</f>
        <v>0</v>
      </c>
      <c r="D868" s="91">
        <f>IF(Verso!$B$32="",0,IF(Verso!$B$32=$A868,1,0))</f>
        <v>0</v>
      </c>
      <c r="E868" s="91">
        <f>IF(Verso!$B$33="",0,IF(Verso!$B$33=$A868,1,0))</f>
        <v>0</v>
      </c>
      <c r="F868" s="91">
        <f>IF(Verso!$B$34="",0,IF(Verso!$B$34=$A868,1,0))</f>
        <v>0</v>
      </c>
      <c r="G868" s="295">
        <f t="shared" si="23"/>
        <v>0</v>
      </c>
    </row>
    <row r="869" spans="1:7" x14ac:dyDescent="0.25">
      <c r="A869" s="531" t="s">
        <v>975</v>
      </c>
      <c r="B869" s="91">
        <f>IF(Verso!$B$30="",0,IF(Verso!$B$30=$A869,1,0))</f>
        <v>0</v>
      </c>
      <c r="C869" s="91">
        <f>IF(Verso!$B$31="",0,IF(Verso!$B$31=$A869,1,0))</f>
        <v>0</v>
      </c>
      <c r="D869" s="91">
        <f>IF(Verso!$B$32="",0,IF(Verso!$B$32=$A869,1,0))</f>
        <v>0</v>
      </c>
      <c r="E869" s="91">
        <f>IF(Verso!$B$33="",0,IF(Verso!$B$33=$A869,1,0))</f>
        <v>0</v>
      </c>
      <c r="F869" s="91">
        <f>IF(Verso!$B$34="",0,IF(Verso!$B$34=$A869,1,0))</f>
        <v>0</v>
      </c>
      <c r="G869" s="295">
        <f t="shared" si="23"/>
        <v>0</v>
      </c>
    </row>
    <row r="870" spans="1:7" x14ac:dyDescent="0.25">
      <c r="A870" s="531" t="s">
        <v>976</v>
      </c>
      <c r="B870" s="91">
        <f>IF(Verso!$B$30="",0,IF(Verso!$B$30=$A870,1,0))</f>
        <v>0</v>
      </c>
      <c r="C870" s="91">
        <f>IF(Verso!$B$31="",0,IF(Verso!$B$31=$A870,1,0))</f>
        <v>0</v>
      </c>
      <c r="D870" s="91">
        <f>IF(Verso!$B$32="",0,IF(Verso!$B$32=$A870,1,0))</f>
        <v>0</v>
      </c>
      <c r="E870" s="91">
        <f>IF(Verso!$B$33="",0,IF(Verso!$B$33=$A870,1,0))</f>
        <v>0</v>
      </c>
      <c r="F870" s="91">
        <f>IF(Verso!$B$34="",0,IF(Verso!$B$34=$A870,1,0))</f>
        <v>0</v>
      </c>
      <c r="G870" s="295">
        <f t="shared" ref="G870:G912" si="24">SUM(B870:F870)</f>
        <v>0</v>
      </c>
    </row>
    <row r="871" spans="1:7" x14ac:dyDescent="0.25">
      <c r="A871" s="531" t="s">
        <v>7597</v>
      </c>
      <c r="B871" s="91">
        <f>IF(Verso!$B$30="",0,IF(Verso!$B$30=$A871,1,0))</f>
        <v>0</v>
      </c>
      <c r="C871" s="91">
        <f>IF(Verso!$B$31="",0,IF(Verso!$B$31=$A871,1,0))</f>
        <v>0</v>
      </c>
      <c r="D871" s="91">
        <f>IF(Verso!$B$32="",0,IF(Verso!$B$32=$A871,1,0))</f>
        <v>0</v>
      </c>
      <c r="E871" s="91">
        <f>IF(Verso!$B$33="",0,IF(Verso!$B$33=$A871,1,0))</f>
        <v>0</v>
      </c>
      <c r="F871" s="91">
        <f>IF(Verso!$B$34="",0,IF(Verso!$B$34=$A871,1,0))</f>
        <v>0</v>
      </c>
      <c r="G871" s="295">
        <f t="shared" si="24"/>
        <v>0</v>
      </c>
    </row>
    <row r="872" spans="1:7" x14ac:dyDescent="0.25">
      <c r="A872" s="531" t="s">
        <v>881</v>
      </c>
      <c r="B872" s="91">
        <f>IF(Verso!$B$30="",0,IF(Verso!$B$30=$A872,1,0))</f>
        <v>0</v>
      </c>
      <c r="C872" s="91">
        <f>IF(Verso!$B$31="",0,IF(Verso!$B$31=$A872,1,0))</f>
        <v>0</v>
      </c>
      <c r="D872" s="91">
        <f>IF(Verso!$B$32="",0,IF(Verso!$B$32=$A872,1,0))</f>
        <v>0</v>
      </c>
      <c r="E872" s="91">
        <f>IF(Verso!$B$33="",0,IF(Verso!$B$33=$A872,1,0))</f>
        <v>0</v>
      </c>
      <c r="F872" s="91">
        <f>IF(Verso!$B$34="",0,IF(Verso!$B$34=$A872,1,0))</f>
        <v>0</v>
      </c>
      <c r="G872" s="295">
        <f t="shared" si="24"/>
        <v>0</v>
      </c>
    </row>
    <row r="873" spans="1:7" x14ac:dyDescent="0.25">
      <c r="A873" s="531" t="s">
        <v>984</v>
      </c>
      <c r="B873" s="91">
        <f>IF(Verso!$B$30="",0,IF(Verso!$B$30=$A873,1,0))</f>
        <v>0</v>
      </c>
      <c r="C873" s="91">
        <f>IF(Verso!$B$31="",0,IF(Verso!$B$31=$A873,1,0))</f>
        <v>0</v>
      </c>
      <c r="D873" s="91">
        <f>IF(Verso!$B$32="",0,IF(Verso!$B$32=$A873,1,0))</f>
        <v>0</v>
      </c>
      <c r="E873" s="91">
        <f>IF(Verso!$B$33="",0,IF(Verso!$B$33=$A873,1,0))</f>
        <v>0</v>
      </c>
      <c r="F873" s="91">
        <f>IF(Verso!$B$34="",0,IF(Verso!$B$34=$A873,1,0))</f>
        <v>0</v>
      </c>
      <c r="G873" s="295">
        <f t="shared" si="24"/>
        <v>0</v>
      </c>
    </row>
    <row r="874" spans="1:7" x14ac:dyDescent="0.25">
      <c r="A874" s="531" t="s">
        <v>991</v>
      </c>
      <c r="B874" s="91">
        <f>IF(Verso!$B$30="",0,IF(Verso!$B$30=$A874,1,0))</f>
        <v>0</v>
      </c>
      <c r="C874" s="91">
        <f>IF(Verso!$B$31="",0,IF(Verso!$B$31=$A874,1,0))</f>
        <v>0</v>
      </c>
      <c r="D874" s="91">
        <f>IF(Verso!$B$32="",0,IF(Verso!$B$32=$A874,1,0))</f>
        <v>0</v>
      </c>
      <c r="E874" s="91">
        <f>IF(Verso!$B$33="",0,IF(Verso!$B$33=$A874,1,0))</f>
        <v>0</v>
      </c>
      <c r="F874" s="91">
        <f>IF(Verso!$B$34="",0,IF(Verso!$B$34=$A874,1,0))</f>
        <v>0</v>
      </c>
      <c r="G874" s="295">
        <f t="shared" si="24"/>
        <v>0</v>
      </c>
    </row>
    <row r="875" spans="1:7" x14ac:dyDescent="0.25">
      <c r="A875" s="531" t="s">
        <v>989</v>
      </c>
      <c r="B875" s="91">
        <f>IF(Verso!$B$30="",0,IF(Verso!$B$30=$A875,1,0))</f>
        <v>0</v>
      </c>
      <c r="C875" s="91">
        <f>IF(Verso!$B$31="",0,IF(Verso!$B$31=$A875,1,0))</f>
        <v>0</v>
      </c>
      <c r="D875" s="91">
        <f>IF(Verso!$B$32="",0,IF(Verso!$B$32=$A875,1,0))</f>
        <v>0</v>
      </c>
      <c r="E875" s="91">
        <f>IF(Verso!$B$33="",0,IF(Verso!$B$33=$A875,1,0))</f>
        <v>0</v>
      </c>
      <c r="F875" s="91">
        <f>IF(Verso!$B$34="",0,IF(Verso!$B$34=$A875,1,0))</f>
        <v>0</v>
      </c>
      <c r="G875" s="295">
        <f t="shared" si="24"/>
        <v>0</v>
      </c>
    </row>
    <row r="876" spans="1:7" x14ac:dyDescent="0.25">
      <c r="A876" s="531" t="s">
        <v>990</v>
      </c>
      <c r="B876" s="91">
        <f>IF(Verso!$B$30="",0,IF(Verso!$B$30=$A876,1,0))</f>
        <v>0</v>
      </c>
      <c r="C876" s="91">
        <f>IF(Verso!$B$31="",0,IF(Verso!$B$31=$A876,1,0))</f>
        <v>0</v>
      </c>
      <c r="D876" s="91">
        <f>IF(Verso!$B$32="",0,IF(Verso!$B$32=$A876,1,0))</f>
        <v>0</v>
      </c>
      <c r="E876" s="91">
        <f>IF(Verso!$B$33="",0,IF(Verso!$B$33=$A876,1,0))</f>
        <v>0</v>
      </c>
      <c r="F876" s="91">
        <f>IF(Verso!$B$34="",0,IF(Verso!$B$34=$A876,1,0))</f>
        <v>0</v>
      </c>
      <c r="G876" s="295">
        <f t="shared" si="24"/>
        <v>0</v>
      </c>
    </row>
    <row r="877" spans="1:7" x14ac:dyDescent="0.25">
      <c r="A877" s="531" t="s">
        <v>995</v>
      </c>
      <c r="B877" s="91">
        <f>IF(Verso!$B$30="",0,IF(Verso!$B$30=$A877,1,0))</f>
        <v>0</v>
      </c>
      <c r="C877" s="91">
        <f>IF(Verso!$B$31="",0,IF(Verso!$B$31=$A877,1,0))</f>
        <v>0</v>
      </c>
      <c r="D877" s="91">
        <f>IF(Verso!$B$32="",0,IF(Verso!$B$32=$A877,1,0))</f>
        <v>0</v>
      </c>
      <c r="E877" s="91">
        <f>IF(Verso!$B$33="",0,IF(Verso!$B$33=$A877,1,0))</f>
        <v>0</v>
      </c>
      <c r="F877" s="91">
        <f>IF(Verso!$B$34="",0,IF(Verso!$B$34=$A877,1,0))</f>
        <v>0</v>
      </c>
      <c r="G877" s="295">
        <f t="shared" si="24"/>
        <v>0</v>
      </c>
    </row>
    <row r="878" spans="1:7" x14ac:dyDescent="0.25">
      <c r="A878" s="531" t="s">
        <v>996</v>
      </c>
      <c r="B878" s="91">
        <f>IF(Verso!$B$30="",0,IF(Verso!$B$30=$A878,1,0))</f>
        <v>0</v>
      </c>
      <c r="C878" s="91">
        <f>IF(Verso!$B$31="",0,IF(Verso!$B$31=$A878,1,0))</f>
        <v>0</v>
      </c>
      <c r="D878" s="91">
        <f>IF(Verso!$B$32="",0,IF(Verso!$B$32=$A878,1,0))</f>
        <v>0</v>
      </c>
      <c r="E878" s="91">
        <f>IF(Verso!$B$33="",0,IF(Verso!$B$33=$A878,1,0))</f>
        <v>0</v>
      </c>
      <c r="F878" s="91">
        <f>IF(Verso!$B$34="",0,IF(Verso!$B$34=$A878,1,0))</f>
        <v>0</v>
      </c>
      <c r="G878" s="295">
        <f t="shared" si="24"/>
        <v>0</v>
      </c>
    </row>
    <row r="879" spans="1:7" x14ac:dyDescent="0.25">
      <c r="A879" s="531" t="s">
        <v>1051</v>
      </c>
      <c r="B879" s="91">
        <f>IF(Verso!$B$30="",0,IF(Verso!$B$30=$A879,1,0))</f>
        <v>0</v>
      </c>
      <c r="C879" s="91">
        <f>IF(Verso!$B$31="",0,IF(Verso!$B$31=$A879,1,0))</f>
        <v>0</v>
      </c>
      <c r="D879" s="91">
        <f>IF(Verso!$B$32="",0,IF(Verso!$B$32=$A879,1,0))</f>
        <v>0</v>
      </c>
      <c r="E879" s="91">
        <f>IF(Verso!$B$33="",0,IF(Verso!$B$33=$A879,1,0))</f>
        <v>0</v>
      </c>
      <c r="F879" s="91">
        <f>IF(Verso!$B$34="",0,IF(Verso!$B$34=$A879,1,0))</f>
        <v>0</v>
      </c>
      <c r="G879" s="295">
        <f t="shared" si="24"/>
        <v>0</v>
      </c>
    </row>
    <row r="880" spans="1:7" x14ac:dyDescent="0.25">
      <c r="A880" s="531" t="s">
        <v>1057</v>
      </c>
      <c r="B880" s="91">
        <f>IF(Verso!$B$30="",0,IF(Verso!$B$30=$A880,1,0))</f>
        <v>0</v>
      </c>
      <c r="C880" s="91">
        <f>IF(Verso!$B$31="",0,IF(Verso!$B$31=$A880,1,0))</f>
        <v>0</v>
      </c>
      <c r="D880" s="91">
        <f>IF(Verso!$B$32="",0,IF(Verso!$B$32=$A880,1,0))</f>
        <v>0</v>
      </c>
      <c r="E880" s="91">
        <f>IF(Verso!$B$33="",0,IF(Verso!$B$33=$A880,1,0))</f>
        <v>0</v>
      </c>
      <c r="F880" s="91">
        <f>IF(Verso!$B$34="",0,IF(Verso!$B$34=$A880,1,0))</f>
        <v>0</v>
      </c>
      <c r="G880" s="295">
        <f t="shared" si="24"/>
        <v>0</v>
      </c>
    </row>
    <row r="881" spans="1:7" x14ac:dyDescent="0.25">
      <c r="A881" s="531" t="s">
        <v>1060</v>
      </c>
      <c r="B881" s="91">
        <f>IF(Verso!$B$30="",0,IF(Verso!$B$30=$A881,1,0))</f>
        <v>0</v>
      </c>
      <c r="C881" s="91">
        <f>IF(Verso!$B$31="",0,IF(Verso!$B$31=$A881,1,0))</f>
        <v>0</v>
      </c>
      <c r="D881" s="91">
        <f>IF(Verso!$B$32="",0,IF(Verso!$B$32=$A881,1,0))</f>
        <v>0</v>
      </c>
      <c r="E881" s="91">
        <f>IF(Verso!$B$33="",0,IF(Verso!$B$33=$A881,1,0))</f>
        <v>0</v>
      </c>
      <c r="F881" s="91">
        <f>IF(Verso!$B$34="",0,IF(Verso!$B$34=$A881,1,0))</f>
        <v>0</v>
      </c>
      <c r="G881" s="295">
        <f t="shared" si="24"/>
        <v>0</v>
      </c>
    </row>
    <row r="882" spans="1:7" x14ac:dyDescent="0.25">
      <c r="A882" s="531" t="s">
        <v>1055</v>
      </c>
      <c r="B882" s="91">
        <f>IF(Verso!$B$30="",0,IF(Verso!$B$30=$A882,1,0))</f>
        <v>0</v>
      </c>
      <c r="C882" s="91">
        <f>IF(Verso!$B$31="",0,IF(Verso!$B$31=$A882,1,0))</f>
        <v>0</v>
      </c>
      <c r="D882" s="91">
        <f>IF(Verso!$B$32="",0,IF(Verso!$B$32=$A882,1,0))</f>
        <v>0</v>
      </c>
      <c r="E882" s="91">
        <f>IF(Verso!$B$33="",0,IF(Verso!$B$33=$A882,1,0))</f>
        <v>0</v>
      </c>
      <c r="F882" s="91">
        <f>IF(Verso!$B$34="",0,IF(Verso!$B$34=$A882,1,0))</f>
        <v>0</v>
      </c>
      <c r="G882" s="295">
        <f t="shared" si="24"/>
        <v>0</v>
      </c>
    </row>
    <row r="883" spans="1:7" x14ac:dyDescent="0.25">
      <c r="A883" s="531" t="s">
        <v>1020</v>
      </c>
      <c r="B883" s="91">
        <f>IF(Verso!$B$30="",0,IF(Verso!$B$30=$A883,1,0))</f>
        <v>0</v>
      </c>
      <c r="C883" s="91">
        <f>IF(Verso!$B$31="",0,IF(Verso!$B$31=$A883,1,0))</f>
        <v>0</v>
      </c>
      <c r="D883" s="91">
        <f>IF(Verso!$B$32="",0,IF(Verso!$B$32=$A883,1,0))</f>
        <v>0</v>
      </c>
      <c r="E883" s="91">
        <f>IF(Verso!$B$33="",0,IF(Verso!$B$33=$A883,1,0))</f>
        <v>0</v>
      </c>
      <c r="F883" s="91">
        <f>IF(Verso!$B$34="",0,IF(Verso!$B$34=$A883,1,0))</f>
        <v>0</v>
      </c>
      <c r="G883" s="295">
        <f t="shared" si="24"/>
        <v>0</v>
      </c>
    </row>
    <row r="884" spans="1:7" x14ac:dyDescent="0.25">
      <c r="A884" s="531" t="s">
        <v>997</v>
      </c>
      <c r="B884" s="91">
        <f>IF(Verso!$B$30="",0,IF(Verso!$B$30=$A884,1,0))</f>
        <v>0</v>
      </c>
      <c r="C884" s="91">
        <f>IF(Verso!$B$31="",0,IF(Verso!$B$31=$A884,1,0))</f>
        <v>0</v>
      </c>
      <c r="D884" s="91">
        <f>IF(Verso!$B$32="",0,IF(Verso!$B$32=$A884,1,0))</f>
        <v>0</v>
      </c>
      <c r="E884" s="91">
        <f>IF(Verso!$B$33="",0,IF(Verso!$B$33=$A884,1,0))</f>
        <v>0</v>
      </c>
      <c r="F884" s="91">
        <f>IF(Verso!$B$34="",0,IF(Verso!$B$34=$A884,1,0))</f>
        <v>0</v>
      </c>
      <c r="G884" s="295">
        <f t="shared" si="24"/>
        <v>0</v>
      </c>
    </row>
    <row r="885" spans="1:7" x14ac:dyDescent="0.25">
      <c r="A885" s="531" t="s">
        <v>998</v>
      </c>
      <c r="B885" s="91">
        <f>IF(Verso!$B$30="",0,IF(Verso!$B$30=$A885,1,0))</f>
        <v>0</v>
      </c>
      <c r="C885" s="91">
        <f>IF(Verso!$B$31="",0,IF(Verso!$B$31=$A885,1,0))</f>
        <v>0</v>
      </c>
      <c r="D885" s="91">
        <f>IF(Verso!$B$32="",0,IF(Verso!$B$32=$A885,1,0))</f>
        <v>0</v>
      </c>
      <c r="E885" s="91">
        <f>IF(Verso!$B$33="",0,IF(Verso!$B$33=$A885,1,0))</f>
        <v>0</v>
      </c>
      <c r="F885" s="91">
        <f>IF(Verso!$B$34="",0,IF(Verso!$B$34=$A885,1,0))</f>
        <v>0</v>
      </c>
      <c r="G885" s="295">
        <f t="shared" si="24"/>
        <v>0</v>
      </c>
    </row>
    <row r="886" spans="1:7" x14ac:dyDescent="0.25">
      <c r="A886" s="531" t="s">
        <v>999</v>
      </c>
      <c r="B886" s="91">
        <f>IF(Verso!$B$30="",0,IF(Verso!$B$30=$A886,1,0))</f>
        <v>0</v>
      </c>
      <c r="C886" s="91">
        <f>IF(Verso!$B$31="",0,IF(Verso!$B$31=$A886,1,0))</f>
        <v>0</v>
      </c>
      <c r="D886" s="91">
        <f>IF(Verso!$B$32="",0,IF(Verso!$B$32=$A886,1,0))</f>
        <v>0</v>
      </c>
      <c r="E886" s="91">
        <f>IF(Verso!$B$33="",0,IF(Verso!$B$33=$A886,1,0))</f>
        <v>0</v>
      </c>
      <c r="F886" s="91">
        <f>IF(Verso!$B$34="",0,IF(Verso!$B$34=$A886,1,0))</f>
        <v>0</v>
      </c>
      <c r="G886" s="295">
        <f t="shared" si="24"/>
        <v>0</v>
      </c>
    </row>
    <row r="887" spans="1:7" x14ac:dyDescent="0.25">
      <c r="A887" s="531" t="s">
        <v>1000</v>
      </c>
      <c r="B887" s="91">
        <f>IF(Verso!$B$30="",0,IF(Verso!$B$30=$A887,1,0))</f>
        <v>0</v>
      </c>
      <c r="C887" s="91">
        <f>IF(Verso!$B$31="",0,IF(Verso!$B$31=$A887,1,0))</f>
        <v>0</v>
      </c>
      <c r="D887" s="91">
        <f>IF(Verso!$B$32="",0,IF(Verso!$B$32=$A887,1,0))</f>
        <v>0</v>
      </c>
      <c r="E887" s="91">
        <f>IF(Verso!$B$33="",0,IF(Verso!$B$33=$A887,1,0))</f>
        <v>0</v>
      </c>
      <c r="F887" s="91">
        <f>IF(Verso!$B$34="",0,IF(Verso!$B$34=$A887,1,0))</f>
        <v>0</v>
      </c>
      <c r="G887" s="295">
        <f t="shared" si="24"/>
        <v>0</v>
      </c>
    </row>
    <row r="888" spans="1:7" x14ac:dyDescent="0.25">
      <c r="A888" s="531" t="s">
        <v>1001</v>
      </c>
      <c r="B888" s="91">
        <f>IF(Verso!$B$30="",0,IF(Verso!$B$30=$A888,1,0))</f>
        <v>0</v>
      </c>
      <c r="C888" s="91">
        <f>IF(Verso!$B$31="",0,IF(Verso!$B$31=$A888,1,0))</f>
        <v>0</v>
      </c>
      <c r="D888" s="91">
        <f>IF(Verso!$B$32="",0,IF(Verso!$B$32=$A888,1,0))</f>
        <v>0</v>
      </c>
      <c r="E888" s="91">
        <f>IF(Verso!$B$33="",0,IF(Verso!$B$33=$A888,1,0))</f>
        <v>0</v>
      </c>
      <c r="F888" s="91">
        <f>IF(Verso!$B$34="",0,IF(Verso!$B$34=$A888,1,0))</f>
        <v>0</v>
      </c>
      <c r="G888" s="295">
        <f t="shared" si="24"/>
        <v>0</v>
      </c>
    </row>
    <row r="889" spans="1:7" x14ac:dyDescent="0.25">
      <c r="A889" s="531" t="s">
        <v>1002</v>
      </c>
      <c r="B889" s="91">
        <f>IF(Verso!$B$30="",0,IF(Verso!$B$30=$A889,1,0))</f>
        <v>0</v>
      </c>
      <c r="C889" s="91">
        <f>IF(Verso!$B$31="",0,IF(Verso!$B$31=$A889,1,0))</f>
        <v>0</v>
      </c>
      <c r="D889" s="91">
        <f>IF(Verso!$B$32="",0,IF(Verso!$B$32=$A889,1,0))</f>
        <v>0</v>
      </c>
      <c r="E889" s="91">
        <f>IF(Verso!$B$33="",0,IF(Verso!$B$33=$A889,1,0))</f>
        <v>0</v>
      </c>
      <c r="F889" s="91">
        <f>IF(Verso!$B$34="",0,IF(Verso!$B$34=$A889,1,0))</f>
        <v>0</v>
      </c>
      <c r="G889" s="295">
        <f t="shared" si="24"/>
        <v>0</v>
      </c>
    </row>
    <row r="890" spans="1:7" x14ac:dyDescent="0.25">
      <c r="A890" s="531" t="s">
        <v>1003</v>
      </c>
      <c r="B890" s="91">
        <f>IF(Verso!$B$30="",0,IF(Verso!$B$30=$A890,1,0))</f>
        <v>0</v>
      </c>
      <c r="C890" s="91">
        <f>IF(Verso!$B$31="",0,IF(Verso!$B$31=$A890,1,0))</f>
        <v>0</v>
      </c>
      <c r="D890" s="91">
        <f>IF(Verso!$B$32="",0,IF(Verso!$B$32=$A890,1,0))</f>
        <v>0</v>
      </c>
      <c r="E890" s="91">
        <f>IF(Verso!$B$33="",0,IF(Verso!$B$33=$A890,1,0))</f>
        <v>0</v>
      </c>
      <c r="F890" s="91">
        <f>IF(Verso!$B$34="",0,IF(Verso!$B$34=$A890,1,0))</f>
        <v>0</v>
      </c>
      <c r="G890" s="295">
        <f t="shared" si="24"/>
        <v>0</v>
      </c>
    </row>
    <row r="891" spans="1:7" x14ac:dyDescent="0.25">
      <c r="A891" s="531" t="s">
        <v>1004</v>
      </c>
      <c r="B891" s="91">
        <f>IF(Verso!$B$30="",0,IF(Verso!$B$30=$A891,1,0))</f>
        <v>0</v>
      </c>
      <c r="C891" s="91">
        <f>IF(Verso!$B$31="",0,IF(Verso!$B$31=$A891,1,0))</f>
        <v>0</v>
      </c>
      <c r="D891" s="91">
        <f>IF(Verso!$B$32="",0,IF(Verso!$B$32=$A891,1,0))</f>
        <v>0</v>
      </c>
      <c r="E891" s="91">
        <f>IF(Verso!$B$33="",0,IF(Verso!$B$33=$A891,1,0))</f>
        <v>0</v>
      </c>
      <c r="F891" s="91">
        <f>IF(Verso!$B$34="",0,IF(Verso!$B$34=$A891,1,0))</f>
        <v>0</v>
      </c>
      <c r="G891" s="295">
        <f t="shared" si="24"/>
        <v>0</v>
      </c>
    </row>
    <row r="892" spans="1:7" x14ac:dyDescent="0.25">
      <c r="A892" s="531" t="s">
        <v>568</v>
      </c>
      <c r="B892" s="91">
        <f>IF(Verso!$B$30="",0,IF(Verso!$B$30=$A892,1,0))</f>
        <v>0</v>
      </c>
      <c r="C892" s="91">
        <f>IF(Verso!$B$31="",0,IF(Verso!$B$31=$A892,1,0))</f>
        <v>0</v>
      </c>
      <c r="D892" s="91">
        <f>IF(Verso!$B$32="",0,IF(Verso!$B$32=$A892,1,0))</f>
        <v>0</v>
      </c>
      <c r="E892" s="91">
        <f>IF(Verso!$B$33="",0,IF(Verso!$B$33=$A892,1,0))</f>
        <v>0</v>
      </c>
      <c r="F892" s="91">
        <f>IF(Verso!$B$34="",0,IF(Verso!$B$34=$A892,1,0))</f>
        <v>0</v>
      </c>
      <c r="G892" s="295">
        <f t="shared" si="24"/>
        <v>0</v>
      </c>
    </row>
    <row r="893" spans="1:7" x14ac:dyDescent="0.25">
      <c r="A893" s="531" t="s">
        <v>1011</v>
      </c>
      <c r="B893" s="91">
        <f>IF(Verso!$B$30="",0,IF(Verso!$B$30=$A893,1,0))</f>
        <v>0</v>
      </c>
      <c r="C893" s="91">
        <f>IF(Verso!$B$31="",0,IF(Verso!$B$31=$A893,1,0))</f>
        <v>0</v>
      </c>
      <c r="D893" s="91">
        <f>IF(Verso!$B$32="",0,IF(Verso!$B$32=$A893,1,0))</f>
        <v>0</v>
      </c>
      <c r="E893" s="91">
        <f>IF(Verso!$B$33="",0,IF(Verso!$B$33=$A893,1,0))</f>
        <v>0</v>
      </c>
      <c r="F893" s="91">
        <f>IF(Verso!$B$34="",0,IF(Verso!$B$34=$A893,1,0))</f>
        <v>0</v>
      </c>
      <c r="G893" s="295">
        <f t="shared" si="24"/>
        <v>0</v>
      </c>
    </row>
    <row r="894" spans="1:7" x14ac:dyDescent="0.25">
      <c r="A894" s="531" t="s">
        <v>1012</v>
      </c>
      <c r="B894" s="91">
        <f>IF(Verso!$B$30="",0,IF(Verso!$B$30=$A894,1,0))</f>
        <v>0</v>
      </c>
      <c r="C894" s="91">
        <f>IF(Verso!$B$31="",0,IF(Verso!$B$31=$A894,1,0))</f>
        <v>0</v>
      </c>
      <c r="D894" s="91">
        <f>IF(Verso!$B$32="",0,IF(Verso!$B$32=$A894,1,0))</f>
        <v>0</v>
      </c>
      <c r="E894" s="91">
        <f>IF(Verso!$B$33="",0,IF(Verso!$B$33=$A894,1,0))</f>
        <v>0</v>
      </c>
      <c r="F894" s="91">
        <f>IF(Verso!$B$34="",0,IF(Verso!$B$34=$A894,1,0))</f>
        <v>0</v>
      </c>
      <c r="G894" s="295">
        <f t="shared" si="24"/>
        <v>0</v>
      </c>
    </row>
    <row r="895" spans="1:7" x14ac:dyDescent="0.25">
      <c r="A895" s="531" t="s">
        <v>7582</v>
      </c>
      <c r="B895" s="91">
        <f>IF(Verso!$B$30="",0,IF(Verso!$B$30=$A895,1,0))</f>
        <v>0</v>
      </c>
      <c r="C895" s="91">
        <f>IF(Verso!$B$31="",0,IF(Verso!$B$31=$A895,1,0))</f>
        <v>0</v>
      </c>
      <c r="D895" s="91">
        <f>IF(Verso!$B$32="",0,IF(Verso!$B$32=$A895,1,0))</f>
        <v>0</v>
      </c>
      <c r="E895" s="91">
        <f>IF(Verso!$B$33="",0,IF(Verso!$B$33=$A895,1,0))</f>
        <v>0</v>
      </c>
      <c r="F895" s="91">
        <f>IF(Verso!$B$34="",0,IF(Verso!$B$34=$A895,1,0))</f>
        <v>0</v>
      </c>
      <c r="G895" s="295">
        <f t="shared" si="24"/>
        <v>0</v>
      </c>
    </row>
    <row r="896" spans="1:7" x14ac:dyDescent="0.25">
      <c r="A896" s="531" t="s">
        <v>7584</v>
      </c>
      <c r="B896" s="91">
        <f>IF(Verso!$B$30="",0,IF(Verso!$B$30=$A896,1,0))</f>
        <v>0</v>
      </c>
      <c r="C896" s="91">
        <f>IF(Verso!$B$31="",0,IF(Verso!$B$31=$A896,1,0))</f>
        <v>0</v>
      </c>
      <c r="D896" s="91">
        <f>IF(Verso!$B$32="",0,IF(Verso!$B$32=$A896,1,0))</f>
        <v>0</v>
      </c>
      <c r="E896" s="91">
        <f>IF(Verso!$B$33="",0,IF(Verso!$B$33=$A896,1,0))</f>
        <v>0</v>
      </c>
      <c r="F896" s="91">
        <f>IF(Verso!$B$34="",0,IF(Verso!$B$34=$A896,1,0))</f>
        <v>0</v>
      </c>
      <c r="G896" s="295">
        <f t="shared" si="24"/>
        <v>0</v>
      </c>
    </row>
    <row r="897" spans="1:7" x14ac:dyDescent="0.25">
      <c r="A897" s="531" t="s">
        <v>945</v>
      </c>
      <c r="B897" s="91">
        <f>IF(Verso!$B$30="",0,IF(Verso!$B$30=$A897,1,0))</f>
        <v>0</v>
      </c>
      <c r="C897" s="91">
        <f>IF(Verso!$B$31="",0,IF(Verso!$B$31=$A897,1,0))</f>
        <v>0</v>
      </c>
      <c r="D897" s="91">
        <f>IF(Verso!$B$32="",0,IF(Verso!$B$32=$A897,1,0))</f>
        <v>0</v>
      </c>
      <c r="E897" s="91">
        <f>IF(Verso!$B$33="",0,IF(Verso!$B$33=$A897,1,0))</f>
        <v>0</v>
      </c>
      <c r="F897" s="91">
        <f>IF(Verso!$B$34="",0,IF(Verso!$B$34=$A897,1,0))</f>
        <v>0</v>
      </c>
      <c r="G897" s="295">
        <f t="shared" si="24"/>
        <v>0</v>
      </c>
    </row>
    <row r="898" spans="1:7" x14ac:dyDescent="0.25">
      <c r="A898" s="531" t="str">
        <f>IF(Contexte_jeu="L'Empire Stellaire d'Emeraude","Stigmate: Osano-wo Reach","Stigmate: Broken Wave")</f>
        <v>Stigmate: Broken Wave</v>
      </c>
      <c r="B898" s="91">
        <f>IF(Verso!$B$30="",0,IF(Verso!$B$30=$A898,1,0))</f>
        <v>0</v>
      </c>
      <c r="C898" s="91">
        <f>IF(Verso!$B$31="",0,IF(Verso!$B$31=$A898,1,0))</f>
        <v>0</v>
      </c>
      <c r="D898" s="91">
        <f>IF(Verso!$B$32="",0,IF(Verso!$B$32=$A898,1,0))</f>
        <v>0</v>
      </c>
      <c r="E898" s="91">
        <f>IF(Verso!$B$33="",0,IF(Verso!$B$33=$A898,1,0))</f>
        <v>0</v>
      </c>
      <c r="F898" s="91">
        <f>IF(Verso!$B$34="",0,IF(Verso!$B$34=$A898,1,0))</f>
        <v>0</v>
      </c>
      <c r="G898" s="295">
        <f t="shared" si="24"/>
        <v>0</v>
      </c>
    </row>
    <row r="899" spans="1:7" x14ac:dyDescent="0.25">
      <c r="A899" s="531" t="str">
        <f>IF(Contexte_jeu="L'Empire Stellaire d'Emeraude","Stigmate: Rokugan Prime","Stigmate: Cité Impériale")</f>
        <v>Stigmate: Cité Impériale</v>
      </c>
      <c r="B899" s="91">
        <f>IF(Verso!$B$30="",0,IF(Verso!$B$30=$A899,1,0))</f>
        <v>0</v>
      </c>
      <c r="C899" s="91">
        <f>IF(Verso!$B$31="",0,IF(Verso!$B$31=$A899,1,0))</f>
        <v>0</v>
      </c>
      <c r="D899" s="91">
        <f>IF(Verso!$B$32="",0,IF(Verso!$B$32=$A899,1,0))</f>
        <v>0</v>
      </c>
      <c r="E899" s="91">
        <f>IF(Verso!$B$33="",0,IF(Verso!$B$33=$A899,1,0))</f>
        <v>0</v>
      </c>
      <c r="F899" s="91">
        <f>IF(Verso!$B$34="",0,IF(Verso!$B$34=$A899,1,0))</f>
        <v>0</v>
      </c>
      <c r="G899" s="295">
        <f t="shared" si="24"/>
        <v>0</v>
      </c>
    </row>
    <row r="900" spans="1:7" x14ac:dyDescent="0.25">
      <c r="A900" s="531" t="str">
        <f>IF(Contexte_jeu="L'Empire Stellaire d'Emeraude","Stigmate: Hida Prime","Stigmate: Clear Water")</f>
        <v>Stigmate: Clear Water</v>
      </c>
      <c r="B900" s="91">
        <f>IF(Verso!$B$30="",0,IF(Verso!$B$30=$A900,1,0))</f>
        <v>0</v>
      </c>
      <c r="C900" s="91">
        <f>IF(Verso!$B$31="",0,IF(Verso!$B$31=$A900,1,0))</f>
        <v>0</v>
      </c>
      <c r="D900" s="91">
        <f>IF(Verso!$B$32="",0,IF(Verso!$B$32=$A900,1,0))</f>
        <v>0</v>
      </c>
      <c r="E900" s="91">
        <f>IF(Verso!$B$33="",0,IF(Verso!$B$33=$A900,1,0))</f>
        <v>0</v>
      </c>
      <c r="F900" s="91">
        <f>IF(Verso!$B$34="",0,IF(Verso!$B$34=$A900,1,0))</f>
        <v>0</v>
      </c>
      <c r="G900" s="295">
        <f t="shared" si="24"/>
        <v>0</v>
      </c>
    </row>
    <row r="901" spans="1:7" x14ac:dyDescent="0.25">
      <c r="A901" s="531" t="str">
        <f>IF(Contexte_jeu="L'Empire Stellaire d'Emeraude","Stigmate: Ujimitsu","Stigmate: Nikesake")</f>
        <v>Stigmate: Nikesake</v>
      </c>
      <c r="B901" s="91">
        <f>IF(Verso!$B$30="",0,IF(Verso!$B$30=$A901,1,0))</f>
        <v>0</v>
      </c>
      <c r="C901" s="91">
        <f>IF(Verso!$B$31="",0,IF(Verso!$B$31=$A901,1,0))</f>
        <v>0</v>
      </c>
      <c r="D901" s="91">
        <f>IF(Verso!$B$32="",0,IF(Verso!$B$32=$A901,1,0))</f>
        <v>0</v>
      </c>
      <c r="E901" s="91">
        <f>IF(Verso!$B$33="",0,IF(Verso!$B$33=$A901,1,0))</f>
        <v>0</v>
      </c>
      <c r="F901" s="91">
        <f>IF(Verso!$B$34="",0,IF(Verso!$B$34=$A901,1,0))</f>
        <v>0</v>
      </c>
      <c r="G901" s="295">
        <f t="shared" si="24"/>
        <v>0</v>
      </c>
    </row>
    <row r="902" spans="1:7" x14ac:dyDescent="0.25">
      <c r="A902" s="531" t="str">
        <f>IF(Contexte_jeu="L'Empire Stellaire d'Emeraude","Stigmate: Dragon's Eye","Stigmate: Water Hammer City")</f>
        <v>Stigmate: Water Hammer City</v>
      </c>
      <c r="B902" s="91">
        <f>IF(Verso!$B$30="",0,IF(Verso!$B$30=$A902,1,0))</f>
        <v>0</v>
      </c>
      <c r="C902" s="91">
        <f>IF(Verso!$B$31="",0,IF(Verso!$B$31=$A902,1,0))</f>
        <v>0</v>
      </c>
      <c r="D902" s="91">
        <f>IF(Verso!$B$32="",0,IF(Verso!$B$32=$A902,1,0))</f>
        <v>0</v>
      </c>
      <c r="E902" s="91">
        <f>IF(Verso!$B$33="",0,IF(Verso!$B$33=$A902,1,0))</f>
        <v>0</v>
      </c>
      <c r="F902" s="91">
        <f>IF(Verso!$B$34="",0,IF(Verso!$B$34=$A902,1,0))</f>
        <v>0</v>
      </c>
      <c r="G902" s="295">
        <f t="shared" si="24"/>
        <v>0</v>
      </c>
    </row>
    <row r="903" spans="1:7" x14ac:dyDescent="0.25">
      <c r="A903" s="531" t="str">
        <f>IF(Contexte_jeu="L'Empire Stellaire d'Emeraude","Stigmate: World of Dreams","Stigmate: Zakyo Toshi")</f>
        <v>Stigmate: Zakyo Toshi</v>
      </c>
      <c r="B903" s="91">
        <f>IF(Verso!$B$30="",0,IF(Verso!$B$30=$A903,1,0))</f>
        <v>0</v>
      </c>
      <c r="C903" s="91">
        <f>IF(Verso!$B$31="",0,IF(Verso!$B$31=$A903,1,0))</f>
        <v>0</v>
      </c>
      <c r="D903" s="91">
        <f>IF(Verso!$B$32="",0,IF(Verso!$B$32=$A903,1,0))</f>
        <v>0</v>
      </c>
      <c r="E903" s="91">
        <f>IF(Verso!$B$33="",0,IF(Verso!$B$33=$A903,1,0))</f>
        <v>0</v>
      </c>
      <c r="F903" s="91">
        <f>IF(Verso!$B$34="",0,IF(Verso!$B$34=$A903,1,0))</f>
        <v>0</v>
      </c>
      <c r="G903" s="295">
        <f t="shared" si="24"/>
        <v>0</v>
      </c>
    </row>
    <row r="904" spans="1:7" x14ac:dyDescent="0.25">
      <c r="A904" s="531" t="str">
        <f>IF(Contexte_jeu="L'Empire Stellaire d'Emeraude","Survivant d'Hida Secundus","Survivant de la Cité Ruinée")</f>
        <v>Survivant de la Cité Ruinée</v>
      </c>
      <c r="B904" s="91">
        <f>IF(Verso!$B$30="",0,IF(Verso!$B$30=$A904,1,0))</f>
        <v>0</v>
      </c>
      <c r="C904" s="91">
        <f>IF(Verso!$B$31="",0,IF(Verso!$B$31=$A904,1,0))</f>
        <v>0</v>
      </c>
      <c r="D904" s="91">
        <f>IF(Verso!$B$32="",0,IF(Verso!$B$32=$A904,1,0))</f>
        <v>0</v>
      </c>
      <c r="E904" s="91">
        <f>IF(Verso!$B$33="",0,IF(Verso!$B$33=$A904,1,0))</f>
        <v>0</v>
      </c>
      <c r="F904" s="91">
        <f>IF(Verso!$B$34="",0,IF(Verso!$B$34=$A904,1,0))</f>
        <v>0</v>
      </c>
      <c r="G904" s="295">
        <f t="shared" si="24"/>
        <v>0</v>
      </c>
    </row>
    <row r="905" spans="1:7" x14ac:dyDescent="0.25">
      <c r="A905" s="531" t="s">
        <v>7599</v>
      </c>
      <c r="B905" s="91">
        <f>IF(Verso!$B$30="",0,IF(Verso!$B$30=$A905,1,0))</f>
        <v>0</v>
      </c>
      <c r="C905" s="91">
        <f>IF(Verso!$B$31="",0,IF(Verso!$B$31=$A905,1,0))</f>
        <v>0</v>
      </c>
      <c r="D905" s="91">
        <f>IF(Verso!$B$32="",0,IF(Verso!$B$32=$A905,1,0))</f>
        <v>0</v>
      </c>
      <c r="E905" s="91">
        <f>IF(Verso!$B$33="",0,IF(Verso!$B$33=$A905,1,0))</f>
        <v>0</v>
      </c>
      <c r="F905" s="91">
        <f>IF(Verso!$B$34="",0,IF(Verso!$B$34=$A905,1,0))</f>
        <v>0</v>
      </c>
      <c r="G905" s="295">
        <f t="shared" si="24"/>
        <v>0</v>
      </c>
    </row>
    <row r="906" spans="1:7" x14ac:dyDescent="0.25">
      <c r="A906" s="531" t="s">
        <v>7600</v>
      </c>
      <c r="B906" s="91">
        <f>IF(Verso!$B$30="",0,IF(Verso!$B$30=$A906,1,0))</f>
        <v>0</v>
      </c>
      <c r="C906" s="91">
        <f>IF(Verso!$B$31="",0,IF(Verso!$B$31=$A906,1,0))</f>
        <v>0</v>
      </c>
      <c r="D906" s="91">
        <f>IF(Verso!$B$32="",0,IF(Verso!$B$32=$A906,1,0))</f>
        <v>0</v>
      </c>
      <c r="E906" s="91">
        <f>IF(Verso!$B$33="",0,IF(Verso!$B$33=$A906,1,0))</f>
        <v>0</v>
      </c>
      <c r="F906" s="91">
        <f>IF(Verso!$B$34="",0,IF(Verso!$B$34=$A906,1,0))</f>
        <v>0</v>
      </c>
      <c r="G906" s="295">
        <f t="shared" si="24"/>
        <v>0</v>
      </c>
    </row>
    <row r="907" spans="1:7" x14ac:dyDescent="0.25">
      <c r="A907" s="531" t="s">
        <v>1050</v>
      </c>
      <c r="B907" s="91">
        <f>IF(Verso!$B$30="",0,IF(Verso!$B$30=$A907,1,0))</f>
        <v>0</v>
      </c>
      <c r="C907" s="91">
        <f>IF(Verso!$B$31="",0,IF(Verso!$B$31=$A907,1,0))</f>
        <v>0</v>
      </c>
      <c r="D907" s="91">
        <f>IF(Verso!$B$32="",0,IF(Verso!$B$32=$A907,1,0))</f>
        <v>0</v>
      </c>
      <c r="E907" s="91">
        <f>IF(Verso!$B$33="",0,IF(Verso!$B$33=$A907,1,0))</f>
        <v>0</v>
      </c>
      <c r="F907" s="91">
        <f>IF(Verso!$B$34="",0,IF(Verso!$B$34=$A907,1,0))</f>
        <v>0</v>
      </c>
      <c r="G907" s="295">
        <f t="shared" si="24"/>
        <v>0</v>
      </c>
    </row>
    <row r="908" spans="1:7" x14ac:dyDescent="0.25">
      <c r="A908" s="531" t="str">
        <f>IF(Contexte_jeu="L'Empire Stellaire d'Emeraude","Tribunaux de Rokugan Prime","Tribunaux de la Cité Impériale")</f>
        <v>Tribunaux de la Cité Impériale</v>
      </c>
      <c r="B908" s="91">
        <f>IF(Verso!$B$30="",0,IF(Verso!$B$30=$A908,1,0))</f>
        <v>0</v>
      </c>
      <c r="C908" s="91">
        <f>IF(Verso!$B$31="",0,IF(Verso!$B$31=$A908,1,0))</f>
        <v>0</v>
      </c>
      <c r="D908" s="91">
        <f>IF(Verso!$B$32="",0,IF(Verso!$B$32=$A908,1,0))</f>
        <v>0</v>
      </c>
      <c r="E908" s="91">
        <f>IF(Verso!$B$33="",0,IF(Verso!$B$33=$A908,1,0))</f>
        <v>0</v>
      </c>
      <c r="F908" s="91">
        <f>IF(Verso!$B$34="",0,IF(Verso!$B$34=$A908,1,0))</f>
        <v>0</v>
      </c>
      <c r="G908" s="295">
        <f t="shared" si="24"/>
        <v>0</v>
      </c>
    </row>
    <row r="909" spans="1:7" x14ac:dyDescent="0.25">
      <c r="A909" s="531" t="s">
        <v>1019</v>
      </c>
      <c r="B909" s="91">
        <f>IF(Verso!$B$30="",0,IF(Verso!$B$30=$A909,1,0))</f>
        <v>0</v>
      </c>
      <c r="C909" s="91">
        <f>IF(Verso!$B$31="",0,IF(Verso!$B$31=$A909,1,0))</f>
        <v>0</v>
      </c>
      <c r="D909" s="91">
        <f>IF(Verso!$B$32="",0,IF(Verso!$B$32=$A909,1,0))</f>
        <v>0</v>
      </c>
      <c r="E909" s="91">
        <f>IF(Verso!$B$33="",0,IF(Verso!$B$33=$A909,1,0))</f>
        <v>0</v>
      </c>
      <c r="F909" s="91">
        <f>IF(Verso!$B$34="",0,IF(Verso!$B$34=$A909,1,0))</f>
        <v>0</v>
      </c>
      <c r="G909" s="295">
        <f t="shared" si="24"/>
        <v>0</v>
      </c>
    </row>
    <row r="910" spans="1:7" x14ac:dyDescent="0.25">
      <c r="A910" s="531" t="s">
        <v>7603</v>
      </c>
      <c r="B910" s="91">
        <f>IF(Verso!$B$30="",0,IF(Verso!$B$30=$A910,1,0))</f>
        <v>0</v>
      </c>
      <c r="C910" s="91">
        <f>IF(Verso!$B$31="",0,IF(Verso!$B$31=$A910,1,0))</f>
        <v>0</v>
      </c>
      <c r="D910" s="91">
        <f>IF(Verso!$B$32="",0,IF(Verso!$B$32=$A910,1,0))</f>
        <v>0</v>
      </c>
      <c r="E910" s="91">
        <f>IF(Verso!$B$33="",0,IF(Verso!$B$33=$A910,1,0))</f>
        <v>0</v>
      </c>
      <c r="F910" s="91">
        <f>IF(Verso!$B$34="",0,IF(Verso!$B$34=$A910,1,0))</f>
        <v>0</v>
      </c>
      <c r="G910" s="295">
        <f t="shared" si="24"/>
        <v>0</v>
      </c>
    </row>
    <row r="911" spans="1:7" x14ac:dyDescent="0.25">
      <c r="A911" s="531" t="s">
        <v>7593</v>
      </c>
      <c r="B911" s="91">
        <f>IF(Verso!$B$30="",0,IF(Verso!$B$30=$A911,1,0))</f>
        <v>0</v>
      </c>
      <c r="C911" s="91">
        <f>IF(Verso!$B$31="",0,IF(Verso!$B$31=$A911,1,0))</f>
        <v>0</v>
      </c>
      <c r="D911" s="91">
        <f>IF(Verso!$B$32="",0,IF(Verso!$B$32=$A911,1,0))</f>
        <v>0</v>
      </c>
      <c r="E911" s="91">
        <f>IF(Verso!$B$33="",0,IF(Verso!$B$33=$A911,1,0))</f>
        <v>0</v>
      </c>
      <c r="F911" s="91">
        <f>IF(Verso!$B$34="",0,IF(Verso!$B$34=$A911,1,0))</f>
        <v>0</v>
      </c>
      <c r="G911" s="295">
        <f t="shared" si="24"/>
        <v>0</v>
      </c>
    </row>
    <row r="912" spans="1:7" x14ac:dyDescent="0.25">
      <c r="A912" s="533" t="s">
        <v>7594</v>
      </c>
      <c r="B912" s="297">
        <f>IF(Verso!$B$30="",0,IF(Verso!$B$30=$A912,1,0))</f>
        <v>0</v>
      </c>
      <c r="C912" s="297">
        <f>IF(Verso!$B$31="",0,IF(Verso!$B$31=$A912,1,0))</f>
        <v>0</v>
      </c>
      <c r="D912" s="297">
        <f>IF(Verso!$B$32="",0,IF(Verso!$B$32=$A912,1,0))</f>
        <v>0</v>
      </c>
      <c r="E912" s="297">
        <f>IF(Verso!$B$33="",0,IF(Verso!$B$33=$A912,1,0))</f>
        <v>0</v>
      </c>
      <c r="F912" s="297">
        <f>IF(Verso!$B$34="",0,IF(Verso!$B$34=$A912,1,0))</f>
        <v>0</v>
      </c>
      <c r="G912" s="298">
        <f t="shared" si="24"/>
        <v>0</v>
      </c>
    </row>
  </sheetData>
  <sortState xmlns:xlrd2="http://schemas.microsoft.com/office/spreadsheetml/2017/richdata2" ref="A305:A359">
    <sortCondition ref="A359"/>
  </sortState>
  <mergeCells count="5">
    <mergeCell ref="D1:D5"/>
    <mergeCell ref="E1:E5"/>
    <mergeCell ref="A17:B17"/>
    <mergeCell ref="A364:B364"/>
    <mergeCell ref="Q364:R36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Q479"/>
  <sheetViews>
    <sheetView zoomScale="85" zoomScaleNormal="85" workbookViewId="0"/>
  </sheetViews>
  <sheetFormatPr baseColWidth="10" defaultRowHeight="13.2" x14ac:dyDescent="0.25"/>
  <cols>
    <col min="1" max="1" width="1" style="224" customWidth="1"/>
    <col min="2" max="2" width="6.33203125" customWidth="1"/>
    <col min="3" max="3" width="15.44140625" customWidth="1"/>
    <col min="4" max="4" width="8.109375" customWidth="1"/>
    <col min="5" max="5" width="6.6640625" customWidth="1"/>
    <col min="6" max="6" width="7.33203125" customWidth="1"/>
    <col min="7" max="8" width="3.33203125" customWidth="1"/>
    <col min="9" max="9" width="6.109375" customWidth="1"/>
    <col min="10" max="10" width="7.88671875" style="172" customWidth="1"/>
    <col min="11" max="11" width="8.109375" style="175" customWidth="1"/>
    <col min="12" max="12" width="15" style="172" customWidth="1"/>
    <col min="15" max="15" width="20.109375" customWidth="1"/>
    <col min="16" max="16" width="10.109375" customWidth="1"/>
    <col min="17" max="17" width="5.6640625" customWidth="1"/>
    <col min="18" max="18" width="1" customWidth="1"/>
  </cols>
  <sheetData>
    <row r="1" spans="1:17" ht="16.2" thickBot="1" x14ac:dyDescent="0.35">
      <c r="B1" s="43" t="s">
        <v>5055</v>
      </c>
      <c r="C1" s="43"/>
      <c r="D1" s="43"/>
      <c r="E1" s="43"/>
      <c r="F1" s="43"/>
      <c r="G1" s="43"/>
      <c r="H1" s="43"/>
      <c r="Q1" s="95"/>
    </row>
    <row r="2" spans="1:17" ht="31.2" thickTop="1" x14ac:dyDescent="0.25">
      <c r="B2" s="100" t="s">
        <v>57</v>
      </c>
      <c r="C2" s="220" t="s">
        <v>379</v>
      </c>
      <c r="D2" s="104" t="s">
        <v>380</v>
      </c>
      <c r="E2" s="97" t="s">
        <v>2069</v>
      </c>
      <c r="F2" s="100" t="s">
        <v>381</v>
      </c>
      <c r="G2" s="104" t="s">
        <v>2066</v>
      </c>
      <c r="H2" s="104" t="s">
        <v>4092</v>
      </c>
      <c r="I2" s="104" t="s">
        <v>3873</v>
      </c>
      <c r="J2" s="218" t="s">
        <v>4700</v>
      </c>
      <c r="K2" s="100" t="s">
        <v>3874</v>
      </c>
      <c r="L2" s="177" t="s">
        <v>4206</v>
      </c>
      <c r="M2" s="787" t="s">
        <v>2063</v>
      </c>
      <c r="N2" s="788"/>
      <c r="O2" s="788"/>
      <c r="P2" s="97" t="s">
        <v>0</v>
      </c>
      <c r="Q2" s="514" t="s">
        <v>1</v>
      </c>
    </row>
    <row r="3" spans="1:17" ht="30" customHeight="1" x14ac:dyDescent="0.25">
      <c r="A3" s="224">
        <f>IF(B3="Bâton",1,IF(B3="D. d'Âme",2,IF(B3="Kata",3,IF(B3="Kiho",4,IF(B3="Maho",5,IF(B3="Noms",6,IF(B3="Perles",7,IF(B3="Sort",8,0))))))))</f>
        <v>0</v>
      </c>
      <c r="B3" s="178"/>
      <c r="C3" s="178"/>
      <c r="D3" s="107" t="str">
        <f>IF(C3="","",VLOOKUP(C3,'Sorts, Kihos, Katas, Bâtons'!A:M,2,FALSE))</f>
        <v/>
      </c>
      <c r="E3" s="101" t="str">
        <f>IF(C3="","",VLOOKUP(C3,'Sorts, Kihos, Katas, Bâtons'!A:M,3,FALSE))</f>
        <v/>
      </c>
      <c r="F3" s="102" t="str">
        <f>IF(C3="","",VLOOKUP(C3,'Sorts, Kihos, Katas, Bâtons'!A:M,5,FALSE))</f>
        <v/>
      </c>
      <c r="G3" s="102" t="str">
        <f>IF(C3="","",VLOOKUP(C3,'Sorts, Kihos, Katas, Bâtons'!$A:$M,6,FALSE))</f>
        <v/>
      </c>
      <c r="H3" s="179" t="str">
        <f>IF($C3="","",VLOOKUP($C3,'Sorts, Kihos, Katas, Bâtons'!$A:$M,7,FALSE))</f>
        <v/>
      </c>
      <c r="I3" s="107" t="str">
        <f>IF($C3="","",VLOOKUP($C3,'Sorts, Kihos, Katas, Bâtons'!$A:$M,8,FALSE))</f>
        <v/>
      </c>
      <c r="J3" s="107" t="str">
        <f>IF($C3="","",VLOOKUP($C3,'Sorts, Kihos, Katas, Bâtons'!$A:$M,9,FALSE))</f>
        <v/>
      </c>
      <c r="K3" s="137" t="str">
        <f>IF($C3="","",VLOOKUP($C3,'Sorts, Kihos, Katas, Bâtons'!$A:$M,10,FALSE))</f>
        <v/>
      </c>
      <c r="L3" s="107" t="str">
        <f>IF($C3="","",VLOOKUP($C3,'Sorts, Kihos, Katas, Bâtons'!A:M,11,FALSE))</f>
        <v/>
      </c>
      <c r="M3" s="794" t="str">
        <f>IF($C3="","",VLOOKUP($C3,'Sorts, Kihos, Katas, Bâtons'!$A:$N,14,FALSE))</f>
        <v/>
      </c>
      <c r="N3" s="795"/>
      <c r="O3" s="795"/>
      <c r="P3" s="161" t="str">
        <f>IF($C3="","",VLOOKUP($C3,'Sorts, Kihos, Katas, Bâtons'!A:M,12,FALSE))</f>
        <v/>
      </c>
      <c r="Q3" s="138" t="str">
        <f>IF($C3="","",VLOOKUP($C3,'Sorts, Kihos, Katas, Bâtons'!$A:$N,13,FALSE))</f>
        <v/>
      </c>
    </row>
    <row r="4" spans="1:17" ht="30" customHeight="1" x14ac:dyDescent="0.25">
      <c r="A4" s="224">
        <f t="shared" ref="A4:A19" si="0">IF(B4="Bâton",1,IF(B4="D. d'Âme",2,IF(B4="Kata",3,IF(B4="Kiho",4,IF(B4="Maho",5,IF(B4="Noms",6,IF(B4="Perles",7,IF(B4="Sort",8,0))))))))</f>
        <v>0</v>
      </c>
      <c r="B4" s="178"/>
      <c r="C4" s="178"/>
      <c r="D4" s="107" t="str">
        <f>IF(C4="","",VLOOKUP(C4,'Sorts, Kihos, Katas, Bâtons'!A:M,2,FALSE))</f>
        <v/>
      </c>
      <c r="E4" s="101" t="str">
        <f>IF(C4="","",VLOOKUP(C4,'Sorts, Kihos, Katas, Bâtons'!A:M,3,FALSE))</f>
        <v/>
      </c>
      <c r="F4" s="102" t="str">
        <f>IF(C4="","",VLOOKUP(C4,'Sorts, Kihos, Katas, Bâtons'!A:M,5,FALSE))</f>
        <v/>
      </c>
      <c r="G4" s="102" t="str">
        <f>IF(C4="","",VLOOKUP(C4,'Sorts, Kihos, Katas, Bâtons'!$A:$M,6,FALSE))</f>
        <v/>
      </c>
      <c r="H4" s="179" t="str">
        <f>IF($C4="","",VLOOKUP($C4,'Sorts, Kihos, Katas, Bâtons'!$A:$M,7,FALSE))</f>
        <v/>
      </c>
      <c r="I4" s="107" t="str">
        <f>IF($C4="","",VLOOKUP($C4,'Sorts, Kihos, Katas, Bâtons'!$A:$M,8,FALSE))</f>
        <v/>
      </c>
      <c r="J4" s="107" t="str">
        <f>IF($C4="","",VLOOKUP($C4,'Sorts, Kihos, Katas, Bâtons'!$A:$M,9,FALSE))</f>
        <v/>
      </c>
      <c r="K4" s="137" t="str">
        <f>IF($C4="","",VLOOKUP($C4,'Sorts, Kihos, Katas, Bâtons'!$A:$M,10,FALSE))</f>
        <v/>
      </c>
      <c r="L4" s="107" t="str">
        <f>IF($C4="","",VLOOKUP($C4,'Sorts, Kihos, Katas, Bâtons'!A:M,11,FALSE))</f>
        <v/>
      </c>
      <c r="M4" s="794" t="str">
        <f>IF($C4="","",VLOOKUP($C4,'Sorts, Kihos, Katas, Bâtons'!$A:$N,14,FALSE))</f>
        <v/>
      </c>
      <c r="N4" s="795"/>
      <c r="O4" s="795"/>
      <c r="P4" s="161" t="str">
        <f>IF($C4="","",VLOOKUP($C4,'Sorts, Kihos, Katas, Bâtons'!A:M,12,FALSE))</f>
        <v/>
      </c>
      <c r="Q4" s="138" t="str">
        <f>IF($C4="","",VLOOKUP($C4,'Sorts, Kihos, Katas, Bâtons'!$A:$N,13,FALSE))</f>
        <v/>
      </c>
    </row>
    <row r="5" spans="1:17" ht="30" customHeight="1" x14ac:dyDescent="0.25">
      <c r="A5" s="224">
        <f t="shared" si="0"/>
        <v>0</v>
      </c>
      <c r="B5" s="178"/>
      <c r="C5" s="178"/>
      <c r="D5" s="107" t="str">
        <f>IF(C5="","",VLOOKUP(C5,'Sorts, Kihos, Katas, Bâtons'!A:M,2,FALSE))</f>
        <v/>
      </c>
      <c r="E5" s="101" t="str">
        <f>IF(C5="","",VLOOKUP(C5,'Sorts, Kihos, Katas, Bâtons'!A:M,3,FALSE))</f>
        <v/>
      </c>
      <c r="F5" s="102" t="str">
        <f>IF(C5="","",VLOOKUP(C5,'Sorts, Kihos, Katas, Bâtons'!A:M,5,FALSE))</f>
        <v/>
      </c>
      <c r="G5" s="102" t="str">
        <f>IF(C5="","",VLOOKUP(C5,'Sorts, Kihos, Katas, Bâtons'!$A:$M,6,FALSE))</f>
        <v/>
      </c>
      <c r="H5" s="179" t="str">
        <f>IF($C5="","",VLOOKUP($C5,'Sorts, Kihos, Katas, Bâtons'!$A:$M,7,FALSE))</f>
        <v/>
      </c>
      <c r="I5" s="107" t="str">
        <f>IF($C5="","",VLOOKUP($C5,'Sorts, Kihos, Katas, Bâtons'!$A:$M,8,FALSE))</f>
        <v/>
      </c>
      <c r="J5" s="107" t="str">
        <f>IF($C5="","",VLOOKUP($C5,'Sorts, Kihos, Katas, Bâtons'!$A:$M,9,FALSE))</f>
        <v/>
      </c>
      <c r="K5" s="137" t="str">
        <f>IF($C5="","",VLOOKUP($C5,'Sorts, Kihos, Katas, Bâtons'!$A:$M,10,FALSE))</f>
        <v/>
      </c>
      <c r="L5" s="107" t="str">
        <f>IF($C5="","",VLOOKUP($C5,'Sorts, Kihos, Katas, Bâtons'!A:M,11,FALSE))</f>
        <v/>
      </c>
      <c r="M5" s="794" t="str">
        <f>IF($C5="","",VLOOKUP($C5,'Sorts, Kihos, Katas, Bâtons'!$A:$N,14,FALSE))</f>
        <v/>
      </c>
      <c r="N5" s="795"/>
      <c r="O5" s="795"/>
      <c r="P5" s="161" t="str">
        <f>IF($C5="","",VLOOKUP($C5,'Sorts, Kihos, Katas, Bâtons'!A:M,12,FALSE))</f>
        <v/>
      </c>
      <c r="Q5" s="138" t="str">
        <f>IF($C5="","",VLOOKUP($C5,'Sorts, Kihos, Katas, Bâtons'!$A:$N,13,FALSE))</f>
        <v/>
      </c>
    </row>
    <row r="6" spans="1:17" ht="30" customHeight="1" x14ac:dyDescent="0.25">
      <c r="A6" s="224">
        <f t="shared" si="0"/>
        <v>0</v>
      </c>
      <c r="B6" s="178"/>
      <c r="C6" s="178"/>
      <c r="D6" s="107" t="str">
        <f>IF(C6="","",VLOOKUP(C6,'Sorts, Kihos, Katas, Bâtons'!A:M,2,FALSE))</f>
        <v/>
      </c>
      <c r="E6" s="101" t="str">
        <f>IF(C6="","",VLOOKUP(C6,'Sorts, Kihos, Katas, Bâtons'!A:M,3,FALSE))</f>
        <v/>
      </c>
      <c r="F6" s="102" t="str">
        <f>IF(C6="","",VLOOKUP(C6,'Sorts, Kihos, Katas, Bâtons'!A:M,5,FALSE))</f>
        <v/>
      </c>
      <c r="G6" s="102" t="str">
        <f>IF(C6="","",VLOOKUP(C6,'Sorts, Kihos, Katas, Bâtons'!$A:$M,6,FALSE))</f>
        <v/>
      </c>
      <c r="H6" s="179" t="str">
        <f>IF($C6="","",VLOOKUP($C6,'Sorts, Kihos, Katas, Bâtons'!$A:$M,7,FALSE))</f>
        <v/>
      </c>
      <c r="I6" s="107" t="str">
        <f>IF($C6="","",VLOOKUP($C6,'Sorts, Kihos, Katas, Bâtons'!$A:$M,8,FALSE))</f>
        <v/>
      </c>
      <c r="J6" s="107" t="str">
        <f>IF($C6="","",VLOOKUP($C6,'Sorts, Kihos, Katas, Bâtons'!$A:$M,9,FALSE))</f>
        <v/>
      </c>
      <c r="K6" s="137" t="str">
        <f>IF($C6="","",VLOOKUP($C6,'Sorts, Kihos, Katas, Bâtons'!$A:$M,10,FALSE))</f>
        <v/>
      </c>
      <c r="L6" s="107" t="str">
        <f>IF($C6="","",VLOOKUP($C6,'Sorts, Kihos, Katas, Bâtons'!A:M,11,FALSE))</f>
        <v/>
      </c>
      <c r="M6" s="794" t="str">
        <f>IF($C6="","",VLOOKUP($C6,'Sorts, Kihos, Katas, Bâtons'!$A:$N,14,FALSE))</f>
        <v/>
      </c>
      <c r="N6" s="795"/>
      <c r="O6" s="795"/>
      <c r="P6" s="161" t="str">
        <f>IF($C6="","",VLOOKUP($C6,'Sorts, Kihos, Katas, Bâtons'!A:M,12,FALSE))</f>
        <v/>
      </c>
      <c r="Q6" s="138" t="str">
        <f>IF($C6="","",VLOOKUP($C6,'Sorts, Kihos, Katas, Bâtons'!$A:$N,13,FALSE))</f>
        <v/>
      </c>
    </row>
    <row r="7" spans="1:17" ht="30" customHeight="1" x14ac:dyDescent="0.25">
      <c r="A7" s="224">
        <f t="shared" si="0"/>
        <v>0</v>
      </c>
      <c r="B7" s="178"/>
      <c r="C7" s="178"/>
      <c r="D7" s="107" t="str">
        <f>IF(C7="","",VLOOKUP(C7,'Sorts, Kihos, Katas, Bâtons'!A:M,2,FALSE))</f>
        <v/>
      </c>
      <c r="E7" s="101" t="str">
        <f>IF(C7="","",VLOOKUP(C7,'Sorts, Kihos, Katas, Bâtons'!A:M,3,FALSE))</f>
        <v/>
      </c>
      <c r="F7" s="102" t="str">
        <f>IF(C7="","",VLOOKUP(C7,'Sorts, Kihos, Katas, Bâtons'!A:M,5,FALSE))</f>
        <v/>
      </c>
      <c r="G7" s="102" t="str">
        <f>IF(C7="","",VLOOKUP(C7,'Sorts, Kihos, Katas, Bâtons'!$A:$M,6,FALSE))</f>
        <v/>
      </c>
      <c r="H7" s="179" t="str">
        <f>IF($C7="","",VLOOKUP($C7,'Sorts, Kihos, Katas, Bâtons'!$A:$M,7,FALSE))</f>
        <v/>
      </c>
      <c r="I7" s="107" t="str">
        <f>IF($C7="","",VLOOKUP($C7,'Sorts, Kihos, Katas, Bâtons'!$A:$M,8,FALSE))</f>
        <v/>
      </c>
      <c r="J7" s="107" t="str">
        <f>IF($C7="","",VLOOKUP($C7,'Sorts, Kihos, Katas, Bâtons'!$A:$M,9,FALSE))</f>
        <v/>
      </c>
      <c r="K7" s="137" t="str">
        <f>IF($C7="","",VLOOKUP($C7,'Sorts, Kihos, Katas, Bâtons'!$A:$M,10,FALSE))</f>
        <v/>
      </c>
      <c r="L7" s="107" t="str">
        <f>IF($C7="","",VLOOKUP($C7,'Sorts, Kihos, Katas, Bâtons'!A:M,11,FALSE))</f>
        <v/>
      </c>
      <c r="M7" s="794" t="str">
        <f>IF($C7="","",VLOOKUP($C7,'Sorts, Kihos, Katas, Bâtons'!$A:$N,14,FALSE))</f>
        <v/>
      </c>
      <c r="N7" s="795"/>
      <c r="O7" s="795"/>
      <c r="P7" s="161" t="str">
        <f>IF($C7="","",VLOOKUP($C7,'Sorts, Kihos, Katas, Bâtons'!A:M,12,FALSE))</f>
        <v/>
      </c>
      <c r="Q7" s="138" t="str">
        <f>IF($C7="","",VLOOKUP($C7,'Sorts, Kihos, Katas, Bâtons'!$A:$N,13,FALSE))</f>
        <v/>
      </c>
    </row>
    <row r="8" spans="1:17" ht="30" customHeight="1" x14ac:dyDescent="0.25">
      <c r="A8" s="224">
        <f t="shared" si="0"/>
        <v>0</v>
      </c>
      <c r="B8" s="178"/>
      <c r="C8" s="178"/>
      <c r="D8" s="107" t="str">
        <f>IF(C8="","",VLOOKUP(C8,'Sorts, Kihos, Katas, Bâtons'!A:M,2,FALSE))</f>
        <v/>
      </c>
      <c r="E8" s="101" t="str">
        <f>IF(C8="","",VLOOKUP(C8,'Sorts, Kihos, Katas, Bâtons'!A:M,3,FALSE))</f>
        <v/>
      </c>
      <c r="F8" s="102" t="str">
        <f>IF(C8="","",VLOOKUP(C8,'Sorts, Kihos, Katas, Bâtons'!A:M,5,FALSE))</f>
        <v/>
      </c>
      <c r="G8" s="102" t="str">
        <f>IF(C8="","",VLOOKUP(C8,'Sorts, Kihos, Katas, Bâtons'!$A:$M,6,FALSE))</f>
        <v/>
      </c>
      <c r="H8" s="179" t="str">
        <f>IF($C8="","",VLOOKUP($C8,'Sorts, Kihos, Katas, Bâtons'!$A:$M,7,FALSE))</f>
        <v/>
      </c>
      <c r="I8" s="107" t="str">
        <f>IF($C8="","",VLOOKUP($C8,'Sorts, Kihos, Katas, Bâtons'!$A:$M,8,FALSE))</f>
        <v/>
      </c>
      <c r="J8" s="107" t="str">
        <f>IF($C8="","",VLOOKUP($C8,'Sorts, Kihos, Katas, Bâtons'!$A:$M,9,FALSE))</f>
        <v/>
      </c>
      <c r="K8" s="137" t="str">
        <f>IF($C8="","",VLOOKUP($C8,'Sorts, Kihos, Katas, Bâtons'!$A:$M,10,FALSE))</f>
        <v/>
      </c>
      <c r="L8" s="107" t="str">
        <f>IF($C8="","",VLOOKUP($C8,'Sorts, Kihos, Katas, Bâtons'!A:M,11,FALSE))</f>
        <v/>
      </c>
      <c r="M8" s="794" t="str">
        <f>IF($C8="","",VLOOKUP($C8,'Sorts, Kihos, Katas, Bâtons'!$A:$N,14,FALSE))</f>
        <v/>
      </c>
      <c r="N8" s="795"/>
      <c r="O8" s="795"/>
      <c r="P8" s="161" t="str">
        <f>IF($C8="","",VLOOKUP($C8,'Sorts, Kihos, Katas, Bâtons'!A:M,12,FALSE))</f>
        <v/>
      </c>
      <c r="Q8" s="138" t="str">
        <f>IF($C8="","",VLOOKUP($C8,'Sorts, Kihos, Katas, Bâtons'!$A:$N,13,FALSE))</f>
        <v/>
      </c>
    </row>
    <row r="9" spans="1:17" ht="30" customHeight="1" x14ac:dyDescent="0.25">
      <c r="A9" s="224">
        <f t="shared" si="0"/>
        <v>0</v>
      </c>
      <c r="B9" s="178"/>
      <c r="C9" s="178"/>
      <c r="D9" s="107" t="str">
        <f>IF(C9="","",VLOOKUP(C9,'Sorts, Kihos, Katas, Bâtons'!A:M,2,FALSE))</f>
        <v/>
      </c>
      <c r="E9" s="101" t="str">
        <f>IF(C9="","",VLOOKUP(C9,'Sorts, Kihos, Katas, Bâtons'!A:M,3,FALSE))</f>
        <v/>
      </c>
      <c r="F9" s="102" t="str">
        <f>IF(C9="","",VLOOKUP(C9,'Sorts, Kihos, Katas, Bâtons'!A:M,5,FALSE))</f>
        <v/>
      </c>
      <c r="G9" s="102" t="str">
        <f>IF(C9="","",VLOOKUP(C9,'Sorts, Kihos, Katas, Bâtons'!$A:$M,6,FALSE))</f>
        <v/>
      </c>
      <c r="H9" s="179" t="str">
        <f>IF($C9="","",VLOOKUP($C9,'Sorts, Kihos, Katas, Bâtons'!$A:$M,7,FALSE))</f>
        <v/>
      </c>
      <c r="I9" s="107" t="str">
        <f>IF($C9="","",VLOOKUP($C9,'Sorts, Kihos, Katas, Bâtons'!$A:$M,8,FALSE))</f>
        <v/>
      </c>
      <c r="J9" s="107" t="str">
        <f>IF($C9="","",VLOOKUP($C9,'Sorts, Kihos, Katas, Bâtons'!$A:$M,9,FALSE))</f>
        <v/>
      </c>
      <c r="K9" s="137" t="str">
        <f>IF($C9="","",VLOOKUP($C9,'Sorts, Kihos, Katas, Bâtons'!$A:$M,10,FALSE))</f>
        <v/>
      </c>
      <c r="L9" s="107" t="str">
        <f>IF($C9="","",VLOOKUP($C9,'Sorts, Kihos, Katas, Bâtons'!A:M,11,FALSE))</f>
        <v/>
      </c>
      <c r="M9" s="794" t="str">
        <f>IF($C9="","",VLOOKUP($C9,'Sorts, Kihos, Katas, Bâtons'!$A:$N,14,FALSE))</f>
        <v/>
      </c>
      <c r="N9" s="795"/>
      <c r="O9" s="795"/>
      <c r="P9" s="161" t="str">
        <f>IF($C9="","",VLOOKUP($C9,'Sorts, Kihos, Katas, Bâtons'!A:M,12,FALSE))</f>
        <v/>
      </c>
      <c r="Q9" s="138" t="str">
        <f>IF($C9="","",VLOOKUP($C9,'Sorts, Kihos, Katas, Bâtons'!$A:$N,13,FALSE))</f>
        <v/>
      </c>
    </row>
    <row r="10" spans="1:17" ht="30" customHeight="1" x14ac:dyDescent="0.25">
      <c r="A10" s="224">
        <f t="shared" si="0"/>
        <v>0</v>
      </c>
      <c r="B10" s="178"/>
      <c r="C10" s="178"/>
      <c r="D10" s="107" t="str">
        <f>IF(C10="","",VLOOKUP(C10,'Sorts, Kihos, Katas, Bâtons'!A:M,2,FALSE))</f>
        <v/>
      </c>
      <c r="E10" s="101" t="str">
        <f>IF(C10="","",VLOOKUP(C10,'Sorts, Kihos, Katas, Bâtons'!A:M,3,FALSE))</f>
        <v/>
      </c>
      <c r="F10" s="102" t="str">
        <f>IF(C10="","",VLOOKUP(C10,'Sorts, Kihos, Katas, Bâtons'!A:M,5,FALSE))</f>
        <v/>
      </c>
      <c r="G10" s="102" t="str">
        <f>IF(C10="","",VLOOKUP(C10,'Sorts, Kihos, Katas, Bâtons'!$A:$M,6,FALSE))</f>
        <v/>
      </c>
      <c r="H10" s="179" t="str">
        <f>IF($C10="","",VLOOKUP($C10,'Sorts, Kihos, Katas, Bâtons'!$A:$M,7,FALSE))</f>
        <v/>
      </c>
      <c r="I10" s="107" t="str">
        <f>IF($C10="","",VLOOKUP($C10,'Sorts, Kihos, Katas, Bâtons'!$A:$M,8,FALSE))</f>
        <v/>
      </c>
      <c r="J10" s="107" t="str">
        <f>IF($C10="","",VLOOKUP($C10,'Sorts, Kihos, Katas, Bâtons'!$A:$M,9,FALSE))</f>
        <v/>
      </c>
      <c r="K10" s="137" t="str">
        <f>IF($C10="","",VLOOKUP($C10,'Sorts, Kihos, Katas, Bâtons'!$A:$M,10,FALSE))</f>
        <v/>
      </c>
      <c r="L10" s="107" t="str">
        <f>IF($C10="","",VLOOKUP($C10,'Sorts, Kihos, Katas, Bâtons'!A:M,11,FALSE))</f>
        <v/>
      </c>
      <c r="M10" s="794" t="str">
        <f>IF($C10="","",VLOOKUP($C10,'Sorts, Kihos, Katas, Bâtons'!$A:$N,14,FALSE))</f>
        <v/>
      </c>
      <c r="N10" s="795"/>
      <c r="O10" s="795"/>
      <c r="P10" s="161" t="str">
        <f>IF($C10="","",VLOOKUP($C10,'Sorts, Kihos, Katas, Bâtons'!A:M,12,FALSE))</f>
        <v/>
      </c>
      <c r="Q10" s="138" t="str">
        <f>IF($C10="","",VLOOKUP($C10,'Sorts, Kihos, Katas, Bâtons'!$A:$N,13,FALSE))</f>
        <v/>
      </c>
    </row>
    <row r="11" spans="1:17" ht="30" customHeight="1" x14ac:dyDescent="0.25">
      <c r="A11" s="224">
        <f t="shared" si="0"/>
        <v>0</v>
      </c>
      <c r="B11" s="178"/>
      <c r="C11" s="178"/>
      <c r="D11" s="107" t="str">
        <f>IF(C11="","",VLOOKUP(C11,'Sorts, Kihos, Katas, Bâtons'!A:M,2,FALSE))</f>
        <v/>
      </c>
      <c r="E11" s="101" t="str">
        <f>IF(C11="","",VLOOKUP(C11,'Sorts, Kihos, Katas, Bâtons'!A:M,3,FALSE))</f>
        <v/>
      </c>
      <c r="F11" s="102" t="str">
        <f>IF(C11="","",VLOOKUP(C11,'Sorts, Kihos, Katas, Bâtons'!A:M,5,FALSE))</f>
        <v/>
      </c>
      <c r="G11" s="102" t="str">
        <f>IF(C11="","",VLOOKUP(C11,'Sorts, Kihos, Katas, Bâtons'!$A:$M,6,FALSE))</f>
        <v/>
      </c>
      <c r="H11" s="179" t="str">
        <f>IF($C11="","",VLOOKUP($C11,'Sorts, Kihos, Katas, Bâtons'!$A:$M,7,FALSE))</f>
        <v/>
      </c>
      <c r="I11" s="107" t="str">
        <f>IF($C11="","",VLOOKUP($C11,'Sorts, Kihos, Katas, Bâtons'!$A:$M,8,FALSE))</f>
        <v/>
      </c>
      <c r="J11" s="107" t="str">
        <f>IF($C11="","",VLOOKUP($C11,'Sorts, Kihos, Katas, Bâtons'!$A:$M,9,FALSE))</f>
        <v/>
      </c>
      <c r="K11" s="137" t="str">
        <f>IF($C11="","",VLOOKUP($C11,'Sorts, Kihos, Katas, Bâtons'!$A:$M,10,FALSE))</f>
        <v/>
      </c>
      <c r="L11" s="107" t="str">
        <f>IF($C11="","",VLOOKUP($C11,'Sorts, Kihos, Katas, Bâtons'!A:M,11,FALSE))</f>
        <v/>
      </c>
      <c r="M11" s="794" t="str">
        <f>IF($C11="","",VLOOKUP($C11,'Sorts, Kihos, Katas, Bâtons'!$A:$N,14,FALSE))</f>
        <v/>
      </c>
      <c r="N11" s="795"/>
      <c r="O11" s="795"/>
      <c r="P11" s="161" t="str">
        <f>IF($C11="","",VLOOKUP($C11,'Sorts, Kihos, Katas, Bâtons'!A:M,12,FALSE))</f>
        <v/>
      </c>
      <c r="Q11" s="138" t="str">
        <f>IF($C11="","",VLOOKUP($C11,'Sorts, Kihos, Katas, Bâtons'!$A:$N,13,FALSE))</f>
        <v/>
      </c>
    </row>
    <row r="12" spans="1:17" ht="30" customHeight="1" x14ac:dyDescent="0.25">
      <c r="A12" s="224">
        <f t="shared" si="0"/>
        <v>0</v>
      </c>
      <c r="B12" s="178"/>
      <c r="C12" s="178"/>
      <c r="D12" s="107" t="str">
        <f>IF(C12="","",VLOOKUP(C12,'Sorts, Kihos, Katas, Bâtons'!A:M,2,FALSE))</f>
        <v/>
      </c>
      <c r="E12" s="101" t="str">
        <f>IF(C12="","",VLOOKUP(C12,'Sorts, Kihos, Katas, Bâtons'!A:M,3,FALSE))</f>
        <v/>
      </c>
      <c r="F12" s="102" t="str">
        <f>IF(C12="","",VLOOKUP(C12,'Sorts, Kihos, Katas, Bâtons'!A:M,5,FALSE))</f>
        <v/>
      </c>
      <c r="G12" s="102" t="str">
        <f>IF(C12="","",VLOOKUP(C12,'Sorts, Kihos, Katas, Bâtons'!$A:$M,6,FALSE))</f>
        <v/>
      </c>
      <c r="H12" s="179" t="str">
        <f>IF($C12="","",VLOOKUP($C12,'Sorts, Kihos, Katas, Bâtons'!$A:$M,7,FALSE))</f>
        <v/>
      </c>
      <c r="I12" s="107" t="str">
        <f>IF($C12="","",VLOOKUP($C12,'Sorts, Kihos, Katas, Bâtons'!$A:$M,8,FALSE))</f>
        <v/>
      </c>
      <c r="J12" s="107" t="str">
        <f>IF($C12="","",VLOOKUP($C12,'Sorts, Kihos, Katas, Bâtons'!$A:$M,9,FALSE))</f>
        <v/>
      </c>
      <c r="K12" s="137" t="str">
        <f>IF($C12="","",VLOOKUP($C12,'Sorts, Kihos, Katas, Bâtons'!$A:$M,10,FALSE))</f>
        <v/>
      </c>
      <c r="L12" s="107" t="str">
        <f>IF($C12="","",VLOOKUP($C12,'Sorts, Kihos, Katas, Bâtons'!A:M,11,FALSE))</f>
        <v/>
      </c>
      <c r="M12" s="794" t="str">
        <f>IF($C12="","",VLOOKUP($C12,'Sorts, Kihos, Katas, Bâtons'!$A:$N,14,FALSE))</f>
        <v/>
      </c>
      <c r="N12" s="795"/>
      <c r="O12" s="795"/>
      <c r="P12" s="161" t="str">
        <f>IF($C12="","",VLOOKUP($C12,'Sorts, Kihos, Katas, Bâtons'!A:M,12,FALSE))</f>
        <v/>
      </c>
      <c r="Q12" s="138" t="str">
        <f>IF($C12="","",VLOOKUP($C12,'Sorts, Kihos, Katas, Bâtons'!$A:$N,13,FALSE))</f>
        <v/>
      </c>
    </row>
    <row r="13" spans="1:17" ht="30" customHeight="1" x14ac:dyDescent="0.25">
      <c r="A13" s="224">
        <f t="shared" si="0"/>
        <v>0</v>
      </c>
      <c r="B13" s="178"/>
      <c r="C13" s="178"/>
      <c r="D13" s="107" t="str">
        <f>IF(C13="","",VLOOKUP(C13,'Sorts, Kihos, Katas, Bâtons'!A:M,2,FALSE))</f>
        <v/>
      </c>
      <c r="E13" s="101" t="str">
        <f>IF(C13="","",VLOOKUP(C13,'Sorts, Kihos, Katas, Bâtons'!A:M,3,FALSE))</f>
        <v/>
      </c>
      <c r="F13" s="102" t="str">
        <f>IF(C13="","",VLOOKUP(C13,'Sorts, Kihos, Katas, Bâtons'!A:M,5,FALSE))</f>
        <v/>
      </c>
      <c r="G13" s="102" t="str">
        <f>IF(C13="","",VLOOKUP(C13,'Sorts, Kihos, Katas, Bâtons'!$A:$M,6,FALSE))</f>
        <v/>
      </c>
      <c r="H13" s="179" t="str">
        <f>IF($C13="","",VLOOKUP($C13,'Sorts, Kihos, Katas, Bâtons'!$A:$M,7,FALSE))</f>
        <v/>
      </c>
      <c r="I13" s="107" t="str">
        <f>IF($C13="","",VLOOKUP($C13,'Sorts, Kihos, Katas, Bâtons'!$A:$M,8,FALSE))</f>
        <v/>
      </c>
      <c r="J13" s="107" t="str">
        <f>IF($C13="","",VLOOKUP($C13,'Sorts, Kihos, Katas, Bâtons'!$A:$M,9,FALSE))</f>
        <v/>
      </c>
      <c r="K13" s="137" t="str">
        <f>IF($C13="","",VLOOKUP($C13,'Sorts, Kihos, Katas, Bâtons'!$A:$M,10,FALSE))</f>
        <v/>
      </c>
      <c r="L13" s="107" t="str">
        <f>IF($C13="","",VLOOKUP($C13,'Sorts, Kihos, Katas, Bâtons'!A:M,11,FALSE))</f>
        <v/>
      </c>
      <c r="M13" s="794" t="str">
        <f>IF($C13="","",VLOOKUP($C13,'Sorts, Kihos, Katas, Bâtons'!$A:$N,14,FALSE))</f>
        <v/>
      </c>
      <c r="N13" s="795"/>
      <c r="O13" s="795"/>
      <c r="P13" s="161" t="str">
        <f>IF($C13="","",VLOOKUP($C13,'Sorts, Kihos, Katas, Bâtons'!A:M,12,FALSE))</f>
        <v/>
      </c>
      <c r="Q13" s="138" t="str">
        <f>IF($C13="","",VLOOKUP($C13,'Sorts, Kihos, Katas, Bâtons'!$A:$N,13,FALSE))</f>
        <v/>
      </c>
    </row>
    <row r="14" spans="1:17" ht="30" customHeight="1" x14ac:dyDescent="0.25">
      <c r="A14" s="224">
        <f t="shared" si="0"/>
        <v>0</v>
      </c>
      <c r="B14" s="178"/>
      <c r="C14" s="178"/>
      <c r="D14" s="107" t="str">
        <f>IF(C14="","",VLOOKUP(C14,'Sorts, Kihos, Katas, Bâtons'!A:M,2,FALSE))</f>
        <v/>
      </c>
      <c r="E14" s="101" t="str">
        <f>IF(C14="","",VLOOKUP(C14,'Sorts, Kihos, Katas, Bâtons'!A:M,3,FALSE))</f>
        <v/>
      </c>
      <c r="F14" s="102" t="str">
        <f>IF(C14="","",VLOOKUP(C14,'Sorts, Kihos, Katas, Bâtons'!A:M,5,FALSE))</f>
        <v/>
      </c>
      <c r="G14" s="102" t="str">
        <f>IF(C14="","",VLOOKUP(C14,'Sorts, Kihos, Katas, Bâtons'!$A:$M,6,FALSE))</f>
        <v/>
      </c>
      <c r="H14" s="179" t="str">
        <f>IF($C14="","",VLOOKUP($C14,'Sorts, Kihos, Katas, Bâtons'!$A:$M,7,FALSE))</f>
        <v/>
      </c>
      <c r="I14" s="107" t="str">
        <f>IF($C14="","",VLOOKUP($C14,'Sorts, Kihos, Katas, Bâtons'!$A:$M,8,FALSE))</f>
        <v/>
      </c>
      <c r="J14" s="107" t="str">
        <f>IF($C14="","",VLOOKUP($C14,'Sorts, Kihos, Katas, Bâtons'!$A:$M,9,FALSE))</f>
        <v/>
      </c>
      <c r="K14" s="137" t="str">
        <f>IF($C14="","",VLOOKUP($C14,'Sorts, Kihos, Katas, Bâtons'!$A:$M,10,FALSE))</f>
        <v/>
      </c>
      <c r="L14" s="107" t="str">
        <f>IF($C14="","",VLOOKUP($C14,'Sorts, Kihos, Katas, Bâtons'!A:M,11,FALSE))</f>
        <v/>
      </c>
      <c r="M14" s="794" t="str">
        <f>IF($C14="","",VLOOKUP($C14,'Sorts, Kihos, Katas, Bâtons'!$A:$N,14,FALSE))</f>
        <v/>
      </c>
      <c r="N14" s="795"/>
      <c r="O14" s="795"/>
      <c r="P14" s="161" t="str">
        <f>IF($C14="","",VLOOKUP($C14,'Sorts, Kihos, Katas, Bâtons'!A:M,12,FALSE))</f>
        <v/>
      </c>
      <c r="Q14" s="138" t="str">
        <f>IF($C14="","",VLOOKUP($C14,'Sorts, Kihos, Katas, Bâtons'!$A:$N,13,FALSE))</f>
        <v/>
      </c>
    </row>
    <row r="15" spans="1:17" ht="30" customHeight="1" x14ac:dyDescent="0.25">
      <c r="A15" s="224">
        <f t="shared" si="0"/>
        <v>0</v>
      </c>
      <c r="B15" s="178"/>
      <c r="C15" s="178"/>
      <c r="D15" s="107" t="str">
        <f>IF(C15="","",VLOOKUP(C15,'Sorts, Kihos, Katas, Bâtons'!A:M,2,FALSE))</f>
        <v/>
      </c>
      <c r="E15" s="101" t="str">
        <f>IF(C15="","",VLOOKUP(C15,'Sorts, Kihos, Katas, Bâtons'!A:M,3,FALSE))</f>
        <v/>
      </c>
      <c r="F15" s="102" t="str">
        <f>IF(C15="","",VLOOKUP(C15,'Sorts, Kihos, Katas, Bâtons'!A:M,5,FALSE))</f>
        <v/>
      </c>
      <c r="G15" s="102" t="str">
        <f>IF(C15="","",VLOOKUP(C15,'Sorts, Kihos, Katas, Bâtons'!$A:$M,6,FALSE))</f>
        <v/>
      </c>
      <c r="H15" s="179" t="str">
        <f>IF($C15="","",VLOOKUP($C15,'Sorts, Kihos, Katas, Bâtons'!$A:$M,7,FALSE))</f>
        <v/>
      </c>
      <c r="I15" s="107" t="str">
        <f>IF($C15="","",VLOOKUP($C15,'Sorts, Kihos, Katas, Bâtons'!$A:$M,8,FALSE))</f>
        <v/>
      </c>
      <c r="J15" s="107" t="str">
        <f>IF($C15="","",VLOOKUP($C15,'Sorts, Kihos, Katas, Bâtons'!$A:$M,9,FALSE))</f>
        <v/>
      </c>
      <c r="K15" s="137" t="str">
        <f>IF($C15="","",VLOOKUP($C15,'Sorts, Kihos, Katas, Bâtons'!$A:$M,10,FALSE))</f>
        <v/>
      </c>
      <c r="L15" s="107" t="str">
        <f>IF($C15="","",VLOOKUP($C15,'Sorts, Kihos, Katas, Bâtons'!A:M,11,FALSE))</f>
        <v/>
      </c>
      <c r="M15" s="794" t="str">
        <f>IF($C15="","",VLOOKUP($C15,'Sorts, Kihos, Katas, Bâtons'!$A:$N,14,FALSE))</f>
        <v/>
      </c>
      <c r="N15" s="795"/>
      <c r="O15" s="795"/>
      <c r="P15" s="161" t="str">
        <f>IF($C15="","",VLOOKUP($C15,'Sorts, Kihos, Katas, Bâtons'!A:M,12,FALSE))</f>
        <v/>
      </c>
      <c r="Q15" s="138" t="str">
        <f>IF($C15="","",VLOOKUP($C15,'Sorts, Kihos, Katas, Bâtons'!$A:$N,13,FALSE))</f>
        <v/>
      </c>
    </row>
    <row r="16" spans="1:17" ht="30" customHeight="1" x14ac:dyDescent="0.25">
      <c r="A16" s="224">
        <f t="shared" si="0"/>
        <v>0</v>
      </c>
      <c r="B16" s="178"/>
      <c r="C16" s="178"/>
      <c r="D16" s="107" t="str">
        <f>IF(C16="","",VLOOKUP(C16,'Sorts, Kihos, Katas, Bâtons'!A:M,2,FALSE))</f>
        <v/>
      </c>
      <c r="E16" s="101" t="str">
        <f>IF(C16="","",VLOOKUP(C16,'Sorts, Kihos, Katas, Bâtons'!A:M,3,FALSE))</f>
        <v/>
      </c>
      <c r="F16" s="102" t="str">
        <f>IF(C16="","",VLOOKUP(C16,'Sorts, Kihos, Katas, Bâtons'!A:M,5,FALSE))</f>
        <v/>
      </c>
      <c r="G16" s="102" t="str">
        <f>IF(C16="","",VLOOKUP(C16,'Sorts, Kihos, Katas, Bâtons'!$A:$M,6,FALSE))</f>
        <v/>
      </c>
      <c r="H16" s="179" t="str">
        <f>IF($C16="","",VLOOKUP($C16,'Sorts, Kihos, Katas, Bâtons'!$A:$M,7,FALSE))</f>
        <v/>
      </c>
      <c r="I16" s="107" t="str">
        <f>IF($C16="","",VLOOKUP($C16,'Sorts, Kihos, Katas, Bâtons'!$A:$M,8,FALSE))</f>
        <v/>
      </c>
      <c r="J16" s="107" t="str">
        <f>IF($C16="","",VLOOKUP($C16,'Sorts, Kihos, Katas, Bâtons'!$A:$M,9,FALSE))</f>
        <v/>
      </c>
      <c r="K16" s="137" t="str">
        <f>IF($C16="","",VLOOKUP($C16,'Sorts, Kihos, Katas, Bâtons'!$A:$M,10,FALSE))</f>
        <v/>
      </c>
      <c r="L16" s="107" t="str">
        <f>IF($C16="","",VLOOKUP($C16,'Sorts, Kihos, Katas, Bâtons'!A:M,11,FALSE))</f>
        <v/>
      </c>
      <c r="M16" s="794" t="str">
        <f>IF($C16="","",VLOOKUP($C16,'Sorts, Kihos, Katas, Bâtons'!$A:$N,14,FALSE))</f>
        <v/>
      </c>
      <c r="N16" s="795"/>
      <c r="O16" s="795"/>
      <c r="P16" s="161" t="str">
        <f>IF($C16="","",VLOOKUP($C16,'Sorts, Kihos, Katas, Bâtons'!A:M,12,FALSE))</f>
        <v/>
      </c>
      <c r="Q16" s="138" t="str">
        <f>IF($C16="","",VLOOKUP($C16,'Sorts, Kihos, Katas, Bâtons'!$A:$N,13,FALSE))</f>
        <v/>
      </c>
    </row>
    <row r="17" spans="1:17" ht="30" customHeight="1" x14ac:dyDescent="0.25">
      <c r="A17" s="224">
        <f t="shared" si="0"/>
        <v>0</v>
      </c>
      <c r="B17" s="178"/>
      <c r="C17" s="178"/>
      <c r="D17" s="107" t="str">
        <f>IF(C17="","",VLOOKUP(C17,'Sorts, Kihos, Katas, Bâtons'!A:M,2,FALSE))</f>
        <v/>
      </c>
      <c r="E17" s="101" t="str">
        <f>IF(C17="","",VLOOKUP(C17,'Sorts, Kihos, Katas, Bâtons'!A:M,3,FALSE))</f>
        <v/>
      </c>
      <c r="F17" s="102" t="str">
        <f>IF(C17="","",VLOOKUP(C17,'Sorts, Kihos, Katas, Bâtons'!A:M,5,FALSE))</f>
        <v/>
      </c>
      <c r="G17" s="102" t="str">
        <f>IF(C17="","",VLOOKUP(C17,'Sorts, Kihos, Katas, Bâtons'!$A:$M,6,FALSE))</f>
        <v/>
      </c>
      <c r="H17" s="179" t="str">
        <f>IF($C17="","",VLOOKUP($C17,'Sorts, Kihos, Katas, Bâtons'!$A:$M,7,FALSE))</f>
        <v/>
      </c>
      <c r="I17" s="107" t="str">
        <f>IF($C17="","",VLOOKUP($C17,'Sorts, Kihos, Katas, Bâtons'!$A:$M,8,FALSE))</f>
        <v/>
      </c>
      <c r="J17" s="107" t="str">
        <f>IF($C17="","",VLOOKUP($C17,'Sorts, Kihos, Katas, Bâtons'!$A:$M,9,FALSE))</f>
        <v/>
      </c>
      <c r="K17" s="137" t="str">
        <f>IF($C17="","",VLOOKUP($C17,'Sorts, Kihos, Katas, Bâtons'!$A:$M,10,FALSE))</f>
        <v/>
      </c>
      <c r="L17" s="107" t="str">
        <f>IF($C17="","",VLOOKUP($C17,'Sorts, Kihos, Katas, Bâtons'!A:M,11,FALSE))</f>
        <v/>
      </c>
      <c r="M17" s="794" t="str">
        <f>IF($C17="","",VLOOKUP($C17,'Sorts, Kihos, Katas, Bâtons'!$A:$N,14,FALSE))</f>
        <v/>
      </c>
      <c r="N17" s="795"/>
      <c r="O17" s="795"/>
      <c r="P17" s="161" t="str">
        <f>IF($C17="","",VLOOKUP($C17,'Sorts, Kihos, Katas, Bâtons'!A:M,12,FALSE))</f>
        <v/>
      </c>
      <c r="Q17" s="138" t="str">
        <f>IF($C17="","",VLOOKUP($C17,'Sorts, Kihos, Katas, Bâtons'!$A:$N,13,FALSE))</f>
        <v/>
      </c>
    </row>
    <row r="18" spans="1:17" ht="30" customHeight="1" x14ac:dyDescent="0.25">
      <c r="A18" s="224">
        <f t="shared" si="0"/>
        <v>0</v>
      </c>
      <c r="B18" s="178"/>
      <c r="C18" s="178"/>
      <c r="D18" s="107" t="str">
        <f>IF(C18="","",VLOOKUP(C18,'Sorts, Kihos, Katas, Bâtons'!A:M,2,FALSE))</f>
        <v/>
      </c>
      <c r="E18" s="101" t="str">
        <f>IF(C18="","",VLOOKUP(C18,'Sorts, Kihos, Katas, Bâtons'!A:M,3,FALSE))</f>
        <v/>
      </c>
      <c r="F18" s="102" t="str">
        <f>IF(C18="","",VLOOKUP(C18,'Sorts, Kihos, Katas, Bâtons'!A:M,5,FALSE))</f>
        <v/>
      </c>
      <c r="G18" s="102" t="str">
        <f>IF(C18="","",VLOOKUP(C18,'Sorts, Kihos, Katas, Bâtons'!$A:$M,6,FALSE))</f>
        <v/>
      </c>
      <c r="H18" s="179" t="str">
        <f>IF($C18="","",VLOOKUP($C18,'Sorts, Kihos, Katas, Bâtons'!$A:$M,7,FALSE))</f>
        <v/>
      </c>
      <c r="I18" s="107" t="str">
        <f>IF($C18="","",VLOOKUP($C18,'Sorts, Kihos, Katas, Bâtons'!$A:$M,8,FALSE))</f>
        <v/>
      </c>
      <c r="J18" s="107" t="str">
        <f>IF($C18="","",VLOOKUP($C18,'Sorts, Kihos, Katas, Bâtons'!$A:$M,9,FALSE))</f>
        <v/>
      </c>
      <c r="K18" s="137" t="str">
        <f>IF($C18="","",VLOOKUP($C18,'Sorts, Kihos, Katas, Bâtons'!$A:$M,10,FALSE))</f>
        <v/>
      </c>
      <c r="L18" s="107" t="str">
        <f>IF($C18="","",VLOOKUP($C18,'Sorts, Kihos, Katas, Bâtons'!A:M,11,FALSE))</f>
        <v/>
      </c>
      <c r="M18" s="794" t="str">
        <f>IF($C18="","",VLOOKUP($C18,'Sorts, Kihos, Katas, Bâtons'!$A:$N,14,FALSE))</f>
        <v/>
      </c>
      <c r="N18" s="795"/>
      <c r="O18" s="795"/>
      <c r="P18" s="161" t="str">
        <f>IF($C18="","",VLOOKUP($C18,'Sorts, Kihos, Katas, Bâtons'!A:M,12,FALSE))</f>
        <v/>
      </c>
      <c r="Q18" s="138" t="str">
        <f>IF($C18="","",VLOOKUP($C18,'Sorts, Kihos, Katas, Bâtons'!$A:$N,13,FALSE))</f>
        <v/>
      </c>
    </row>
    <row r="19" spans="1:17" ht="30" customHeight="1" x14ac:dyDescent="0.25">
      <c r="A19" s="224">
        <f t="shared" si="0"/>
        <v>0</v>
      </c>
      <c r="B19" s="178"/>
      <c r="C19" s="178"/>
      <c r="D19" s="107" t="str">
        <f>IF(C19="","",VLOOKUP(C19,'Sorts, Kihos, Katas, Bâtons'!A:M,2,FALSE))</f>
        <v/>
      </c>
      <c r="E19" s="101" t="str">
        <f>IF(C19="","",VLOOKUP(C19,'Sorts, Kihos, Katas, Bâtons'!A:M,3,FALSE))</f>
        <v/>
      </c>
      <c r="F19" s="102" t="str">
        <f>IF(C19="","",VLOOKUP(C19,'Sorts, Kihos, Katas, Bâtons'!A:M,5,FALSE))</f>
        <v/>
      </c>
      <c r="G19" s="102" t="str">
        <f>IF(C19="","",VLOOKUP(C19,'Sorts, Kihos, Katas, Bâtons'!$A:$M,6,FALSE))</f>
        <v/>
      </c>
      <c r="H19" s="179" t="str">
        <f>IF($C19="","",VLOOKUP($C19,'Sorts, Kihos, Katas, Bâtons'!$A:$M,7,FALSE))</f>
        <v/>
      </c>
      <c r="I19" s="107" t="str">
        <f>IF($C19="","",VLOOKUP($C19,'Sorts, Kihos, Katas, Bâtons'!$A:$M,8,FALSE))</f>
        <v/>
      </c>
      <c r="J19" s="107" t="str">
        <f>IF($C19="","",VLOOKUP($C19,'Sorts, Kihos, Katas, Bâtons'!$A:$M,9,FALSE))</f>
        <v/>
      </c>
      <c r="K19" s="137" t="str">
        <f>IF($C19="","",VLOOKUP($C19,'Sorts, Kihos, Katas, Bâtons'!$A:$M,10,FALSE))</f>
        <v/>
      </c>
      <c r="L19" s="107" t="str">
        <f>IF($C19="","",VLOOKUP($C19,'Sorts, Kihos, Katas, Bâtons'!A:M,11,FALSE))</f>
        <v/>
      </c>
      <c r="M19" s="794" t="str">
        <f>IF($C19="","",VLOOKUP($C19,'Sorts, Kihos, Katas, Bâtons'!$A:$N,14,FALSE))</f>
        <v/>
      </c>
      <c r="N19" s="795"/>
      <c r="O19" s="795"/>
      <c r="P19" s="161" t="str">
        <f>IF($C19="","",VLOOKUP($C19,'Sorts, Kihos, Katas, Bâtons'!A:M,12,FALSE))</f>
        <v/>
      </c>
      <c r="Q19" s="138" t="str">
        <f>IF($C19="","",VLOOKUP($C19,'Sorts, Kihos, Katas, Bâtons'!$A:$N,13,FALSE))</f>
        <v/>
      </c>
    </row>
    <row r="20" spans="1:17" x14ac:dyDescent="0.25">
      <c r="J20" s="171"/>
      <c r="K20" s="174"/>
      <c r="L20" s="171"/>
    </row>
    <row r="21" spans="1:17" x14ac:dyDescent="0.25">
      <c r="J21" s="171"/>
      <c r="K21" s="174"/>
      <c r="L21" s="171"/>
    </row>
    <row r="31" spans="1:17" x14ac:dyDescent="0.25">
      <c r="J31" s="171"/>
      <c r="K31" s="174"/>
      <c r="L31" s="171"/>
    </row>
    <row r="32" spans="1:17" x14ac:dyDescent="0.25">
      <c r="J32" s="171"/>
      <c r="K32" s="174"/>
      <c r="L32" s="171"/>
    </row>
    <row r="33" spans="10:12" x14ac:dyDescent="0.25">
      <c r="J33" s="171"/>
      <c r="K33" s="174"/>
      <c r="L33" s="171"/>
    </row>
    <row r="34" spans="10:12" x14ac:dyDescent="0.25">
      <c r="J34" s="171"/>
      <c r="K34" s="174"/>
      <c r="L34" s="171"/>
    </row>
    <row r="35" spans="10:12" x14ac:dyDescent="0.25">
      <c r="J35" s="171"/>
      <c r="K35" s="174"/>
      <c r="L35" s="171"/>
    </row>
    <row r="81" spans="10:12" x14ac:dyDescent="0.25">
      <c r="J81" s="171"/>
      <c r="K81" s="174"/>
      <c r="L81" s="171"/>
    </row>
    <row r="82" spans="10:12" x14ac:dyDescent="0.25">
      <c r="J82" s="171"/>
      <c r="K82" s="174"/>
      <c r="L82" s="171"/>
    </row>
    <row r="83" spans="10:12" x14ac:dyDescent="0.25">
      <c r="J83" s="171"/>
      <c r="K83" s="174"/>
      <c r="L83" s="171"/>
    </row>
    <row r="84" spans="10:12" x14ac:dyDescent="0.25">
      <c r="J84" s="171"/>
      <c r="K84" s="174"/>
      <c r="L84" s="171"/>
    </row>
    <row r="88" spans="10:12" x14ac:dyDescent="0.25">
      <c r="K88" s="167"/>
    </row>
    <row r="89" spans="10:12" x14ac:dyDescent="0.25">
      <c r="K89" s="173"/>
    </row>
    <row r="90" spans="10:12" x14ac:dyDescent="0.25">
      <c r="K90" s="173"/>
    </row>
    <row r="91" spans="10:12" x14ac:dyDescent="0.25">
      <c r="K91" s="173"/>
    </row>
    <row r="92" spans="10:12" x14ac:dyDescent="0.25">
      <c r="K92" s="173"/>
    </row>
    <row r="93" spans="10:12" x14ac:dyDescent="0.25">
      <c r="K93" s="173"/>
    </row>
    <row r="94" spans="10:12" x14ac:dyDescent="0.25">
      <c r="K94" s="173"/>
    </row>
    <row r="95" spans="10:12" x14ac:dyDescent="0.25">
      <c r="K95" s="173"/>
    </row>
    <row r="96" spans="10:12" x14ac:dyDescent="0.25">
      <c r="K96" s="173"/>
    </row>
    <row r="97" spans="11:11" x14ac:dyDescent="0.25">
      <c r="K97" s="173"/>
    </row>
    <row r="98" spans="11:11" x14ac:dyDescent="0.25">
      <c r="K98" s="173"/>
    </row>
    <row r="99" spans="11:11" x14ac:dyDescent="0.25">
      <c r="K99" s="173"/>
    </row>
    <row r="100" spans="11:11" x14ac:dyDescent="0.25">
      <c r="K100" s="173"/>
    </row>
    <row r="101" spans="11:11" x14ac:dyDescent="0.25">
      <c r="K101" s="173"/>
    </row>
    <row r="102" spans="11:11" x14ac:dyDescent="0.25">
      <c r="K102" s="173"/>
    </row>
    <row r="103" spans="11:11" x14ac:dyDescent="0.25">
      <c r="K103" s="173"/>
    </row>
    <row r="104" spans="11:11" x14ac:dyDescent="0.25">
      <c r="K104" s="173"/>
    </row>
    <row r="105" spans="11:11" x14ac:dyDescent="0.25">
      <c r="K105" s="173"/>
    </row>
    <row r="106" spans="11:11" x14ac:dyDescent="0.25">
      <c r="K106" s="173"/>
    </row>
    <row r="107" spans="11:11" x14ac:dyDescent="0.25">
      <c r="K107" s="173"/>
    </row>
    <row r="108" spans="11:11" x14ac:dyDescent="0.25">
      <c r="K108" s="173"/>
    </row>
    <row r="109" spans="11:11" x14ac:dyDescent="0.25">
      <c r="K109" s="173"/>
    </row>
    <row r="110" spans="11:11" x14ac:dyDescent="0.25">
      <c r="K110" s="173"/>
    </row>
    <row r="111" spans="11:11" x14ac:dyDescent="0.25">
      <c r="K111" s="173"/>
    </row>
    <row r="112" spans="11:11" x14ac:dyDescent="0.25">
      <c r="K112" s="173"/>
    </row>
    <row r="113" spans="11:11" x14ac:dyDescent="0.25">
      <c r="K113" s="173"/>
    </row>
    <row r="114" spans="11:11" x14ac:dyDescent="0.25">
      <c r="K114" s="173"/>
    </row>
    <row r="115" spans="11:11" x14ac:dyDescent="0.25">
      <c r="K115" s="173"/>
    </row>
    <row r="116" spans="11:11" x14ac:dyDescent="0.25">
      <c r="K116" s="173"/>
    </row>
    <row r="117" spans="11:11" x14ac:dyDescent="0.25">
      <c r="K117" s="173"/>
    </row>
    <row r="118" spans="11:11" x14ac:dyDescent="0.25">
      <c r="K118" s="173"/>
    </row>
    <row r="119" spans="11:11" x14ac:dyDescent="0.25">
      <c r="K119" s="173"/>
    </row>
    <row r="120" spans="11:11" x14ac:dyDescent="0.25">
      <c r="K120" s="173"/>
    </row>
    <row r="121" spans="11:11" x14ac:dyDescent="0.25">
      <c r="K121" s="173"/>
    </row>
    <row r="122" spans="11:11" x14ac:dyDescent="0.25">
      <c r="K122" s="173"/>
    </row>
    <row r="123" spans="11:11" x14ac:dyDescent="0.25">
      <c r="K123" s="173"/>
    </row>
    <row r="124" spans="11:11" x14ac:dyDescent="0.25">
      <c r="K124" s="173"/>
    </row>
    <row r="125" spans="11:11" x14ac:dyDescent="0.25">
      <c r="K125" s="173"/>
    </row>
    <row r="126" spans="11:11" x14ac:dyDescent="0.25">
      <c r="K126" s="173"/>
    </row>
    <row r="205" spans="10:12" x14ac:dyDescent="0.25">
      <c r="J205" s="171"/>
      <c r="K205" s="174"/>
      <c r="L205" s="171"/>
    </row>
    <row r="206" spans="10:12" x14ac:dyDescent="0.25">
      <c r="J206" s="171"/>
      <c r="K206" s="174"/>
      <c r="L206" s="171"/>
    </row>
    <row r="207" spans="10:12" x14ac:dyDescent="0.25">
      <c r="J207" s="171"/>
      <c r="K207" s="174"/>
      <c r="L207" s="171"/>
    </row>
    <row r="208" spans="10:12" x14ac:dyDescent="0.25">
      <c r="J208" s="171"/>
      <c r="K208" s="174"/>
      <c r="L208" s="171"/>
    </row>
    <row r="209" spans="10:12" x14ac:dyDescent="0.25">
      <c r="J209" s="171"/>
      <c r="K209" s="174"/>
      <c r="L209" s="171"/>
    </row>
    <row r="210" spans="10:12" x14ac:dyDescent="0.25">
      <c r="J210" s="171"/>
      <c r="K210" s="174"/>
      <c r="L210" s="171"/>
    </row>
    <row r="211" spans="10:12" x14ac:dyDescent="0.25">
      <c r="J211" s="171"/>
      <c r="K211" s="174"/>
      <c r="L211" s="171"/>
    </row>
    <row r="212" spans="10:12" x14ac:dyDescent="0.25">
      <c r="J212" s="171"/>
      <c r="K212" s="174"/>
      <c r="L212" s="171"/>
    </row>
    <row r="213" spans="10:12" x14ac:dyDescent="0.25">
      <c r="J213" s="171"/>
      <c r="K213" s="174"/>
      <c r="L213" s="171"/>
    </row>
    <row r="214" spans="10:12" x14ac:dyDescent="0.25">
      <c r="J214" s="171"/>
      <c r="K214" s="174"/>
      <c r="L214" s="171"/>
    </row>
    <row r="215" spans="10:12" x14ac:dyDescent="0.25">
      <c r="J215" s="171"/>
      <c r="K215" s="174"/>
      <c r="L215" s="171"/>
    </row>
    <row r="216" spans="10:12" x14ac:dyDescent="0.25">
      <c r="J216" s="171"/>
      <c r="K216" s="174"/>
      <c r="L216" s="171"/>
    </row>
    <row r="217" spans="10:12" x14ac:dyDescent="0.25">
      <c r="J217" s="171"/>
      <c r="K217" s="174"/>
      <c r="L217" s="171"/>
    </row>
    <row r="218" spans="10:12" x14ac:dyDescent="0.25">
      <c r="J218" s="171"/>
      <c r="K218" s="174"/>
      <c r="L218" s="171"/>
    </row>
    <row r="219" spans="10:12" x14ac:dyDescent="0.25">
      <c r="J219" s="171"/>
      <c r="K219" s="174"/>
      <c r="L219" s="171"/>
    </row>
    <row r="220" spans="10:12" x14ac:dyDescent="0.25">
      <c r="J220" s="171"/>
      <c r="K220" s="174"/>
      <c r="L220" s="171"/>
    </row>
    <row r="221" spans="10:12" x14ac:dyDescent="0.25">
      <c r="J221" s="171"/>
      <c r="K221" s="174"/>
      <c r="L221" s="171"/>
    </row>
    <row r="365" spans="11:11" x14ac:dyDescent="0.25">
      <c r="K365" s="173"/>
    </row>
    <row r="366" spans="11:11" x14ac:dyDescent="0.25">
      <c r="K366" s="173"/>
    </row>
    <row r="403" spans="11:11" x14ac:dyDescent="0.25">
      <c r="K403" s="173"/>
    </row>
    <row r="405" spans="11:11" x14ac:dyDescent="0.25">
      <c r="K405" s="173"/>
    </row>
    <row r="406" spans="11:11" x14ac:dyDescent="0.25">
      <c r="K406" s="173"/>
    </row>
    <row r="460" spans="10:12" x14ac:dyDescent="0.25">
      <c r="J460" s="171"/>
      <c r="K460" s="174"/>
      <c r="L460" s="171"/>
    </row>
    <row r="461" spans="10:12" x14ac:dyDescent="0.25">
      <c r="J461" s="171"/>
      <c r="K461" s="174"/>
      <c r="L461" s="171"/>
    </row>
    <row r="462" spans="10:12" x14ac:dyDescent="0.25">
      <c r="J462" s="171"/>
      <c r="K462" s="174"/>
      <c r="L462" s="171"/>
    </row>
    <row r="463" spans="10:12" x14ac:dyDescent="0.25">
      <c r="J463" s="171"/>
      <c r="K463" s="174"/>
      <c r="L463" s="171"/>
    </row>
    <row r="464" spans="10:12" x14ac:dyDescent="0.25">
      <c r="J464" s="171"/>
      <c r="K464" s="174"/>
      <c r="L464" s="171"/>
    </row>
    <row r="465" spans="10:12" x14ac:dyDescent="0.25">
      <c r="J465" s="171"/>
      <c r="K465" s="174"/>
      <c r="L465" s="171"/>
    </row>
    <row r="466" spans="10:12" x14ac:dyDescent="0.25">
      <c r="J466" s="171"/>
      <c r="K466" s="174"/>
      <c r="L466" s="171"/>
    </row>
    <row r="467" spans="10:12" x14ac:dyDescent="0.25">
      <c r="J467" s="171"/>
      <c r="K467" s="174"/>
      <c r="L467" s="171"/>
    </row>
    <row r="468" spans="10:12" x14ac:dyDescent="0.25">
      <c r="J468" s="171"/>
      <c r="K468" s="174"/>
      <c r="L468" s="171"/>
    </row>
    <row r="470" spans="10:12" x14ac:dyDescent="0.25">
      <c r="J470" s="171"/>
      <c r="K470" s="174"/>
      <c r="L470" s="171"/>
    </row>
    <row r="471" spans="10:12" x14ac:dyDescent="0.25">
      <c r="J471" s="171"/>
      <c r="K471" s="176"/>
      <c r="L471" s="171"/>
    </row>
    <row r="473" spans="10:12" x14ac:dyDescent="0.25">
      <c r="K473" s="173"/>
    </row>
    <row r="475" spans="10:12" x14ac:dyDescent="0.25">
      <c r="K475" s="173"/>
    </row>
    <row r="479" spans="10:12" x14ac:dyDescent="0.25">
      <c r="K479" s="173"/>
    </row>
  </sheetData>
  <mergeCells count="18">
    <mergeCell ref="M7:O7"/>
    <mergeCell ref="M2:O2"/>
    <mergeCell ref="M3:O3"/>
    <mergeCell ref="M4:O4"/>
    <mergeCell ref="M5:O5"/>
    <mergeCell ref="M6:O6"/>
    <mergeCell ref="M17:O17"/>
    <mergeCell ref="M18:O18"/>
    <mergeCell ref="M19:O19"/>
    <mergeCell ref="M8:O8"/>
    <mergeCell ref="M9:O9"/>
    <mergeCell ref="M15:O15"/>
    <mergeCell ref="M16:O16"/>
    <mergeCell ref="M10:O10"/>
    <mergeCell ref="M11:O11"/>
    <mergeCell ref="M12:O12"/>
    <mergeCell ref="M13:O13"/>
    <mergeCell ref="M14:O14"/>
  </mergeCells>
  <conditionalFormatting sqref="C3:C19">
    <cfRule type="cellIs" dxfId="64" priority="2" operator="equal">
      <formula>""</formula>
    </cfRule>
  </conditionalFormatting>
  <conditionalFormatting sqref="B3:B19">
    <cfRule type="cellIs" dxfId="63" priority="1" operator="equal">
      <formula>""</formula>
    </cfRule>
  </conditionalFormatting>
  <dataValidations count="2">
    <dataValidation type="list" allowBlank="1" showInputMessage="1" showErrorMessage="1" sqref="B3:B19" xr:uid="{00000000-0002-0000-0200-000000000000}">
      <formula1>Type_magie</formula1>
    </dataValidation>
    <dataValidation type="list" allowBlank="1" showInputMessage="1" showErrorMessage="1" sqref="C3:C19" xr:uid="{00000000-0002-0000-0200-000001000000}">
      <formula1>IF(A3=1,Bâtons,IF(A3=2,Ddame,IF(A3=3,Kata,IF(A3=4,Kiho,IF(A3=5,Maho,IF(A3=6,Noms,IF(A3=7,Perle,IF(A3=8,Sort,""))))))))</formula1>
    </dataValidation>
  </dataValidations>
  <pageMargins left="0.11811023622047245" right="0.11811023622047245" top="0.15748031496062992"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57"/>
  <sheetViews>
    <sheetView zoomScaleNormal="100" workbookViewId="0"/>
  </sheetViews>
  <sheetFormatPr baseColWidth="10" defaultRowHeight="13.2" x14ac:dyDescent="0.25"/>
  <cols>
    <col min="1" max="1" width="1.5546875" style="224" customWidth="1"/>
    <col min="2" max="17" width="2.5546875" customWidth="1"/>
    <col min="18" max="19" width="2.5546875" style="196" customWidth="1"/>
    <col min="20" max="20" width="1.44140625" style="196" customWidth="1"/>
    <col min="21" max="21" width="2.5546875" customWidth="1"/>
    <col min="22" max="28" width="2.5546875" style="196" customWidth="1"/>
    <col min="29" max="30" width="2.5546875" customWidth="1"/>
    <col min="31" max="31" width="3.33203125" customWidth="1"/>
    <col min="32" max="33" width="2.5546875" customWidth="1"/>
    <col min="34" max="34" width="1.88671875" customWidth="1"/>
    <col min="35" max="35" width="2.5546875" customWidth="1"/>
    <col min="36" max="36" width="2.33203125" customWidth="1"/>
    <col min="37" max="39" width="2.5546875" customWidth="1"/>
    <col min="40" max="40" width="3" style="196" customWidth="1"/>
    <col min="41" max="41" width="0.44140625" customWidth="1"/>
  </cols>
  <sheetData>
    <row r="1" spans="1:40" ht="6" customHeight="1" x14ac:dyDescent="0.25"/>
    <row r="2" spans="1:40" ht="16.2" thickBot="1" x14ac:dyDescent="0.35">
      <c r="B2" s="328" t="s">
        <v>5203</v>
      </c>
      <c r="C2" s="328"/>
      <c r="D2" s="328"/>
      <c r="E2" s="328"/>
      <c r="F2" s="328"/>
      <c r="G2" s="328"/>
      <c r="H2" s="328"/>
      <c r="I2" s="328"/>
      <c r="J2" s="328"/>
      <c r="K2" s="328"/>
      <c r="L2" s="328"/>
      <c r="M2" s="328"/>
      <c r="N2" s="196"/>
      <c r="U2" s="812" t="s">
        <v>5204</v>
      </c>
      <c r="V2" s="812"/>
      <c r="W2" s="812"/>
      <c r="X2" s="812"/>
      <c r="Y2" s="812"/>
      <c r="Z2" s="812"/>
      <c r="AA2" s="812"/>
      <c r="AB2" s="812"/>
      <c r="AC2" s="812"/>
      <c r="AD2" s="812"/>
      <c r="AE2" s="812"/>
      <c r="AF2" s="812"/>
      <c r="AG2" s="87"/>
      <c r="AH2" s="196"/>
    </row>
    <row r="3" spans="1:40" s="196" customFormat="1" ht="3" customHeight="1" thickTop="1" x14ac:dyDescent="0.3">
      <c r="A3" s="224"/>
      <c r="B3" s="87"/>
      <c r="C3" s="87"/>
      <c r="D3" s="87"/>
      <c r="E3" s="87"/>
      <c r="F3" s="87"/>
      <c r="G3" s="87"/>
      <c r="H3" s="87"/>
      <c r="I3" s="87"/>
      <c r="J3" s="87"/>
    </row>
    <row r="4" spans="1:40" ht="13.95" customHeight="1" x14ac:dyDescent="0.25">
      <c r="B4" s="631" t="s">
        <v>100</v>
      </c>
      <c r="C4" s="631"/>
      <c r="D4" s="783"/>
      <c r="E4" s="326">
        <f>IF($D$10="",1,1-$D$10)</f>
        <v>1</v>
      </c>
      <c r="F4" s="326">
        <f>IF($D$10="",2,2-$D$10)</f>
        <v>2</v>
      </c>
      <c r="G4" s="326">
        <f>IF($D$10="",3,3-$D$10)</f>
        <v>3</v>
      </c>
      <c r="H4" s="326">
        <f>IF($D$10="",4,4-$D$10)</f>
        <v>4</v>
      </c>
      <c r="I4" s="326">
        <f>IF($D$10="",5,5-$D$10)</f>
        <v>5</v>
      </c>
      <c r="J4" s="326">
        <f>IF($D$10="",6,6-$D$10)</f>
        <v>6</v>
      </c>
      <c r="K4" s="326">
        <f>IF($D$10="",7,7-$D$10)</f>
        <v>7</v>
      </c>
      <c r="L4" s="326">
        <f>IF($D$10="",8,8-$D$10)</f>
        <v>8</v>
      </c>
      <c r="M4" s="326">
        <f>IF($D$10="",9,9-$D$10)</f>
        <v>9</v>
      </c>
      <c r="N4" s="326">
        <f>IF($D$10="",10,10-$D$10)</f>
        <v>10</v>
      </c>
      <c r="O4" s="326">
        <f>IF($D$10="",11,11-$D$10)</f>
        <v>11</v>
      </c>
      <c r="P4" s="326">
        <f>IF($D$10="",12,12-$D$10)</f>
        <v>12</v>
      </c>
      <c r="Q4" s="326">
        <f>IF($D$10="",13,13-$D$10)</f>
        <v>13</v>
      </c>
      <c r="R4" s="326">
        <f>IF($D$10="",14,14-$D$10)</f>
        <v>14</v>
      </c>
      <c r="S4" s="326">
        <f>IF($D$10="",15,15-$D$10)</f>
        <v>15</v>
      </c>
      <c r="U4" s="861" t="s">
        <v>5205</v>
      </c>
      <c r="V4" s="862"/>
      <c r="W4" s="816"/>
      <c r="X4" s="817"/>
      <c r="Y4" s="817"/>
      <c r="Z4" s="817"/>
      <c r="AA4" s="817"/>
      <c r="AB4" s="861" t="s">
        <v>5206</v>
      </c>
      <c r="AC4" s="862"/>
      <c r="AD4" s="865"/>
      <c r="AE4" s="865"/>
      <c r="AF4" s="861" t="s">
        <v>5207</v>
      </c>
      <c r="AG4" s="862"/>
      <c r="AH4" s="865"/>
      <c r="AI4" s="865"/>
      <c r="AJ4" s="865"/>
      <c r="AK4" s="845" t="s">
        <v>5208</v>
      </c>
      <c r="AL4" s="845"/>
      <c r="AM4" s="865"/>
      <c r="AN4" s="865"/>
    </row>
    <row r="5" spans="1:40" x14ac:dyDescent="0.25">
      <c r="B5" s="631" t="s">
        <v>577</v>
      </c>
      <c r="C5" s="631"/>
      <c r="D5" s="783"/>
      <c r="E5" s="327">
        <f>IF($H$10="",1,1-$H$10)</f>
        <v>1</v>
      </c>
      <c r="F5" s="327">
        <f>IF($H$10="",2,2-$H$10)</f>
        <v>2</v>
      </c>
      <c r="G5" s="327">
        <f>IF($H$10="",3,3-$H$10)</f>
        <v>3</v>
      </c>
      <c r="H5" s="327">
        <f>IF($H$10="",4,4-$H$10)</f>
        <v>4</v>
      </c>
      <c r="I5" s="327">
        <f>IF($H$10="",5,5-$H$10)</f>
        <v>5</v>
      </c>
      <c r="J5" s="327">
        <f>IF($H$10="",6,6-$H$10)</f>
        <v>6</v>
      </c>
      <c r="K5" s="327">
        <f>IF($H$10="",7,7-$H$10)</f>
        <v>7</v>
      </c>
      <c r="L5" s="327">
        <f>IF($H$10="",8,8-$H$10)</f>
        <v>8</v>
      </c>
      <c r="M5" s="327">
        <f>IF($H$10="",9,9-$H$10)</f>
        <v>9</v>
      </c>
      <c r="N5" s="327">
        <f>IF($H$10="",10,10-$H$10)</f>
        <v>10</v>
      </c>
      <c r="O5" s="327">
        <f>IF($H$10="",11,11-$H$10)</f>
        <v>11</v>
      </c>
      <c r="P5" s="327">
        <f>IF($H$10="",12,12-$H$10)</f>
        <v>12</v>
      </c>
      <c r="Q5" s="327">
        <f>IF($H$10="",13,13-$H$10)</f>
        <v>13</v>
      </c>
      <c r="R5" s="327">
        <f>IF($H$10="",14,14-$H$10)</f>
        <v>14</v>
      </c>
      <c r="S5" s="327">
        <f>IF($H$10="",15,15-$H$10)</f>
        <v>15</v>
      </c>
      <c r="U5" s="243" t="s">
        <v>5209</v>
      </c>
      <c r="V5" s="243"/>
      <c r="W5" s="243"/>
      <c r="X5" s="236"/>
      <c r="Y5" s="832"/>
      <c r="Z5" s="833"/>
      <c r="AA5" s="833"/>
      <c r="AB5" s="833"/>
      <c r="AC5" s="833"/>
      <c r="AD5" s="834"/>
      <c r="AE5" s="861" t="s">
        <v>5210</v>
      </c>
      <c r="AF5" s="866"/>
      <c r="AG5" s="866"/>
      <c r="AH5" s="862"/>
      <c r="AI5" s="832"/>
      <c r="AJ5" s="833"/>
      <c r="AK5" s="833"/>
      <c r="AL5" s="833"/>
      <c r="AM5" s="833"/>
      <c r="AN5" s="834"/>
    </row>
    <row r="6" spans="1:40" x14ac:dyDescent="0.25">
      <c r="B6" s="631" t="s">
        <v>579</v>
      </c>
      <c r="C6" s="631"/>
      <c r="D6" s="783"/>
      <c r="E6" s="327">
        <f>IF($L$10="",1,1-$L$10)</f>
        <v>1</v>
      </c>
      <c r="F6" s="327">
        <f>IF($L$10="",2,2-$L$10)</f>
        <v>2</v>
      </c>
      <c r="G6" s="327">
        <f>IF($L$10="",3,3-$L$10)</f>
        <v>3</v>
      </c>
      <c r="H6" s="327">
        <f>IF($L$10="",4,4-$L$10)</f>
        <v>4</v>
      </c>
      <c r="I6" s="327">
        <f>IF($L$10="",5,5-$L$10)</f>
        <v>5</v>
      </c>
      <c r="J6" s="327">
        <f>IF($L$10="",6,6-$L$10)</f>
        <v>6</v>
      </c>
      <c r="K6" s="327">
        <f>IF($L$10="",7,7-$L$10)</f>
        <v>7</v>
      </c>
      <c r="L6" s="327">
        <f>IF($L$10="",8,8-$L$10)</f>
        <v>8</v>
      </c>
      <c r="M6" s="327">
        <f>IF($L$10="",9,9-$L$10)</f>
        <v>9</v>
      </c>
      <c r="N6" s="327">
        <f>IF($L$10="",10,10-$L$10)</f>
        <v>10</v>
      </c>
      <c r="O6" s="327">
        <f>IF($L$10="",11,11-$L$10)</f>
        <v>11</v>
      </c>
      <c r="P6" s="327">
        <f>IF($L$10="",12,12-$L$10)</f>
        <v>12</v>
      </c>
      <c r="Q6" s="327">
        <f>IF($L$10="",13,13-$L$10)</f>
        <v>13</v>
      </c>
      <c r="R6" s="327">
        <f>IF($L$10="",14,14-$L$10)</f>
        <v>14</v>
      </c>
      <c r="S6" s="327">
        <f>IF($L$10="",15,15-$L$10)</f>
        <v>15</v>
      </c>
      <c r="U6" s="839" t="s">
        <v>5211</v>
      </c>
      <c r="V6" s="840"/>
      <c r="W6" s="840"/>
      <c r="X6" s="840"/>
      <c r="Y6" s="841"/>
      <c r="Z6" s="832"/>
      <c r="AA6" s="833"/>
      <c r="AB6" s="833"/>
      <c r="AC6" s="833"/>
      <c r="AD6" s="834"/>
      <c r="AE6" s="838" t="s">
        <v>5212</v>
      </c>
      <c r="AF6" s="838"/>
      <c r="AG6" s="838"/>
      <c r="AH6" s="838"/>
      <c r="AI6" s="838"/>
      <c r="AJ6" s="832"/>
      <c r="AK6" s="833"/>
      <c r="AL6" s="833"/>
      <c r="AM6" s="833"/>
      <c r="AN6" s="834"/>
    </row>
    <row r="7" spans="1:40" x14ac:dyDescent="0.25">
      <c r="B7" s="631" t="s">
        <v>578</v>
      </c>
      <c r="C7" s="631"/>
      <c r="D7" s="783"/>
      <c r="E7" s="327">
        <f>IF($P$10="",1,1-$P$10)</f>
        <v>1</v>
      </c>
      <c r="F7" s="327">
        <f>IF($P$10="",2,2-$P$10)</f>
        <v>2</v>
      </c>
      <c r="G7" s="327">
        <f>IF($P$10="",3,3-$P$10)</f>
        <v>3</v>
      </c>
      <c r="H7" s="327">
        <f>IF($P$10="",4,4-$P$10)</f>
        <v>4</v>
      </c>
      <c r="I7" s="327">
        <f>IF($P$10="",5,5-$P$10)</f>
        <v>5</v>
      </c>
      <c r="J7" s="327">
        <f>IF($P$10="",6,6-$P$10)</f>
        <v>6</v>
      </c>
      <c r="K7" s="327">
        <f>IF($P$10="",7,7-$P$10)</f>
        <v>7</v>
      </c>
      <c r="L7" s="327">
        <f>IF($P$10="",8,8-$P$10)</f>
        <v>8</v>
      </c>
      <c r="M7" s="327">
        <f>IF($P$10="",9,9-$P$10)</f>
        <v>9</v>
      </c>
      <c r="N7" s="327">
        <f>IF($P$10="",10,10-$P$10)</f>
        <v>10</v>
      </c>
      <c r="O7" s="327">
        <f>IF($P$10="",11,11-$P$10)</f>
        <v>11</v>
      </c>
      <c r="P7" s="327">
        <f>IF($P$10="",12,12-$P$10)</f>
        <v>12</v>
      </c>
      <c r="Q7" s="327">
        <f>IF($P$10="",13,13-$P$10)</f>
        <v>13</v>
      </c>
      <c r="R7" s="327">
        <f>IF($P$10="",14,14-$P$10)</f>
        <v>14</v>
      </c>
      <c r="S7" s="327">
        <f>IF($P$10="",15,15-$P$10)</f>
        <v>15</v>
      </c>
      <c r="U7" s="236" t="s">
        <v>5213</v>
      </c>
      <c r="V7" s="236"/>
      <c r="W7" s="236"/>
      <c r="X7" s="236"/>
      <c r="Y7" s="236"/>
      <c r="Z7" s="832"/>
      <c r="AA7" s="833"/>
      <c r="AB7" s="833"/>
      <c r="AC7" s="833"/>
      <c r="AD7" s="834"/>
      <c r="AE7" s="863" t="s">
        <v>5214</v>
      </c>
      <c r="AF7" s="864"/>
      <c r="AG7" s="864"/>
      <c r="AH7" s="864"/>
      <c r="AI7" s="864"/>
      <c r="AJ7" s="832"/>
      <c r="AK7" s="833"/>
      <c r="AL7" s="833"/>
      <c r="AM7" s="833"/>
      <c r="AN7" s="834"/>
    </row>
    <row r="8" spans="1:40" x14ac:dyDescent="0.25">
      <c r="B8" s="631" t="str">
        <f>IF(Clan="Naga","Akasha","Vide")</f>
        <v>Vide</v>
      </c>
      <c r="C8" s="631"/>
      <c r="D8" s="783"/>
      <c r="E8" s="327">
        <f>IF($S$10="",1,1-$S$10)</f>
        <v>1</v>
      </c>
      <c r="F8" s="327">
        <f>IF($S$10="",2,2-$S$10)</f>
        <v>2</v>
      </c>
      <c r="G8" s="327">
        <f>IF($S$10="",3,3-$S$10)</f>
        <v>3</v>
      </c>
      <c r="H8" s="327">
        <f>IF($S$10="",4,4-$S$10)</f>
        <v>4</v>
      </c>
      <c r="I8" s="327">
        <f>IF($S$10="",5,5-$S$10)</f>
        <v>5</v>
      </c>
      <c r="J8" s="327">
        <f>IF($S$10="",6,6-$S$10)</f>
        <v>6</v>
      </c>
      <c r="K8" s="327">
        <f>IF($S$10="",7,7-$S$10)</f>
        <v>7</v>
      </c>
      <c r="L8" s="327">
        <f>IF($S$10="",8,8-$S$10)</f>
        <v>8</v>
      </c>
      <c r="M8" s="327">
        <f>IF($S$10="",9,9-$S$10)</f>
        <v>9</v>
      </c>
      <c r="N8" s="327">
        <f>IF($S$10="",10,10-$S$10)</f>
        <v>10</v>
      </c>
      <c r="O8" s="327">
        <f>IF($S$10="",11,11-$S$10)</f>
        <v>11</v>
      </c>
      <c r="P8" s="327">
        <f>IF($S$10="",12,12-$S$10)</f>
        <v>12</v>
      </c>
      <c r="Q8" s="327">
        <f>IF($S$10="",13,13-$S$10)</f>
        <v>13</v>
      </c>
      <c r="R8" s="327">
        <f>IF($S$10="",14,14-$S$10)</f>
        <v>14</v>
      </c>
      <c r="S8" s="327">
        <f>IF($S$10="",15,15-$S$10)</f>
        <v>15</v>
      </c>
      <c r="U8" s="248" t="s">
        <v>5215</v>
      </c>
      <c r="V8" s="249"/>
      <c r="W8" s="249"/>
      <c r="X8" s="249"/>
      <c r="Y8" s="249"/>
      <c r="Z8" s="250"/>
      <c r="AA8" s="832"/>
      <c r="AB8" s="833"/>
      <c r="AC8" s="833"/>
      <c r="AD8" s="833"/>
      <c r="AE8" s="833"/>
      <c r="AF8" s="833"/>
      <c r="AG8" s="833"/>
      <c r="AH8" s="833"/>
      <c r="AI8" s="833"/>
      <c r="AJ8" s="833"/>
      <c r="AK8" s="833"/>
      <c r="AL8" s="833"/>
      <c r="AM8" s="833"/>
      <c r="AN8" s="834"/>
    </row>
    <row r="9" spans="1:40" ht="13.95" customHeight="1" thickBot="1" x14ac:dyDescent="0.35">
      <c r="B9" s="328" t="s">
        <v>6004</v>
      </c>
      <c r="C9" s="328"/>
      <c r="D9" s="328"/>
      <c r="E9" s="328"/>
      <c r="F9" s="328"/>
      <c r="G9" s="328"/>
      <c r="H9" s="328"/>
      <c r="I9" s="328"/>
      <c r="J9" s="328"/>
      <c r="K9" s="328"/>
      <c r="L9" s="328"/>
      <c r="M9" s="329"/>
      <c r="N9" s="329"/>
      <c r="O9" s="329"/>
      <c r="P9" s="329"/>
      <c r="U9" s="320" t="s">
        <v>6002</v>
      </c>
      <c r="V9" s="321"/>
      <c r="W9" s="322"/>
      <c r="X9" s="832"/>
      <c r="Y9" s="833"/>
      <c r="Z9" s="833"/>
      <c r="AA9" s="833"/>
      <c r="AB9" s="833"/>
      <c r="AC9" s="833"/>
      <c r="AD9" s="833"/>
      <c r="AE9" s="833"/>
      <c r="AF9" s="833"/>
      <c r="AG9" s="833"/>
      <c r="AH9" s="833"/>
      <c r="AI9" s="833"/>
      <c r="AJ9" s="833"/>
      <c r="AK9" s="833"/>
      <c r="AL9" s="833"/>
      <c r="AM9" s="833"/>
      <c r="AN9" s="834"/>
    </row>
    <row r="10" spans="1:40" ht="12.6" customHeight="1" thickTop="1" x14ac:dyDescent="0.25">
      <c r="B10" s="843" t="s">
        <v>100</v>
      </c>
      <c r="C10" s="843"/>
      <c r="D10" s="535"/>
      <c r="E10" s="244"/>
      <c r="F10" s="844" t="s">
        <v>577</v>
      </c>
      <c r="G10" s="844"/>
      <c r="H10" s="535"/>
      <c r="I10" s="244"/>
      <c r="J10" s="843" t="s">
        <v>579</v>
      </c>
      <c r="K10" s="843"/>
      <c r="L10" s="535"/>
      <c r="M10" s="244"/>
      <c r="N10" s="843" t="s">
        <v>578</v>
      </c>
      <c r="O10" s="843"/>
      <c r="P10" s="535"/>
      <c r="Q10" s="836" t="str">
        <f>IF(Clan="Naga","Akasha","Vide")</f>
        <v>Vide</v>
      </c>
      <c r="R10" s="836"/>
      <c r="S10" s="535"/>
      <c r="U10" s="320" t="s">
        <v>7883</v>
      </c>
      <c r="V10" s="321"/>
      <c r="W10" s="322"/>
      <c r="X10" s="832"/>
      <c r="Y10" s="833"/>
      <c r="Z10" s="833"/>
      <c r="AA10" s="833"/>
      <c r="AB10" s="833"/>
      <c r="AC10" s="833"/>
      <c r="AD10" s="834"/>
      <c r="AE10" s="813" t="s">
        <v>6644</v>
      </c>
      <c r="AF10" s="814"/>
      <c r="AG10" s="832"/>
      <c r="AH10" s="833"/>
      <c r="AI10" s="833"/>
      <c r="AJ10" s="833"/>
      <c r="AK10" s="833"/>
      <c r="AL10" s="833"/>
      <c r="AM10" s="833"/>
      <c r="AN10" s="834"/>
    </row>
    <row r="11" spans="1:40" ht="7.95" customHeight="1" x14ac:dyDescent="0.25"/>
    <row r="12" spans="1:40" ht="16.2" thickBot="1" x14ac:dyDescent="0.35">
      <c r="B12" s="837" t="s">
        <v>5216</v>
      </c>
      <c r="C12" s="837"/>
      <c r="D12" s="837"/>
      <c r="E12" s="837"/>
      <c r="F12" s="837"/>
      <c r="G12" s="837"/>
      <c r="U12" s="328" t="s">
        <v>5587</v>
      </c>
      <c r="V12" s="328"/>
      <c r="W12" s="328"/>
      <c r="X12" s="328"/>
      <c r="Y12" s="328"/>
      <c r="Z12" s="328"/>
      <c r="AA12" s="328"/>
      <c r="AB12" s="328"/>
      <c r="AC12" s="328"/>
      <c r="AD12" s="328"/>
      <c r="AE12" s="328"/>
      <c r="AF12" s="328"/>
      <c r="AG12" s="328"/>
      <c r="AH12" s="328"/>
      <c r="AI12" s="328"/>
      <c r="AJ12" s="328"/>
      <c r="AK12" s="328"/>
      <c r="AL12" s="328"/>
      <c r="AM12" s="328"/>
    </row>
    <row r="13" spans="1:40" ht="2.4" customHeight="1" thickTop="1" x14ac:dyDescent="0.25">
      <c r="AG13" s="92"/>
      <c r="AH13" s="92"/>
      <c r="AI13" s="92"/>
      <c r="AJ13" s="92"/>
      <c r="AK13" s="92"/>
    </row>
    <row r="14" spans="1:40" x14ac:dyDescent="0.25">
      <c r="B14" s="797" t="s">
        <v>379</v>
      </c>
      <c r="C14" s="824"/>
      <c r="D14" s="798"/>
      <c r="E14" s="797" t="s">
        <v>3415</v>
      </c>
      <c r="F14" s="824"/>
      <c r="G14" s="824"/>
      <c r="H14" s="824"/>
      <c r="I14" s="824"/>
      <c r="J14" s="824"/>
      <c r="K14" s="824"/>
      <c r="L14" s="824"/>
      <c r="M14" s="824"/>
      <c r="N14" s="798"/>
      <c r="O14" s="827" t="s">
        <v>0</v>
      </c>
      <c r="P14" s="828"/>
      <c r="Q14" s="828"/>
      <c r="R14" s="797" t="s">
        <v>1</v>
      </c>
      <c r="S14" s="798"/>
      <c r="T14" s="238"/>
      <c r="U14" s="797" t="s">
        <v>379</v>
      </c>
      <c r="V14" s="824"/>
      <c r="W14" s="798"/>
      <c r="X14" s="797" t="s">
        <v>3415</v>
      </c>
      <c r="Y14" s="824"/>
      <c r="Z14" s="824"/>
      <c r="AA14" s="824"/>
      <c r="AB14" s="824"/>
      <c r="AC14" s="824"/>
      <c r="AD14" s="824"/>
      <c r="AE14" s="824"/>
      <c r="AF14" s="824"/>
      <c r="AG14" s="798"/>
      <c r="AH14" s="827" t="s">
        <v>57</v>
      </c>
      <c r="AI14" s="867"/>
      <c r="AJ14" s="256" t="s">
        <v>0</v>
      </c>
      <c r="AK14" s="256"/>
      <c r="AL14" s="256"/>
      <c r="AM14" s="797" t="s">
        <v>1</v>
      </c>
      <c r="AN14" s="798"/>
    </row>
    <row r="15" spans="1:40" ht="46.2" customHeight="1" x14ac:dyDescent="0.25">
      <c r="B15" s="722"/>
      <c r="C15" s="723"/>
      <c r="D15" s="724"/>
      <c r="E15" s="794"/>
      <c r="F15" s="795"/>
      <c r="G15" s="795"/>
      <c r="H15" s="795"/>
      <c r="I15" s="795"/>
      <c r="J15" s="795"/>
      <c r="K15" s="795"/>
      <c r="L15" s="795"/>
      <c r="M15" s="795"/>
      <c r="N15" s="796"/>
      <c r="O15" s="829" t="str">
        <f>IF(Verso2!B15="","",VLOOKUP(B15,Tatouages!A:D,3,FALSE))</f>
        <v/>
      </c>
      <c r="P15" s="830"/>
      <c r="Q15" s="830"/>
      <c r="R15" s="810" t="str">
        <f>IF(Verso2!B15="","",VLOOKUP(B15,Tatouages!A:D,4,FALSE))</f>
        <v/>
      </c>
      <c r="S15" s="811"/>
      <c r="T15" s="240"/>
      <c r="U15" s="722"/>
      <c r="V15" s="723"/>
      <c r="W15" s="724"/>
      <c r="X15" s="794" t="str">
        <f>IF(Verso2!U15="","",VLOOKUP(U15,Outremonde!$A$2:$E$62,2,FALSE))</f>
        <v/>
      </c>
      <c r="Y15" s="795"/>
      <c r="Z15" s="795"/>
      <c r="AA15" s="795"/>
      <c r="AB15" s="795"/>
      <c r="AC15" s="795"/>
      <c r="AD15" s="795"/>
      <c r="AE15" s="795"/>
      <c r="AF15" s="795"/>
      <c r="AG15" s="795"/>
      <c r="AH15" s="842" t="str">
        <f>IF(Verso2!U15="","",VLOOKUP(U15,Outremonde!$A$2:$E$62,3,FALSE))</f>
        <v/>
      </c>
      <c r="AI15" s="842"/>
      <c r="AJ15" s="831" t="str">
        <f>IF(Verso2!U15="","",VLOOKUP(U15,Outremonde!$A$2:$E$62,4,FALSE))</f>
        <v/>
      </c>
      <c r="AK15" s="831"/>
      <c r="AL15" s="831"/>
      <c r="AM15" s="810" t="str">
        <f>IF(Verso2!U15="","",VLOOKUP(U15,Outremonde!$A$2:$E$62,5,FALSE))</f>
        <v/>
      </c>
      <c r="AN15" s="811"/>
    </row>
    <row r="16" spans="1:40" ht="46.2" customHeight="1" x14ac:dyDescent="0.25">
      <c r="B16" s="722"/>
      <c r="C16" s="723"/>
      <c r="D16" s="724"/>
      <c r="E16" s="794" t="str">
        <f>IF(Verso2!B16="","",VLOOKUP(B16,Tatouages!A:B,2,FALSE))</f>
        <v/>
      </c>
      <c r="F16" s="795"/>
      <c r="G16" s="795"/>
      <c r="H16" s="795"/>
      <c r="I16" s="795"/>
      <c r="J16" s="795"/>
      <c r="K16" s="795"/>
      <c r="L16" s="795"/>
      <c r="M16" s="795"/>
      <c r="N16" s="796"/>
      <c r="O16" s="829" t="str">
        <f>IF(Verso2!B16="","",VLOOKUP(B16,Tatouages!A:D,3,FALSE))</f>
        <v/>
      </c>
      <c r="P16" s="830"/>
      <c r="Q16" s="830"/>
      <c r="R16" s="810" t="str">
        <f>IF(Verso2!B16="","",VLOOKUP(B16,Tatouages!A:D,4,FALSE))</f>
        <v/>
      </c>
      <c r="S16" s="811"/>
      <c r="T16" s="240"/>
      <c r="U16" s="722"/>
      <c r="V16" s="723"/>
      <c r="W16" s="724"/>
      <c r="X16" s="794" t="str">
        <f>IF(Verso2!U16="","",VLOOKUP(U16,Outremonde!$A$2:$E$62,2,FALSE))</f>
        <v/>
      </c>
      <c r="Y16" s="795"/>
      <c r="Z16" s="795"/>
      <c r="AA16" s="795"/>
      <c r="AB16" s="795"/>
      <c r="AC16" s="795"/>
      <c r="AD16" s="795"/>
      <c r="AE16" s="795"/>
      <c r="AF16" s="795"/>
      <c r="AG16" s="795"/>
      <c r="AH16" s="842" t="str">
        <f>IF(Verso2!U16="","",VLOOKUP(U16,Outremonde!$A$2:$E$62,3,FALSE))</f>
        <v/>
      </c>
      <c r="AI16" s="842"/>
      <c r="AJ16" s="831" t="str">
        <f>IF(Verso2!U16="","",VLOOKUP(U16,Outremonde!$A$2:$E$62,4,FALSE))</f>
        <v/>
      </c>
      <c r="AK16" s="831"/>
      <c r="AL16" s="831"/>
      <c r="AM16" s="810" t="str">
        <f>IF(Verso2!U16="","",VLOOKUP(U16,Outremonde!$A$2:$E$62,5,FALSE))</f>
        <v/>
      </c>
      <c r="AN16" s="811"/>
    </row>
    <row r="17" spans="1:40" ht="46.2" customHeight="1" x14ac:dyDescent="0.25">
      <c r="B17" s="722"/>
      <c r="C17" s="723"/>
      <c r="D17" s="724"/>
      <c r="E17" s="794" t="str">
        <f>IF(Verso2!B17="","",VLOOKUP(B17,Tatouages!A:B,2,FALSE))</f>
        <v/>
      </c>
      <c r="F17" s="795"/>
      <c r="G17" s="795"/>
      <c r="H17" s="795"/>
      <c r="I17" s="795"/>
      <c r="J17" s="795"/>
      <c r="K17" s="795"/>
      <c r="L17" s="795"/>
      <c r="M17" s="795"/>
      <c r="N17" s="796"/>
      <c r="O17" s="829" t="str">
        <f>IF(Verso2!B17="","",VLOOKUP(B17,Tatouages!A:D,3,FALSE))</f>
        <v/>
      </c>
      <c r="P17" s="830"/>
      <c r="Q17" s="830"/>
      <c r="R17" s="810" t="str">
        <f>IF(Verso2!B17="","",VLOOKUP(B17,Tatouages!A:D,4,FALSE))</f>
        <v/>
      </c>
      <c r="S17" s="811"/>
      <c r="T17" s="240"/>
      <c r="U17" s="722"/>
      <c r="V17" s="723"/>
      <c r="W17" s="724"/>
      <c r="X17" s="794" t="str">
        <f>IF(Verso2!U17="","",VLOOKUP(U17,Outremonde!$A$2:$E$62,2,FALSE))</f>
        <v/>
      </c>
      <c r="Y17" s="795"/>
      <c r="Z17" s="795"/>
      <c r="AA17" s="795"/>
      <c r="AB17" s="795"/>
      <c r="AC17" s="795"/>
      <c r="AD17" s="795"/>
      <c r="AE17" s="795"/>
      <c r="AF17" s="795"/>
      <c r="AG17" s="795"/>
      <c r="AH17" s="842" t="str">
        <f>IF(Verso2!U17="","",VLOOKUP(U17,Outremonde!$A$2:$E$62,3,FALSE))</f>
        <v/>
      </c>
      <c r="AI17" s="842"/>
      <c r="AJ17" s="831" t="str">
        <f>IF(Verso2!U17="","",VLOOKUP(U17,Outremonde!$A$2:$E$62,4,FALSE))</f>
        <v/>
      </c>
      <c r="AK17" s="831"/>
      <c r="AL17" s="831"/>
      <c r="AM17" s="810" t="str">
        <f>IF(Verso2!U17="","",VLOOKUP(U17,Outremonde!$A$2:$E$62,5,FALSE))</f>
        <v/>
      </c>
      <c r="AN17" s="811"/>
    </row>
    <row r="18" spans="1:40" ht="46.2" customHeight="1" x14ac:dyDescent="0.25">
      <c r="B18" s="722"/>
      <c r="C18" s="723"/>
      <c r="D18" s="724"/>
      <c r="E18" s="794" t="str">
        <f>IF(Verso2!B18="","",VLOOKUP(B18,Tatouages!A:B,2,FALSE))</f>
        <v/>
      </c>
      <c r="F18" s="795"/>
      <c r="G18" s="795"/>
      <c r="H18" s="795"/>
      <c r="I18" s="795"/>
      <c r="J18" s="795"/>
      <c r="K18" s="795"/>
      <c r="L18" s="795"/>
      <c r="M18" s="795"/>
      <c r="N18" s="796"/>
      <c r="O18" s="829" t="str">
        <f>IF(Verso2!B18="","",VLOOKUP(B18,Tatouages!A:D,3,FALSE))</f>
        <v/>
      </c>
      <c r="P18" s="830"/>
      <c r="Q18" s="830"/>
      <c r="R18" s="810" t="str">
        <f>IF(Verso2!B18="","",VLOOKUP(B18,Tatouages!A:D,4,FALSE))</f>
        <v/>
      </c>
      <c r="S18" s="811"/>
      <c r="T18" s="240"/>
      <c r="U18" s="722"/>
      <c r="V18" s="723"/>
      <c r="W18" s="724"/>
      <c r="X18" s="794" t="str">
        <f>IF(Verso2!U18="","",VLOOKUP(U18,Outremonde!$A$2:$E$62,2,FALSE))</f>
        <v/>
      </c>
      <c r="Y18" s="795"/>
      <c r="Z18" s="795"/>
      <c r="AA18" s="795"/>
      <c r="AB18" s="795"/>
      <c r="AC18" s="795"/>
      <c r="AD18" s="795"/>
      <c r="AE18" s="795"/>
      <c r="AF18" s="795"/>
      <c r="AG18" s="795"/>
      <c r="AH18" s="842" t="str">
        <f>IF(Verso2!U18="","",VLOOKUP(U18,Outremonde!$A$2:$E$62,3,FALSE))</f>
        <v/>
      </c>
      <c r="AI18" s="842"/>
      <c r="AJ18" s="831" t="str">
        <f>IF(Verso2!U18="","",VLOOKUP(U18,Outremonde!$A$2:$E$62,4,FALSE))</f>
        <v/>
      </c>
      <c r="AK18" s="831"/>
      <c r="AL18" s="831"/>
      <c r="AM18" s="810" t="str">
        <f>IF(Verso2!U18="","",VLOOKUP(U18,Outremonde!$A$2:$E$62,5,FALSE))</f>
        <v/>
      </c>
      <c r="AN18" s="811"/>
    </row>
    <row r="19" spans="1:40" ht="46.2" customHeight="1" x14ac:dyDescent="0.25">
      <c r="B19" s="722"/>
      <c r="C19" s="723"/>
      <c r="D19" s="724"/>
      <c r="E19" s="794" t="str">
        <f>IF(Verso2!B19="","",VLOOKUP(B19,Tatouages!A:B,2,FALSE))</f>
        <v/>
      </c>
      <c r="F19" s="795"/>
      <c r="G19" s="795"/>
      <c r="H19" s="795"/>
      <c r="I19" s="795"/>
      <c r="J19" s="795"/>
      <c r="K19" s="795"/>
      <c r="L19" s="795"/>
      <c r="M19" s="795"/>
      <c r="N19" s="796"/>
      <c r="O19" s="829" t="str">
        <f>IF(Verso2!B19="","",VLOOKUP(B19,Tatouages!A:D,3,FALSE))</f>
        <v/>
      </c>
      <c r="P19" s="830"/>
      <c r="Q19" s="830"/>
      <c r="R19" s="810" t="str">
        <f>IF(Verso2!B19="","",VLOOKUP(B19,Tatouages!A:D,4,FALSE))</f>
        <v/>
      </c>
      <c r="S19" s="811"/>
      <c r="T19" s="240"/>
      <c r="U19" s="722"/>
      <c r="V19" s="723"/>
      <c r="W19" s="724"/>
      <c r="X19" s="794" t="str">
        <f>IF(Verso2!U19="","",VLOOKUP(U19,Outremonde!$A$2:$E$62,2,FALSE))</f>
        <v/>
      </c>
      <c r="Y19" s="795"/>
      <c r="Z19" s="795"/>
      <c r="AA19" s="795"/>
      <c r="AB19" s="795"/>
      <c r="AC19" s="795"/>
      <c r="AD19" s="795"/>
      <c r="AE19" s="795"/>
      <c r="AF19" s="795"/>
      <c r="AG19" s="795"/>
      <c r="AH19" s="842" t="str">
        <f>IF(Verso2!U19="","",VLOOKUP(U19,Outremonde!$A$2:$E$62,3,FALSE))</f>
        <v/>
      </c>
      <c r="AI19" s="842"/>
      <c r="AJ19" s="831" t="str">
        <f>IF(Verso2!U19="","",VLOOKUP(U19,Outremonde!$A$2:$E$62,4,FALSE))</f>
        <v/>
      </c>
      <c r="AK19" s="831"/>
      <c r="AL19" s="831"/>
      <c r="AM19" s="810" t="str">
        <f>IF(Verso2!U19="","",VLOOKUP(U19,Outremonde!$A$2:$E$62,5,FALSE))</f>
        <v/>
      </c>
      <c r="AN19" s="811"/>
    </row>
    <row r="20" spans="1:40" ht="46.2" customHeight="1" x14ac:dyDescent="0.25">
      <c r="B20" s="722"/>
      <c r="C20" s="723"/>
      <c r="D20" s="724"/>
      <c r="E20" s="794" t="str">
        <f>IF(Verso2!B20="","",VLOOKUP(B20,Tatouages!A:B,2,FALSE))</f>
        <v/>
      </c>
      <c r="F20" s="795"/>
      <c r="G20" s="795"/>
      <c r="H20" s="795"/>
      <c r="I20" s="795"/>
      <c r="J20" s="795"/>
      <c r="K20" s="795"/>
      <c r="L20" s="795"/>
      <c r="M20" s="795"/>
      <c r="N20" s="796"/>
      <c r="O20" s="829" t="str">
        <f>IF(Verso2!B20="","",VLOOKUP(B20,Tatouages!A:D,3,FALSE))</f>
        <v/>
      </c>
      <c r="P20" s="830"/>
      <c r="Q20" s="830"/>
      <c r="R20" s="810" t="str">
        <f>IF(Verso2!B20="","",VLOOKUP(B20,Tatouages!A:D,4,FALSE))</f>
        <v/>
      </c>
      <c r="S20" s="811"/>
      <c r="T20" s="240"/>
      <c r="U20" s="722"/>
      <c r="V20" s="723"/>
      <c r="W20" s="724"/>
      <c r="X20" s="794" t="str">
        <f>IF(Verso2!U20="","",VLOOKUP(U20,Outremonde!$A$2:$E$62,2,FALSE))</f>
        <v/>
      </c>
      <c r="Y20" s="795"/>
      <c r="Z20" s="795"/>
      <c r="AA20" s="795"/>
      <c r="AB20" s="795"/>
      <c r="AC20" s="795"/>
      <c r="AD20" s="795"/>
      <c r="AE20" s="795"/>
      <c r="AF20" s="795"/>
      <c r="AG20" s="795"/>
      <c r="AH20" s="842" t="str">
        <f>IF(Verso2!U20="","",VLOOKUP(U20,Outremonde!$A$2:$E$62,3,FALSE))</f>
        <v/>
      </c>
      <c r="AI20" s="842"/>
      <c r="AJ20" s="831" t="str">
        <f>IF(Verso2!U20="","",VLOOKUP(U20,Outremonde!$A$2:$E$62,4,FALSE))</f>
        <v/>
      </c>
      <c r="AK20" s="831"/>
      <c r="AL20" s="831"/>
      <c r="AM20" s="810" t="str">
        <f>IF(Verso2!U20="","",VLOOKUP(U20,Outremonde!$A$2:$E$62,5,FALSE))</f>
        <v/>
      </c>
      <c r="AN20" s="811"/>
    </row>
    <row r="21" spans="1:40" ht="46.2" customHeight="1" x14ac:dyDescent="0.25">
      <c r="B21" s="722"/>
      <c r="C21" s="723"/>
      <c r="D21" s="724"/>
      <c r="E21" s="794" t="str">
        <f>IF(Verso2!B21="","",VLOOKUP(B21,Tatouages!A:B,2,FALSE))</f>
        <v/>
      </c>
      <c r="F21" s="795"/>
      <c r="G21" s="795"/>
      <c r="H21" s="795"/>
      <c r="I21" s="795"/>
      <c r="J21" s="795"/>
      <c r="K21" s="795"/>
      <c r="L21" s="795"/>
      <c r="M21" s="795"/>
      <c r="N21" s="796"/>
      <c r="O21" s="829" t="str">
        <f>IF(Verso2!B21="","",VLOOKUP(B21,Tatouages!A:D,3,FALSE))</f>
        <v/>
      </c>
      <c r="P21" s="830"/>
      <c r="Q21" s="830"/>
      <c r="R21" s="810" t="str">
        <f>IF(Verso2!B21="","",VLOOKUP(B21,Tatouages!A:D,4,FALSE))</f>
        <v/>
      </c>
      <c r="S21" s="811"/>
      <c r="T21" s="240"/>
      <c r="U21" s="722"/>
      <c r="V21" s="723"/>
      <c r="W21" s="724"/>
      <c r="X21" s="794" t="str">
        <f>IF(Verso2!U21="","",VLOOKUP(U21,Outremonde!$A$2:$E$62,2,FALSE))</f>
        <v/>
      </c>
      <c r="Y21" s="795"/>
      <c r="Z21" s="795"/>
      <c r="AA21" s="795"/>
      <c r="AB21" s="795"/>
      <c r="AC21" s="795"/>
      <c r="AD21" s="795"/>
      <c r="AE21" s="795"/>
      <c r="AF21" s="795"/>
      <c r="AG21" s="795"/>
      <c r="AH21" s="842" t="str">
        <f>IF(Verso2!U21="","",VLOOKUP(U21,Outremonde!$A$2:$E$62,3,FALSE))</f>
        <v/>
      </c>
      <c r="AI21" s="842"/>
      <c r="AJ21" s="831" t="str">
        <f>IF(Verso2!U21="","",VLOOKUP(U21,Outremonde!$A$2:$E$62,4,FALSE))</f>
        <v/>
      </c>
      <c r="AK21" s="831"/>
      <c r="AL21" s="831"/>
      <c r="AM21" s="810" t="str">
        <f>IF(Verso2!U21="","",VLOOKUP(U21,Outremonde!$A$2:$E$62,5,FALSE))</f>
        <v/>
      </c>
      <c r="AN21" s="811"/>
    </row>
    <row r="22" spans="1:40" ht="2.4" customHeight="1" x14ac:dyDescent="0.25">
      <c r="T22" s="91"/>
      <c r="U22" s="91"/>
      <c r="AG22" s="91"/>
    </row>
    <row r="23" spans="1:40" ht="13.95" customHeight="1" thickBot="1" x14ac:dyDescent="0.35">
      <c r="B23" s="825" t="s">
        <v>5223</v>
      </c>
      <c r="C23" s="825"/>
      <c r="D23" s="825"/>
      <c r="E23" s="825"/>
      <c r="F23" s="229"/>
      <c r="G23" s="229"/>
      <c r="H23" s="229"/>
      <c r="I23" s="229"/>
      <c r="J23" s="229"/>
      <c r="K23" s="229"/>
      <c r="L23" s="229"/>
      <c r="U23" s="328" t="s">
        <v>7715</v>
      </c>
      <c r="V23" s="328"/>
      <c r="W23" s="328"/>
      <c r="X23" s="328"/>
      <c r="Y23" s="328"/>
      <c r="Z23" s="328"/>
      <c r="AA23" s="328"/>
      <c r="AB23" s="328"/>
      <c r="AC23" s="328"/>
      <c r="AD23" s="328"/>
      <c r="AE23" s="257">
        <f>ROUNDDOWN(Recto!H8,0)</f>
        <v>0</v>
      </c>
      <c r="AG23" s="631" t="str">
        <f>VLOOKUP(AE23,Tableaux!AB2:AC12,2,0)</f>
        <v>Germes des ténèbres</v>
      </c>
      <c r="AH23" s="631"/>
      <c r="AI23" s="631"/>
      <c r="AJ23" s="631"/>
      <c r="AK23" s="631"/>
      <c r="AL23" s="631"/>
      <c r="AM23" s="631"/>
      <c r="AN23" s="631"/>
    </row>
    <row r="24" spans="1:40" ht="10.199999999999999" customHeight="1" thickTop="1" thickBot="1" x14ac:dyDescent="0.3">
      <c r="B24" s="812"/>
      <c r="C24" s="812"/>
      <c r="D24" s="812"/>
      <c r="E24" s="812"/>
    </row>
    <row r="25" spans="1:40" s="196" customFormat="1" ht="6.6" customHeight="1" thickTop="1" x14ac:dyDescent="0.25">
      <c r="A25" s="224"/>
      <c r="U25" s="234" t="s">
        <v>4653</v>
      </c>
      <c r="V25" s="234" t="s">
        <v>4572</v>
      </c>
      <c r="W25" s="234" t="s">
        <v>4573</v>
      </c>
    </row>
    <row r="26" spans="1:40" x14ac:dyDescent="0.25">
      <c r="B26" s="797" t="s">
        <v>57</v>
      </c>
      <c r="C26" s="824"/>
      <c r="D26" s="798"/>
      <c r="E26" s="797" t="s">
        <v>4574</v>
      </c>
      <c r="F26" s="824"/>
      <c r="G26" s="824"/>
      <c r="H26" s="824"/>
      <c r="I26" s="824"/>
      <c r="J26" s="824"/>
      <c r="K26" s="824"/>
      <c r="L26" s="824"/>
      <c r="M26" s="824"/>
      <c r="N26" s="824"/>
      <c r="O26" s="824"/>
      <c r="P26" s="798"/>
      <c r="Q26" s="823" t="s">
        <v>5588</v>
      </c>
      <c r="R26" s="823"/>
      <c r="S26" s="823"/>
      <c r="T26" s="823"/>
      <c r="U26" s="823" t="s">
        <v>1881</v>
      </c>
      <c r="V26" s="823"/>
      <c r="W26" s="823"/>
      <c r="X26" s="823" t="s">
        <v>5079</v>
      </c>
      <c r="Y26" s="823"/>
      <c r="Z26" s="823"/>
      <c r="AA26" s="823" t="s">
        <v>5225</v>
      </c>
      <c r="AB26" s="823"/>
      <c r="AC26" s="823"/>
      <c r="AD26" s="835" t="s">
        <v>0</v>
      </c>
      <c r="AE26" s="835"/>
      <c r="AF26" s="835"/>
      <c r="AG26" s="835"/>
      <c r="AH26" s="835"/>
      <c r="AI26" s="823" t="s">
        <v>1</v>
      </c>
      <c r="AJ26" s="823"/>
      <c r="AK26" s="823" t="s">
        <v>5579</v>
      </c>
      <c r="AL26" s="823"/>
      <c r="AM26" s="823"/>
      <c r="AN26" s="237"/>
    </row>
    <row r="27" spans="1:40" ht="13.2" customHeight="1" x14ac:dyDescent="0.25">
      <c r="A27" s="224">
        <f>IF(B27="Arcs",1,IF(B27="Armes à chaîne",2,IF(B27="Armes à Feu",3,IF(B27="Armes d'hast",4,IF(B27="Armes Lourdes",5,IF(B27="Armure",6,IF(B27="Bâtons",7,IF(B27="Contenants",8,IF(B27="Couteaux",9,IF(B27="Engins de siège",10,IF(B27="Flèches",11,IF(B27="Inst. à Corde",12,IF(B27="Inst. à Percution",13,IF(B27="Inst. à Vent",14,IF(B27="Kenjutsu",15,IF(B27="Lances",16,IF(B27="Ninjutsu",17,IF(B27="Nourriture",18,IF(B27="Outils",19,IF(B27="Survie",20,IF(B27="Tessen",21,IF(B27="Vêtements",22,IF(B27="Explosifs",23,0)))))))))))))))))))))))</f>
        <v>0</v>
      </c>
      <c r="B27" s="722"/>
      <c r="C27" s="723"/>
      <c r="D27" s="724"/>
      <c r="E27" s="816"/>
      <c r="F27" s="817"/>
      <c r="G27" s="817"/>
      <c r="H27" s="817"/>
      <c r="I27" s="817"/>
      <c r="J27" s="817"/>
      <c r="K27" s="817"/>
      <c r="L27" s="817"/>
      <c r="M27" s="817"/>
      <c r="N27" s="817"/>
      <c r="O27" s="817"/>
      <c r="P27" s="818"/>
      <c r="Q27" s="826" t="str">
        <f>IF(E27="","",VLOOKUP(E27,Objets!$A$3:$Q$298,15,0))</f>
        <v/>
      </c>
      <c r="R27" s="826"/>
      <c r="S27" s="826"/>
      <c r="T27" s="826"/>
      <c r="U27" s="325" t="str">
        <f>IF(E27="","",VLOOKUP(E27,Objets!$A$3:$O$298,3,FALSE))</f>
        <v/>
      </c>
      <c r="V27" s="325" t="str">
        <f>IF(E27="","",VLOOKUP(E27,Objets!$A$3:$O$298,4,FALSE))</f>
        <v/>
      </c>
      <c r="W27" s="325" t="str">
        <f>IF(E27="","",VLOOKUP(E27,Objets!$A$3:$O$298,5,FALSE))</f>
        <v/>
      </c>
      <c r="X27" s="819" t="str">
        <f>IF(E27="","",VLOOKUP(E27,Objets!$A$3:$O$298,6,FALSE))</f>
        <v/>
      </c>
      <c r="Y27" s="819"/>
      <c r="Z27" s="819"/>
      <c r="AA27" s="230" t="str">
        <f>IF(E27="","",VLOOKUP(E27,Objets!$A$3:$O$298,9,FALSE))</f>
        <v/>
      </c>
      <c r="AB27" s="230" t="s">
        <v>1880</v>
      </c>
      <c r="AC27" s="230" t="str">
        <f>IF(E27="","",VLOOKUP(E27,Objets!$A$3:$O$298,11,FALSE))</f>
        <v/>
      </c>
      <c r="AD27" s="826" t="str">
        <f>IF(E27="","",VLOOKUP(E27,Objets!$A$3:$O$298,7,FALSE))</f>
        <v/>
      </c>
      <c r="AE27" s="826"/>
      <c r="AF27" s="826"/>
      <c r="AG27" s="826"/>
      <c r="AH27" s="826"/>
      <c r="AI27" s="819" t="str">
        <f>IF(E27="","",VLOOKUP(E27,Objets!$A$3:$O$298,8,FALSE))</f>
        <v/>
      </c>
      <c r="AJ27" s="819"/>
      <c r="AK27" s="846"/>
      <c r="AL27" s="846"/>
      <c r="AM27" s="846"/>
      <c r="AN27" s="242"/>
    </row>
    <row r="28" spans="1:40" ht="13.2" customHeight="1" x14ac:dyDescent="0.25">
      <c r="A28" s="224">
        <f t="shared" ref="A28:A52" si="0">IF(B28="Arcs",1,IF(B28="Armes à chaîne",2,IF(B28="Armes à Feu",3,IF(B28="Armes d'hast",4,IF(B28="Armes Lourdes",5,IF(B28="Armure",6,IF(B28="Bâtons",7,IF(B28="Contenants",8,IF(B28="Couteaux",9,IF(B28="Engins de siège",10,IF(B28="Flèches",11,IF(B28="Inst. à Corde",12,IF(B28="Inst. à Percution",13,IF(B28="Inst. à Vent",14,IF(B28="Kenjutsu",15,IF(B28="Lances",16,IF(B28="Ninjutsu",17,IF(B28="Nourriture",18,IF(B28="Outils",19,IF(B28="Survie",20,IF(B28="Tessen",21,IF(B28="Vêtements",22,IF(B28="Explosifs",23,0)))))))))))))))))))))))</f>
        <v>0</v>
      </c>
      <c r="B28" s="722"/>
      <c r="C28" s="723"/>
      <c r="D28" s="724"/>
      <c r="E28" s="816" t="s">
        <v>7680</v>
      </c>
      <c r="F28" s="817"/>
      <c r="G28" s="817"/>
      <c r="H28" s="817"/>
      <c r="I28" s="817"/>
      <c r="J28" s="817"/>
      <c r="K28" s="817"/>
      <c r="L28" s="817"/>
      <c r="M28" s="817"/>
      <c r="N28" s="817"/>
      <c r="O28" s="817"/>
      <c r="P28" s="818"/>
      <c r="Q28" s="826" t="str">
        <f>IF(E28="","",VLOOKUP(E28,Objets!$A$3:$Q$298,15,0))</f>
        <v/>
      </c>
      <c r="R28" s="826"/>
      <c r="S28" s="826"/>
      <c r="T28" s="826"/>
      <c r="U28" s="325" t="str">
        <f>IF(E28="","",VLOOKUP(E28,Objets!$A$3:$O$298,3,FALSE))</f>
        <v/>
      </c>
      <c r="V28" s="325" t="str">
        <f>IF(E28="","",VLOOKUP(E28,Objets!$A$3:$O$298,4,FALSE))</f>
        <v/>
      </c>
      <c r="W28" s="325" t="str">
        <f>IF(E28="","",VLOOKUP(E28,Objets!$A$3:$O$298,5,FALSE))</f>
        <v/>
      </c>
      <c r="X28" s="819" t="str">
        <f>IF(E28="","",VLOOKUP(E28,Objets!$A$3:$O$298,6,FALSE))</f>
        <v/>
      </c>
      <c r="Y28" s="819"/>
      <c r="Z28" s="819"/>
      <c r="AA28" s="230" t="str">
        <f>IF(E28="","",VLOOKUP(E28,Objets!$A$3:$O$298,9,FALSE))</f>
        <v/>
      </c>
      <c r="AB28" s="230" t="s">
        <v>1880</v>
      </c>
      <c r="AC28" s="230" t="str">
        <f>IF(E28="","",VLOOKUP(E28,Objets!$A$3:$O$298,11,FALSE))</f>
        <v/>
      </c>
      <c r="AD28" s="826" t="str">
        <f>IF(E28="","",VLOOKUP(E28,Objets!$A$3:$O$298,7,FALSE))</f>
        <v/>
      </c>
      <c r="AE28" s="826"/>
      <c r="AF28" s="826"/>
      <c r="AG28" s="826"/>
      <c r="AH28" s="826"/>
      <c r="AI28" s="819" t="str">
        <f>IF(E28="","",VLOOKUP(E28,Objets!$A$3:$O$298,8,FALSE))</f>
        <v/>
      </c>
      <c r="AJ28" s="819"/>
      <c r="AK28" s="846"/>
      <c r="AL28" s="846"/>
      <c r="AM28" s="846"/>
      <c r="AN28" s="242"/>
    </row>
    <row r="29" spans="1:40" ht="13.2" customHeight="1" x14ac:dyDescent="0.25">
      <c r="A29" s="224">
        <f t="shared" si="0"/>
        <v>0</v>
      </c>
      <c r="B29" s="722"/>
      <c r="C29" s="723"/>
      <c r="D29" s="724"/>
      <c r="E29" s="816" t="s">
        <v>7680</v>
      </c>
      <c r="F29" s="817"/>
      <c r="G29" s="817"/>
      <c r="H29" s="817"/>
      <c r="I29" s="817"/>
      <c r="J29" s="817"/>
      <c r="K29" s="817"/>
      <c r="L29" s="817"/>
      <c r="M29" s="817"/>
      <c r="N29" s="817"/>
      <c r="O29" s="817"/>
      <c r="P29" s="818"/>
      <c r="Q29" s="826" t="str">
        <f>IF(E29="","",VLOOKUP(E29,Objets!$A$3:$Q$298,15,0))</f>
        <v/>
      </c>
      <c r="R29" s="826"/>
      <c r="S29" s="826"/>
      <c r="T29" s="826"/>
      <c r="U29" s="325" t="str">
        <f>IF(E29="","",VLOOKUP(E29,Objets!$A$3:$O$298,3,FALSE))</f>
        <v/>
      </c>
      <c r="V29" s="325" t="str">
        <f>IF(E29="","",VLOOKUP(E29,Objets!$A$3:$O$298,4,FALSE))</f>
        <v/>
      </c>
      <c r="W29" s="325" t="str">
        <f>IF(E29="","",VLOOKUP(E29,Objets!$A$3:$O$298,5,FALSE))</f>
        <v/>
      </c>
      <c r="X29" s="819" t="str">
        <f>IF(E29="","",VLOOKUP(E29,Objets!$A$3:$O$298,6,FALSE))</f>
        <v/>
      </c>
      <c r="Y29" s="819"/>
      <c r="Z29" s="819"/>
      <c r="AA29" s="230" t="str">
        <f>IF(E29="","",VLOOKUP(E29,Objets!$A$3:$O$298,9,FALSE))</f>
        <v/>
      </c>
      <c r="AB29" s="230" t="s">
        <v>1880</v>
      </c>
      <c r="AC29" s="230" t="str">
        <f>IF(E29="","",VLOOKUP(E29,Objets!$A$3:$O$298,11,FALSE))</f>
        <v/>
      </c>
      <c r="AD29" s="826" t="str">
        <f>IF(E29="","",VLOOKUP(E29,Objets!$A$3:$O$298,7,FALSE))</f>
        <v/>
      </c>
      <c r="AE29" s="826"/>
      <c r="AF29" s="826"/>
      <c r="AG29" s="826"/>
      <c r="AH29" s="826"/>
      <c r="AI29" s="819" t="str">
        <f>IF(E29="","",VLOOKUP(E29,Objets!$A$3:$O$298,8,FALSE))</f>
        <v/>
      </c>
      <c r="AJ29" s="819"/>
      <c r="AK29" s="846"/>
      <c r="AL29" s="846"/>
      <c r="AM29" s="846"/>
      <c r="AN29" s="242"/>
    </row>
    <row r="30" spans="1:40" x14ac:dyDescent="0.25">
      <c r="A30" s="224">
        <f t="shared" si="0"/>
        <v>0</v>
      </c>
      <c r="B30" s="722"/>
      <c r="C30" s="723"/>
      <c r="D30" s="724"/>
      <c r="E30" s="816"/>
      <c r="F30" s="817"/>
      <c r="G30" s="817"/>
      <c r="H30" s="817"/>
      <c r="I30" s="817"/>
      <c r="J30" s="817"/>
      <c r="K30" s="817"/>
      <c r="L30" s="817"/>
      <c r="M30" s="817"/>
      <c r="N30" s="817"/>
      <c r="O30" s="817"/>
      <c r="P30" s="818"/>
      <c r="Q30" s="826" t="str">
        <f>IF(E30="","",VLOOKUP(E30,Objets!$A$3:$Q$298,15,0))</f>
        <v/>
      </c>
      <c r="R30" s="826"/>
      <c r="S30" s="826"/>
      <c r="T30" s="826"/>
      <c r="U30" s="325" t="str">
        <f>IF(E30="","",VLOOKUP(E30,Objets!$A$3:$O$298,3,FALSE))</f>
        <v/>
      </c>
      <c r="V30" s="325" t="str">
        <f>IF(E30="","",VLOOKUP(E30,Objets!$A$3:$O$298,4,FALSE))</f>
        <v/>
      </c>
      <c r="W30" s="325" t="str">
        <f>IF(E30="","",VLOOKUP(E30,Objets!$A$3:$O$298,5,FALSE))</f>
        <v/>
      </c>
      <c r="X30" s="819" t="str">
        <f>IF(E30="","",VLOOKUP(E30,Objets!$A$3:$O$298,6,FALSE))</f>
        <v/>
      </c>
      <c r="Y30" s="819"/>
      <c r="Z30" s="819"/>
      <c r="AA30" s="230" t="str">
        <f>IF(E30="","",VLOOKUP(E30,Objets!$A$3:$O$298,9,FALSE))</f>
        <v/>
      </c>
      <c r="AB30" s="230" t="s">
        <v>1880</v>
      </c>
      <c r="AC30" s="230" t="str">
        <f>IF(E30="","",VLOOKUP(E30,Objets!$A$3:$O$298,11,FALSE))</f>
        <v/>
      </c>
      <c r="AD30" s="826" t="str">
        <f>IF(E30="","",VLOOKUP(E30,Objets!$A$3:$O$298,7,FALSE))</f>
        <v/>
      </c>
      <c r="AE30" s="826"/>
      <c r="AF30" s="826"/>
      <c r="AG30" s="826"/>
      <c r="AH30" s="826"/>
      <c r="AI30" s="819" t="str">
        <f>IF(E30="","",VLOOKUP(E30,Objets!$A$3:$O$298,8,FALSE))</f>
        <v/>
      </c>
      <c r="AJ30" s="819"/>
      <c r="AK30" s="846"/>
      <c r="AL30" s="846"/>
      <c r="AM30" s="846"/>
      <c r="AN30" s="242"/>
    </row>
    <row r="31" spans="1:40" ht="3" customHeight="1" x14ac:dyDescent="0.25">
      <c r="AG31" s="204"/>
      <c r="AH31" s="196"/>
      <c r="AI31" s="199"/>
      <c r="AJ31" s="196"/>
    </row>
    <row r="32" spans="1:40" ht="16.2" thickBot="1" x14ac:dyDescent="0.35">
      <c r="B32" s="328" t="s">
        <v>5226</v>
      </c>
      <c r="C32" s="328"/>
      <c r="D32" s="328"/>
      <c r="E32" s="328"/>
      <c r="F32" s="328"/>
      <c r="G32" s="328"/>
      <c r="H32" s="328"/>
      <c r="I32" s="328"/>
      <c r="J32" s="328"/>
      <c r="K32" s="328"/>
      <c r="L32" s="328"/>
      <c r="M32" s="328"/>
      <c r="N32" s="328"/>
      <c r="O32" s="328"/>
      <c r="P32" s="328"/>
      <c r="Q32" s="328"/>
      <c r="R32" s="328"/>
      <c r="S32" s="328"/>
      <c r="T32" s="328"/>
      <c r="U32" s="196"/>
      <c r="AC32" s="196"/>
      <c r="AG32" s="204"/>
      <c r="AH32" s="196"/>
      <c r="AI32" s="812" t="s">
        <v>5567</v>
      </c>
      <c r="AJ32" s="812"/>
      <c r="AK32" s="812"/>
      <c r="AL32" s="812"/>
      <c r="AM32" s="551"/>
      <c r="AN32" s="241"/>
    </row>
    <row r="33" spans="1:44" ht="4.2" customHeight="1" thickTop="1" x14ac:dyDescent="0.25">
      <c r="B33" s="196"/>
      <c r="C33" s="196"/>
      <c r="D33" s="196"/>
      <c r="E33" s="196"/>
      <c r="F33" s="196"/>
      <c r="G33" s="196"/>
      <c r="H33" s="196"/>
      <c r="I33" s="196"/>
      <c r="J33" s="196"/>
      <c r="K33" s="196"/>
      <c r="L33" s="196"/>
      <c r="M33" s="196"/>
      <c r="N33" s="196"/>
      <c r="O33" s="196"/>
      <c r="P33" s="196"/>
      <c r="Q33" s="196"/>
      <c r="U33" s="196"/>
      <c r="AC33" s="196"/>
      <c r="AG33" s="199"/>
      <c r="AH33" s="196"/>
      <c r="AI33" s="205"/>
      <c r="AJ33" s="196"/>
    </row>
    <row r="34" spans="1:44" ht="6.6" customHeight="1" x14ac:dyDescent="0.25">
      <c r="B34" s="196"/>
      <c r="C34" s="196"/>
      <c r="D34" s="196"/>
      <c r="E34" s="196"/>
      <c r="F34" s="196"/>
      <c r="G34" s="196"/>
      <c r="H34" s="196"/>
      <c r="I34" s="196"/>
      <c r="J34" s="196"/>
      <c r="K34" s="196"/>
      <c r="L34" s="196"/>
      <c r="M34" s="196"/>
      <c r="N34" s="196"/>
      <c r="O34" s="196"/>
      <c r="P34" s="196"/>
      <c r="Q34" s="234" t="s">
        <v>4653</v>
      </c>
      <c r="R34" s="234" t="s">
        <v>4572</v>
      </c>
      <c r="S34" s="234" t="s">
        <v>4573</v>
      </c>
      <c r="U34" s="196"/>
      <c r="AC34" s="196"/>
      <c r="AG34" s="199"/>
      <c r="AH34" s="196"/>
      <c r="AI34" s="847" t="s">
        <v>4653</v>
      </c>
      <c r="AJ34" s="848"/>
      <c r="AK34" s="847" t="s">
        <v>4572</v>
      </c>
      <c r="AL34" s="848"/>
      <c r="AM34" s="847" t="s">
        <v>4573</v>
      </c>
      <c r="AN34" s="848"/>
    </row>
    <row r="35" spans="1:44" x14ac:dyDescent="0.25">
      <c r="A35" s="572"/>
      <c r="B35" s="823" t="s">
        <v>57</v>
      </c>
      <c r="C35" s="823"/>
      <c r="D35" s="823"/>
      <c r="E35" s="823" t="s">
        <v>4574</v>
      </c>
      <c r="F35" s="823"/>
      <c r="G35" s="823"/>
      <c r="H35" s="823"/>
      <c r="I35" s="823"/>
      <c r="J35" s="823"/>
      <c r="K35" s="823"/>
      <c r="L35" s="823"/>
      <c r="M35" s="823"/>
      <c r="N35" s="823"/>
      <c r="O35" s="823"/>
      <c r="P35" s="823"/>
      <c r="Q35" s="823" t="s">
        <v>1881</v>
      </c>
      <c r="R35" s="823"/>
      <c r="S35" s="823"/>
      <c r="T35" s="823" t="s">
        <v>5079</v>
      </c>
      <c r="U35" s="823"/>
      <c r="V35" s="823"/>
      <c r="W35" s="835" t="s">
        <v>0</v>
      </c>
      <c r="X35" s="835"/>
      <c r="Y35" s="835"/>
      <c r="Z35" s="835"/>
      <c r="AA35" s="835"/>
      <c r="AB35" s="835"/>
      <c r="AC35" s="823" t="s">
        <v>1</v>
      </c>
      <c r="AD35" s="823"/>
      <c r="AE35" s="823" t="s">
        <v>5579</v>
      </c>
      <c r="AF35" s="823"/>
      <c r="AG35" s="823"/>
      <c r="AH35" s="196"/>
      <c r="AI35" s="849"/>
      <c r="AJ35" s="850"/>
      <c r="AK35" s="849"/>
      <c r="AL35" s="850"/>
      <c r="AM35" s="849"/>
      <c r="AN35" s="850"/>
    </row>
    <row r="36" spans="1:44" x14ac:dyDescent="0.25">
      <c r="A36" s="573">
        <f t="shared" si="0"/>
        <v>0</v>
      </c>
      <c r="B36" s="815"/>
      <c r="C36" s="815"/>
      <c r="D36" s="815"/>
      <c r="E36" s="816" t="s">
        <v>7680</v>
      </c>
      <c r="F36" s="817"/>
      <c r="G36" s="817"/>
      <c r="H36" s="817"/>
      <c r="I36" s="817"/>
      <c r="J36" s="817"/>
      <c r="K36" s="817"/>
      <c r="L36" s="817"/>
      <c r="M36" s="817"/>
      <c r="N36" s="817"/>
      <c r="O36" s="817"/>
      <c r="P36" s="818"/>
      <c r="Q36" s="231" t="str">
        <f>IF(E36="","",VLOOKUP(E36,Objets!$A$5:$O$298,3,FALSE))</f>
        <v/>
      </c>
      <c r="R36" s="231" t="str">
        <f>IF(E36="","",VLOOKUP(E36,Objets!$A$5:$O$298,4,FALSE))</f>
        <v/>
      </c>
      <c r="S36" s="231" t="str">
        <f>IF(E36="","",VLOOKUP(E36,Objets!$A$5:$O$298,5,FALSE))</f>
        <v/>
      </c>
      <c r="T36" s="819" t="str">
        <f>IF(E36="","",VLOOKUP(E36,Objets!$A$5:$O$298,6,FALSE))</f>
        <v/>
      </c>
      <c r="U36" s="819"/>
      <c r="V36" s="819"/>
      <c r="W36" s="820" t="str">
        <f>IF(E36="","",VLOOKUP(E36,Objets!$A$5:$O$298,7,FALSE))</f>
        <v/>
      </c>
      <c r="X36" s="821"/>
      <c r="Y36" s="821"/>
      <c r="Z36" s="821"/>
      <c r="AA36" s="821"/>
      <c r="AB36" s="822"/>
      <c r="AC36" s="819" t="str">
        <f>IF(E36="","",VLOOKUP(E36,Objets!$A$5:$O$298,8,FALSE))</f>
        <v/>
      </c>
      <c r="AD36" s="819"/>
      <c r="AE36" s="846"/>
      <c r="AF36" s="846"/>
      <c r="AG36" s="846"/>
      <c r="AH36" s="196"/>
      <c r="AI36" s="851">
        <f>IF(Recto!$J$4="",0,VLOOKUP(Recto!$J$4,Ecoles!A:S,16,0))+IF(Avantages!N267=TRUE,2,0)+IF(Avantages!N268=TRUE,4,0)+IF(Avantages!N22=TRUE,6,0)+IF(Avantages!N265=TRUE,8,0)+IF(Avantages!N264=TRUE,10,0)</f>
        <v>0</v>
      </c>
      <c r="AJ36" s="851"/>
      <c r="AK36" s="851">
        <f>IF(Recto!$J$4="",0,VLOOKUP(Recto!$J$4,Ecoles!A:S,17,0))</f>
        <v>0</v>
      </c>
      <c r="AL36" s="851"/>
      <c r="AM36" s="851">
        <f>IF(Recto!$J$4="",0,VLOOKUP(Recto!$J$4,Ecoles!A:S,18,0))</f>
        <v>0</v>
      </c>
      <c r="AN36" s="851"/>
      <c r="AQ36" s="196"/>
      <c r="AR36" s="196"/>
    </row>
    <row r="37" spans="1:44" x14ac:dyDescent="0.25">
      <c r="A37" s="573">
        <f t="shared" si="0"/>
        <v>0</v>
      </c>
      <c r="B37" s="815"/>
      <c r="C37" s="815"/>
      <c r="D37" s="815"/>
      <c r="E37" s="816" t="s">
        <v>7680</v>
      </c>
      <c r="F37" s="817"/>
      <c r="G37" s="817"/>
      <c r="H37" s="817"/>
      <c r="I37" s="817"/>
      <c r="J37" s="817"/>
      <c r="K37" s="817"/>
      <c r="L37" s="817"/>
      <c r="M37" s="817"/>
      <c r="N37" s="817"/>
      <c r="O37" s="817"/>
      <c r="P37" s="818"/>
      <c r="Q37" s="231" t="str">
        <f>IF(E37="","",VLOOKUP(E37,Objets!$A$5:$O$298,3,FALSE))</f>
        <v/>
      </c>
      <c r="R37" s="231" t="str">
        <f>IF(E37="","",VLOOKUP(E37,Objets!$A$5:$O$298,4,FALSE))</f>
        <v/>
      </c>
      <c r="S37" s="231" t="str">
        <f>IF(E37="","",VLOOKUP(E37,Objets!$A$5:$O$298,5,FALSE))</f>
        <v/>
      </c>
      <c r="T37" s="819" t="str">
        <f>IF(E37="","",VLOOKUP(E37,Objets!$A$5:$O$298,6,FALSE))</f>
        <v/>
      </c>
      <c r="U37" s="819"/>
      <c r="V37" s="819"/>
      <c r="W37" s="820" t="str">
        <f>IF(E37="","",VLOOKUP(E37,Objets!$A$5:$O$298,7,FALSE))</f>
        <v/>
      </c>
      <c r="X37" s="821"/>
      <c r="Y37" s="821"/>
      <c r="Z37" s="821"/>
      <c r="AA37" s="821"/>
      <c r="AB37" s="822"/>
      <c r="AC37" s="819" t="str">
        <f>IF(E37="","",VLOOKUP(E37,Objets!$A$5:$O$298,8,FALSE))</f>
        <v/>
      </c>
      <c r="AD37" s="819"/>
      <c r="AE37" s="846"/>
      <c r="AF37" s="846"/>
      <c r="AG37" s="846"/>
      <c r="AH37" s="196"/>
      <c r="AI37" s="851"/>
      <c r="AJ37" s="851"/>
      <c r="AK37" s="851"/>
      <c r="AL37" s="851"/>
      <c r="AM37" s="851"/>
      <c r="AN37" s="851"/>
    </row>
    <row r="38" spans="1:44" x14ac:dyDescent="0.25">
      <c r="A38" s="573">
        <f t="shared" si="0"/>
        <v>0</v>
      </c>
      <c r="B38" s="815"/>
      <c r="C38" s="815"/>
      <c r="D38" s="815"/>
      <c r="E38" s="816" t="s">
        <v>7680</v>
      </c>
      <c r="F38" s="817"/>
      <c r="G38" s="817"/>
      <c r="H38" s="817"/>
      <c r="I38" s="817"/>
      <c r="J38" s="817"/>
      <c r="K38" s="817"/>
      <c r="L38" s="817"/>
      <c r="M38" s="817"/>
      <c r="N38" s="817"/>
      <c r="O38" s="817"/>
      <c r="P38" s="818"/>
      <c r="Q38" s="231" t="str">
        <f>IF(E38="","",VLOOKUP(E38,Objets!$A$5:$O$298,3,FALSE))</f>
        <v/>
      </c>
      <c r="R38" s="231" t="str">
        <f>IF(E38="","",VLOOKUP(E38,Objets!$A$5:$O$298,4,FALSE))</f>
        <v/>
      </c>
      <c r="S38" s="231" t="str">
        <f>IF(E38="","",VLOOKUP(E38,Objets!$A$5:$O$298,5,FALSE))</f>
        <v/>
      </c>
      <c r="T38" s="819" t="str">
        <f>IF(E38="","",VLOOKUP(E38,Objets!$A$5:$O$298,6,FALSE))</f>
        <v/>
      </c>
      <c r="U38" s="819"/>
      <c r="V38" s="819"/>
      <c r="W38" s="820" t="str">
        <f>IF(E38="","",VLOOKUP(E38,Objets!$A$5:$O$298,7,FALSE))</f>
        <v/>
      </c>
      <c r="X38" s="821"/>
      <c r="Y38" s="821"/>
      <c r="Z38" s="821"/>
      <c r="AA38" s="821"/>
      <c r="AB38" s="822"/>
      <c r="AC38" s="819" t="str">
        <f>IF(E38="","",VLOOKUP(E38,Objets!$A$5:$O$298,8,FALSE))</f>
        <v/>
      </c>
      <c r="AD38" s="819"/>
      <c r="AE38" s="846"/>
      <c r="AF38" s="846"/>
      <c r="AG38" s="846"/>
      <c r="AH38" s="196"/>
      <c r="AI38" s="868" t="s">
        <v>5593</v>
      </c>
      <c r="AJ38" s="868"/>
      <c r="AK38" s="868"/>
      <c r="AL38" s="868"/>
      <c r="AM38" s="868"/>
      <c r="AN38" s="868"/>
    </row>
    <row r="39" spans="1:44" ht="13.8" thickBot="1" x14ac:dyDescent="0.3">
      <c r="A39" s="573">
        <f t="shared" si="0"/>
        <v>0</v>
      </c>
      <c r="B39" s="815"/>
      <c r="C39" s="815"/>
      <c r="D39" s="815"/>
      <c r="E39" s="816" t="s">
        <v>7680</v>
      </c>
      <c r="F39" s="817"/>
      <c r="G39" s="817"/>
      <c r="H39" s="817"/>
      <c r="I39" s="817"/>
      <c r="J39" s="817"/>
      <c r="K39" s="817"/>
      <c r="L39" s="817"/>
      <c r="M39" s="817"/>
      <c r="N39" s="817"/>
      <c r="O39" s="817"/>
      <c r="P39" s="818"/>
      <c r="Q39" s="231" t="str">
        <f>IF(E39="","",VLOOKUP(E39,Objets!$A$5:$O$298,3,FALSE))</f>
        <v/>
      </c>
      <c r="R39" s="231" t="str">
        <f>IF(E39="","",VLOOKUP(E39,Objets!$A$5:$O$298,4,FALSE))</f>
        <v/>
      </c>
      <c r="S39" s="231" t="str">
        <f>IF(E39="","",VLOOKUP(E39,Objets!$A$5:$O$298,5,FALSE))</f>
        <v/>
      </c>
      <c r="T39" s="819" t="str">
        <f>IF(E39="","",VLOOKUP(E39,Objets!$A$5:$O$298,6,FALSE))</f>
        <v/>
      </c>
      <c r="U39" s="819"/>
      <c r="V39" s="819"/>
      <c r="W39" s="820" t="str">
        <f>IF(E39="","",VLOOKUP(E39,Objets!$A$5:$O$298,7,FALSE))</f>
        <v/>
      </c>
      <c r="X39" s="821"/>
      <c r="Y39" s="821"/>
      <c r="Z39" s="821"/>
      <c r="AA39" s="821"/>
      <c r="AB39" s="822"/>
      <c r="AC39" s="819" t="str">
        <f>IF(E39="","",VLOOKUP(E39,Objets!$A$5:$O$298,8,FALSE))</f>
        <v/>
      </c>
      <c r="AD39" s="819"/>
      <c r="AE39" s="846"/>
      <c r="AF39" s="846"/>
      <c r="AG39" s="846"/>
      <c r="AH39" s="196"/>
      <c r="AI39" s="246" t="s">
        <v>5589</v>
      </c>
      <c r="AJ39" s="246"/>
      <c r="AK39" s="246"/>
      <c r="AL39" s="246"/>
      <c r="AM39" s="246"/>
      <c r="AN39" s="247"/>
    </row>
    <row r="40" spans="1:44" ht="13.8" thickTop="1" x14ac:dyDescent="0.25">
      <c r="A40" s="573">
        <f t="shared" si="0"/>
        <v>0</v>
      </c>
      <c r="B40" s="815"/>
      <c r="C40" s="815"/>
      <c r="D40" s="815"/>
      <c r="E40" s="816" t="s">
        <v>7680</v>
      </c>
      <c r="F40" s="817"/>
      <c r="G40" s="817"/>
      <c r="H40" s="817"/>
      <c r="I40" s="817"/>
      <c r="J40" s="817"/>
      <c r="K40" s="817"/>
      <c r="L40" s="817"/>
      <c r="M40" s="817"/>
      <c r="N40" s="817"/>
      <c r="O40" s="817"/>
      <c r="P40" s="818"/>
      <c r="Q40" s="231" t="str">
        <f>IF(E40="","",VLOOKUP(E40,Objets!$A$5:$O$298,3,FALSE))</f>
        <v/>
      </c>
      <c r="R40" s="231" t="str">
        <f>IF(E40="","",VLOOKUP(E40,Objets!$A$5:$O$298,4,FALSE))</f>
        <v/>
      </c>
      <c r="S40" s="231" t="str">
        <f>IF(E40="","",VLOOKUP(E40,Objets!$A$5:$O$298,5,FALSE))</f>
        <v/>
      </c>
      <c r="T40" s="819" t="str">
        <f>IF(E40="","",VLOOKUP(E40,Objets!$A$5:$O$298,6,FALSE))</f>
        <v/>
      </c>
      <c r="U40" s="819"/>
      <c r="V40" s="819"/>
      <c r="W40" s="820" t="str">
        <f>IF(E40="","",VLOOKUP(E40,Objets!$A$5:$O$298,7,FALSE))</f>
        <v/>
      </c>
      <c r="X40" s="821"/>
      <c r="Y40" s="821"/>
      <c r="Z40" s="821"/>
      <c r="AA40" s="821"/>
      <c r="AB40" s="822"/>
      <c r="AC40" s="819" t="str">
        <f>IF(E40="","",VLOOKUP(E40,Objets!$A$5:$O$298,8,FALSE))</f>
        <v/>
      </c>
      <c r="AD40" s="819"/>
      <c r="AE40" s="846"/>
      <c r="AF40" s="846"/>
      <c r="AG40" s="846"/>
      <c r="AH40" s="196"/>
    </row>
    <row r="41" spans="1:44" x14ac:dyDescent="0.25">
      <c r="A41" s="573">
        <f t="shared" si="0"/>
        <v>0</v>
      </c>
      <c r="B41" s="815"/>
      <c r="C41" s="815"/>
      <c r="D41" s="815"/>
      <c r="E41" s="816" t="s">
        <v>7680</v>
      </c>
      <c r="F41" s="817"/>
      <c r="G41" s="817"/>
      <c r="H41" s="817"/>
      <c r="I41" s="817"/>
      <c r="J41" s="817"/>
      <c r="K41" s="817"/>
      <c r="L41" s="817"/>
      <c r="M41" s="817"/>
      <c r="N41" s="817"/>
      <c r="O41" s="817"/>
      <c r="P41" s="818"/>
      <c r="Q41" s="231" t="str">
        <f>IF(E41="","",VLOOKUP(E41,Objets!$A$5:$O$298,3,FALSE))</f>
        <v/>
      </c>
      <c r="R41" s="231" t="str">
        <f>IF(E41="","",VLOOKUP(E41,Objets!$A$5:$O$298,4,FALSE))</f>
        <v/>
      </c>
      <c r="S41" s="231" t="str">
        <f>IF(E41="","",VLOOKUP(E41,Objets!$A$5:$O$298,5,FALSE))</f>
        <v/>
      </c>
      <c r="T41" s="819" t="str">
        <f>IF(E41="","",VLOOKUP(E41,Objets!$A$5:$O$298,6,FALSE))</f>
        <v/>
      </c>
      <c r="U41" s="819"/>
      <c r="V41" s="819"/>
      <c r="W41" s="820" t="str">
        <f>IF(E41="","",VLOOKUP(E41,Objets!$A$5:$O$298,7,FALSE))</f>
        <v/>
      </c>
      <c r="X41" s="821"/>
      <c r="Y41" s="821"/>
      <c r="Z41" s="821"/>
      <c r="AA41" s="821"/>
      <c r="AB41" s="822"/>
      <c r="AC41" s="819" t="str">
        <f>IF(E41="","",VLOOKUP(E41,Objets!$A$5:$O$298,8,FALSE))</f>
        <v/>
      </c>
      <c r="AD41" s="819"/>
      <c r="AE41" s="846"/>
      <c r="AF41" s="846"/>
      <c r="AG41" s="846"/>
      <c r="AH41" s="196"/>
      <c r="AI41" s="852" t="str">
        <f>IF(Recto!J4="","",VLOOKUP(Recto!J4,Ecoles!B7:S241,14,FALSE))</f>
        <v/>
      </c>
      <c r="AJ41" s="853"/>
      <c r="AK41" s="853"/>
      <c r="AL41" s="853"/>
      <c r="AM41" s="853"/>
      <c r="AN41" s="854"/>
    </row>
    <row r="42" spans="1:44" x14ac:dyDescent="0.25">
      <c r="A42" s="573">
        <f t="shared" si="0"/>
        <v>0</v>
      </c>
      <c r="B42" s="815"/>
      <c r="C42" s="815"/>
      <c r="D42" s="815"/>
      <c r="E42" s="816" t="s">
        <v>7680</v>
      </c>
      <c r="F42" s="817"/>
      <c r="G42" s="817"/>
      <c r="H42" s="817"/>
      <c r="I42" s="817"/>
      <c r="J42" s="817"/>
      <c r="K42" s="817"/>
      <c r="L42" s="817"/>
      <c r="M42" s="817"/>
      <c r="N42" s="817"/>
      <c r="O42" s="817"/>
      <c r="P42" s="818"/>
      <c r="Q42" s="231" t="str">
        <f>IF(E42="","",VLOOKUP(E42,Objets!$A$5:$O$298,3,FALSE))</f>
        <v/>
      </c>
      <c r="R42" s="231" t="str">
        <f>IF(E42="","",VLOOKUP(E42,Objets!$A$5:$O$298,4,FALSE))</f>
        <v/>
      </c>
      <c r="S42" s="231" t="str">
        <f>IF(E42="","",VLOOKUP(E42,Objets!$A$5:$O$298,5,FALSE))</f>
        <v/>
      </c>
      <c r="T42" s="819" t="str">
        <f>IF(E42="","",VLOOKUP(E42,Objets!$A$5:$O$298,6,FALSE))</f>
        <v/>
      </c>
      <c r="U42" s="819"/>
      <c r="V42" s="819"/>
      <c r="W42" s="820" t="str">
        <f>IF(E42="","",VLOOKUP(E42,Objets!$A$5:$O$298,7,FALSE))</f>
        <v/>
      </c>
      <c r="X42" s="821"/>
      <c r="Y42" s="821"/>
      <c r="Z42" s="821"/>
      <c r="AA42" s="821"/>
      <c r="AB42" s="822"/>
      <c r="AC42" s="819" t="str">
        <f>IF(E42="","",VLOOKUP(E42,Objets!$A$5:$O$298,8,FALSE))</f>
        <v/>
      </c>
      <c r="AD42" s="819"/>
      <c r="AE42" s="846"/>
      <c r="AF42" s="846"/>
      <c r="AG42" s="846"/>
      <c r="AH42" s="196"/>
      <c r="AI42" s="855"/>
      <c r="AJ42" s="856"/>
      <c r="AK42" s="856"/>
      <c r="AL42" s="856"/>
      <c r="AM42" s="856"/>
      <c r="AN42" s="857"/>
    </row>
    <row r="43" spans="1:44" x14ac:dyDescent="0.25">
      <c r="A43" s="573">
        <f t="shared" si="0"/>
        <v>0</v>
      </c>
      <c r="B43" s="815"/>
      <c r="C43" s="815"/>
      <c r="D43" s="815"/>
      <c r="E43" s="816" t="s">
        <v>7680</v>
      </c>
      <c r="F43" s="817"/>
      <c r="G43" s="817"/>
      <c r="H43" s="817"/>
      <c r="I43" s="817"/>
      <c r="J43" s="817"/>
      <c r="K43" s="817"/>
      <c r="L43" s="817"/>
      <c r="M43" s="817"/>
      <c r="N43" s="817"/>
      <c r="O43" s="817"/>
      <c r="P43" s="818"/>
      <c r="Q43" s="231" t="str">
        <f>IF(E43="","",VLOOKUP(E43,Objets!$A$5:$O$298,3,FALSE))</f>
        <v/>
      </c>
      <c r="R43" s="231" t="str">
        <f>IF(E43="","",VLOOKUP(E43,Objets!$A$5:$O$298,4,FALSE))</f>
        <v/>
      </c>
      <c r="S43" s="231" t="str">
        <f>IF(E43="","",VLOOKUP(E43,Objets!$A$5:$O$298,5,FALSE))</f>
        <v/>
      </c>
      <c r="T43" s="819" t="str">
        <f>IF(E43="","",VLOOKUP(E43,Objets!$A$5:$O$298,6,FALSE))</f>
        <v/>
      </c>
      <c r="U43" s="819"/>
      <c r="V43" s="819"/>
      <c r="W43" s="820" t="str">
        <f>IF(E43="","",VLOOKUP(E43,Objets!$A$5:$O$298,7,FALSE))</f>
        <v/>
      </c>
      <c r="X43" s="821"/>
      <c r="Y43" s="821"/>
      <c r="Z43" s="821"/>
      <c r="AA43" s="821"/>
      <c r="AB43" s="822"/>
      <c r="AC43" s="819" t="str">
        <f>IF(E43="","",VLOOKUP(E43,Objets!$A$5:$O$298,8,FALSE))</f>
        <v/>
      </c>
      <c r="AD43" s="819"/>
      <c r="AE43" s="846"/>
      <c r="AF43" s="846"/>
      <c r="AG43" s="846"/>
      <c r="AH43" s="196"/>
      <c r="AI43" s="855"/>
      <c r="AJ43" s="856"/>
      <c r="AK43" s="856"/>
      <c r="AL43" s="856"/>
      <c r="AM43" s="856"/>
      <c r="AN43" s="857"/>
    </row>
    <row r="44" spans="1:44" x14ac:dyDescent="0.25">
      <c r="A44" s="573">
        <f t="shared" si="0"/>
        <v>0</v>
      </c>
      <c r="B44" s="815"/>
      <c r="C44" s="815"/>
      <c r="D44" s="815"/>
      <c r="E44" s="816" t="s">
        <v>7680</v>
      </c>
      <c r="F44" s="817"/>
      <c r="G44" s="817"/>
      <c r="H44" s="817"/>
      <c r="I44" s="817"/>
      <c r="J44" s="817"/>
      <c r="K44" s="817"/>
      <c r="L44" s="817"/>
      <c r="M44" s="817"/>
      <c r="N44" s="817"/>
      <c r="O44" s="817"/>
      <c r="P44" s="818"/>
      <c r="Q44" s="231" t="str">
        <f>IF(E44="","",VLOOKUP(E44,Objets!$A$5:$O$298,3,FALSE))</f>
        <v/>
      </c>
      <c r="R44" s="231" t="str">
        <f>IF(E44="","",VLOOKUP(E44,Objets!$A$5:$O$298,4,FALSE))</f>
        <v/>
      </c>
      <c r="S44" s="231" t="str">
        <f>IF(E44="","",VLOOKUP(E44,Objets!$A$5:$O$298,5,FALSE))</f>
        <v/>
      </c>
      <c r="T44" s="819" t="str">
        <f>IF(E44="","",VLOOKUP(E44,Objets!$A$5:$O$298,6,FALSE))</f>
        <v/>
      </c>
      <c r="U44" s="819"/>
      <c r="V44" s="819"/>
      <c r="W44" s="820" t="str">
        <f>IF(E44="","",VLOOKUP(E44,Objets!$A$5:$O$298,7,FALSE))</f>
        <v/>
      </c>
      <c r="X44" s="821"/>
      <c r="Y44" s="821"/>
      <c r="Z44" s="821"/>
      <c r="AA44" s="821"/>
      <c r="AB44" s="822"/>
      <c r="AC44" s="819" t="str">
        <f>IF(E44="","",VLOOKUP(E44,Objets!$A$5:$O$298,8,FALSE))</f>
        <v/>
      </c>
      <c r="AD44" s="819"/>
      <c r="AE44" s="846"/>
      <c r="AF44" s="846"/>
      <c r="AG44" s="846"/>
      <c r="AH44" s="196"/>
      <c r="AI44" s="855"/>
      <c r="AJ44" s="856"/>
      <c r="AK44" s="856"/>
      <c r="AL44" s="856"/>
      <c r="AM44" s="856"/>
      <c r="AN44" s="857"/>
    </row>
    <row r="45" spans="1:44" s="196" customFormat="1" x14ac:dyDescent="0.25">
      <c r="A45" s="573">
        <f t="shared" si="0"/>
        <v>0</v>
      </c>
      <c r="B45" s="722"/>
      <c r="C45" s="723"/>
      <c r="D45" s="724"/>
      <c r="E45" s="816" t="s">
        <v>7680</v>
      </c>
      <c r="F45" s="817"/>
      <c r="G45" s="817"/>
      <c r="H45" s="817"/>
      <c r="I45" s="817"/>
      <c r="J45" s="817"/>
      <c r="K45" s="817"/>
      <c r="L45" s="817"/>
      <c r="M45" s="817"/>
      <c r="N45" s="817"/>
      <c r="O45" s="817"/>
      <c r="P45" s="818"/>
      <c r="Q45" s="231"/>
      <c r="R45" s="231"/>
      <c r="S45" s="231"/>
      <c r="T45" s="820"/>
      <c r="U45" s="821"/>
      <c r="V45" s="822"/>
      <c r="W45" s="820"/>
      <c r="X45" s="821"/>
      <c r="Y45" s="821"/>
      <c r="Z45" s="821"/>
      <c r="AA45" s="821"/>
      <c r="AB45" s="822"/>
      <c r="AC45" s="820"/>
      <c r="AD45" s="822"/>
      <c r="AE45" s="816"/>
      <c r="AF45" s="817"/>
      <c r="AG45" s="818"/>
      <c r="AI45" s="855"/>
      <c r="AJ45" s="856"/>
      <c r="AK45" s="856"/>
      <c r="AL45" s="856"/>
      <c r="AM45" s="856"/>
      <c r="AN45" s="857"/>
    </row>
    <row r="46" spans="1:44" s="196" customFormat="1" x14ac:dyDescent="0.25">
      <c r="A46" s="573">
        <f t="shared" si="0"/>
        <v>0</v>
      </c>
      <c r="B46" s="722"/>
      <c r="C46" s="723"/>
      <c r="D46" s="724"/>
      <c r="E46" s="816" t="s">
        <v>7680</v>
      </c>
      <c r="F46" s="817"/>
      <c r="G46" s="817"/>
      <c r="H46" s="817"/>
      <c r="I46" s="817"/>
      <c r="J46" s="817"/>
      <c r="K46" s="817"/>
      <c r="L46" s="817"/>
      <c r="M46" s="817"/>
      <c r="N46" s="817"/>
      <c r="O46" s="817"/>
      <c r="P46" s="818"/>
      <c r="Q46" s="231"/>
      <c r="R46" s="231"/>
      <c r="S46" s="231"/>
      <c r="T46" s="820"/>
      <c r="U46" s="821"/>
      <c r="V46" s="822"/>
      <c r="W46" s="820"/>
      <c r="X46" s="821"/>
      <c r="Y46" s="821"/>
      <c r="Z46" s="821"/>
      <c r="AA46" s="821"/>
      <c r="AB46" s="822"/>
      <c r="AC46" s="820"/>
      <c r="AD46" s="822"/>
      <c r="AE46" s="816"/>
      <c r="AF46" s="817"/>
      <c r="AG46" s="818"/>
      <c r="AI46" s="855"/>
      <c r="AJ46" s="856"/>
      <c r="AK46" s="856"/>
      <c r="AL46" s="856"/>
      <c r="AM46" s="856"/>
      <c r="AN46" s="857"/>
    </row>
    <row r="47" spans="1:44" x14ac:dyDescent="0.25">
      <c r="A47" s="573">
        <f t="shared" si="0"/>
        <v>0</v>
      </c>
      <c r="B47" s="815"/>
      <c r="C47" s="815"/>
      <c r="D47" s="815"/>
      <c r="E47" s="816" t="s">
        <v>7680</v>
      </c>
      <c r="F47" s="817"/>
      <c r="G47" s="817"/>
      <c r="H47" s="817"/>
      <c r="I47" s="817"/>
      <c r="J47" s="817"/>
      <c r="K47" s="817"/>
      <c r="L47" s="817"/>
      <c r="M47" s="817"/>
      <c r="N47" s="817"/>
      <c r="O47" s="817"/>
      <c r="P47" s="818"/>
      <c r="Q47" s="231" t="str">
        <f>IF(E47="","",VLOOKUP(E47,Objets!$A$5:$O$298,3,FALSE))</f>
        <v/>
      </c>
      <c r="R47" s="231" t="str">
        <f>IF(E47="","",VLOOKUP(E47,Objets!$A$5:$O$298,4,FALSE))</f>
        <v/>
      </c>
      <c r="S47" s="231" t="str">
        <f>IF(E47="","",VLOOKUP(E47,Objets!$A$5:$O$298,5,FALSE))</f>
        <v/>
      </c>
      <c r="T47" s="819" t="str">
        <f>IF(E47="","",VLOOKUP(E47,Objets!$A$5:$O$298,6,FALSE))</f>
        <v/>
      </c>
      <c r="U47" s="819"/>
      <c r="V47" s="819"/>
      <c r="W47" s="820" t="str">
        <f>IF(E47="","",VLOOKUP(E47,Objets!$A$5:$O$298,7,FALSE))</f>
        <v/>
      </c>
      <c r="X47" s="821"/>
      <c r="Y47" s="821"/>
      <c r="Z47" s="821"/>
      <c r="AA47" s="821"/>
      <c r="AB47" s="822"/>
      <c r="AC47" s="819" t="str">
        <f>IF(E47="","",VLOOKUP(E47,Objets!$A$5:$O$298,8,FALSE))</f>
        <v/>
      </c>
      <c r="AD47" s="819"/>
      <c r="AE47" s="846"/>
      <c r="AF47" s="846"/>
      <c r="AG47" s="846"/>
      <c r="AH47" s="196"/>
      <c r="AI47" s="855"/>
      <c r="AJ47" s="856"/>
      <c r="AK47" s="856"/>
      <c r="AL47" s="856"/>
      <c r="AM47" s="856"/>
      <c r="AN47" s="857"/>
    </row>
    <row r="48" spans="1:44" x14ac:dyDescent="0.25">
      <c r="A48" s="573">
        <f t="shared" si="0"/>
        <v>0</v>
      </c>
      <c r="B48" s="815"/>
      <c r="C48" s="815"/>
      <c r="D48" s="815"/>
      <c r="E48" s="816" t="s">
        <v>7680</v>
      </c>
      <c r="F48" s="817"/>
      <c r="G48" s="817"/>
      <c r="H48" s="817"/>
      <c r="I48" s="817"/>
      <c r="J48" s="817"/>
      <c r="K48" s="817"/>
      <c r="L48" s="817"/>
      <c r="M48" s="817"/>
      <c r="N48" s="817"/>
      <c r="O48" s="817"/>
      <c r="P48" s="818"/>
      <c r="Q48" s="231" t="str">
        <f>IF(E48="","",VLOOKUP(E48,Objets!$A$5:$O$298,3,FALSE))</f>
        <v/>
      </c>
      <c r="R48" s="231" t="str">
        <f>IF(E48="","",VLOOKUP(E48,Objets!$A$5:$O$298,4,FALSE))</f>
        <v/>
      </c>
      <c r="S48" s="231" t="str">
        <f>IF(E48="","",VLOOKUP(E48,Objets!$A$5:$O$298,5,FALSE))</f>
        <v/>
      </c>
      <c r="T48" s="819" t="str">
        <f>IF(E48="","",VLOOKUP(E48,Objets!$A$5:$O$298,6,FALSE))</f>
        <v/>
      </c>
      <c r="U48" s="819"/>
      <c r="V48" s="819"/>
      <c r="W48" s="820" t="str">
        <f>IF(E48="","",VLOOKUP(E48,Objets!$A$5:$O$298,7,FALSE))</f>
        <v/>
      </c>
      <c r="X48" s="821"/>
      <c r="Y48" s="821"/>
      <c r="Z48" s="821"/>
      <c r="AA48" s="821"/>
      <c r="AB48" s="822"/>
      <c r="AC48" s="819" t="str">
        <f>IF(E48="","",VLOOKUP(E48,Objets!$A$5:$O$298,8,FALSE))</f>
        <v/>
      </c>
      <c r="AD48" s="819"/>
      <c r="AE48" s="846"/>
      <c r="AF48" s="846"/>
      <c r="AG48" s="846"/>
      <c r="AH48" s="196"/>
      <c r="AI48" s="855"/>
      <c r="AJ48" s="856"/>
      <c r="AK48" s="856"/>
      <c r="AL48" s="856"/>
      <c r="AM48" s="856"/>
      <c r="AN48" s="857"/>
    </row>
    <row r="49" spans="1:40" x14ac:dyDescent="0.25">
      <c r="A49" s="573">
        <f t="shared" si="0"/>
        <v>0</v>
      </c>
      <c r="B49" s="815"/>
      <c r="C49" s="815"/>
      <c r="D49" s="815"/>
      <c r="E49" s="816" t="s">
        <v>7680</v>
      </c>
      <c r="F49" s="817"/>
      <c r="G49" s="817"/>
      <c r="H49" s="817"/>
      <c r="I49" s="817"/>
      <c r="J49" s="817"/>
      <c r="K49" s="817"/>
      <c r="L49" s="817"/>
      <c r="M49" s="817"/>
      <c r="N49" s="817"/>
      <c r="O49" s="817"/>
      <c r="P49" s="818"/>
      <c r="Q49" s="231" t="str">
        <f>IF(E49="","",VLOOKUP(E49,Objets!$A$5:$O$298,3,FALSE))</f>
        <v/>
      </c>
      <c r="R49" s="231" t="str">
        <f>IF(E49="","",VLOOKUP(E49,Objets!$A$5:$O$298,4,FALSE))</f>
        <v/>
      </c>
      <c r="S49" s="231" t="str">
        <f>IF(E49="","",VLOOKUP(E49,Objets!$A$5:$O$298,5,FALSE))</f>
        <v/>
      </c>
      <c r="T49" s="819" t="str">
        <f>IF(E49="","",VLOOKUP(E49,Objets!$A$5:$O$298,6,FALSE))</f>
        <v/>
      </c>
      <c r="U49" s="819"/>
      <c r="V49" s="819"/>
      <c r="W49" s="820" t="str">
        <f>IF(E49="","",VLOOKUP(E49,Objets!$A$5:$O$298,7,FALSE))</f>
        <v/>
      </c>
      <c r="X49" s="821"/>
      <c r="Y49" s="821"/>
      <c r="Z49" s="821"/>
      <c r="AA49" s="821"/>
      <c r="AB49" s="822"/>
      <c r="AC49" s="819" t="str">
        <f>IF(E49="","",VLOOKUP(E49,Objets!$A$5:$O$298,8,FALSE))</f>
        <v/>
      </c>
      <c r="AD49" s="819"/>
      <c r="AE49" s="846"/>
      <c r="AF49" s="846"/>
      <c r="AG49" s="846"/>
      <c r="AH49" s="196"/>
      <c r="AI49" s="855"/>
      <c r="AJ49" s="856"/>
      <c r="AK49" s="856"/>
      <c r="AL49" s="856"/>
      <c r="AM49" s="856"/>
      <c r="AN49" s="857"/>
    </row>
    <row r="50" spans="1:40" x14ac:dyDescent="0.25">
      <c r="A50" s="573">
        <f t="shared" si="0"/>
        <v>0</v>
      </c>
      <c r="B50" s="815"/>
      <c r="C50" s="815"/>
      <c r="D50" s="815"/>
      <c r="E50" s="816" t="s">
        <v>7680</v>
      </c>
      <c r="F50" s="817"/>
      <c r="G50" s="817"/>
      <c r="H50" s="817"/>
      <c r="I50" s="817"/>
      <c r="J50" s="817"/>
      <c r="K50" s="817"/>
      <c r="L50" s="817"/>
      <c r="M50" s="817"/>
      <c r="N50" s="817"/>
      <c r="O50" s="817"/>
      <c r="P50" s="818"/>
      <c r="Q50" s="231" t="str">
        <f>IF(E50="","",VLOOKUP(E50,Objets!$A$5:$O$298,3,FALSE))</f>
        <v/>
      </c>
      <c r="R50" s="231" t="str">
        <f>IF(E50="","",VLOOKUP(E50,Objets!$A$5:$O$298,4,FALSE))</f>
        <v/>
      </c>
      <c r="S50" s="231" t="str">
        <f>IF(E50="","",VLOOKUP(E50,Objets!$A$5:$O$298,5,FALSE))</f>
        <v/>
      </c>
      <c r="T50" s="819" t="str">
        <f>IF(E50="","",VLOOKUP(E50,Objets!$A$5:$O$298,6,FALSE))</f>
        <v/>
      </c>
      <c r="U50" s="819"/>
      <c r="V50" s="819"/>
      <c r="W50" s="820" t="str">
        <f>IF(E50="","",VLOOKUP(E50,Objets!$A$5:$O$298,7,FALSE))</f>
        <v/>
      </c>
      <c r="X50" s="821"/>
      <c r="Y50" s="821"/>
      <c r="Z50" s="821"/>
      <c r="AA50" s="821"/>
      <c r="AB50" s="822"/>
      <c r="AC50" s="819" t="str">
        <f>IF(E50="","",VLOOKUP(E50,Objets!$A$5:$O$298,8,FALSE))</f>
        <v/>
      </c>
      <c r="AD50" s="819"/>
      <c r="AE50" s="846"/>
      <c r="AF50" s="846"/>
      <c r="AG50" s="846"/>
      <c r="AI50" s="855"/>
      <c r="AJ50" s="856"/>
      <c r="AK50" s="856"/>
      <c r="AL50" s="856"/>
      <c r="AM50" s="856"/>
      <c r="AN50" s="857"/>
    </row>
    <row r="51" spans="1:40" s="196" customFormat="1" x14ac:dyDescent="0.25">
      <c r="A51" s="573">
        <f t="shared" si="0"/>
        <v>0</v>
      </c>
      <c r="B51" s="815"/>
      <c r="C51" s="815"/>
      <c r="D51" s="815"/>
      <c r="E51" s="816" t="s">
        <v>7680</v>
      </c>
      <c r="F51" s="817"/>
      <c r="G51" s="817"/>
      <c r="H51" s="817"/>
      <c r="I51" s="817"/>
      <c r="J51" s="817"/>
      <c r="K51" s="817"/>
      <c r="L51" s="817"/>
      <c r="M51" s="817"/>
      <c r="N51" s="817"/>
      <c r="O51" s="817"/>
      <c r="P51" s="818"/>
      <c r="Q51" s="231"/>
      <c r="R51" s="231"/>
      <c r="S51" s="231"/>
      <c r="T51" s="819" t="str">
        <f>IF(E51="","",VLOOKUP(E51,Objets!$A$5:$O$298,6,FALSE))</f>
        <v/>
      </c>
      <c r="U51" s="819"/>
      <c r="V51" s="819"/>
      <c r="W51" s="820"/>
      <c r="X51" s="821"/>
      <c r="Y51" s="821"/>
      <c r="Z51" s="821"/>
      <c r="AA51" s="821"/>
      <c r="AB51" s="822"/>
      <c r="AC51" s="819"/>
      <c r="AD51" s="819"/>
      <c r="AE51" s="846"/>
      <c r="AF51" s="846"/>
      <c r="AG51" s="846"/>
      <c r="AI51" s="855"/>
      <c r="AJ51" s="856"/>
      <c r="AK51" s="856"/>
      <c r="AL51" s="856"/>
      <c r="AM51" s="856"/>
      <c r="AN51" s="857"/>
    </row>
    <row r="52" spans="1:40" x14ac:dyDescent="0.25">
      <c r="A52" s="573">
        <f t="shared" si="0"/>
        <v>0</v>
      </c>
      <c r="B52" s="815"/>
      <c r="C52" s="815"/>
      <c r="D52" s="815"/>
      <c r="E52" s="816" t="s">
        <v>7680</v>
      </c>
      <c r="F52" s="817"/>
      <c r="G52" s="817"/>
      <c r="H52" s="817"/>
      <c r="I52" s="817"/>
      <c r="J52" s="817"/>
      <c r="K52" s="817"/>
      <c r="L52" s="817"/>
      <c r="M52" s="817"/>
      <c r="N52" s="817"/>
      <c r="O52" s="817"/>
      <c r="P52" s="818"/>
      <c r="Q52" s="231" t="str">
        <f>IF(E52="","",VLOOKUP(E52,Objets!$A$5:$O$298,3,FALSE))</f>
        <v/>
      </c>
      <c r="R52" s="231" t="str">
        <f>IF(E52="","",VLOOKUP(E52,Objets!$A$5:$O$298,4,FALSE))</f>
        <v/>
      </c>
      <c r="S52" s="231" t="str">
        <f>IF(E52="","",VLOOKUP(E52,Objets!$A$5:$O$298,5,FALSE))</f>
        <v/>
      </c>
      <c r="T52" s="819" t="str">
        <f>IF(E52="","",VLOOKUP(E52,Objets!$A$5:$O$298,6,FALSE))</f>
        <v/>
      </c>
      <c r="U52" s="819"/>
      <c r="V52" s="819"/>
      <c r="W52" s="820" t="str">
        <f>IF(E52="","",VLOOKUP(E52,Objets!$A$5:$O$298,7,FALSE))</f>
        <v/>
      </c>
      <c r="X52" s="821"/>
      <c r="Y52" s="821"/>
      <c r="Z52" s="821"/>
      <c r="AA52" s="821"/>
      <c r="AB52" s="822"/>
      <c r="AC52" s="819" t="str">
        <f>IF(E52="","",VLOOKUP(E52,Objets!$A$5:$O$298,8,FALSE))</f>
        <v/>
      </c>
      <c r="AD52" s="819"/>
      <c r="AE52" s="846"/>
      <c r="AF52" s="846"/>
      <c r="AG52" s="846"/>
      <c r="AI52" s="858"/>
      <c r="AJ52" s="859"/>
      <c r="AK52" s="859"/>
      <c r="AL52" s="859"/>
      <c r="AM52" s="859"/>
      <c r="AN52" s="860"/>
    </row>
    <row r="53" spans="1:40" ht="7.5" customHeight="1" x14ac:dyDescent="0.25">
      <c r="N53" s="91"/>
      <c r="O53" s="91"/>
      <c r="P53" s="91"/>
      <c r="Q53" s="245"/>
      <c r="R53" s="245"/>
      <c r="S53" s="245"/>
      <c r="T53" s="91"/>
    </row>
    <row r="54" spans="1:40" x14ac:dyDescent="0.25">
      <c r="N54" s="783"/>
      <c r="O54" s="783"/>
      <c r="P54" s="783"/>
      <c r="Q54" s="239"/>
      <c r="R54" s="239"/>
      <c r="S54" s="239"/>
      <c r="T54" s="91"/>
    </row>
    <row r="57" spans="1:40" ht="7.2" customHeight="1" x14ac:dyDescent="0.25"/>
  </sheetData>
  <mergeCells count="264">
    <mergeCell ref="AI38:AN38"/>
    <mergeCell ref="B45:D45"/>
    <mergeCell ref="B46:D46"/>
    <mergeCell ref="E45:P45"/>
    <mergeCell ref="E46:P46"/>
    <mergeCell ref="T45:V45"/>
    <mergeCell ref="T46:V46"/>
    <mergeCell ref="W45:AB45"/>
    <mergeCell ref="W46:AB46"/>
    <mergeCell ref="AC45:AD45"/>
    <mergeCell ref="AC46:AD46"/>
    <mergeCell ref="AE38:AG38"/>
    <mergeCell ref="AE39:AG39"/>
    <mergeCell ref="AE40:AG40"/>
    <mergeCell ref="AE41:AG41"/>
    <mergeCell ref="AE42:AG42"/>
    <mergeCell ref="AC38:AD38"/>
    <mergeCell ref="AC39:AD39"/>
    <mergeCell ref="AC40:AD40"/>
    <mergeCell ref="AC41:AD41"/>
    <mergeCell ref="AC42:AD42"/>
    <mergeCell ref="B43:D43"/>
    <mergeCell ref="E43:P43"/>
    <mergeCell ref="B44:D44"/>
    <mergeCell ref="W4:AA4"/>
    <mergeCell ref="AD4:AE4"/>
    <mergeCell ref="AF4:AG4"/>
    <mergeCell ref="AM4:AN4"/>
    <mergeCell ref="AH4:AJ4"/>
    <mergeCell ref="AE5:AH5"/>
    <mergeCell ref="AC35:AD35"/>
    <mergeCell ref="AE35:AG35"/>
    <mergeCell ref="AK26:AM26"/>
    <mergeCell ref="AK27:AM27"/>
    <mergeCell ref="AK28:AM28"/>
    <mergeCell ref="AK29:AM29"/>
    <mergeCell ref="AK30:AM30"/>
    <mergeCell ref="AI26:AJ26"/>
    <mergeCell ref="AI27:AJ27"/>
    <mergeCell ref="AH18:AI18"/>
    <mergeCell ref="AH19:AI19"/>
    <mergeCell ref="AH20:AI20"/>
    <mergeCell ref="AH21:AI21"/>
    <mergeCell ref="AH14:AI14"/>
    <mergeCell ref="AB4:AC4"/>
    <mergeCell ref="AM15:AN15"/>
    <mergeCell ref="AM16:AN16"/>
    <mergeCell ref="AM17:AN17"/>
    <mergeCell ref="W51:AB51"/>
    <mergeCell ref="W52:AB52"/>
    <mergeCell ref="AI36:AJ37"/>
    <mergeCell ref="AK36:AL37"/>
    <mergeCell ref="AI41:AN52"/>
    <mergeCell ref="U4:V4"/>
    <mergeCell ref="AI5:AN5"/>
    <mergeCell ref="Y5:AD5"/>
    <mergeCell ref="Z6:AD6"/>
    <mergeCell ref="AJ6:AN6"/>
    <mergeCell ref="AE7:AI7"/>
    <mergeCell ref="W37:AB37"/>
    <mergeCell ref="W38:AB38"/>
    <mergeCell ref="W39:AB39"/>
    <mergeCell ref="W40:AB40"/>
    <mergeCell ref="W41:AB41"/>
    <mergeCell ref="W42:AB42"/>
    <mergeCell ref="W43:AB43"/>
    <mergeCell ref="W44:AB44"/>
    <mergeCell ref="W47:AB47"/>
    <mergeCell ref="AC43:AD43"/>
    <mergeCell ref="AC44:AD44"/>
    <mergeCell ref="AM36:AN37"/>
    <mergeCell ref="AM34:AN35"/>
    <mergeCell ref="AC48:AD48"/>
    <mergeCell ref="AC49:AD49"/>
    <mergeCell ref="AC50:AD50"/>
    <mergeCell ref="AC51:AD51"/>
    <mergeCell ref="AC52:AD52"/>
    <mergeCell ref="AE43:AG43"/>
    <mergeCell ref="AE44:AG44"/>
    <mergeCell ref="AE47:AG47"/>
    <mergeCell ref="AE48:AG48"/>
    <mergeCell ref="AE49:AG49"/>
    <mergeCell ref="AE50:AG50"/>
    <mergeCell ref="AE52:AG52"/>
    <mergeCell ref="AE51:AG51"/>
    <mergeCell ref="AE45:AG45"/>
    <mergeCell ref="AE46:AG46"/>
    <mergeCell ref="AC47:AD47"/>
    <mergeCell ref="O20:Q20"/>
    <mergeCell ref="T40:V40"/>
    <mergeCell ref="T35:V35"/>
    <mergeCell ref="T36:V36"/>
    <mergeCell ref="W35:AB35"/>
    <mergeCell ref="W36:AB36"/>
    <mergeCell ref="X26:Z26"/>
    <mergeCell ref="X27:Z27"/>
    <mergeCell ref="X28:Z28"/>
    <mergeCell ref="X29:Z29"/>
    <mergeCell ref="X30:Z30"/>
    <mergeCell ref="Q35:S35"/>
    <mergeCell ref="T37:V37"/>
    <mergeCell ref="T38:V38"/>
    <mergeCell ref="T39:V39"/>
    <mergeCell ref="E30:P30"/>
    <mergeCell ref="U20:W20"/>
    <mergeCell ref="U21:W21"/>
    <mergeCell ref="U26:W26"/>
    <mergeCell ref="Q29:T29"/>
    <mergeCell ref="Q30:T30"/>
    <mergeCell ref="AK4:AL4"/>
    <mergeCell ref="AE36:AG36"/>
    <mergeCell ref="AE37:AG37"/>
    <mergeCell ref="AC36:AD36"/>
    <mergeCell ref="AC37:AD37"/>
    <mergeCell ref="R19:S19"/>
    <mergeCell ref="R20:S20"/>
    <mergeCell ref="O21:Q21"/>
    <mergeCell ref="AD27:AH27"/>
    <mergeCell ref="AI34:AJ35"/>
    <mergeCell ref="AK34:AL35"/>
    <mergeCell ref="X18:AG18"/>
    <mergeCell ref="X19:AG19"/>
    <mergeCell ref="U15:W15"/>
    <mergeCell ref="X15:AG15"/>
    <mergeCell ref="U16:W16"/>
    <mergeCell ref="AH16:AI16"/>
    <mergeCell ref="AH17:AI17"/>
    <mergeCell ref="AD29:AH29"/>
    <mergeCell ref="AD30:AH30"/>
    <mergeCell ref="AI29:AJ29"/>
    <mergeCell ref="AI30:AJ30"/>
    <mergeCell ref="U19:W19"/>
    <mergeCell ref="O19:Q19"/>
    <mergeCell ref="B12:G12"/>
    <mergeCell ref="E15:N15"/>
    <mergeCell ref="B4:D4"/>
    <mergeCell ref="B5:D5"/>
    <mergeCell ref="B6:D6"/>
    <mergeCell ref="B7:D7"/>
    <mergeCell ref="B8:D8"/>
    <mergeCell ref="B14:D14"/>
    <mergeCell ref="AE6:AI6"/>
    <mergeCell ref="U6:Y6"/>
    <mergeCell ref="AA8:AN8"/>
    <mergeCell ref="Z7:AD7"/>
    <mergeCell ref="AJ7:AN7"/>
    <mergeCell ref="R14:S14"/>
    <mergeCell ref="X14:AG14"/>
    <mergeCell ref="AH15:AI15"/>
    <mergeCell ref="X9:AN9"/>
    <mergeCell ref="AJ15:AL15"/>
    <mergeCell ref="B10:C10"/>
    <mergeCell ref="F10:G10"/>
    <mergeCell ref="J10:K10"/>
    <mergeCell ref="N10:O10"/>
    <mergeCell ref="U14:W14"/>
    <mergeCell ref="AM14:AN14"/>
    <mergeCell ref="AJ16:AL16"/>
    <mergeCell ref="AJ17:AL17"/>
    <mergeCell ref="X16:AG16"/>
    <mergeCell ref="X17:AG17"/>
    <mergeCell ref="O18:Q18"/>
    <mergeCell ref="X10:AD10"/>
    <mergeCell ref="AG10:AN10"/>
    <mergeCell ref="AD28:AH28"/>
    <mergeCell ref="AM20:AN20"/>
    <mergeCell ref="AM21:AN21"/>
    <mergeCell ref="AJ18:AL18"/>
    <mergeCell ref="AJ19:AL19"/>
    <mergeCell ref="AJ20:AL20"/>
    <mergeCell ref="AJ21:AL21"/>
    <mergeCell ref="AM18:AN18"/>
    <mergeCell ref="AM19:AN19"/>
    <mergeCell ref="AI28:AJ28"/>
    <mergeCell ref="X20:AG20"/>
    <mergeCell ref="X21:AG21"/>
    <mergeCell ref="AA26:AC26"/>
    <mergeCell ref="AD26:AH26"/>
    <mergeCell ref="U17:W17"/>
    <mergeCell ref="U18:W18"/>
    <mergeCell ref="Q10:R10"/>
    <mergeCell ref="E14:N14"/>
    <mergeCell ref="B23:E24"/>
    <mergeCell ref="B28:D28"/>
    <mergeCell ref="R15:S15"/>
    <mergeCell ref="R16:S16"/>
    <mergeCell ref="R17:S17"/>
    <mergeCell ref="E18:N18"/>
    <mergeCell ref="E19:N19"/>
    <mergeCell ref="E20:N20"/>
    <mergeCell ref="E21:N21"/>
    <mergeCell ref="R21:S21"/>
    <mergeCell ref="Q26:T26"/>
    <mergeCell ref="Q27:T27"/>
    <mergeCell ref="Q28:T28"/>
    <mergeCell ref="R18:S18"/>
    <mergeCell ref="E16:N16"/>
    <mergeCell ref="E17:N17"/>
    <mergeCell ref="O14:Q14"/>
    <mergeCell ref="O16:Q16"/>
    <mergeCell ref="O15:Q15"/>
    <mergeCell ref="O17:Q17"/>
    <mergeCell ref="E27:P27"/>
    <mergeCell ref="B26:D26"/>
    <mergeCell ref="E26:P26"/>
    <mergeCell ref="B40:D40"/>
    <mergeCell ref="E40:P40"/>
    <mergeCell ref="B37:D37"/>
    <mergeCell ref="E37:P37"/>
    <mergeCell ref="B38:D38"/>
    <mergeCell ref="E38:P38"/>
    <mergeCell ref="B36:D36"/>
    <mergeCell ref="E36:P36"/>
    <mergeCell ref="B15:D15"/>
    <mergeCell ref="B16:D16"/>
    <mergeCell ref="B35:D35"/>
    <mergeCell ref="E35:P35"/>
    <mergeCell ref="B17:D17"/>
    <mergeCell ref="B18:D18"/>
    <mergeCell ref="B19:D19"/>
    <mergeCell ref="B20:D20"/>
    <mergeCell ref="B21:D21"/>
    <mergeCell ref="B29:D29"/>
    <mergeCell ref="B30:D30"/>
    <mergeCell ref="B27:D27"/>
    <mergeCell ref="B39:D39"/>
    <mergeCell ref="E39:P39"/>
    <mergeCell ref="E28:P28"/>
    <mergeCell ref="E29:P29"/>
    <mergeCell ref="B50:D50"/>
    <mergeCell ref="E50:P50"/>
    <mergeCell ref="B47:D47"/>
    <mergeCell ref="E47:P47"/>
    <mergeCell ref="B48:D48"/>
    <mergeCell ref="E48:P48"/>
    <mergeCell ref="T41:V41"/>
    <mergeCell ref="T42:V42"/>
    <mergeCell ref="T43:V43"/>
    <mergeCell ref="T44:V44"/>
    <mergeCell ref="T47:V47"/>
    <mergeCell ref="AI32:AL32"/>
    <mergeCell ref="AE10:AF10"/>
    <mergeCell ref="U2:AF2"/>
    <mergeCell ref="AG23:AN23"/>
    <mergeCell ref="N54:P54"/>
    <mergeCell ref="B52:D52"/>
    <mergeCell ref="E52:P52"/>
    <mergeCell ref="B51:D51"/>
    <mergeCell ref="E51:P51"/>
    <mergeCell ref="B49:D49"/>
    <mergeCell ref="E49:P49"/>
    <mergeCell ref="T48:V48"/>
    <mergeCell ref="T49:V49"/>
    <mergeCell ref="T50:V50"/>
    <mergeCell ref="T51:V51"/>
    <mergeCell ref="T52:V52"/>
    <mergeCell ref="W48:AB48"/>
    <mergeCell ref="W49:AB49"/>
    <mergeCell ref="W50:AB50"/>
    <mergeCell ref="E44:P44"/>
    <mergeCell ref="B41:D41"/>
    <mergeCell ref="E41:P41"/>
    <mergeCell ref="B42:D42"/>
    <mergeCell ref="E42:P42"/>
  </mergeCells>
  <conditionalFormatting sqref="B15:B21 AI5 AM4 B36:B52 AE36:AE52">
    <cfRule type="cellIs" dxfId="62" priority="61" operator="equal">
      <formula>""</formula>
    </cfRule>
  </conditionalFormatting>
  <conditionalFormatting sqref="B27:B30">
    <cfRule type="cellIs" dxfId="61" priority="60" operator="equal">
      <formula>""</formula>
    </cfRule>
  </conditionalFormatting>
  <conditionalFormatting sqref="E27:E30">
    <cfRule type="cellIs" dxfId="60" priority="59" operator="equal">
      <formula>""</formula>
    </cfRule>
  </conditionalFormatting>
  <conditionalFormatting sqref="W4">
    <cfRule type="cellIs" dxfId="59" priority="56" operator="equal">
      <formula>""</formula>
    </cfRule>
  </conditionalFormatting>
  <conditionalFormatting sqref="AH4">
    <cfRule type="cellIs" dxfId="58" priority="55" operator="equal">
      <formula>""</formula>
    </cfRule>
  </conditionalFormatting>
  <conditionalFormatting sqref="Y5">
    <cfRule type="cellIs" dxfId="57" priority="54" operator="equal">
      <formula>""</formula>
    </cfRule>
  </conditionalFormatting>
  <conditionalFormatting sqref="Z7">
    <cfRule type="cellIs" dxfId="56" priority="51" operator="equal">
      <formula>""</formula>
    </cfRule>
  </conditionalFormatting>
  <conditionalFormatting sqref="AK27:AK30">
    <cfRule type="cellIs" dxfId="55" priority="48" operator="equal">
      <formula>""</formula>
    </cfRule>
  </conditionalFormatting>
  <conditionalFormatting sqref="AD4">
    <cfRule type="cellIs" dxfId="54" priority="46" operator="equal">
      <formula>""</formula>
    </cfRule>
  </conditionalFormatting>
  <conditionalFormatting sqref="U15:U21">
    <cfRule type="cellIs" dxfId="53" priority="45" operator="equal">
      <formula>""</formula>
    </cfRule>
  </conditionalFormatting>
  <conditionalFormatting sqref="E4:S4">
    <cfRule type="cellIs" dxfId="52" priority="30" operator="greaterThan">
      <formula>Air</formula>
    </cfRule>
  </conditionalFormatting>
  <conditionalFormatting sqref="E5:S5">
    <cfRule type="cellIs" dxfId="51" priority="29" operator="greaterThan">
      <formula>Terre</formula>
    </cfRule>
  </conditionalFormatting>
  <conditionalFormatting sqref="E6:S6">
    <cfRule type="cellIs" dxfId="50" priority="28" operator="greaterThan">
      <formula>Feu</formula>
    </cfRule>
  </conditionalFormatting>
  <conditionalFormatting sqref="E7:S7">
    <cfRule type="cellIs" dxfId="49" priority="27" operator="greaterThan">
      <formula>Eau</formula>
    </cfRule>
  </conditionalFormatting>
  <conditionalFormatting sqref="E8:S8">
    <cfRule type="cellIs" dxfId="48" priority="26" operator="greaterThan">
      <formula>Vide</formula>
    </cfRule>
  </conditionalFormatting>
  <conditionalFormatting sqref="Z6">
    <cfRule type="cellIs" dxfId="47" priority="12" operator="equal">
      <formula>""</formula>
    </cfRule>
  </conditionalFormatting>
  <conditionalFormatting sqref="AJ6">
    <cfRule type="cellIs" dxfId="46" priority="11" operator="equal">
      <formula>""</formula>
    </cfRule>
  </conditionalFormatting>
  <conditionalFormatting sqref="AJ7">
    <cfRule type="cellIs" dxfId="45" priority="10" operator="equal">
      <formula>""</formula>
    </cfRule>
  </conditionalFormatting>
  <conditionalFormatting sqref="AA8">
    <cfRule type="cellIs" dxfId="44" priority="9" operator="equal">
      <formula>""</formula>
    </cfRule>
  </conditionalFormatting>
  <conditionalFormatting sqref="X9">
    <cfRule type="cellIs" dxfId="43" priority="8" operator="equal">
      <formula>""</formula>
    </cfRule>
  </conditionalFormatting>
  <conditionalFormatting sqref="X10">
    <cfRule type="cellIs" dxfId="42" priority="7" operator="equal">
      <formula>""</formula>
    </cfRule>
  </conditionalFormatting>
  <conditionalFormatting sqref="AG10">
    <cfRule type="cellIs" dxfId="41" priority="6" operator="equal">
      <formula>""</formula>
    </cfRule>
  </conditionalFormatting>
  <conditionalFormatting sqref="D10">
    <cfRule type="cellIs" dxfId="40" priority="5" operator="equal">
      <formula>""</formula>
    </cfRule>
  </conditionalFormatting>
  <conditionalFormatting sqref="H10">
    <cfRule type="cellIs" dxfId="39" priority="4" operator="equal">
      <formula>""</formula>
    </cfRule>
  </conditionalFormatting>
  <conditionalFormatting sqref="L10">
    <cfRule type="cellIs" dxfId="38" priority="3" operator="equal">
      <formula>""</formula>
    </cfRule>
  </conditionalFormatting>
  <conditionalFormatting sqref="P10">
    <cfRule type="cellIs" dxfId="37" priority="2" operator="equal">
      <formula>""</formula>
    </cfRule>
  </conditionalFormatting>
  <conditionalFormatting sqref="S10">
    <cfRule type="cellIs" dxfId="36" priority="1" operator="equal">
      <formula>""</formula>
    </cfRule>
  </conditionalFormatting>
  <dataValidations count="15">
    <dataValidation type="list" allowBlank="1" showInputMessage="1" showErrorMessage="1" sqref="B15:D21" xr:uid="{00000000-0002-0000-0300-000000000000}">
      <formula1>Tatouages</formula1>
    </dataValidation>
    <dataValidation type="list" allowBlank="1" showInputMessage="1" showErrorMessage="1" sqref="B27:D30" xr:uid="{00000000-0002-0000-0300-000001000000}">
      <formula1>typ_ar</formula1>
    </dataValidation>
    <dataValidation type="list" allowBlank="1" showInputMessage="1" showErrorMessage="1" sqref="W4" xr:uid="{00000000-0002-0000-0300-000002000000}">
      <formula1>Sexe</formula1>
    </dataValidation>
    <dataValidation type="list" allowBlank="1" showInputMessage="1" showErrorMessage="1" sqref="AM4" xr:uid="{00000000-0002-0000-0300-000003000000}">
      <formula1>Poids</formula1>
    </dataValidation>
    <dataValidation type="list" allowBlank="1" showInputMessage="1" showErrorMessage="1" sqref="AH4" xr:uid="{00000000-0002-0000-0300-000004000000}">
      <formula1>Ta</formula1>
    </dataValidation>
    <dataValidation type="list" allowBlank="1" showInputMessage="1" showErrorMessage="1" sqref="Y5" xr:uid="{00000000-0002-0000-0300-000005000000}">
      <formula1>Yeux</formula1>
    </dataValidation>
    <dataValidation type="list" allowBlank="1" showInputMessage="1" showErrorMessage="1" sqref="AI5" xr:uid="{00000000-0002-0000-0300-000006000000}">
      <formula1>Cheveu</formula1>
    </dataValidation>
    <dataValidation type="list" allowBlank="1" showInputMessage="1" showErrorMessage="1" sqref="Z7" xr:uid="{00000000-0002-0000-0300-000007000000}">
      <formula1>Mariage</formula1>
    </dataValidation>
    <dataValidation type="list" allowBlank="1" showInputMessage="1" showErrorMessage="1" sqref="AK27:AK30 AE36:AE52" xr:uid="{00000000-0002-0000-0300-000008000000}">
      <formula1>Endroit</formula1>
    </dataValidation>
    <dataValidation type="list" allowBlank="1" showInputMessage="1" showErrorMessage="1" sqref="AD4" xr:uid="{00000000-0002-0000-0300-000009000000}">
      <formula1>Ages</formula1>
    </dataValidation>
    <dataValidation type="list" allowBlank="1" showInputMessage="1" showErrorMessage="1" sqref="C52:D52 C36:D44 C47:D50 B36:B52" xr:uid="{00000000-0002-0000-0300-00000A000000}">
      <formula1>types_eq</formula1>
    </dataValidation>
    <dataValidation type="list" allowBlank="1" showInputMessage="1" showErrorMessage="1" sqref="U15:W21" xr:uid="{00000000-0002-0000-0300-00000B000000}">
      <formula1>Outremonde</formula1>
    </dataValidation>
    <dataValidation type="list" allowBlank="1" showInputMessage="1" showErrorMessage="1" sqref="X10" xr:uid="{00000000-0002-0000-0300-00000C000000}">
      <formula1>Origine</formula1>
    </dataValidation>
    <dataValidation type="list" allowBlank="1" showInputMessage="1" showErrorMessage="1" sqref="E27:P30" xr:uid="{00000000-0002-0000-0300-00000D000000}">
      <formula1>IF(A27=1,q,IF(A27=2,w,IF(A27=3,f,IF(A27=4,h,IF(A27=5,z,IF(A27=7,B,IF(A27=9,ct,IF(A27=10,g,IF(A27=11,i,IF(A27=15,k,IF(A27=16,y,IF(A27=17,m,IF(A27=21,t,IF(A27=23,ex,""))))))))))))))</formula1>
    </dataValidation>
    <dataValidation type="list" allowBlank="1" showInputMessage="1" showErrorMessage="1" sqref="E36:P52" xr:uid="{328936F0-C67E-4A5E-AA51-4E990B7D9329}">
      <formula1>IF(A36=6,A,IF(A36=8,x,IF(A36=12,d,IF(A36=13,p,IF(A36=14,v,IF(A36=17,n,IF(A36=18,n,IF(A36=19,o,IF(A36=20,s,IF(A36=22,u,IF(A36=16,y,IF(A36=17,m,IF(A36=21,t,IF(A36=23,ex,""))))))))))))))</formula1>
    </dataValidation>
  </dataValidations>
  <pageMargins left="0.11811023622047245" right="0.11811023622047245" top="0.15748031496062992" bottom="0.15748031496062992"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R52"/>
  <sheetViews>
    <sheetView zoomScale="115" zoomScaleNormal="115" workbookViewId="0">
      <selection activeCell="AH18" sqref="AH18"/>
    </sheetView>
  </sheetViews>
  <sheetFormatPr baseColWidth="10" defaultRowHeight="13.2" x14ac:dyDescent="0.25"/>
  <cols>
    <col min="1" max="1" width="0.5546875" customWidth="1"/>
    <col min="2" max="2" width="10" customWidth="1"/>
    <col min="3" max="3" width="2.109375" customWidth="1"/>
    <col min="4" max="4" width="2.6640625" style="196" customWidth="1"/>
    <col min="5" max="5" width="2.6640625" customWidth="1"/>
    <col min="6" max="6" width="3.6640625" style="196" customWidth="1"/>
    <col min="7" max="7" width="8.33203125" style="196" customWidth="1"/>
    <col min="8" max="8" width="0.6640625" style="196" customWidth="1"/>
    <col min="9" max="9" width="2.109375" style="196" customWidth="1"/>
    <col min="10" max="10" width="2.33203125" customWidth="1"/>
    <col min="11" max="11" width="5.88671875" customWidth="1"/>
    <col min="12" max="12" width="4" customWidth="1"/>
    <col min="13" max="13" width="0.33203125" customWidth="1"/>
    <col min="14" max="14" width="2.6640625" customWidth="1"/>
    <col min="15" max="15" width="2" style="196" customWidth="1"/>
    <col min="16" max="17" width="2.6640625" customWidth="1"/>
    <col min="18" max="18" width="3.33203125" customWidth="1"/>
    <col min="19" max="19" width="1.6640625" customWidth="1"/>
    <col min="20" max="22" width="2.6640625" customWidth="1"/>
    <col min="23" max="23" width="3.33203125" customWidth="1"/>
    <col min="24" max="24" width="2.6640625" customWidth="1"/>
    <col min="25" max="25" width="3.6640625" customWidth="1"/>
    <col min="26" max="27" width="2.6640625" customWidth="1"/>
    <col min="28" max="28" width="3.33203125" customWidth="1"/>
    <col min="29" max="29" width="1.44140625" customWidth="1"/>
    <col min="30" max="30" width="0.88671875" customWidth="1"/>
    <col min="31" max="31" width="12.5546875" customWidth="1"/>
  </cols>
  <sheetData>
    <row r="1" spans="1:44" ht="3.6" customHeight="1" x14ac:dyDescent="0.25"/>
    <row r="2" spans="1:44" ht="15.6" x14ac:dyDescent="0.3">
      <c r="B2" s="87" t="s">
        <v>1870</v>
      </c>
      <c r="C2" s="914"/>
      <c r="D2" s="914"/>
      <c r="E2" s="914"/>
      <c r="F2" s="914"/>
      <c r="G2" s="914"/>
      <c r="H2" s="914"/>
      <c r="I2" s="914"/>
      <c r="J2" s="914"/>
      <c r="K2" s="914"/>
      <c r="L2" s="914"/>
      <c r="M2" s="400"/>
      <c r="N2" s="425" t="s">
        <v>6616</v>
      </c>
      <c r="O2" s="425"/>
      <c r="P2" s="425"/>
      <c r="Q2" s="424"/>
      <c r="R2" s="911"/>
      <c r="S2" s="911"/>
      <c r="T2" s="911"/>
      <c r="U2" s="911"/>
      <c r="V2" s="229"/>
      <c r="W2" s="907" t="s">
        <v>5207</v>
      </c>
      <c r="X2" s="907"/>
      <c r="Y2" s="907"/>
      <c r="Z2" s="906"/>
      <c r="AA2" s="906"/>
    </row>
    <row r="3" spans="1:44" x14ac:dyDescent="0.25">
      <c r="B3" s="682" t="s">
        <v>6617</v>
      </c>
      <c r="C3" s="683"/>
      <c r="D3" s="684"/>
      <c r="E3" s="920"/>
      <c r="F3" s="921"/>
      <c r="G3" s="922"/>
      <c r="H3" s="391"/>
      <c r="I3" s="912" t="s">
        <v>6719</v>
      </c>
      <c r="J3" s="913"/>
      <c r="K3" s="923"/>
      <c r="L3" s="416">
        <f>IF(OR(B34="Coque Renforcée",B35="Coque Renforcée",B36="Coque Renforcée",B37="Coque Renforcée"),(I12+1)*20,I12*20)*Taillevaisseau</f>
        <v>0</v>
      </c>
      <c r="M3" s="48"/>
      <c r="N3" s="912" t="s">
        <v>6663</v>
      </c>
      <c r="O3" s="913"/>
      <c r="P3" s="913"/>
      <c r="Q3" s="821"/>
      <c r="R3" s="821"/>
      <c r="S3" s="822"/>
      <c r="T3" s="682">
        <f>SUM(J34:J37)</f>
        <v>0</v>
      </c>
      <c r="U3" s="684"/>
      <c r="V3" s="401"/>
      <c r="W3" s="915" t="s">
        <v>5195</v>
      </c>
      <c r="X3" s="915"/>
      <c r="Y3" s="915"/>
      <c r="Z3" s="915"/>
      <c r="AA3" s="438">
        <f>IF(OR(B34="Coque Renforcée",B35="Coque Renforcée",B36="Coque Renforcée",B37="Coque Renforcée"),(I12+1)*2,I12*2)</f>
        <v>0</v>
      </c>
    </row>
    <row r="4" spans="1:44" x14ac:dyDescent="0.25">
      <c r="B4" s="411" t="s">
        <v>6645</v>
      </c>
      <c r="C4" s="412"/>
      <c r="D4" s="419">
        <f>(I12+J12+J13+I13+I14)*10+SUM(R17:R19)++SUM(S16:W19)++SUM(AA16:AA19)</f>
        <v>0</v>
      </c>
      <c r="E4" s="908" t="s">
        <v>1894</v>
      </c>
      <c r="F4" s="906"/>
      <c r="G4" s="426">
        <f>IF(D4&lt;150,1,IF(AND(D4&gt;=150,D4&lt;175),2,IF(AND(D4&gt;=175,D4&lt;200),3,IF(AND(D4&gt;=200,D4&lt;225),4,IF(AND(D4&gt;=225,D4&lt;250),5,IF(AND(D4&gt;=250,D4&lt;275),6,IF(AND(D4&gt;=275,D4&lt;300),7,IF(AND(D4&gt;=300,D4&lt;325),8,IF(AND(D4&gt;=325,D4&lt;350),9,IF(AND(D4&gt;=350,D4&lt;375),10,IF(AND(D4&gt;=375,D4&lt;400),11,IF(AND(D4&gt;=400,D4&lt;425),12,IF(AND(D4&gt;=425,D4&lt;450),13,IF(AND(D4&gt;=450,D4&lt;475),14,0))))))))))))))</f>
        <v>1</v>
      </c>
      <c r="H4" s="391"/>
      <c r="I4" s="893" t="s">
        <v>6618</v>
      </c>
      <c r="J4" s="893"/>
      <c r="K4" s="893"/>
      <c r="L4" s="893"/>
      <c r="M4" s="893"/>
      <c r="N4" s="893"/>
      <c r="O4" s="916"/>
      <c r="P4" s="916">
        <f>IF(Taillevaisseau="",0,VLOOKUP(Taillevaisseau,'Systèmes de vaisseau'!J2:M11,4,FALSE))+IF(OR(B43="Equipage Mort-Vivant uniquement",B44="Equipage Mort-Vivant uniquement",B45="Equipage Mort-Vivant uniquement",B46="Equipage Mort-Vivant uniquement",B47="Equipage Mort-Vivant uniquement",B48="Equipage Mort-Vivant uniquement",B49="Equipage Mort-Vivant uniquement",B50="Equipage Mort-Vivant uniquement"),VLOOKUP(Taillevaisseau,'Systèmes de vaisseau'!J2:M11,4,FALSE)/2,0)+IF(B43="Module d'extension d'équipement",2*D43,0)+IF(B44="Module d'extension d'équipement",2*D44,0)+IF(B45="Module d'extension d'équipement",2*D45,0)+IF(B46="Module d'extension d'équipement",2*D46,0)+IF(B47="Module d'extension d'équipement",2*D47,0)+IF(B48="Module d'extension d'équipement",2*D48,0)+IF(B49="Module d'extension d'équipement",2*D49,0)+IF(B50="Module d'extension d'équipement",2*D50,0)</f>
        <v>0</v>
      </c>
      <c r="Q4" s="916"/>
      <c r="S4" s="894" t="s">
        <v>6619</v>
      </c>
      <c r="T4" s="895"/>
      <c r="U4" s="895"/>
      <c r="V4" s="895"/>
      <c r="W4" s="895"/>
      <c r="X4" s="917">
        <f>P4-E29-E38-E51</f>
        <v>0</v>
      </c>
      <c r="Y4" s="918"/>
    </row>
    <row r="5" spans="1:44" x14ac:dyDescent="0.25">
      <c r="B5" s="909" t="s">
        <v>6643</v>
      </c>
      <c r="C5" s="910"/>
      <c r="D5" s="821">
        <f>IF(D6&gt;G5,"&gt;Max!",D6)</f>
        <v>0</v>
      </c>
      <c r="E5" s="822"/>
      <c r="F5" s="396" t="s">
        <v>1877</v>
      </c>
      <c r="G5" s="414">
        <f>IF(Taillevaisseau="",0,IF(B43="Module d'extension pour passagers",VLOOKUP(Taillevaisseau,'Systèmes de vaisseau'!J2:M11,3,FALSE)*D43,0)+IF(B44="Module d'extension pour passagers",VLOOKUP(Taillevaisseau,'Systèmes de vaisseau'!J2:M11,3,FALSE)*D44,0+IF(B45="Module d'extension pour passagers",VLOOKUP(Taillevaisseau,'Systèmes de vaisseau'!J2:M11,3,FALSE)*D45,0+IF(B46="Module d'extension pour passagers",VLOOKUP(Taillevaisseau,'Systèmes de vaisseau'!J2:M11,3,FALSE)*D46,0+IF(B47="Module d'extension pour passagers",VLOOKUP(Taillevaisseau,'Systèmes de vaisseau'!J2:M11,3,FALSE)*D47,0+IF(B48="Module d'extension pour passagers",VLOOKUP(Taillevaisseau,'Systèmes de vaisseau'!J2:M11,3,FALSE)*D48,0+IF(B49="Module d'extension pour passagers",VLOOKUP(Taillevaisseau,'Systèmes de vaisseau'!J2:M11,3,FALSE)*D49,0+IF(B50="Module d'extension pour passagers",VLOOKUP(Taillevaisseau,'Systèmes de vaisseau'!J2:M11,3,FALSE)*D50,0+VLOOKUP(Taillevaisseau,'Systèmes de vaisseau'!J2:M11,3,FALSE)))))))))</f>
        <v>0</v>
      </c>
      <c r="I5" s="891" t="s">
        <v>2043</v>
      </c>
      <c r="J5" s="891"/>
      <c r="K5" s="891"/>
      <c r="L5" s="892">
        <f>ROUNDDOWN(R5,0)+IF(OR(B43="Equipage Mort-Vivant uniquement",B44="Equipage Mort-Vivant uniquement",B45="Equipage Mort-Vivant uniquement",B46="Equipage Mort-Vivant uniquement",B47="Equipage Mort-Vivant uniquement",B48="Equipage Mort-Vivant uniquement",B49="Equipage Mort-Vivant uniquement",B50="Equipage Mort-Vivant uniquement"),2,0)</f>
        <v>0</v>
      </c>
      <c r="M5" s="892"/>
      <c r="O5" s="893" t="s">
        <v>1874</v>
      </c>
      <c r="P5" s="893"/>
      <c r="Q5" s="893"/>
      <c r="R5" s="427"/>
      <c r="S5" s="420"/>
      <c r="T5" s="890" t="s">
        <v>6703</v>
      </c>
      <c r="U5" s="890"/>
      <c r="V5" s="890"/>
      <c r="W5" s="890"/>
      <c r="X5" s="820">
        <f>IF(Taillevaisseau="",0,VLOOKUP(Taillevaisseau,'Systèmes de vaisseau'!J2:N11,5,FALSE))+IF(OR(B43="Automatisation",B44="Automatisation",B45="Automatisation",B46="Automatisation",B47="Automatisation",B48="Automatisation",B49="Automatisation",B50="Automatisation"),VLOOKUP(Taillevaisseau,'Systèmes de vaisseau'!J2:N11,5,FALSE)/2,0)+SUM(N26:O28)+SUM(K34:K37)+SUM(J43:K50)</f>
        <v>0</v>
      </c>
      <c r="Y5" s="821"/>
      <c r="Z5" s="821"/>
      <c r="AA5" s="822"/>
    </row>
    <row r="6" spans="1:44" s="29" customFormat="1" ht="7.95" customHeight="1" x14ac:dyDescent="0.25">
      <c r="D6" s="439">
        <f>ROUNDUP(IF(Taillevaisseau="",0,IF(AF51=0,VLOOKUP(Taillevaisseau,'Systèmes de vaisseau'!J2:M11,2,FALSE),IF(AF51=1,VLOOKUP(Taillevaisseau,'Systèmes de vaisseau'!J2:M11,2,FALSE)/2,IF(AF51&gt;1,VLOOKUP(Taillevaisseau,'Systèmes de vaisseau'!J2:M11,2,FALSE)/4))))+IF(B43="Module d'extension d'équipement",ROUNDUP((VLOOKUP(Taillevaisseau,'Systèmes de vaisseau'!J2:M11,2,FALSE)/4*D43),0),0)+IF(B44="Module d'extension d'équipement",ROUNDUP((VLOOKUP(Taillevaisseau,'Systèmes de vaisseau'!J2:M11,2,FALSE)/4*D44),0),0)+IF(B45="Module d'extension d'équipement",ROUNDUP((VLOOKUP(Taillevaisseau,'Systèmes de vaisseau'!J2:M11,2,FALSE)/4*D45),0),0)+IF(B46="Module d'extension d'équipement",ROUNDUP((VLOOKUP(Taillevaisseau,'Systèmes de vaisseau'!J2:M11,2,FALSE)/4*D46),0),0)+IF(B47="Module d'extension d'équipement",ROUNDUP((VLOOKUP(Taillevaisseau,'Systèmes de vaisseau'!J2:M11,2,FALSE)/4*D47),0),0)+IF(B48="Module d'extension d'équipement",ROUNDUP((VLOOKUP(Taillevaisseau,'Systèmes de vaisseau'!J2:M11,2,FALSE)/4*D48),0),0)+IF(B49="Module d'extension d'équipement",ROUNDUP((VLOOKUP(Taillevaisseau,'Systèmes de vaisseau'!J2:M11,2,FALSE)/4*D49),0),0)+IF(B50="Module d'extension d'équipement",ROUNDUP((VLOOKUP(Taillevaisseau,'Systèmes de vaisseau'!J2:M11,2,FALSE)/4*D50),0),0),0)</f>
        <v>0</v>
      </c>
      <c r="V6" s="899" t="s">
        <v>6675</v>
      </c>
      <c r="W6" s="900"/>
      <c r="X6" s="900"/>
      <c r="Y6" s="900"/>
      <c r="Z6" s="900"/>
      <c r="AA6" s="901"/>
      <c r="AB6" s="406"/>
      <c r="AC6" s="406"/>
      <c r="AD6" s="406"/>
      <c r="AE6" s="406"/>
      <c r="AF6" s="406"/>
      <c r="AG6" s="406"/>
      <c r="AH6" s="406"/>
      <c r="AI6" s="406"/>
      <c r="AJ6" s="406"/>
      <c r="AM6" s="134"/>
      <c r="AN6" s="134"/>
      <c r="AO6" s="134"/>
      <c r="AP6" s="134"/>
      <c r="AQ6" s="134"/>
    </row>
    <row r="7" spans="1:44" s="29" customFormat="1" ht="10.199999999999999" customHeight="1" x14ac:dyDescent="0.25">
      <c r="G7" s="928" t="s">
        <v>577</v>
      </c>
      <c r="H7" s="928"/>
      <c r="I7" s="413"/>
      <c r="K7" s="929" t="s">
        <v>100</v>
      </c>
      <c r="L7" s="929"/>
      <c r="M7" s="35"/>
      <c r="V7" s="896" t="s">
        <v>6676</v>
      </c>
      <c r="W7" s="897"/>
      <c r="X7" s="897"/>
      <c r="Y7" s="898"/>
      <c r="Z7" s="904">
        <f>VLOOKUP('Systèmes de vaisseau'!M15,'Systèmes de vaisseau'!V4:AB22,3,FALSE)</f>
        <v>0</v>
      </c>
      <c r="AA7" s="905"/>
      <c r="AB7" s="406"/>
      <c r="AC7" s="406"/>
      <c r="AD7" s="406"/>
      <c r="AE7" s="406"/>
      <c r="AF7" s="406"/>
      <c r="AG7" s="406"/>
      <c r="AH7" s="406"/>
      <c r="AI7" s="406"/>
      <c r="AJ7" s="406"/>
      <c r="AM7" s="134"/>
      <c r="AN7" s="134"/>
      <c r="AO7" s="134"/>
      <c r="AP7" s="134"/>
      <c r="AQ7" s="134"/>
    </row>
    <row r="8" spans="1:44" s="29" customFormat="1" ht="9" customHeight="1" x14ac:dyDescent="0.25">
      <c r="V8" s="896" t="s">
        <v>6673</v>
      </c>
      <c r="W8" s="897"/>
      <c r="X8" s="897"/>
      <c r="Y8" s="898"/>
      <c r="Z8" s="904">
        <f>VLOOKUP('Systèmes de vaisseau'!M15,'Systèmes de vaisseau'!V4:AB22,4,FALSE)</f>
        <v>0</v>
      </c>
      <c r="AA8" s="905"/>
      <c r="AB8" s="406"/>
      <c r="AC8" s="406"/>
      <c r="AD8" s="406"/>
      <c r="AE8" s="406"/>
      <c r="AF8" s="406"/>
      <c r="AG8" s="406"/>
      <c r="AH8" s="406"/>
      <c r="AI8" s="406"/>
      <c r="AJ8" s="406"/>
      <c r="AM8" s="134"/>
      <c r="AN8" s="134"/>
      <c r="AO8" s="134"/>
      <c r="AP8" s="134"/>
      <c r="AQ8" s="134"/>
    </row>
    <row r="9" spans="1:44" s="29" customFormat="1" ht="10.95" customHeight="1" x14ac:dyDescent="0.25">
      <c r="B9" s="902" t="s">
        <v>6649</v>
      </c>
      <c r="C9" s="902"/>
      <c r="D9" s="902"/>
      <c r="E9" s="903"/>
      <c r="F9" s="415"/>
      <c r="N9" s="415"/>
      <c r="O9" s="421" t="s">
        <v>6650</v>
      </c>
      <c r="P9" s="32"/>
      <c r="Q9" s="32"/>
      <c r="R9" s="32"/>
      <c r="S9" s="32"/>
      <c r="T9" s="32"/>
      <c r="U9" s="32"/>
      <c r="V9" s="896" t="s">
        <v>6674</v>
      </c>
      <c r="W9" s="897"/>
      <c r="X9" s="897"/>
      <c r="Y9" s="898"/>
      <c r="Z9" s="904">
        <f>VLOOKUP('Systèmes de vaisseau'!M15,'Systèmes de vaisseau'!V4:AB22,5,FALSE)</f>
        <v>0</v>
      </c>
      <c r="AA9" s="905"/>
      <c r="AB9" s="406"/>
      <c r="AC9" s="406"/>
      <c r="AD9" s="406"/>
      <c r="AE9" s="406"/>
      <c r="AF9" s="406"/>
      <c r="AG9" s="406"/>
      <c r="AH9" s="406"/>
      <c r="AI9" s="406"/>
      <c r="AJ9" s="406"/>
      <c r="AK9" s="37"/>
      <c r="AL9" s="37"/>
      <c r="AM9" s="319"/>
      <c r="AN9" s="319"/>
      <c r="AO9" s="134"/>
      <c r="AP9" s="134"/>
      <c r="AQ9" s="134"/>
    </row>
    <row r="10" spans="1:44" s="29" customFormat="1" ht="14.4" customHeight="1" x14ac:dyDescent="0.25">
      <c r="A10" s="31"/>
      <c r="B10" s="902" t="s">
        <v>6646</v>
      </c>
      <c r="C10" s="902"/>
      <c r="D10" s="903"/>
      <c r="E10" s="415"/>
      <c r="F10" s="30"/>
      <c r="O10" s="415"/>
      <c r="P10" s="31" t="s">
        <v>6652</v>
      </c>
      <c r="V10" s="640" t="s">
        <v>6691</v>
      </c>
      <c r="W10" s="640"/>
      <c r="X10" s="640"/>
      <c r="Y10" s="640"/>
      <c r="Z10" s="904">
        <f>VLOOKUP('Systèmes de vaisseau'!M15,'Systèmes de vaisseau'!V4:AB22,6,FALSE)</f>
        <v>0</v>
      </c>
      <c r="AA10" s="905"/>
      <c r="AB10" s="406"/>
      <c r="AC10" s="406"/>
      <c r="AD10" s="406"/>
      <c r="AE10" s="406"/>
      <c r="AF10" s="406"/>
      <c r="AG10" s="406"/>
      <c r="AH10" s="406"/>
      <c r="AI10" s="406"/>
      <c r="AJ10" s="406"/>
      <c r="AM10" s="134"/>
      <c r="AN10" s="134"/>
      <c r="AO10" s="134"/>
      <c r="AP10" s="134"/>
      <c r="AQ10" s="134"/>
    </row>
    <row r="11" spans="1:44" s="29" customFormat="1" ht="5.4" customHeight="1" thickBot="1" x14ac:dyDescent="0.3">
      <c r="V11" s="640" t="s">
        <v>6688</v>
      </c>
      <c r="W11" s="640"/>
      <c r="X11" s="640"/>
      <c r="Y11" s="640"/>
      <c r="Z11" s="874">
        <f>VLOOKUP('Systèmes de vaisseau'!M15,'Systèmes de vaisseau'!V4:AB22,7,FALSE)</f>
        <v>0</v>
      </c>
      <c r="AA11" s="874"/>
      <c r="AB11" s="406"/>
      <c r="AC11" s="406"/>
      <c r="AD11" s="406"/>
      <c r="AE11" s="406"/>
      <c r="AF11" s="406"/>
      <c r="AG11" s="406"/>
      <c r="AH11" s="406"/>
      <c r="AI11" s="406"/>
      <c r="AJ11" s="406"/>
      <c r="AM11" s="134"/>
      <c r="AN11" s="134"/>
      <c r="AO11" s="134"/>
      <c r="AP11" s="134"/>
      <c r="AQ11" s="134"/>
    </row>
    <row r="12" spans="1:44" s="29" customFormat="1" ht="10.95" customHeight="1" x14ac:dyDescent="0.25">
      <c r="B12" s="902" t="s">
        <v>6647</v>
      </c>
      <c r="C12" s="902"/>
      <c r="D12" s="903"/>
      <c r="E12" s="415"/>
      <c r="H12" s="407">
        <f>IF(F9&lt;ROUNDDOWN((F9+E10)/2,0),F9,IF(E10&lt;ROUNDDOWN((F9+E10)/2,0),E10,ROUNDDOWN((F9+E10)/2,0)))</f>
        <v>0</v>
      </c>
      <c r="I12" s="352">
        <f>IF(F9&lt;ROUNDDOWN((E10+F9)/2,0),F9,IF(E10&lt;ROUNDDOWN((E10+F9)/2,0),E10,ROUNDDOWN((E10+F9)/2,0)))</f>
        <v>0</v>
      </c>
      <c r="J12" s="351">
        <f>IF(N9&lt;ROUNDDOWN((O10+N9)/2,0),N9,IF(O10&lt;ROUNDDOWN((O10+N9)/2,0),O10,ROUNDDOWN((O10+N9)/2,0)))</f>
        <v>0</v>
      </c>
      <c r="O12" s="415"/>
      <c r="P12" s="31" t="s">
        <v>6651</v>
      </c>
      <c r="V12" s="640"/>
      <c r="W12" s="640"/>
      <c r="X12" s="640"/>
      <c r="Y12" s="640"/>
      <c r="Z12" s="874"/>
      <c r="AA12" s="874"/>
      <c r="AB12" s="406"/>
      <c r="AC12" s="406"/>
      <c r="AD12" s="406"/>
      <c r="AE12" s="406"/>
      <c r="AF12" s="406"/>
      <c r="AG12" s="406"/>
      <c r="AH12" s="406"/>
      <c r="AI12" s="406"/>
      <c r="AJ12" s="406"/>
      <c r="AM12" s="134"/>
      <c r="AN12" s="134"/>
      <c r="AO12" s="134"/>
      <c r="AP12" s="134"/>
      <c r="AQ12" s="134"/>
    </row>
    <row r="13" spans="1:44" s="29" customFormat="1" ht="10.95" customHeight="1" x14ac:dyDescent="0.25">
      <c r="B13" s="902" t="s">
        <v>6648</v>
      </c>
      <c r="C13" s="902"/>
      <c r="D13" s="902"/>
      <c r="E13" s="903"/>
      <c r="F13" s="415"/>
      <c r="H13" s="408">
        <f>IF(E12&lt;ROUNDDOWN((E12+F13)/2,0),E12,IF(F13&lt;ROUNDDOWN((E12+F13)/2,0),F13,ROUNDDOWN((E12+F13)/2,0)))</f>
        <v>0</v>
      </c>
      <c r="I13" s="349">
        <f>IF(E12&lt;ROUNDDOWN((F13+E12)/2,0),E12,IF(F13&lt;ROUNDDOWN((F13+E12)/2,0),F13,ROUNDDOWN((F13+E12)/2,0)))</f>
        <v>0</v>
      </c>
      <c r="J13" s="350">
        <f>IF(O12&lt;ROUNDDOWN((O12+N13)/2,0),O12,IF(N13&lt;ROUNDDOWN((O12+N13)/2,0),N13,ROUNDDOWN((O12+N13)/2,0)))</f>
        <v>0</v>
      </c>
      <c r="N13" s="415"/>
      <c r="O13" s="31" t="s">
        <v>6672</v>
      </c>
      <c r="P13" s="31"/>
      <c r="Q13" s="31"/>
      <c r="R13" s="31"/>
      <c r="S13" s="31"/>
      <c r="T13" s="31"/>
      <c r="U13" s="31"/>
      <c r="V13" s="871" t="s">
        <v>6728</v>
      </c>
      <c r="W13" s="872"/>
      <c r="X13" s="872"/>
      <c r="Y13" s="873"/>
      <c r="Z13" s="874">
        <f>'Systèmes de vaisseau'!M15</f>
        <v>0</v>
      </c>
      <c r="AA13" s="874"/>
      <c r="AB13" s="406"/>
      <c r="AC13" s="406"/>
      <c r="AD13" s="406"/>
      <c r="AE13" s="406"/>
      <c r="AF13" s="406"/>
      <c r="AG13" s="406"/>
      <c r="AH13" s="406"/>
      <c r="AI13" s="406"/>
      <c r="AJ13" s="406"/>
      <c r="AM13" s="134"/>
      <c r="AN13" s="134"/>
      <c r="AO13" s="134"/>
      <c r="AP13" s="134"/>
      <c r="AQ13" s="134"/>
      <c r="AR13" s="134"/>
    </row>
    <row r="14" spans="1:44" s="29" customFormat="1" ht="7.2" customHeight="1" x14ac:dyDescent="0.25">
      <c r="A14" s="31"/>
      <c r="E14" s="37"/>
      <c r="G14" s="37"/>
      <c r="H14" s="410"/>
      <c r="I14" s="924">
        <f>IF(Vaisseau!N13="",0,Vaisseau!N13-1)+SUM(IF(Vaisseau!B43="Chambre de méditation",Vaisseau!D43*2)+IF(Vaisseau!B44="Chambre de méditation",Vaisseau!D44*2)+IF(Vaisseau!B45="Chambre de méditation",Vaisseau!D45*2)+IF(Vaisseau!B46="Chambre de méditation",Vaisseau!D46*2)+IF(Vaisseau!B47="Chambre de méditation",Vaisseau!D47*2)+IF(Vaisseau!B48="Chambre de méditation",Vaisseau!D48*2)+IF(Vaisseau!B49="Chambre de méditation",Vaisseau!D49*2)+IF(Vaisseau!B50="Chambre de méditation",Vaisseau!D50*2),0)+SUM(IF(Vaisseau!B43="Ordinateur de bibilothèque de magie",Vaisseau!D43)+IF(Vaisseau!B44="Ordinateur de bibilothèque de magie",Vaisseau!D44)+IF(Vaisseau!B45="Ordinateur de bibilothèque de magie",Vaisseau!D45)+IF(Vaisseau!B46="Ordinateur de bibilothèque de magie",Vaisseau!D46)+IF(Vaisseau!B47="Ordinateur de bibilothèque de magie",Vaisseau!D47)+IF(Vaisseau!B48="Ordinateur de bibilothèque de magie",Vaisseau!D48)+IF(Vaisseau!B49="Ordinateur de bibilothèque de magie",Vaisseau!D49)+IF(Vaisseau!B50="Ordinateur de bibilothèque de magie",Vaisseau!D50),0)+G18</f>
        <v>0</v>
      </c>
      <c r="J14" s="925"/>
      <c r="N14" s="37"/>
      <c r="O14" s="31"/>
      <c r="P14" s="31"/>
      <c r="AB14" s="406"/>
      <c r="AC14" s="406"/>
      <c r="AD14" s="406"/>
      <c r="AE14" s="406"/>
      <c r="AF14" s="406"/>
      <c r="AG14" s="406"/>
      <c r="AH14" s="406"/>
      <c r="AI14" s="406"/>
      <c r="AJ14" s="406"/>
      <c r="AM14" s="134"/>
      <c r="AN14" s="134"/>
      <c r="AO14" s="134"/>
      <c r="AP14" s="134"/>
      <c r="AQ14" s="134"/>
      <c r="AR14" s="134"/>
    </row>
    <row r="15" spans="1:44" s="29" customFormat="1" ht="11.4" customHeight="1" thickBot="1" x14ac:dyDescent="0.3">
      <c r="B15" s="433" t="s">
        <v>6717</v>
      </c>
      <c r="D15" s="876">
        <f>IF(Z2="",0,VLOOKUP(Z2,'Systèmes de vaisseau'!J2:P11,7,FALSE))</f>
        <v>0</v>
      </c>
      <c r="E15" s="877"/>
      <c r="H15" s="409"/>
      <c r="I15" s="926"/>
      <c r="J15" s="927"/>
      <c r="N15" s="889" t="s">
        <v>6694</v>
      </c>
      <c r="O15" s="889"/>
      <c r="P15" s="889"/>
      <c r="Q15" s="889"/>
      <c r="R15" s="889"/>
      <c r="S15" s="889"/>
      <c r="T15" s="889"/>
      <c r="U15" s="889"/>
      <c r="V15" s="889"/>
      <c r="W15" s="889"/>
      <c r="X15" s="889"/>
      <c r="Y15" s="889"/>
      <c r="Z15" s="889"/>
      <c r="AA15" s="889"/>
      <c r="AB15" s="406"/>
      <c r="AC15" s="406"/>
      <c r="AD15" s="406"/>
      <c r="AE15" s="406"/>
      <c r="AF15" s="406"/>
      <c r="AG15" s="406"/>
      <c r="AH15" s="406"/>
      <c r="AI15" s="406"/>
      <c r="AJ15" s="406"/>
      <c r="AM15" s="134"/>
      <c r="AN15" s="196"/>
      <c r="AO15" s="134"/>
      <c r="AP15" s="134"/>
      <c r="AQ15" s="134"/>
      <c r="AR15" s="134"/>
    </row>
    <row r="16" spans="1:44" s="29" customFormat="1" ht="10.199999999999999" customHeight="1" x14ac:dyDescent="0.25">
      <c r="B16" s="442" t="s">
        <v>6718</v>
      </c>
      <c r="D16" s="878">
        <f>F9+E10+E12+F13+N9+O10+O12+N13</f>
        <v>0</v>
      </c>
      <c r="E16" s="878"/>
      <c r="G16" s="402" t="s">
        <v>578</v>
      </c>
      <c r="K16" s="690" t="s">
        <v>7401</v>
      </c>
      <c r="L16" s="690"/>
      <c r="N16" s="640" t="s">
        <v>6665</v>
      </c>
      <c r="O16" s="640"/>
      <c r="P16" s="640"/>
      <c r="Q16" s="640"/>
      <c r="R16" s="417">
        <f>G4+O10+(IF(OR(B43="Centre de commandement Interne"),1*D43,0))+(IF(OR(B44="Centre de commandement Interne"),1*D44,0))+(IF(OR(B45="Centre de commandement Interne"),1*D45,0))+(IF(OR(B46="Centre de commandement Interne"),1*D46,0))+(IF(OR(B47="Centre de commandement Interne"),1*D47,0))+(IF(OR(B48="Centre de commandement Interne"),1*D48,0))+(IF(OR(B49="Centre de commandement Interne"),1*D49,0))+(IF(OR(B50="Centre de commandement Interne"),1*D50,0))-Taillevaisseau</f>
        <v>1</v>
      </c>
      <c r="S16" s="640" t="s">
        <v>6667</v>
      </c>
      <c r="T16" s="640"/>
      <c r="U16" s="640"/>
      <c r="V16" s="640"/>
      <c r="W16" s="417" t="str">
        <f>CONCATENATE("+",Vaisseau!J12+SUM(IF(Vaisseau!B43="Systèmes de navigation supérieurs",Vaisseau!D43)+IF(Vaisseau!B44="Systèmes de navigation supérieurs",Vaisseau!D44)+IF(Vaisseau!B45="Systèmes de navigation supérieurs",Vaisseau!D45)+IF(Vaisseau!B46="Systèmes de navigation supérieurs",Vaisseau!D46)+IF(Vaisseau!B47="Systèmes de navigation supérieurs",Vaisseau!D47)+IF(Vaisseau!B48="Systèmes de navigation supérieurs",Vaisseau!D48)+IF(Vaisseau!B49="Systèmes de navigation supérieurs",Vaisseau!D49)+IF(Vaisseau!B50="Systèmes de navigation supérieurs",Vaisseau!D50),0))</f>
        <v>+0</v>
      </c>
      <c r="X16" s="640" t="s">
        <v>6671</v>
      </c>
      <c r="Y16" s="640"/>
      <c r="Z16" s="640"/>
      <c r="AA16" s="417" t="str">
        <f>CONCATENATE("+",Vaisseau!I13+SUM(IF(Vaisseau!B43="Systèmes de communication holographiques",Vaisseau!D43)+IF(Vaisseau!B44="Systèmes de communication holographiques",Vaisseau!D44)+IF(Vaisseau!B45="Systèmes de communication holographiques",Vaisseau!D45)+IF(Vaisseau!B46="Systèmes de communication holographiques",Vaisseau!D46)+IF(Vaisseau!B47="Systèmes de communication holographiques",Vaisseau!D47)+IF(Vaisseau!B48="Systèmes de communication holographiques",Vaisseau!D48)+IF(Vaisseau!B49="Systèmes de communication holographiques",Vaisseau!D49)+IF(Vaisseau!B50="Systèmes de communication holographiques",Vaisseau!D50),0))</f>
        <v>+0</v>
      </c>
      <c r="AB16" s="406"/>
      <c r="AC16" s="406"/>
      <c r="AD16" s="406"/>
      <c r="AE16" s="406"/>
      <c r="AF16" s="406"/>
      <c r="AG16" s="406"/>
      <c r="AH16" s="406"/>
      <c r="AI16" s="406"/>
      <c r="AJ16" s="406"/>
      <c r="AM16" s="134"/>
      <c r="AN16" s="196"/>
      <c r="AO16" s="134"/>
      <c r="AP16" s="134"/>
      <c r="AQ16" s="134"/>
      <c r="AR16" s="134"/>
    </row>
    <row r="17" spans="2:44" s="29" customFormat="1" ht="11.4" customHeight="1" x14ac:dyDescent="0.25">
      <c r="N17" s="640" t="s">
        <v>6666</v>
      </c>
      <c r="O17" s="640"/>
      <c r="P17" s="640"/>
      <c r="Q17" s="640"/>
      <c r="R17" s="417" t="str">
        <f>CONCATENATE("+",IF(Taillevaisseau="",0,Taillevaisseau))</f>
        <v>+0</v>
      </c>
      <c r="S17" s="640" t="s">
        <v>6668</v>
      </c>
      <c r="T17" s="640"/>
      <c r="U17" s="640"/>
      <c r="V17" s="640"/>
      <c r="W17" s="417" t="str">
        <f>CONCATENATE("+",Vaisseau!I12+SUM(IF(Vaisseau!B43="Systèmes de sécurité interne supérieurs",Vaisseau!D43)+IF(Vaisseau!B44="Systèmes de sécurité interne supérieurs",Vaisseau!D44)+IF(Vaisseau!B45="Systèmes de sécurité interne supérieurs",Vaisseau!D45)+IF(Vaisseau!B46="Systèmes de sécurité interne supérieurs",Vaisseau!D46)+IF(Vaisseau!B47="Systèmes de sécurité interne supérieurs",Vaisseau!D47)+IF(Vaisseau!B48="Systèmes de sécurité interne supérieurs",Vaisseau!D48)+IF(Vaisseau!B49="Systèmes de sécurité interne supérieurs",Vaisseau!D49)+IF(Vaisseau!B50="Systèmes de sécurité interne supérieurs",Vaisseau!D50),0))</f>
        <v>+0</v>
      </c>
      <c r="X17" s="640" t="s">
        <v>6722</v>
      </c>
      <c r="Y17" s="640"/>
      <c r="Z17" s="640"/>
      <c r="AA17" s="417" t="str">
        <f>CONCATENATE("+",Vaisseau!I12+SUM(IF(Vaisseau!B43="Atelier",Vaisseau!D43)+IF(Vaisseau!B44="Atelier",Vaisseau!D44)+IF(Vaisseau!B45="Atelier",Vaisseau!D45)+IF(Vaisseau!B46="Atelier",Vaisseau!D46)+IF(Vaisseau!B47="Atelier",Vaisseau!D47)+IF(Vaisseau!B48="Atelier",Vaisseau!D48)+IF(Vaisseau!B49="Atelier",Vaisseau!D49)+IF(Vaisseau!B50="Atelier",Vaisseau!D50),0))</f>
        <v>+0</v>
      </c>
      <c r="AB17" s="406"/>
      <c r="AC17" s="406"/>
      <c r="AD17" s="406"/>
      <c r="AE17" s="406"/>
      <c r="AF17" s="406"/>
      <c r="AG17" s="406"/>
      <c r="AH17" s="406"/>
      <c r="AI17" s="406"/>
      <c r="AJ17" s="406"/>
      <c r="AM17" s="134"/>
      <c r="AN17" s="196"/>
      <c r="AO17" s="134"/>
      <c r="AP17" s="196"/>
      <c r="AQ17" s="134"/>
      <c r="AR17" s="134"/>
    </row>
    <row r="18" spans="2:44" s="29" customFormat="1" ht="11.4" customHeight="1" x14ac:dyDescent="0.25">
      <c r="C18" s="748" t="s">
        <v>1944</v>
      </c>
      <c r="D18" s="748"/>
      <c r="E18" s="748"/>
      <c r="F18" s="748"/>
      <c r="G18" s="403"/>
      <c r="N18" s="640" t="s">
        <v>6720</v>
      </c>
      <c r="O18" s="640"/>
      <c r="P18" s="640"/>
      <c r="Q18" s="640"/>
      <c r="R18" s="417" t="str">
        <f>CONCATENATE("+",Vaisseau!I13+SUM(IF(Vaisseau!B43="Systèmes de navigation supérieurs",Vaisseau!D43)+IF(Vaisseau!B44="Systèmes de navigation supérieurs",Vaisseau!D44)+IF(Vaisseau!B45="Systèmes de navigation supérieurs",Vaisseau!D45)+IF(Vaisseau!B46="Systèmes de navigation supérieurs",Vaisseau!D46)+IF(Vaisseau!B47="Systèmes de navigation supérieurs",Vaisseau!D47)+IF(Vaisseau!B48="Systèmes de navigation supérieurs",Vaisseau!D48)+IF(Vaisseau!B49="Systèmes de navigation supérieurs",Vaisseau!D49)+IF(Vaisseau!B50="Systèmes de navigation supérieurs",Vaisseau!D50),0))</f>
        <v>+0</v>
      </c>
      <c r="S18" s="640" t="s">
        <v>6669</v>
      </c>
      <c r="T18" s="640"/>
      <c r="U18" s="640"/>
      <c r="V18" s="640"/>
      <c r="W18" s="417" t="str">
        <f>CONCATENATE("+",Vaisseau!N13+SUM(IF(Vaisseau!B43="Laboratoire scientifique supérieur",Vaisseau!D43*2)+IF(Vaisseau!B44="Laboratoire scientifique supérieur",Vaisseau!D44*2)+IF(Vaisseau!B45="Laboratoire scientifique supérieur",Vaisseau!D45*2)+IF(Vaisseau!B46="Laboratoire scientifique supérieur",Vaisseau!D46*2)+IF(Vaisseau!B47="Laboratoire scientifique supérieur",Vaisseau!D47*2)+IF(Vaisseau!B48="Laboratoire scientifique supérieur",Vaisseau!D48*2)+IF(Vaisseau!B49="Laboratoire scientifique supérieur",Vaisseau!D49*2)+IF(Vaisseau!B50="Laboratoire scientifique supérieur",Vaisseau!D50*2),0))</f>
        <v>+0</v>
      </c>
      <c r="X18" s="884"/>
      <c r="Y18" s="884"/>
      <c r="Z18" s="884"/>
      <c r="AA18" s="417"/>
      <c r="AB18" s="406"/>
      <c r="AC18" s="406"/>
      <c r="AD18" s="406"/>
      <c r="AE18" s="406"/>
      <c r="AF18" s="406"/>
      <c r="AG18" s="406"/>
      <c r="AH18" s="406"/>
      <c r="AI18" s="406"/>
      <c r="AJ18" s="406"/>
      <c r="AM18" s="196"/>
      <c r="AN18" s="196"/>
      <c r="AO18" s="196"/>
      <c r="AP18" s="196"/>
      <c r="AQ18" s="134"/>
      <c r="AR18" s="134"/>
    </row>
    <row r="19" spans="2:44" s="29" customFormat="1" ht="10.199999999999999" customHeight="1" x14ac:dyDescent="0.25">
      <c r="H19" s="690" t="s">
        <v>328</v>
      </c>
      <c r="I19" s="690"/>
      <c r="J19" s="690"/>
      <c r="N19" s="640" t="s">
        <v>6670</v>
      </c>
      <c r="O19" s="640"/>
      <c r="P19" s="640"/>
      <c r="Q19" s="640"/>
      <c r="R19" s="417" t="str">
        <f>CONCATENATE("+",Vaisseau!J13+SUM(IF(Vaisseau!B43="Systèmes tactiques supérieurs",Vaisseau!D43)+IF(Vaisseau!B44="Systèmes tactiques supérieurs",Vaisseau!D44)+IF(Vaisseau!B45="Systèmes tactiques supérieurs",Vaisseau!D45)+IF(Vaisseau!B46="Systèmes tactiques supérieurs",Vaisseau!D46)+IF(Vaisseau!B47="Systèmes tactiques supérieurs",Vaisseau!D47)+IF(Vaisseau!B48="Systèmes tactiques supérieurs",Vaisseau!D48)+IF(Vaisseau!B49="Systèmes tactiques supérieurs",Vaisseau!D49)+IF(Vaisseau!B50="Systèmes tactiques supérieurs",Vaisseau!D50),0))</f>
        <v>+0</v>
      </c>
      <c r="S19" s="640" t="s">
        <v>6721</v>
      </c>
      <c r="T19" s="640"/>
      <c r="U19" s="640"/>
      <c r="V19" s="640"/>
      <c r="W19" s="417" t="str">
        <f>CONCATENATE("+",Vaisseau!N13+SUM(IF(Vaisseau!B43="Systèmes médicaux supérieurs",Vaisseau!D43*2)+IF(Vaisseau!B44="Systèmes médicaux supérieurs",Vaisseau!D44*2)+IF(Vaisseau!B45="Systèmes médicaux supérieurs",Vaisseau!D45*2)+IF(Vaisseau!B46="Systèmes médicaux supérieurs",Vaisseau!D46*2)+IF(Vaisseau!B47="Systèmes médicaux supérieurs",Vaisseau!D47*2)+IF(Vaisseau!B48="Systèmes médicaux supérieurs",Vaisseau!D48*2)+IF(Vaisseau!B49="Systèmes médicaux supérieurs",Vaisseau!D49*2)+IF(Vaisseau!B50="Systèmes médicaux supérieurs",Vaisseau!D50*2),0))</f>
        <v>+0</v>
      </c>
      <c r="X19" s="640"/>
      <c r="Y19" s="640"/>
      <c r="Z19" s="640"/>
      <c r="AA19" s="417"/>
      <c r="AB19" s="406"/>
      <c r="AC19" s="406"/>
      <c r="AD19" s="406"/>
      <c r="AE19" s="406"/>
      <c r="AF19" s="406"/>
      <c r="AG19" s="406"/>
      <c r="AH19" s="406"/>
      <c r="AI19" s="406"/>
      <c r="AJ19" s="406"/>
      <c r="AM19" s="196"/>
      <c r="AN19" s="196"/>
      <c r="AO19" s="196"/>
      <c r="AP19" s="196"/>
      <c r="AQ19" s="134"/>
      <c r="AR19" s="134"/>
    </row>
    <row r="20" spans="2:44" s="29" customFormat="1" ht="3" customHeight="1" x14ac:dyDescent="0.25">
      <c r="H20" s="690"/>
      <c r="I20" s="690"/>
      <c r="J20" s="690"/>
      <c r="W20" s="423"/>
      <c r="X20" s="423"/>
      <c r="Y20" s="423"/>
      <c r="Z20" s="423"/>
      <c r="AA20" s="423"/>
      <c r="AB20" s="406"/>
      <c r="AC20" s="406"/>
      <c r="AD20" s="406"/>
      <c r="AE20" s="406"/>
      <c r="AF20" s="406"/>
      <c r="AG20" s="406"/>
      <c r="AH20" s="406"/>
      <c r="AI20" s="406"/>
      <c r="AJ20" s="406"/>
      <c r="AM20" s="196"/>
      <c r="AN20" s="196"/>
      <c r="AO20" s="196"/>
      <c r="AP20" s="196"/>
      <c r="AQ20" s="134"/>
      <c r="AR20" s="134"/>
    </row>
    <row r="21" spans="2:44" s="29" customFormat="1" ht="13.2" customHeight="1" x14ac:dyDescent="0.25">
      <c r="B21" s="883" t="s">
        <v>1889</v>
      </c>
      <c r="C21" s="883"/>
      <c r="D21" s="883"/>
      <c r="E21" s="883"/>
      <c r="F21" s="883"/>
      <c r="G21" s="403"/>
      <c r="J21" s="879" t="s">
        <v>6723</v>
      </c>
      <c r="K21" s="879"/>
      <c r="L21" s="879"/>
      <c r="M21" s="879"/>
      <c r="N21" s="879"/>
      <c r="O21" s="879"/>
      <c r="P21" s="880"/>
      <c r="Q21" s="746">
        <f>I14</f>
        <v>0</v>
      </c>
      <c r="R21" s="747"/>
      <c r="S21" s="428"/>
      <c r="T21" s="881" t="s">
        <v>6701</v>
      </c>
      <c r="U21" s="881"/>
      <c r="V21" s="881"/>
      <c r="W21" s="881"/>
      <c r="X21" s="881"/>
      <c r="Y21" s="881"/>
      <c r="Z21" s="746">
        <f>SUM(IF(Vaisseau!B43="Baie de lancement",Vaisseau!D43*50)+IF(Vaisseau!B44="Baie de lancement",Vaisseau!D44*50)+IF(Vaisseau!B45="Baie de lancement",Vaisseau!D45*50)+IF(Vaisseau!B46="Baie de lancement",Vaisseau!D46*50)+IF(Vaisseau!B47="Baie de lancement",Vaisseau!D47*50)+IF(Vaisseau!B48="Baie de lancement",Vaisseau!D48*50)+IF(Vaisseau!B49="Baie de lancement",Vaisseau!D49*50)+IF(Vaisseau!B50="Baie de lancement",Vaisseau!D50*50),0)</f>
        <v>0</v>
      </c>
      <c r="AA21" s="747"/>
      <c r="AB21" s="406"/>
      <c r="AC21" s="406"/>
      <c r="AD21" s="406"/>
      <c r="AE21" s="406"/>
      <c r="AF21" s="406"/>
      <c r="AG21" s="406"/>
      <c r="AH21" s="406"/>
      <c r="AI21" s="406"/>
      <c r="AJ21" s="406"/>
      <c r="AM21" s="196"/>
      <c r="AN21" s="196"/>
      <c r="AO21" s="196"/>
      <c r="AP21" s="196"/>
      <c r="AQ21" s="134"/>
      <c r="AR21" s="134"/>
    </row>
    <row r="22" spans="2:44" ht="3.6" customHeight="1" x14ac:dyDescent="0.25">
      <c r="W22" s="422"/>
      <c r="X22" s="422"/>
      <c r="Y22" s="422"/>
      <c r="Z22" s="422"/>
      <c r="AA22" s="422"/>
    </row>
    <row r="23" spans="2:44" ht="12.6" customHeight="1" thickBot="1" x14ac:dyDescent="0.35">
      <c r="B23" s="837" t="s">
        <v>6524</v>
      </c>
      <c r="C23" s="837"/>
      <c r="D23" s="837"/>
      <c r="E23" s="837"/>
      <c r="F23" s="837"/>
      <c r="G23" s="837"/>
    </row>
    <row r="24" spans="2:44" ht="4.95" customHeight="1" thickTop="1" x14ac:dyDescent="0.25"/>
    <row r="25" spans="2:44" ht="18" customHeight="1" x14ac:dyDescent="0.25">
      <c r="B25" s="882" t="s">
        <v>379</v>
      </c>
      <c r="C25" s="882"/>
      <c r="D25" s="435" t="s">
        <v>6546</v>
      </c>
      <c r="E25" s="436" t="s">
        <v>6525</v>
      </c>
      <c r="F25" s="649" t="s">
        <v>1890</v>
      </c>
      <c r="G25" s="650"/>
      <c r="H25" s="650"/>
      <c r="I25" s="699"/>
      <c r="J25" s="434" t="s">
        <v>3873</v>
      </c>
      <c r="K25" s="395" t="s">
        <v>6544</v>
      </c>
      <c r="L25" s="669" t="s">
        <v>6526</v>
      </c>
      <c r="M25" s="671"/>
      <c r="N25" s="669" t="s">
        <v>334</v>
      </c>
      <c r="O25" s="671"/>
      <c r="P25" s="889" t="s">
        <v>6644</v>
      </c>
      <c r="Q25" s="889"/>
      <c r="R25" s="889"/>
      <c r="S25" s="889"/>
      <c r="T25" s="889"/>
      <c r="U25" s="889"/>
      <c r="V25" s="889"/>
      <c r="W25" s="889"/>
      <c r="X25" s="889"/>
      <c r="Y25" s="889"/>
      <c r="Z25" s="889"/>
      <c r="AA25" s="889"/>
      <c r="AB25" s="889"/>
      <c r="AC25" s="889"/>
    </row>
    <row r="26" spans="2:44" ht="30" customHeight="1" x14ac:dyDescent="0.25">
      <c r="B26" s="875"/>
      <c r="C26" s="875"/>
      <c r="D26" s="404"/>
      <c r="E26" s="390" t="str">
        <f>IF(D26="","Nbr?",IF(B26="","",VLOOKUP(B26,'Systèmes de vaisseau'!B:H,2,FALSE)*D26))</f>
        <v>Nbr?</v>
      </c>
      <c r="F26" s="722" t="str">
        <f>IF(B26="","",VLOOKUP(B26,'Systèmes de vaisseau'!B:H,3,FALSE))</f>
        <v/>
      </c>
      <c r="G26" s="723"/>
      <c r="H26" s="723"/>
      <c r="I26" s="724"/>
      <c r="J26" s="431" t="str">
        <f>IF(B26="","",VLOOKUP(B26,'Systèmes de vaisseau'!B:H,4,FALSE))</f>
        <v/>
      </c>
      <c r="K26" s="390" t="str">
        <f>IF(B26="","",VLOOKUP(B26,'Systèmes de vaisseau'!B:H,5,FALSE))</f>
        <v/>
      </c>
      <c r="L26" s="869" t="str">
        <f>IF(B26="","",VLOOKUP(B26,'Systèmes de vaisseau'!B:H,6,FALSE))</f>
        <v/>
      </c>
      <c r="M26" s="869"/>
      <c r="N26" s="870">
        <f>IF(OR(B26="",D26="Nbr?"),0,E26*D26*100)</f>
        <v>0</v>
      </c>
      <c r="O26" s="870"/>
      <c r="P26" s="869" t="str">
        <f>IF(B26="","",VLOOKUP(B26,'Systèmes de vaisseau'!B:H,7,FALSE))</f>
        <v/>
      </c>
      <c r="Q26" s="869"/>
      <c r="R26" s="869"/>
      <c r="S26" s="869"/>
      <c r="T26" s="869"/>
      <c r="U26" s="869"/>
      <c r="V26" s="869"/>
      <c r="W26" s="869"/>
      <c r="X26" s="869"/>
      <c r="Y26" s="869"/>
      <c r="Z26" s="869"/>
      <c r="AA26" s="869"/>
      <c r="AB26" s="869"/>
      <c r="AC26" s="869"/>
    </row>
    <row r="27" spans="2:44" ht="30" customHeight="1" x14ac:dyDescent="0.25">
      <c r="B27" s="875"/>
      <c r="C27" s="875"/>
      <c r="D27" s="404"/>
      <c r="E27" s="440" t="str">
        <f>IF(D27="","Nbr?",IF(B27="","",VLOOKUP(B27,'Systèmes de vaisseau'!B:H,2,FALSE)*D27))</f>
        <v>Nbr?</v>
      </c>
      <c r="F27" s="722" t="str">
        <f>IF(B27="","",VLOOKUP(B27,'Systèmes de vaisseau'!B:H,3,FALSE))</f>
        <v/>
      </c>
      <c r="G27" s="723"/>
      <c r="H27" s="723"/>
      <c r="I27" s="724"/>
      <c r="J27" s="431" t="str">
        <f>IF(B27="","",VLOOKUP(B27,'Systèmes de vaisseau'!B:H,4,FALSE))</f>
        <v/>
      </c>
      <c r="K27" s="390" t="str">
        <f>IF(B27="","",VLOOKUP(B27,'Systèmes de vaisseau'!B:H,5,FALSE))</f>
        <v/>
      </c>
      <c r="L27" s="869" t="str">
        <f>IF(B27="","",VLOOKUP(B27,'Systèmes de vaisseau'!B:H,6,FALSE))</f>
        <v/>
      </c>
      <c r="M27" s="869"/>
      <c r="N27" s="870">
        <f>IF(OR(B27="",D27="Nbr?"),0,E27*D27*100)</f>
        <v>0</v>
      </c>
      <c r="O27" s="870"/>
      <c r="P27" s="869" t="str">
        <f>IF(B27="","",VLOOKUP(B27,'Systèmes de vaisseau'!B:H,7,FALSE))</f>
        <v/>
      </c>
      <c r="Q27" s="869"/>
      <c r="R27" s="869"/>
      <c r="S27" s="869"/>
      <c r="T27" s="869"/>
      <c r="U27" s="869"/>
      <c r="V27" s="869"/>
      <c r="W27" s="869"/>
      <c r="X27" s="869"/>
      <c r="Y27" s="869"/>
      <c r="Z27" s="869"/>
      <c r="AA27" s="869"/>
      <c r="AB27" s="869"/>
      <c r="AC27" s="869"/>
    </row>
    <row r="28" spans="2:44" s="196" customFormat="1" ht="30" customHeight="1" x14ac:dyDescent="0.25">
      <c r="B28" s="875"/>
      <c r="C28" s="875"/>
      <c r="D28" s="404"/>
      <c r="E28" s="440" t="str">
        <f>IF(D28="","Nbr?",IF(B28="","",VLOOKUP(B28,'Systèmes de vaisseau'!B:H,2,FALSE)*D28))</f>
        <v>Nbr?</v>
      </c>
      <c r="F28" s="722" t="str">
        <f>IF(B28="","",VLOOKUP(B28,'Systèmes de vaisseau'!B:H,3,FALSE))</f>
        <v/>
      </c>
      <c r="G28" s="723"/>
      <c r="H28" s="723"/>
      <c r="I28" s="724"/>
      <c r="J28" s="431" t="str">
        <f>IF(B28="","",VLOOKUP(B28,'Systèmes de vaisseau'!B:H,4,FALSE))</f>
        <v/>
      </c>
      <c r="K28" s="390" t="str">
        <f>IF(B28="","",VLOOKUP(B28,'Systèmes de vaisseau'!B:H,5,FALSE))</f>
        <v/>
      </c>
      <c r="L28" s="869" t="str">
        <f>IF(B28="","",VLOOKUP(B28,'Systèmes de vaisseau'!B:H,6,FALSE))</f>
        <v/>
      </c>
      <c r="M28" s="869"/>
      <c r="N28" s="870">
        <f>IF(OR(B28="",D28="Nbr?"),0,E28*D28*100)</f>
        <v>0</v>
      </c>
      <c r="O28" s="870"/>
      <c r="P28" s="869" t="str">
        <f>IF(B28="","",VLOOKUP(B28,'Systèmes de vaisseau'!B:H,7,FALSE))</f>
        <v/>
      </c>
      <c r="Q28" s="869"/>
      <c r="R28" s="869"/>
      <c r="S28" s="869"/>
      <c r="T28" s="869"/>
      <c r="U28" s="869"/>
      <c r="V28" s="869"/>
      <c r="W28" s="869"/>
      <c r="X28" s="869"/>
      <c r="Y28" s="869"/>
      <c r="Z28" s="869"/>
      <c r="AA28" s="869"/>
      <c r="AB28" s="869"/>
      <c r="AC28" s="869"/>
    </row>
    <row r="29" spans="2:44" ht="10.199999999999999" customHeight="1" x14ac:dyDescent="0.25">
      <c r="B29" s="919" t="s">
        <v>6547</v>
      </c>
      <c r="C29" s="919"/>
      <c r="D29" s="919"/>
      <c r="E29" s="296">
        <f>SUM(E26:E28)</f>
        <v>0</v>
      </c>
    </row>
    <row r="30" spans="2:44" ht="3.6" customHeight="1" x14ac:dyDescent="0.25"/>
    <row r="31" spans="2:44" ht="12.6" customHeight="1" thickBot="1" x14ac:dyDescent="0.35">
      <c r="B31" s="328" t="s">
        <v>6548</v>
      </c>
      <c r="C31" s="328"/>
      <c r="D31" s="328"/>
      <c r="E31" s="328"/>
      <c r="F31" s="328"/>
      <c r="G31" s="328"/>
      <c r="H31" s="328"/>
      <c r="I31" s="328"/>
      <c r="J31" s="328"/>
    </row>
    <row r="32" spans="2:44" ht="4.95" customHeight="1" thickTop="1" x14ac:dyDescent="0.25"/>
    <row r="33" spans="2:32" ht="18" customHeight="1" x14ac:dyDescent="0.25">
      <c r="B33" s="932" t="s">
        <v>379</v>
      </c>
      <c r="C33" s="933"/>
      <c r="D33" s="435" t="s">
        <v>6546</v>
      </c>
      <c r="E33" s="436" t="s">
        <v>6525</v>
      </c>
      <c r="F33" s="649" t="s">
        <v>1890</v>
      </c>
      <c r="G33" s="650"/>
      <c r="H33" s="650"/>
      <c r="I33" s="699"/>
      <c r="J33" s="418" t="s">
        <v>6664</v>
      </c>
      <c r="K33" s="437" t="s">
        <v>334</v>
      </c>
      <c r="L33" s="889" t="s">
        <v>6644</v>
      </c>
      <c r="M33" s="889"/>
      <c r="N33" s="889"/>
      <c r="O33" s="889"/>
      <c r="P33" s="889"/>
      <c r="Q33" s="889"/>
      <c r="R33" s="889"/>
      <c r="S33" s="889"/>
      <c r="T33" s="889"/>
      <c r="U33" s="889"/>
      <c r="V33" s="889"/>
      <c r="W33" s="889"/>
      <c r="X33" s="889"/>
      <c r="Y33" s="889"/>
      <c r="Z33" s="889"/>
      <c r="AA33" s="889"/>
      <c r="AB33" s="889"/>
    </row>
    <row r="34" spans="2:32" ht="25.2" customHeight="1" x14ac:dyDescent="0.25">
      <c r="B34" s="930"/>
      <c r="C34" s="931"/>
      <c r="D34" s="404"/>
      <c r="E34" s="390" t="str">
        <f>IF(D34="","Nbr?",IF(B34="","",VLOOKUP(B34,'Systèmes de vaisseau'!B:H,2,FALSE)*D34))</f>
        <v>Nbr?</v>
      </c>
      <c r="F34" s="722" t="str">
        <f>IF(B34="","",VLOOKUP(B34,'Systèmes de vaisseau'!B:H,3,FALSE))</f>
        <v/>
      </c>
      <c r="G34" s="723"/>
      <c r="H34" s="723"/>
      <c r="I34" s="724"/>
      <c r="J34" s="405">
        <f>IF(B34="",0,IF(AND(B34="Bouclier Radiant Léger",OR(B34="Boucliers Renforcés",B35="Boucliers Renforcés",B36="Boucliers Renforcés",B37="Boucliers Renforcés")),(N9+1)*10*D34,IF(B34="Bouclier Radiant Léger",N9*10*D34,IF(AND(B34="Bouclier Radiant Moyen",OR(B34="Boucliers Renforcés",B35="Boucliers Renforcés",B36="Boucliers Renforcés",B37="Boucliers Renforcés")),(N9+1)*15*D34,IF(B34="Bouclier Radiant Moyen",N9*15*D34,IF(AND(B34="Bouclier Radiant Lourd",OR(B34="Boucliers Renforcés",B35="Boucliers Renforcés",B36="Boucliers Renforcés",B37="Boucliers Renforcés")),(N9+1)*20*D34,IF(B34="Bouclier Radiant Lourd",N9*20*D34,IF(AND(B34="Bouclier Radiant Super Lourd",OR(B34="Boucliers Renforcés",B35="Boucliers Renforcés",B36="Boucliers Renforcés",B37="Boucliers Renforcés")),(N9+1)*30*D34,IF(B34="Bouclier Radiant Super Lourd",N9*30*D34,0)))))))))</f>
        <v>0</v>
      </c>
      <c r="K34" s="293">
        <f>IF(OR(B34="",E34="Nbr?"),0,D34*E34*100)</f>
        <v>0</v>
      </c>
      <c r="L34" s="869" t="str">
        <f>IF(B34="","",VLOOKUP(B34,'Systèmes de vaisseau'!B:H,7,FALSE))</f>
        <v/>
      </c>
      <c r="M34" s="869"/>
      <c r="N34" s="869"/>
      <c r="O34" s="869"/>
      <c r="P34" s="869"/>
      <c r="Q34" s="869"/>
      <c r="R34" s="869"/>
      <c r="S34" s="869"/>
      <c r="T34" s="869"/>
      <c r="U34" s="869"/>
      <c r="V34" s="869"/>
      <c r="W34" s="869"/>
      <c r="X34" s="869"/>
      <c r="Y34" s="869"/>
      <c r="Z34" s="869"/>
      <c r="AA34" s="869"/>
      <c r="AB34" s="869"/>
    </row>
    <row r="35" spans="2:32" ht="25.2" customHeight="1" x14ac:dyDescent="0.25">
      <c r="B35" s="930"/>
      <c r="C35" s="931"/>
      <c r="D35" s="404"/>
      <c r="E35" s="390" t="str">
        <f>IF(D35="","Nbr?",IF(B35="","",VLOOKUP(B35,'Systèmes de vaisseau'!B:H,2,FALSE)*D35))</f>
        <v>Nbr?</v>
      </c>
      <c r="F35" s="722" t="str">
        <f>IF(B35="","",VLOOKUP(B35,'Systèmes de vaisseau'!B:H,3,FALSE))</f>
        <v/>
      </c>
      <c r="G35" s="723"/>
      <c r="H35" s="723"/>
      <c r="I35" s="724"/>
      <c r="J35" s="405">
        <f>IF(B35="",0,IF(AND(B35="Bouclier Radiant Léger",OR(B35="Boucliers Renforcés",B36="Boucliers Renforcés",B37="Boucliers Renforcés",B38="Boucliers Renforcés")),(N10+1)*10*D35,IF(B35="Bouclier Radiant Léger",N10*10*D35,IF(AND(B35="Bouclier Radiant Moyen",OR(B35="Boucliers Renforcés",B36="Boucliers Renforcés",B37="Boucliers Renforcés",B38="Boucliers Renforcés")),(N10+1)*15*D35,IF(B35="Bouclier Radiant Moyen",N10*15*D35,IF(AND(B35="Bouclier Radiant Lourd",OR(B35="Boucliers Renforcés",B36="Boucliers Renforcés",B37="Boucliers Renforcés",B38="Boucliers Renforcés")),(N10+1)*20*D35,IF(B35="Bouclier Radiant Lourd",N10*20*D35,IF(AND(B35="Bouclier Radiant Super Lourd",OR(B35="Boucliers Renforcés",B36="Boucliers Renforcés",B37="Boucliers Renforcés",B38="Boucliers Renforcés")),(N10+1)*30*D35,IF(B35="Bouclier Radiant Super Lourd",N10*30*D35,0)))))))))</f>
        <v>0</v>
      </c>
      <c r="K35" s="441">
        <f>IF(OR(B35="",E35="Nbr?"),0,D35*E35*100)</f>
        <v>0</v>
      </c>
      <c r="L35" s="869" t="str">
        <f>IF(B35="","",VLOOKUP(B35,'Systèmes de vaisseau'!B:H,7,FALSE))</f>
        <v/>
      </c>
      <c r="M35" s="869"/>
      <c r="N35" s="869"/>
      <c r="O35" s="869"/>
      <c r="P35" s="869"/>
      <c r="Q35" s="869"/>
      <c r="R35" s="869"/>
      <c r="S35" s="869"/>
      <c r="T35" s="869"/>
      <c r="U35" s="869"/>
      <c r="V35" s="869"/>
      <c r="W35" s="869"/>
      <c r="X35" s="869"/>
      <c r="Y35" s="869"/>
      <c r="Z35" s="869"/>
      <c r="AA35" s="869"/>
      <c r="AB35" s="869"/>
    </row>
    <row r="36" spans="2:32" s="196" customFormat="1" ht="25.2" customHeight="1" x14ac:dyDescent="0.25">
      <c r="B36" s="930"/>
      <c r="C36" s="931"/>
      <c r="D36" s="404"/>
      <c r="E36" s="390" t="str">
        <f>IF(D36="","Nbr?",IF(B36="","",VLOOKUP(B36,'Systèmes de vaisseau'!B:H,2,FALSE)*D36))</f>
        <v>Nbr?</v>
      </c>
      <c r="F36" s="722" t="str">
        <f>IF(B36="","",VLOOKUP(B36,'Systèmes de vaisseau'!B:H,3,FALSE))</f>
        <v/>
      </c>
      <c r="G36" s="723"/>
      <c r="H36" s="723"/>
      <c r="I36" s="724"/>
      <c r="J36" s="405">
        <f>IF(B36="",0,IF(AND(B36="Bouclier Radiant Léger",OR(B36="Boucliers Renforcés",B37="Boucliers Renforcés",B38="Boucliers Renforcés",B39="Boucliers Renforcés")),(N11+1)*10*D36,IF(B36="Bouclier Radiant Léger",N11*10*D36,IF(AND(B36="Bouclier Radiant Moyen",OR(B36="Boucliers Renforcés",B37="Boucliers Renforcés",B38="Boucliers Renforcés",B39="Boucliers Renforcés")),(N11+1)*15*D36,IF(B36="Bouclier Radiant Moyen",N11*15*D36,IF(AND(B36="Bouclier Radiant Lourd",OR(B36="Boucliers Renforcés",B37="Boucliers Renforcés",B38="Boucliers Renforcés",B39="Boucliers Renforcés")),(N11+1)*20*D36,IF(B36="Bouclier Radiant Lourd",N11*20*D36,IF(AND(B36="Bouclier Radiant Super Lourd",OR(B36="Boucliers Renforcés",B37="Boucliers Renforcés",B38="Boucliers Renforcés",B39="Boucliers Renforcés")),(N11+1)*30*D36,IF(B36="Bouclier Radiant Super Lourd",N11*30*D36,0)))))))))</f>
        <v>0</v>
      </c>
      <c r="K36" s="441">
        <f>IF(OR(B36="",E36="Nbr?"),0,D36*E36*100)</f>
        <v>0</v>
      </c>
      <c r="L36" s="869" t="str">
        <f>IF(B36="","",VLOOKUP(B36,'Systèmes de vaisseau'!B:H,7,FALSE))</f>
        <v/>
      </c>
      <c r="M36" s="869"/>
      <c r="N36" s="869"/>
      <c r="O36" s="869"/>
      <c r="P36" s="869"/>
      <c r="Q36" s="869"/>
      <c r="R36" s="869"/>
      <c r="S36" s="869"/>
      <c r="T36" s="869"/>
      <c r="U36" s="869"/>
      <c r="V36" s="869"/>
      <c r="W36" s="869"/>
      <c r="X36" s="869"/>
      <c r="Y36" s="869"/>
      <c r="Z36" s="869"/>
      <c r="AA36" s="869"/>
      <c r="AB36" s="869"/>
    </row>
    <row r="37" spans="2:32" ht="25.2" customHeight="1" x14ac:dyDescent="0.25">
      <c r="B37" s="930"/>
      <c r="C37" s="931"/>
      <c r="D37" s="404"/>
      <c r="E37" s="390" t="str">
        <f>IF(D37="","Nbr?",IF(B37="","",VLOOKUP(B37,'Systèmes de vaisseau'!B:H,2,FALSE)*D37))</f>
        <v>Nbr?</v>
      </c>
      <c r="F37" s="722" t="str">
        <f>IF(B37="","",VLOOKUP(B37,'Systèmes de vaisseau'!B:H,3,FALSE))</f>
        <v/>
      </c>
      <c r="G37" s="723"/>
      <c r="H37" s="723"/>
      <c r="I37" s="724"/>
      <c r="J37" s="405">
        <f>IF(B37="",0,IF(AND(B37="Bouclier Radiant Léger",OR(B37="Boucliers Renforcés",B38="Boucliers Renforcés",B39="Boucliers Renforcés",B40="Boucliers Renforcés")),(N12+1)*10*D37,IF(B37="Bouclier Radiant Léger",N12*10*D37,IF(AND(B37="Bouclier Radiant Moyen",OR(B37="Boucliers Renforcés",B38="Boucliers Renforcés",B39="Boucliers Renforcés",B40="Boucliers Renforcés")),(N12+1)*15*D37,IF(B37="Bouclier Radiant Moyen",N12*15*D37,IF(AND(B37="Bouclier Radiant Lourd",OR(B37="Boucliers Renforcés",B38="Boucliers Renforcés",B39="Boucliers Renforcés",B40="Boucliers Renforcés")),(N12+1)*20*D37,IF(B37="Bouclier Radiant Lourd",N12*20*D37,IF(AND(B37="Bouclier Radiant Super Lourd",OR(B37="Boucliers Renforcés",B38="Boucliers Renforcés",B39="Boucliers Renforcés",B40="Boucliers Renforcés")),(N12+1)*30*D37,IF(B37="Bouclier Radiant Super Lourd",N12*30*D37,0)))))))))</f>
        <v>0</v>
      </c>
      <c r="K37" s="441">
        <f>IF(OR(B37="",E37="Nbr?"),0,D37*E37*100)</f>
        <v>0</v>
      </c>
      <c r="L37" s="869" t="str">
        <f>IF(B37="","",VLOOKUP(B37,'Systèmes de vaisseau'!B:H,7,FALSE))</f>
        <v/>
      </c>
      <c r="M37" s="869"/>
      <c r="N37" s="869"/>
      <c r="O37" s="869"/>
      <c r="P37" s="869"/>
      <c r="Q37" s="869"/>
      <c r="R37" s="869"/>
      <c r="S37" s="869"/>
      <c r="T37" s="869"/>
      <c r="U37" s="869"/>
      <c r="V37" s="869"/>
      <c r="W37" s="869"/>
      <c r="X37" s="869"/>
      <c r="Y37" s="869"/>
      <c r="Z37" s="869"/>
      <c r="AA37" s="869"/>
      <c r="AB37" s="869"/>
    </row>
    <row r="38" spans="2:32" s="196" customFormat="1" ht="10.199999999999999" customHeight="1" x14ac:dyDescent="0.25">
      <c r="B38" s="919" t="s">
        <v>6547</v>
      </c>
      <c r="C38" s="919"/>
      <c r="D38" s="919"/>
      <c r="E38" s="296">
        <f>SUM(E34:E37)</f>
        <v>0</v>
      </c>
      <c r="F38" s="296"/>
      <c r="G38" s="391"/>
      <c r="H38" s="391"/>
      <c r="I38" s="391"/>
      <c r="J38" s="355"/>
      <c r="K38" s="355"/>
      <c r="L38" s="355"/>
      <c r="M38" s="355"/>
      <c r="N38" s="355"/>
      <c r="O38" s="355"/>
      <c r="P38" s="355"/>
      <c r="Q38" s="355"/>
      <c r="R38" s="355"/>
      <c r="S38" s="355"/>
      <c r="T38" s="355"/>
      <c r="U38" s="355"/>
      <c r="V38" s="355"/>
      <c r="W38" s="355"/>
      <c r="X38" s="355"/>
    </row>
    <row r="39" spans="2:32" ht="3.6" customHeight="1" x14ac:dyDescent="0.25"/>
    <row r="40" spans="2:32" ht="12.6" customHeight="1" thickBot="1" x14ac:dyDescent="0.35">
      <c r="B40" s="328" t="s">
        <v>6689</v>
      </c>
      <c r="C40" s="328"/>
      <c r="D40" s="328"/>
      <c r="E40" s="328"/>
      <c r="F40" s="328"/>
      <c r="G40" s="328"/>
      <c r="H40" s="229"/>
      <c r="I40" s="229"/>
      <c r="J40" s="229"/>
      <c r="K40" s="229"/>
      <c r="L40" s="196"/>
      <c r="M40" s="196"/>
      <c r="N40" s="196"/>
      <c r="P40" s="196"/>
      <c r="Q40" s="196"/>
      <c r="R40" s="196"/>
      <c r="S40" s="196"/>
      <c r="T40" s="196"/>
      <c r="U40" s="196"/>
      <c r="V40" s="196"/>
      <c r="W40" s="196"/>
      <c r="X40" s="196"/>
    </row>
    <row r="41" spans="2:32" ht="4.95" customHeight="1" thickTop="1" x14ac:dyDescent="0.25">
      <c r="B41" s="196"/>
      <c r="C41" s="196"/>
      <c r="E41" s="196"/>
      <c r="J41" s="196"/>
      <c r="K41" s="196"/>
      <c r="L41" s="196"/>
      <c r="M41" s="196"/>
      <c r="N41" s="196"/>
      <c r="P41" s="196"/>
      <c r="Q41" s="196"/>
      <c r="R41" s="196"/>
      <c r="S41" s="196"/>
      <c r="T41" s="196"/>
      <c r="U41" s="196"/>
      <c r="V41" s="196"/>
      <c r="W41" s="196"/>
      <c r="X41" s="196"/>
    </row>
    <row r="42" spans="2:32" ht="18" customHeight="1" x14ac:dyDescent="0.25">
      <c r="B42" s="932" t="s">
        <v>379</v>
      </c>
      <c r="C42" s="933"/>
      <c r="D42" s="435" t="s">
        <v>6546</v>
      </c>
      <c r="E42" s="436" t="s">
        <v>6525</v>
      </c>
      <c r="F42" s="649" t="s">
        <v>1890</v>
      </c>
      <c r="G42" s="650"/>
      <c r="H42" s="650"/>
      <c r="I42" s="699"/>
      <c r="J42" s="750" t="s">
        <v>334</v>
      </c>
      <c r="K42" s="752"/>
      <c r="L42" s="750" t="s">
        <v>6644</v>
      </c>
      <c r="M42" s="751"/>
      <c r="N42" s="751"/>
      <c r="O42" s="751"/>
      <c r="P42" s="751"/>
      <c r="Q42" s="751"/>
      <c r="R42" s="751"/>
      <c r="S42" s="751"/>
      <c r="T42" s="751"/>
      <c r="U42" s="751"/>
      <c r="V42" s="751"/>
      <c r="W42" s="751"/>
      <c r="X42" s="751"/>
      <c r="Y42" s="751"/>
      <c r="Z42" s="751"/>
      <c r="AA42" s="752"/>
      <c r="AD42" s="430"/>
      <c r="AE42" s="430"/>
      <c r="AF42" s="430"/>
    </row>
    <row r="43" spans="2:32" ht="28.95" customHeight="1" x14ac:dyDescent="0.25">
      <c r="B43" s="930"/>
      <c r="C43" s="931"/>
      <c r="D43" s="404"/>
      <c r="E43" s="390" t="str">
        <f>IF(D43="","Nbr?",IF(B43="","",VLOOKUP(B43,'Systèmes de vaisseau'!B:H,2,FALSE)*D43))</f>
        <v>Nbr?</v>
      </c>
      <c r="F43" s="722" t="str">
        <f>IF(B43="","",VLOOKUP(B43,'Systèmes de vaisseau'!B:H,3,FALSE))</f>
        <v/>
      </c>
      <c r="G43" s="723"/>
      <c r="H43" s="723"/>
      <c r="I43" s="724"/>
      <c r="J43" s="888">
        <f>IF(OR(B43="",D43="Nbr?"),0,D43*E43*100)</f>
        <v>0</v>
      </c>
      <c r="K43" s="888"/>
      <c r="L43" s="885" t="str">
        <f>IF(B43="","",VLOOKUP(B43,'Systèmes de vaisseau'!B:H,7,FALSE))</f>
        <v/>
      </c>
      <c r="M43" s="886"/>
      <c r="N43" s="886"/>
      <c r="O43" s="886"/>
      <c r="P43" s="886"/>
      <c r="Q43" s="886"/>
      <c r="R43" s="886"/>
      <c r="S43" s="886"/>
      <c r="T43" s="886"/>
      <c r="U43" s="886"/>
      <c r="V43" s="886"/>
      <c r="W43" s="886"/>
      <c r="X43" s="886"/>
      <c r="Y43" s="886"/>
      <c r="Z43" s="886"/>
      <c r="AA43" s="887"/>
      <c r="AD43" s="430" t="b">
        <f t="shared" ref="AD43:AD50" si="0">IF(B43="Equipage Mort-Vivant uniquement",TRUE,FALSE)</f>
        <v>0</v>
      </c>
      <c r="AE43" s="430" t="b">
        <f t="shared" ref="AE43:AE50" si="1">IF(B43="Automatisation",TRUE,FALSE)</f>
        <v>0</v>
      </c>
      <c r="AF43" s="430">
        <f t="shared" ref="AF43:AF50" si="2">AD43+AE43</f>
        <v>0</v>
      </c>
    </row>
    <row r="44" spans="2:32" ht="28.95" customHeight="1" x14ac:dyDescent="0.25">
      <c r="B44" s="930"/>
      <c r="C44" s="931"/>
      <c r="D44" s="404"/>
      <c r="E44" s="390" t="str">
        <f>IF(D44="","Nbr?",IF(B44="","",VLOOKUP(B44,'Systèmes de vaisseau'!B:H,2,FALSE)*D44))</f>
        <v>Nbr?</v>
      </c>
      <c r="F44" s="722" t="str">
        <f>IF(B44="","",VLOOKUP(B44,'Systèmes de vaisseau'!B:H,3,FALSE))</f>
        <v/>
      </c>
      <c r="G44" s="723"/>
      <c r="H44" s="723"/>
      <c r="I44" s="724"/>
      <c r="J44" s="888">
        <f t="shared" ref="J44:J50" si="3">IF(OR(B44="",D44="Nbr?"),0,D44*E44*100)</f>
        <v>0</v>
      </c>
      <c r="K44" s="888"/>
      <c r="L44" s="885" t="str">
        <f>IF(B44="","",VLOOKUP(B44,'Systèmes de vaisseau'!B:H,7,FALSE))</f>
        <v/>
      </c>
      <c r="M44" s="886"/>
      <c r="N44" s="886"/>
      <c r="O44" s="886"/>
      <c r="P44" s="886"/>
      <c r="Q44" s="886"/>
      <c r="R44" s="886"/>
      <c r="S44" s="886"/>
      <c r="T44" s="886"/>
      <c r="U44" s="886"/>
      <c r="V44" s="886"/>
      <c r="W44" s="886"/>
      <c r="X44" s="886"/>
      <c r="Y44" s="886"/>
      <c r="Z44" s="886"/>
      <c r="AA44" s="887"/>
      <c r="AD44" s="430" t="b">
        <f t="shared" si="0"/>
        <v>0</v>
      </c>
      <c r="AE44" s="430" t="b">
        <f t="shared" si="1"/>
        <v>0</v>
      </c>
      <c r="AF44" s="430">
        <f t="shared" si="2"/>
        <v>0</v>
      </c>
    </row>
    <row r="45" spans="2:32" ht="28.95" customHeight="1" x14ac:dyDescent="0.25">
      <c r="B45" s="930"/>
      <c r="C45" s="931"/>
      <c r="D45" s="404"/>
      <c r="E45" s="390" t="str">
        <f>IF(D45="","Nbr?",IF(B45="","",VLOOKUP(B45,'Systèmes de vaisseau'!B:H,2,FALSE)*D45))</f>
        <v>Nbr?</v>
      </c>
      <c r="F45" s="722" t="str">
        <f>IF(B45="","",VLOOKUP(B45,'Systèmes de vaisseau'!B:H,3,FALSE))</f>
        <v/>
      </c>
      <c r="G45" s="723"/>
      <c r="H45" s="723"/>
      <c r="I45" s="724"/>
      <c r="J45" s="888">
        <f t="shared" si="3"/>
        <v>0</v>
      </c>
      <c r="K45" s="888"/>
      <c r="L45" s="885" t="str">
        <f>IF(B45="","",VLOOKUP(B45,'Systèmes de vaisseau'!B:H,7,FALSE))</f>
        <v/>
      </c>
      <c r="M45" s="886"/>
      <c r="N45" s="886"/>
      <c r="O45" s="886"/>
      <c r="P45" s="886"/>
      <c r="Q45" s="886"/>
      <c r="R45" s="886"/>
      <c r="S45" s="886"/>
      <c r="T45" s="886"/>
      <c r="U45" s="886"/>
      <c r="V45" s="886"/>
      <c r="W45" s="886"/>
      <c r="X45" s="886"/>
      <c r="Y45" s="886"/>
      <c r="Z45" s="886"/>
      <c r="AA45" s="887"/>
      <c r="AD45" s="430" t="b">
        <f t="shared" si="0"/>
        <v>0</v>
      </c>
      <c r="AE45" s="430" t="b">
        <f t="shared" si="1"/>
        <v>0</v>
      </c>
      <c r="AF45" s="430">
        <f t="shared" si="2"/>
        <v>0</v>
      </c>
    </row>
    <row r="46" spans="2:32" ht="28.95" customHeight="1" x14ac:dyDescent="0.25">
      <c r="B46" s="930"/>
      <c r="C46" s="931"/>
      <c r="D46" s="404"/>
      <c r="E46" s="390" t="str">
        <f>IF(D46="","Nbr?",IF(B46="","",VLOOKUP(B46,'Systèmes de vaisseau'!B:H,2,FALSE)*D46))</f>
        <v>Nbr?</v>
      </c>
      <c r="F46" s="722" t="str">
        <f>IF(B46="","",VLOOKUP(B46,'Systèmes de vaisseau'!B:H,3,FALSE))</f>
        <v/>
      </c>
      <c r="G46" s="723"/>
      <c r="H46" s="723"/>
      <c r="I46" s="724"/>
      <c r="J46" s="888">
        <f t="shared" si="3"/>
        <v>0</v>
      </c>
      <c r="K46" s="888"/>
      <c r="L46" s="885" t="str">
        <f>IF(B46="","",VLOOKUP(B46,'Systèmes de vaisseau'!B:H,7,FALSE))</f>
        <v/>
      </c>
      <c r="M46" s="886"/>
      <c r="N46" s="886"/>
      <c r="O46" s="886"/>
      <c r="P46" s="886"/>
      <c r="Q46" s="886"/>
      <c r="R46" s="886"/>
      <c r="S46" s="886"/>
      <c r="T46" s="886"/>
      <c r="U46" s="886"/>
      <c r="V46" s="886"/>
      <c r="W46" s="886"/>
      <c r="X46" s="886"/>
      <c r="Y46" s="886"/>
      <c r="Z46" s="886"/>
      <c r="AA46" s="887"/>
      <c r="AD46" s="430" t="b">
        <f t="shared" si="0"/>
        <v>0</v>
      </c>
      <c r="AE46" s="430" t="b">
        <f t="shared" si="1"/>
        <v>0</v>
      </c>
      <c r="AF46" s="430">
        <f t="shared" si="2"/>
        <v>0</v>
      </c>
    </row>
    <row r="47" spans="2:32" ht="28.95" customHeight="1" x14ac:dyDescent="0.25">
      <c r="B47" s="930"/>
      <c r="C47" s="931"/>
      <c r="D47" s="404"/>
      <c r="E47" s="390" t="str">
        <f>IF(D47="","Nbr?",IF(B47="","",VLOOKUP(B47,'Systèmes de vaisseau'!B:H,2,FALSE)*D47))</f>
        <v>Nbr?</v>
      </c>
      <c r="F47" s="722" t="str">
        <f>IF(B47="","",VLOOKUP(B47,'Systèmes de vaisseau'!B:H,3,FALSE))</f>
        <v/>
      </c>
      <c r="G47" s="723"/>
      <c r="H47" s="723"/>
      <c r="I47" s="724"/>
      <c r="J47" s="888">
        <f t="shared" si="3"/>
        <v>0</v>
      </c>
      <c r="K47" s="888"/>
      <c r="L47" s="885" t="str">
        <f>IF(B47="","",VLOOKUP(B47,'Systèmes de vaisseau'!B:H,7,FALSE))</f>
        <v/>
      </c>
      <c r="M47" s="886"/>
      <c r="N47" s="886"/>
      <c r="O47" s="886"/>
      <c r="P47" s="886"/>
      <c r="Q47" s="886"/>
      <c r="R47" s="886"/>
      <c r="S47" s="886"/>
      <c r="T47" s="886"/>
      <c r="U47" s="886"/>
      <c r="V47" s="886"/>
      <c r="W47" s="886"/>
      <c r="X47" s="886"/>
      <c r="Y47" s="886"/>
      <c r="Z47" s="886"/>
      <c r="AA47" s="887"/>
      <c r="AD47" s="430" t="b">
        <f t="shared" si="0"/>
        <v>0</v>
      </c>
      <c r="AE47" s="430" t="b">
        <f t="shared" si="1"/>
        <v>0</v>
      </c>
      <c r="AF47" s="430">
        <f t="shared" si="2"/>
        <v>0</v>
      </c>
    </row>
    <row r="48" spans="2:32" ht="28.95" customHeight="1" x14ac:dyDescent="0.25">
      <c r="B48" s="930"/>
      <c r="C48" s="931"/>
      <c r="D48" s="404"/>
      <c r="E48" s="390" t="str">
        <f>IF(D48="","Nbr?",IF(B48="","",VLOOKUP(B48,'Systèmes de vaisseau'!B:H,2,FALSE)*D48))</f>
        <v>Nbr?</v>
      </c>
      <c r="F48" s="722" t="str">
        <f>IF(B48="","",VLOOKUP(B48,'Systèmes de vaisseau'!B:H,3,FALSE))</f>
        <v/>
      </c>
      <c r="G48" s="723"/>
      <c r="H48" s="723"/>
      <c r="I48" s="724"/>
      <c r="J48" s="888">
        <f t="shared" si="3"/>
        <v>0</v>
      </c>
      <c r="K48" s="888"/>
      <c r="L48" s="885" t="str">
        <f>IF(B48="","",VLOOKUP(B48,'Systèmes de vaisseau'!B:H,7,FALSE))</f>
        <v/>
      </c>
      <c r="M48" s="886"/>
      <c r="N48" s="886"/>
      <c r="O48" s="886"/>
      <c r="P48" s="886"/>
      <c r="Q48" s="886"/>
      <c r="R48" s="886"/>
      <c r="S48" s="886"/>
      <c r="T48" s="886"/>
      <c r="U48" s="886"/>
      <c r="V48" s="886"/>
      <c r="W48" s="886"/>
      <c r="X48" s="886"/>
      <c r="Y48" s="886"/>
      <c r="Z48" s="886"/>
      <c r="AA48" s="887"/>
      <c r="AD48" s="430" t="b">
        <f t="shared" si="0"/>
        <v>0</v>
      </c>
      <c r="AE48" s="430" t="b">
        <f t="shared" si="1"/>
        <v>0</v>
      </c>
      <c r="AF48" s="430">
        <f t="shared" si="2"/>
        <v>0</v>
      </c>
    </row>
    <row r="49" spans="2:32" ht="28.95" customHeight="1" x14ac:dyDescent="0.25">
      <c r="B49" s="930"/>
      <c r="C49" s="931"/>
      <c r="D49" s="404"/>
      <c r="E49" s="390" t="str">
        <f>IF(D49="","Nbr?",IF(B49="","",VLOOKUP(B49,'Systèmes de vaisseau'!B:H,2,FALSE)*D49))</f>
        <v>Nbr?</v>
      </c>
      <c r="F49" s="722" t="str">
        <f>IF(B49="","",VLOOKUP(B49,'Systèmes de vaisseau'!B:H,3,FALSE))</f>
        <v/>
      </c>
      <c r="G49" s="723"/>
      <c r="H49" s="723"/>
      <c r="I49" s="724"/>
      <c r="J49" s="888">
        <f t="shared" si="3"/>
        <v>0</v>
      </c>
      <c r="K49" s="888"/>
      <c r="L49" s="885" t="str">
        <f>IF(B49="","",VLOOKUP(B49,'Systèmes de vaisseau'!B:H,7,FALSE))</f>
        <v/>
      </c>
      <c r="M49" s="886"/>
      <c r="N49" s="886"/>
      <c r="O49" s="886"/>
      <c r="P49" s="886"/>
      <c r="Q49" s="886"/>
      <c r="R49" s="886"/>
      <c r="S49" s="886"/>
      <c r="T49" s="886"/>
      <c r="U49" s="886"/>
      <c r="V49" s="886"/>
      <c r="W49" s="886"/>
      <c r="X49" s="886"/>
      <c r="Y49" s="886"/>
      <c r="Z49" s="886"/>
      <c r="AA49" s="887"/>
      <c r="AD49" s="430" t="b">
        <f t="shared" si="0"/>
        <v>0</v>
      </c>
      <c r="AE49" s="430" t="b">
        <f t="shared" si="1"/>
        <v>0</v>
      </c>
      <c r="AF49" s="430">
        <f t="shared" si="2"/>
        <v>0</v>
      </c>
    </row>
    <row r="50" spans="2:32" ht="28.95" customHeight="1" x14ac:dyDescent="0.25">
      <c r="B50" s="930"/>
      <c r="C50" s="931"/>
      <c r="D50" s="404"/>
      <c r="E50" s="390" t="str">
        <f>IF(D50="","Nbr?",IF(B50="","",VLOOKUP(B50,'Systèmes de vaisseau'!B:H,2,FALSE)*D50))</f>
        <v>Nbr?</v>
      </c>
      <c r="F50" s="722" t="str">
        <f>IF(B50="","",VLOOKUP(B50,'Systèmes de vaisseau'!B:H,3,FALSE))</f>
        <v/>
      </c>
      <c r="G50" s="723"/>
      <c r="H50" s="723"/>
      <c r="I50" s="724"/>
      <c r="J50" s="888">
        <f t="shared" si="3"/>
        <v>0</v>
      </c>
      <c r="K50" s="888"/>
      <c r="L50" s="885" t="str">
        <f>IF(B50="","",VLOOKUP(B50,'Systèmes de vaisseau'!B:H,7,FALSE))</f>
        <v/>
      </c>
      <c r="M50" s="886"/>
      <c r="N50" s="886"/>
      <c r="O50" s="886"/>
      <c r="P50" s="886"/>
      <c r="Q50" s="886"/>
      <c r="R50" s="886"/>
      <c r="S50" s="886"/>
      <c r="T50" s="886"/>
      <c r="U50" s="886"/>
      <c r="V50" s="886"/>
      <c r="W50" s="886"/>
      <c r="X50" s="886"/>
      <c r="Y50" s="886"/>
      <c r="Z50" s="886"/>
      <c r="AA50" s="887"/>
      <c r="AD50" s="430" t="b">
        <f t="shared" si="0"/>
        <v>0</v>
      </c>
      <c r="AE50" s="430" t="b">
        <f t="shared" si="1"/>
        <v>0</v>
      </c>
      <c r="AF50" s="430">
        <f t="shared" si="2"/>
        <v>0</v>
      </c>
    </row>
    <row r="51" spans="2:32" ht="10.95" customHeight="1" x14ac:dyDescent="0.25">
      <c r="B51" s="919" t="s">
        <v>6547</v>
      </c>
      <c r="C51" s="919"/>
      <c r="D51" s="919"/>
      <c r="E51" s="296">
        <f>SUM(E43:E50)</f>
        <v>0</v>
      </c>
      <c r="F51" s="296"/>
      <c r="AD51" s="430"/>
      <c r="AE51" s="430"/>
      <c r="AF51" s="430">
        <f>SUM(AF43:AF50)</f>
        <v>0</v>
      </c>
    </row>
    <row r="52" spans="2:32" ht="3.6" customHeight="1" x14ac:dyDescent="0.25"/>
  </sheetData>
  <mergeCells count="140">
    <mergeCell ref="B48:C48"/>
    <mergeCell ref="B49:C49"/>
    <mergeCell ref="F48:I48"/>
    <mergeCell ref="F49:I49"/>
    <mergeCell ref="B46:C46"/>
    <mergeCell ref="B47:C47"/>
    <mergeCell ref="F47:I47"/>
    <mergeCell ref="B45:C45"/>
    <mergeCell ref="B28:C28"/>
    <mergeCell ref="B36:C36"/>
    <mergeCell ref="B43:C43"/>
    <mergeCell ref="B37:C37"/>
    <mergeCell ref="B33:C33"/>
    <mergeCell ref="B34:C34"/>
    <mergeCell ref="B35:C35"/>
    <mergeCell ref="F34:I34"/>
    <mergeCell ref="F35:I35"/>
    <mergeCell ref="F36:I36"/>
    <mergeCell ref="F37:I37"/>
    <mergeCell ref="F42:I42"/>
    <mergeCell ref="B51:D51"/>
    <mergeCell ref="E3:G3"/>
    <mergeCell ref="B3:D3"/>
    <mergeCell ref="I3:K3"/>
    <mergeCell ref="I4:O4"/>
    <mergeCell ref="F25:I25"/>
    <mergeCell ref="F26:I26"/>
    <mergeCell ref="F27:I27"/>
    <mergeCell ref="B29:D29"/>
    <mergeCell ref="F28:I28"/>
    <mergeCell ref="L25:M25"/>
    <mergeCell ref="I14:J15"/>
    <mergeCell ref="G7:H7"/>
    <mergeCell ref="K7:L7"/>
    <mergeCell ref="L27:M27"/>
    <mergeCell ref="B26:C26"/>
    <mergeCell ref="B44:C44"/>
    <mergeCell ref="B42:C42"/>
    <mergeCell ref="F43:I43"/>
    <mergeCell ref="F44:I44"/>
    <mergeCell ref="F45:I45"/>
    <mergeCell ref="B38:D38"/>
    <mergeCell ref="F50:I50"/>
    <mergeCell ref="B50:C50"/>
    <mergeCell ref="Z2:AA2"/>
    <mergeCell ref="W2:Y2"/>
    <mergeCell ref="K16:L16"/>
    <mergeCell ref="E4:F4"/>
    <mergeCell ref="B5:C5"/>
    <mergeCell ref="R2:U2"/>
    <mergeCell ref="T3:U3"/>
    <mergeCell ref="N3:S3"/>
    <mergeCell ref="S17:V17"/>
    <mergeCell ref="N16:Q16"/>
    <mergeCell ref="Z8:AA8"/>
    <mergeCell ref="V9:Y9"/>
    <mergeCell ref="Z10:AA10"/>
    <mergeCell ref="Z9:AA9"/>
    <mergeCell ref="C2:L2"/>
    <mergeCell ref="W3:Z3"/>
    <mergeCell ref="P4:Q4"/>
    <mergeCell ref="N15:AA15"/>
    <mergeCell ref="X16:Z16"/>
    <mergeCell ref="X17:Z17"/>
    <mergeCell ref="V10:Y10"/>
    <mergeCell ref="N17:Q17"/>
    <mergeCell ref="X4:Y4"/>
    <mergeCell ref="X5:AA5"/>
    <mergeCell ref="T5:W5"/>
    <mergeCell ref="S16:V16"/>
    <mergeCell ref="D5:E5"/>
    <mergeCell ref="I5:K5"/>
    <mergeCell ref="L5:M5"/>
    <mergeCell ref="O5:Q5"/>
    <mergeCell ref="S4:W4"/>
    <mergeCell ref="V7:Y7"/>
    <mergeCell ref="V8:Y8"/>
    <mergeCell ref="V6:AA6"/>
    <mergeCell ref="B9:E9"/>
    <mergeCell ref="B10:D10"/>
    <mergeCell ref="B12:D12"/>
    <mergeCell ref="B13:E13"/>
    <mergeCell ref="Z7:AA7"/>
    <mergeCell ref="V11:Y12"/>
    <mergeCell ref="Z11:AA12"/>
    <mergeCell ref="L47:AA47"/>
    <mergeCell ref="L48:AA48"/>
    <mergeCell ref="L49:AA49"/>
    <mergeCell ref="L50:AA50"/>
    <mergeCell ref="J47:K47"/>
    <mergeCell ref="J48:K48"/>
    <mergeCell ref="J49:K49"/>
    <mergeCell ref="J50:K50"/>
    <mergeCell ref="H19:J20"/>
    <mergeCell ref="S19:V19"/>
    <mergeCell ref="L28:M28"/>
    <mergeCell ref="P25:AC25"/>
    <mergeCell ref="P26:AC26"/>
    <mergeCell ref="L36:AB36"/>
    <mergeCell ref="X19:Z19"/>
    <mergeCell ref="P27:AC27"/>
    <mergeCell ref="P28:AC28"/>
    <mergeCell ref="L33:AB33"/>
    <mergeCell ref="L34:AB34"/>
    <mergeCell ref="L35:AB35"/>
    <mergeCell ref="L26:M26"/>
    <mergeCell ref="N19:Q19"/>
    <mergeCell ref="F46:I46"/>
    <mergeCell ref="F33:I33"/>
    <mergeCell ref="L42:AA42"/>
    <mergeCell ref="L43:AA43"/>
    <mergeCell ref="L44:AA44"/>
    <mergeCell ref="L45:AA45"/>
    <mergeCell ref="L46:AA46"/>
    <mergeCell ref="J42:K42"/>
    <mergeCell ref="J43:K43"/>
    <mergeCell ref="J44:K44"/>
    <mergeCell ref="J45:K45"/>
    <mergeCell ref="J46:K46"/>
    <mergeCell ref="L37:AB37"/>
    <mergeCell ref="N27:O27"/>
    <mergeCell ref="N28:O28"/>
    <mergeCell ref="V13:Y13"/>
    <mergeCell ref="Z13:AA13"/>
    <mergeCell ref="B27:C27"/>
    <mergeCell ref="D15:E15"/>
    <mergeCell ref="D16:E16"/>
    <mergeCell ref="J21:P21"/>
    <mergeCell ref="Q21:R21"/>
    <mergeCell ref="T21:Y21"/>
    <mergeCell ref="Z21:AA21"/>
    <mergeCell ref="N25:O25"/>
    <mergeCell ref="N26:O26"/>
    <mergeCell ref="C18:F18"/>
    <mergeCell ref="S18:V18"/>
    <mergeCell ref="B25:C25"/>
    <mergeCell ref="B23:G23"/>
    <mergeCell ref="B21:F21"/>
    <mergeCell ref="X18:Z18"/>
    <mergeCell ref="N18:Q18"/>
  </mergeCells>
  <conditionalFormatting sqref="E3">
    <cfRule type="cellIs" dxfId="35" priority="58" operator="equal">
      <formula>""</formula>
    </cfRule>
  </conditionalFormatting>
  <conditionalFormatting sqref="Z2">
    <cfRule type="cellIs" dxfId="34" priority="55" operator="equal">
      <formula>""</formula>
    </cfRule>
  </conditionalFormatting>
  <conditionalFormatting sqref="B26:B27">
    <cfRule type="cellIs" dxfId="33" priority="54" operator="equal">
      <formula>""</formula>
    </cfRule>
  </conditionalFormatting>
  <conditionalFormatting sqref="B34:B35 B37">
    <cfRule type="cellIs" dxfId="32" priority="50" operator="equal">
      <formula>""</formula>
    </cfRule>
  </conditionalFormatting>
  <conditionalFormatting sqref="B43:B45">
    <cfRule type="cellIs" dxfId="31" priority="49" operator="equal">
      <formula>""</formula>
    </cfRule>
  </conditionalFormatting>
  <conditionalFormatting sqref="B46:B48">
    <cfRule type="cellIs" dxfId="30" priority="46" operator="equal">
      <formula>""</formula>
    </cfRule>
  </conditionalFormatting>
  <conditionalFormatting sqref="B28">
    <cfRule type="cellIs" dxfId="29" priority="48" operator="equal">
      <formula>""</formula>
    </cfRule>
  </conditionalFormatting>
  <conditionalFormatting sqref="B49:B50">
    <cfRule type="cellIs" dxfId="28" priority="45" operator="equal">
      <formula>""</formula>
    </cfRule>
  </conditionalFormatting>
  <conditionalFormatting sqref="B36">
    <cfRule type="cellIs" dxfId="27" priority="47" operator="equal">
      <formula>""</formula>
    </cfRule>
  </conditionalFormatting>
  <conditionalFormatting sqref="C2">
    <cfRule type="cellIs" dxfId="26" priority="44" operator="equal">
      <formula>""</formula>
    </cfRule>
  </conditionalFormatting>
  <conditionalFormatting sqref="D26:D28">
    <cfRule type="cellIs" dxfId="25" priority="41" operator="equal">
      <formula>""</formula>
    </cfRule>
  </conditionalFormatting>
  <conditionalFormatting sqref="D34:D37">
    <cfRule type="cellIs" dxfId="24" priority="40" operator="equal">
      <formula>""</formula>
    </cfRule>
  </conditionalFormatting>
  <conditionalFormatting sqref="D43:D50">
    <cfRule type="cellIs" dxfId="23" priority="39" operator="equal">
      <formula>""</formula>
    </cfRule>
  </conditionalFormatting>
  <conditionalFormatting sqref="E4">
    <cfRule type="cellIs" dxfId="22" priority="38" operator="equal">
      <formula>""</formula>
    </cfRule>
  </conditionalFormatting>
  <conditionalFormatting sqref="G18">
    <cfRule type="cellIs" dxfId="21" priority="29" operator="equal">
      <formula>""</formula>
    </cfRule>
  </conditionalFormatting>
  <conditionalFormatting sqref="G21">
    <cfRule type="cellIs" dxfId="20" priority="28" operator="equal">
      <formula>""</formula>
    </cfRule>
  </conditionalFormatting>
  <conditionalFormatting sqref="D4">
    <cfRule type="cellIs" dxfId="19" priority="24" operator="equal">
      <formula>""</formula>
    </cfRule>
  </conditionalFormatting>
  <conditionalFormatting sqref="N13">
    <cfRule type="cellIs" dxfId="18" priority="11" operator="equal">
      <formula>""</formula>
    </cfRule>
  </conditionalFormatting>
  <conditionalFormatting sqref="N9">
    <cfRule type="cellIs" dxfId="17" priority="14" operator="equal">
      <formula>""</formula>
    </cfRule>
  </conditionalFormatting>
  <conditionalFormatting sqref="O10">
    <cfRule type="cellIs" dxfId="16" priority="13" operator="equal">
      <formula>""</formula>
    </cfRule>
  </conditionalFormatting>
  <conditionalFormatting sqref="O12">
    <cfRule type="cellIs" dxfId="15" priority="12" operator="equal">
      <formula>""</formula>
    </cfRule>
  </conditionalFormatting>
  <conditionalFormatting sqref="F13">
    <cfRule type="cellIs" dxfId="14" priority="10" operator="equal">
      <formula>""</formula>
    </cfRule>
  </conditionalFormatting>
  <conditionalFormatting sqref="E12">
    <cfRule type="cellIs" dxfId="13" priority="9" operator="equal">
      <formula>""</formula>
    </cfRule>
  </conditionalFormatting>
  <conditionalFormatting sqref="E10">
    <cfRule type="cellIs" dxfId="12" priority="8" operator="equal">
      <formula>""</formula>
    </cfRule>
  </conditionalFormatting>
  <conditionalFormatting sqref="F9">
    <cfRule type="cellIs" dxfId="11" priority="7" operator="equal">
      <formula>""</formula>
    </cfRule>
  </conditionalFormatting>
  <conditionalFormatting sqref="R2">
    <cfRule type="cellIs" dxfId="10" priority="6" operator="equal">
      <formula>""</formula>
    </cfRule>
  </conditionalFormatting>
  <conditionalFormatting sqref="R5">
    <cfRule type="cellIs" dxfId="9" priority="5" operator="equal">
      <formula>""</formula>
    </cfRule>
  </conditionalFormatting>
  <conditionalFormatting sqref="X4:Y4">
    <cfRule type="cellIs" dxfId="8" priority="3" operator="lessThan">
      <formula>0</formula>
    </cfRule>
    <cfRule type="expression" dxfId="7" priority="4">
      <formula>"si($X$4&lt;0)"</formula>
    </cfRule>
  </conditionalFormatting>
  <conditionalFormatting sqref="D5:E5">
    <cfRule type="cellIs" dxfId="6" priority="1" operator="equal">
      <formula>"&gt;Max!"</formula>
    </cfRule>
  </conditionalFormatting>
  <dataValidations count="8">
    <dataValidation type="list" allowBlank="1" showInputMessage="1" showErrorMessage="1" sqref="E3:G3" xr:uid="{00000000-0002-0000-0400-000000000000}">
      <formula1>Clans</formula1>
    </dataValidation>
    <dataValidation type="list" allowBlank="1" showInputMessage="1" showErrorMessage="1" sqref="Z2 D26:D28 D34:D37 D43:D50 N9 O10 O12 N13 F13 E12 E10 F9" xr:uid="{00000000-0002-0000-0400-000001000000}">
      <formula1>Numéros</formula1>
    </dataValidation>
    <dataValidation type="list" allowBlank="1" showInputMessage="1" showErrorMessage="1" sqref="B26:C28" xr:uid="{00000000-0002-0000-0400-000002000000}">
      <formula1>ArmesVaisseau</formula1>
    </dataValidation>
    <dataValidation type="list" allowBlank="1" showInputMessage="1" showErrorMessage="1" sqref="B34:C37" xr:uid="{00000000-0002-0000-0400-000003000000}">
      <formula1>Boucliers</formula1>
    </dataValidation>
    <dataValidation type="list" allowBlank="1" showInputMessage="1" showErrorMessage="1" sqref="B43:C50" xr:uid="{00000000-0002-0000-0400-000004000000}">
      <formula1>Systèmes</formula1>
    </dataValidation>
    <dataValidation type="whole" operator="greaterThan" allowBlank="1" showInputMessage="1" showErrorMessage="1" sqref="D14 E19 O14" xr:uid="{00000000-0002-0000-0400-000005000000}">
      <formula1>0</formula1>
    </dataValidation>
    <dataValidation operator="greaterThanOrEqual" allowBlank="1" showInputMessage="1" showErrorMessage="1" sqref="R5:S5" xr:uid="{00000000-0002-0000-0400-000006000000}"/>
    <dataValidation operator="greaterThan" allowBlank="1" showInputMessage="1" showErrorMessage="1" sqref="G18" xr:uid="{00000000-0002-0000-0400-000007000000}"/>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hotoshop.Image.7" shapeId="2050" r:id="rId4">
          <objectPr defaultSize="0" autoPict="0" r:id="rId5">
            <anchor moveWithCells="1">
              <from>
                <xdr:col>6</xdr:col>
                <xdr:colOff>213360</xdr:colOff>
                <xdr:row>7</xdr:row>
                <xdr:rowOff>30480</xdr:rowOff>
              </from>
              <to>
                <xdr:col>8</xdr:col>
                <xdr:colOff>137160</xdr:colOff>
                <xdr:row>10</xdr:row>
                <xdr:rowOff>22860</xdr:rowOff>
              </to>
            </anchor>
          </objectPr>
        </oleObject>
      </mc:Choice>
      <mc:Fallback>
        <oleObject progId="Photoshop.Image.7" shapeId="2050" r:id="rId4"/>
      </mc:Fallback>
    </mc:AlternateContent>
    <mc:AlternateContent xmlns:mc="http://schemas.openxmlformats.org/markup-compatibility/2006">
      <mc:Choice Requires="x14">
        <oleObject progId="Photoshop.Image.7" shapeId="2051" r:id="rId6">
          <objectPr defaultSize="0" autoPict="0" r:id="rId7">
            <anchor moveWithCells="1">
              <from>
                <xdr:col>10</xdr:col>
                <xdr:colOff>0</xdr:colOff>
                <xdr:row>7</xdr:row>
                <xdr:rowOff>30480</xdr:rowOff>
              </from>
              <to>
                <xdr:col>11</xdr:col>
                <xdr:colOff>144780</xdr:colOff>
                <xdr:row>10</xdr:row>
                <xdr:rowOff>22860</xdr:rowOff>
              </to>
            </anchor>
          </objectPr>
        </oleObject>
      </mc:Choice>
      <mc:Fallback>
        <oleObject progId="Photoshop.Image.7" shapeId="2051" r:id="rId6"/>
      </mc:Fallback>
    </mc:AlternateContent>
    <mc:AlternateContent xmlns:mc="http://schemas.openxmlformats.org/markup-compatibility/2006">
      <mc:Choice Requires="x14">
        <oleObject progId="Photoshop.Image.7" shapeId="2052" r:id="rId8">
          <objectPr defaultSize="0" autoPict="0" r:id="rId9">
            <anchor moveWithCells="1">
              <from>
                <xdr:col>6</xdr:col>
                <xdr:colOff>22860</xdr:colOff>
                <xdr:row>11</xdr:row>
                <xdr:rowOff>0</xdr:rowOff>
              </from>
              <to>
                <xdr:col>6</xdr:col>
                <xdr:colOff>563880</xdr:colOff>
                <xdr:row>14</xdr:row>
                <xdr:rowOff>83820</xdr:rowOff>
              </to>
            </anchor>
          </objectPr>
        </oleObject>
      </mc:Choice>
      <mc:Fallback>
        <oleObject progId="Photoshop.Image.7" shapeId="2052" r:id="rId8"/>
      </mc:Fallback>
    </mc:AlternateContent>
    <mc:AlternateContent xmlns:mc="http://schemas.openxmlformats.org/markup-compatibility/2006">
      <mc:Choice Requires="x14">
        <oleObject progId="Photoshop.Image.7" shapeId="2053" r:id="rId10">
          <objectPr defaultSize="0" autoPict="0" r:id="rId11">
            <anchor moveWithCells="1">
              <from>
                <xdr:col>10</xdr:col>
                <xdr:colOff>60960</xdr:colOff>
                <xdr:row>11</xdr:row>
                <xdr:rowOff>0</xdr:rowOff>
              </from>
              <to>
                <xdr:col>11</xdr:col>
                <xdr:colOff>220980</xdr:colOff>
                <xdr:row>14</xdr:row>
                <xdr:rowOff>99060</xdr:rowOff>
              </to>
            </anchor>
          </objectPr>
        </oleObject>
      </mc:Choice>
      <mc:Fallback>
        <oleObject progId="Photoshop.Image.7" shapeId="2053" r:id="rId10"/>
      </mc:Fallback>
    </mc:AlternateContent>
    <mc:AlternateContent xmlns:mc="http://schemas.openxmlformats.org/markup-compatibility/2006">
      <mc:Choice Requires="x14">
        <oleObject progId="Photoshop.Image.7" shapeId="2054" r:id="rId12">
          <objectPr defaultSize="0" autoPict="0" r:id="rId13">
            <anchor moveWithCells="1">
              <from>
                <xdr:col>7</xdr:col>
                <xdr:colOff>22860</xdr:colOff>
                <xdr:row>15</xdr:row>
                <xdr:rowOff>22860</xdr:rowOff>
              </from>
              <to>
                <xdr:col>10</xdr:col>
                <xdr:colOff>251460</xdr:colOff>
                <xdr:row>18</xdr:row>
                <xdr:rowOff>7620</xdr:rowOff>
              </to>
            </anchor>
          </objectPr>
        </oleObject>
      </mc:Choice>
      <mc:Fallback>
        <oleObject progId="Photoshop.Image.7" shapeId="2054"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AB55"/>
  <sheetViews>
    <sheetView workbookViewId="0">
      <pane ySplit="1" topLeftCell="A31" activePane="bottomLeft" state="frozen"/>
      <selection pane="bottomLeft" activeCell="H15" sqref="H15"/>
    </sheetView>
  </sheetViews>
  <sheetFormatPr baseColWidth="10" defaultRowHeight="13.2" x14ac:dyDescent="0.25"/>
  <cols>
    <col min="1" max="1" width="8.33203125" style="258" customWidth="1"/>
    <col min="2" max="2" width="35.33203125" style="258" customWidth="1"/>
    <col min="3" max="3" width="4" customWidth="1"/>
    <col min="4" max="4" width="30.88671875" style="5" customWidth="1"/>
    <col min="5" max="5" width="4.5546875" customWidth="1"/>
    <col min="6" max="6" width="6.109375" style="262" customWidth="1"/>
    <col min="7" max="7" width="5.44140625" style="5" customWidth="1"/>
    <col min="8" max="8" width="83.5546875" style="163" customWidth="1"/>
    <col min="9" max="9" width="3.88671875" style="294" customWidth="1"/>
    <col min="10" max="10" width="8" style="294" customWidth="1"/>
    <col min="11" max="12" width="8" customWidth="1"/>
    <col min="13" max="13" width="6.88671875" customWidth="1"/>
    <col min="14" max="15" width="10.33203125" style="196" customWidth="1"/>
    <col min="16" max="16" width="9.5546875" customWidth="1"/>
    <col min="17" max="17" width="11.5546875" style="196"/>
    <col min="18" max="18" width="19.109375" customWidth="1"/>
    <col min="22" max="23" width="10.33203125" customWidth="1"/>
    <col min="24" max="28" width="17.6640625" customWidth="1"/>
  </cols>
  <sheetData>
    <row r="1" spans="1:28" s="274" customFormat="1" ht="22.95" customHeight="1" x14ac:dyDescent="0.25">
      <c r="A1" s="394" t="s">
        <v>57</v>
      </c>
      <c r="B1" s="394" t="s">
        <v>379</v>
      </c>
      <c r="C1" s="393" t="s">
        <v>6523</v>
      </c>
      <c r="D1" s="271" t="s">
        <v>1890</v>
      </c>
      <c r="E1" s="392" t="s">
        <v>3873</v>
      </c>
      <c r="F1" s="392" t="s">
        <v>2138</v>
      </c>
      <c r="G1" s="394" t="s">
        <v>6526</v>
      </c>
      <c r="H1" s="389" t="s">
        <v>627</v>
      </c>
      <c r="I1" s="397"/>
      <c r="J1" s="398" t="s">
        <v>5512</v>
      </c>
      <c r="K1" s="399" t="s">
        <v>6565</v>
      </c>
      <c r="L1" s="399" t="s">
        <v>6566</v>
      </c>
      <c r="M1" s="398" t="s">
        <v>6525</v>
      </c>
      <c r="N1" s="398" t="s">
        <v>6703</v>
      </c>
      <c r="O1" s="399" t="s">
        <v>6729</v>
      </c>
      <c r="P1" s="432" t="s">
        <v>6716</v>
      </c>
      <c r="R1" s="274" t="s">
        <v>6588</v>
      </c>
      <c r="S1" s="274" t="s">
        <v>57</v>
      </c>
    </row>
    <row r="2" spans="1:28" x14ac:dyDescent="0.25">
      <c r="A2" s="258" t="s">
        <v>6527</v>
      </c>
      <c r="B2" s="258" t="s">
        <v>6742</v>
      </c>
      <c r="C2">
        <v>4</v>
      </c>
      <c r="D2" s="5" t="s">
        <v>6732</v>
      </c>
      <c r="E2">
        <v>4</v>
      </c>
      <c r="F2" s="262">
        <v>0</v>
      </c>
      <c r="G2" s="5" t="s">
        <v>6531</v>
      </c>
      <c r="H2" s="163" t="s">
        <v>6741</v>
      </c>
      <c r="J2" s="227">
        <v>1</v>
      </c>
      <c r="K2" s="227">
        <v>1</v>
      </c>
      <c r="L2" s="227">
        <v>1</v>
      </c>
      <c r="M2" s="227">
        <v>5</v>
      </c>
      <c r="N2" s="429">
        <v>600</v>
      </c>
      <c r="O2" s="429">
        <v>6</v>
      </c>
      <c r="P2" s="227">
        <v>10</v>
      </c>
      <c r="R2" s="196" t="s">
        <v>1315</v>
      </c>
      <c r="S2" t="s">
        <v>6600</v>
      </c>
      <c r="V2" t="s">
        <v>6730</v>
      </c>
      <c r="W2" t="s">
        <v>6677</v>
      </c>
      <c r="X2" t="s">
        <v>6678</v>
      </c>
      <c r="Y2" t="s">
        <v>6680</v>
      </c>
      <c r="Z2" t="s">
        <v>6680</v>
      </c>
      <c r="AA2" t="s">
        <v>6684</v>
      </c>
      <c r="AB2" t="s">
        <v>6685</v>
      </c>
    </row>
    <row r="3" spans="1:28" x14ac:dyDescent="0.25">
      <c r="A3" s="258" t="s">
        <v>6527</v>
      </c>
      <c r="B3" s="258" t="s">
        <v>9120</v>
      </c>
      <c r="C3">
        <v>1</v>
      </c>
      <c r="D3" s="5" t="s">
        <v>9121</v>
      </c>
      <c r="E3">
        <v>5</v>
      </c>
      <c r="F3" s="12" t="s">
        <v>9118</v>
      </c>
      <c r="G3" s="5" t="s">
        <v>6528</v>
      </c>
      <c r="H3" s="163" t="s">
        <v>9122</v>
      </c>
      <c r="J3" s="227">
        <v>2</v>
      </c>
      <c r="K3" s="227">
        <v>2</v>
      </c>
      <c r="L3" s="227">
        <v>3</v>
      </c>
      <c r="M3" s="227">
        <v>7</v>
      </c>
      <c r="N3" s="429">
        <v>1500</v>
      </c>
      <c r="O3" s="429">
        <v>5</v>
      </c>
      <c r="P3" s="227">
        <v>12</v>
      </c>
      <c r="R3" s="196" t="s">
        <v>1358</v>
      </c>
      <c r="S3" t="s">
        <v>6601</v>
      </c>
      <c r="V3" t="s">
        <v>6731</v>
      </c>
      <c r="W3" t="s">
        <v>6683</v>
      </c>
      <c r="X3" t="s">
        <v>6679</v>
      </c>
      <c r="Y3" t="s">
        <v>6681</v>
      </c>
      <c r="Z3" t="s">
        <v>6682</v>
      </c>
      <c r="AA3" t="s">
        <v>6687</v>
      </c>
      <c r="AB3" t="s">
        <v>6686</v>
      </c>
    </row>
    <row r="4" spans="1:28" x14ac:dyDescent="0.25">
      <c r="A4" s="258" t="s">
        <v>6527</v>
      </c>
      <c r="B4" s="258" t="s">
        <v>6624</v>
      </c>
      <c r="C4">
        <v>1</v>
      </c>
      <c r="D4" s="5" t="s">
        <v>6732</v>
      </c>
      <c r="E4">
        <v>5</v>
      </c>
      <c r="F4" s="262" t="str">
        <f>(IF(OR(Vaisseau!B43="Pouvoir corrupteur",Vaisseau!B44="Pouvoir corrupteur",Vaisseau!B45="Pouvoir corrupteur",Vaisseau!B46="Pouvoir corrupteur",Vaisseau!B47="Pouvoir corrupteur",Vaisseau!B48="Pouvoir corrupteur",Vaisseau!B49="Pouvoir corrupteur",Vaisseau!B50="Pouvoir corrupteur"),CONCATENATE(Vaisseau!L5,"g5"),CONCATENATE(Vaisseau!J13,"g2")))</f>
        <v>0g2</v>
      </c>
      <c r="G4" s="5" t="s">
        <v>6531</v>
      </c>
      <c r="H4" s="163" t="s">
        <v>6532</v>
      </c>
      <c r="J4" s="227">
        <v>3</v>
      </c>
      <c r="K4" s="227">
        <v>4</v>
      </c>
      <c r="L4" s="227">
        <v>9</v>
      </c>
      <c r="M4" s="227">
        <v>10</v>
      </c>
      <c r="N4" s="429">
        <v>3200</v>
      </c>
      <c r="O4" s="429">
        <v>4</v>
      </c>
      <c r="P4" s="227">
        <v>14</v>
      </c>
      <c r="R4" s="196" t="s">
        <v>1363</v>
      </c>
      <c r="S4" t="s">
        <v>6602</v>
      </c>
      <c r="V4" s="196">
        <v>13</v>
      </c>
      <c r="W4" s="196">
        <v>1</v>
      </c>
      <c r="X4" s="196">
        <v>10</v>
      </c>
      <c r="Y4">
        <v>12</v>
      </c>
      <c r="Z4">
        <v>14</v>
      </c>
      <c r="AA4" s="196">
        <v>3600</v>
      </c>
      <c r="AB4" s="196">
        <v>24</v>
      </c>
    </row>
    <row r="5" spans="1:28" s="196" customFormat="1" x14ac:dyDescent="0.25">
      <c r="A5" s="258" t="s">
        <v>6527</v>
      </c>
      <c r="B5" s="258" t="s">
        <v>6622</v>
      </c>
      <c r="C5" s="196">
        <v>6</v>
      </c>
      <c r="D5" s="5" t="s">
        <v>6732</v>
      </c>
      <c r="E5" s="196">
        <v>10</v>
      </c>
      <c r="F5" s="262" t="str">
        <f>(IF(OR(Vaisseau!B43="Pouvoir corrupteur",Vaisseau!B44="Pouvoir corrupteur",Vaisseau!B45="Pouvoir corrupteur",Vaisseau!B46="Pouvoir corrupteur",Vaisseau!B47="Pouvoir corrupteur",Vaisseau!B48="Pouvoir corrupteur",Vaisseau!B49="Pouvoir corrupteur",Vaisseau!B50="Pouvoir corrupteur"),CONCATENATE(Vaisseau!L5*4,"g10"),CONCATENATE(Vaisseau!J13*4,"g10")))</f>
        <v>0g10</v>
      </c>
      <c r="G5" s="5" t="s">
        <v>6530</v>
      </c>
      <c r="H5" s="163" t="s">
        <v>6545</v>
      </c>
      <c r="I5" s="294"/>
      <c r="J5" s="227">
        <v>4</v>
      </c>
      <c r="K5" s="227">
        <v>10</v>
      </c>
      <c r="L5" s="227">
        <v>27</v>
      </c>
      <c r="M5" s="227">
        <v>14</v>
      </c>
      <c r="N5" s="429">
        <v>6500</v>
      </c>
      <c r="O5" s="429">
        <v>3</v>
      </c>
      <c r="P5" s="227">
        <v>16</v>
      </c>
      <c r="R5" s="196" t="s">
        <v>6589</v>
      </c>
      <c r="S5" s="196" t="s">
        <v>6603</v>
      </c>
      <c r="V5" s="196">
        <v>12</v>
      </c>
      <c r="W5" s="196">
        <v>1</v>
      </c>
      <c r="X5" s="196">
        <v>9</v>
      </c>
      <c r="Y5" s="196">
        <v>11</v>
      </c>
      <c r="Z5" s="196">
        <v>13</v>
      </c>
      <c r="AA5" s="196">
        <v>3300</v>
      </c>
      <c r="AB5" s="196">
        <v>22</v>
      </c>
    </row>
    <row r="6" spans="1:28" x14ac:dyDescent="0.25">
      <c r="A6" s="258" t="s">
        <v>6527</v>
      </c>
      <c r="B6" s="258" t="s">
        <v>6623</v>
      </c>
      <c r="C6">
        <v>3</v>
      </c>
      <c r="D6" s="5" t="s">
        <v>6732</v>
      </c>
      <c r="E6">
        <v>5</v>
      </c>
      <c r="F6" s="262" t="str">
        <f>(IF(OR(Vaisseau!B43="Pouvoir corrupteur",Vaisseau!B44="Pouvoir corrupteur",Vaisseau!B45="Pouvoir corrupteur",Vaisseau!B46="Pouvoir corrupteur",Vaisseau!B47="Pouvoir corrupteur",Vaisseau!B48="Pouvoir corrupteur",Vaisseau!B49="Pouvoir corrupteur",Vaisseau!B50="Pouvoir corrupteur"),CONCATENATE(Vaisseau!L5*2,"g8"),CONCATENATE(Vaisseau!J13*2,"g5")))</f>
        <v>0g5</v>
      </c>
      <c r="G6" s="5" t="s">
        <v>6528</v>
      </c>
      <c r="H6" s="163" t="s">
        <v>6529</v>
      </c>
      <c r="J6" s="227">
        <v>5</v>
      </c>
      <c r="K6" s="227">
        <v>28</v>
      </c>
      <c r="L6" s="227">
        <v>81</v>
      </c>
      <c r="M6" s="227">
        <v>19</v>
      </c>
      <c r="N6" s="429">
        <v>13200</v>
      </c>
      <c r="O6" s="429">
        <v>2</v>
      </c>
      <c r="P6" s="227">
        <v>18</v>
      </c>
      <c r="R6" s="196" t="s">
        <v>6620</v>
      </c>
      <c r="S6" s="196" t="s">
        <v>6621</v>
      </c>
      <c r="T6" s="196"/>
      <c r="U6" s="196"/>
      <c r="V6" s="196">
        <v>11</v>
      </c>
      <c r="W6" s="196">
        <v>1</v>
      </c>
      <c r="X6" s="196">
        <v>8</v>
      </c>
      <c r="Y6" s="196">
        <v>10</v>
      </c>
      <c r="Z6" s="196">
        <v>12</v>
      </c>
      <c r="AA6" s="196">
        <v>3000</v>
      </c>
      <c r="AB6" s="196">
        <v>20</v>
      </c>
    </row>
    <row r="7" spans="1:28" x14ac:dyDescent="0.25">
      <c r="A7" s="258" t="s">
        <v>6527</v>
      </c>
      <c r="B7" s="258" t="s">
        <v>6626</v>
      </c>
      <c r="C7" s="196">
        <f>IF(Affreteur="Lièvre",2,3)</f>
        <v>3</v>
      </c>
      <c r="D7" s="5" t="s">
        <v>6732</v>
      </c>
      <c r="E7">
        <v>1</v>
      </c>
      <c r="F7" s="262">
        <v>0</v>
      </c>
      <c r="G7" s="5" t="s">
        <v>6531</v>
      </c>
      <c r="H7" s="163" t="s">
        <v>6535</v>
      </c>
      <c r="J7" s="227">
        <v>6</v>
      </c>
      <c r="K7" s="227">
        <v>82</v>
      </c>
      <c r="L7" s="227">
        <v>243</v>
      </c>
      <c r="M7" s="227">
        <v>24</v>
      </c>
      <c r="N7" s="429">
        <v>26500</v>
      </c>
      <c r="O7" s="429">
        <v>1</v>
      </c>
      <c r="P7" s="227">
        <v>20</v>
      </c>
      <c r="R7" s="196" t="s">
        <v>6590</v>
      </c>
      <c r="S7" s="196" t="s">
        <v>6604</v>
      </c>
      <c r="T7" s="196"/>
      <c r="U7" s="196"/>
      <c r="V7" s="196">
        <v>10</v>
      </c>
      <c r="W7" s="196">
        <v>2</v>
      </c>
      <c r="X7" s="196">
        <v>7</v>
      </c>
      <c r="Y7" s="196">
        <v>9</v>
      </c>
      <c r="Z7" s="196">
        <v>11</v>
      </c>
      <c r="AA7" s="196">
        <v>2700</v>
      </c>
      <c r="AB7" s="196">
        <v>18</v>
      </c>
    </row>
    <row r="8" spans="1:28" x14ac:dyDescent="0.25">
      <c r="A8" s="258" t="s">
        <v>6527</v>
      </c>
      <c r="B8" s="258" t="s">
        <v>6627</v>
      </c>
      <c r="C8">
        <f>IF(Affreteur="Lièvre",1,2)</f>
        <v>2</v>
      </c>
      <c r="D8" s="5" t="s">
        <v>6732</v>
      </c>
      <c r="E8">
        <v>1</v>
      </c>
      <c r="F8" s="262" t="s">
        <v>6536</v>
      </c>
      <c r="G8" s="5" t="s">
        <v>6531</v>
      </c>
      <c r="H8" s="163" t="s">
        <v>6537</v>
      </c>
      <c r="J8" s="227">
        <v>7</v>
      </c>
      <c r="K8" s="227">
        <v>244</v>
      </c>
      <c r="L8" s="227">
        <v>732</v>
      </c>
      <c r="M8" s="227">
        <v>32</v>
      </c>
      <c r="N8" s="429">
        <v>54000</v>
      </c>
      <c r="O8" s="429">
        <v>0</v>
      </c>
      <c r="P8" s="227">
        <v>22</v>
      </c>
      <c r="R8" s="196" t="s">
        <v>6591</v>
      </c>
      <c r="S8" s="196" t="s">
        <v>6605</v>
      </c>
      <c r="T8" s="196"/>
      <c r="U8" s="196"/>
      <c r="V8" s="196">
        <v>9</v>
      </c>
      <c r="W8" s="196">
        <v>2</v>
      </c>
      <c r="X8" s="196">
        <v>6</v>
      </c>
      <c r="Y8" s="196">
        <v>8</v>
      </c>
      <c r="Z8" s="196">
        <v>10</v>
      </c>
      <c r="AA8" s="196">
        <v>2400</v>
      </c>
      <c r="AB8" s="196">
        <v>16</v>
      </c>
    </row>
    <row r="9" spans="1:28" ht="24.6" x14ac:dyDescent="0.25">
      <c r="A9" s="258" t="s">
        <v>6527</v>
      </c>
      <c r="B9" s="258" t="s">
        <v>9116</v>
      </c>
      <c r="C9" s="196">
        <v>2</v>
      </c>
      <c r="D9" s="5" t="s">
        <v>9117</v>
      </c>
      <c r="E9" s="196">
        <v>5</v>
      </c>
      <c r="F9" s="12" t="s">
        <v>9118</v>
      </c>
      <c r="G9" s="5" t="s">
        <v>6528</v>
      </c>
      <c r="H9" s="331" t="s">
        <v>9119</v>
      </c>
      <c r="J9" s="227">
        <v>8</v>
      </c>
      <c r="K9" s="227">
        <v>733</v>
      </c>
      <c r="L9" s="227">
        <v>2199</v>
      </c>
      <c r="M9" s="227">
        <v>39</v>
      </c>
      <c r="N9" s="227">
        <v>109000</v>
      </c>
      <c r="O9" s="227">
        <v>-1</v>
      </c>
      <c r="P9" s="227">
        <v>24</v>
      </c>
      <c r="R9" s="196" t="s">
        <v>39</v>
      </c>
      <c r="S9" s="196" t="s">
        <v>6606</v>
      </c>
      <c r="T9" s="196"/>
      <c r="U9" s="196"/>
      <c r="V9" s="196">
        <v>8</v>
      </c>
      <c r="W9" s="196">
        <v>3</v>
      </c>
      <c r="X9" s="196">
        <v>5</v>
      </c>
      <c r="Y9" s="196">
        <v>7</v>
      </c>
      <c r="Z9" s="196">
        <v>9</v>
      </c>
      <c r="AA9" s="196">
        <v>2100</v>
      </c>
      <c r="AB9" s="196">
        <v>14</v>
      </c>
    </row>
    <row r="10" spans="1:28" x14ac:dyDescent="0.25">
      <c r="A10" s="258" t="s">
        <v>6527</v>
      </c>
      <c r="B10" s="258" t="s">
        <v>6551</v>
      </c>
      <c r="C10">
        <v>1</v>
      </c>
      <c r="D10" s="5" t="s">
        <v>6732</v>
      </c>
      <c r="E10">
        <v>8</v>
      </c>
      <c r="F10" s="262" t="s">
        <v>6542</v>
      </c>
      <c r="G10" s="5" t="s">
        <v>6531</v>
      </c>
      <c r="H10" s="163" t="s">
        <v>6690</v>
      </c>
      <c r="J10" s="227">
        <v>9</v>
      </c>
      <c r="K10" s="227">
        <v>2200</v>
      </c>
      <c r="L10" s="227">
        <v>6600</v>
      </c>
      <c r="M10" s="227">
        <v>50</v>
      </c>
      <c r="N10" s="227">
        <v>220000</v>
      </c>
      <c r="O10" s="227">
        <v>-2</v>
      </c>
      <c r="P10" s="227">
        <v>26</v>
      </c>
      <c r="R10" s="196" t="s">
        <v>6592</v>
      </c>
      <c r="S10" s="196" t="s">
        <v>6607</v>
      </c>
      <c r="T10" s="196"/>
      <c r="U10" s="196"/>
      <c r="V10" s="196">
        <v>7</v>
      </c>
      <c r="W10" s="196">
        <v>4</v>
      </c>
      <c r="X10" s="196">
        <v>4</v>
      </c>
      <c r="Y10" s="196">
        <v>6</v>
      </c>
      <c r="Z10" s="196">
        <v>8</v>
      </c>
      <c r="AA10" s="196">
        <v>1800</v>
      </c>
      <c r="AB10" s="196">
        <v>12</v>
      </c>
    </row>
    <row r="11" spans="1:28" x14ac:dyDescent="0.25">
      <c r="A11" s="258" t="s">
        <v>6527</v>
      </c>
      <c r="B11" s="258" t="s">
        <v>6625</v>
      </c>
      <c r="C11">
        <v>4</v>
      </c>
      <c r="D11" s="5" t="s">
        <v>6732</v>
      </c>
      <c r="E11">
        <v>8</v>
      </c>
      <c r="F11" s="262" t="s">
        <v>6533</v>
      </c>
      <c r="G11" s="5" t="s">
        <v>6531</v>
      </c>
      <c r="H11" s="163" t="s">
        <v>6534</v>
      </c>
      <c r="J11" s="227">
        <v>10</v>
      </c>
      <c r="K11" s="227">
        <v>6601</v>
      </c>
      <c r="L11" s="227">
        <v>19800</v>
      </c>
      <c r="M11" s="227">
        <v>60</v>
      </c>
      <c r="N11" s="227">
        <v>500000</v>
      </c>
      <c r="O11" s="227">
        <v>-3</v>
      </c>
      <c r="P11" s="227">
        <v>28</v>
      </c>
      <c r="R11" s="196" t="s">
        <v>1357</v>
      </c>
      <c r="S11" s="196" t="s">
        <v>6607</v>
      </c>
      <c r="T11" s="196"/>
      <c r="U11" s="196"/>
      <c r="V11" s="196">
        <v>6</v>
      </c>
      <c r="W11" s="196">
        <v>5</v>
      </c>
      <c r="X11" s="196">
        <v>3</v>
      </c>
      <c r="Y11" s="196">
        <v>5</v>
      </c>
      <c r="Z11" s="196">
        <v>7</v>
      </c>
      <c r="AA11" s="196">
        <v>1500</v>
      </c>
      <c r="AB11" s="196">
        <v>10</v>
      </c>
    </row>
    <row r="12" spans="1:28" x14ac:dyDescent="0.25">
      <c r="A12" s="258" t="s">
        <v>6527</v>
      </c>
      <c r="B12" s="258" t="s">
        <v>6630</v>
      </c>
      <c r="C12">
        <v>3</v>
      </c>
      <c r="D12" s="5" t="s">
        <v>6732</v>
      </c>
      <c r="E12">
        <v>8</v>
      </c>
      <c r="F12" s="262" t="s">
        <v>6540</v>
      </c>
      <c r="G12" s="5" t="s">
        <v>6531</v>
      </c>
      <c r="H12" s="163" t="s">
        <v>6541</v>
      </c>
      <c r="K12" s="196"/>
      <c r="L12" s="196"/>
      <c r="M12" s="196"/>
      <c r="P12" s="196"/>
      <c r="R12" s="196" t="s">
        <v>6593</v>
      </c>
      <c r="S12" s="196" t="s">
        <v>6607</v>
      </c>
      <c r="T12" s="196"/>
      <c r="U12" s="196"/>
      <c r="V12" s="196">
        <v>5</v>
      </c>
      <c r="W12" s="196">
        <v>6</v>
      </c>
      <c r="X12" s="196">
        <v>2</v>
      </c>
      <c r="Y12" s="196">
        <v>4</v>
      </c>
      <c r="Z12" s="196">
        <v>6</v>
      </c>
      <c r="AA12" s="196">
        <v>1200</v>
      </c>
      <c r="AB12" s="196">
        <v>8</v>
      </c>
    </row>
    <row r="13" spans="1:28" s="196" customFormat="1" x14ac:dyDescent="0.25">
      <c r="A13" s="258" t="s">
        <v>6527</v>
      </c>
      <c r="B13" s="258" t="s">
        <v>6628</v>
      </c>
      <c r="C13" s="196">
        <v>2</v>
      </c>
      <c r="D13" s="5" t="s">
        <v>6732</v>
      </c>
      <c r="E13" s="196">
        <v>1</v>
      </c>
      <c r="F13" s="262" t="s">
        <v>6536</v>
      </c>
      <c r="G13" s="5" t="s">
        <v>6531</v>
      </c>
      <c r="H13" s="163" t="s">
        <v>6537</v>
      </c>
      <c r="I13" s="294"/>
      <c r="J13" s="294"/>
      <c r="R13" s="196" t="s">
        <v>6594</v>
      </c>
      <c r="S13" s="196" t="s">
        <v>6599</v>
      </c>
      <c r="V13" s="196">
        <v>4</v>
      </c>
      <c r="W13" s="196">
        <v>7</v>
      </c>
      <c r="X13" s="196">
        <v>2</v>
      </c>
      <c r="Y13" s="196">
        <v>3</v>
      </c>
      <c r="Z13" s="196">
        <v>5</v>
      </c>
      <c r="AA13" s="196">
        <v>900</v>
      </c>
      <c r="AB13" s="196">
        <v>6</v>
      </c>
    </row>
    <row r="14" spans="1:28" s="196" customFormat="1" x14ac:dyDescent="0.25">
      <c r="A14" s="258" t="s">
        <v>6527</v>
      </c>
      <c r="B14" s="258" t="s">
        <v>6629</v>
      </c>
      <c r="C14" s="196">
        <v>3</v>
      </c>
      <c r="D14" s="5" t="s">
        <v>6732</v>
      </c>
      <c r="E14" s="196">
        <v>1</v>
      </c>
      <c r="F14" s="262" t="s">
        <v>6538</v>
      </c>
      <c r="G14" s="5" t="s">
        <v>6531</v>
      </c>
      <c r="H14" s="163" t="s">
        <v>6539</v>
      </c>
      <c r="I14" s="294"/>
      <c r="J14" s="294"/>
      <c r="R14" s="196" t="s">
        <v>6595</v>
      </c>
      <c r="S14" s="196" t="s">
        <v>6599</v>
      </c>
      <c r="V14" s="196">
        <v>3</v>
      </c>
      <c r="W14" s="196">
        <v>8</v>
      </c>
      <c r="X14" s="196">
        <v>1</v>
      </c>
      <c r="Y14" s="196">
        <v>2</v>
      </c>
      <c r="Z14" s="196">
        <v>3</v>
      </c>
      <c r="AA14" s="196">
        <v>600</v>
      </c>
      <c r="AB14" s="196">
        <v>4</v>
      </c>
    </row>
    <row r="15" spans="1:28" x14ac:dyDescent="0.25">
      <c r="A15" s="258" t="s">
        <v>6527</v>
      </c>
      <c r="B15" s="258" t="s">
        <v>9123</v>
      </c>
      <c r="C15">
        <v>1</v>
      </c>
      <c r="D15" s="5" t="s">
        <v>6543</v>
      </c>
      <c r="E15" s="5">
        <v>10</v>
      </c>
      <c r="F15" s="12" t="s">
        <v>9118</v>
      </c>
      <c r="G15" s="5" t="s">
        <v>6528</v>
      </c>
      <c r="H15" s="163" t="s">
        <v>9124</v>
      </c>
      <c r="J15" s="934" t="s">
        <v>6693</v>
      </c>
      <c r="K15" s="935"/>
      <c r="L15" s="936"/>
      <c r="M15" s="227">
        <f>Vaisseau!I13+IF(Taillevaisseau="",0,VLOOKUP(Taillevaisseau,'Systèmes de vaisseau'!J2:P11,6,FALSE))+SUM(IF(Vaisseau!B43="Moteurs supérieurs",Vaisseau!D43)+IF(Vaisseau!B44="Moteurs supérieurs",Vaisseau!D44)+IF(Vaisseau!B45="Moteurs supérieurs",Vaisseau!D45)+IF(Vaisseau!B46="Moteurs supérieurs",Vaisseau!D46)+IF(Vaisseau!B47="Moteurs supérieurs",Vaisseau!D47)+IF(Vaisseau!B48="Moteurs supérieurs",Vaisseau!D48)+IF(Vaisseau!B49="Moteurs supérieurs",Vaisseau!D49)+IF(Vaisseau!B50="Moteurs supérieurs",Vaisseau!D50),0)</f>
        <v>0</v>
      </c>
      <c r="N15" s="91"/>
      <c r="O15" s="91"/>
      <c r="P15" s="196"/>
      <c r="R15" s="196" t="s">
        <v>6596</v>
      </c>
      <c r="S15" s="196" t="s">
        <v>6608</v>
      </c>
      <c r="T15" s="196"/>
      <c r="U15" s="196"/>
      <c r="V15" s="196">
        <v>2</v>
      </c>
      <c r="W15" s="196">
        <v>9</v>
      </c>
      <c r="X15" s="196">
        <v>0</v>
      </c>
      <c r="Y15" s="196">
        <v>1</v>
      </c>
      <c r="Z15" s="196">
        <v>2</v>
      </c>
      <c r="AA15" s="196">
        <v>300</v>
      </c>
      <c r="AB15" s="196">
        <v>2</v>
      </c>
    </row>
    <row r="16" spans="1:28" x14ac:dyDescent="0.25">
      <c r="A16" s="258" t="s">
        <v>6527</v>
      </c>
      <c r="B16" s="258" t="s">
        <v>6748</v>
      </c>
      <c r="C16" s="196">
        <v>5</v>
      </c>
      <c r="D16" s="5" t="s">
        <v>6732</v>
      </c>
      <c r="E16" s="196">
        <v>8</v>
      </c>
      <c r="F16" s="262" t="s">
        <v>6749</v>
      </c>
      <c r="G16" s="5" t="s">
        <v>6750</v>
      </c>
      <c r="H16" s="163" t="s">
        <v>6751</v>
      </c>
      <c r="K16" s="196"/>
      <c r="L16" s="196"/>
      <c r="M16" s="196"/>
      <c r="P16" s="196"/>
      <c r="R16" s="196" t="s">
        <v>6597</v>
      </c>
      <c r="S16" s="196" t="s">
        <v>6609</v>
      </c>
      <c r="T16" s="196"/>
      <c r="U16" s="196"/>
      <c r="V16" s="196">
        <v>1</v>
      </c>
      <c r="W16" s="196">
        <v>9</v>
      </c>
      <c r="X16" s="196">
        <v>0</v>
      </c>
      <c r="Y16" s="196">
        <v>0</v>
      </c>
      <c r="Z16" s="196">
        <v>1</v>
      </c>
      <c r="AA16" s="196">
        <v>0</v>
      </c>
      <c r="AB16" s="196">
        <v>0</v>
      </c>
    </row>
    <row r="17" spans="1:28" x14ac:dyDescent="0.25">
      <c r="A17" s="258" t="s">
        <v>6527</v>
      </c>
      <c r="B17" s="258" t="s">
        <v>6743</v>
      </c>
      <c r="C17" s="196">
        <v>3</v>
      </c>
      <c r="D17" s="5" t="s">
        <v>6732</v>
      </c>
      <c r="E17" s="196" t="s">
        <v>6744</v>
      </c>
      <c r="F17" s="262" t="str">
        <f>(IF(OR(Vaisseau!B43="Pouvoir corrupteur",Vaisseau!B44="Pouvoir corrupteur",Vaisseau!B45="Pouvoir corrupteur",Vaisseau!B46="Pouvoir corrupteur",Vaisseau!B47="Pouvoir corrupteur",Vaisseau!B48="Pouvoir corrupteur",Vaisseau!B49="Pouvoir corrupteur",Vaisseau!B50="Pouvoir corrupteur"),CONCATENATE(Vaisseau!L5,"g5"),CONCATENATE(Vaisseau!J13,"g5")))</f>
        <v>0g5</v>
      </c>
      <c r="G17" s="5" t="s">
        <v>6528</v>
      </c>
      <c r="H17" s="163" t="s">
        <v>6745</v>
      </c>
      <c r="K17" s="196"/>
      <c r="L17" s="196"/>
      <c r="M17" s="196"/>
      <c r="P17" s="196"/>
      <c r="R17" s="196" t="s">
        <v>5737</v>
      </c>
      <c r="S17" s="196" t="s">
        <v>6610</v>
      </c>
      <c r="T17" s="196"/>
      <c r="U17" s="196"/>
      <c r="V17" s="196">
        <v>0</v>
      </c>
      <c r="W17" s="196">
        <v>10</v>
      </c>
      <c r="X17" s="196">
        <v>0</v>
      </c>
      <c r="Y17" s="196">
        <v>0</v>
      </c>
      <c r="Z17" s="196">
        <v>0</v>
      </c>
      <c r="AA17" s="196">
        <v>0</v>
      </c>
      <c r="AB17" s="196">
        <v>0</v>
      </c>
    </row>
    <row r="18" spans="1:28" x14ac:dyDescent="0.25">
      <c r="A18" s="258" t="s">
        <v>6550</v>
      </c>
      <c r="B18" s="258" t="s">
        <v>6552</v>
      </c>
      <c r="C18" s="196">
        <f>Taillevaisseau</f>
        <v>0</v>
      </c>
      <c r="D18" s="5" t="s">
        <v>6732</v>
      </c>
      <c r="E18" s="12" t="s">
        <v>6549</v>
      </c>
      <c r="F18" s="12" t="s">
        <v>6549</v>
      </c>
      <c r="G18" s="12" t="s">
        <v>6549</v>
      </c>
      <c r="H18" s="163" t="s">
        <v>6655</v>
      </c>
      <c r="K18" s="196"/>
      <c r="L18" s="196"/>
      <c r="M18" s="196"/>
      <c r="P18" s="196"/>
      <c r="R18" s="196" t="s">
        <v>1348</v>
      </c>
      <c r="S18" s="196" t="s">
        <v>6611</v>
      </c>
      <c r="T18" s="196"/>
      <c r="U18" s="196"/>
      <c r="V18" s="196">
        <v>-1</v>
      </c>
      <c r="W18" s="196">
        <v>10</v>
      </c>
      <c r="X18" s="196">
        <v>0</v>
      </c>
      <c r="Y18" s="196">
        <v>0</v>
      </c>
      <c r="Z18" s="196">
        <v>0</v>
      </c>
      <c r="AA18" s="196">
        <v>0</v>
      </c>
      <c r="AB18" s="196">
        <v>0</v>
      </c>
    </row>
    <row r="19" spans="1:28" x14ac:dyDescent="0.25">
      <c r="A19" s="258" t="s">
        <v>6550</v>
      </c>
      <c r="B19" s="258" t="s">
        <v>6554</v>
      </c>
      <c r="C19" s="196">
        <f>ROUNDUP(Taillevaisseau*2,0)</f>
        <v>0</v>
      </c>
      <c r="D19" s="5" t="s">
        <v>6732</v>
      </c>
      <c r="E19" s="12" t="s">
        <v>6549</v>
      </c>
      <c r="F19" s="12" t="s">
        <v>6549</v>
      </c>
      <c r="G19" s="12" t="s">
        <v>6549</v>
      </c>
      <c r="H19" s="163" t="s">
        <v>6657</v>
      </c>
      <c r="K19" s="196"/>
      <c r="L19" s="196"/>
      <c r="M19" s="196"/>
      <c r="P19" s="196"/>
      <c r="R19" s="196" t="s">
        <v>6598</v>
      </c>
      <c r="S19" s="196" t="s">
        <v>6612</v>
      </c>
      <c r="T19" s="196"/>
      <c r="U19" s="196"/>
      <c r="V19" s="196">
        <v>-2</v>
      </c>
      <c r="W19" s="196">
        <v>10</v>
      </c>
      <c r="X19" s="196">
        <v>0</v>
      </c>
      <c r="Y19" s="196">
        <v>0</v>
      </c>
      <c r="Z19" s="196">
        <v>0</v>
      </c>
      <c r="AA19" s="196">
        <v>0</v>
      </c>
      <c r="AB19" s="196">
        <v>0</v>
      </c>
    </row>
    <row r="20" spans="1:28" x14ac:dyDescent="0.25">
      <c r="A20" s="258" t="s">
        <v>6550</v>
      </c>
      <c r="B20" s="258" t="s">
        <v>6553</v>
      </c>
      <c r="C20" s="196">
        <f>ROUNDUP(Taillevaisseau*1.5,0)</f>
        <v>0</v>
      </c>
      <c r="D20" s="5" t="s">
        <v>6732</v>
      </c>
      <c r="E20" s="12" t="s">
        <v>6549</v>
      </c>
      <c r="F20" s="12" t="s">
        <v>6549</v>
      </c>
      <c r="G20" s="12" t="s">
        <v>6549</v>
      </c>
      <c r="H20" s="163" t="s">
        <v>6656</v>
      </c>
      <c r="K20" s="196"/>
      <c r="L20" s="196"/>
      <c r="M20" s="196"/>
      <c r="P20" s="196"/>
      <c r="R20" s="196" t="s">
        <v>6615</v>
      </c>
      <c r="S20" s="196" t="s">
        <v>6613</v>
      </c>
      <c r="V20" s="196">
        <v>-3</v>
      </c>
      <c r="W20" s="196">
        <v>10</v>
      </c>
      <c r="X20" s="196">
        <v>0</v>
      </c>
      <c r="Y20" s="196">
        <v>0</v>
      </c>
      <c r="Z20" s="196">
        <v>0</v>
      </c>
      <c r="AA20" s="196">
        <v>0</v>
      </c>
      <c r="AB20" s="196">
        <v>0</v>
      </c>
    </row>
    <row r="21" spans="1:28" x14ac:dyDescent="0.25">
      <c r="A21" s="258" t="s">
        <v>6550</v>
      </c>
      <c r="B21" s="258" t="s">
        <v>6555</v>
      </c>
      <c r="C21" s="196">
        <f>ROUNDUP(Taillevaisseau*3,0)</f>
        <v>0</v>
      </c>
      <c r="D21" s="5" t="s">
        <v>6732</v>
      </c>
      <c r="E21" s="12" t="s">
        <v>6549</v>
      </c>
      <c r="F21" s="12" t="s">
        <v>6549</v>
      </c>
      <c r="G21" s="12" t="s">
        <v>6549</v>
      </c>
      <c r="H21" s="163" t="s">
        <v>6658</v>
      </c>
      <c r="K21" s="196"/>
      <c r="L21" s="196"/>
      <c r="M21" s="196"/>
      <c r="P21" s="196"/>
      <c r="R21" t="s">
        <v>6614</v>
      </c>
      <c r="S21" t="s">
        <v>6613</v>
      </c>
    </row>
    <row r="22" spans="1:28" s="196" customFormat="1" x14ac:dyDescent="0.25">
      <c r="A22" s="258" t="s">
        <v>6550</v>
      </c>
      <c r="B22" s="258" t="s">
        <v>6557</v>
      </c>
      <c r="C22" s="196">
        <f>IF(Affreteur="Phénix",Vaisseau!N9-1,Vaisseau!N9)</f>
        <v>0</v>
      </c>
      <c r="D22" s="5" t="s">
        <v>1284</v>
      </c>
      <c r="E22" s="12" t="s">
        <v>6549</v>
      </c>
      <c r="F22" s="12" t="s">
        <v>6549</v>
      </c>
      <c r="G22" s="12" t="s">
        <v>6549</v>
      </c>
      <c r="H22" s="163" t="s">
        <v>6654</v>
      </c>
      <c r="I22" s="294"/>
      <c r="J22" s="294"/>
      <c r="K22"/>
      <c r="L22"/>
      <c r="M22"/>
      <c r="P22"/>
      <c r="R22" t="s">
        <v>6740</v>
      </c>
      <c r="S22" t="s">
        <v>6613</v>
      </c>
      <c r="T22"/>
      <c r="U22"/>
      <c r="V22"/>
      <c r="W22"/>
      <c r="X22"/>
      <c r="Y22"/>
      <c r="Z22"/>
      <c r="AA22"/>
      <c r="AB22"/>
    </row>
    <row r="23" spans="1:28" x14ac:dyDescent="0.25">
      <c r="A23" s="258" t="s">
        <v>6550</v>
      </c>
      <c r="B23" s="258" t="s">
        <v>6724</v>
      </c>
      <c r="C23">
        <f>IF(Affreteur="Scorpion",1,3)</f>
        <v>3</v>
      </c>
      <c r="D23" s="5" t="s">
        <v>1284</v>
      </c>
      <c r="E23" s="12" t="s">
        <v>6549</v>
      </c>
      <c r="F23" s="12" t="s">
        <v>6549</v>
      </c>
      <c r="G23" s="12" t="s">
        <v>6549</v>
      </c>
      <c r="H23" s="163" t="s">
        <v>6726</v>
      </c>
    </row>
    <row r="24" spans="1:28" x14ac:dyDescent="0.25">
      <c r="A24" s="258" t="s">
        <v>6550</v>
      </c>
      <c r="B24" s="258" t="s">
        <v>6556</v>
      </c>
      <c r="C24">
        <f>IF(Affreteur="Crabe",1,2)</f>
        <v>2</v>
      </c>
      <c r="D24" s="5" t="s">
        <v>1284</v>
      </c>
      <c r="E24" s="12" t="s">
        <v>6549</v>
      </c>
      <c r="F24" s="12" t="s">
        <v>6549</v>
      </c>
      <c r="G24" s="12" t="s">
        <v>6549</v>
      </c>
      <c r="H24" s="163" t="s">
        <v>6559</v>
      </c>
    </row>
    <row r="25" spans="1:28" x14ac:dyDescent="0.25">
      <c r="A25" s="258" t="s">
        <v>6550</v>
      </c>
      <c r="B25" s="258" t="s">
        <v>6558</v>
      </c>
      <c r="C25">
        <f>IF(Affreteur="Crabe",3,4)</f>
        <v>4</v>
      </c>
      <c r="D25" s="5" t="s">
        <v>1284</v>
      </c>
      <c r="E25" s="12" t="s">
        <v>6549</v>
      </c>
      <c r="F25" s="12" t="s">
        <v>6549</v>
      </c>
      <c r="G25" s="12" t="s">
        <v>6549</v>
      </c>
      <c r="H25" s="163" t="s">
        <v>6641</v>
      </c>
    </row>
    <row r="26" spans="1:28" x14ac:dyDescent="0.25">
      <c r="A26" s="258" t="s">
        <v>6550</v>
      </c>
      <c r="B26" s="258" t="s">
        <v>6567</v>
      </c>
      <c r="C26">
        <f>IF(Affreteur="Scorpion",3,5)</f>
        <v>5</v>
      </c>
      <c r="D26" s="5" t="s">
        <v>6732</v>
      </c>
      <c r="E26" s="12" t="s">
        <v>6549</v>
      </c>
      <c r="F26" s="12" t="s">
        <v>6549</v>
      </c>
      <c r="G26" s="12" t="s">
        <v>6549</v>
      </c>
      <c r="H26" s="163" t="s">
        <v>6725</v>
      </c>
    </row>
    <row r="27" spans="1:28" x14ac:dyDescent="0.25">
      <c r="A27" s="258" t="s">
        <v>6560</v>
      </c>
      <c r="B27" s="258" t="s">
        <v>6587</v>
      </c>
      <c r="C27">
        <f>Taillevaisseau-IF(OR(Affreteur="Tanuki",Affreteur="Ibis"),1,0)</f>
        <v>0</v>
      </c>
      <c r="D27" s="5" t="s">
        <v>6586</v>
      </c>
      <c r="E27" s="12" t="s">
        <v>6549</v>
      </c>
      <c r="F27" s="12" t="s">
        <v>6549</v>
      </c>
      <c r="G27" s="12" t="s">
        <v>6549</v>
      </c>
      <c r="H27" s="163" t="s">
        <v>6705</v>
      </c>
    </row>
    <row r="28" spans="1:28" x14ac:dyDescent="0.25">
      <c r="A28" s="258" t="s">
        <v>6560</v>
      </c>
      <c r="B28" s="258" t="s">
        <v>6561</v>
      </c>
      <c r="C28">
        <f>IF(Affreteur="Mante",1,IF(Affreteur="Hipocampe",0,2))</f>
        <v>2</v>
      </c>
      <c r="D28" s="5" t="s">
        <v>1284</v>
      </c>
      <c r="E28" s="12" t="s">
        <v>6549</v>
      </c>
      <c r="F28" s="12" t="s">
        <v>6549</v>
      </c>
      <c r="G28" s="12" t="s">
        <v>6549</v>
      </c>
      <c r="H28" s="163" t="s">
        <v>6702</v>
      </c>
    </row>
    <row r="29" spans="1:28" x14ac:dyDescent="0.25">
      <c r="A29" s="258" t="s">
        <v>6560</v>
      </c>
      <c r="B29" s="258" t="s">
        <v>6562</v>
      </c>
      <c r="C29">
        <v>2</v>
      </c>
      <c r="D29" s="5" t="s">
        <v>1284</v>
      </c>
      <c r="E29" s="12" t="s">
        <v>6549</v>
      </c>
      <c r="F29" s="12" t="s">
        <v>6549</v>
      </c>
      <c r="G29" s="12" t="s">
        <v>6549</v>
      </c>
      <c r="H29" s="163" t="s">
        <v>6563</v>
      </c>
    </row>
    <row r="30" spans="1:28" s="196" customFormat="1" x14ac:dyDescent="0.25">
      <c r="A30" s="258" t="s">
        <v>6560</v>
      </c>
      <c r="B30" s="258" t="s">
        <v>6581</v>
      </c>
      <c r="C30" s="196">
        <f>IF(Affreteur="Crabe",1,2)</f>
        <v>2</v>
      </c>
      <c r="D30" s="5" t="s">
        <v>6733</v>
      </c>
      <c r="E30" s="12" t="s">
        <v>6549</v>
      </c>
      <c r="F30" s="12" t="s">
        <v>6549</v>
      </c>
      <c r="G30" s="12" t="s">
        <v>6549</v>
      </c>
      <c r="H30" s="163" t="s">
        <v>6700</v>
      </c>
      <c r="I30" s="294"/>
      <c r="J30" s="294"/>
    </row>
    <row r="31" spans="1:28" x14ac:dyDescent="0.25">
      <c r="A31" s="258" t="s">
        <v>6560</v>
      </c>
      <c r="B31" s="258" t="s">
        <v>6564</v>
      </c>
      <c r="C31" s="196">
        <f>Taillevaisseau-IF(OR(Affreteur="Ours",Affreteur="Dragon"),1,0)</f>
        <v>0</v>
      </c>
      <c r="D31" s="5" t="s">
        <v>1284</v>
      </c>
      <c r="E31" s="12" t="s">
        <v>6549</v>
      </c>
      <c r="F31" s="12" t="s">
        <v>6549</v>
      </c>
      <c r="G31" s="12" t="s">
        <v>6549</v>
      </c>
      <c r="H31" s="163" t="s">
        <v>6704</v>
      </c>
    </row>
    <row r="32" spans="1:28" s="196" customFormat="1" x14ac:dyDescent="0.25">
      <c r="A32" s="258" t="s">
        <v>6560</v>
      </c>
      <c r="B32" s="258" t="s">
        <v>6571</v>
      </c>
      <c r="C32" s="196">
        <f>IF(OR(Affreteur="Guêpe",Affreteur="Mante"),2,4)</f>
        <v>4</v>
      </c>
      <c r="D32" s="5" t="s">
        <v>6582</v>
      </c>
      <c r="E32" s="12" t="s">
        <v>6549</v>
      </c>
      <c r="F32" s="12" t="s">
        <v>6549</v>
      </c>
      <c r="G32" s="12" t="s">
        <v>6549</v>
      </c>
      <c r="H32" s="163" t="s">
        <v>6631</v>
      </c>
      <c r="I32" s="294"/>
      <c r="J32" s="294"/>
    </row>
    <row r="33" spans="1:10" x14ac:dyDescent="0.25">
      <c r="A33" s="258" t="s">
        <v>6560</v>
      </c>
      <c r="B33" s="258" t="s">
        <v>6632</v>
      </c>
      <c r="C33" s="196">
        <f>IF(OR(Affreteur="Imperial",Affreteur="Grue"),1,2)</f>
        <v>2</v>
      </c>
      <c r="D33" s="5" t="s">
        <v>6735</v>
      </c>
      <c r="E33" s="12" t="s">
        <v>6549</v>
      </c>
      <c r="F33" s="12" t="s">
        <v>6549</v>
      </c>
      <c r="G33" s="12" t="s">
        <v>6549</v>
      </c>
      <c r="H33" s="163" t="s">
        <v>6712</v>
      </c>
    </row>
    <row r="34" spans="1:10" x14ac:dyDescent="0.25">
      <c r="A34" s="258" t="s">
        <v>6560</v>
      </c>
      <c r="B34" s="258" t="s">
        <v>9125</v>
      </c>
      <c r="C34" s="196">
        <v>1</v>
      </c>
      <c r="D34" s="5" t="s">
        <v>6543</v>
      </c>
      <c r="E34" s="12" t="s">
        <v>6549</v>
      </c>
      <c r="F34" s="12" t="s">
        <v>6549</v>
      </c>
      <c r="G34" s="12" t="s">
        <v>6549</v>
      </c>
    </row>
    <row r="35" spans="1:10" x14ac:dyDescent="0.25">
      <c r="A35" s="258" t="s">
        <v>6560</v>
      </c>
      <c r="B35" s="258" t="s">
        <v>6660</v>
      </c>
      <c r="C35">
        <f>IF(OR(Affreteur="Lion",Affreteur="Crabe"),1,2)</f>
        <v>2</v>
      </c>
      <c r="D35" s="5" t="s">
        <v>1284</v>
      </c>
      <c r="E35" s="12" t="s">
        <v>6549</v>
      </c>
      <c r="F35" s="12" t="s">
        <v>6549</v>
      </c>
      <c r="G35" s="12" t="s">
        <v>6549</v>
      </c>
      <c r="H35" s="163" t="s">
        <v>6710</v>
      </c>
    </row>
    <row r="36" spans="1:10" x14ac:dyDescent="0.25">
      <c r="A36" s="258" t="s">
        <v>6560</v>
      </c>
      <c r="B36" s="258" t="s">
        <v>6634</v>
      </c>
      <c r="C36">
        <f>IF(OR(Affreteur="Imperial",Affreteur="Guêpe",Affreteur="Loup"),1,2)</f>
        <v>2</v>
      </c>
      <c r="D36" s="5" t="s">
        <v>6736</v>
      </c>
      <c r="E36" s="12" t="s">
        <v>6549</v>
      </c>
      <c r="F36" s="12" t="s">
        <v>6549</v>
      </c>
      <c r="G36" s="12" t="s">
        <v>6549</v>
      </c>
      <c r="H36" s="163" t="str">
        <f>CONCATENATE("Chambre permettant de transporter en stase complète un stock de nourriture équivalent en taille à ",Taillevaisseau," passagers gravement bléssés, animaux féroces de taille humaine ou criminel dangereux")</f>
        <v>Chambre permettant de transporter en stase complète un stock de nourriture équivalent en taille à  passagers gravement bléssés, animaux féroces de taille humaine ou criminel dangereux</v>
      </c>
    </row>
    <row r="37" spans="1:10" s="196" customFormat="1" x14ac:dyDescent="0.25">
      <c r="A37" s="258" t="s">
        <v>6560</v>
      </c>
      <c r="B37" s="258" t="s">
        <v>6572</v>
      </c>
      <c r="C37" s="196">
        <f>IF(OR(Affreteur="Confrérie",Affreteur="Mille-pattes"),1,2)</f>
        <v>2</v>
      </c>
      <c r="D37" s="5" t="s">
        <v>1284</v>
      </c>
      <c r="E37" s="12" t="s">
        <v>6549</v>
      </c>
      <c r="F37" s="12" t="s">
        <v>6549</v>
      </c>
      <c r="G37" s="12" t="s">
        <v>6549</v>
      </c>
      <c r="H37" s="163" t="s">
        <v>6659</v>
      </c>
      <c r="I37" s="294"/>
      <c r="J37" s="294"/>
    </row>
    <row r="38" spans="1:10" x14ac:dyDescent="0.25">
      <c r="A38" s="258" t="s">
        <v>6560</v>
      </c>
      <c r="B38" s="258" t="s">
        <v>6574</v>
      </c>
      <c r="C38">
        <f>IF(OR(Affreteur="Anguille",Affreteur="Mite"),1,2)</f>
        <v>2</v>
      </c>
      <c r="D38" s="5" t="s">
        <v>6584</v>
      </c>
      <c r="E38" s="12" t="s">
        <v>6549</v>
      </c>
      <c r="F38" s="12" t="s">
        <v>6549</v>
      </c>
      <c r="G38" s="12" t="s">
        <v>6549</v>
      </c>
      <c r="H38" s="163" t="s">
        <v>6585</v>
      </c>
    </row>
    <row r="39" spans="1:10" x14ac:dyDescent="0.25">
      <c r="A39" s="258" t="s">
        <v>6560</v>
      </c>
      <c r="B39" s="258" t="s">
        <v>6568</v>
      </c>
      <c r="C39">
        <f>IF(OR(Affreteur="Imperial",Affreteur="Grue"),1,2)</f>
        <v>2</v>
      </c>
      <c r="D39" s="5" t="s">
        <v>6734</v>
      </c>
      <c r="E39" s="12" t="s">
        <v>6549</v>
      </c>
      <c r="F39" s="12" t="s">
        <v>6549</v>
      </c>
      <c r="G39" s="12" t="s">
        <v>6549</v>
      </c>
      <c r="H39" s="163" t="s">
        <v>6706</v>
      </c>
    </row>
    <row r="40" spans="1:10" x14ac:dyDescent="0.25">
      <c r="A40" s="258" t="s">
        <v>6560</v>
      </c>
      <c r="B40" s="258" t="s">
        <v>6642</v>
      </c>
      <c r="C40">
        <f>IF(Affreteur="Araignée",2,4)</f>
        <v>4</v>
      </c>
      <c r="D40" s="5" t="s">
        <v>6583</v>
      </c>
      <c r="E40" s="12" t="s">
        <v>6549</v>
      </c>
      <c r="F40" s="12" t="s">
        <v>6549</v>
      </c>
      <c r="G40" s="12" t="s">
        <v>6549</v>
      </c>
      <c r="H40" s="163" t="s">
        <v>6708</v>
      </c>
    </row>
    <row r="41" spans="1:10" x14ac:dyDescent="0.25">
      <c r="A41" s="258" t="s">
        <v>6560</v>
      </c>
      <c r="B41" s="258" t="s">
        <v>6635</v>
      </c>
      <c r="C41" s="196">
        <f>IF(Affreteur="Scorpion",1,2)</f>
        <v>2</v>
      </c>
      <c r="D41" s="5" t="s">
        <v>1284</v>
      </c>
      <c r="E41" s="12" t="s">
        <v>6549</v>
      </c>
      <c r="F41" s="12" t="s">
        <v>6549</v>
      </c>
      <c r="G41" s="12" t="s">
        <v>6549</v>
      </c>
      <c r="H41" s="163" t="s">
        <v>6636</v>
      </c>
    </row>
    <row r="42" spans="1:10" x14ac:dyDescent="0.25">
      <c r="A42" s="258" t="s">
        <v>6560</v>
      </c>
      <c r="B42" s="258" t="s">
        <v>6578</v>
      </c>
      <c r="C42">
        <f>IF(OR(Affreteur="Dragon",Affreteur="Phénix"),1,2)</f>
        <v>2</v>
      </c>
      <c r="D42" s="5" t="s">
        <v>6738</v>
      </c>
      <c r="E42" s="12" t="s">
        <v>6549</v>
      </c>
      <c r="F42" s="12" t="s">
        <v>6549</v>
      </c>
      <c r="G42" s="12" t="s">
        <v>6549</v>
      </c>
      <c r="H42" s="163" t="s">
        <v>6747</v>
      </c>
    </row>
    <row r="43" spans="1:10" s="196" customFormat="1" x14ac:dyDescent="0.25">
      <c r="A43" s="258" t="s">
        <v>6560</v>
      </c>
      <c r="B43" s="258" t="s">
        <v>6569</v>
      </c>
      <c r="C43" s="196">
        <f>ROUNDUP(Taillevaisseau,0)</f>
        <v>0</v>
      </c>
      <c r="D43" s="5" t="s">
        <v>1284</v>
      </c>
      <c r="E43" s="12" t="s">
        <v>6549</v>
      </c>
      <c r="F43" s="12" t="s">
        <v>6549</v>
      </c>
      <c r="G43" s="12" t="s">
        <v>6549</v>
      </c>
      <c r="H43" s="163" t="s">
        <v>6727</v>
      </c>
      <c r="I43" s="294"/>
      <c r="J43" s="294"/>
    </row>
    <row r="44" spans="1:10" x14ac:dyDescent="0.25">
      <c r="A44" s="258" t="s">
        <v>6560</v>
      </c>
      <c r="B44" s="258" t="s">
        <v>6573</v>
      </c>
      <c r="C44">
        <f>Taillevaisseau</f>
        <v>0</v>
      </c>
      <c r="D44" s="5" t="s">
        <v>1284</v>
      </c>
      <c r="E44" s="12" t="s">
        <v>6549</v>
      </c>
      <c r="F44" s="12" t="s">
        <v>6549</v>
      </c>
      <c r="G44" s="12" t="s">
        <v>6549</v>
      </c>
      <c r="H44" s="163" t="s">
        <v>6707</v>
      </c>
    </row>
    <row r="45" spans="1:10" x14ac:dyDescent="0.25">
      <c r="A45" s="258" t="s">
        <v>6560</v>
      </c>
      <c r="B45" s="258" t="s">
        <v>6575</v>
      </c>
      <c r="C45">
        <f>IF(Affreteur="Licorne",1,2)</f>
        <v>2</v>
      </c>
      <c r="D45" s="5" t="s">
        <v>6543</v>
      </c>
      <c r="E45" s="12" t="s">
        <v>6549</v>
      </c>
      <c r="F45" s="12" t="s">
        <v>6549</v>
      </c>
      <c r="G45" s="12" t="s">
        <v>6549</v>
      </c>
      <c r="H45" s="163" t="s">
        <v>6692</v>
      </c>
    </row>
    <row r="46" spans="1:10" x14ac:dyDescent="0.25">
      <c r="A46" s="258" t="s">
        <v>6560</v>
      </c>
      <c r="B46" s="258" t="s">
        <v>6714</v>
      </c>
      <c r="C46" s="196">
        <f>IF(Affreteur="Phénix",1,2)</f>
        <v>2</v>
      </c>
      <c r="D46" s="5" t="s">
        <v>6584</v>
      </c>
      <c r="E46" s="12" t="s">
        <v>6549</v>
      </c>
      <c r="F46" s="12" t="s">
        <v>6549</v>
      </c>
      <c r="G46" s="12" t="s">
        <v>6549</v>
      </c>
      <c r="H46" s="163" t="s">
        <v>6713</v>
      </c>
    </row>
    <row r="47" spans="1:10" x14ac:dyDescent="0.25">
      <c r="A47" s="258" t="s">
        <v>6560</v>
      </c>
      <c r="B47" s="258" t="s">
        <v>6709</v>
      </c>
      <c r="C47" s="196">
        <f>IF(Affreteur="Araignée",1,2)</f>
        <v>2</v>
      </c>
      <c r="D47" s="5" t="s">
        <v>1284</v>
      </c>
      <c r="E47" s="12" t="s">
        <v>6549</v>
      </c>
      <c r="F47" s="12" t="s">
        <v>6549</v>
      </c>
      <c r="G47" s="12" t="s">
        <v>6549</v>
      </c>
      <c r="H47" s="163" t="s">
        <v>6711</v>
      </c>
    </row>
    <row r="48" spans="1:10" s="196" customFormat="1" x14ac:dyDescent="0.25">
      <c r="A48" s="258" t="s">
        <v>6560</v>
      </c>
      <c r="B48" s="258" t="s">
        <v>6661</v>
      </c>
      <c r="C48" s="196">
        <f>IF(OR(Affreteur="Guêpe",Affreteur="Lion"),1,2)</f>
        <v>2</v>
      </c>
      <c r="D48" s="5" t="s">
        <v>1284</v>
      </c>
      <c r="E48" s="12" t="s">
        <v>6549</v>
      </c>
      <c r="F48" s="12" t="s">
        <v>6549</v>
      </c>
      <c r="G48" s="12" t="s">
        <v>6549</v>
      </c>
      <c r="H48" s="163" t="s">
        <v>6715</v>
      </c>
      <c r="I48" s="294"/>
      <c r="J48" s="294"/>
    </row>
    <row r="49" spans="1:10" s="196" customFormat="1" x14ac:dyDescent="0.25">
      <c r="A49" s="258" t="s">
        <v>6560</v>
      </c>
      <c r="B49" s="258" t="s">
        <v>6662</v>
      </c>
      <c r="C49" s="196">
        <f>IF(OR(Affreteur="Lion",Affreteur="Crabe"),1,2)</f>
        <v>2</v>
      </c>
      <c r="D49" s="5" t="s">
        <v>6733</v>
      </c>
      <c r="E49" s="12" t="s">
        <v>6549</v>
      </c>
      <c r="F49" s="12" t="s">
        <v>6549</v>
      </c>
      <c r="G49" s="12" t="s">
        <v>6549</v>
      </c>
      <c r="H49" s="163" t="s">
        <v>6653</v>
      </c>
      <c r="I49" s="294"/>
      <c r="J49" s="294"/>
    </row>
    <row r="50" spans="1:10" x14ac:dyDescent="0.25">
      <c r="A50" s="258" t="s">
        <v>6560</v>
      </c>
      <c r="B50" s="258" t="s">
        <v>6633</v>
      </c>
      <c r="C50">
        <f>IF(Affreteur="Tortue",1,2)</f>
        <v>2</v>
      </c>
      <c r="D50" s="5" t="s">
        <v>6733</v>
      </c>
      <c r="E50" s="12" t="s">
        <v>6549</v>
      </c>
      <c r="F50" s="12" t="s">
        <v>6549</v>
      </c>
      <c r="G50" s="12" t="s">
        <v>6549</v>
      </c>
      <c r="H50" s="163" t="s">
        <v>6698</v>
      </c>
    </row>
    <row r="51" spans="1:10" x14ac:dyDescent="0.25">
      <c r="A51" s="258" t="s">
        <v>6560</v>
      </c>
      <c r="B51" s="258" t="s">
        <v>6570</v>
      </c>
      <c r="C51">
        <f>IF(OR(Affreteur="Ibis",Affreteur="Grue"),1,2)</f>
        <v>2</v>
      </c>
      <c r="D51" s="5" t="s">
        <v>6735</v>
      </c>
      <c r="E51" s="12" t="s">
        <v>6549</v>
      </c>
      <c r="F51" s="12" t="s">
        <v>6549</v>
      </c>
      <c r="G51" s="12" t="s">
        <v>6549</v>
      </c>
      <c r="H51" s="163" t="s">
        <v>6699</v>
      </c>
    </row>
    <row r="52" spans="1:10" x14ac:dyDescent="0.25">
      <c r="A52" s="258" t="s">
        <v>6560</v>
      </c>
      <c r="B52" s="258" t="s">
        <v>6577</v>
      </c>
      <c r="C52">
        <f>IF(Affreteur="Mante",1,2)</f>
        <v>2</v>
      </c>
      <c r="D52" s="5" t="s">
        <v>6737</v>
      </c>
      <c r="E52" s="12" t="s">
        <v>6549</v>
      </c>
      <c r="F52" s="12" t="s">
        <v>6549</v>
      </c>
      <c r="G52" s="12" t="s">
        <v>6549</v>
      </c>
      <c r="H52" s="163" t="s">
        <v>6695</v>
      </c>
    </row>
    <row r="53" spans="1:10" x14ac:dyDescent="0.25">
      <c r="A53" s="258" t="s">
        <v>6560</v>
      </c>
      <c r="B53" s="258" t="s">
        <v>6579</v>
      </c>
      <c r="C53">
        <f>IF(OR(Affreteur="Dragon",Affreteur="Scorpion"),1,2)</f>
        <v>2</v>
      </c>
      <c r="D53" s="5" t="s">
        <v>6739</v>
      </c>
      <c r="E53" s="12" t="s">
        <v>6549</v>
      </c>
      <c r="F53" s="12" t="s">
        <v>6549</v>
      </c>
      <c r="G53" s="12" t="s">
        <v>6549</v>
      </c>
      <c r="H53" s="163" t="s">
        <v>6697</v>
      </c>
    </row>
    <row r="54" spans="1:10" x14ac:dyDescent="0.25">
      <c r="A54" s="258" t="s">
        <v>6560</v>
      </c>
      <c r="B54" s="258" t="s">
        <v>6576</v>
      </c>
      <c r="C54">
        <f>IF(Affreteur="Loutre",1,2)</f>
        <v>2</v>
      </c>
      <c r="D54" s="5" t="s">
        <v>6736</v>
      </c>
      <c r="E54" s="12" t="s">
        <v>6549</v>
      </c>
      <c r="F54" s="12" t="s">
        <v>6549</v>
      </c>
      <c r="G54" s="12" t="s">
        <v>6549</v>
      </c>
      <c r="H54" s="163" t="s">
        <v>6746</v>
      </c>
    </row>
    <row r="55" spans="1:10" x14ac:dyDescent="0.25">
      <c r="A55" s="258" t="s">
        <v>6560</v>
      </c>
      <c r="B55" s="258" t="s">
        <v>6580</v>
      </c>
      <c r="C55">
        <f>IF(Affreteur="Lion",1,2)</f>
        <v>2</v>
      </c>
      <c r="D55" s="5" t="s">
        <v>6732</v>
      </c>
      <c r="E55" s="12" t="s">
        <v>6549</v>
      </c>
      <c r="F55" s="12" t="s">
        <v>6549</v>
      </c>
      <c r="G55" s="12" t="s">
        <v>6549</v>
      </c>
      <c r="H55" s="163" t="s">
        <v>6696</v>
      </c>
    </row>
  </sheetData>
  <sortState xmlns:xlrd2="http://schemas.microsoft.com/office/spreadsheetml/2017/richdata2" ref="A2:H55">
    <sortCondition ref="A2:A55"/>
    <sortCondition ref="B2:B55"/>
  </sortState>
  <mergeCells count="1">
    <mergeCell ref="J15:L1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67"/>
  <sheetViews>
    <sheetView workbookViewId="0">
      <pane ySplit="1" topLeftCell="A143" activePane="bottomLeft" state="frozen"/>
      <selection activeCell="L12" sqref="A1:XFD1048576"/>
      <selection pane="bottomLeft" activeCell="N156" sqref="N156"/>
    </sheetView>
  </sheetViews>
  <sheetFormatPr baseColWidth="10" defaultRowHeight="13.2" x14ac:dyDescent="0.25"/>
  <cols>
    <col min="1" max="1" width="18.33203125" customWidth="1"/>
    <col min="2" max="2" width="15.109375" style="476" customWidth="1"/>
    <col min="3" max="3" width="17.88671875" customWidth="1"/>
    <col min="4" max="4" width="18.33203125" style="526" customWidth="1"/>
    <col min="5" max="5" width="13.44140625" style="1" customWidth="1"/>
    <col min="6" max="6" width="21.5546875" style="1" customWidth="1"/>
    <col min="7" max="7" width="6" style="1" customWidth="1"/>
    <col min="8" max="8" width="8.33203125" hidden="1" customWidth="1"/>
    <col min="9" max="10" width="12.44140625" hidden="1" customWidth="1"/>
    <col min="11" max="11" width="12.44140625" style="295" hidden="1" customWidth="1"/>
    <col min="12" max="258" width="12.44140625" customWidth="1"/>
  </cols>
  <sheetData>
    <row r="1" spans="1:12" s="10" customFormat="1" x14ac:dyDescent="0.25">
      <c r="A1" s="359" t="s">
        <v>2081</v>
      </c>
      <c r="B1" s="360" t="s">
        <v>105</v>
      </c>
      <c r="C1" s="359" t="s">
        <v>186</v>
      </c>
      <c r="D1" s="226" t="s">
        <v>4400</v>
      </c>
      <c r="E1" s="360" t="s">
        <v>463</v>
      </c>
      <c r="F1" s="360" t="s">
        <v>0</v>
      </c>
      <c r="G1" s="361" t="s">
        <v>1</v>
      </c>
      <c r="H1" s="28" t="s">
        <v>5977</v>
      </c>
      <c r="I1" s="937" t="s">
        <v>9126</v>
      </c>
      <c r="J1" s="937"/>
      <c r="K1" s="937"/>
    </row>
    <row r="2" spans="1:12" x14ac:dyDescent="0.25">
      <c r="A2" s="227" t="s">
        <v>55</v>
      </c>
      <c r="B2" s="475" t="s">
        <v>53</v>
      </c>
      <c r="C2" s="227" t="str">
        <f>IF(Recto!$C$3=Familles!B2,CONCATENATE(A2),"")</f>
        <v/>
      </c>
      <c r="D2" s="362" t="s">
        <v>55</v>
      </c>
      <c r="E2" s="363" t="s">
        <v>188</v>
      </c>
      <c r="F2" s="364" t="s">
        <v>464</v>
      </c>
      <c r="G2" s="364">
        <v>75</v>
      </c>
      <c r="H2">
        <f t="shared" ref="H2:H83" si="0">IF(E2="+1 Force",1,IF(E2="+1 Agilité",2,IF(E2="+1 Intelligence",3,IF(E2="+1 Perception",4,IF(E2="+1 Constitution",5,IF(E2="+1 Vide",6,IF(E2="+1 Volonté",7,IF(E2="+1 Reflexes",8,IF(E2="+1 Intuition",9,0)))))))))</f>
        <v>0</v>
      </c>
      <c r="I2" s="196" t="str">
        <f>IF(C2="","",ROW())</f>
        <v/>
      </c>
      <c r="J2" s="196" t="str">
        <f>IFERROR(SMALL(I:I,ROW()-1),"")</f>
        <v/>
      </c>
      <c r="K2" s="295" t="str">
        <f>IFERROR(INDEX(C:C,J2),"")</f>
        <v/>
      </c>
    </row>
    <row r="3" spans="1:12" s="196" customFormat="1" x14ac:dyDescent="0.25">
      <c r="A3" s="227" t="s">
        <v>6782</v>
      </c>
      <c r="B3" s="475" t="s">
        <v>6783</v>
      </c>
      <c r="C3" s="227" t="str">
        <f>IF(Recto!$C$3=Familles!B3,CONCATENATE(A3),"")</f>
        <v/>
      </c>
      <c r="D3" s="362" t="s">
        <v>6782</v>
      </c>
      <c r="E3" s="364" t="s">
        <v>172</v>
      </c>
      <c r="F3" s="364" t="s">
        <v>6753</v>
      </c>
      <c r="G3" s="364">
        <v>91</v>
      </c>
      <c r="H3" s="196">
        <f t="shared" si="0"/>
        <v>5</v>
      </c>
      <c r="I3" s="196" t="str">
        <f t="shared" ref="I3:I66" si="1">IF(C3="","",ROW())</f>
        <v/>
      </c>
      <c r="J3" s="196" t="str">
        <f t="shared" ref="J3:J66" si="2">IFERROR(SMALL(I:I,ROW()-1),"")</f>
        <v/>
      </c>
      <c r="K3" s="295" t="str">
        <f t="shared" ref="K3:K66" si="3">IFERROR(INDEX(C:C,J3),"")</f>
        <v/>
      </c>
    </row>
    <row r="4" spans="1:12" x14ac:dyDescent="0.25">
      <c r="A4" s="227" t="s">
        <v>29</v>
      </c>
      <c r="B4" s="475" t="s">
        <v>177</v>
      </c>
      <c r="C4" s="227" t="str">
        <f>IF(Recto!$C$3=Familles!B4,CONCATENATE(A4),"")</f>
        <v/>
      </c>
      <c r="D4" s="362" t="s">
        <v>29</v>
      </c>
      <c r="E4" s="364" t="s">
        <v>9</v>
      </c>
      <c r="F4" s="364" t="s">
        <v>3</v>
      </c>
      <c r="G4" s="364">
        <v>123</v>
      </c>
      <c r="H4" s="196">
        <f t="shared" si="0"/>
        <v>4</v>
      </c>
      <c r="I4" s="196" t="str">
        <f t="shared" si="1"/>
        <v/>
      </c>
      <c r="J4" s="196" t="str">
        <f t="shared" si="2"/>
        <v/>
      </c>
      <c r="K4" s="295" t="str">
        <f t="shared" si="3"/>
        <v/>
      </c>
    </row>
    <row r="5" spans="1:12" s="196" customFormat="1" x14ac:dyDescent="0.25">
      <c r="A5" s="227" t="s">
        <v>6754</v>
      </c>
      <c r="B5" s="475" t="s">
        <v>6755</v>
      </c>
      <c r="C5" s="227" t="str">
        <f>IF(Recto!$C$3=Familles!B5,CONCATENATE(A5),"")</f>
        <v/>
      </c>
      <c r="D5" s="362" t="s">
        <v>6754</v>
      </c>
      <c r="E5" s="364" t="s">
        <v>171</v>
      </c>
      <c r="F5" s="364" t="s">
        <v>6753</v>
      </c>
      <c r="G5" s="364">
        <v>10</v>
      </c>
      <c r="H5" s="196">
        <f t="shared" si="0"/>
        <v>9</v>
      </c>
      <c r="I5" s="196" t="str">
        <f t="shared" si="1"/>
        <v/>
      </c>
      <c r="J5" s="196" t="str">
        <f t="shared" si="2"/>
        <v/>
      </c>
      <c r="K5" s="295" t="str">
        <f t="shared" si="3"/>
        <v/>
      </c>
    </row>
    <row r="6" spans="1:12" s="196" customFormat="1" x14ac:dyDescent="0.25">
      <c r="A6" s="227" t="s">
        <v>7228</v>
      </c>
      <c r="B6" s="475" t="s">
        <v>7229</v>
      </c>
      <c r="C6" s="227" t="str">
        <f>IF(Recto!$C$3=Familles!B6,CONCATENATE(A6),"")</f>
        <v/>
      </c>
      <c r="D6" s="362" t="s">
        <v>7228</v>
      </c>
      <c r="E6" s="364" t="s">
        <v>19</v>
      </c>
      <c r="F6" s="364" t="s">
        <v>7226</v>
      </c>
      <c r="G6" s="364">
        <v>65</v>
      </c>
      <c r="H6" s="196">
        <f t="shared" si="0"/>
        <v>8</v>
      </c>
      <c r="I6" s="196" t="str">
        <f t="shared" si="1"/>
        <v/>
      </c>
      <c r="J6" s="196" t="str">
        <f t="shared" si="2"/>
        <v/>
      </c>
      <c r="K6" s="295" t="str">
        <f t="shared" si="3"/>
        <v/>
      </c>
    </row>
    <row r="7" spans="1:12" x14ac:dyDescent="0.25">
      <c r="A7" s="227" t="s">
        <v>21</v>
      </c>
      <c r="B7" s="475" t="s">
        <v>20</v>
      </c>
      <c r="C7" s="227" t="str">
        <f>IF(Recto!$C$3=Familles!B7,CONCATENATE(A7),"")</f>
        <v/>
      </c>
      <c r="D7" s="362" t="s">
        <v>21</v>
      </c>
      <c r="E7" s="364" t="s">
        <v>169</v>
      </c>
      <c r="F7" s="364" t="s">
        <v>3</v>
      </c>
      <c r="G7" s="364">
        <v>116</v>
      </c>
      <c r="H7" s="196">
        <f t="shared" si="0"/>
        <v>2</v>
      </c>
      <c r="I7" s="196" t="str">
        <f t="shared" si="1"/>
        <v/>
      </c>
      <c r="J7" s="196" t="str">
        <f t="shared" si="2"/>
        <v/>
      </c>
      <c r="K7" s="295" t="str">
        <f t="shared" si="3"/>
        <v/>
      </c>
    </row>
    <row r="8" spans="1:12" s="196" customFormat="1" x14ac:dyDescent="0.25">
      <c r="A8" s="227" t="s">
        <v>6765</v>
      </c>
      <c r="B8" s="475" t="s">
        <v>6766</v>
      </c>
      <c r="C8" s="227" t="str">
        <f>IF(Recto!$C$3=Familles!B8,CONCATENATE(A8),"")</f>
        <v/>
      </c>
      <c r="D8" s="362" t="s">
        <v>6765</v>
      </c>
      <c r="E8" s="364" t="s">
        <v>9</v>
      </c>
      <c r="F8" s="364" t="s">
        <v>6753</v>
      </c>
      <c r="G8" s="364">
        <v>37</v>
      </c>
      <c r="H8" s="196">
        <f t="shared" si="0"/>
        <v>4</v>
      </c>
      <c r="I8" s="196" t="str">
        <f t="shared" si="1"/>
        <v/>
      </c>
      <c r="J8" s="196" t="str">
        <f t="shared" si="2"/>
        <v/>
      </c>
      <c r="K8" s="295" t="str">
        <f t="shared" si="3"/>
        <v/>
      </c>
    </row>
    <row r="9" spans="1:12" s="196" customFormat="1" x14ac:dyDescent="0.25">
      <c r="A9" s="227" t="s">
        <v>7224</v>
      </c>
      <c r="B9" s="475" t="s">
        <v>7225</v>
      </c>
      <c r="C9" s="227" t="str">
        <f>IF(Recto!$C$3=Familles!B9,CONCATENATE(A9),"")</f>
        <v/>
      </c>
      <c r="D9" s="362" t="s">
        <v>7224</v>
      </c>
      <c r="E9" s="364" t="s">
        <v>171</v>
      </c>
      <c r="F9" s="364" t="s">
        <v>7226</v>
      </c>
      <c r="G9" s="364">
        <v>57</v>
      </c>
      <c r="H9" s="196">
        <f t="shared" si="0"/>
        <v>9</v>
      </c>
      <c r="I9" s="196" t="str">
        <f t="shared" si="1"/>
        <v/>
      </c>
      <c r="J9" s="196" t="str">
        <f t="shared" si="2"/>
        <v/>
      </c>
      <c r="K9" s="295" t="str">
        <f t="shared" si="3"/>
        <v/>
      </c>
    </row>
    <row r="10" spans="1:12" x14ac:dyDescent="0.25">
      <c r="A10" s="227" t="s">
        <v>4398</v>
      </c>
      <c r="B10" s="475" t="s">
        <v>47</v>
      </c>
      <c r="C10" s="227" t="str">
        <f>IF(Recto!$C$3=Familles!B10,CONCATENATE(A10),"")</f>
        <v/>
      </c>
      <c r="D10" s="362" t="s">
        <v>48</v>
      </c>
      <c r="E10" s="364" t="s">
        <v>19</v>
      </c>
      <c r="F10" s="364" t="s">
        <v>2080</v>
      </c>
      <c r="G10" s="364">
        <v>124</v>
      </c>
      <c r="H10" s="196">
        <f t="shared" si="0"/>
        <v>8</v>
      </c>
      <c r="I10" s="196" t="str">
        <f t="shared" si="1"/>
        <v/>
      </c>
      <c r="J10" s="196" t="str">
        <f t="shared" si="2"/>
        <v/>
      </c>
      <c r="K10" s="295" t="str">
        <f t="shared" si="3"/>
        <v/>
      </c>
    </row>
    <row r="11" spans="1:12" x14ac:dyDescent="0.25">
      <c r="A11" s="227" t="s">
        <v>4370</v>
      </c>
      <c r="B11" s="475" t="s">
        <v>33</v>
      </c>
      <c r="C11" s="227" t="str">
        <f>IF(Recto!$C$3=Familles!B11,CONCATENATE(A11),"")</f>
        <v/>
      </c>
      <c r="D11" s="362" t="s">
        <v>34</v>
      </c>
      <c r="E11" s="364" t="s">
        <v>169</v>
      </c>
      <c r="F11" s="364" t="s">
        <v>6061</v>
      </c>
      <c r="G11" s="364">
        <v>289</v>
      </c>
      <c r="H11" s="196">
        <f t="shared" si="0"/>
        <v>2</v>
      </c>
      <c r="I11" s="196" t="str">
        <f t="shared" si="1"/>
        <v/>
      </c>
      <c r="J11" s="196" t="str">
        <f t="shared" si="2"/>
        <v/>
      </c>
      <c r="K11" s="295" t="str">
        <f t="shared" si="3"/>
        <v/>
      </c>
      <c r="L11" s="196"/>
    </row>
    <row r="12" spans="1:12" x14ac:dyDescent="0.25">
      <c r="A12" s="227" t="s">
        <v>11</v>
      </c>
      <c r="B12" s="475" t="s">
        <v>176</v>
      </c>
      <c r="C12" s="227" t="str">
        <f>IF(Recto!$C$3=Familles!B12,CONCATENATE(A12),"")</f>
        <v/>
      </c>
      <c r="D12" s="362" t="s">
        <v>11</v>
      </c>
      <c r="E12" s="364" t="s">
        <v>6</v>
      </c>
      <c r="F12" s="364" t="s">
        <v>3</v>
      </c>
      <c r="G12" s="364">
        <v>109</v>
      </c>
      <c r="H12" s="196">
        <f t="shared" si="0"/>
        <v>3</v>
      </c>
      <c r="I12" s="196" t="str">
        <f t="shared" si="1"/>
        <v/>
      </c>
      <c r="J12" s="196" t="str">
        <f t="shared" si="2"/>
        <v/>
      </c>
      <c r="K12" s="295" t="str">
        <f t="shared" si="3"/>
        <v/>
      </c>
      <c r="L12" s="196"/>
    </row>
    <row r="13" spans="1:12" x14ac:dyDescent="0.25">
      <c r="A13" s="227" t="s">
        <v>30</v>
      </c>
      <c r="B13" s="475" t="s">
        <v>177</v>
      </c>
      <c r="C13" s="227" t="str">
        <f>IF(Recto!$C$3=Familles!B13,CONCATENATE(A13),"")</f>
        <v/>
      </c>
      <c r="D13" s="362" t="s">
        <v>30</v>
      </c>
      <c r="E13" s="364" t="s">
        <v>171</v>
      </c>
      <c r="F13" s="364" t="s">
        <v>3</v>
      </c>
      <c r="G13" s="364">
        <v>123</v>
      </c>
      <c r="H13" s="196">
        <f t="shared" si="0"/>
        <v>9</v>
      </c>
      <c r="I13" s="196" t="str">
        <f t="shared" si="1"/>
        <v/>
      </c>
      <c r="J13" s="196" t="str">
        <f t="shared" si="2"/>
        <v/>
      </c>
      <c r="K13" s="295" t="str">
        <f t="shared" si="3"/>
        <v/>
      </c>
      <c r="L13" s="2"/>
    </row>
    <row r="14" spans="1:12" x14ac:dyDescent="0.25">
      <c r="A14" s="227" t="s">
        <v>4340</v>
      </c>
      <c r="B14" s="475" t="s">
        <v>176</v>
      </c>
      <c r="C14" s="227" t="str">
        <f>IF(Recto!$C$3=Familles!B14,CONCATENATE(A14),"")</f>
        <v/>
      </c>
      <c r="D14" s="362" t="s">
        <v>14</v>
      </c>
      <c r="E14" s="364" t="s">
        <v>169</v>
      </c>
      <c r="F14" s="364" t="s">
        <v>6061</v>
      </c>
      <c r="G14" s="364">
        <v>285</v>
      </c>
      <c r="H14" s="196">
        <f t="shared" si="0"/>
        <v>2</v>
      </c>
      <c r="I14" s="196" t="str">
        <f t="shared" si="1"/>
        <v/>
      </c>
      <c r="J14" s="196" t="str">
        <f t="shared" si="2"/>
        <v/>
      </c>
      <c r="K14" s="295" t="str">
        <f t="shared" si="3"/>
        <v/>
      </c>
      <c r="L14" s="2"/>
    </row>
    <row r="15" spans="1:12" x14ac:dyDescent="0.25">
      <c r="A15" s="227" t="s">
        <v>432</v>
      </c>
      <c r="B15" s="475" t="s">
        <v>53</v>
      </c>
      <c r="C15" s="227" t="str">
        <f>IF(Recto!$C$3=Familles!B15,CONCATENATE(A15),"")</f>
        <v/>
      </c>
      <c r="D15" s="362" t="s">
        <v>432</v>
      </c>
      <c r="E15" s="364" t="s">
        <v>170</v>
      </c>
      <c r="F15" s="364" t="s">
        <v>464</v>
      </c>
      <c r="G15" s="364">
        <v>73</v>
      </c>
      <c r="H15" s="196">
        <f t="shared" si="0"/>
        <v>1</v>
      </c>
      <c r="I15" s="196" t="str">
        <f t="shared" si="1"/>
        <v/>
      </c>
      <c r="J15" s="196" t="str">
        <f t="shared" si="2"/>
        <v/>
      </c>
      <c r="K15" s="295" t="str">
        <f t="shared" si="3"/>
        <v/>
      </c>
      <c r="L15" s="2"/>
    </row>
    <row r="16" spans="1:12" x14ac:dyDescent="0.25">
      <c r="A16" s="227" t="s">
        <v>4364</v>
      </c>
      <c r="B16" s="475" t="s">
        <v>177</v>
      </c>
      <c r="C16" s="227" t="str">
        <f>IF(Recto!$C$3=Familles!B16,CONCATENATE(A16),"")</f>
        <v/>
      </c>
      <c r="D16" s="362" t="s">
        <v>29</v>
      </c>
      <c r="E16" s="364" t="s">
        <v>9</v>
      </c>
      <c r="F16" s="364" t="s">
        <v>6061</v>
      </c>
      <c r="G16" s="364">
        <v>287</v>
      </c>
      <c r="H16" s="196">
        <f t="shared" si="0"/>
        <v>4</v>
      </c>
      <c r="I16" s="196" t="str">
        <f t="shared" si="1"/>
        <v/>
      </c>
      <c r="J16" s="196" t="str">
        <f t="shared" si="2"/>
        <v/>
      </c>
      <c r="K16" s="295" t="str">
        <f t="shared" si="3"/>
        <v/>
      </c>
      <c r="L16" s="2"/>
    </row>
    <row r="17" spans="1:11" x14ac:dyDescent="0.25">
      <c r="A17" s="227" t="s">
        <v>4380</v>
      </c>
      <c r="B17" s="475" t="s">
        <v>179</v>
      </c>
      <c r="C17" s="227" t="str">
        <f>IF(Recto!$C$3=Familles!B17,CONCATENATE(A17),"")</f>
        <v/>
      </c>
      <c r="D17" s="362" t="s">
        <v>40</v>
      </c>
      <c r="E17" s="364" t="s">
        <v>6</v>
      </c>
      <c r="F17" s="364" t="s">
        <v>6061</v>
      </c>
      <c r="G17" s="364">
        <v>288</v>
      </c>
      <c r="H17" s="196">
        <f t="shared" si="0"/>
        <v>3</v>
      </c>
      <c r="I17" s="196" t="str">
        <f t="shared" si="1"/>
        <v/>
      </c>
      <c r="J17" s="196" t="str">
        <f t="shared" si="2"/>
        <v/>
      </c>
      <c r="K17" s="295" t="str">
        <f t="shared" si="3"/>
        <v/>
      </c>
    </row>
    <row r="18" spans="1:11" x14ac:dyDescent="0.25">
      <c r="A18" s="365" t="s">
        <v>8102</v>
      </c>
      <c r="B18" s="475" t="s">
        <v>178</v>
      </c>
      <c r="C18" s="227" t="str">
        <f>IF(Recto!$C$3=Familles!B18,CONCATENATE(A18),"")</f>
        <v/>
      </c>
      <c r="D18" s="362" t="s">
        <v>25</v>
      </c>
      <c r="E18" s="364" t="s">
        <v>174</v>
      </c>
      <c r="F18" s="364" t="s">
        <v>6061</v>
      </c>
      <c r="G18" s="366">
        <v>287</v>
      </c>
      <c r="H18" s="196">
        <f t="shared" si="0"/>
        <v>7</v>
      </c>
      <c r="I18" s="196" t="str">
        <f t="shared" si="1"/>
        <v/>
      </c>
      <c r="J18" s="196" t="str">
        <f t="shared" si="2"/>
        <v/>
      </c>
      <c r="K18" s="295" t="str">
        <f t="shared" si="3"/>
        <v/>
      </c>
    </row>
    <row r="19" spans="1:11" x14ac:dyDescent="0.25">
      <c r="A19" s="227" t="s">
        <v>34</v>
      </c>
      <c r="B19" s="475" t="s">
        <v>33</v>
      </c>
      <c r="C19" s="227" t="str">
        <f>IF(Recto!$C$3=Familles!B19,CONCATENATE(A19),"")</f>
        <v/>
      </c>
      <c r="D19" s="362" t="s">
        <v>34</v>
      </c>
      <c r="E19" s="364" t="s">
        <v>169</v>
      </c>
      <c r="F19" s="367" t="s">
        <v>3</v>
      </c>
      <c r="G19" s="364">
        <v>126</v>
      </c>
      <c r="H19" s="196">
        <f t="shared" si="0"/>
        <v>2</v>
      </c>
      <c r="I19" s="196" t="str">
        <f t="shared" si="1"/>
        <v/>
      </c>
      <c r="J19" s="196" t="str">
        <f t="shared" si="2"/>
        <v/>
      </c>
      <c r="K19" s="295" t="str">
        <f t="shared" si="3"/>
        <v/>
      </c>
    </row>
    <row r="20" spans="1:11" x14ac:dyDescent="0.25">
      <c r="A20" s="227" t="s">
        <v>453</v>
      </c>
      <c r="B20" s="475" t="s">
        <v>397</v>
      </c>
      <c r="C20" s="227" t="str">
        <f>IF(Recto!$C$3=Familles!B20,CONCATENATE(A20),"")</f>
        <v/>
      </c>
      <c r="D20" s="362" t="s">
        <v>453</v>
      </c>
      <c r="E20" s="364" t="s">
        <v>398</v>
      </c>
      <c r="F20" s="364" t="s">
        <v>464</v>
      </c>
      <c r="G20" s="364">
        <v>245</v>
      </c>
      <c r="H20" s="196">
        <f t="shared" si="0"/>
        <v>0</v>
      </c>
      <c r="I20" s="196" t="str">
        <f t="shared" si="1"/>
        <v/>
      </c>
      <c r="J20" s="196" t="str">
        <f t="shared" si="2"/>
        <v/>
      </c>
      <c r="K20" s="295" t="str">
        <f t="shared" si="3"/>
        <v/>
      </c>
    </row>
    <row r="21" spans="1:11" s="196" customFormat="1" x14ac:dyDescent="0.25">
      <c r="A21" s="227" t="s">
        <v>7726</v>
      </c>
      <c r="B21" s="475" t="s">
        <v>7727</v>
      </c>
      <c r="C21" s="227" t="str">
        <f>IF(Recto!$C$3=Familles!B21,CONCATENATE(A21),"")</f>
        <v/>
      </c>
      <c r="D21" s="362" t="s">
        <v>7726</v>
      </c>
      <c r="E21" s="364" t="s">
        <v>174</v>
      </c>
      <c r="F21" s="364" t="s">
        <v>7226</v>
      </c>
      <c r="G21" s="364">
        <v>63</v>
      </c>
      <c r="H21" s="196">
        <f t="shared" si="0"/>
        <v>7</v>
      </c>
      <c r="I21" s="196" t="str">
        <f t="shared" si="1"/>
        <v/>
      </c>
      <c r="J21" s="196" t="str">
        <f t="shared" si="2"/>
        <v/>
      </c>
      <c r="K21" s="295" t="str">
        <f t="shared" si="3"/>
        <v/>
      </c>
    </row>
    <row r="22" spans="1:11" x14ac:dyDescent="0.25">
      <c r="A22" s="227" t="s">
        <v>433</v>
      </c>
      <c r="B22" s="475" t="s">
        <v>53</v>
      </c>
      <c r="C22" s="227" t="str">
        <f>IF(Recto!$C$3=Familles!B22,CONCATENATE(A22),"")</f>
        <v/>
      </c>
      <c r="D22" s="362" t="s">
        <v>433</v>
      </c>
      <c r="E22" s="364" t="s">
        <v>171</v>
      </c>
      <c r="F22" s="364" t="s">
        <v>464</v>
      </c>
      <c r="G22" s="364">
        <v>74</v>
      </c>
      <c r="H22" s="196">
        <f t="shared" si="0"/>
        <v>9</v>
      </c>
      <c r="I22" s="196" t="str">
        <f t="shared" si="1"/>
        <v/>
      </c>
      <c r="J22" s="196" t="str">
        <f t="shared" si="2"/>
        <v/>
      </c>
      <c r="K22" s="295" t="str">
        <f t="shared" si="3"/>
        <v/>
      </c>
    </row>
    <row r="23" spans="1:11" x14ac:dyDescent="0.25">
      <c r="A23" s="227" t="s">
        <v>447</v>
      </c>
      <c r="B23" s="475" t="s">
        <v>397</v>
      </c>
      <c r="C23" s="227" t="str">
        <f>IF(Recto!$C$3=Familles!B23,CONCATENATE(A23),"")</f>
        <v/>
      </c>
      <c r="D23" s="362" t="s">
        <v>447</v>
      </c>
      <c r="E23" s="364" t="s">
        <v>399</v>
      </c>
      <c r="F23" s="364" t="s">
        <v>464</v>
      </c>
      <c r="G23" s="364">
        <v>245</v>
      </c>
      <c r="H23" s="196">
        <f t="shared" si="0"/>
        <v>0</v>
      </c>
      <c r="I23" s="196" t="str">
        <f t="shared" si="1"/>
        <v/>
      </c>
      <c r="J23" s="196" t="str">
        <f t="shared" si="2"/>
        <v/>
      </c>
      <c r="K23" s="295" t="str">
        <f t="shared" si="3"/>
        <v/>
      </c>
    </row>
    <row r="24" spans="1:11" x14ac:dyDescent="0.25">
      <c r="A24" s="227" t="s">
        <v>183</v>
      </c>
      <c r="B24" s="475" t="s">
        <v>397</v>
      </c>
      <c r="C24" s="227" t="str">
        <f>IF(Recto!$C$3=Familles!B24,CONCATENATE(A24),"")</f>
        <v/>
      </c>
      <c r="D24" s="362" t="s">
        <v>183</v>
      </c>
      <c r="E24" s="364" t="s">
        <v>399</v>
      </c>
      <c r="F24" s="364" t="s">
        <v>464</v>
      </c>
      <c r="G24" s="364">
        <v>245</v>
      </c>
      <c r="H24" s="196">
        <f t="shared" si="0"/>
        <v>0</v>
      </c>
      <c r="I24" s="196" t="str">
        <f t="shared" si="1"/>
        <v/>
      </c>
      <c r="J24" s="196" t="str">
        <f t="shared" si="2"/>
        <v/>
      </c>
      <c r="K24" s="295" t="str">
        <f t="shared" si="3"/>
        <v/>
      </c>
    </row>
    <row r="25" spans="1:11" x14ac:dyDescent="0.25">
      <c r="A25" s="227" t="s">
        <v>448</v>
      </c>
      <c r="B25" s="475" t="s">
        <v>397</v>
      </c>
      <c r="C25" s="227" t="str">
        <f>IF(Recto!$C$3=Familles!B25,CONCATENATE(A25),"")</f>
        <v/>
      </c>
      <c r="D25" s="362" t="s">
        <v>448</v>
      </c>
      <c r="E25" s="364" t="s">
        <v>398</v>
      </c>
      <c r="F25" s="364" t="s">
        <v>464</v>
      </c>
      <c r="G25" s="364">
        <v>245</v>
      </c>
      <c r="H25" s="196">
        <f t="shared" si="0"/>
        <v>0</v>
      </c>
      <c r="I25" s="196" t="str">
        <f t="shared" si="1"/>
        <v/>
      </c>
      <c r="J25" s="196" t="str">
        <f t="shared" si="2"/>
        <v/>
      </c>
      <c r="K25" s="295" t="str">
        <f t="shared" si="3"/>
        <v/>
      </c>
    </row>
    <row r="26" spans="1:11" x14ac:dyDescent="0.25">
      <c r="A26" s="365" t="s">
        <v>4362</v>
      </c>
      <c r="B26" s="475" t="s">
        <v>178</v>
      </c>
      <c r="C26" s="227" t="str">
        <f>IF(Recto!$C$3=Familles!B26,CONCATENATE(A26),"")</f>
        <v/>
      </c>
      <c r="D26" s="362" t="s">
        <v>28</v>
      </c>
      <c r="E26" s="364" t="s">
        <v>172</v>
      </c>
      <c r="F26" s="364" t="s">
        <v>158</v>
      </c>
      <c r="G26" s="366">
        <v>35</v>
      </c>
      <c r="H26" s="196">
        <f t="shared" si="0"/>
        <v>5</v>
      </c>
      <c r="I26" s="196" t="str">
        <f t="shared" si="1"/>
        <v/>
      </c>
      <c r="J26" s="196" t="str">
        <f t="shared" si="2"/>
        <v/>
      </c>
      <c r="K26" s="295" t="str">
        <f t="shared" si="3"/>
        <v/>
      </c>
    </row>
    <row r="27" spans="1:11" x14ac:dyDescent="0.25">
      <c r="A27" s="227" t="s">
        <v>4344</v>
      </c>
      <c r="B27" s="475" t="s">
        <v>15</v>
      </c>
      <c r="C27" s="227" t="str">
        <f>IF(Recto!$C$3=Familles!B27,CONCATENATE(A27),"")</f>
        <v/>
      </c>
      <c r="D27" s="362" t="s">
        <v>18</v>
      </c>
      <c r="E27" s="364" t="s">
        <v>174</v>
      </c>
      <c r="F27" s="364" t="s">
        <v>6061</v>
      </c>
      <c r="G27" s="364">
        <v>289</v>
      </c>
      <c r="H27" s="196">
        <f t="shared" si="0"/>
        <v>7</v>
      </c>
      <c r="I27" s="196" t="str">
        <f t="shared" si="1"/>
        <v/>
      </c>
      <c r="J27" s="196" t="str">
        <f t="shared" si="2"/>
        <v/>
      </c>
      <c r="K27" s="295" t="str">
        <f t="shared" si="3"/>
        <v/>
      </c>
    </row>
    <row r="28" spans="1:11" s="196" customFormat="1" x14ac:dyDescent="0.25">
      <c r="A28" s="227" t="s">
        <v>44</v>
      </c>
      <c r="B28" s="475" t="s">
        <v>390</v>
      </c>
      <c r="C28" s="227" t="str">
        <f>IF(Recto!$C$3=Familles!B28,CONCATENATE(A28),"")</f>
        <v/>
      </c>
      <c r="D28" s="362" t="s">
        <v>44</v>
      </c>
      <c r="E28" s="364" t="s">
        <v>6</v>
      </c>
      <c r="F28" s="364" t="s">
        <v>3</v>
      </c>
      <c r="G28" s="364">
        <v>211</v>
      </c>
      <c r="H28" s="196">
        <f t="shared" si="0"/>
        <v>3</v>
      </c>
      <c r="I28" s="196" t="str">
        <f t="shared" si="1"/>
        <v/>
      </c>
      <c r="J28" s="196" t="str">
        <f t="shared" si="2"/>
        <v/>
      </c>
      <c r="K28" s="295" t="str">
        <f t="shared" si="3"/>
        <v/>
      </c>
    </row>
    <row r="29" spans="1:11" x14ac:dyDescent="0.25">
      <c r="A29" s="227" t="s">
        <v>44</v>
      </c>
      <c r="B29" s="475" t="s">
        <v>181</v>
      </c>
      <c r="C29" s="227" t="str">
        <f>IF(Recto!$C$3=Familles!B29,CONCATENATE(A29),"")</f>
        <v/>
      </c>
      <c r="D29" s="362" t="s">
        <v>44</v>
      </c>
      <c r="E29" s="364" t="s">
        <v>6</v>
      </c>
      <c r="F29" s="364" t="s">
        <v>3</v>
      </c>
      <c r="G29" s="364">
        <v>211</v>
      </c>
      <c r="H29" s="196">
        <f t="shared" si="0"/>
        <v>3</v>
      </c>
      <c r="I29" s="196" t="str">
        <f t="shared" si="1"/>
        <v/>
      </c>
      <c r="J29" s="196" t="str">
        <f t="shared" si="2"/>
        <v/>
      </c>
      <c r="K29" s="295" t="str">
        <f t="shared" si="3"/>
        <v/>
      </c>
    </row>
    <row r="30" spans="1:11" x14ac:dyDescent="0.25">
      <c r="A30" s="227" t="s">
        <v>44</v>
      </c>
      <c r="B30" s="475" t="s">
        <v>390</v>
      </c>
      <c r="C30" s="227" t="str">
        <f>IF(Recto!$C$3=Familles!B30,CONCATENATE(A30),"")</f>
        <v/>
      </c>
      <c r="D30" s="362" t="s">
        <v>44</v>
      </c>
      <c r="E30" s="364" t="s">
        <v>170</v>
      </c>
      <c r="F30" s="364" t="s">
        <v>3</v>
      </c>
      <c r="G30" s="364">
        <v>224</v>
      </c>
      <c r="H30" s="196">
        <f t="shared" si="0"/>
        <v>1</v>
      </c>
      <c r="I30" s="196" t="str">
        <f t="shared" si="1"/>
        <v/>
      </c>
      <c r="J30" s="196" t="str">
        <f t="shared" si="2"/>
        <v/>
      </c>
      <c r="K30" s="295" t="str">
        <f t="shared" si="3"/>
        <v/>
      </c>
    </row>
    <row r="31" spans="1:11" x14ac:dyDescent="0.25">
      <c r="A31" s="227" t="s">
        <v>4365</v>
      </c>
      <c r="B31" s="475" t="s">
        <v>177</v>
      </c>
      <c r="C31" s="227" t="str">
        <f>IF(Recto!$C$3=Familles!B31,CONCATENATE(A31),"")</f>
        <v/>
      </c>
      <c r="D31" s="362" t="s">
        <v>30</v>
      </c>
      <c r="E31" s="364" t="s">
        <v>171</v>
      </c>
      <c r="F31" s="364" t="s">
        <v>6061</v>
      </c>
      <c r="G31" s="364">
        <v>287</v>
      </c>
      <c r="H31" s="196">
        <f t="shared" si="0"/>
        <v>9</v>
      </c>
      <c r="I31" s="196" t="str">
        <f t="shared" si="1"/>
        <v/>
      </c>
      <c r="J31" s="196" t="str">
        <f t="shared" si="2"/>
        <v/>
      </c>
      <c r="K31" s="295" t="str">
        <f t="shared" si="3"/>
        <v/>
      </c>
    </row>
    <row r="32" spans="1:11" x14ac:dyDescent="0.25">
      <c r="A32" s="227" t="s">
        <v>54</v>
      </c>
      <c r="B32" s="475" t="s">
        <v>53</v>
      </c>
      <c r="C32" s="227" t="str">
        <f>IF(Recto!$C$3=Familles!B32,CONCATENATE(A32),"")</f>
        <v/>
      </c>
      <c r="D32" s="362" t="s">
        <v>54</v>
      </c>
      <c r="E32" s="364" t="s">
        <v>9</v>
      </c>
      <c r="F32" s="364" t="s">
        <v>464</v>
      </c>
      <c r="G32" s="364">
        <v>74</v>
      </c>
      <c r="H32" s="196">
        <f t="shared" si="0"/>
        <v>4</v>
      </c>
      <c r="I32" s="196" t="str">
        <f t="shared" si="1"/>
        <v/>
      </c>
      <c r="J32" s="196" t="str">
        <f t="shared" si="2"/>
        <v/>
      </c>
      <c r="K32" s="295" t="str">
        <f t="shared" si="3"/>
        <v/>
      </c>
    </row>
    <row r="33" spans="1:11" x14ac:dyDescent="0.25">
      <c r="A33" s="227" t="s">
        <v>434</v>
      </c>
      <c r="B33" s="475" t="s">
        <v>53</v>
      </c>
      <c r="C33" s="227" t="str">
        <f>IF(Recto!$C$3=Familles!B33,CONCATENATE(A33),"")</f>
        <v/>
      </c>
      <c r="D33" s="362" t="s">
        <v>434</v>
      </c>
      <c r="E33" s="364" t="s">
        <v>172</v>
      </c>
      <c r="F33" s="364" t="s">
        <v>464</v>
      </c>
      <c r="G33" s="364">
        <v>74</v>
      </c>
      <c r="H33" s="196">
        <f t="shared" si="0"/>
        <v>5</v>
      </c>
      <c r="I33" s="196" t="str">
        <f t="shared" si="1"/>
        <v/>
      </c>
      <c r="J33" s="196" t="str">
        <f t="shared" si="2"/>
        <v/>
      </c>
      <c r="K33" s="295" t="str">
        <f t="shared" si="3"/>
        <v/>
      </c>
    </row>
    <row r="34" spans="1:11" x14ac:dyDescent="0.25">
      <c r="A34" s="227" t="s">
        <v>435</v>
      </c>
      <c r="B34" s="475" t="s">
        <v>53</v>
      </c>
      <c r="C34" s="227" t="str">
        <f>IF(Recto!$C$3=Familles!B34,CONCATENATE(A34),"")</f>
        <v/>
      </c>
      <c r="D34" s="362" t="s">
        <v>435</v>
      </c>
      <c r="E34" s="364" t="s">
        <v>19</v>
      </c>
      <c r="F34" s="364" t="s">
        <v>464</v>
      </c>
      <c r="G34" s="364">
        <v>75</v>
      </c>
      <c r="H34" s="196">
        <f t="shared" si="0"/>
        <v>8</v>
      </c>
      <c r="I34" s="196" t="str">
        <f t="shared" si="1"/>
        <v/>
      </c>
      <c r="J34" s="196" t="str">
        <f t="shared" si="2"/>
        <v/>
      </c>
      <c r="K34" s="295" t="str">
        <f t="shared" si="3"/>
        <v/>
      </c>
    </row>
    <row r="35" spans="1:11" x14ac:dyDescent="0.25">
      <c r="A35" s="227" t="s">
        <v>12</v>
      </c>
      <c r="B35" s="475" t="s">
        <v>176</v>
      </c>
      <c r="C35" s="227" t="str">
        <f>IF(Recto!$C$3=Familles!B35,CONCATENATE(A35),"")</f>
        <v/>
      </c>
      <c r="D35" s="362" t="s">
        <v>12</v>
      </c>
      <c r="E35" s="364" t="s">
        <v>172</v>
      </c>
      <c r="F35" s="364" t="s">
        <v>3</v>
      </c>
      <c r="G35" s="364">
        <v>109</v>
      </c>
      <c r="H35" s="196">
        <f t="shared" si="0"/>
        <v>5</v>
      </c>
      <c r="I35" s="196" t="str">
        <f t="shared" si="1"/>
        <v/>
      </c>
      <c r="J35" s="196" t="str">
        <f t="shared" si="2"/>
        <v/>
      </c>
      <c r="K35" s="295" t="str">
        <f t="shared" si="3"/>
        <v/>
      </c>
    </row>
    <row r="36" spans="1:11" x14ac:dyDescent="0.25">
      <c r="A36" s="227" t="s">
        <v>45</v>
      </c>
      <c r="B36" s="475" t="s">
        <v>181</v>
      </c>
      <c r="C36" s="227" t="str">
        <f>IF(Recto!$C$3=Familles!B36,CONCATENATE(A36),"")</f>
        <v/>
      </c>
      <c r="D36" s="362" t="s">
        <v>45</v>
      </c>
      <c r="E36" s="364" t="s">
        <v>172</v>
      </c>
      <c r="F36" s="364" t="s">
        <v>3</v>
      </c>
      <c r="G36" s="364">
        <v>211</v>
      </c>
      <c r="H36" s="196">
        <f t="shared" si="0"/>
        <v>5</v>
      </c>
      <c r="I36" s="196" t="str">
        <f t="shared" si="1"/>
        <v/>
      </c>
      <c r="J36" s="196" t="str">
        <f t="shared" si="2"/>
        <v/>
      </c>
      <c r="K36" s="295" t="str">
        <f t="shared" si="3"/>
        <v/>
      </c>
    </row>
    <row r="37" spans="1:11" x14ac:dyDescent="0.25">
      <c r="A37" s="368" t="s">
        <v>5742</v>
      </c>
      <c r="B37" s="475" t="s">
        <v>20</v>
      </c>
      <c r="C37" s="227" t="str">
        <f>IF(Recto!$C$3=Familles!B37,CONCATENATE(A37),"")</f>
        <v/>
      </c>
      <c r="D37" s="369" t="s">
        <v>5743</v>
      </c>
      <c r="E37" s="364" t="s">
        <v>169</v>
      </c>
      <c r="F37" s="364"/>
      <c r="G37" s="364"/>
      <c r="H37" s="196">
        <f t="shared" si="0"/>
        <v>2</v>
      </c>
      <c r="I37" s="196" t="str">
        <f t="shared" si="1"/>
        <v/>
      </c>
      <c r="J37" s="196" t="str">
        <f t="shared" si="2"/>
        <v/>
      </c>
      <c r="K37" s="295" t="str">
        <f t="shared" si="3"/>
        <v/>
      </c>
    </row>
    <row r="38" spans="1:11" s="196" customFormat="1" x14ac:dyDescent="0.25">
      <c r="A38" s="373" t="s">
        <v>8103</v>
      </c>
      <c r="B38" s="475" t="s">
        <v>177</v>
      </c>
      <c r="C38" s="227" t="str">
        <f>IF(Recto!$C$3=Familles!B38,CONCATENATE(A38),"")</f>
        <v/>
      </c>
      <c r="D38" s="369" t="s">
        <v>32</v>
      </c>
      <c r="E38" s="364" t="s">
        <v>9</v>
      </c>
      <c r="F38" s="364" t="s">
        <v>7226</v>
      </c>
      <c r="G38" s="364">
        <v>72</v>
      </c>
      <c r="H38" s="196">
        <f t="shared" si="0"/>
        <v>4</v>
      </c>
      <c r="I38" s="196" t="str">
        <f t="shared" si="1"/>
        <v/>
      </c>
      <c r="J38" s="196" t="str">
        <f t="shared" si="2"/>
        <v/>
      </c>
      <c r="K38" s="295" t="str">
        <f t="shared" si="3"/>
        <v/>
      </c>
    </row>
    <row r="39" spans="1:11" x14ac:dyDescent="0.25">
      <c r="A39" s="227" t="s">
        <v>438</v>
      </c>
      <c r="B39" s="475" t="s">
        <v>56</v>
      </c>
      <c r="C39" s="227" t="str">
        <f>IF(Recto!$C$3=Familles!B39,CONCATENATE(A39),"")</f>
        <v/>
      </c>
      <c r="D39" s="362" t="s">
        <v>438</v>
      </c>
      <c r="E39" s="364" t="s">
        <v>169</v>
      </c>
      <c r="F39" s="364" t="s">
        <v>464</v>
      </c>
      <c r="G39" s="364">
        <v>101</v>
      </c>
      <c r="H39" s="196">
        <f t="shared" si="0"/>
        <v>2</v>
      </c>
      <c r="I39" s="196" t="str">
        <f t="shared" si="1"/>
        <v/>
      </c>
      <c r="J39" s="196" t="str">
        <f t="shared" si="2"/>
        <v/>
      </c>
      <c r="K39" s="295" t="str">
        <f t="shared" si="3"/>
        <v/>
      </c>
    </row>
    <row r="40" spans="1:11" x14ac:dyDescent="0.25">
      <c r="A40" s="227" t="s">
        <v>13</v>
      </c>
      <c r="B40" s="475" t="s">
        <v>176</v>
      </c>
      <c r="C40" s="227" t="str">
        <f>IF(Recto!$C$3=Familles!B40,CONCATENATE(A40),"")</f>
        <v/>
      </c>
      <c r="D40" s="362" t="s">
        <v>13</v>
      </c>
      <c r="E40" s="364" t="s">
        <v>171</v>
      </c>
      <c r="F40" s="364" t="s">
        <v>3</v>
      </c>
      <c r="G40" s="364">
        <v>109</v>
      </c>
      <c r="H40" s="196">
        <f t="shared" si="0"/>
        <v>9</v>
      </c>
      <c r="I40" s="196" t="str">
        <f t="shared" si="1"/>
        <v/>
      </c>
      <c r="J40" s="196" t="str">
        <f t="shared" si="2"/>
        <v/>
      </c>
      <c r="K40" s="295" t="str">
        <f t="shared" si="3"/>
        <v/>
      </c>
    </row>
    <row r="41" spans="1:11" x14ac:dyDescent="0.25">
      <c r="A41" s="227" t="s">
        <v>451</v>
      </c>
      <c r="B41" s="475" t="s">
        <v>397</v>
      </c>
      <c r="C41" s="227" t="str">
        <f>IF(Recto!$C$3=Familles!B41,CONCATENATE(A41),"")</f>
        <v/>
      </c>
      <c r="D41" s="362" t="s">
        <v>451</v>
      </c>
      <c r="E41" s="364" t="s">
        <v>399</v>
      </c>
      <c r="F41" s="364" t="s">
        <v>464</v>
      </c>
      <c r="G41" s="364">
        <v>245</v>
      </c>
      <c r="H41" s="196">
        <f t="shared" si="0"/>
        <v>0</v>
      </c>
      <c r="I41" s="196" t="str">
        <f t="shared" si="1"/>
        <v/>
      </c>
      <c r="J41" s="196" t="str">
        <f t="shared" si="2"/>
        <v/>
      </c>
      <c r="K41" s="295" t="str">
        <f t="shared" si="3"/>
        <v/>
      </c>
    </row>
    <row r="42" spans="1:11" x14ac:dyDescent="0.25">
      <c r="A42" s="227" t="s">
        <v>4393</v>
      </c>
      <c r="B42" s="475" t="s">
        <v>339</v>
      </c>
      <c r="C42" s="227" t="str">
        <f>IF(Recto!$C$3=Familles!B42,CONCATENATE(A42),"")</f>
        <v/>
      </c>
      <c r="D42" s="362" t="s">
        <v>392</v>
      </c>
      <c r="E42" s="364" t="s">
        <v>171</v>
      </c>
      <c r="F42" s="364" t="s">
        <v>2080</v>
      </c>
      <c r="G42" s="364">
        <v>91</v>
      </c>
      <c r="H42" s="196">
        <f t="shared" si="0"/>
        <v>9</v>
      </c>
      <c r="I42" s="196" t="str">
        <f t="shared" si="1"/>
        <v/>
      </c>
      <c r="J42" s="196" t="str">
        <f t="shared" si="2"/>
        <v/>
      </c>
      <c r="K42" s="295" t="str">
        <f t="shared" si="3"/>
        <v/>
      </c>
    </row>
    <row r="43" spans="1:11" x14ac:dyDescent="0.25">
      <c r="A43" s="227" t="s">
        <v>4327</v>
      </c>
      <c r="B43" s="475" t="s">
        <v>175</v>
      </c>
      <c r="C43" s="227" t="str">
        <f>IF(Recto!$C$3=Familles!B43,CONCATENATE(A43),"")</f>
        <v/>
      </c>
      <c r="D43" s="362" t="s">
        <v>4</v>
      </c>
      <c r="E43" s="364" t="s">
        <v>169</v>
      </c>
      <c r="F43" s="364" t="s">
        <v>6061</v>
      </c>
      <c r="G43" s="364">
        <v>289</v>
      </c>
      <c r="H43" s="196">
        <f t="shared" si="0"/>
        <v>2</v>
      </c>
      <c r="I43" s="196" t="str">
        <f t="shared" si="1"/>
        <v/>
      </c>
      <c r="J43" s="196" t="str">
        <f t="shared" si="2"/>
        <v/>
      </c>
      <c r="K43" s="295" t="str">
        <f t="shared" si="3"/>
        <v/>
      </c>
    </row>
    <row r="44" spans="1:11" s="196" customFormat="1" x14ac:dyDescent="0.25">
      <c r="A44" s="227" t="s">
        <v>6793</v>
      </c>
      <c r="B44" s="475" t="s">
        <v>332</v>
      </c>
      <c r="C44" s="227" t="str">
        <f>IF(Recto!$C$3=Familles!B44,CONCATENATE(A44),"")</f>
        <v/>
      </c>
      <c r="D44" s="362" t="s">
        <v>6793</v>
      </c>
      <c r="E44" s="364" t="s">
        <v>169</v>
      </c>
      <c r="F44" s="364" t="s">
        <v>6753</v>
      </c>
      <c r="G44" s="364">
        <v>118</v>
      </c>
      <c r="H44" s="196">
        <f t="shared" si="0"/>
        <v>2</v>
      </c>
      <c r="I44" s="196" t="str">
        <f t="shared" si="1"/>
        <v/>
      </c>
      <c r="J44" s="196" t="str">
        <f t="shared" si="2"/>
        <v/>
      </c>
      <c r="K44" s="295" t="str">
        <f t="shared" si="3"/>
        <v/>
      </c>
    </row>
    <row r="45" spans="1:11" x14ac:dyDescent="0.25">
      <c r="A45" s="227" t="s">
        <v>436</v>
      </c>
      <c r="B45" s="475" t="s">
        <v>56</v>
      </c>
      <c r="C45" s="227" t="str">
        <f>IF(Recto!$C$3=Familles!B45,CONCATENATE(A45),"")</f>
        <v/>
      </c>
      <c r="D45" s="362" t="s">
        <v>436</v>
      </c>
      <c r="E45" s="364" t="s">
        <v>171</v>
      </c>
      <c r="F45" s="364" t="s">
        <v>464</v>
      </c>
      <c r="G45" s="364">
        <v>101</v>
      </c>
      <c r="H45" s="196">
        <f t="shared" si="0"/>
        <v>9</v>
      </c>
      <c r="I45" s="196" t="str">
        <f t="shared" si="1"/>
        <v/>
      </c>
      <c r="J45" s="196" t="str">
        <f t="shared" si="2"/>
        <v/>
      </c>
      <c r="K45" s="295" t="str">
        <f t="shared" si="3"/>
        <v/>
      </c>
    </row>
    <row r="46" spans="1:11" x14ac:dyDescent="0.25">
      <c r="A46" s="227" t="s">
        <v>4336</v>
      </c>
      <c r="B46" s="475" t="s">
        <v>176</v>
      </c>
      <c r="C46" s="227" t="str">
        <f>IF(Recto!$C$3=Familles!B46,CONCATENATE(A46),"")</f>
        <v/>
      </c>
      <c r="D46" s="362" t="s">
        <v>12</v>
      </c>
      <c r="E46" s="364" t="s">
        <v>172</v>
      </c>
      <c r="F46" s="364" t="s">
        <v>158</v>
      </c>
      <c r="G46" s="364">
        <v>35</v>
      </c>
      <c r="H46" s="196">
        <f t="shared" si="0"/>
        <v>5</v>
      </c>
      <c r="I46" s="196" t="str">
        <f t="shared" si="1"/>
        <v/>
      </c>
      <c r="J46" s="196" t="str">
        <f t="shared" si="2"/>
        <v/>
      </c>
      <c r="K46" s="295" t="str">
        <f t="shared" si="3"/>
        <v/>
      </c>
    </row>
    <row r="47" spans="1:11" x14ac:dyDescent="0.25">
      <c r="A47" s="227" t="s">
        <v>4329</v>
      </c>
      <c r="B47" s="475" t="s">
        <v>175</v>
      </c>
      <c r="C47" s="227" t="str">
        <f>IF(Recto!$C$3=Familles!B47,CONCATENATE(A47),"")</f>
        <v/>
      </c>
      <c r="D47" s="362" t="s">
        <v>5</v>
      </c>
      <c r="E47" s="364" t="s">
        <v>6</v>
      </c>
      <c r="F47" s="364" t="s">
        <v>6061</v>
      </c>
      <c r="G47" s="364">
        <v>284</v>
      </c>
      <c r="H47" s="196">
        <f t="shared" si="0"/>
        <v>3</v>
      </c>
      <c r="I47" s="196" t="str">
        <f t="shared" si="1"/>
        <v/>
      </c>
      <c r="J47" s="196" t="str">
        <f t="shared" si="2"/>
        <v/>
      </c>
      <c r="K47" s="295" t="str">
        <f t="shared" si="3"/>
        <v/>
      </c>
    </row>
    <row r="48" spans="1:11" s="196" customFormat="1" x14ac:dyDescent="0.25">
      <c r="A48" s="227" t="s">
        <v>6771</v>
      </c>
      <c r="B48" s="475" t="s">
        <v>6772</v>
      </c>
      <c r="C48" s="227" t="str">
        <f>IF(Recto!$C$3=Familles!B48,CONCATENATE(A48),"")</f>
        <v/>
      </c>
      <c r="D48" s="362" t="s">
        <v>6771</v>
      </c>
      <c r="E48" s="364" t="s">
        <v>6</v>
      </c>
      <c r="F48" s="364" t="s">
        <v>6753</v>
      </c>
      <c r="G48" s="364">
        <v>59</v>
      </c>
      <c r="H48" s="196">
        <f t="shared" si="0"/>
        <v>3</v>
      </c>
      <c r="I48" s="196" t="str">
        <f t="shared" si="1"/>
        <v/>
      </c>
      <c r="J48" s="196" t="str">
        <f t="shared" si="2"/>
        <v/>
      </c>
      <c r="K48" s="295" t="str">
        <f t="shared" si="3"/>
        <v/>
      </c>
    </row>
    <row r="49" spans="1:11" x14ac:dyDescent="0.25">
      <c r="A49" s="227" t="s">
        <v>4387</v>
      </c>
      <c r="B49" s="475" t="s">
        <v>180</v>
      </c>
      <c r="C49" s="227" t="str">
        <f>IF(Recto!$C$3=Familles!B49,CONCATENATE(A49),"")</f>
        <v/>
      </c>
      <c r="D49" s="362" t="s">
        <v>382</v>
      </c>
      <c r="E49" s="364" t="s">
        <v>170</v>
      </c>
      <c r="F49" s="364" t="s">
        <v>2080</v>
      </c>
      <c r="G49" s="364">
        <v>21</v>
      </c>
      <c r="H49" s="196">
        <f t="shared" si="0"/>
        <v>1</v>
      </c>
      <c r="I49" s="196" t="str">
        <f t="shared" si="1"/>
        <v/>
      </c>
      <c r="J49" s="196" t="str">
        <f t="shared" si="2"/>
        <v/>
      </c>
      <c r="K49" s="295" t="str">
        <f t="shared" si="3"/>
        <v/>
      </c>
    </row>
    <row r="50" spans="1:11" x14ac:dyDescent="0.25">
      <c r="A50" s="227" t="s">
        <v>387</v>
      </c>
      <c r="B50" s="475" t="s">
        <v>185</v>
      </c>
      <c r="C50" s="227" t="str">
        <f>IF(Recto!$C$3=Familles!B50,CONCATENATE(A50),"")</f>
        <v/>
      </c>
      <c r="D50" s="362" t="s">
        <v>387</v>
      </c>
      <c r="E50" s="364" t="s">
        <v>9</v>
      </c>
      <c r="F50" s="364" t="s">
        <v>3</v>
      </c>
      <c r="G50" s="364">
        <v>221</v>
      </c>
      <c r="H50" s="196">
        <f t="shared" si="0"/>
        <v>4</v>
      </c>
      <c r="I50" s="196" t="str">
        <f t="shared" si="1"/>
        <v/>
      </c>
      <c r="J50" s="196" t="str">
        <f t="shared" si="2"/>
        <v/>
      </c>
      <c r="K50" s="295" t="str">
        <f t="shared" si="3"/>
        <v/>
      </c>
    </row>
    <row r="51" spans="1:11" x14ac:dyDescent="0.25">
      <c r="A51" s="227" t="s">
        <v>387</v>
      </c>
      <c r="B51" s="475" t="s">
        <v>185</v>
      </c>
      <c r="C51" s="227" t="str">
        <f>IF(Recto!$C$3=Familles!B51,CONCATENATE(A51),"")</f>
        <v/>
      </c>
      <c r="D51" s="362" t="s">
        <v>166</v>
      </c>
      <c r="E51" s="364" t="s">
        <v>172</v>
      </c>
      <c r="F51" s="364" t="s">
        <v>2080</v>
      </c>
      <c r="G51" s="364">
        <v>62</v>
      </c>
      <c r="H51" s="196">
        <f t="shared" si="0"/>
        <v>5</v>
      </c>
      <c r="I51" s="196" t="str">
        <f t="shared" si="1"/>
        <v/>
      </c>
      <c r="J51" s="196" t="str">
        <f t="shared" si="2"/>
        <v/>
      </c>
      <c r="K51" s="295" t="str">
        <f t="shared" si="3"/>
        <v/>
      </c>
    </row>
    <row r="52" spans="1:11" x14ac:dyDescent="0.25">
      <c r="A52" s="227" t="s">
        <v>46</v>
      </c>
      <c r="B52" s="475" t="s">
        <v>181</v>
      </c>
      <c r="C52" s="227" t="str">
        <f>IF(Recto!$C$3=Familles!B52,CONCATENATE(A52),"")</f>
        <v/>
      </c>
      <c r="D52" s="362" t="s">
        <v>46</v>
      </c>
      <c r="E52" s="364" t="s">
        <v>169</v>
      </c>
      <c r="F52" s="364" t="s">
        <v>3</v>
      </c>
      <c r="G52" s="364">
        <v>211</v>
      </c>
      <c r="H52" s="196">
        <f t="shared" si="0"/>
        <v>2</v>
      </c>
      <c r="I52" s="196" t="str">
        <f t="shared" si="1"/>
        <v/>
      </c>
      <c r="J52" s="196" t="str">
        <f t="shared" si="2"/>
        <v/>
      </c>
      <c r="K52" s="295" t="str">
        <f t="shared" si="3"/>
        <v/>
      </c>
    </row>
    <row r="53" spans="1:11" x14ac:dyDescent="0.25">
      <c r="A53" s="227" t="s">
        <v>46</v>
      </c>
      <c r="B53" s="475" t="s">
        <v>3169</v>
      </c>
      <c r="C53" s="227" t="str">
        <f>IF(Recto!$C$3=Familles!B53,CONCATENATE(A53),"")</f>
        <v/>
      </c>
      <c r="D53" s="362" t="s">
        <v>46</v>
      </c>
      <c r="E53" s="364" t="s">
        <v>1284</v>
      </c>
      <c r="F53" s="364" t="str">
        <f>Ecoles!J173</f>
        <v>Clans Majeurs</v>
      </c>
      <c r="G53" s="364">
        <f>Ecoles!K173</f>
        <v>280</v>
      </c>
      <c r="H53" s="196">
        <f t="shared" si="0"/>
        <v>0</v>
      </c>
      <c r="I53" s="196" t="str">
        <f t="shared" si="1"/>
        <v/>
      </c>
      <c r="J53" s="196" t="str">
        <f t="shared" si="2"/>
        <v/>
      </c>
      <c r="K53" s="295" t="str">
        <f t="shared" si="3"/>
        <v/>
      </c>
    </row>
    <row r="54" spans="1:11" x14ac:dyDescent="0.25">
      <c r="A54" s="365" t="s">
        <v>4359</v>
      </c>
      <c r="B54" s="475" t="s">
        <v>178</v>
      </c>
      <c r="C54" s="227" t="str">
        <f>IF(Recto!$C$3=Familles!B54,CONCATENATE(A54),"")</f>
        <v/>
      </c>
      <c r="D54" s="362" t="s">
        <v>26</v>
      </c>
      <c r="E54" s="364" t="s">
        <v>6</v>
      </c>
      <c r="F54" s="364" t="s">
        <v>6061</v>
      </c>
      <c r="G54" s="366">
        <v>289</v>
      </c>
      <c r="H54" s="196">
        <f t="shared" si="0"/>
        <v>3</v>
      </c>
      <c r="I54" s="196" t="str">
        <f t="shared" si="1"/>
        <v/>
      </c>
      <c r="J54" s="196" t="str">
        <f t="shared" si="2"/>
        <v/>
      </c>
      <c r="K54" s="295" t="str">
        <f t="shared" si="3"/>
        <v/>
      </c>
    </row>
    <row r="55" spans="1:11" x14ac:dyDescent="0.25">
      <c r="A55" s="368" t="s">
        <v>5744</v>
      </c>
      <c r="B55" s="475" t="s">
        <v>20</v>
      </c>
      <c r="C55" s="227" t="str">
        <f>IF(Recto!$C$3=Familles!B55,CONCATENATE(A55),"")</f>
        <v/>
      </c>
      <c r="D55" s="369" t="s">
        <v>5745</v>
      </c>
      <c r="E55" s="364" t="s">
        <v>170</v>
      </c>
      <c r="F55" s="364"/>
      <c r="G55" s="364"/>
      <c r="H55" s="196">
        <f t="shared" si="0"/>
        <v>1</v>
      </c>
      <c r="I55" s="196" t="str">
        <f t="shared" si="1"/>
        <v/>
      </c>
      <c r="J55" s="196" t="str">
        <f t="shared" si="2"/>
        <v/>
      </c>
      <c r="K55" s="295" t="str">
        <f t="shared" si="3"/>
        <v/>
      </c>
    </row>
    <row r="56" spans="1:11" x14ac:dyDescent="0.25">
      <c r="A56" s="227" t="s">
        <v>454</v>
      </c>
      <c r="B56" s="475" t="s">
        <v>397</v>
      </c>
      <c r="C56" s="227" t="str">
        <f>IF(Recto!$C$3=Familles!B56,CONCATENATE(A56),"")</f>
        <v/>
      </c>
      <c r="D56" s="362" t="s">
        <v>454</v>
      </c>
      <c r="E56" s="364" t="s">
        <v>398</v>
      </c>
      <c r="F56" s="364" t="s">
        <v>464</v>
      </c>
      <c r="G56" s="364">
        <v>245</v>
      </c>
      <c r="H56" s="196">
        <f t="shared" si="0"/>
        <v>0</v>
      </c>
      <c r="I56" s="196" t="str">
        <f t="shared" si="1"/>
        <v/>
      </c>
      <c r="J56" s="196" t="str">
        <f t="shared" si="2"/>
        <v/>
      </c>
      <c r="K56" s="295" t="str">
        <f t="shared" si="3"/>
        <v/>
      </c>
    </row>
    <row r="57" spans="1:11" x14ac:dyDescent="0.25">
      <c r="A57" s="227" t="s">
        <v>4386</v>
      </c>
      <c r="B57" s="475" t="s">
        <v>181</v>
      </c>
      <c r="C57" s="227" t="str">
        <f>IF(Recto!$C$3=Familles!B57,CONCATENATE(A57),"")</f>
        <v/>
      </c>
      <c r="D57" s="362" t="s">
        <v>45</v>
      </c>
      <c r="E57" s="364" t="s">
        <v>172</v>
      </c>
      <c r="F57" s="364" t="s">
        <v>158</v>
      </c>
      <c r="G57" s="364">
        <v>36</v>
      </c>
      <c r="H57" s="196">
        <f t="shared" si="0"/>
        <v>5</v>
      </c>
      <c r="I57" s="196" t="str">
        <f t="shared" si="1"/>
        <v/>
      </c>
      <c r="J57" s="196" t="str">
        <f t="shared" si="2"/>
        <v/>
      </c>
      <c r="K57" s="295" t="str">
        <f t="shared" si="3"/>
        <v/>
      </c>
    </row>
    <row r="58" spans="1:11" s="196" customFormat="1" x14ac:dyDescent="0.25">
      <c r="A58" s="227" t="s">
        <v>6794</v>
      </c>
      <c r="B58" s="475" t="s">
        <v>6795</v>
      </c>
      <c r="C58" s="227" t="str">
        <f>IF(Recto!$C$3=Familles!B58,CONCATENATE(A58),"")</f>
        <v/>
      </c>
      <c r="D58" s="362" t="s">
        <v>6794</v>
      </c>
      <c r="E58" s="364" t="s">
        <v>9</v>
      </c>
      <c r="F58" s="364" t="s">
        <v>6753</v>
      </c>
      <c r="G58" s="364">
        <v>126</v>
      </c>
      <c r="H58" s="196">
        <f t="shared" si="0"/>
        <v>4</v>
      </c>
      <c r="I58" s="196" t="str">
        <f t="shared" si="1"/>
        <v/>
      </c>
      <c r="J58" s="196" t="str">
        <f t="shared" si="2"/>
        <v/>
      </c>
      <c r="K58" s="295" t="str">
        <f t="shared" si="3"/>
        <v/>
      </c>
    </row>
    <row r="59" spans="1:11" s="196" customFormat="1" x14ac:dyDescent="0.25">
      <c r="A59" s="227" t="s">
        <v>7301</v>
      </c>
      <c r="B59" s="475" t="s">
        <v>7302</v>
      </c>
      <c r="C59" s="227" t="str">
        <f>IF(Recto!$C$3=Familles!B59,CONCATENATE(A59),"")</f>
        <v/>
      </c>
      <c r="D59" s="362" t="s">
        <v>7301</v>
      </c>
      <c r="E59" s="364" t="s">
        <v>9</v>
      </c>
      <c r="F59" s="364" t="s">
        <v>6753</v>
      </c>
      <c r="G59" s="364">
        <v>65</v>
      </c>
      <c r="H59" s="196">
        <f t="shared" si="0"/>
        <v>4</v>
      </c>
      <c r="I59" s="196" t="str">
        <f t="shared" si="1"/>
        <v/>
      </c>
      <c r="J59" s="196" t="str">
        <f t="shared" si="2"/>
        <v/>
      </c>
      <c r="K59" s="295" t="str">
        <f t="shared" si="3"/>
        <v/>
      </c>
    </row>
    <row r="60" spans="1:11" x14ac:dyDescent="0.25">
      <c r="A60" s="227" t="s">
        <v>4396</v>
      </c>
      <c r="B60" s="475" t="s">
        <v>47</v>
      </c>
      <c r="C60" s="227" t="str">
        <f>IF(Recto!$C$3=Familles!B60,CONCATENATE(A60),"")</f>
        <v/>
      </c>
      <c r="D60" s="362" t="s">
        <v>50</v>
      </c>
      <c r="E60" s="364" t="s">
        <v>169</v>
      </c>
      <c r="F60" s="364" t="s">
        <v>2080</v>
      </c>
      <c r="G60" s="364">
        <v>115</v>
      </c>
      <c r="H60" s="196">
        <f t="shared" si="0"/>
        <v>2</v>
      </c>
      <c r="I60" s="196" t="str">
        <f t="shared" si="1"/>
        <v/>
      </c>
      <c r="J60" s="196" t="str">
        <f t="shared" si="2"/>
        <v/>
      </c>
      <c r="K60" s="295" t="str">
        <f t="shared" si="3"/>
        <v/>
      </c>
    </row>
    <row r="61" spans="1:11" x14ac:dyDescent="0.25">
      <c r="A61" s="227" t="s">
        <v>51</v>
      </c>
      <c r="B61" s="475" t="s">
        <v>47</v>
      </c>
      <c r="C61" s="227" t="str">
        <f>IF(Recto!$C$3=Familles!B61,CONCATENATE(A61),"")</f>
        <v/>
      </c>
      <c r="D61" s="362" t="s">
        <v>51</v>
      </c>
      <c r="E61" s="364" t="s">
        <v>173</v>
      </c>
      <c r="F61" s="364" t="s">
        <v>163</v>
      </c>
      <c r="G61" s="364" t="s">
        <v>164</v>
      </c>
      <c r="H61" s="196">
        <f t="shared" si="0"/>
        <v>6</v>
      </c>
      <c r="I61" s="196" t="str">
        <f t="shared" si="1"/>
        <v/>
      </c>
      <c r="J61" s="196" t="str">
        <f t="shared" si="2"/>
        <v/>
      </c>
      <c r="K61" s="295" t="str">
        <f t="shared" si="3"/>
        <v/>
      </c>
    </row>
    <row r="62" spans="1:11" s="196" customFormat="1" x14ac:dyDescent="0.25">
      <c r="A62" s="227" t="s">
        <v>51</v>
      </c>
      <c r="B62" s="475" t="s">
        <v>388</v>
      </c>
      <c r="C62" s="227" t="str">
        <f>IF(Recto!$C$3=Familles!B62,CONCATENATE(A62),"")</f>
        <v/>
      </c>
      <c r="D62" s="362" t="s">
        <v>51</v>
      </c>
      <c r="E62" s="364" t="s">
        <v>173</v>
      </c>
      <c r="F62" s="364" t="s">
        <v>7226</v>
      </c>
      <c r="G62" s="364">
        <v>51</v>
      </c>
      <c r="H62" s="196">
        <f t="shared" si="0"/>
        <v>6</v>
      </c>
      <c r="I62" s="196" t="str">
        <f t="shared" si="1"/>
        <v/>
      </c>
      <c r="J62" s="196" t="str">
        <f t="shared" si="2"/>
        <v/>
      </c>
      <c r="K62" s="295" t="str">
        <f t="shared" si="3"/>
        <v/>
      </c>
    </row>
    <row r="63" spans="1:11" s="196" customFormat="1" x14ac:dyDescent="0.25">
      <c r="A63" s="227" t="s">
        <v>8258</v>
      </c>
      <c r="B63" s="475" t="s">
        <v>8285</v>
      </c>
      <c r="C63" s="227" t="str">
        <f>IF(Recto!$C$3=Familles!B63,CONCATENATE(A63),"")</f>
        <v/>
      </c>
      <c r="D63" s="362" t="s">
        <v>8258</v>
      </c>
      <c r="E63" s="364" t="s">
        <v>172</v>
      </c>
      <c r="F63" s="364" t="s">
        <v>6753</v>
      </c>
      <c r="G63" s="364">
        <v>35</v>
      </c>
      <c r="H63" s="196">
        <f t="shared" si="0"/>
        <v>5</v>
      </c>
      <c r="I63" s="196" t="str">
        <f t="shared" si="1"/>
        <v/>
      </c>
      <c r="J63" s="196" t="str">
        <f t="shared" si="2"/>
        <v/>
      </c>
      <c r="K63" s="295" t="str">
        <f t="shared" si="3"/>
        <v/>
      </c>
    </row>
    <row r="64" spans="1:11" x14ac:dyDescent="0.25">
      <c r="A64" s="368" t="s">
        <v>5746</v>
      </c>
      <c r="B64" s="475" t="s">
        <v>61</v>
      </c>
      <c r="C64" s="227" t="str">
        <f>IF(Recto!$C$3=Familles!B64,CONCATENATE(A64),"")</f>
        <v/>
      </c>
      <c r="D64" s="369"/>
      <c r="E64" s="364" t="s">
        <v>6</v>
      </c>
      <c r="F64" s="364" t="s">
        <v>6192</v>
      </c>
      <c r="G64" s="364">
        <v>182</v>
      </c>
      <c r="H64" s="196">
        <f t="shared" si="0"/>
        <v>3</v>
      </c>
      <c r="I64" s="196" t="str">
        <f t="shared" si="1"/>
        <v/>
      </c>
      <c r="J64" s="196" t="str">
        <f t="shared" si="2"/>
        <v/>
      </c>
      <c r="K64" s="295" t="str">
        <f t="shared" si="3"/>
        <v/>
      </c>
    </row>
    <row r="65" spans="1:11" x14ac:dyDescent="0.25">
      <c r="A65" s="368" t="s">
        <v>5747</v>
      </c>
      <c r="B65" s="475" t="s">
        <v>20</v>
      </c>
      <c r="C65" s="227" t="str">
        <f>IF(Recto!$C$3=Familles!B65,CONCATENATE(A65),"")</f>
        <v/>
      </c>
      <c r="D65" s="369" t="s">
        <v>5745</v>
      </c>
      <c r="E65" s="364" t="s">
        <v>170</v>
      </c>
      <c r="F65" s="364"/>
      <c r="G65" s="364"/>
      <c r="H65" s="196">
        <f t="shared" si="0"/>
        <v>1</v>
      </c>
      <c r="I65" s="196" t="str">
        <f t="shared" si="1"/>
        <v/>
      </c>
      <c r="J65" s="196" t="str">
        <f t="shared" si="2"/>
        <v/>
      </c>
      <c r="K65" s="295" t="str">
        <f t="shared" si="3"/>
        <v/>
      </c>
    </row>
    <row r="66" spans="1:11" x14ac:dyDescent="0.25">
      <c r="A66" s="227" t="s">
        <v>383</v>
      </c>
      <c r="B66" s="475" t="s">
        <v>336</v>
      </c>
      <c r="C66" s="227" t="str">
        <f>IF(Recto!$C$3=Familles!B66,CONCATENATE(A66),"")</f>
        <v/>
      </c>
      <c r="D66" s="362" t="s">
        <v>383</v>
      </c>
      <c r="E66" s="364" t="s">
        <v>171</v>
      </c>
      <c r="F66" s="364" t="s">
        <v>3</v>
      </c>
      <c r="G66" s="364">
        <v>217</v>
      </c>
      <c r="H66" s="196">
        <f t="shared" si="0"/>
        <v>9</v>
      </c>
      <c r="I66" s="196" t="str">
        <f t="shared" si="1"/>
        <v/>
      </c>
      <c r="J66" s="196" t="str">
        <f t="shared" si="2"/>
        <v/>
      </c>
      <c r="K66" s="295" t="str">
        <f t="shared" si="3"/>
        <v/>
      </c>
    </row>
    <row r="67" spans="1:11" x14ac:dyDescent="0.25">
      <c r="A67" s="227" t="s">
        <v>4345</v>
      </c>
      <c r="B67" s="475" t="s">
        <v>15</v>
      </c>
      <c r="C67" s="227" t="str">
        <f>IF(Recto!$C$3=Familles!B67,CONCATENATE(A67),"")</f>
        <v/>
      </c>
      <c r="D67" s="362" t="s">
        <v>18</v>
      </c>
      <c r="E67" s="364" t="s">
        <v>174</v>
      </c>
      <c r="F67" s="364" t="s">
        <v>6061</v>
      </c>
      <c r="G67" s="364">
        <v>289</v>
      </c>
      <c r="H67" s="196">
        <f t="shared" si="0"/>
        <v>7</v>
      </c>
      <c r="I67" s="196" t="str">
        <f t="shared" ref="I67:I130" si="4">IF(C67="","",ROW())</f>
        <v/>
      </c>
      <c r="J67" s="196" t="str">
        <f t="shared" ref="J67:J130" si="5">IFERROR(SMALL(I:I,ROW()-1),"")</f>
        <v/>
      </c>
      <c r="K67" s="295" t="str">
        <f t="shared" ref="K67:K130" si="6">IFERROR(INDEX(C:C,J67),"")</f>
        <v/>
      </c>
    </row>
    <row r="68" spans="1:11" x14ac:dyDescent="0.25">
      <c r="A68" s="227" t="s">
        <v>2</v>
      </c>
      <c r="B68" s="475" t="s">
        <v>175</v>
      </c>
      <c r="C68" s="227" t="str">
        <f>IF(Recto!$C$3=Familles!B68,CONCATENATE(A68),"")</f>
        <v/>
      </c>
      <c r="D68" s="362" t="s">
        <v>2</v>
      </c>
      <c r="E68" s="364" t="s">
        <v>170</v>
      </c>
      <c r="F68" s="364" t="s">
        <v>3</v>
      </c>
      <c r="G68" s="364">
        <v>105</v>
      </c>
      <c r="H68" s="196">
        <f t="shared" si="0"/>
        <v>1</v>
      </c>
      <c r="I68" s="196" t="str">
        <f t="shared" si="4"/>
        <v/>
      </c>
      <c r="J68" s="196" t="str">
        <f t="shared" si="5"/>
        <v/>
      </c>
      <c r="K68" s="295" t="str">
        <f t="shared" si="6"/>
        <v/>
      </c>
    </row>
    <row r="69" spans="1:11" x14ac:dyDescent="0.25">
      <c r="A69" s="227" t="s">
        <v>4337</v>
      </c>
      <c r="B69" s="475" t="s">
        <v>176</v>
      </c>
      <c r="C69" s="227" t="str">
        <f>IF(Recto!$C$3=Familles!B69,CONCATENATE(A69),"")</f>
        <v/>
      </c>
      <c r="D69" s="362" t="s">
        <v>12</v>
      </c>
      <c r="E69" s="364" t="s">
        <v>172</v>
      </c>
      <c r="F69" s="364" t="s">
        <v>6061</v>
      </c>
      <c r="G69" s="364">
        <v>285</v>
      </c>
      <c r="H69" s="196">
        <f t="shared" si="0"/>
        <v>5</v>
      </c>
      <c r="I69" s="196" t="str">
        <f t="shared" si="4"/>
        <v/>
      </c>
      <c r="J69" s="196" t="str">
        <f t="shared" si="5"/>
        <v/>
      </c>
      <c r="K69" s="295" t="str">
        <f t="shared" si="6"/>
        <v/>
      </c>
    </row>
    <row r="70" spans="1:11" x14ac:dyDescent="0.25">
      <c r="A70" s="227" t="s">
        <v>4338</v>
      </c>
      <c r="B70" s="475" t="s">
        <v>176</v>
      </c>
      <c r="C70" s="227" t="str">
        <f>IF(Recto!$C$3=Familles!B70,CONCATENATE(A70),"")</f>
        <v/>
      </c>
      <c r="D70" s="362" t="s">
        <v>12</v>
      </c>
      <c r="E70" s="364" t="s">
        <v>172</v>
      </c>
      <c r="F70" s="364" t="s">
        <v>6061</v>
      </c>
      <c r="G70" s="364">
        <v>285</v>
      </c>
      <c r="H70" s="196">
        <f t="shared" si="0"/>
        <v>5</v>
      </c>
      <c r="I70" s="196" t="str">
        <f t="shared" si="4"/>
        <v/>
      </c>
      <c r="J70" s="196" t="str">
        <f t="shared" si="5"/>
        <v/>
      </c>
      <c r="K70" s="295" t="str">
        <f t="shared" si="6"/>
        <v/>
      </c>
    </row>
    <row r="71" spans="1:11" s="196" customFormat="1" x14ac:dyDescent="0.25">
      <c r="A71" s="227" t="s">
        <v>8288</v>
      </c>
      <c r="B71" s="475" t="s">
        <v>175</v>
      </c>
      <c r="C71" s="227" t="str">
        <f>IF(Recto!$C$3=Familles!B71,CONCATENATE(A71),"")</f>
        <v/>
      </c>
      <c r="D71" s="362" t="s">
        <v>2</v>
      </c>
      <c r="E71" s="364" t="s">
        <v>174</v>
      </c>
      <c r="F71" s="364" t="s">
        <v>6753</v>
      </c>
      <c r="G71" s="364">
        <v>50</v>
      </c>
      <c r="I71" s="196" t="str">
        <f t="shared" si="4"/>
        <v/>
      </c>
      <c r="J71" s="196" t="str">
        <f t="shared" si="5"/>
        <v/>
      </c>
      <c r="K71" s="295" t="str">
        <f t="shared" si="6"/>
        <v/>
      </c>
    </row>
    <row r="72" spans="1:11" s="196" customFormat="1" x14ac:dyDescent="0.25">
      <c r="A72" s="227" t="s">
        <v>8288</v>
      </c>
      <c r="B72" s="475" t="s">
        <v>8259</v>
      </c>
      <c r="C72" s="227" t="str">
        <f>IF(Recto!$C$3=Familles!B72,CONCATENATE(A72),"")</f>
        <v/>
      </c>
      <c r="D72" s="362" t="s">
        <v>8288</v>
      </c>
      <c r="E72" s="364" t="s">
        <v>174</v>
      </c>
      <c r="F72" s="364" t="s">
        <v>6753</v>
      </c>
      <c r="G72" s="364">
        <v>50</v>
      </c>
      <c r="I72" s="196" t="str">
        <f t="shared" si="4"/>
        <v/>
      </c>
      <c r="J72" s="196" t="str">
        <f t="shared" si="5"/>
        <v/>
      </c>
      <c r="K72" s="295" t="str">
        <f t="shared" si="6"/>
        <v/>
      </c>
    </row>
    <row r="73" spans="1:11" x14ac:dyDescent="0.25">
      <c r="A73" s="227" t="s">
        <v>4</v>
      </c>
      <c r="B73" s="475" t="s">
        <v>175</v>
      </c>
      <c r="C73" s="227" t="str">
        <f>IF(Recto!$C$3=Familles!B73,CONCATENATE(A73),"")</f>
        <v/>
      </c>
      <c r="D73" s="362" t="s">
        <v>4</v>
      </c>
      <c r="E73" s="364" t="s">
        <v>169</v>
      </c>
      <c r="F73" s="364" t="s">
        <v>3</v>
      </c>
      <c r="G73" s="364">
        <v>105</v>
      </c>
      <c r="H73" s="196">
        <f t="shared" si="0"/>
        <v>2</v>
      </c>
      <c r="I73" s="196" t="str">
        <f t="shared" si="4"/>
        <v/>
      </c>
      <c r="J73" s="196" t="str">
        <f t="shared" si="5"/>
        <v/>
      </c>
      <c r="K73" s="295" t="str">
        <f t="shared" si="6"/>
        <v/>
      </c>
    </row>
    <row r="74" spans="1:11" s="196" customFormat="1" x14ac:dyDescent="0.25">
      <c r="A74" s="227" t="s">
        <v>6800</v>
      </c>
      <c r="B74" s="475" t="s">
        <v>6801</v>
      </c>
      <c r="C74" s="227" t="str">
        <f>IF(Recto!$C$3=Familles!B74,CONCATENATE(A74),"")</f>
        <v/>
      </c>
      <c r="D74" s="362" t="s">
        <v>6800</v>
      </c>
      <c r="E74" s="364" t="s">
        <v>6</v>
      </c>
      <c r="F74" s="364" t="s">
        <v>6753</v>
      </c>
      <c r="G74" s="364">
        <v>129</v>
      </c>
      <c r="H74" s="196">
        <f t="shared" si="0"/>
        <v>3</v>
      </c>
      <c r="I74" s="196" t="str">
        <f t="shared" si="4"/>
        <v/>
      </c>
      <c r="J74" s="196" t="str">
        <f t="shared" si="5"/>
        <v/>
      </c>
      <c r="K74" s="295" t="str">
        <f t="shared" si="6"/>
        <v/>
      </c>
    </row>
    <row r="75" spans="1:11" x14ac:dyDescent="0.25">
      <c r="A75" s="365" t="s">
        <v>152</v>
      </c>
      <c r="B75" s="475" t="s">
        <v>15</v>
      </c>
      <c r="C75" s="227" t="str">
        <f>IF(Recto!$C$3=Familles!B75,CONCATENATE(A75),"")</f>
        <v/>
      </c>
      <c r="D75" s="362" t="s">
        <v>152</v>
      </c>
      <c r="E75" s="364" t="s">
        <v>170</v>
      </c>
      <c r="F75" s="367" t="s">
        <v>150</v>
      </c>
      <c r="G75" s="366">
        <v>214</v>
      </c>
      <c r="H75" s="196">
        <f t="shared" si="0"/>
        <v>1</v>
      </c>
      <c r="I75" s="196" t="str">
        <f t="shared" si="4"/>
        <v/>
      </c>
      <c r="J75" s="196" t="str">
        <f t="shared" si="5"/>
        <v/>
      </c>
      <c r="K75" s="295" t="str">
        <f t="shared" si="6"/>
        <v/>
      </c>
    </row>
    <row r="76" spans="1:11" x14ac:dyDescent="0.25">
      <c r="A76" s="365" t="s">
        <v>4363</v>
      </c>
      <c r="B76" s="475" t="s">
        <v>178</v>
      </c>
      <c r="C76" s="227" t="str">
        <f>IF(Recto!$C$3=Familles!B76,CONCATENATE(A76),"")</f>
        <v/>
      </c>
      <c r="D76" s="362" t="s">
        <v>28</v>
      </c>
      <c r="E76" s="364" t="s">
        <v>172</v>
      </c>
      <c r="F76" s="364" t="s">
        <v>6061</v>
      </c>
      <c r="G76" s="366">
        <v>289</v>
      </c>
      <c r="H76" s="196">
        <f t="shared" si="0"/>
        <v>5</v>
      </c>
      <c r="I76" s="196" t="str">
        <f t="shared" si="4"/>
        <v/>
      </c>
      <c r="J76" s="196" t="str">
        <f t="shared" si="5"/>
        <v/>
      </c>
      <c r="K76" s="295" t="str">
        <f t="shared" si="6"/>
        <v/>
      </c>
    </row>
    <row r="77" spans="1:11" x14ac:dyDescent="0.25">
      <c r="A77" s="368" t="s">
        <v>5749</v>
      </c>
      <c r="B77" s="475" t="s">
        <v>178</v>
      </c>
      <c r="C77" s="227" t="str">
        <f>IF(Recto!$C$3=Familles!B77,CONCATENATE(A77),"")</f>
        <v/>
      </c>
      <c r="D77" s="369" t="s">
        <v>5750</v>
      </c>
      <c r="E77" s="364" t="s">
        <v>172</v>
      </c>
      <c r="F77" s="364"/>
      <c r="G77" s="364"/>
      <c r="H77" s="196">
        <f t="shared" si="0"/>
        <v>5</v>
      </c>
      <c r="I77" s="196" t="str">
        <f t="shared" si="4"/>
        <v/>
      </c>
      <c r="J77" s="196" t="str">
        <f t="shared" si="5"/>
        <v/>
      </c>
      <c r="K77" s="295" t="str">
        <f t="shared" si="6"/>
        <v/>
      </c>
    </row>
    <row r="78" spans="1:11" s="196" customFormat="1" x14ac:dyDescent="0.25">
      <c r="A78" s="373" t="s">
        <v>6761</v>
      </c>
      <c r="B78" s="475" t="s">
        <v>6762</v>
      </c>
      <c r="C78" s="227" t="str">
        <f>IF(Recto!$C$3=Familles!B78,CONCATENATE(A78),"")</f>
        <v/>
      </c>
      <c r="D78" s="369" t="s">
        <v>6761</v>
      </c>
      <c r="E78" s="364" t="s">
        <v>169</v>
      </c>
      <c r="F78" s="364" t="s">
        <v>6753</v>
      </c>
      <c r="G78" s="364">
        <v>30</v>
      </c>
      <c r="H78" s="196">
        <f t="shared" si="0"/>
        <v>2</v>
      </c>
      <c r="I78" s="196" t="str">
        <f t="shared" si="4"/>
        <v/>
      </c>
      <c r="J78" s="196" t="str">
        <f t="shared" si="5"/>
        <v/>
      </c>
      <c r="K78" s="295" t="str">
        <f t="shared" si="6"/>
        <v/>
      </c>
    </row>
    <row r="79" spans="1:11" x14ac:dyDescent="0.25">
      <c r="A79" s="227" t="s">
        <v>38</v>
      </c>
      <c r="B79" s="475" t="s">
        <v>179</v>
      </c>
      <c r="C79" s="227" t="str">
        <f>IF(Recto!$C$3=Familles!B79,CONCATENATE(A79),"")</f>
        <v/>
      </c>
      <c r="D79" s="362" t="s">
        <v>38</v>
      </c>
      <c r="E79" s="364" t="s">
        <v>174</v>
      </c>
      <c r="F79" s="364" t="s">
        <v>3</v>
      </c>
      <c r="G79" s="364">
        <v>129</v>
      </c>
      <c r="H79" s="196">
        <f t="shared" si="0"/>
        <v>7</v>
      </c>
      <c r="I79" s="196" t="str">
        <f t="shared" si="4"/>
        <v/>
      </c>
      <c r="J79" s="196" t="str">
        <f t="shared" si="5"/>
        <v/>
      </c>
      <c r="K79" s="295" t="str">
        <f t="shared" si="6"/>
        <v/>
      </c>
    </row>
    <row r="80" spans="1:11" x14ac:dyDescent="0.25">
      <c r="A80" s="365" t="s">
        <v>151</v>
      </c>
      <c r="B80" s="475" t="s">
        <v>15</v>
      </c>
      <c r="C80" s="227" t="str">
        <f>IF(Recto!$C$3=Familles!B80,CONCATENATE(A80),"")</f>
        <v/>
      </c>
      <c r="D80" s="362" t="s">
        <v>151</v>
      </c>
      <c r="E80" s="370" t="s">
        <v>173</v>
      </c>
      <c r="F80" s="367" t="s">
        <v>150</v>
      </c>
      <c r="G80" s="366">
        <v>214</v>
      </c>
      <c r="H80" s="196">
        <f t="shared" si="0"/>
        <v>6</v>
      </c>
      <c r="I80" s="196" t="str">
        <f t="shared" si="4"/>
        <v/>
      </c>
      <c r="J80" s="196" t="str">
        <f t="shared" si="5"/>
        <v/>
      </c>
      <c r="K80" s="295" t="str">
        <f t="shared" si="6"/>
        <v/>
      </c>
    </row>
    <row r="81" spans="1:11" x14ac:dyDescent="0.25">
      <c r="A81" s="227" t="s">
        <v>4351</v>
      </c>
      <c r="B81" s="475" t="s">
        <v>20</v>
      </c>
      <c r="C81" s="227" t="str">
        <f>IF(Recto!$C$3=Familles!B81,CONCATENATE(A81),"")</f>
        <v/>
      </c>
      <c r="D81" s="362" t="s">
        <v>22</v>
      </c>
      <c r="E81" s="364" t="s">
        <v>171</v>
      </c>
      <c r="F81" s="364" t="s">
        <v>6061</v>
      </c>
      <c r="G81" s="364">
        <v>286</v>
      </c>
      <c r="H81" s="196">
        <f t="shared" si="0"/>
        <v>9</v>
      </c>
      <c r="I81" s="196" t="str">
        <f t="shared" si="4"/>
        <v/>
      </c>
      <c r="J81" s="196" t="str">
        <f t="shared" si="5"/>
        <v/>
      </c>
      <c r="K81" s="295" t="str">
        <f t="shared" si="6"/>
        <v/>
      </c>
    </row>
    <row r="82" spans="1:11" s="196" customFormat="1" x14ac:dyDescent="0.25">
      <c r="A82" s="227" t="s">
        <v>6802</v>
      </c>
      <c r="B82" s="475" t="s">
        <v>6803</v>
      </c>
      <c r="C82" s="227" t="str">
        <f>IF(Recto!$C$3=Familles!B82,CONCATENATE(A82),"")</f>
        <v/>
      </c>
      <c r="D82" s="362" t="s">
        <v>6802</v>
      </c>
      <c r="E82" s="364" t="s">
        <v>9</v>
      </c>
      <c r="F82" s="364" t="s">
        <v>6753</v>
      </c>
      <c r="G82" s="364">
        <v>130</v>
      </c>
      <c r="H82" s="196">
        <f t="shared" si="0"/>
        <v>4</v>
      </c>
      <c r="I82" s="196" t="str">
        <f t="shared" si="4"/>
        <v/>
      </c>
      <c r="J82" s="196" t="str">
        <f t="shared" si="5"/>
        <v/>
      </c>
      <c r="K82" s="295" t="str">
        <f t="shared" si="6"/>
        <v/>
      </c>
    </row>
    <row r="83" spans="1:11" x14ac:dyDescent="0.25">
      <c r="A83" s="227" t="s">
        <v>4395</v>
      </c>
      <c r="B83" s="475" t="s">
        <v>340</v>
      </c>
      <c r="C83" s="227" t="str">
        <f>IF(Recto!$C$3=Familles!B83,CONCATENATE(A83),"")</f>
        <v/>
      </c>
      <c r="D83" s="362" t="s">
        <v>395</v>
      </c>
      <c r="E83" s="364" t="s">
        <v>9</v>
      </c>
      <c r="F83" s="364" t="s">
        <v>2080</v>
      </c>
      <c r="G83" s="364">
        <v>101</v>
      </c>
      <c r="H83" s="196">
        <f t="shared" si="0"/>
        <v>4</v>
      </c>
      <c r="I83" s="196" t="str">
        <f t="shared" si="4"/>
        <v/>
      </c>
      <c r="J83" s="196" t="str">
        <f t="shared" si="5"/>
        <v/>
      </c>
      <c r="K83" s="295" t="str">
        <f t="shared" si="6"/>
        <v/>
      </c>
    </row>
    <row r="84" spans="1:11" x14ac:dyDescent="0.25">
      <c r="A84" s="227" t="s">
        <v>4384</v>
      </c>
      <c r="B84" s="475" t="s">
        <v>179</v>
      </c>
      <c r="C84" s="227" t="str">
        <f>IF(Recto!$C$3=Familles!B84,CONCATENATE(A84),"")</f>
        <v/>
      </c>
      <c r="D84" s="362" t="s">
        <v>43</v>
      </c>
      <c r="E84" s="364" t="s">
        <v>172</v>
      </c>
      <c r="F84" s="364" t="s">
        <v>6061</v>
      </c>
      <c r="G84" s="364">
        <v>288</v>
      </c>
      <c r="H84" s="196">
        <f t="shared" ref="H84:H159" si="7">IF(E84="+1 Force",1,IF(E84="+1 Agilité",2,IF(E84="+1 Intelligence",3,IF(E84="+1 Perception",4,IF(E84="+1 Constitution",5,IF(E84="+1 Vide",6,IF(E84="+1 Volonté",7,IF(E84="+1 Reflexes",8,IF(E84="+1 Intuition",9,0)))))))))</f>
        <v>5</v>
      </c>
      <c r="I84" s="196" t="str">
        <f t="shared" si="4"/>
        <v/>
      </c>
      <c r="J84" s="196" t="str">
        <f t="shared" si="5"/>
        <v/>
      </c>
      <c r="K84" s="295" t="str">
        <f t="shared" si="6"/>
        <v/>
      </c>
    </row>
    <row r="85" spans="1:11" x14ac:dyDescent="0.25">
      <c r="A85" s="368" t="s">
        <v>5751</v>
      </c>
      <c r="B85" s="475" t="s">
        <v>20</v>
      </c>
      <c r="C85" s="227" t="str">
        <f>IF(Recto!$C$3=Familles!B85,CONCATENATE(A85),"")</f>
        <v/>
      </c>
      <c r="D85" s="369" t="s">
        <v>5743</v>
      </c>
      <c r="E85" s="364" t="s">
        <v>169</v>
      </c>
      <c r="F85" s="364"/>
      <c r="G85" s="364"/>
      <c r="H85" s="196">
        <f t="shared" si="7"/>
        <v>2</v>
      </c>
      <c r="I85" s="196" t="str">
        <f t="shared" si="4"/>
        <v/>
      </c>
      <c r="J85" s="196" t="str">
        <f t="shared" si="5"/>
        <v/>
      </c>
      <c r="K85" s="295" t="str">
        <f t="shared" si="6"/>
        <v/>
      </c>
    </row>
    <row r="86" spans="1:11" x14ac:dyDescent="0.25">
      <c r="A86" s="227" t="s">
        <v>382</v>
      </c>
      <c r="B86" s="475" t="s">
        <v>180</v>
      </c>
      <c r="C86" s="227" t="str">
        <f>IF(Recto!$C$3=Familles!B86,CONCATENATE(A86),"")</f>
        <v/>
      </c>
      <c r="D86" s="362" t="s">
        <v>382</v>
      </c>
      <c r="E86" s="364" t="s">
        <v>170</v>
      </c>
      <c r="F86" s="364" t="s">
        <v>3</v>
      </c>
      <c r="G86" s="364">
        <v>215</v>
      </c>
      <c r="H86" s="196">
        <f t="shared" si="7"/>
        <v>1</v>
      </c>
      <c r="I86" s="196" t="str">
        <f t="shared" si="4"/>
        <v/>
      </c>
      <c r="J86" s="196" t="str">
        <f t="shared" si="5"/>
        <v/>
      </c>
      <c r="K86" s="295" t="str">
        <f t="shared" si="6"/>
        <v/>
      </c>
    </row>
    <row r="87" spans="1:11" x14ac:dyDescent="0.25">
      <c r="A87" s="227" t="s">
        <v>39</v>
      </c>
      <c r="B87" s="475" t="s">
        <v>179</v>
      </c>
      <c r="C87" s="227" t="str">
        <f>IF(Recto!$C$3=Familles!B87,CONCATENATE(A87),"")</f>
        <v/>
      </c>
      <c r="D87" s="362" t="s">
        <v>39</v>
      </c>
      <c r="E87" s="364" t="s">
        <v>9</v>
      </c>
      <c r="F87" s="364" t="s">
        <v>3</v>
      </c>
      <c r="G87" s="364">
        <v>129</v>
      </c>
      <c r="H87" s="196">
        <f t="shared" si="7"/>
        <v>4</v>
      </c>
      <c r="I87" s="196" t="str">
        <f t="shared" si="4"/>
        <v/>
      </c>
      <c r="J87" s="196" t="str">
        <f t="shared" si="5"/>
        <v/>
      </c>
      <c r="K87" s="295" t="str">
        <f t="shared" si="6"/>
        <v/>
      </c>
    </row>
    <row r="88" spans="1:11" ht="12.6" customHeight="1" x14ac:dyDescent="0.25">
      <c r="A88" s="368" t="s">
        <v>5752</v>
      </c>
      <c r="B88" s="475" t="s">
        <v>177</v>
      </c>
      <c r="C88" s="227" t="str">
        <f>IF(Recto!$C$3=Familles!B88,CONCATENATE(A88),"")</f>
        <v/>
      </c>
      <c r="D88" s="369" t="s">
        <v>5753</v>
      </c>
      <c r="E88" s="364" t="s">
        <v>9</v>
      </c>
      <c r="F88" s="364"/>
      <c r="G88" s="364"/>
      <c r="H88" s="196">
        <f t="shared" si="7"/>
        <v>4</v>
      </c>
      <c r="I88" s="196" t="str">
        <f t="shared" si="4"/>
        <v/>
      </c>
      <c r="J88" s="196" t="str">
        <f t="shared" si="5"/>
        <v/>
      </c>
      <c r="K88" s="295" t="str">
        <f t="shared" si="6"/>
        <v/>
      </c>
    </row>
    <row r="89" spans="1:11" s="196" customFormat="1" x14ac:dyDescent="0.25">
      <c r="A89" s="227" t="s">
        <v>7300</v>
      </c>
      <c r="B89" s="475" t="s">
        <v>7299</v>
      </c>
      <c r="C89" s="227" t="str">
        <f>IF(Recto!$C$3=Familles!B89,CONCATENATE(A89),"")</f>
        <v/>
      </c>
      <c r="D89" s="362" t="s">
        <v>7298</v>
      </c>
      <c r="E89" s="364" t="s">
        <v>169</v>
      </c>
      <c r="F89" s="364" t="s">
        <v>6753</v>
      </c>
      <c r="G89" s="364">
        <v>74</v>
      </c>
      <c r="H89" s="196">
        <f t="shared" si="7"/>
        <v>2</v>
      </c>
      <c r="I89" s="196" t="str">
        <f t="shared" si="4"/>
        <v/>
      </c>
      <c r="J89" s="196" t="str">
        <f t="shared" si="5"/>
        <v/>
      </c>
      <c r="K89" s="295" t="str">
        <f t="shared" si="6"/>
        <v/>
      </c>
    </row>
    <row r="90" spans="1:11" x14ac:dyDescent="0.25">
      <c r="A90" s="227" t="s">
        <v>4355</v>
      </c>
      <c r="B90" s="475" t="s">
        <v>20</v>
      </c>
      <c r="C90" s="227" t="str">
        <f>IF(Recto!$C$3=Familles!B90,CONCATENATE(A90),"")</f>
        <v/>
      </c>
      <c r="D90" s="362" t="s">
        <v>24</v>
      </c>
      <c r="E90" s="364" t="s">
        <v>170</v>
      </c>
      <c r="F90" s="364" t="s">
        <v>6061</v>
      </c>
      <c r="G90" s="364">
        <v>286</v>
      </c>
      <c r="H90" s="196">
        <f t="shared" si="7"/>
        <v>1</v>
      </c>
      <c r="I90" s="196" t="str">
        <f t="shared" si="4"/>
        <v/>
      </c>
      <c r="J90" s="196" t="str">
        <f t="shared" si="5"/>
        <v/>
      </c>
      <c r="K90" s="295" t="str">
        <f t="shared" si="6"/>
        <v/>
      </c>
    </row>
    <row r="91" spans="1:11" x14ac:dyDescent="0.25">
      <c r="A91" s="227" t="s">
        <v>22</v>
      </c>
      <c r="B91" s="475" t="s">
        <v>20</v>
      </c>
      <c r="C91" s="227" t="str">
        <f>IF(Recto!$C$3=Familles!B91,CONCATENATE(A91),"")</f>
        <v/>
      </c>
      <c r="D91" s="362" t="s">
        <v>22</v>
      </c>
      <c r="E91" s="364" t="s">
        <v>171</v>
      </c>
      <c r="F91" s="364" t="s">
        <v>3</v>
      </c>
      <c r="G91" s="364">
        <v>116</v>
      </c>
      <c r="H91" s="196">
        <f t="shared" si="7"/>
        <v>9</v>
      </c>
      <c r="I91" s="196" t="str">
        <f t="shared" si="4"/>
        <v/>
      </c>
      <c r="J91" s="196" t="str">
        <f t="shared" si="5"/>
        <v/>
      </c>
      <c r="K91" s="295" t="str">
        <f t="shared" si="6"/>
        <v/>
      </c>
    </row>
    <row r="92" spans="1:11" s="196" customFormat="1" x14ac:dyDescent="0.25">
      <c r="A92" s="227" t="s">
        <v>6767</v>
      </c>
      <c r="B92" s="475" t="s">
        <v>388</v>
      </c>
      <c r="C92" s="227" t="str">
        <f>IF(Recto!$C$3=Familles!B92,CONCATENATE(A92),"")</f>
        <v/>
      </c>
      <c r="D92" s="362" t="s">
        <v>6767</v>
      </c>
      <c r="E92" s="364" t="s">
        <v>169</v>
      </c>
      <c r="F92" s="367" t="s">
        <v>7226</v>
      </c>
      <c r="G92" s="364">
        <v>49</v>
      </c>
      <c r="H92" s="196">
        <f>IF(E92="+1 Force",1,IF(E92="+1 Agilité",2,IF(E92="+1 Intelligence",3,IF(E92="+1 Perception",4,IF(E92="+1 Constitution",5,IF(E92="+1 Vide",6,IF(E92="+1 Volonté",7,IF(E92="+1 Reflexes",8,IF(E92="+1 Intuition",9,0)))))))))</f>
        <v>2</v>
      </c>
      <c r="I92" s="196" t="str">
        <f t="shared" si="4"/>
        <v/>
      </c>
      <c r="J92" s="196" t="str">
        <f t="shared" si="5"/>
        <v/>
      </c>
      <c r="K92" s="295" t="str">
        <f t="shared" si="6"/>
        <v/>
      </c>
    </row>
    <row r="93" spans="1:11" s="196" customFormat="1" x14ac:dyDescent="0.25">
      <c r="A93" s="227" t="s">
        <v>6767</v>
      </c>
      <c r="B93" s="475" t="s">
        <v>6768</v>
      </c>
      <c r="C93" s="227" t="str">
        <f>IF(Recto!$C$3=Familles!B93,CONCATENATE(A93),"")</f>
        <v/>
      </c>
      <c r="D93" s="362" t="s">
        <v>6767</v>
      </c>
      <c r="E93" s="364" t="s">
        <v>169</v>
      </c>
      <c r="F93" s="364" t="s">
        <v>6753</v>
      </c>
      <c r="G93" s="364">
        <v>45</v>
      </c>
      <c r="H93" s="196">
        <f t="shared" si="7"/>
        <v>2</v>
      </c>
      <c r="I93" s="196" t="str">
        <f t="shared" si="4"/>
        <v/>
      </c>
      <c r="J93" s="196" t="str">
        <f t="shared" si="5"/>
        <v/>
      </c>
      <c r="K93" s="295" t="str">
        <f t="shared" si="6"/>
        <v/>
      </c>
    </row>
    <row r="94" spans="1:11" x14ac:dyDescent="0.25">
      <c r="A94" s="227" t="s">
        <v>4389</v>
      </c>
      <c r="B94" s="475" t="s">
        <v>183</v>
      </c>
      <c r="C94" s="227" t="str">
        <f>IF(Recto!$C$3=Familles!B94,CONCATENATE(A94),"")</f>
        <v/>
      </c>
      <c r="D94" s="362" t="s">
        <v>4401</v>
      </c>
      <c r="E94" s="364" t="s">
        <v>6</v>
      </c>
      <c r="F94" s="364" t="s">
        <v>2080</v>
      </c>
      <c r="G94" s="364">
        <v>30</v>
      </c>
      <c r="H94" s="196">
        <f t="shared" si="7"/>
        <v>3</v>
      </c>
      <c r="I94" s="196" t="str">
        <f t="shared" si="4"/>
        <v/>
      </c>
      <c r="J94" s="196" t="str">
        <f t="shared" si="5"/>
        <v/>
      </c>
      <c r="K94" s="295" t="str">
        <f t="shared" si="6"/>
        <v/>
      </c>
    </row>
    <row r="95" spans="1:11" x14ac:dyDescent="0.25">
      <c r="A95" s="227" t="s">
        <v>31</v>
      </c>
      <c r="B95" s="475" t="s">
        <v>177</v>
      </c>
      <c r="C95" s="227" t="str">
        <f>IF(Recto!$C$3=Familles!B95,CONCATENATE(A95),"")</f>
        <v/>
      </c>
      <c r="D95" s="362" t="s">
        <v>31</v>
      </c>
      <c r="E95" s="364" t="s">
        <v>174</v>
      </c>
      <c r="F95" s="364" t="s">
        <v>3</v>
      </c>
      <c r="G95" s="364">
        <v>123</v>
      </c>
      <c r="H95" s="196">
        <f t="shared" si="7"/>
        <v>7</v>
      </c>
      <c r="I95" s="196" t="str">
        <f t="shared" si="4"/>
        <v/>
      </c>
      <c r="J95" s="196" t="str">
        <f t="shared" si="5"/>
        <v/>
      </c>
      <c r="K95" s="295" t="str">
        <f t="shared" si="6"/>
        <v/>
      </c>
    </row>
    <row r="96" spans="1:11" x14ac:dyDescent="0.25">
      <c r="A96" s="227" t="s">
        <v>4353</v>
      </c>
      <c r="B96" s="475" t="s">
        <v>20</v>
      </c>
      <c r="C96" s="227" t="str">
        <f>IF(Recto!$C$3=Familles!B96,CONCATENATE(A96),"")</f>
        <v/>
      </c>
      <c r="D96" s="362" t="s">
        <v>23</v>
      </c>
      <c r="E96" s="364" t="s">
        <v>6</v>
      </c>
      <c r="F96" s="364" t="s">
        <v>6061</v>
      </c>
      <c r="G96" s="364">
        <v>286</v>
      </c>
      <c r="H96" s="196">
        <f t="shared" si="7"/>
        <v>3</v>
      </c>
      <c r="I96" s="196" t="str">
        <f t="shared" si="4"/>
        <v/>
      </c>
      <c r="J96" s="196" t="str">
        <f t="shared" si="5"/>
        <v/>
      </c>
      <c r="K96" s="295" t="str">
        <f t="shared" si="6"/>
        <v/>
      </c>
    </row>
    <row r="97" spans="1:11" x14ac:dyDescent="0.25">
      <c r="A97" s="227" t="s">
        <v>4331</v>
      </c>
      <c r="B97" s="475" t="s">
        <v>175</v>
      </c>
      <c r="C97" s="227" t="str">
        <f>IF(Recto!$C$3=Familles!B97,CONCATENATE(A97),"")</f>
        <v/>
      </c>
      <c r="D97" s="362" t="s">
        <v>5</v>
      </c>
      <c r="E97" s="364" t="s">
        <v>6</v>
      </c>
      <c r="F97" s="364" t="s">
        <v>158</v>
      </c>
      <c r="G97" s="364">
        <v>35</v>
      </c>
      <c r="H97" s="196">
        <f t="shared" si="7"/>
        <v>3</v>
      </c>
      <c r="I97" s="196" t="str">
        <f t="shared" si="4"/>
        <v/>
      </c>
      <c r="J97" s="196" t="str">
        <f t="shared" si="5"/>
        <v/>
      </c>
      <c r="K97" s="295" t="str">
        <f t="shared" si="6"/>
        <v/>
      </c>
    </row>
    <row r="98" spans="1:11" x14ac:dyDescent="0.25">
      <c r="A98" s="227" t="s">
        <v>4348</v>
      </c>
      <c r="B98" s="475" t="s">
        <v>20</v>
      </c>
      <c r="C98" s="227" t="str">
        <f>IF(Recto!$C$3=Familles!B98,CONCATENATE(A98),"")</f>
        <v/>
      </c>
      <c r="D98" s="362" t="s">
        <v>21</v>
      </c>
      <c r="E98" s="364" t="s">
        <v>169</v>
      </c>
      <c r="F98" s="364" t="s">
        <v>158</v>
      </c>
      <c r="G98" s="364">
        <v>35</v>
      </c>
      <c r="H98" s="196">
        <f t="shared" si="7"/>
        <v>2</v>
      </c>
      <c r="I98" s="196" t="str">
        <f t="shared" si="4"/>
        <v/>
      </c>
      <c r="J98" s="196" t="str">
        <f t="shared" si="5"/>
        <v/>
      </c>
      <c r="K98" s="295" t="str">
        <f t="shared" si="6"/>
        <v/>
      </c>
    </row>
    <row r="99" spans="1:11" s="196" customFormat="1" x14ac:dyDescent="0.25">
      <c r="A99" s="227" t="s">
        <v>8289</v>
      </c>
      <c r="B99" s="475" t="s">
        <v>8290</v>
      </c>
      <c r="C99" s="227" t="str">
        <f>IF(Recto!$C$3=Familles!B99,CONCATENATE(A99),"")</f>
        <v/>
      </c>
      <c r="D99" s="362" t="s">
        <v>8289</v>
      </c>
      <c r="E99" s="364" t="s">
        <v>172</v>
      </c>
      <c r="F99" s="364" t="s">
        <v>6753</v>
      </c>
      <c r="G99" s="364">
        <v>103</v>
      </c>
      <c r="I99" s="196" t="str">
        <f t="shared" si="4"/>
        <v/>
      </c>
      <c r="J99" s="196" t="str">
        <f t="shared" si="5"/>
        <v/>
      </c>
      <c r="K99" s="295" t="str">
        <f t="shared" si="6"/>
        <v/>
      </c>
    </row>
    <row r="100" spans="1:11" x14ac:dyDescent="0.25">
      <c r="A100" s="227" t="s">
        <v>40</v>
      </c>
      <c r="B100" s="475" t="s">
        <v>179</v>
      </c>
      <c r="C100" s="227" t="str">
        <f>IF(Recto!$C$3=Familles!B100,CONCATENATE(A100),"")</f>
        <v/>
      </c>
      <c r="D100" s="362" t="s">
        <v>40</v>
      </c>
      <c r="E100" s="364" t="s">
        <v>6</v>
      </c>
      <c r="F100" s="364" t="s">
        <v>3</v>
      </c>
      <c r="G100" s="364">
        <v>129</v>
      </c>
      <c r="H100" s="196">
        <f t="shared" si="7"/>
        <v>3</v>
      </c>
      <c r="I100" s="196" t="str">
        <f t="shared" si="4"/>
        <v/>
      </c>
      <c r="J100" s="196" t="str">
        <f t="shared" si="5"/>
        <v/>
      </c>
      <c r="K100" s="295" t="str">
        <f t="shared" si="6"/>
        <v/>
      </c>
    </row>
    <row r="101" spans="1:11" x14ac:dyDescent="0.25">
      <c r="A101" s="227" t="s">
        <v>4341</v>
      </c>
      <c r="B101" s="475" t="s">
        <v>176</v>
      </c>
      <c r="C101" s="227" t="str">
        <f>IF(Recto!$C$3=Familles!B101,CONCATENATE(A101),"")</f>
        <v/>
      </c>
      <c r="D101" s="362" t="s">
        <v>14</v>
      </c>
      <c r="E101" s="364" t="s">
        <v>169</v>
      </c>
      <c r="F101" s="364" t="s">
        <v>6061</v>
      </c>
      <c r="G101" s="364">
        <v>285</v>
      </c>
      <c r="H101" s="196">
        <f t="shared" si="7"/>
        <v>2</v>
      </c>
      <c r="I101" s="196" t="str">
        <f t="shared" si="4"/>
        <v/>
      </c>
      <c r="J101" s="196" t="str">
        <f t="shared" si="5"/>
        <v/>
      </c>
      <c r="K101" s="295" t="str">
        <f t="shared" si="6"/>
        <v/>
      </c>
    </row>
    <row r="102" spans="1:11" s="196" customFormat="1" x14ac:dyDescent="0.25">
      <c r="A102" s="227" t="s">
        <v>8101</v>
      </c>
      <c r="B102" s="475" t="s">
        <v>47</v>
      </c>
      <c r="C102" s="227" t="str">
        <f>IF(Recto!$C$3=Familles!B102,CONCATENATE(A102),"")</f>
        <v/>
      </c>
      <c r="D102" s="362" t="s">
        <v>8101</v>
      </c>
      <c r="E102" s="364" t="s">
        <v>171</v>
      </c>
      <c r="F102" s="364"/>
      <c r="G102" s="364"/>
      <c r="H102" s="196">
        <f t="shared" si="7"/>
        <v>9</v>
      </c>
      <c r="I102" s="196" t="str">
        <f t="shared" si="4"/>
        <v/>
      </c>
      <c r="J102" s="196" t="str">
        <f t="shared" si="5"/>
        <v/>
      </c>
      <c r="K102" s="295" t="str">
        <f t="shared" si="6"/>
        <v/>
      </c>
    </row>
    <row r="103" spans="1:11" x14ac:dyDescent="0.25">
      <c r="A103" s="227" t="s">
        <v>4346</v>
      </c>
      <c r="B103" s="475" t="s">
        <v>15</v>
      </c>
      <c r="C103" s="227" t="str">
        <f>IF(Recto!$C$3=Familles!B103,CONCATENATE(A103),"")</f>
        <v/>
      </c>
      <c r="D103" s="362" t="s">
        <v>18</v>
      </c>
      <c r="E103" s="364" t="s">
        <v>174</v>
      </c>
      <c r="F103" s="364" t="s">
        <v>6061</v>
      </c>
      <c r="G103" s="364">
        <v>289</v>
      </c>
      <c r="H103" s="196">
        <f t="shared" si="7"/>
        <v>7</v>
      </c>
      <c r="I103" s="196" t="str">
        <f t="shared" si="4"/>
        <v/>
      </c>
      <c r="J103" s="196" t="str">
        <f t="shared" si="5"/>
        <v/>
      </c>
      <c r="K103" s="295" t="str">
        <f t="shared" si="6"/>
        <v/>
      </c>
    </row>
    <row r="104" spans="1:11" x14ac:dyDescent="0.25">
      <c r="A104" s="227" t="s">
        <v>4346</v>
      </c>
      <c r="B104" s="475" t="s">
        <v>177</v>
      </c>
      <c r="C104" s="227" t="str">
        <f>IF(Recto!$C$3=Familles!B104,CONCATENATE(A104),"")</f>
        <v/>
      </c>
      <c r="D104" s="362" t="s">
        <v>29</v>
      </c>
      <c r="E104" s="364" t="s">
        <v>9</v>
      </c>
      <c r="F104" s="364" t="s">
        <v>6061</v>
      </c>
      <c r="G104" s="364">
        <v>289</v>
      </c>
      <c r="H104" s="196">
        <f t="shared" si="7"/>
        <v>4</v>
      </c>
      <c r="I104" s="196" t="str">
        <f t="shared" si="4"/>
        <v/>
      </c>
      <c r="J104" s="196" t="str">
        <f t="shared" si="5"/>
        <v/>
      </c>
      <c r="K104" s="295" t="str">
        <f t="shared" si="6"/>
        <v/>
      </c>
    </row>
    <row r="105" spans="1:11" s="196" customFormat="1" x14ac:dyDescent="0.25">
      <c r="A105" s="227" t="s">
        <v>6798</v>
      </c>
      <c r="B105" s="475" t="s">
        <v>6799</v>
      </c>
      <c r="C105" s="227" t="str">
        <f>IF(Recto!$C$3=Familles!B105,CONCATENATE(A105),"")</f>
        <v/>
      </c>
      <c r="D105" s="362" t="s">
        <v>6798</v>
      </c>
      <c r="E105" s="364" t="s">
        <v>169</v>
      </c>
      <c r="F105" s="364" t="s">
        <v>6753</v>
      </c>
      <c r="G105" s="364">
        <v>128</v>
      </c>
      <c r="H105" s="196">
        <f t="shared" si="7"/>
        <v>2</v>
      </c>
      <c r="I105" s="196" t="str">
        <f t="shared" si="4"/>
        <v/>
      </c>
      <c r="J105" s="196" t="str">
        <f t="shared" si="5"/>
        <v/>
      </c>
      <c r="K105" s="295" t="str">
        <f t="shared" si="6"/>
        <v/>
      </c>
    </row>
    <row r="106" spans="1:11" x14ac:dyDescent="0.25">
      <c r="A106" s="368" t="s">
        <v>5754</v>
      </c>
      <c r="B106" s="475" t="s">
        <v>33</v>
      </c>
      <c r="C106" s="227" t="str">
        <f>IF(Recto!$C$3=Familles!B106,CONCATENATE(A106),"")</f>
        <v/>
      </c>
      <c r="D106" s="369" t="s">
        <v>5755</v>
      </c>
      <c r="E106" s="364" t="s">
        <v>171</v>
      </c>
      <c r="F106" s="364"/>
      <c r="G106" s="364"/>
      <c r="H106" s="196">
        <f t="shared" si="7"/>
        <v>9</v>
      </c>
      <c r="I106" s="196" t="str">
        <f t="shared" si="4"/>
        <v/>
      </c>
      <c r="J106" s="196" t="str">
        <f t="shared" si="5"/>
        <v/>
      </c>
      <c r="K106" s="295" t="str">
        <f t="shared" si="6"/>
        <v/>
      </c>
    </row>
    <row r="107" spans="1:11" x14ac:dyDescent="0.25">
      <c r="A107" s="368" t="s">
        <v>5756</v>
      </c>
      <c r="B107" s="475" t="s">
        <v>176</v>
      </c>
      <c r="C107" s="227" t="str">
        <f>IF(Recto!$C$3=Familles!B107,CONCATENATE(A107),"")</f>
        <v/>
      </c>
      <c r="D107" s="369" t="s">
        <v>5748</v>
      </c>
      <c r="E107" s="364" t="s">
        <v>172</v>
      </c>
      <c r="F107" s="364"/>
      <c r="G107" s="364"/>
      <c r="H107" s="196">
        <f t="shared" si="7"/>
        <v>5</v>
      </c>
      <c r="I107" s="196" t="str">
        <f t="shared" si="4"/>
        <v/>
      </c>
      <c r="J107" s="196" t="str">
        <f t="shared" si="5"/>
        <v/>
      </c>
      <c r="K107" s="295" t="str">
        <f t="shared" si="6"/>
        <v/>
      </c>
    </row>
    <row r="108" spans="1:11" x14ac:dyDescent="0.25">
      <c r="A108" s="371" t="s">
        <v>154</v>
      </c>
      <c r="B108" s="475" t="s">
        <v>61</v>
      </c>
      <c r="C108" s="227" t="str">
        <f>IF(Recto!$C$3=Familles!B108,CONCATENATE(A108),"")</f>
        <v/>
      </c>
      <c r="D108" s="372" t="s">
        <v>154</v>
      </c>
      <c r="E108" s="364" t="s">
        <v>171</v>
      </c>
      <c r="F108" s="367" t="s">
        <v>150</v>
      </c>
      <c r="G108" s="367">
        <v>275</v>
      </c>
      <c r="H108" s="196">
        <f t="shared" si="7"/>
        <v>9</v>
      </c>
      <c r="I108" s="196" t="str">
        <f t="shared" si="4"/>
        <v/>
      </c>
      <c r="J108" s="196" t="str">
        <f t="shared" si="5"/>
        <v/>
      </c>
      <c r="K108" s="295" t="str">
        <f t="shared" si="6"/>
        <v/>
      </c>
    </row>
    <row r="109" spans="1:11" s="196" customFormat="1" x14ac:dyDescent="0.25">
      <c r="A109" s="371" t="s">
        <v>154</v>
      </c>
      <c r="B109" s="475" t="s">
        <v>7736</v>
      </c>
      <c r="C109" s="227" t="str">
        <f>IF(Recto!$C$3=Familles!B109,CONCATENATE(A109),"")</f>
        <v/>
      </c>
      <c r="D109" s="372" t="s">
        <v>154</v>
      </c>
      <c r="E109" s="364" t="s">
        <v>171</v>
      </c>
      <c r="F109" s="367" t="s">
        <v>7226</v>
      </c>
      <c r="G109" s="367">
        <v>83</v>
      </c>
      <c r="H109" s="196">
        <f t="shared" si="7"/>
        <v>9</v>
      </c>
      <c r="I109" s="196" t="str">
        <f t="shared" si="4"/>
        <v/>
      </c>
      <c r="J109" s="196" t="str">
        <f t="shared" si="5"/>
        <v/>
      </c>
      <c r="K109" s="295" t="str">
        <f t="shared" si="6"/>
        <v/>
      </c>
    </row>
    <row r="110" spans="1:11" x14ac:dyDescent="0.25">
      <c r="A110" s="365" t="s">
        <v>4360</v>
      </c>
      <c r="B110" s="475" t="s">
        <v>2103</v>
      </c>
      <c r="C110" s="227" t="str">
        <f>IF(Recto!$C$3=Familles!B110,CONCATENATE(A110),"")</f>
        <v/>
      </c>
      <c r="D110" s="362" t="s">
        <v>27</v>
      </c>
      <c r="E110" s="364" t="s">
        <v>9</v>
      </c>
      <c r="F110" s="364" t="s">
        <v>6061</v>
      </c>
      <c r="G110" s="366">
        <v>290</v>
      </c>
      <c r="H110" s="196">
        <f t="shared" si="7"/>
        <v>4</v>
      </c>
      <c r="I110" s="196" t="str">
        <f t="shared" si="4"/>
        <v/>
      </c>
      <c r="J110" s="196" t="str">
        <f t="shared" si="5"/>
        <v/>
      </c>
      <c r="K110" s="295" t="str">
        <f t="shared" si="6"/>
        <v/>
      </c>
    </row>
    <row r="111" spans="1:11" x14ac:dyDescent="0.25">
      <c r="A111" s="365" t="s">
        <v>4360</v>
      </c>
      <c r="B111" s="475" t="s">
        <v>178</v>
      </c>
      <c r="C111" s="227" t="str">
        <f>IF(Recto!$C$3=Familles!B111,CONCATENATE(A111),"")</f>
        <v/>
      </c>
      <c r="D111" s="362" t="s">
        <v>27</v>
      </c>
      <c r="E111" s="364" t="s">
        <v>9</v>
      </c>
      <c r="F111" s="364" t="s">
        <v>6061</v>
      </c>
      <c r="G111" s="366">
        <v>290</v>
      </c>
      <c r="H111" s="196">
        <f t="shared" si="7"/>
        <v>4</v>
      </c>
      <c r="I111" s="196" t="str">
        <f t="shared" si="4"/>
        <v/>
      </c>
      <c r="J111" s="196" t="str">
        <f t="shared" si="5"/>
        <v/>
      </c>
      <c r="K111" s="295" t="str">
        <f t="shared" si="6"/>
        <v/>
      </c>
    </row>
    <row r="112" spans="1:11" s="196" customFormat="1" x14ac:dyDescent="0.25">
      <c r="A112" s="227" t="s">
        <v>9112</v>
      </c>
      <c r="B112" s="475" t="s">
        <v>6773</v>
      </c>
      <c r="C112" s="227" t="str">
        <f>IF(Recto!$C$3=Familles!B112,CONCATENATE(A112),"")</f>
        <v/>
      </c>
      <c r="D112" s="362" t="s">
        <v>9112</v>
      </c>
      <c r="E112" s="364" t="s">
        <v>6</v>
      </c>
      <c r="F112" s="364" t="s">
        <v>6753</v>
      </c>
      <c r="G112" s="364">
        <v>69</v>
      </c>
      <c r="H112" s="196">
        <f>IF(E112="+1 Force",1,IF(E112="+1 Agilité",2,IF(E112="+1 Intelligence",3,IF(E112="+1 Perception",4,IF(E112="+1 Constitution",5,IF(E112="+1 Vide",6,IF(E112="+1 Volonté",7,IF(E112="+1 Reflexes",8,IF(E112="+1 Intuition",9,0)))))))))</f>
        <v>3</v>
      </c>
      <c r="I112" s="196" t="str">
        <f t="shared" si="4"/>
        <v/>
      </c>
      <c r="J112" s="196" t="str">
        <f t="shared" si="5"/>
        <v/>
      </c>
      <c r="K112" s="295" t="str">
        <f t="shared" si="6"/>
        <v/>
      </c>
    </row>
    <row r="113" spans="1:11" s="196" customFormat="1" x14ac:dyDescent="0.25">
      <c r="A113" s="365" t="s">
        <v>9093</v>
      </c>
      <c r="B113" s="475" t="s">
        <v>177</v>
      </c>
      <c r="C113" s="227" t="str">
        <f>IF(Recto!$C$3=Familles!B113,CONCATENATE(A113),"")</f>
        <v/>
      </c>
      <c r="D113" s="362" t="s">
        <v>31</v>
      </c>
      <c r="E113" s="364" t="s">
        <v>174</v>
      </c>
      <c r="F113" s="364"/>
      <c r="G113" s="366"/>
      <c r="H113" s="196">
        <f t="shared" si="7"/>
        <v>7</v>
      </c>
      <c r="I113" s="196" t="str">
        <f t="shared" si="4"/>
        <v/>
      </c>
      <c r="J113" s="196" t="str">
        <f t="shared" si="5"/>
        <v/>
      </c>
      <c r="K113" s="295" t="str">
        <f t="shared" si="6"/>
        <v/>
      </c>
    </row>
    <row r="114" spans="1:11" x14ac:dyDescent="0.25">
      <c r="A114" s="227" t="s">
        <v>5</v>
      </c>
      <c r="B114" s="475" t="s">
        <v>175</v>
      </c>
      <c r="C114" s="227" t="str">
        <f>IF(Recto!$C$3=Familles!B114,CONCATENATE(A114),"")</f>
        <v/>
      </c>
      <c r="D114" s="362" t="s">
        <v>5</v>
      </c>
      <c r="E114" s="364" t="s">
        <v>6</v>
      </c>
      <c r="F114" s="364" t="s">
        <v>3</v>
      </c>
      <c r="G114" s="364">
        <v>105</v>
      </c>
      <c r="H114" s="196">
        <f t="shared" si="7"/>
        <v>3</v>
      </c>
      <c r="I114" s="196" t="str">
        <f t="shared" si="4"/>
        <v/>
      </c>
      <c r="J114" s="196" t="str">
        <f t="shared" si="5"/>
        <v/>
      </c>
      <c r="K114" s="295" t="str">
        <f t="shared" si="6"/>
        <v/>
      </c>
    </row>
    <row r="115" spans="1:11" x14ac:dyDescent="0.25">
      <c r="A115" s="227" t="s">
        <v>4325</v>
      </c>
      <c r="B115" s="475" t="s">
        <v>175</v>
      </c>
      <c r="C115" s="227" t="str">
        <f>IF(Recto!$C$3=Familles!B115,CONCATENATE(A115),"")</f>
        <v/>
      </c>
      <c r="D115" s="362" t="s">
        <v>2</v>
      </c>
      <c r="E115" s="364" t="s">
        <v>170</v>
      </c>
      <c r="F115" s="364" t="s">
        <v>6061</v>
      </c>
      <c r="G115" s="364">
        <v>284</v>
      </c>
      <c r="H115" s="196">
        <f t="shared" si="7"/>
        <v>1</v>
      </c>
      <c r="I115" s="196" t="str">
        <f t="shared" si="4"/>
        <v/>
      </c>
      <c r="J115" s="196" t="str">
        <f t="shared" si="5"/>
        <v/>
      </c>
      <c r="K115" s="295" t="str">
        <f t="shared" si="6"/>
        <v/>
      </c>
    </row>
    <row r="116" spans="1:11" x14ac:dyDescent="0.25">
      <c r="A116" s="227" t="s">
        <v>14</v>
      </c>
      <c r="B116" s="475" t="s">
        <v>176</v>
      </c>
      <c r="C116" s="227" t="str">
        <f>IF(Recto!$C$3=Familles!B116,CONCATENATE(A116),"")</f>
        <v/>
      </c>
      <c r="D116" s="362" t="s">
        <v>14</v>
      </c>
      <c r="E116" s="364" t="s">
        <v>169</v>
      </c>
      <c r="F116" s="364" t="s">
        <v>3</v>
      </c>
      <c r="G116" s="364">
        <v>109</v>
      </c>
      <c r="H116" s="196">
        <f t="shared" si="7"/>
        <v>2</v>
      </c>
      <c r="I116" s="196" t="str">
        <f t="shared" si="4"/>
        <v/>
      </c>
      <c r="J116" s="196" t="str">
        <f t="shared" si="5"/>
        <v/>
      </c>
      <c r="K116" s="295" t="str">
        <f t="shared" si="6"/>
        <v/>
      </c>
    </row>
    <row r="117" spans="1:11" x14ac:dyDescent="0.25">
      <c r="A117" s="227" t="s">
        <v>4335</v>
      </c>
      <c r="B117" s="475" t="s">
        <v>384</v>
      </c>
      <c r="C117" s="227" t="str">
        <f>IF(Recto!$C$3=Familles!B117,CONCATENATE(A117),"")</f>
        <v/>
      </c>
      <c r="D117" s="362" t="s">
        <v>8</v>
      </c>
      <c r="E117" s="364" t="s">
        <v>9</v>
      </c>
      <c r="F117" s="364" t="s">
        <v>6061</v>
      </c>
      <c r="G117" s="364">
        <v>284</v>
      </c>
      <c r="H117" s="196">
        <f t="shared" si="7"/>
        <v>4</v>
      </c>
      <c r="I117" s="196" t="str">
        <f t="shared" si="4"/>
        <v/>
      </c>
      <c r="J117" s="196" t="str">
        <f t="shared" si="5"/>
        <v/>
      </c>
      <c r="K117" s="295" t="str">
        <f t="shared" si="6"/>
        <v/>
      </c>
    </row>
    <row r="118" spans="1:11" x14ac:dyDescent="0.25">
      <c r="A118" s="227" t="s">
        <v>4335</v>
      </c>
      <c r="B118" s="475" t="s">
        <v>175</v>
      </c>
      <c r="C118" s="227" t="str">
        <f>IF(Recto!$C$3=Familles!B118,CONCATENATE(A118),"")</f>
        <v/>
      </c>
      <c r="D118" s="362" t="s">
        <v>8</v>
      </c>
      <c r="E118" s="364" t="s">
        <v>9</v>
      </c>
      <c r="F118" s="364" t="s">
        <v>6061</v>
      </c>
      <c r="G118" s="364">
        <v>284</v>
      </c>
      <c r="H118" s="196">
        <f t="shared" si="7"/>
        <v>4</v>
      </c>
      <c r="I118" s="196" t="str">
        <f t="shared" si="4"/>
        <v/>
      </c>
      <c r="J118" s="196" t="str">
        <f t="shared" si="5"/>
        <v/>
      </c>
      <c r="K118" s="295" t="str">
        <f t="shared" si="6"/>
        <v/>
      </c>
    </row>
    <row r="119" spans="1:11" s="196" customFormat="1" x14ac:dyDescent="0.25">
      <c r="A119" s="227" t="s">
        <v>6796</v>
      </c>
      <c r="B119" s="475" t="s">
        <v>6797</v>
      </c>
      <c r="C119" s="227" t="str">
        <f>IF(Recto!$C$3=Familles!B119,CONCATENATE(A119),"")</f>
        <v/>
      </c>
      <c r="D119" s="362" t="s">
        <v>6796</v>
      </c>
      <c r="E119" s="364" t="s">
        <v>172</v>
      </c>
      <c r="F119" s="364" t="s">
        <v>6753</v>
      </c>
      <c r="G119" s="364">
        <v>127</v>
      </c>
      <c r="H119" s="196">
        <f t="shared" si="7"/>
        <v>5</v>
      </c>
      <c r="I119" s="196" t="str">
        <f t="shared" si="4"/>
        <v/>
      </c>
      <c r="J119" s="196" t="str">
        <f t="shared" si="5"/>
        <v/>
      </c>
      <c r="K119" s="295" t="str">
        <f t="shared" si="6"/>
        <v/>
      </c>
    </row>
    <row r="120" spans="1:11" x14ac:dyDescent="0.25">
      <c r="A120" s="227" t="s">
        <v>395</v>
      </c>
      <c r="B120" s="475" t="s">
        <v>340</v>
      </c>
      <c r="C120" s="227" t="str">
        <f>IF(Recto!$C$3=Familles!B120,CONCATENATE(A120),"")</f>
        <v/>
      </c>
      <c r="D120" s="362" t="s">
        <v>395</v>
      </c>
      <c r="E120" s="364" t="s">
        <v>9</v>
      </c>
      <c r="F120" s="364" t="s">
        <v>3</v>
      </c>
      <c r="G120" s="364">
        <v>225</v>
      </c>
      <c r="H120" s="196">
        <f t="shared" si="7"/>
        <v>4</v>
      </c>
      <c r="I120" s="196" t="str">
        <f t="shared" si="4"/>
        <v/>
      </c>
      <c r="J120" s="196" t="str">
        <f t="shared" si="5"/>
        <v/>
      </c>
      <c r="K120" s="295" t="str">
        <f t="shared" si="6"/>
        <v/>
      </c>
    </row>
    <row r="121" spans="1:11" x14ac:dyDescent="0.25">
      <c r="A121" s="227" t="s">
        <v>4349</v>
      </c>
      <c r="B121" s="475" t="s">
        <v>20</v>
      </c>
      <c r="C121" s="227" t="str">
        <f>IF(Recto!$C$3=Familles!B121,CONCATENATE(A121),"")</f>
        <v/>
      </c>
      <c r="D121" s="362" t="s">
        <v>21</v>
      </c>
      <c r="E121" s="364" t="s">
        <v>169</v>
      </c>
      <c r="F121" s="364" t="s">
        <v>6061</v>
      </c>
      <c r="G121" s="364">
        <v>286</v>
      </c>
      <c r="H121" s="196">
        <f t="shared" si="7"/>
        <v>2</v>
      </c>
      <c r="I121" s="196" t="str">
        <f t="shared" si="4"/>
        <v/>
      </c>
      <c r="J121" s="196" t="str">
        <f t="shared" si="5"/>
        <v/>
      </c>
      <c r="K121" s="295" t="str">
        <f t="shared" si="6"/>
        <v/>
      </c>
    </row>
    <row r="122" spans="1:11" s="196" customFormat="1" x14ac:dyDescent="0.25">
      <c r="A122" s="227" t="s">
        <v>7728</v>
      </c>
      <c r="B122" s="475" t="s">
        <v>7727</v>
      </c>
      <c r="C122" s="227" t="str">
        <f>IF(Recto!$C$3=Familles!B122,CONCATENATE(A122),"")</f>
        <v/>
      </c>
      <c r="D122" s="362" t="s">
        <v>7728</v>
      </c>
      <c r="E122" s="364" t="s">
        <v>6</v>
      </c>
      <c r="F122" s="364" t="s">
        <v>7226</v>
      </c>
      <c r="G122" s="364">
        <v>63</v>
      </c>
      <c r="H122" s="196">
        <f t="shared" si="7"/>
        <v>3</v>
      </c>
      <c r="I122" s="196" t="str">
        <f t="shared" si="4"/>
        <v/>
      </c>
      <c r="J122" s="196" t="str">
        <f t="shared" si="5"/>
        <v/>
      </c>
      <c r="K122" s="295" t="str">
        <f t="shared" si="6"/>
        <v/>
      </c>
    </row>
    <row r="123" spans="1:11" x14ac:dyDescent="0.25">
      <c r="A123" s="368" t="s">
        <v>5757</v>
      </c>
      <c r="B123" s="475" t="s">
        <v>176</v>
      </c>
      <c r="C123" s="227" t="str">
        <f>IF(Recto!$C$3=Familles!B123,CONCATENATE(A123),"")</f>
        <v/>
      </c>
      <c r="D123" s="369" t="s">
        <v>5758</v>
      </c>
      <c r="E123" s="364" t="s">
        <v>171</v>
      </c>
      <c r="F123" s="364"/>
      <c r="G123" s="364"/>
      <c r="H123" s="196">
        <f t="shared" si="7"/>
        <v>9</v>
      </c>
      <c r="I123" s="196" t="str">
        <f t="shared" si="4"/>
        <v/>
      </c>
      <c r="J123" s="196" t="str">
        <f t="shared" si="5"/>
        <v/>
      </c>
      <c r="K123" s="295" t="str">
        <f t="shared" si="6"/>
        <v/>
      </c>
    </row>
    <row r="124" spans="1:11" s="196" customFormat="1" x14ac:dyDescent="0.25">
      <c r="A124" s="373" t="s">
        <v>7734</v>
      </c>
      <c r="B124" s="475" t="s">
        <v>7735</v>
      </c>
      <c r="C124" s="227" t="str">
        <f>IF(Recto!$C$3=Familles!B124,CONCATENATE(A124),"")</f>
        <v/>
      </c>
      <c r="D124" s="369" t="s">
        <v>7734</v>
      </c>
      <c r="E124" s="364" t="s">
        <v>9</v>
      </c>
      <c r="F124" s="364" t="s">
        <v>7226</v>
      </c>
      <c r="G124" s="364">
        <v>87</v>
      </c>
      <c r="H124" s="196">
        <f t="shared" si="7"/>
        <v>4</v>
      </c>
      <c r="I124" s="196" t="str">
        <f t="shared" si="4"/>
        <v/>
      </c>
      <c r="J124" s="196" t="str">
        <f t="shared" si="5"/>
        <v/>
      </c>
      <c r="K124" s="295" t="str">
        <f t="shared" si="6"/>
        <v/>
      </c>
    </row>
    <row r="125" spans="1:11" s="196" customFormat="1" x14ac:dyDescent="0.25">
      <c r="A125" s="373" t="s">
        <v>6778</v>
      </c>
      <c r="B125" s="475" t="s">
        <v>6779</v>
      </c>
      <c r="C125" s="227" t="str">
        <f>IF(Recto!$C$3=Familles!B125,CONCATENATE(A125),"")</f>
        <v/>
      </c>
      <c r="D125" s="369" t="s">
        <v>6778</v>
      </c>
      <c r="E125" s="364" t="s">
        <v>171</v>
      </c>
      <c r="F125" s="364" t="s">
        <v>6753</v>
      </c>
      <c r="G125" s="364">
        <v>78</v>
      </c>
      <c r="H125" s="196">
        <f t="shared" si="7"/>
        <v>9</v>
      </c>
      <c r="I125" s="196" t="str">
        <f t="shared" si="4"/>
        <v/>
      </c>
      <c r="J125" s="196" t="str">
        <f t="shared" si="5"/>
        <v/>
      </c>
      <c r="K125" s="295" t="str">
        <f t="shared" si="6"/>
        <v/>
      </c>
    </row>
    <row r="126" spans="1:11" x14ac:dyDescent="0.25">
      <c r="A126" s="227" t="s">
        <v>4330</v>
      </c>
      <c r="B126" s="475" t="s">
        <v>175</v>
      </c>
      <c r="C126" s="227" t="str">
        <f>IF(Recto!$C$3=Familles!B126,CONCATENATE(A126),"")</f>
        <v/>
      </c>
      <c r="D126" s="362" t="s">
        <v>5</v>
      </c>
      <c r="E126" s="364" t="s">
        <v>6</v>
      </c>
      <c r="F126" s="364" t="s">
        <v>158</v>
      </c>
      <c r="G126" s="364">
        <v>35</v>
      </c>
      <c r="H126" s="196">
        <f t="shared" si="7"/>
        <v>3</v>
      </c>
      <c r="I126" s="196" t="str">
        <f t="shared" si="4"/>
        <v/>
      </c>
      <c r="J126" s="196" t="str">
        <f t="shared" si="5"/>
        <v/>
      </c>
      <c r="K126" s="295" t="str">
        <f t="shared" si="6"/>
        <v/>
      </c>
    </row>
    <row r="127" spans="1:11" x14ac:dyDescent="0.25">
      <c r="A127" s="227" t="s">
        <v>4381</v>
      </c>
      <c r="B127" s="475" t="s">
        <v>179</v>
      </c>
      <c r="C127" s="227" t="str">
        <f>IF(Recto!$C$3=Familles!B127,CONCATENATE(A127),"")</f>
        <v/>
      </c>
      <c r="D127" s="362" t="s">
        <v>40</v>
      </c>
      <c r="E127" s="364" t="s">
        <v>6</v>
      </c>
      <c r="F127" s="364" t="s">
        <v>6061</v>
      </c>
      <c r="G127" s="364">
        <v>290</v>
      </c>
      <c r="H127" s="196">
        <f t="shared" si="7"/>
        <v>3</v>
      </c>
      <c r="I127" s="196" t="str">
        <f t="shared" si="4"/>
        <v/>
      </c>
      <c r="J127" s="196" t="str">
        <f t="shared" si="5"/>
        <v/>
      </c>
      <c r="K127" s="295" t="str">
        <f t="shared" si="6"/>
        <v/>
      </c>
    </row>
    <row r="128" spans="1:11" x14ac:dyDescent="0.25">
      <c r="A128" s="227" t="s">
        <v>4392</v>
      </c>
      <c r="B128" s="475" t="s">
        <v>338</v>
      </c>
      <c r="C128" s="227" t="str">
        <f>IF(Recto!$C$3=Familles!B128,CONCATENATE(A128),"")</f>
        <v/>
      </c>
      <c r="D128" s="362" t="s">
        <v>391</v>
      </c>
      <c r="E128" s="364" t="s">
        <v>172</v>
      </c>
      <c r="F128" s="364" t="s">
        <v>2080</v>
      </c>
      <c r="G128" s="364">
        <v>81</v>
      </c>
      <c r="H128" s="196">
        <f t="shared" si="7"/>
        <v>5</v>
      </c>
      <c r="I128" s="196" t="str">
        <f t="shared" si="4"/>
        <v/>
      </c>
      <c r="J128" s="196" t="str">
        <f t="shared" si="5"/>
        <v/>
      </c>
      <c r="K128" s="295" t="str">
        <f t="shared" si="6"/>
        <v/>
      </c>
    </row>
    <row r="129" spans="1:11" x14ac:dyDescent="0.25">
      <c r="A129" s="227" t="s">
        <v>23</v>
      </c>
      <c r="B129" s="475" t="s">
        <v>20</v>
      </c>
      <c r="C129" s="227" t="str">
        <f>IF(Recto!$C$3=Familles!B129,CONCATENATE(A129),"")</f>
        <v/>
      </c>
      <c r="D129" s="362" t="s">
        <v>23</v>
      </c>
      <c r="E129" s="364" t="s">
        <v>6</v>
      </c>
      <c r="F129" s="364" t="s">
        <v>3</v>
      </c>
      <c r="G129" s="364">
        <v>116</v>
      </c>
      <c r="H129" s="196">
        <f t="shared" si="7"/>
        <v>3</v>
      </c>
      <c r="I129" s="196" t="str">
        <f t="shared" si="4"/>
        <v/>
      </c>
      <c r="J129" s="196" t="str">
        <f t="shared" si="5"/>
        <v/>
      </c>
      <c r="K129" s="295" t="str">
        <f t="shared" si="6"/>
        <v/>
      </c>
    </row>
    <row r="130" spans="1:11" x14ac:dyDescent="0.25">
      <c r="A130" s="227" t="s">
        <v>16</v>
      </c>
      <c r="B130" s="475" t="s">
        <v>15</v>
      </c>
      <c r="C130" s="227" t="str">
        <f>IF(Recto!$C$3=Familles!B130,CONCATENATE(A130),"")</f>
        <v/>
      </c>
      <c r="D130" s="362" t="s">
        <v>16</v>
      </c>
      <c r="E130" s="364" t="s">
        <v>171</v>
      </c>
      <c r="F130" s="364" t="s">
        <v>3</v>
      </c>
      <c r="G130" s="364">
        <v>112</v>
      </c>
      <c r="H130" s="196">
        <f t="shared" si="7"/>
        <v>9</v>
      </c>
      <c r="I130" s="196" t="str">
        <f t="shared" si="4"/>
        <v/>
      </c>
      <c r="J130" s="196" t="str">
        <f t="shared" si="5"/>
        <v/>
      </c>
      <c r="K130" s="295" t="str">
        <f t="shared" si="6"/>
        <v/>
      </c>
    </row>
    <row r="131" spans="1:11" x14ac:dyDescent="0.25">
      <c r="A131" s="227" t="s">
        <v>25</v>
      </c>
      <c r="B131" s="475" t="s">
        <v>182</v>
      </c>
      <c r="C131" s="227" t="str">
        <f>IF(Recto!$C$3=Familles!B131,CONCATENATE(A131),"")</f>
        <v/>
      </c>
      <c r="D131" s="362" t="s">
        <v>25</v>
      </c>
      <c r="E131" s="364" t="s">
        <v>174</v>
      </c>
      <c r="F131" s="364" t="s">
        <v>3</v>
      </c>
      <c r="G131" s="364">
        <v>219</v>
      </c>
      <c r="H131" s="196">
        <f t="shared" si="7"/>
        <v>7</v>
      </c>
      <c r="I131" s="196" t="str">
        <f t="shared" ref="I131:I194" si="8">IF(C131="","",ROW())</f>
        <v/>
      </c>
      <c r="J131" s="196" t="str">
        <f t="shared" ref="J131:J194" si="9">IFERROR(SMALL(I:I,ROW()-1),"")</f>
        <v/>
      </c>
      <c r="K131" s="295" t="str">
        <f t="shared" ref="K131:K194" si="10">IFERROR(INDEX(C:C,J131),"")</f>
        <v/>
      </c>
    </row>
    <row r="132" spans="1:11" x14ac:dyDescent="0.25">
      <c r="A132" s="227" t="s">
        <v>25</v>
      </c>
      <c r="B132" s="475" t="s">
        <v>178</v>
      </c>
      <c r="C132" s="227" t="str">
        <f>IF(Recto!$C$3=Familles!B132,CONCATENATE(A132),"")</f>
        <v/>
      </c>
      <c r="D132" s="362" t="s">
        <v>25</v>
      </c>
      <c r="E132" s="364" t="s">
        <v>171</v>
      </c>
      <c r="F132" s="364" t="s">
        <v>3</v>
      </c>
      <c r="G132" s="364">
        <v>120</v>
      </c>
      <c r="H132" s="196">
        <f t="shared" si="7"/>
        <v>9</v>
      </c>
      <c r="I132" s="196" t="str">
        <f t="shared" si="8"/>
        <v/>
      </c>
      <c r="J132" s="196" t="str">
        <f t="shared" si="9"/>
        <v/>
      </c>
      <c r="K132" s="295" t="str">
        <f t="shared" si="10"/>
        <v/>
      </c>
    </row>
    <row r="133" spans="1:11" x14ac:dyDescent="0.25">
      <c r="A133" s="227" t="s">
        <v>4373</v>
      </c>
      <c r="B133" s="475" t="s">
        <v>33</v>
      </c>
      <c r="C133" s="227" t="str">
        <f>IF(Recto!$C$3=Familles!B133,CONCATENATE(A133),"")</f>
        <v/>
      </c>
      <c r="D133" s="362" t="s">
        <v>35</v>
      </c>
      <c r="E133" s="364" t="s">
        <v>171</v>
      </c>
      <c r="F133" s="364" t="s">
        <v>6061</v>
      </c>
      <c r="G133" s="364">
        <v>287</v>
      </c>
      <c r="H133" s="196">
        <f t="shared" si="7"/>
        <v>9</v>
      </c>
      <c r="I133" s="196" t="str">
        <f t="shared" si="8"/>
        <v/>
      </c>
      <c r="J133" s="196" t="str">
        <f t="shared" si="9"/>
        <v/>
      </c>
      <c r="K133" s="295" t="str">
        <f t="shared" si="10"/>
        <v/>
      </c>
    </row>
    <row r="134" spans="1:11" x14ac:dyDescent="0.25">
      <c r="A134" s="368" t="s">
        <v>5759</v>
      </c>
      <c r="B134" s="475" t="s">
        <v>175</v>
      </c>
      <c r="C134" s="227" t="str">
        <f>IF(Recto!$C$3=Familles!B134,CONCATENATE(A134),"")</f>
        <v/>
      </c>
      <c r="D134" s="369" t="s">
        <v>5760</v>
      </c>
      <c r="E134" s="364" t="s">
        <v>170</v>
      </c>
      <c r="F134" s="364"/>
      <c r="G134" s="364"/>
      <c r="H134" s="196">
        <f t="shared" si="7"/>
        <v>1</v>
      </c>
      <c r="I134" s="196" t="str">
        <f t="shared" si="8"/>
        <v/>
      </c>
      <c r="J134" s="196" t="str">
        <f t="shared" si="9"/>
        <v/>
      </c>
      <c r="K134" s="295" t="str">
        <f t="shared" si="10"/>
        <v/>
      </c>
    </row>
    <row r="135" spans="1:11" s="196" customFormat="1" x14ac:dyDescent="0.25">
      <c r="A135" s="373" t="s">
        <v>6193</v>
      </c>
      <c r="B135" s="475" t="s">
        <v>61</v>
      </c>
      <c r="C135" s="227" t="str">
        <f>IF(Recto!$C$3=Familles!B135,CONCATENATE(A135),"")</f>
        <v/>
      </c>
      <c r="D135" s="369"/>
      <c r="E135" s="364" t="s">
        <v>171</v>
      </c>
      <c r="F135" s="364" t="s">
        <v>6192</v>
      </c>
      <c r="G135" s="364">
        <v>182</v>
      </c>
      <c r="H135" s="196">
        <f t="shared" si="7"/>
        <v>9</v>
      </c>
      <c r="I135" s="196" t="str">
        <f t="shared" si="8"/>
        <v/>
      </c>
      <c r="J135" s="196" t="str">
        <f t="shared" si="9"/>
        <v/>
      </c>
      <c r="K135" s="295" t="str">
        <f t="shared" si="10"/>
        <v/>
      </c>
    </row>
    <row r="136" spans="1:11" x14ac:dyDescent="0.25">
      <c r="A136" s="227" t="s">
        <v>4368</v>
      </c>
      <c r="B136" s="475" t="s">
        <v>177</v>
      </c>
      <c r="C136" s="227" t="str">
        <f>IF(Recto!$C$3=Familles!B136,CONCATENATE(A136),"")</f>
        <v/>
      </c>
      <c r="D136" s="362" t="s">
        <v>32</v>
      </c>
      <c r="E136" s="364" t="s">
        <v>9</v>
      </c>
      <c r="F136" s="364" t="s">
        <v>158</v>
      </c>
      <c r="G136" s="364">
        <v>36</v>
      </c>
      <c r="H136" s="196">
        <f t="shared" si="7"/>
        <v>4</v>
      </c>
      <c r="I136" s="196" t="str">
        <f t="shared" si="8"/>
        <v/>
      </c>
      <c r="J136" s="196" t="str">
        <f t="shared" si="9"/>
        <v/>
      </c>
      <c r="K136" s="295" t="str">
        <f t="shared" si="10"/>
        <v/>
      </c>
    </row>
    <row r="137" spans="1:11" s="196" customFormat="1" x14ac:dyDescent="0.25">
      <c r="A137" s="227" t="s">
        <v>6752</v>
      </c>
      <c r="B137" s="475" t="s">
        <v>6809</v>
      </c>
      <c r="C137" s="227" t="str">
        <f>IF(Recto!$C$3=Familles!B137,CONCATENATE(A137),"")</f>
        <v/>
      </c>
      <c r="D137" s="362" t="s">
        <v>6752</v>
      </c>
      <c r="E137" s="364" t="s">
        <v>171</v>
      </c>
      <c r="F137" s="364" t="s">
        <v>6753</v>
      </c>
      <c r="G137" s="364">
        <v>6</v>
      </c>
      <c r="H137" s="196">
        <f t="shared" si="7"/>
        <v>9</v>
      </c>
      <c r="I137" s="196" t="str">
        <f t="shared" si="8"/>
        <v/>
      </c>
      <c r="J137" s="196" t="str">
        <f t="shared" si="9"/>
        <v/>
      </c>
      <c r="K137" s="295" t="str">
        <f t="shared" si="10"/>
        <v/>
      </c>
    </row>
    <row r="138" spans="1:11" s="196" customFormat="1" x14ac:dyDescent="0.25">
      <c r="A138" s="227" t="s">
        <v>9066</v>
      </c>
      <c r="B138" s="475" t="s">
        <v>181</v>
      </c>
      <c r="C138" s="227" t="str">
        <f>IF(Recto!$C$3=Familles!B138,CONCATENATE(A138),"")</f>
        <v/>
      </c>
      <c r="D138" s="362" t="s">
        <v>9066</v>
      </c>
      <c r="E138" s="364" t="s">
        <v>19</v>
      </c>
      <c r="F138" s="364"/>
      <c r="G138" s="364"/>
      <c r="I138" s="196" t="str">
        <f t="shared" si="8"/>
        <v/>
      </c>
      <c r="J138" s="196" t="str">
        <f t="shared" si="9"/>
        <v/>
      </c>
      <c r="K138" s="295" t="str">
        <f t="shared" si="10"/>
        <v/>
      </c>
    </row>
    <row r="139" spans="1:11" s="196" customFormat="1" x14ac:dyDescent="0.25">
      <c r="A139" s="227" t="s">
        <v>6774</v>
      </c>
      <c r="B139" s="475" t="s">
        <v>6775</v>
      </c>
      <c r="C139" s="227" t="str">
        <f>IF(Recto!$C$3=Familles!B139,CONCATENATE(A139),"")</f>
        <v/>
      </c>
      <c r="D139" s="362" t="s">
        <v>6774</v>
      </c>
      <c r="E139" s="364" t="s">
        <v>171</v>
      </c>
      <c r="F139" s="364" t="s">
        <v>6753</v>
      </c>
      <c r="G139" s="364">
        <v>79</v>
      </c>
      <c r="H139" s="196">
        <f t="shared" si="7"/>
        <v>9</v>
      </c>
      <c r="I139" s="196" t="str">
        <f t="shared" si="8"/>
        <v/>
      </c>
      <c r="J139" s="196" t="str">
        <f t="shared" si="9"/>
        <v/>
      </c>
      <c r="K139" s="295" t="str">
        <f t="shared" si="10"/>
        <v/>
      </c>
    </row>
    <row r="140" spans="1:11" x14ac:dyDescent="0.25">
      <c r="A140" s="227" t="s">
        <v>4401</v>
      </c>
      <c r="B140" s="475" t="s">
        <v>183</v>
      </c>
      <c r="C140" s="227" t="str">
        <f>IF(Recto!$C$3=Familles!B140,CONCATENATE(A140),"")</f>
        <v/>
      </c>
      <c r="D140" s="362" t="s">
        <v>4401</v>
      </c>
      <c r="E140" s="364" t="s">
        <v>6</v>
      </c>
      <c r="F140" s="364" t="s">
        <v>3</v>
      </c>
      <c r="G140" s="364">
        <v>216</v>
      </c>
      <c r="H140" s="196">
        <f t="shared" si="7"/>
        <v>3</v>
      </c>
      <c r="I140" s="196" t="str">
        <f t="shared" si="8"/>
        <v/>
      </c>
      <c r="J140" s="196" t="str">
        <f t="shared" si="9"/>
        <v/>
      </c>
      <c r="K140" s="295" t="str">
        <f t="shared" si="10"/>
        <v/>
      </c>
    </row>
    <row r="141" spans="1:11" x14ac:dyDescent="0.25">
      <c r="A141" s="227" t="s">
        <v>4356</v>
      </c>
      <c r="B141" s="475" t="s">
        <v>20</v>
      </c>
      <c r="C141" s="227" t="str">
        <f>IF(Recto!$C$3=Familles!B141,CONCATENATE(A141),"")</f>
        <v/>
      </c>
      <c r="D141" s="362" t="s">
        <v>24</v>
      </c>
      <c r="E141" s="364" t="s">
        <v>170</v>
      </c>
      <c r="F141" s="364" t="s">
        <v>6061</v>
      </c>
      <c r="G141" s="364">
        <v>286</v>
      </c>
      <c r="H141" s="196">
        <f t="shared" si="7"/>
        <v>1</v>
      </c>
      <c r="I141" s="196" t="str">
        <f t="shared" si="8"/>
        <v/>
      </c>
      <c r="J141" s="196" t="str">
        <f t="shared" si="9"/>
        <v/>
      </c>
      <c r="K141" s="295" t="str">
        <f t="shared" si="10"/>
        <v/>
      </c>
    </row>
    <row r="142" spans="1:11" s="196" customFormat="1" x14ac:dyDescent="0.25">
      <c r="A142" s="227" t="s">
        <v>4390</v>
      </c>
      <c r="B142" s="475" t="s">
        <v>335</v>
      </c>
      <c r="C142" s="227" t="str">
        <f>IF(Recto!$C$3=Familles!B142,CONCATENATE(A142),"")</f>
        <v/>
      </c>
      <c r="D142" s="362" t="s">
        <v>4402</v>
      </c>
      <c r="E142" s="364" t="s">
        <v>171</v>
      </c>
      <c r="F142" s="364" t="s">
        <v>2080</v>
      </c>
      <c r="G142" s="364">
        <v>44</v>
      </c>
      <c r="H142" s="196">
        <f t="shared" si="7"/>
        <v>9</v>
      </c>
      <c r="I142" s="196" t="str">
        <f t="shared" si="8"/>
        <v/>
      </c>
      <c r="J142" s="196" t="str">
        <f t="shared" si="9"/>
        <v/>
      </c>
      <c r="K142" s="295" t="str">
        <f t="shared" si="10"/>
        <v/>
      </c>
    </row>
    <row r="143" spans="1:11" x14ac:dyDescent="0.25">
      <c r="A143" s="227" t="s">
        <v>4339</v>
      </c>
      <c r="B143" s="475" t="s">
        <v>176</v>
      </c>
      <c r="C143" s="227" t="str">
        <f>IF(Recto!$C$3=Familles!B143,CONCATENATE(A143),"")</f>
        <v/>
      </c>
      <c r="D143" s="362" t="s">
        <v>13</v>
      </c>
      <c r="E143" s="364" t="s">
        <v>171</v>
      </c>
      <c r="F143" s="364" t="s">
        <v>6061</v>
      </c>
      <c r="G143" s="364">
        <v>285</v>
      </c>
      <c r="H143" s="196">
        <f t="shared" si="7"/>
        <v>9</v>
      </c>
      <c r="I143" s="196" t="str">
        <f t="shared" si="8"/>
        <v/>
      </c>
      <c r="J143" s="196" t="str">
        <f t="shared" si="9"/>
        <v/>
      </c>
      <c r="K143" s="295" t="str">
        <f t="shared" si="10"/>
        <v/>
      </c>
    </row>
    <row r="144" spans="1:11" x14ac:dyDescent="0.25">
      <c r="A144" s="227" t="s">
        <v>4342</v>
      </c>
      <c r="B144" s="475" t="s">
        <v>15</v>
      </c>
      <c r="C144" s="227" t="str">
        <f>IF(Recto!$C$3=Familles!B144,CONCATENATE(A144),"")</f>
        <v/>
      </c>
      <c r="D144" s="362" t="s">
        <v>17</v>
      </c>
      <c r="E144" s="364" t="s">
        <v>169</v>
      </c>
      <c r="F144" s="364" t="s">
        <v>6061</v>
      </c>
      <c r="G144" s="364">
        <v>286</v>
      </c>
      <c r="H144" s="196">
        <f t="shared" si="7"/>
        <v>2</v>
      </c>
      <c r="I144" s="196" t="str">
        <f t="shared" si="8"/>
        <v/>
      </c>
      <c r="J144" s="196" t="str">
        <f t="shared" si="9"/>
        <v/>
      </c>
      <c r="K144" s="295" t="str">
        <f t="shared" si="10"/>
        <v/>
      </c>
    </row>
    <row r="145" spans="1:11" s="196" customFormat="1" x14ac:dyDescent="0.25">
      <c r="A145" s="227" t="s">
        <v>7284</v>
      </c>
      <c r="B145" s="475" t="s">
        <v>7285</v>
      </c>
      <c r="C145" s="227" t="str">
        <f>IF(Recto!$C$3=Familles!B145,CONCATENATE(A145),"")</f>
        <v/>
      </c>
      <c r="D145" s="362" t="s">
        <v>7284</v>
      </c>
      <c r="E145" s="364" t="s">
        <v>174</v>
      </c>
      <c r="F145" s="364" t="s">
        <v>6753</v>
      </c>
      <c r="G145" s="364">
        <v>40</v>
      </c>
      <c r="H145" s="196">
        <f t="shared" si="7"/>
        <v>7</v>
      </c>
      <c r="I145" s="196" t="str">
        <f t="shared" si="8"/>
        <v/>
      </c>
      <c r="J145" s="196" t="str">
        <f t="shared" si="9"/>
        <v/>
      </c>
      <c r="K145" s="295" t="str">
        <f t="shared" si="10"/>
        <v/>
      </c>
    </row>
    <row r="146" spans="1:11" s="196" customFormat="1" x14ac:dyDescent="0.25">
      <c r="A146" s="227" t="s">
        <v>6805</v>
      </c>
      <c r="B146" s="475" t="s">
        <v>6806</v>
      </c>
      <c r="C146" s="227" t="str">
        <f>IF(Recto!$C$3=Familles!B146,CONCATENATE(A146),"")</f>
        <v/>
      </c>
      <c r="D146" s="362" t="s">
        <v>6805</v>
      </c>
      <c r="E146" s="364" t="s">
        <v>19</v>
      </c>
      <c r="F146" s="364" t="s">
        <v>6753</v>
      </c>
      <c r="G146" s="364">
        <v>134</v>
      </c>
      <c r="H146" s="196">
        <f t="shared" si="7"/>
        <v>8</v>
      </c>
      <c r="I146" s="196" t="str">
        <f t="shared" si="8"/>
        <v/>
      </c>
      <c r="J146" s="196" t="str">
        <f t="shared" si="9"/>
        <v/>
      </c>
      <c r="K146" s="295" t="str">
        <f t="shared" si="10"/>
        <v/>
      </c>
    </row>
    <row r="147" spans="1:11" x14ac:dyDescent="0.25">
      <c r="A147" s="227" t="s">
        <v>7</v>
      </c>
      <c r="B147" s="475" t="s">
        <v>175</v>
      </c>
      <c r="C147" s="227" t="str">
        <f>IF(Recto!$C$3=Familles!B147,CONCATENATE(A147),"")</f>
        <v/>
      </c>
      <c r="D147" s="362" t="s">
        <v>7</v>
      </c>
      <c r="E147" s="364" t="s">
        <v>6</v>
      </c>
      <c r="F147" s="364" t="s">
        <v>3</v>
      </c>
      <c r="G147" s="364">
        <v>105</v>
      </c>
      <c r="H147" s="196">
        <f t="shared" si="7"/>
        <v>3</v>
      </c>
      <c r="I147" s="196" t="str">
        <f t="shared" si="8"/>
        <v/>
      </c>
      <c r="J147" s="196" t="str">
        <f t="shared" si="9"/>
        <v/>
      </c>
      <c r="K147" s="295" t="str">
        <f t="shared" si="10"/>
        <v/>
      </c>
    </row>
    <row r="148" spans="1:11" s="196" customFormat="1" x14ac:dyDescent="0.25">
      <c r="A148" s="227" t="s">
        <v>7227</v>
      </c>
      <c r="B148" s="475" t="s">
        <v>320</v>
      </c>
      <c r="C148" s="227" t="str">
        <f>IF(Recto!$C$3=Familles!B148,CONCATENATE(A148),"")</f>
        <v/>
      </c>
      <c r="D148" s="362" t="s">
        <v>7227</v>
      </c>
      <c r="E148" s="364" t="s">
        <v>172</v>
      </c>
      <c r="F148" s="364" t="s">
        <v>7226</v>
      </c>
      <c r="G148" s="364">
        <v>60</v>
      </c>
      <c r="H148" s="196">
        <f t="shared" si="7"/>
        <v>5</v>
      </c>
      <c r="I148" s="196" t="str">
        <f t="shared" si="8"/>
        <v/>
      </c>
      <c r="J148" s="196" t="str">
        <f t="shared" si="9"/>
        <v/>
      </c>
      <c r="K148" s="295" t="str">
        <f t="shared" si="10"/>
        <v/>
      </c>
    </row>
    <row r="149" spans="1:11" s="196" customFormat="1" x14ac:dyDescent="0.25">
      <c r="A149" s="227" t="s">
        <v>6807</v>
      </c>
      <c r="B149" s="475" t="s">
        <v>6792</v>
      </c>
      <c r="C149" s="227" t="str">
        <f>IF(Recto!$C$3=Familles!B149,CONCATENATE(A149),"")</f>
        <v/>
      </c>
      <c r="D149" s="362" t="s">
        <v>6791</v>
      </c>
      <c r="E149" s="364" t="s">
        <v>19</v>
      </c>
      <c r="F149" s="364" t="s">
        <v>6753</v>
      </c>
      <c r="G149" s="364">
        <v>110</v>
      </c>
      <c r="H149" s="196">
        <f t="shared" si="7"/>
        <v>8</v>
      </c>
      <c r="I149" s="196" t="str">
        <f t="shared" si="8"/>
        <v/>
      </c>
      <c r="J149" s="196" t="str">
        <f t="shared" si="9"/>
        <v/>
      </c>
      <c r="K149" s="295" t="str">
        <f t="shared" si="10"/>
        <v/>
      </c>
    </row>
    <row r="150" spans="1:11" x14ac:dyDescent="0.25">
      <c r="A150" s="227" t="s">
        <v>455</v>
      </c>
      <c r="B150" s="475" t="s">
        <v>397</v>
      </c>
      <c r="C150" s="227" t="str">
        <f>IF(Recto!$C$3=Familles!B150,CONCATENATE(A150),"")</f>
        <v/>
      </c>
      <c r="D150" s="362" t="s">
        <v>455</v>
      </c>
      <c r="E150" s="364" t="s">
        <v>398</v>
      </c>
      <c r="F150" s="364" t="s">
        <v>464</v>
      </c>
      <c r="G150" s="364">
        <v>245</v>
      </c>
      <c r="H150" s="196">
        <f t="shared" si="7"/>
        <v>0</v>
      </c>
      <c r="I150" s="196" t="str">
        <f t="shared" si="8"/>
        <v/>
      </c>
      <c r="J150" s="196" t="str">
        <f t="shared" si="9"/>
        <v/>
      </c>
      <c r="K150" s="295" t="str">
        <f t="shared" si="10"/>
        <v/>
      </c>
    </row>
    <row r="151" spans="1:11" x14ac:dyDescent="0.25">
      <c r="A151" s="227" t="s">
        <v>4332</v>
      </c>
      <c r="B151" s="475" t="s">
        <v>175</v>
      </c>
      <c r="C151" s="227" t="str">
        <f>IF(Recto!$C$3=Familles!B151,CONCATENATE(A151),"")</f>
        <v/>
      </c>
      <c r="D151" s="362" t="s">
        <v>5</v>
      </c>
      <c r="E151" s="364" t="s">
        <v>6</v>
      </c>
      <c r="F151" s="364" t="s">
        <v>6061</v>
      </c>
      <c r="G151" s="364">
        <v>284</v>
      </c>
      <c r="H151" s="196">
        <f t="shared" si="7"/>
        <v>3</v>
      </c>
      <c r="I151" s="196" t="str">
        <f t="shared" si="8"/>
        <v/>
      </c>
      <c r="J151" s="196" t="str">
        <f t="shared" si="9"/>
        <v/>
      </c>
      <c r="K151" s="295" t="str">
        <f t="shared" si="10"/>
        <v/>
      </c>
    </row>
    <row r="152" spans="1:11" x14ac:dyDescent="0.25">
      <c r="A152" s="227" t="s">
        <v>4383</v>
      </c>
      <c r="B152" s="475" t="s">
        <v>179</v>
      </c>
      <c r="C152" s="227" t="str">
        <f>IF(Recto!$C$3=Familles!B152,CONCATENATE(A152),"")</f>
        <v/>
      </c>
      <c r="D152" s="362" t="s">
        <v>42</v>
      </c>
      <c r="E152" s="364" t="s">
        <v>19</v>
      </c>
      <c r="F152" s="364" t="s">
        <v>6061</v>
      </c>
      <c r="G152" s="364">
        <v>288</v>
      </c>
      <c r="H152" s="196">
        <f t="shared" si="7"/>
        <v>8</v>
      </c>
      <c r="I152" s="196" t="str">
        <f t="shared" si="8"/>
        <v/>
      </c>
      <c r="J152" s="196" t="str">
        <f t="shared" si="9"/>
        <v/>
      </c>
      <c r="K152" s="295" t="str">
        <f t="shared" si="10"/>
        <v/>
      </c>
    </row>
    <row r="153" spans="1:11" s="196" customFormat="1" x14ac:dyDescent="0.25">
      <c r="A153" s="227" t="s">
        <v>6791</v>
      </c>
      <c r="B153" s="475" t="s">
        <v>6792</v>
      </c>
      <c r="C153" s="227" t="str">
        <f>IF(Recto!$C$3=Familles!B153,CONCATENATE(A153),"")</f>
        <v/>
      </c>
      <c r="D153" s="362" t="s">
        <v>6791</v>
      </c>
      <c r="E153" s="364" t="s">
        <v>19</v>
      </c>
      <c r="F153" s="364" t="s">
        <v>6753</v>
      </c>
      <c r="G153" s="364">
        <v>111</v>
      </c>
      <c r="H153" s="196">
        <f t="shared" si="7"/>
        <v>8</v>
      </c>
      <c r="I153" s="196" t="str">
        <f t="shared" si="8"/>
        <v/>
      </c>
      <c r="J153" s="196" t="str">
        <f t="shared" si="9"/>
        <v/>
      </c>
      <c r="K153" s="295" t="str">
        <f t="shared" si="10"/>
        <v/>
      </c>
    </row>
    <row r="154" spans="1:11" x14ac:dyDescent="0.25">
      <c r="A154" s="227" t="s">
        <v>24</v>
      </c>
      <c r="B154" s="475" t="s">
        <v>20</v>
      </c>
      <c r="C154" s="227" t="str">
        <f>IF(Recto!$C$3=Familles!B154,CONCATENATE(A154),"")</f>
        <v/>
      </c>
      <c r="D154" s="362" t="s">
        <v>24</v>
      </c>
      <c r="E154" s="364" t="s">
        <v>170</v>
      </c>
      <c r="F154" s="364" t="s">
        <v>3</v>
      </c>
      <c r="G154" s="364">
        <v>116</v>
      </c>
      <c r="H154" s="196">
        <f t="shared" si="7"/>
        <v>1</v>
      </c>
      <c r="I154" s="196" t="str">
        <f t="shared" si="8"/>
        <v/>
      </c>
      <c r="J154" s="196" t="str">
        <f t="shared" si="9"/>
        <v/>
      </c>
      <c r="K154" s="295" t="str">
        <f t="shared" si="10"/>
        <v/>
      </c>
    </row>
    <row r="155" spans="1:11" x14ac:dyDescent="0.25">
      <c r="A155" s="227" t="s">
        <v>4333</v>
      </c>
      <c r="B155" s="475" t="s">
        <v>175</v>
      </c>
      <c r="C155" s="227" t="str">
        <f>IF(Recto!$C$3=Familles!B155,CONCATENATE(A155),"")</f>
        <v/>
      </c>
      <c r="D155" s="362" t="s">
        <v>7</v>
      </c>
      <c r="E155" s="364" t="s">
        <v>6</v>
      </c>
      <c r="F155" s="364" t="s">
        <v>6061</v>
      </c>
      <c r="G155" s="364">
        <v>284</v>
      </c>
      <c r="H155" s="196">
        <f t="shared" si="7"/>
        <v>3</v>
      </c>
      <c r="I155" s="196" t="str">
        <f t="shared" si="8"/>
        <v/>
      </c>
      <c r="J155" s="196" t="str">
        <f t="shared" si="9"/>
        <v/>
      </c>
      <c r="K155" s="295" t="str">
        <f t="shared" si="10"/>
        <v/>
      </c>
    </row>
    <row r="156" spans="1:11" x14ac:dyDescent="0.25">
      <c r="A156" s="227" t="s">
        <v>17</v>
      </c>
      <c r="B156" s="475" t="s">
        <v>15</v>
      </c>
      <c r="C156" s="227" t="str">
        <f>IF(Recto!$C$3=Familles!B156,CONCATENATE(A156),"")</f>
        <v/>
      </c>
      <c r="D156" s="362" t="s">
        <v>17</v>
      </c>
      <c r="E156" s="364" t="s">
        <v>169</v>
      </c>
      <c r="F156" s="364" t="s">
        <v>3</v>
      </c>
      <c r="G156" s="364">
        <v>112</v>
      </c>
      <c r="H156" s="196">
        <f t="shared" si="7"/>
        <v>2</v>
      </c>
      <c r="I156" s="196" t="str">
        <f t="shared" si="8"/>
        <v/>
      </c>
      <c r="J156" s="196" t="str">
        <f t="shared" si="9"/>
        <v/>
      </c>
      <c r="K156" s="295" t="str">
        <f t="shared" si="10"/>
        <v/>
      </c>
    </row>
    <row r="157" spans="1:11" x14ac:dyDescent="0.25">
      <c r="A157" s="227" t="s">
        <v>48</v>
      </c>
      <c r="B157" s="475" t="s">
        <v>47</v>
      </c>
      <c r="C157" s="227" t="str">
        <f>IF(Recto!$C$3=Familles!B157,CONCATENATE(A157),"")</f>
        <v/>
      </c>
      <c r="D157" s="362" t="s">
        <v>48</v>
      </c>
      <c r="E157" s="364" t="s">
        <v>19</v>
      </c>
      <c r="F157" s="364" t="s">
        <v>3</v>
      </c>
      <c r="G157" s="364">
        <v>227</v>
      </c>
      <c r="H157" s="196">
        <f t="shared" si="7"/>
        <v>8</v>
      </c>
      <c r="I157" s="196" t="str">
        <f t="shared" si="8"/>
        <v/>
      </c>
      <c r="J157" s="196" t="str">
        <f t="shared" si="9"/>
        <v/>
      </c>
      <c r="K157" s="295" t="str">
        <f t="shared" si="10"/>
        <v/>
      </c>
    </row>
    <row r="158" spans="1:11" x14ac:dyDescent="0.25">
      <c r="A158" s="227" t="s">
        <v>5190</v>
      </c>
      <c r="B158" s="475" t="s">
        <v>181</v>
      </c>
      <c r="C158" s="227" t="str">
        <f>IF(Recto!$C$3=Familles!B158,CONCATENATE(A158),"")</f>
        <v/>
      </c>
      <c r="D158" s="362" t="s">
        <v>4926</v>
      </c>
      <c r="E158" s="364" t="s">
        <v>19</v>
      </c>
      <c r="F158" s="364" t="s">
        <v>3</v>
      </c>
      <c r="G158" s="364">
        <v>212</v>
      </c>
      <c r="H158" s="196">
        <f t="shared" si="7"/>
        <v>8</v>
      </c>
      <c r="I158" s="196" t="str">
        <f t="shared" si="8"/>
        <v/>
      </c>
      <c r="J158" s="196" t="str">
        <f t="shared" si="9"/>
        <v/>
      </c>
      <c r="K158" s="295" t="str">
        <f t="shared" si="10"/>
        <v/>
      </c>
    </row>
    <row r="159" spans="1:11" x14ac:dyDescent="0.25">
      <c r="A159" s="368" t="s">
        <v>5761</v>
      </c>
      <c r="B159" s="475" t="s">
        <v>176</v>
      </c>
      <c r="C159" s="227" t="str">
        <f>IF(Recto!$C$3=Familles!B159,CONCATENATE(A159),"")</f>
        <v/>
      </c>
      <c r="D159" s="369" t="s">
        <v>5758</v>
      </c>
      <c r="E159" s="364" t="s">
        <v>171</v>
      </c>
      <c r="F159" s="364"/>
      <c r="G159" s="364"/>
      <c r="H159" s="196">
        <f t="shared" si="7"/>
        <v>9</v>
      </c>
      <c r="I159" s="196" t="str">
        <f t="shared" si="8"/>
        <v/>
      </c>
      <c r="J159" s="196" t="str">
        <f t="shared" si="9"/>
        <v/>
      </c>
      <c r="K159" s="295" t="str">
        <f t="shared" si="10"/>
        <v/>
      </c>
    </row>
    <row r="160" spans="1:11" x14ac:dyDescent="0.25">
      <c r="A160" s="227" t="s">
        <v>391</v>
      </c>
      <c r="B160" s="475" t="s">
        <v>338</v>
      </c>
      <c r="C160" s="227" t="str">
        <f>IF(Recto!$C$3=Familles!B160,CONCATENATE(A160),"")</f>
        <v/>
      </c>
      <c r="D160" s="362" t="s">
        <v>391</v>
      </c>
      <c r="E160" s="364" t="s">
        <v>172</v>
      </c>
      <c r="F160" s="364" t="s">
        <v>3</v>
      </c>
      <c r="G160" s="364">
        <v>223</v>
      </c>
      <c r="H160" s="196">
        <f t="shared" ref="H160:H165" si="11">IF(E160="+1 Force",1,IF(E160="+1 Agilité",2,IF(E160="+1 Intelligence",3,IF(E160="+1 Perception",4,IF(E160="+1 Constitution",5,IF(E160="+1 Vide",6,IF(E160="+1 Volonté",7,IF(E160="+1 Reflexes",8,IF(E160="+1 Intuition",9,0)))))))))</f>
        <v>5</v>
      </c>
      <c r="I160" s="196" t="str">
        <f t="shared" si="8"/>
        <v/>
      </c>
      <c r="J160" s="196" t="str">
        <f t="shared" si="9"/>
        <v/>
      </c>
      <c r="K160" s="295" t="str">
        <f t="shared" si="10"/>
        <v/>
      </c>
    </row>
    <row r="161" spans="1:11" s="196" customFormat="1" x14ac:dyDescent="0.25">
      <c r="A161" s="227" t="s">
        <v>26</v>
      </c>
      <c r="B161" s="475" t="s">
        <v>322</v>
      </c>
      <c r="C161" s="227" t="str">
        <f>IF(Recto!$C$3=Familles!B161,CONCATENATE(A161),"")</f>
        <v/>
      </c>
      <c r="D161" s="362" t="s">
        <v>26</v>
      </c>
      <c r="E161" s="364" t="s">
        <v>6</v>
      </c>
      <c r="F161" s="364" t="s">
        <v>3</v>
      </c>
      <c r="G161" s="364">
        <v>120</v>
      </c>
      <c r="H161" s="196">
        <f t="shared" si="11"/>
        <v>3</v>
      </c>
      <c r="I161" s="196" t="str">
        <f t="shared" si="8"/>
        <v/>
      </c>
      <c r="J161" s="196" t="str">
        <f t="shared" si="9"/>
        <v/>
      </c>
      <c r="K161" s="295" t="str">
        <f t="shared" si="10"/>
        <v/>
      </c>
    </row>
    <row r="162" spans="1:11" x14ac:dyDescent="0.25">
      <c r="A162" s="227" t="s">
        <v>26</v>
      </c>
      <c r="B162" s="475" t="s">
        <v>178</v>
      </c>
      <c r="C162" s="227" t="str">
        <f>IF(Recto!$C$3=Familles!B162,CONCATENATE(A162),"")</f>
        <v/>
      </c>
      <c r="D162" s="362" t="s">
        <v>26</v>
      </c>
      <c r="E162" s="364" t="s">
        <v>6</v>
      </c>
      <c r="F162" s="364" t="s">
        <v>3</v>
      </c>
      <c r="G162" s="364">
        <v>120</v>
      </c>
      <c r="H162" s="196">
        <f t="shared" si="11"/>
        <v>3</v>
      </c>
      <c r="I162" s="196" t="str">
        <f t="shared" si="8"/>
        <v/>
      </c>
      <c r="J162" s="196" t="str">
        <f t="shared" si="9"/>
        <v/>
      </c>
      <c r="K162" s="295" t="str">
        <f t="shared" si="10"/>
        <v/>
      </c>
    </row>
    <row r="163" spans="1:11" x14ac:dyDescent="0.25">
      <c r="A163" s="227" t="s">
        <v>4326</v>
      </c>
      <c r="B163" s="475" t="s">
        <v>175</v>
      </c>
      <c r="C163" s="227" t="str">
        <f>IF(Recto!$C$3=Familles!B163,CONCATENATE(A163),"")</f>
        <v/>
      </c>
      <c r="D163" s="362" t="s">
        <v>2</v>
      </c>
      <c r="E163" s="364" t="s">
        <v>170</v>
      </c>
      <c r="F163" s="364" t="s">
        <v>6061</v>
      </c>
      <c r="G163" s="364">
        <v>285</v>
      </c>
      <c r="H163" s="196">
        <f t="shared" si="11"/>
        <v>1</v>
      </c>
      <c r="I163" s="196" t="str">
        <f t="shared" si="8"/>
        <v/>
      </c>
      <c r="J163" s="196" t="str">
        <f t="shared" si="9"/>
        <v/>
      </c>
      <c r="K163" s="295" t="str">
        <f t="shared" si="10"/>
        <v/>
      </c>
    </row>
    <row r="164" spans="1:11" x14ac:dyDescent="0.25">
      <c r="A164" s="227" t="s">
        <v>41</v>
      </c>
      <c r="B164" s="475" t="s">
        <v>179</v>
      </c>
      <c r="C164" s="227" t="str">
        <f>IF(Recto!$C$3=Familles!B164,CONCATENATE(A164),"")</f>
        <v/>
      </c>
      <c r="D164" s="362" t="s">
        <v>41</v>
      </c>
      <c r="E164" s="364" t="s">
        <v>169</v>
      </c>
      <c r="F164" s="364" t="s">
        <v>3</v>
      </c>
      <c r="G164" s="364">
        <v>130</v>
      </c>
      <c r="H164" s="196">
        <f t="shared" si="11"/>
        <v>2</v>
      </c>
      <c r="I164" s="196" t="str">
        <f t="shared" si="8"/>
        <v/>
      </c>
      <c r="J164" s="196" t="str">
        <f t="shared" si="9"/>
        <v/>
      </c>
      <c r="K164" s="295" t="str">
        <f t="shared" si="10"/>
        <v/>
      </c>
    </row>
    <row r="165" spans="1:11" s="196" customFormat="1" x14ac:dyDescent="0.25">
      <c r="A165" s="227" t="s">
        <v>7729</v>
      </c>
      <c r="B165" s="475" t="s">
        <v>337</v>
      </c>
      <c r="C165" s="227" t="str">
        <f>IF(Recto!$C$3=Familles!B165,CONCATENATE(A165),"")</f>
        <v/>
      </c>
      <c r="D165" s="362" t="s">
        <v>7729</v>
      </c>
      <c r="E165" s="364" t="s">
        <v>174</v>
      </c>
      <c r="F165" s="364" t="s">
        <v>7226</v>
      </c>
      <c r="G165" s="364">
        <v>85</v>
      </c>
      <c r="H165" s="196">
        <f t="shared" si="11"/>
        <v>7</v>
      </c>
      <c r="I165" s="196" t="str">
        <f t="shared" si="8"/>
        <v/>
      </c>
      <c r="J165" s="196" t="str">
        <f t="shared" si="9"/>
        <v/>
      </c>
      <c r="K165" s="295" t="str">
        <f t="shared" si="10"/>
        <v/>
      </c>
    </row>
    <row r="166" spans="1:11" x14ac:dyDescent="0.25">
      <c r="A166" s="227" t="s">
        <v>4352</v>
      </c>
      <c r="B166" s="475" t="s">
        <v>20</v>
      </c>
      <c r="C166" s="227" t="str">
        <f>IF(Recto!$C$3=Familles!B166,CONCATENATE(A166),"")</f>
        <v/>
      </c>
      <c r="D166" s="362" t="s">
        <v>22</v>
      </c>
      <c r="E166" s="364" t="s">
        <v>171</v>
      </c>
      <c r="F166" s="364" t="s">
        <v>6061</v>
      </c>
      <c r="G166" s="364">
        <v>290</v>
      </c>
      <c r="H166" s="196">
        <f t="shared" ref="H166:H231" si="12">IF(E166="+1 Force",1,IF(E166="+1 Agilité",2,IF(E166="+1 Intelligence",3,IF(E166="+1 Perception",4,IF(E166="+1 Constitution",5,IF(E166="+1 Vide",6,IF(E166="+1 Volonté",7,IF(E166="+1 Reflexes",8,IF(E166="+1 Intuition",9,0)))))))))</f>
        <v>9</v>
      </c>
      <c r="I166" s="196" t="str">
        <f t="shared" si="8"/>
        <v/>
      </c>
      <c r="J166" s="196" t="str">
        <f t="shared" si="9"/>
        <v/>
      </c>
      <c r="K166" s="295" t="str">
        <f t="shared" si="10"/>
        <v/>
      </c>
    </row>
    <row r="167" spans="1:11" x14ac:dyDescent="0.25">
      <c r="A167" s="227" t="s">
        <v>4376</v>
      </c>
      <c r="B167" s="475" t="s">
        <v>33</v>
      </c>
      <c r="C167" s="227" t="str">
        <f>IF(Recto!$C$3=Familles!B167,CONCATENATE(A167),"")</f>
        <v/>
      </c>
      <c r="D167" s="362" t="s">
        <v>37</v>
      </c>
      <c r="E167" s="364" t="s">
        <v>174</v>
      </c>
      <c r="F167" s="364" t="s">
        <v>6061</v>
      </c>
      <c r="G167" s="364">
        <v>290</v>
      </c>
      <c r="H167" s="196">
        <f t="shared" si="12"/>
        <v>7</v>
      </c>
      <c r="I167" s="196" t="str">
        <f t="shared" si="8"/>
        <v/>
      </c>
      <c r="J167" s="196" t="str">
        <f t="shared" si="9"/>
        <v/>
      </c>
      <c r="K167" s="295" t="str">
        <f t="shared" si="10"/>
        <v/>
      </c>
    </row>
    <row r="168" spans="1:11" x14ac:dyDescent="0.25">
      <c r="A168" s="227" t="s">
        <v>4375</v>
      </c>
      <c r="B168" s="475" t="s">
        <v>33</v>
      </c>
      <c r="C168" s="227" t="str">
        <f>IF(Recto!$C$3=Familles!B168,CONCATENATE(A168),"")</f>
        <v/>
      </c>
      <c r="D168" s="362" t="s">
        <v>36</v>
      </c>
      <c r="E168" s="364" t="s">
        <v>6</v>
      </c>
      <c r="F168" s="364" t="s">
        <v>6061</v>
      </c>
      <c r="G168" s="364">
        <v>288</v>
      </c>
      <c r="H168" s="196">
        <f t="shared" si="12"/>
        <v>3</v>
      </c>
      <c r="I168" s="196" t="str">
        <f t="shared" si="8"/>
        <v/>
      </c>
      <c r="J168" s="196" t="str">
        <f t="shared" si="9"/>
        <v/>
      </c>
      <c r="K168" s="295" t="str">
        <f t="shared" si="10"/>
        <v/>
      </c>
    </row>
    <row r="169" spans="1:11" x14ac:dyDescent="0.25">
      <c r="A169" s="227" t="s">
        <v>4366</v>
      </c>
      <c r="B169" s="475" t="s">
        <v>177</v>
      </c>
      <c r="C169" s="227" t="str">
        <f>IF(Recto!$C$3=Familles!B169,CONCATENATE(A169),"")</f>
        <v/>
      </c>
      <c r="D169" s="362" t="s">
        <v>30</v>
      </c>
      <c r="E169" s="364" t="s">
        <v>171</v>
      </c>
      <c r="F169" s="364" t="s">
        <v>6061</v>
      </c>
      <c r="G169" s="364">
        <v>287</v>
      </c>
      <c r="H169" s="196">
        <f t="shared" si="12"/>
        <v>9</v>
      </c>
      <c r="I169" s="196" t="str">
        <f t="shared" si="8"/>
        <v/>
      </c>
      <c r="J169" s="196" t="str">
        <f t="shared" si="9"/>
        <v/>
      </c>
      <c r="K169" s="295" t="str">
        <f t="shared" si="10"/>
        <v/>
      </c>
    </row>
    <row r="170" spans="1:11" x14ac:dyDescent="0.25">
      <c r="A170" s="227" t="s">
        <v>4385</v>
      </c>
      <c r="B170" s="475" t="s">
        <v>179</v>
      </c>
      <c r="C170" s="227" t="str">
        <f>IF(Recto!$C$3=Familles!B170,CONCATENATE(A170),"")</f>
        <v/>
      </c>
      <c r="D170" s="362" t="s">
        <v>43</v>
      </c>
      <c r="E170" s="364" t="s">
        <v>172</v>
      </c>
      <c r="F170" s="364" t="s">
        <v>6061</v>
      </c>
      <c r="G170" s="364">
        <v>288</v>
      </c>
      <c r="H170" s="196">
        <f t="shared" si="12"/>
        <v>5</v>
      </c>
      <c r="I170" s="196" t="str">
        <f t="shared" si="8"/>
        <v/>
      </c>
      <c r="J170" s="196" t="str">
        <f t="shared" si="9"/>
        <v/>
      </c>
      <c r="K170" s="295" t="str">
        <f t="shared" si="10"/>
        <v/>
      </c>
    </row>
    <row r="171" spans="1:11" s="196" customFormat="1" x14ac:dyDescent="0.25">
      <c r="A171" s="227" t="s">
        <v>6769</v>
      </c>
      <c r="B171" s="475" t="s">
        <v>6770</v>
      </c>
      <c r="C171" s="227" t="str">
        <f>IF(Recto!$C$3=Familles!B171,CONCATENATE(A171),"")</f>
        <v/>
      </c>
      <c r="D171" s="362" t="s">
        <v>6769</v>
      </c>
      <c r="E171" s="364" t="s">
        <v>6</v>
      </c>
      <c r="F171" s="364" t="s">
        <v>6753</v>
      </c>
      <c r="G171" s="364">
        <v>56</v>
      </c>
      <c r="H171" s="196">
        <f t="shared" si="12"/>
        <v>3</v>
      </c>
      <c r="I171" s="196" t="str">
        <f t="shared" si="8"/>
        <v/>
      </c>
      <c r="J171" s="196" t="str">
        <f t="shared" si="9"/>
        <v/>
      </c>
      <c r="K171" s="295" t="str">
        <f t="shared" si="10"/>
        <v/>
      </c>
    </row>
    <row r="172" spans="1:11" x14ac:dyDescent="0.25">
      <c r="A172" s="227" t="s">
        <v>157</v>
      </c>
      <c r="B172" s="475" t="s">
        <v>177</v>
      </c>
      <c r="C172" s="227" t="str">
        <f>IF(Recto!$C$3=Familles!B172,CONCATENATE(A172),"")</f>
        <v/>
      </c>
      <c r="D172" s="362" t="s">
        <v>157</v>
      </c>
      <c r="E172" s="364" t="s">
        <v>171</v>
      </c>
      <c r="F172" s="364" t="s">
        <v>150</v>
      </c>
      <c r="G172" s="364">
        <v>67</v>
      </c>
      <c r="H172" s="196">
        <f t="shared" si="12"/>
        <v>9</v>
      </c>
      <c r="I172" s="196" t="str">
        <f t="shared" si="8"/>
        <v/>
      </c>
      <c r="J172" s="196" t="str">
        <f t="shared" si="9"/>
        <v/>
      </c>
      <c r="K172" s="295" t="str">
        <f t="shared" si="10"/>
        <v/>
      </c>
    </row>
    <row r="173" spans="1:11" x14ac:dyDescent="0.25">
      <c r="A173" s="227" t="s">
        <v>157</v>
      </c>
      <c r="B173" s="475" t="s">
        <v>177</v>
      </c>
      <c r="C173" s="227" t="str">
        <f>IF(Recto!$C$3=Familles!B173,CONCATENATE(A173),"")</f>
        <v/>
      </c>
      <c r="D173" s="362" t="s">
        <v>32</v>
      </c>
      <c r="E173" s="364" t="s">
        <v>9</v>
      </c>
      <c r="F173" s="364" t="s">
        <v>6061</v>
      </c>
      <c r="G173" s="364">
        <v>287</v>
      </c>
      <c r="H173" s="196">
        <f t="shared" si="12"/>
        <v>4</v>
      </c>
      <c r="I173" s="196" t="str">
        <f t="shared" si="8"/>
        <v/>
      </c>
      <c r="J173" s="196" t="str">
        <f t="shared" si="9"/>
        <v/>
      </c>
      <c r="K173" s="295" t="str">
        <f t="shared" si="10"/>
        <v/>
      </c>
    </row>
    <row r="174" spans="1:11" s="196" customFormat="1" x14ac:dyDescent="0.25">
      <c r="A174" s="227" t="s">
        <v>9111</v>
      </c>
      <c r="B174" s="475" t="s">
        <v>6758</v>
      </c>
      <c r="C174" s="227" t="str">
        <f>IF(Recto!$C$3=Familles!B174,CONCATENATE(A174),"")</f>
        <v/>
      </c>
      <c r="D174" s="362" t="s">
        <v>9111</v>
      </c>
      <c r="E174" s="363" t="s">
        <v>169</v>
      </c>
      <c r="F174" s="364" t="s">
        <v>6753</v>
      </c>
      <c r="G174" s="364">
        <v>19</v>
      </c>
      <c r="H174" s="196">
        <f t="shared" si="12"/>
        <v>2</v>
      </c>
      <c r="I174" s="196" t="str">
        <f t="shared" si="8"/>
        <v/>
      </c>
      <c r="J174" s="196" t="str">
        <f t="shared" si="9"/>
        <v/>
      </c>
      <c r="K174" s="295" t="str">
        <f t="shared" si="10"/>
        <v/>
      </c>
    </row>
    <row r="175" spans="1:11" x14ac:dyDescent="0.25">
      <c r="A175" s="227" t="s">
        <v>5192</v>
      </c>
      <c r="B175" s="475" t="s">
        <v>3169</v>
      </c>
      <c r="C175" s="227" t="str">
        <f>IF(Recto!$C$3=Familles!B175,CONCATENATE(A175),"")</f>
        <v/>
      </c>
      <c r="D175" s="362" t="s">
        <v>5192</v>
      </c>
      <c r="E175" s="364" t="s">
        <v>1284</v>
      </c>
      <c r="F175" s="364" t="str">
        <f>Ecoles!J174</f>
        <v>Clans Majeurs</v>
      </c>
      <c r="G175" s="364">
        <f>Ecoles!K174</f>
        <v>281</v>
      </c>
      <c r="H175" s="196">
        <f t="shared" si="12"/>
        <v>0</v>
      </c>
      <c r="I175" s="196" t="str">
        <f t="shared" si="8"/>
        <v/>
      </c>
      <c r="J175" s="196" t="str">
        <f t="shared" si="9"/>
        <v/>
      </c>
      <c r="K175" s="295" t="str">
        <f t="shared" si="10"/>
        <v/>
      </c>
    </row>
    <row r="176" spans="1:11" x14ac:dyDescent="0.25">
      <c r="A176" s="368" t="s">
        <v>5762</v>
      </c>
      <c r="B176" s="475" t="s">
        <v>175</v>
      </c>
      <c r="C176" s="227" t="str">
        <f>IF(Recto!$C$3=Familles!B176,CONCATENATE(A176),"")</f>
        <v/>
      </c>
      <c r="D176" s="369" t="s">
        <v>5763</v>
      </c>
      <c r="E176" s="364" t="s">
        <v>171</v>
      </c>
      <c r="F176" s="364"/>
      <c r="G176" s="364"/>
      <c r="H176" s="196">
        <f t="shared" si="12"/>
        <v>9</v>
      </c>
      <c r="I176" s="196" t="str">
        <f t="shared" si="8"/>
        <v/>
      </c>
      <c r="J176" s="196" t="str">
        <f t="shared" si="9"/>
        <v/>
      </c>
      <c r="K176" s="295" t="str">
        <f t="shared" si="10"/>
        <v/>
      </c>
    </row>
    <row r="177" spans="1:11" x14ac:dyDescent="0.25">
      <c r="A177" s="227" t="s">
        <v>4354</v>
      </c>
      <c r="B177" s="475" t="s">
        <v>20</v>
      </c>
      <c r="C177" s="227" t="str">
        <f>IF(Recto!$C$3=Familles!B177,CONCATENATE(A177),"")</f>
        <v/>
      </c>
      <c r="D177" s="362" t="s">
        <v>23</v>
      </c>
      <c r="E177" s="364" t="s">
        <v>6</v>
      </c>
      <c r="F177" s="364" t="s">
        <v>6061</v>
      </c>
      <c r="G177" s="364">
        <v>290</v>
      </c>
      <c r="H177" s="196">
        <f t="shared" si="12"/>
        <v>3</v>
      </c>
      <c r="I177" s="196" t="str">
        <f t="shared" si="8"/>
        <v/>
      </c>
      <c r="J177" s="196" t="str">
        <f t="shared" si="9"/>
        <v/>
      </c>
      <c r="K177" s="295" t="str">
        <f t="shared" si="10"/>
        <v/>
      </c>
    </row>
    <row r="178" spans="1:11" x14ac:dyDescent="0.25">
      <c r="A178" s="227" t="s">
        <v>443</v>
      </c>
      <c r="B178" s="475" t="s">
        <v>56</v>
      </c>
      <c r="C178" s="227" t="str">
        <f>IF(Recto!$C$3=Familles!B178,CONCATENATE(A178),"")</f>
        <v/>
      </c>
      <c r="D178" s="362" t="s">
        <v>443</v>
      </c>
      <c r="E178" s="364" t="s">
        <v>171</v>
      </c>
      <c r="F178" s="364" t="s">
        <v>464</v>
      </c>
      <c r="G178" s="364">
        <v>103</v>
      </c>
      <c r="H178" s="196">
        <f t="shared" si="12"/>
        <v>9</v>
      </c>
      <c r="I178" s="196" t="str">
        <f t="shared" si="8"/>
        <v/>
      </c>
      <c r="J178" s="196" t="str">
        <f t="shared" si="9"/>
        <v/>
      </c>
      <c r="K178" s="295" t="str">
        <f t="shared" si="10"/>
        <v/>
      </c>
    </row>
    <row r="179" spans="1:11" x14ac:dyDescent="0.25">
      <c r="A179" s="227" t="s">
        <v>4382</v>
      </c>
      <c r="B179" s="475" t="s">
        <v>179</v>
      </c>
      <c r="C179" s="227" t="str">
        <f>IF(Recto!$C$3=Familles!B179,CONCATENATE(A179),"")</f>
        <v/>
      </c>
      <c r="D179" s="362" t="s">
        <v>41</v>
      </c>
      <c r="E179" s="364" t="s">
        <v>169</v>
      </c>
      <c r="F179" s="364" t="s">
        <v>6061</v>
      </c>
      <c r="G179" s="364">
        <v>289</v>
      </c>
      <c r="H179" s="196">
        <f t="shared" si="12"/>
        <v>2</v>
      </c>
      <c r="I179" s="196" t="str">
        <f t="shared" si="8"/>
        <v/>
      </c>
      <c r="J179" s="196" t="str">
        <f t="shared" si="9"/>
        <v/>
      </c>
      <c r="K179" s="295" t="str">
        <f t="shared" si="10"/>
        <v/>
      </c>
    </row>
    <row r="180" spans="1:11" x14ac:dyDescent="0.25">
      <c r="A180" s="227" t="s">
        <v>445</v>
      </c>
      <c r="B180" s="475" t="s">
        <v>56</v>
      </c>
      <c r="C180" s="227" t="str">
        <f>IF(Recto!$C$3=Familles!B180,CONCATENATE(A180),"")</f>
        <v/>
      </c>
      <c r="D180" s="362" t="s">
        <v>445</v>
      </c>
      <c r="E180" s="364" t="s">
        <v>171</v>
      </c>
      <c r="F180" s="364" t="s">
        <v>464</v>
      </c>
      <c r="G180" s="364">
        <v>104</v>
      </c>
      <c r="H180" s="196">
        <f t="shared" si="12"/>
        <v>9</v>
      </c>
      <c r="I180" s="196" t="str">
        <f t="shared" si="8"/>
        <v/>
      </c>
      <c r="J180" s="196" t="str">
        <f t="shared" si="9"/>
        <v/>
      </c>
      <c r="K180" s="295" t="str">
        <f t="shared" si="10"/>
        <v/>
      </c>
    </row>
    <row r="181" spans="1:11" s="196" customFormat="1" x14ac:dyDescent="0.25">
      <c r="A181" s="227" t="s">
        <v>439</v>
      </c>
      <c r="B181" s="475" t="s">
        <v>56</v>
      </c>
      <c r="C181" s="227" t="str">
        <f>IF(Recto!$C$3=Familles!B181,CONCATENATE(A181),"")</f>
        <v/>
      </c>
      <c r="D181" s="362" t="s">
        <v>439</v>
      </c>
      <c r="E181" s="364" t="s">
        <v>170</v>
      </c>
      <c r="F181" s="364" t="s">
        <v>464</v>
      </c>
      <c r="G181" s="364">
        <v>102</v>
      </c>
      <c r="H181" s="196">
        <f t="shared" si="12"/>
        <v>1</v>
      </c>
      <c r="I181" s="196" t="str">
        <f t="shared" si="8"/>
        <v/>
      </c>
      <c r="J181" s="196" t="str">
        <f t="shared" si="9"/>
        <v/>
      </c>
      <c r="K181" s="295" t="str">
        <f t="shared" si="10"/>
        <v/>
      </c>
    </row>
    <row r="182" spans="1:11" x14ac:dyDescent="0.25">
      <c r="A182" s="227" t="s">
        <v>49</v>
      </c>
      <c r="B182" s="475" t="s">
        <v>47</v>
      </c>
      <c r="C182" s="227" t="str">
        <f>IF(Recto!$C$3=Familles!B182,CONCATENATE(A182),"")</f>
        <v/>
      </c>
      <c r="D182" s="362" t="s">
        <v>49</v>
      </c>
      <c r="E182" s="364" t="s">
        <v>6</v>
      </c>
      <c r="F182" s="364" t="s">
        <v>3</v>
      </c>
      <c r="G182" s="364">
        <v>227</v>
      </c>
      <c r="H182" s="196">
        <f t="shared" si="12"/>
        <v>3</v>
      </c>
      <c r="I182" s="196" t="str">
        <f t="shared" si="8"/>
        <v/>
      </c>
      <c r="J182" s="196" t="str">
        <f t="shared" si="9"/>
        <v/>
      </c>
      <c r="K182" s="295" t="str">
        <f t="shared" si="10"/>
        <v/>
      </c>
    </row>
    <row r="183" spans="1:11" s="196" customFormat="1" x14ac:dyDescent="0.25">
      <c r="A183" s="227" t="s">
        <v>441</v>
      </c>
      <c r="B183" s="475" t="s">
        <v>56</v>
      </c>
      <c r="C183" s="227" t="str">
        <f>IF(Recto!$C$3=Familles!B183,CONCATENATE(A183),"")</f>
        <v/>
      </c>
      <c r="D183" s="362" t="s">
        <v>441</v>
      </c>
      <c r="E183" s="364" t="s">
        <v>19</v>
      </c>
      <c r="F183" s="364" t="s">
        <v>464</v>
      </c>
      <c r="G183" s="364">
        <v>102</v>
      </c>
      <c r="H183" s="196">
        <f t="shared" si="12"/>
        <v>8</v>
      </c>
      <c r="I183" s="196" t="str">
        <f t="shared" si="8"/>
        <v/>
      </c>
      <c r="J183" s="196" t="str">
        <f t="shared" si="9"/>
        <v/>
      </c>
      <c r="K183" s="295" t="str">
        <f t="shared" si="10"/>
        <v/>
      </c>
    </row>
    <row r="184" spans="1:11" x14ac:dyDescent="0.25">
      <c r="A184" s="227" t="s">
        <v>444</v>
      </c>
      <c r="B184" s="475" t="s">
        <v>56</v>
      </c>
      <c r="C184" s="227" t="str">
        <f>IF(Recto!$C$3=Familles!B184,CONCATENATE(A184),"")</f>
        <v/>
      </c>
      <c r="D184" s="362" t="s">
        <v>444</v>
      </c>
      <c r="E184" s="364" t="s">
        <v>172</v>
      </c>
      <c r="F184" s="364" t="s">
        <v>464</v>
      </c>
      <c r="G184" s="364">
        <v>104</v>
      </c>
      <c r="H184" s="196">
        <f t="shared" si="12"/>
        <v>5</v>
      </c>
      <c r="I184" s="196" t="str">
        <f t="shared" si="8"/>
        <v/>
      </c>
      <c r="J184" s="196" t="str">
        <f t="shared" si="9"/>
        <v/>
      </c>
      <c r="K184" s="295" t="str">
        <f t="shared" si="10"/>
        <v/>
      </c>
    </row>
    <row r="185" spans="1:11" x14ac:dyDescent="0.25">
      <c r="A185" s="227" t="s">
        <v>449</v>
      </c>
      <c r="B185" s="475" t="s">
        <v>397</v>
      </c>
      <c r="C185" s="227" t="str">
        <f>IF(Recto!$C$3=Familles!B185,CONCATENATE(A185),"")</f>
        <v/>
      </c>
      <c r="D185" s="362" t="s">
        <v>449</v>
      </c>
      <c r="E185" s="364" t="s">
        <v>398</v>
      </c>
      <c r="F185" s="364" t="s">
        <v>464</v>
      </c>
      <c r="G185" s="364">
        <v>245</v>
      </c>
      <c r="H185" s="196">
        <f t="shared" si="12"/>
        <v>0</v>
      </c>
      <c r="I185" s="196" t="str">
        <f t="shared" si="8"/>
        <v/>
      </c>
      <c r="J185" s="196" t="str">
        <f t="shared" si="9"/>
        <v/>
      </c>
      <c r="K185" s="295" t="str">
        <f t="shared" si="10"/>
        <v/>
      </c>
    </row>
    <row r="186" spans="1:11" x14ac:dyDescent="0.25">
      <c r="A186" s="227" t="s">
        <v>440</v>
      </c>
      <c r="B186" s="475" t="s">
        <v>56</v>
      </c>
      <c r="C186" s="227" t="str">
        <f>IF(Recto!$C$3=Familles!B186,CONCATENATE(A186),"")</f>
        <v/>
      </c>
      <c r="D186" s="362" t="s">
        <v>440</v>
      </c>
      <c r="E186" s="364" t="s">
        <v>6</v>
      </c>
      <c r="F186" s="364" t="s">
        <v>464</v>
      </c>
      <c r="G186" s="364">
        <v>102</v>
      </c>
      <c r="H186" s="196">
        <f t="shared" si="12"/>
        <v>3</v>
      </c>
      <c r="I186" s="196" t="str">
        <f t="shared" si="8"/>
        <v/>
      </c>
      <c r="J186" s="196" t="str">
        <f t="shared" si="9"/>
        <v/>
      </c>
      <c r="K186" s="295" t="str">
        <f t="shared" si="10"/>
        <v/>
      </c>
    </row>
    <row r="187" spans="1:11" x14ac:dyDescent="0.25">
      <c r="A187" s="227" t="s">
        <v>4328</v>
      </c>
      <c r="B187" s="475" t="s">
        <v>175</v>
      </c>
      <c r="C187" s="227" t="str">
        <f>IF(Recto!$C$3=Familles!B187,CONCATENATE(A187),"")</f>
        <v/>
      </c>
      <c r="D187" s="362" t="s">
        <v>4</v>
      </c>
      <c r="E187" s="364" t="s">
        <v>169</v>
      </c>
      <c r="F187" s="364" t="s">
        <v>6061</v>
      </c>
      <c r="G187" s="364">
        <v>285</v>
      </c>
      <c r="H187" s="196">
        <f t="shared" si="12"/>
        <v>2</v>
      </c>
      <c r="I187" s="196" t="str">
        <f t="shared" si="8"/>
        <v/>
      </c>
      <c r="J187" s="196" t="str">
        <f t="shared" si="9"/>
        <v/>
      </c>
      <c r="K187" s="295" t="str">
        <f t="shared" si="10"/>
        <v/>
      </c>
    </row>
    <row r="188" spans="1:11" x14ac:dyDescent="0.25">
      <c r="A188" s="227" t="s">
        <v>4328</v>
      </c>
      <c r="B188" s="475" t="s">
        <v>175</v>
      </c>
      <c r="C188" s="227" t="str">
        <f>IF(Recto!$C$3=Familles!B188,CONCATENATE(A188),"")</f>
        <v/>
      </c>
      <c r="D188" s="362" t="s">
        <v>10</v>
      </c>
      <c r="E188" s="364" t="s">
        <v>171</v>
      </c>
      <c r="F188" s="364" t="s">
        <v>6061</v>
      </c>
      <c r="G188" s="364">
        <v>285</v>
      </c>
      <c r="H188" s="196">
        <f t="shared" si="12"/>
        <v>9</v>
      </c>
      <c r="I188" s="196" t="str">
        <f t="shared" si="8"/>
        <v/>
      </c>
      <c r="J188" s="196" t="str">
        <f t="shared" si="9"/>
        <v/>
      </c>
      <c r="K188" s="295" t="str">
        <f t="shared" si="10"/>
        <v/>
      </c>
    </row>
    <row r="189" spans="1:11" s="196" customFormat="1" x14ac:dyDescent="0.25">
      <c r="A189" s="227" t="s">
        <v>6756</v>
      </c>
      <c r="B189" s="475" t="s">
        <v>6757</v>
      </c>
      <c r="C189" s="227" t="str">
        <f>IF(Recto!$C$3=Familles!B189,CONCATENATE(A189),"")</f>
        <v/>
      </c>
      <c r="D189" s="362" t="s">
        <v>6756</v>
      </c>
      <c r="E189" s="364" t="s">
        <v>172</v>
      </c>
      <c r="F189" s="364" t="s">
        <v>6753</v>
      </c>
      <c r="G189" s="364">
        <v>14</v>
      </c>
      <c r="H189" s="196">
        <f t="shared" si="12"/>
        <v>5</v>
      </c>
      <c r="I189" s="196" t="str">
        <f t="shared" si="8"/>
        <v/>
      </c>
      <c r="J189" s="196" t="str">
        <f t="shared" si="9"/>
        <v/>
      </c>
      <c r="K189" s="295" t="str">
        <f t="shared" si="10"/>
        <v/>
      </c>
    </row>
    <row r="190" spans="1:11" x14ac:dyDescent="0.25">
      <c r="A190" s="227" t="s">
        <v>4397</v>
      </c>
      <c r="B190" s="475" t="s">
        <v>47</v>
      </c>
      <c r="C190" s="227" t="str">
        <f>IF(Recto!$C$3=Familles!B190,CONCATENATE(A190),"")</f>
        <v/>
      </c>
      <c r="D190" s="362" t="s">
        <v>49</v>
      </c>
      <c r="E190" s="364" t="s">
        <v>6</v>
      </c>
      <c r="F190" s="364" t="s">
        <v>2080</v>
      </c>
      <c r="G190" s="364">
        <v>121</v>
      </c>
      <c r="H190" s="196">
        <f t="shared" si="12"/>
        <v>3</v>
      </c>
      <c r="I190" s="196" t="str">
        <f t="shared" si="8"/>
        <v/>
      </c>
      <c r="J190" s="196" t="str">
        <f t="shared" si="9"/>
        <v/>
      </c>
      <c r="K190" s="295" t="str">
        <f t="shared" si="10"/>
        <v/>
      </c>
    </row>
    <row r="191" spans="1:11" x14ac:dyDescent="0.25">
      <c r="A191" s="227" t="s">
        <v>4347</v>
      </c>
      <c r="B191" s="475" t="s">
        <v>15</v>
      </c>
      <c r="C191" s="227" t="str">
        <f>IF(Recto!$C$3=Familles!B191,CONCATENATE(A191),"")</f>
        <v/>
      </c>
      <c r="D191" s="362" t="s">
        <v>18</v>
      </c>
      <c r="E191" s="364" t="s">
        <v>174</v>
      </c>
      <c r="F191" s="364" t="s">
        <v>158</v>
      </c>
      <c r="G191" s="364">
        <v>35</v>
      </c>
      <c r="H191" s="196">
        <f t="shared" si="12"/>
        <v>7</v>
      </c>
      <c r="I191" s="196" t="str">
        <f t="shared" si="8"/>
        <v/>
      </c>
      <c r="J191" s="196" t="str">
        <f t="shared" si="9"/>
        <v/>
      </c>
      <c r="K191" s="295" t="str">
        <f t="shared" si="10"/>
        <v/>
      </c>
    </row>
    <row r="192" spans="1:11" x14ac:dyDescent="0.25">
      <c r="A192" s="227" t="s">
        <v>450</v>
      </c>
      <c r="B192" s="475" t="s">
        <v>397</v>
      </c>
      <c r="C192" s="227" t="str">
        <f>IF(Recto!$C$3=Familles!B192,CONCATENATE(A192),"")</f>
        <v/>
      </c>
      <c r="D192" s="362" t="s">
        <v>450</v>
      </c>
      <c r="E192" s="364" t="s">
        <v>399</v>
      </c>
      <c r="F192" s="364" t="s">
        <v>464</v>
      </c>
      <c r="G192" s="364">
        <v>245</v>
      </c>
      <c r="H192" s="196">
        <f t="shared" si="12"/>
        <v>0</v>
      </c>
      <c r="I192" s="196" t="str">
        <f t="shared" si="8"/>
        <v/>
      </c>
      <c r="J192" s="196" t="str">
        <f t="shared" si="9"/>
        <v/>
      </c>
      <c r="K192" s="295" t="str">
        <f t="shared" si="10"/>
        <v/>
      </c>
    </row>
    <row r="193" spans="1:11" s="196" customFormat="1" x14ac:dyDescent="0.25">
      <c r="A193" s="227" t="s">
        <v>7732</v>
      </c>
      <c r="B193" s="475" t="s">
        <v>8284</v>
      </c>
      <c r="C193" s="227" t="str">
        <f>IF(Recto!$C$3=Familles!B193,CONCATENATE(A193),"")</f>
        <v/>
      </c>
      <c r="D193" s="362" t="s">
        <v>7732</v>
      </c>
      <c r="E193" s="364" t="s">
        <v>171</v>
      </c>
      <c r="F193" s="364" t="s">
        <v>7226</v>
      </c>
      <c r="G193" s="364">
        <v>87</v>
      </c>
      <c r="H193" s="196">
        <f t="shared" si="12"/>
        <v>9</v>
      </c>
      <c r="I193" s="196" t="str">
        <f t="shared" si="8"/>
        <v/>
      </c>
      <c r="J193" s="196" t="str">
        <f t="shared" si="9"/>
        <v/>
      </c>
      <c r="K193" s="295" t="str">
        <f t="shared" si="10"/>
        <v/>
      </c>
    </row>
    <row r="194" spans="1:11" x14ac:dyDescent="0.25">
      <c r="A194" s="227" t="s">
        <v>4371</v>
      </c>
      <c r="B194" s="475" t="s">
        <v>33</v>
      </c>
      <c r="C194" s="227" t="str">
        <f>IF(Recto!$C$3=Familles!B194,CONCATENATE(A194),"")</f>
        <v/>
      </c>
      <c r="D194" s="362" t="s">
        <v>34</v>
      </c>
      <c r="E194" s="364" t="s">
        <v>169</v>
      </c>
      <c r="F194" s="364" t="s">
        <v>6061</v>
      </c>
      <c r="G194" s="364">
        <v>291</v>
      </c>
      <c r="H194" s="196">
        <f t="shared" si="12"/>
        <v>2</v>
      </c>
      <c r="I194" s="196" t="str">
        <f t="shared" si="8"/>
        <v/>
      </c>
      <c r="J194" s="196" t="str">
        <f t="shared" si="9"/>
        <v/>
      </c>
      <c r="K194" s="295" t="str">
        <f t="shared" si="10"/>
        <v/>
      </c>
    </row>
    <row r="195" spans="1:11" s="196" customFormat="1" x14ac:dyDescent="0.25">
      <c r="A195" s="227" t="s">
        <v>6790</v>
      </c>
      <c r="B195" s="475" t="s">
        <v>6789</v>
      </c>
      <c r="C195" s="227" t="str">
        <f>IF(Recto!$C$3=Familles!B195,CONCATENATE(A195),"")</f>
        <v/>
      </c>
      <c r="D195" s="362" t="s">
        <v>6788</v>
      </c>
      <c r="E195" s="364" t="s">
        <v>174</v>
      </c>
      <c r="F195" s="364" t="s">
        <v>6753</v>
      </c>
      <c r="G195" s="364">
        <v>107</v>
      </c>
      <c r="H195" s="196">
        <f t="shared" si="12"/>
        <v>7</v>
      </c>
      <c r="I195" s="196" t="str">
        <f t="shared" ref="I195:I258" si="13">IF(C195="","",ROW())</f>
        <v/>
      </c>
      <c r="J195" s="196" t="str">
        <f t="shared" ref="J195:J258" si="14">IFERROR(SMALL(I:I,ROW()-1),"")</f>
        <v/>
      </c>
      <c r="K195" s="295" t="str">
        <f t="shared" ref="K195:K258" si="15">IFERROR(INDEX(C:C,J195),"")</f>
        <v/>
      </c>
    </row>
    <row r="196" spans="1:11" s="196" customFormat="1" x14ac:dyDescent="0.25">
      <c r="A196" s="227" t="s">
        <v>7744</v>
      </c>
      <c r="B196" s="475" t="s">
        <v>180</v>
      </c>
      <c r="C196" s="227" t="str">
        <f>IF(Recto!$C$3=Familles!B196,CONCATENATE(A196),"")</f>
        <v/>
      </c>
      <c r="D196" s="362" t="s">
        <v>7744</v>
      </c>
      <c r="E196" s="364" t="s">
        <v>173</v>
      </c>
      <c r="F196" s="364" t="s">
        <v>7226</v>
      </c>
      <c r="G196" s="364">
        <v>54</v>
      </c>
      <c r="H196" s="196">
        <f t="shared" si="12"/>
        <v>6</v>
      </c>
      <c r="I196" s="196" t="str">
        <f t="shared" si="13"/>
        <v/>
      </c>
      <c r="J196" s="196" t="str">
        <f t="shared" si="14"/>
        <v/>
      </c>
      <c r="K196" s="295" t="str">
        <f t="shared" si="15"/>
        <v/>
      </c>
    </row>
    <row r="197" spans="1:11" s="196" customFormat="1" x14ac:dyDescent="0.25">
      <c r="A197" s="227" t="s">
        <v>8104</v>
      </c>
      <c r="B197" s="475" t="s">
        <v>177</v>
      </c>
      <c r="C197" s="227" t="str">
        <f>IF(Recto!$C$3=Familles!B197,CONCATENATE(A197),"")</f>
        <v/>
      </c>
      <c r="D197" s="369" t="s">
        <v>32</v>
      </c>
      <c r="E197" s="364" t="s">
        <v>9</v>
      </c>
      <c r="F197" s="364" t="s">
        <v>7226</v>
      </c>
      <c r="G197" s="364">
        <v>73</v>
      </c>
      <c r="H197" s="196">
        <f t="shared" si="12"/>
        <v>4</v>
      </c>
      <c r="I197" s="196" t="str">
        <f t="shared" si="13"/>
        <v/>
      </c>
      <c r="J197" s="196" t="str">
        <f t="shared" si="14"/>
        <v/>
      </c>
      <c r="K197" s="295" t="str">
        <f t="shared" si="15"/>
        <v/>
      </c>
    </row>
    <row r="198" spans="1:11" x14ac:dyDescent="0.25">
      <c r="A198" s="227" t="s">
        <v>167</v>
      </c>
      <c r="B198" s="475" t="s">
        <v>15</v>
      </c>
      <c r="C198" s="227" t="str">
        <f>IF(Recto!$C$3=Familles!B198,CONCATENATE(A198),"")</f>
        <v/>
      </c>
      <c r="D198" s="362" t="s">
        <v>16</v>
      </c>
      <c r="E198" s="364" t="s">
        <v>171</v>
      </c>
      <c r="F198" s="364" t="s">
        <v>6061</v>
      </c>
      <c r="G198" s="364">
        <v>291</v>
      </c>
      <c r="H198" s="196">
        <f t="shared" si="12"/>
        <v>9</v>
      </c>
      <c r="I198" s="196" t="str">
        <f t="shared" si="13"/>
        <v/>
      </c>
      <c r="J198" s="196" t="str">
        <f t="shared" si="14"/>
        <v/>
      </c>
      <c r="K198" s="295" t="str">
        <f t="shared" si="15"/>
        <v/>
      </c>
    </row>
    <row r="199" spans="1:11" s="196" customFormat="1" x14ac:dyDescent="0.25">
      <c r="A199" s="227" t="s">
        <v>6784</v>
      </c>
      <c r="B199" s="475" t="s">
        <v>6785</v>
      </c>
      <c r="C199" s="227" t="str">
        <f>IF(Recto!$C$3=Familles!B199,CONCATENATE(A199),"")</f>
        <v/>
      </c>
      <c r="D199" s="362" t="s">
        <v>6784</v>
      </c>
      <c r="E199" s="364" t="s">
        <v>19</v>
      </c>
      <c r="F199" s="364" t="s">
        <v>6753</v>
      </c>
      <c r="G199" s="364">
        <v>94</v>
      </c>
      <c r="H199" s="196">
        <f t="shared" si="12"/>
        <v>8</v>
      </c>
      <c r="I199" s="196" t="str">
        <f t="shared" si="13"/>
        <v/>
      </c>
      <c r="J199" s="196" t="str">
        <f t="shared" si="14"/>
        <v/>
      </c>
      <c r="K199" s="295" t="str">
        <f t="shared" si="15"/>
        <v/>
      </c>
    </row>
    <row r="200" spans="1:11" s="196" customFormat="1" x14ac:dyDescent="0.25">
      <c r="A200" s="227" t="s">
        <v>6808</v>
      </c>
      <c r="B200" s="475" t="s">
        <v>6792</v>
      </c>
      <c r="C200" s="227" t="str">
        <f>IF(Recto!$C$3=Familles!B200,CONCATENATE(A200),"")</f>
        <v/>
      </c>
      <c r="D200" s="362" t="s">
        <v>6791</v>
      </c>
      <c r="E200" s="364" t="s">
        <v>19</v>
      </c>
      <c r="F200" s="364" t="s">
        <v>6753</v>
      </c>
      <c r="G200" s="364">
        <v>110</v>
      </c>
      <c r="H200" s="196">
        <f t="shared" si="12"/>
        <v>8</v>
      </c>
      <c r="I200" s="196" t="str">
        <f t="shared" si="13"/>
        <v/>
      </c>
      <c r="J200" s="196" t="str">
        <f t="shared" si="14"/>
        <v/>
      </c>
      <c r="K200" s="295" t="str">
        <f t="shared" si="15"/>
        <v/>
      </c>
    </row>
    <row r="201" spans="1:11" x14ac:dyDescent="0.25">
      <c r="A201" s="227" t="s">
        <v>4399</v>
      </c>
      <c r="B201" s="475" t="s">
        <v>47</v>
      </c>
      <c r="C201" s="227" t="str">
        <f>IF(Recto!$C$3=Familles!B201,CONCATENATE(A201),"")</f>
        <v/>
      </c>
      <c r="D201" s="362" t="s">
        <v>48</v>
      </c>
      <c r="E201" s="364" t="s">
        <v>19</v>
      </c>
      <c r="F201" s="364" t="s">
        <v>2080</v>
      </c>
      <c r="G201" s="364">
        <v>124</v>
      </c>
      <c r="H201" s="196">
        <f t="shared" si="12"/>
        <v>8</v>
      </c>
      <c r="I201" s="196" t="str">
        <f t="shared" si="13"/>
        <v/>
      </c>
      <c r="J201" s="196" t="str">
        <f t="shared" si="14"/>
        <v/>
      </c>
      <c r="K201" s="295" t="str">
        <f t="shared" si="15"/>
        <v/>
      </c>
    </row>
    <row r="202" spans="1:11" s="196" customFormat="1" x14ac:dyDescent="0.25">
      <c r="A202" s="227" t="s">
        <v>7286</v>
      </c>
      <c r="B202" s="475" t="s">
        <v>7287</v>
      </c>
      <c r="C202" s="227" t="str">
        <f>IF(Recto!$C$3=Familles!B202,CONCATENATE(A202),"")</f>
        <v/>
      </c>
      <c r="D202" s="362" t="s">
        <v>7286</v>
      </c>
      <c r="E202" s="364" t="s">
        <v>174</v>
      </c>
      <c r="F202" s="364" t="s">
        <v>6753</v>
      </c>
      <c r="G202" s="364">
        <v>114</v>
      </c>
      <c r="H202" s="196">
        <f t="shared" si="12"/>
        <v>7</v>
      </c>
      <c r="I202" s="196" t="str">
        <f t="shared" si="13"/>
        <v/>
      </c>
      <c r="J202" s="196" t="str">
        <f t="shared" si="14"/>
        <v/>
      </c>
      <c r="K202" s="295" t="str">
        <f t="shared" si="15"/>
        <v/>
      </c>
    </row>
    <row r="203" spans="1:11" s="196" customFormat="1" x14ac:dyDescent="0.25">
      <c r="A203" s="227" t="s">
        <v>6763</v>
      </c>
      <c r="B203" s="475" t="s">
        <v>6764</v>
      </c>
      <c r="C203" s="227" t="str">
        <f>IF(Recto!$C$3=Familles!B203,CONCATENATE(A203),"")</f>
        <v/>
      </c>
      <c r="D203" s="362" t="s">
        <v>6763</v>
      </c>
      <c r="E203" s="364" t="s">
        <v>169</v>
      </c>
      <c r="F203" s="364" t="s">
        <v>6753</v>
      </c>
      <c r="G203" s="364">
        <v>33</v>
      </c>
      <c r="H203" s="196">
        <f t="shared" si="12"/>
        <v>2</v>
      </c>
      <c r="I203" s="196" t="str">
        <f t="shared" si="13"/>
        <v/>
      </c>
      <c r="J203" s="196" t="str">
        <f t="shared" si="14"/>
        <v/>
      </c>
      <c r="K203" s="295" t="str">
        <f t="shared" si="15"/>
        <v/>
      </c>
    </row>
    <row r="204" spans="1:11" x14ac:dyDescent="0.25">
      <c r="A204" s="227" t="s">
        <v>4350</v>
      </c>
      <c r="B204" s="475" t="s">
        <v>20</v>
      </c>
      <c r="C204" s="227" t="str">
        <f>IF(Recto!$C$3=Familles!B204,CONCATENATE(A204),"")</f>
        <v/>
      </c>
      <c r="D204" s="362" t="s">
        <v>21</v>
      </c>
      <c r="E204" s="364" t="s">
        <v>169</v>
      </c>
      <c r="F204" s="364" t="s">
        <v>6061</v>
      </c>
      <c r="G204" s="364">
        <v>291</v>
      </c>
      <c r="H204" s="196">
        <f t="shared" si="12"/>
        <v>2</v>
      </c>
      <c r="I204" s="196" t="str">
        <f t="shared" si="13"/>
        <v/>
      </c>
      <c r="J204" s="196" t="str">
        <f t="shared" si="14"/>
        <v/>
      </c>
      <c r="K204" s="295" t="str">
        <f t="shared" si="15"/>
        <v/>
      </c>
    </row>
    <row r="205" spans="1:11" x14ac:dyDescent="0.25">
      <c r="A205" s="227" t="s">
        <v>4391</v>
      </c>
      <c r="B205" s="475" t="s">
        <v>335</v>
      </c>
      <c r="C205" s="227" t="str">
        <f>IF(Recto!$C$3=Familles!B205,CONCATENATE(A205),"")</f>
        <v/>
      </c>
      <c r="D205" s="362" t="s">
        <v>4402</v>
      </c>
      <c r="E205" s="364" t="s">
        <v>171</v>
      </c>
      <c r="F205" s="364" t="s">
        <v>2080</v>
      </c>
      <c r="G205" s="364">
        <v>45</v>
      </c>
      <c r="H205" s="196">
        <f t="shared" si="12"/>
        <v>9</v>
      </c>
      <c r="I205" s="196" t="str">
        <f t="shared" si="13"/>
        <v/>
      </c>
      <c r="J205" s="196" t="str">
        <f t="shared" si="14"/>
        <v/>
      </c>
      <c r="K205" s="295" t="str">
        <f t="shared" si="15"/>
        <v/>
      </c>
    </row>
    <row r="206" spans="1:11" x14ac:dyDescent="0.25">
      <c r="A206" s="227" t="s">
        <v>50</v>
      </c>
      <c r="B206" s="475" t="s">
        <v>47</v>
      </c>
      <c r="C206" s="227" t="str">
        <f>IF(Recto!$C$3=Familles!B206,CONCATENATE(A206),"")</f>
        <v/>
      </c>
      <c r="D206" s="362" t="s">
        <v>50</v>
      </c>
      <c r="E206" s="364" t="s">
        <v>169</v>
      </c>
      <c r="F206" s="364" t="s">
        <v>3</v>
      </c>
      <c r="G206" s="364">
        <v>227</v>
      </c>
      <c r="H206" s="196">
        <f t="shared" si="12"/>
        <v>2</v>
      </c>
      <c r="I206" s="196" t="str">
        <f t="shared" si="13"/>
        <v/>
      </c>
      <c r="J206" s="196" t="str">
        <f t="shared" si="14"/>
        <v/>
      </c>
      <c r="K206" s="295" t="str">
        <f t="shared" si="15"/>
        <v/>
      </c>
    </row>
    <row r="207" spans="1:11" x14ac:dyDescent="0.25">
      <c r="A207" s="368" t="s">
        <v>5764</v>
      </c>
      <c r="B207" s="475" t="s">
        <v>177</v>
      </c>
      <c r="C207" s="227" t="str">
        <f>IF(Recto!$C$3=Familles!B207,CONCATENATE(A207),"")</f>
        <v/>
      </c>
      <c r="D207" s="369" t="s">
        <v>5753</v>
      </c>
      <c r="E207" s="364" t="s">
        <v>169</v>
      </c>
      <c r="F207" s="364" t="s">
        <v>6192</v>
      </c>
      <c r="G207" s="364">
        <v>182</v>
      </c>
      <c r="H207" s="196">
        <f t="shared" si="12"/>
        <v>2</v>
      </c>
      <c r="I207" s="196" t="str">
        <f t="shared" si="13"/>
        <v/>
      </c>
      <c r="J207" s="196" t="str">
        <f t="shared" si="14"/>
        <v/>
      </c>
      <c r="K207" s="295" t="str">
        <f t="shared" si="15"/>
        <v/>
      </c>
    </row>
    <row r="208" spans="1:11" s="196" customFormat="1" x14ac:dyDescent="0.25">
      <c r="A208" s="368" t="s">
        <v>6759</v>
      </c>
      <c r="B208" s="475" t="s">
        <v>6760</v>
      </c>
      <c r="C208" s="227" t="str">
        <f>IF(Recto!$C$3=Familles!B208,CONCATENATE(A208),"")</f>
        <v/>
      </c>
      <c r="D208" s="369" t="s">
        <v>6759</v>
      </c>
      <c r="E208" s="364" t="s">
        <v>174</v>
      </c>
      <c r="F208" s="364" t="s">
        <v>6753</v>
      </c>
      <c r="G208" s="364">
        <v>26</v>
      </c>
      <c r="H208" s="196">
        <f t="shared" si="12"/>
        <v>7</v>
      </c>
      <c r="I208" s="196" t="str">
        <f t="shared" si="13"/>
        <v/>
      </c>
      <c r="J208" s="196" t="str">
        <f t="shared" si="14"/>
        <v/>
      </c>
      <c r="K208" s="295" t="str">
        <f t="shared" si="15"/>
        <v/>
      </c>
    </row>
    <row r="209" spans="1:11" x14ac:dyDescent="0.25">
      <c r="A209" s="227" t="s">
        <v>32</v>
      </c>
      <c r="B209" s="475" t="s">
        <v>177</v>
      </c>
      <c r="C209" s="227" t="str">
        <f>IF(Recto!$C$3=Familles!B209,CONCATENATE(A209),"")</f>
        <v/>
      </c>
      <c r="D209" s="362" t="s">
        <v>32</v>
      </c>
      <c r="E209" s="364" t="s">
        <v>9</v>
      </c>
      <c r="F209" s="364" t="s">
        <v>3</v>
      </c>
      <c r="G209" s="364">
        <v>123</v>
      </c>
      <c r="H209" s="196">
        <f t="shared" si="12"/>
        <v>4</v>
      </c>
      <c r="I209" s="196" t="str">
        <f t="shared" si="13"/>
        <v/>
      </c>
      <c r="J209" s="196" t="str">
        <f t="shared" si="14"/>
        <v/>
      </c>
      <c r="K209" s="295" t="str">
        <f t="shared" si="15"/>
        <v/>
      </c>
    </row>
    <row r="210" spans="1:11" s="196" customFormat="1" x14ac:dyDescent="0.25">
      <c r="A210" s="227" t="s">
        <v>9113</v>
      </c>
      <c r="B210" s="475" t="s">
        <v>9114</v>
      </c>
      <c r="C210" s="227" t="str">
        <f>IF(Recto!$C$3=Familles!B210,CONCATENATE(A210),"")</f>
        <v/>
      </c>
      <c r="D210" s="362" t="s">
        <v>9113</v>
      </c>
      <c r="E210" s="364" t="s">
        <v>174</v>
      </c>
      <c r="F210" s="364" t="s">
        <v>9115</v>
      </c>
      <c r="G210" s="364"/>
      <c r="I210" s="196" t="str">
        <f t="shared" si="13"/>
        <v/>
      </c>
      <c r="J210" s="196" t="str">
        <f t="shared" si="14"/>
        <v/>
      </c>
      <c r="K210" s="295" t="str">
        <f t="shared" si="15"/>
        <v/>
      </c>
    </row>
    <row r="211" spans="1:11" x14ac:dyDescent="0.25">
      <c r="A211" s="227" t="s">
        <v>4378</v>
      </c>
      <c r="B211" s="475" t="s">
        <v>179</v>
      </c>
      <c r="C211" s="227" t="str">
        <f>IF(Recto!$C$3=Familles!B211,CONCATENATE(A211),"")</f>
        <v/>
      </c>
      <c r="D211" s="362" t="s">
        <v>39</v>
      </c>
      <c r="E211" s="364" t="s">
        <v>9</v>
      </c>
      <c r="F211" s="364" t="s">
        <v>158</v>
      </c>
      <c r="G211" s="364">
        <v>36</v>
      </c>
      <c r="H211" s="196">
        <f t="shared" si="12"/>
        <v>4</v>
      </c>
      <c r="I211" s="196" t="str">
        <f t="shared" si="13"/>
        <v/>
      </c>
      <c r="J211" s="196" t="str">
        <f t="shared" si="14"/>
        <v/>
      </c>
      <c r="K211" s="295" t="str">
        <f t="shared" si="15"/>
        <v/>
      </c>
    </row>
    <row r="212" spans="1:11" s="196" customFormat="1" x14ac:dyDescent="0.25">
      <c r="A212" s="227" t="s">
        <v>6788</v>
      </c>
      <c r="B212" s="475" t="s">
        <v>6789</v>
      </c>
      <c r="C212" s="227" t="str">
        <f>IF(Recto!$C$3=Familles!B212,CONCATENATE(A212),"")</f>
        <v/>
      </c>
      <c r="D212" s="362" t="s">
        <v>6788</v>
      </c>
      <c r="E212" s="364" t="s">
        <v>174</v>
      </c>
      <c r="F212" s="364" t="s">
        <v>6753</v>
      </c>
      <c r="G212" s="364">
        <v>107</v>
      </c>
      <c r="H212" s="196">
        <f t="shared" si="12"/>
        <v>7</v>
      </c>
      <c r="I212" s="196" t="str">
        <f t="shared" si="13"/>
        <v/>
      </c>
      <c r="J212" s="196" t="str">
        <f t="shared" si="14"/>
        <v/>
      </c>
      <c r="K212" s="295" t="str">
        <f t="shared" si="15"/>
        <v/>
      </c>
    </row>
    <row r="213" spans="1:11" x14ac:dyDescent="0.25">
      <c r="A213" s="227" t="s">
        <v>4367</v>
      </c>
      <c r="B213" s="475" t="s">
        <v>177</v>
      </c>
      <c r="C213" s="227" t="str">
        <f>IF(Recto!$C$3=Familles!B213,CONCATENATE(A213),"")</f>
        <v/>
      </c>
      <c r="D213" s="362" t="s">
        <v>31</v>
      </c>
      <c r="E213" s="364" t="s">
        <v>174</v>
      </c>
      <c r="F213" s="364" t="s">
        <v>6061</v>
      </c>
      <c r="G213" s="364">
        <v>291</v>
      </c>
      <c r="H213" s="196">
        <f t="shared" si="12"/>
        <v>7</v>
      </c>
      <c r="I213" s="196" t="str">
        <f t="shared" si="13"/>
        <v/>
      </c>
      <c r="J213" s="196" t="str">
        <f t="shared" si="14"/>
        <v/>
      </c>
      <c r="K213" s="295" t="str">
        <f t="shared" si="15"/>
        <v/>
      </c>
    </row>
    <row r="214" spans="1:11" x14ac:dyDescent="0.25">
      <c r="A214" s="227" t="s">
        <v>42</v>
      </c>
      <c r="B214" s="475" t="s">
        <v>179</v>
      </c>
      <c r="C214" s="227" t="str">
        <f>IF(Recto!$C$3=Familles!B214,CONCATENATE(A214),"")</f>
        <v/>
      </c>
      <c r="D214" s="362" t="s">
        <v>42</v>
      </c>
      <c r="E214" s="364" t="s">
        <v>19</v>
      </c>
      <c r="F214" s="364" t="s">
        <v>3</v>
      </c>
      <c r="G214" s="364">
        <v>130</v>
      </c>
      <c r="H214" s="196">
        <f t="shared" si="12"/>
        <v>8</v>
      </c>
      <c r="I214" s="196" t="str">
        <f t="shared" si="13"/>
        <v/>
      </c>
      <c r="J214" s="196" t="str">
        <f t="shared" si="14"/>
        <v/>
      </c>
      <c r="K214" s="295" t="str">
        <f t="shared" si="15"/>
        <v/>
      </c>
    </row>
    <row r="215" spans="1:11" s="196" customFormat="1" x14ac:dyDescent="0.25">
      <c r="A215" s="227" t="s">
        <v>7298</v>
      </c>
      <c r="B215" s="475" t="s">
        <v>7299</v>
      </c>
      <c r="C215" s="227" t="str">
        <f>IF(Recto!$C$3=Familles!B215,CONCATENATE(A215),"")</f>
        <v/>
      </c>
      <c r="D215" s="362" t="s">
        <v>7298</v>
      </c>
      <c r="E215" s="364" t="s">
        <v>169</v>
      </c>
      <c r="F215" s="364" t="s">
        <v>6753</v>
      </c>
      <c r="G215" s="364">
        <v>74</v>
      </c>
      <c r="H215" s="196">
        <f t="shared" si="12"/>
        <v>2</v>
      </c>
      <c r="I215" s="196" t="str">
        <f t="shared" si="13"/>
        <v/>
      </c>
      <c r="J215" s="196" t="str">
        <f t="shared" si="14"/>
        <v/>
      </c>
      <c r="K215" s="295" t="str">
        <f t="shared" si="15"/>
        <v/>
      </c>
    </row>
    <row r="216" spans="1:11" x14ac:dyDescent="0.25">
      <c r="A216" s="227" t="s">
        <v>35</v>
      </c>
      <c r="B216" s="475" t="s">
        <v>33</v>
      </c>
      <c r="C216" s="227" t="str">
        <f>IF(Recto!$C$3=Familles!B216,CONCATENATE(A216),"")</f>
        <v/>
      </c>
      <c r="D216" s="362" t="s">
        <v>35</v>
      </c>
      <c r="E216" s="364" t="s">
        <v>171</v>
      </c>
      <c r="F216" s="367" t="s">
        <v>3</v>
      </c>
      <c r="G216" s="364">
        <v>126</v>
      </c>
      <c r="H216" s="196">
        <f t="shared" si="12"/>
        <v>9</v>
      </c>
      <c r="I216" s="196" t="str">
        <f t="shared" si="13"/>
        <v/>
      </c>
      <c r="J216" s="196" t="str">
        <f t="shared" si="14"/>
        <v/>
      </c>
      <c r="K216" s="295" t="str">
        <f t="shared" si="15"/>
        <v/>
      </c>
    </row>
    <row r="217" spans="1:11" s="196" customFormat="1" x14ac:dyDescent="0.25">
      <c r="A217" s="227" t="s">
        <v>7730</v>
      </c>
      <c r="B217" s="475" t="s">
        <v>7731</v>
      </c>
      <c r="C217" s="227" t="str">
        <f>IF(Recto!$C$3=Familles!B217,CONCATENATE(A217),"")</f>
        <v/>
      </c>
      <c r="D217" s="362" t="s">
        <v>7730</v>
      </c>
      <c r="E217" s="364" t="s">
        <v>19</v>
      </c>
      <c r="F217" s="367" t="s">
        <v>7226</v>
      </c>
      <c r="G217" s="364">
        <v>87</v>
      </c>
      <c r="H217" s="196">
        <f t="shared" si="12"/>
        <v>8</v>
      </c>
      <c r="I217" s="196" t="str">
        <f t="shared" si="13"/>
        <v/>
      </c>
      <c r="J217" s="196" t="str">
        <f t="shared" si="14"/>
        <v/>
      </c>
      <c r="K217" s="295" t="str">
        <f t="shared" si="15"/>
        <v/>
      </c>
    </row>
    <row r="218" spans="1:11" x14ac:dyDescent="0.25">
      <c r="A218" s="365" t="s">
        <v>4358</v>
      </c>
      <c r="B218" s="475" t="s">
        <v>178</v>
      </c>
      <c r="C218" s="227" t="str">
        <f>IF(Recto!$C$3=Familles!B218,CONCATENATE(A218),"")</f>
        <v/>
      </c>
      <c r="D218" s="362" t="s">
        <v>25</v>
      </c>
      <c r="E218" s="364" t="s">
        <v>174</v>
      </c>
      <c r="F218" s="364" t="s">
        <v>6061</v>
      </c>
      <c r="G218" s="366">
        <v>291</v>
      </c>
      <c r="H218" s="196">
        <f t="shared" si="12"/>
        <v>7</v>
      </c>
      <c r="I218" s="196" t="str">
        <f t="shared" si="13"/>
        <v/>
      </c>
      <c r="J218" s="196" t="str">
        <f t="shared" si="14"/>
        <v/>
      </c>
      <c r="K218" s="295" t="str">
        <f t="shared" si="15"/>
        <v/>
      </c>
    </row>
    <row r="219" spans="1:11" x14ac:dyDescent="0.25">
      <c r="A219" s="227" t="s">
        <v>452</v>
      </c>
      <c r="B219" s="475" t="s">
        <v>397</v>
      </c>
      <c r="C219" s="227" t="str">
        <f>IF(Recto!$C$3=Familles!B219,CONCATENATE(A219),"")</f>
        <v/>
      </c>
      <c r="D219" s="362" t="s">
        <v>452</v>
      </c>
      <c r="E219" s="364" t="s">
        <v>398</v>
      </c>
      <c r="F219" s="364" t="s">
        <v>464</v>
      </c>
      <c r="G219" s="364">
        <v>245</v>
      </c>
      <c r="H219" s="196">
        <f t="shared" si="12"/>
        <v>0</v>
      </c>
      <c r="I219" s="196" t="str">
        <f t="shared" si="13"/>
        <v/>
      </c>
      <c r="J219" s="196" t="str">
        <f t="shared" si="14"/>
        <v/>
      </c>
      <c r="K219" s="295" t="str">
        <f t="shared" si="15"/>
        <v/>
      </c>
    </row>
    <row r="220" spans="1:11" x14ac:dyDescent="0.25">
      <c r="A220" s="227" t="s">
        <v>4369</v>
      </c>
      <c r="B220" s="475" t="s">
        <v>177</v>
      </c>
      <c r="C220" s="227" t="str">
        <f>IF(Recto!$C$3=Familles!B220,CONCATENATE(A220),"")</f>
        <v/>
      </c>
      <c r="D220" s="362" t="s">
        <v>32</v>
      </c>
      <c r="E220" s="364" t="s">
        <v>9</v>
      </c>
      <c r="F220" s="364" t="s">
        <v>6061</v>
      </c>
      <c r="G220" s="364">
        <v>287</v>
      </c>
      <c r="H220" s="196">
        <f t="shared" si="12"/>
        <v>4</v>
      </c>
      <c r="I220" s="196" t="str">
        <f t="shared" si="13"/>
        <v/>
      </c>
      <c r="J220" s="196" t="str">
        <f t="shared" si="14"/>
        <v/>
      </c>
      <c r="K220" s="295" t="str">
        <f t="shared" si="15"/>
        <v/>
      </c>
    </row>
    <row r="221" spans="1:11" x14ac:dyDescent="0.25">
      <c r="A221" s="227" t="s">
        <v>4394</v>
      </c>
      <c r="B221" s="475" t="s">
        <v>340</v>
      </c>
      <c r="C221" s="227" t="str">
        <f>IF(Recto!$C$3=Familles!B221,CONCATENATE(A221),"")</f>
        <v/>
      </c>
      <c r="D221" s="362" t="s">
        <v>395</v>
      </c>
      <c r="E221" s="364" t="s">
        <v>9</v>
      </c>
      <c r="F221" s="364" t="s">
        <v>2080</v>
      </c>
      <c r="G221" s="364">
        <v>101</v>
      </c>
      <c r="H221" s="196">
        <f t="shared" si="12"/>
        <v>4</v>
      </c>
      <c r="I221" s="196" t="str">
        <f t="shared" si="13"/>
        <v/>
      </c>
      <c r="J221" s="196" t="str">
        <f t="shared" si="14"/>
        <v/>
      </c>
      <c r="K221" s="295" t="str">
        <f t="shared" si="15"/>
        <v/>
      </c>
    </row>
    <row r="222" spans="1:11" x14ac:dyDescent="0.25">
      <c r="A222" s="227" t="s">
        <v>36</v>
      </c>
      <c r="B222" s="475" t="s">
        <v>33</v>
      </c>
      <c r="C222" s="227" t="str">
        <f>IF(Recto!$C$3=Familles!B222,CONCATENATE(A222),"")</f>
        <v/>
      </c>
      <c r="D222" s="362" t="s">
        <v>36</v>
      </c>
      <c r="E222" s="364" t="s">
        <v>6</v>
      </c>
      <c r="F222" s="367" t="s">
        <v>3</v>
      </c>
      <c r="G222" s="364">
        <v>126</v>
      </c>
      <c r="H222" s="196">
        <f t="shared" si="12"/>
        <v>3</v>
      </c>
      <c r="I222" s="196" t="str">
        <f t="shared" si="13"/>
        <v/>
      </c>
      <c r="J222" s="196" t="str">
        <f t="shared" si="14"/>
        <v/>
      </c>
      <c r="K222" s="295" t="str">
        <f t="shared" si="15"/>
        <v/>
      </c>
    </row>
    <row r="223" spans="1:11" x14ac:dyDescent="0.25">
      <c r="A223" s="365" t="s">
        <v>4361</v>
      </c>
      <c r="B223" s="475" t="s">
        <v>178</v>
      </c>
      <c r="C223" s="227" t="str">
        <f>IF(Recto!$C$3=Familles!B223,CONCATENATE(A223),"")</f>
        <v/>
      </c>
      <c r="D223" s="362" t="s">
        <v>27</v>
      </c>
      <c r="E223" s="364" t="s">
        <v>9</v>
      </c>
      <c r="F223" s="364" t="s">
        <v>6061</v>
      </c>
      <c r="G223" s="366">
        <v>291</v>
      </c>
      <c r="H223" s="196">
        <f t="shared" si="12"/>
        <v>4</v>
      </c>
      <c r="I223" s="196" t="str">
        <f t="shared" si="13"/>
        <v/>
      </c>
      <c r="J223" s="196" t="str">
        <f t="shared" si="14"/>
        <v/>
      </c>
      <c r="K223" s="295" t="str">
        <f t="shared" si="15"/>
        <v/>
      </c>
    </row>
    <row r="224" spans="1:11" x14ac:dyDescent="0.25">
      <c r="A224" s="365" t="s">
        <v>4361</v>
      </c>
      <c r="B224" s="475" t="s">
        <v>2103</v>
      </c>
      <c r="C224" s="227" t="str">
        <f>IF(Recto!$C$3=Familles!B224,CONCATENATE(A224),"")</f>
        <v/>
      </c>
      <c r="D224" s="362" t="s">
        <v>27</v>
      </c>
      <c r="E224" s="364" t="s">
        <v>9</v>
      </c>
      <c r="F224" s="364" t="s">
        <v>6061</v>
      </c>
      <c r="G224" s="366">
        <v>291</v>
      </c>
      <c r="H224" s="196">
        <f t="shared" si="12"/>
        <v>4</v>
      </c>
      <c r="I224" s="196" t="str">
        <f t="shared" si="13"/>
        <v/>
      </c>
      <c r="J224" s="196" t="str">
        <f t="shared" si="14"/>
        <v/>
      </c>
      <c r="K224" s="295" t="str">
        <f t="shared" si="15"/>
        <v/>
      </c>
    </row>
    <row r="225" spans="1:11" x14ac:dyDescent="0.25">
      <c r="A225" s="227" t="s">
        <v>4379</v>
      </c>
      <c r="B225" s="475" t="s">
        <v>179</v>
      </c>
      <c r="C225" s="227" t="str">
        <f>IF(Recto!$C$3=Familles!B225,CONCATENATE(A225),"")</f>
        <v/>
      </c>
      <c r="D225" s="362" t="s">
        <v>39</v>
      </c>
      <c r="E225" s="364" t="s">
        <v>9</v>
      </c>
      <c r="F225" s="364" t="s">
        <v>6061</v>
      </c>
      <c r="G225" s="364">
        <v>288</v>
      </c>
      <c r="H225" s="196">
        <f t="shared" si="12"/>
        <v>4</v>
      </c>
      <c r="I225" s="196" t="str">
        <f t="shared" si="13"/>
        <v/>
      </c>
      <c r="J225" s="196" t="str">
        <f t="shared" si="14"/>
        <v/>
      </c>
      <c r="K225" s="295" t="str">
        <f t="shared" si="15"/>
        <v/>
      </c>
    </row>
    <row r="226" spans="1:11" x14ac:dyDescent="0.25">
      <c r="A226" s="227" t="s">
        <v>9067</v>
      </c>
      <c r="B226" s="475" t="s">
        <v>181</v>
      </c>
      <c r="C226" s="227" t="str">
        <f>IF(Recto!$C$3=Familles!B226,CONCATENATE(A226),"")</f>
        <v/>
      </c>
      <c r="D226" s="362" t="s">
        <v>9067</v>
      </c>
      <c r="E226" s="364" t="s">
        <v>171</v>
      </c>
      <c r="F226" s="364" t="s">
        <v>162</v>
      </c>
      <c r="G226" s="364">
        <v>286</v>
      </c>
      <c r="H226" s="196">
        <f>IF(E226="+1 Force",1,IF(E226="+1 Agilité",2,IF(E226="+1 Intelligence",3,IF(E226="+1 Perception",4,IF(E226="+1 Constitution",5,IF(E226="+1 Vide",6,IF(E226="+1 Volonté",7,IF(E226="+1 Reflexes",8,IF(E226="+1 Intuition",9,0)))))))))</f>
        <v>9</v>
      </c>
      <c r="I226" s="196" t="str">
        <f t="shared" si="13"/>
        <v/>
      </c>
      <c r="J226" s="196" t="str">
        <f t="shared" si="14"/>
        <v/>
      </c>
      <c r="K226" s="295" t="str">
        <f t="shared" si="15"/>
        <v/>
      </c>
    </row>
    <row r="227" spans="1:11" x14ac:dyDescent="0.25">
      <c r="A227" s="227" t="s">
        <v>392</v>
      </c>
      <c r="B227" s="475" t="s">
        <v>339</v>
      </c>
      <c r="C227" s="227" t="str">
        <f>IF(Recto!$C$3=Familles!B227,CONCATENATE(A227),"")</f>
        <v/>
      </c>
      <c r="D227" s="362" t="s">
        <v>392</v>
      </c>
      <c r="E227" s="364" t="s">
        <v>171</v>
      </c>
      <c r="F227" s="364" t="s">
        <v>3</v>
      </c>
      <c r="G227" s="364">
        <v>224</v>
      </c>
      <c r="H227" s="196">
        <f t="shared" si="12"/>
        <v>9</v>
      </c>
      <c r="I227" s="196" t="str">
        <f t="shared" si="13"/>
        <v/>
      </c>
      <c r="J227" s="196" t="str">
        <f t="shared" si="14"/>
        <v/>
      </c>
      <c r="K227" s="295" t="str">
        <f t="shared" si="15"/>
        <v/>
      </c>
    </row>
    <row r="228" spans="1:11" x14ac:dyDescent="0.25">
      <c r="A228" s="227" t="s">
        <v>18</v>
      </c>
      <c r="B228" s="475" t="s">
        <v>15</v>
      </c>
      <c r="C228" s="227" t="str">
        <f>IF(Recto!$C$3=Familles!B228,CONCATENATE(A228),"")</f>
        <v/>
      </c>
      <c r="D228" s="362" t="s">
        <v>18</v>
      </c>
      <c r="E228" s="364" t="s">
        <v>174</v>
      </c>
      <c r="F228" s="364" t="s">
        <v>3</v>
      </c>
      <c r="G228" s="364">
        <v>112</v>
      </c>
      <c r="H228" s="196">
        <f t="shared" si="12"/>
        <v>7</v>
      </c>
      <c r="I228" s="196" t="str">
        <f t="shared" si="13"/>
        <v/>
      </c>
      <c r="J228" s="196" t="str">
        <f t="shared" si="14"/>
        <v/>
      </c>
      <c r="K228" s="295" t="str">
        <f t="shared" si="15"/>
        <v/>
      </c>
    </row>
    <row r="229" spans="1:11" x14ac:dyDescent="0.25">
      <c r="A229" s="227" t="s">
        <v>4377</v>
      </c>
      <c r="B229" s="475" t="s">
        <v>33</v>
      </c>
      <c r="C229" s="227" t="str">
        <f>IF(Recto!$C$3=Familles!B229,CONCATENATE(A229),"")</f>
        <v/>
      </c>
      <c r="D229" s="362" t="s">
        <v>37</v>
      </c>
      <c r="E229" s="364" t="s">
        <v>174</v>
      </c>
      <c r="F229" s="364" t="s">
        <v>6061</v>
      </c>
      <c r="G229" s="364">
        <v>288</v>
      </c>
      <c r="H229" s="196">
        <f t="shared" si="12"/>
        <v>7</v>
      </c>
      <c r="I229" s="196" t="str">
        <f t="shared" si="13"/>
        <v/>
      </c>
      <c r="J229" s="196" t="str">
        <f t="shared" si="14"/>
        <v/>
      </c>
      <c r="K229" s="295" t="str">
        <f t="shared" si="15"/>
        <v/>
      </c>
    </row>
    <row r="230" spans="1:11" s="196" customFormat="1" x14ac:dyDescent="0.25">
      <c r="A230" s="227" t="s">
        <v>6780</v>
      </c>
      <c r="B230" s="475" t="s">
        <v>6781</v>
      </c>
      <c r="C230" s="227" t="str">
        <f>IF(Recto!$C$3=Familles!B230,CONCATENATE(A230),"")</f>
        <v/>
      </c>
      <c r="D230" s="362" t="s">
        <v>6780</v>
      </c>
      <c r="E230" s="364" t="s">
        <v>6</v>
      </c>
      <c r="F230" s="364" t="s">
        <v>6753</v>
      </c>
      <c r="G230" s="364">
        <v>87</v>
      </c>
      <c r="H230" s="196">
        <f t="shared" si="12"/>
        <v>3</v>
      </c>
      <c r="I230" s="196" t="str">
        <f t="shared" si="13"/>
        <v/>
      </c>
      <c r="J230" s="196" t="str">
        <f t="shared" si="14"/>
        <v/>
      </c>
      <c r="K230" s="295" t="str">
        <f t="shared" si="15"/>
        <v/>
      </c>
    </row>
    <row r="231" spans="1:11" s="196" customFormat="1" x14ac:dyDescent="0.25">
      <c r="A231" s="227" t="s">
        <v>6776</v>
      </c>
      <c r="B231" s="475" t="s">
        <v>6777</v>
      </c>
      <c r="C231" s="227" t="str">
        <f>IF(Recto!$C$3=Familles!B231,CONCATENATE(A231),"")</f>
        <v/>
      </c>
      <c r="D231" s="362" t="s">
        <v>6776</v>
      </c>
      <c r="E231" s="364" t="s">
        <v>169</v>
      </c>
      <c r="F231" s="364" t="s">
        <v>6753</v>
      </c>
      <c r="G231" s="364">
        <v>82</v>
      </c>
      <c r="H231" s="196">
        <f t="shared" si="12"/>
        <v>2</v>
      </c>
      <c r="I231" s="196" t="str">
        <f t="shared" si="13"/>
        <v/>
      </c>
      <c r="J231" s="196" t="str">
        <f t="shared" si="14"/>
        <v/>
      </c>
      <c r="K231" s="295" t="str">
        <f t="shared" si="15"/>
        <v/>
      </c>
    </row>
    <row r="232" spans="1:11" s="196" customFormat="1" x14ac:dyDescent="0.25">
      <c r="A232" s="227" t="s">
        <v>6804</v>
      </c>
      <c r="B232" s="475" t="s">
        <v>6804</v>
      </c>
      <c r="C232" s="227" t="str">
        <f>IF(Recto!$C$3=Familles!B232,CONCATENATE(A232),"")</f>
        <v/>
      </c>
      <c r="D232" s="362" t="s">
        <v>6804</v>
      </c>
      <c r="E232" s="364" t="s">
        <v>172</v>
      </c>
      <c r="F232" s="364" t="s">
        <v>6753</v>
      </c>
      <c r="G232" s="364">
        <v>131</v>
      </c>
      <c r="H232" s="196">
        <f>IF(E232="+1 Force",1,IF(E232="+1 Agilité",2,IF(E232="+1 Intelligence",3,IF(E232="+1 Perception",4,IF(E232="+1 Constitution",5,IF(E232="+1 Vide",6,IF(E232="+1 Volonté",7,IF(E232="+1 Reflexes",8,IF(E232="+1 Intuition",9,0)))))))))</f>
        <v>5</v>
      </c>
      <c r="I232" s="196" t="str">
        <f t="shared" si="13"/>
        <v/>
      </c>
      <c r="J232" s="196" t="str">
        <f t="shared" si="14"/>
        <v/>
      </c>
      <c r="K232" s="295" t="str">
        <f t="shared" si="15"/>
        <v/>
      </c>
    </row>
    <row r="233" spans="1:11" x14ac:dyDescent="0.25">
      <c r="A233" s="227" t="s">
        <v>4388</v>
      </c>
      <c r="B233" s="475" t="s">
        <v>180</v>
      </c>
      <c r="C233" s="227" t="str">
        <f>IF(Recto!$C$3=Familles!B233,CONCATENATE(A233),"")</f>
        <v/>
      </c>
      <c r="D233" s="362" t="s">
        <v>382</v>
      </c>
      <c r="E233" s="364" t="s">
        <v>170</v>
      </c>
      <c r="F233" s="364" t="s">
        <v>2080</v>
      </c>
      <c r="G233" s="364">
        <v>22</v>
      </c>
      <c r="H233" s="196">
        <f>IF(E233="+1 Force",1,IF(E233="+1 Agilité",2,IF(E233="+1 Intelligence",3,IF(E233="+1 Perception",4,IF(E233="+1 Constitution",5,IF(E233="+1 Vide",6,IF(E233="+1 Volonté",7,IF(E233="+1 Reflexes",8,IF(E233="+1 Intuition",9,0)))))))))</f>
        <v>1</v>
      </c>
      <c r="I233" s="196" t="str">
        <f t="shared" si="13"/>
        <v/>
      </c>
      <c r="J233" s="196" t="str">
        <f t="shared" si="14"/>
        <v/>
      </c>
      <c r="K233" s="295" t="str">
        <f t="shared" si="15"/>
        <v/>
      </c>
    </row>
    <row r="234" spans="1:11" x14ac:dyDescent="0.25">
      <c r="A234" s="227" t="s">
        <v>437</v>
      </c>
      <c r="B234" s="475" t="s">
        <v>56</v>
      </c>
      <c r="C234" s="227" t="str">
        <f>IF(Recto!$C$3=Familles!B234,CONCATENATE(A234),"")</f>
        <v/>
      </c>
      <c r="D234" s="362" t="s">
        <v>437</v>
      </c>
      <c r="E234" s="364" t="s">
        <v>172</v>
      </c>
      <c r="F234" s="364" t="s">
        <v>464</v>
      </c>
      <c r="G234" s="364">
        <v>101</v>
      </c>
      <c r="H234" s="196">
        <f t="shared" ref="H234:H267" si="16">IF(E234="+1 Force",1,IF(E234="+1 Agilité",2,IF(E234="+1 Intelligence",3,IF(E234="+1 Perception",4,IF(E234="+1 Constitution",5,IF(E234="+1 Vide",6,IF(E234="+1 Volonté",7,IF(E234="+1 Reflexes",8,IF(E234="+1 Intuition",9,0)))))))))</f>
        <v>5</v>
      </c>
      <c r="I234" s="196" t="str">
        <f t="shared" si="13"/>
        <v/>
      </c>
      <c r="J234" s="196" t="str">
        <f t="shared" si="14"/>
        <v/>
      </c>
      <c r="K234" s="295" t="str">
        <f t="shared" si="15"/>
        <v/>
      </c>
    </row>
    <row r="235" spans="1:11" x14ac:dyDescent="0.25">
      <c r="A235" s="227" t="s">
        <v>1920</v>
      </c>
      <c r="B235" s="475" t="s">
        <v>15</v>
      </c>
      <c r="C235" s="227" t="str">
        <f>IF(Recto!$C$3=Familles!B235,CONCATENATE(A235),"")</f>
        <v/>
      </c>
      <c r="D235" s="362" t="s">
        <v>1920</v>
      </c>
      <c r="E235" s="364" t="s">
        <v>19</v>
      </c>
      <c r="F235" s="364" t="s">
        <v>3</v>
      </c>
      <c r="G235" s="364">
        <v>112</v>
      </c>
      <c r="H235" s="196">
        <f t="shared" si="16"/>
        <v>8</v>
      </c>
      <c r="I235" s="196" t="str">
        <f t="shared" si="13"/>
        <v/>
      </c>
      <c r="J235" s="196" t="str">
        <f t="shared" si="14"/>
        <v/>
      </c>
      <c r="K235" s="295" t="str">
        <f t="shared" si="15"/>
        <v/>
      </c>
    </row>
    <row r="236" spans="1:11" x14ac:dyDescent="0.25">
      <c r="A236" s="227" t="s">
        <v>4374</v>
      </c>
      <c r="B236" s="475" t="s">
        <v>33</v>
      </c>
      <c r="C236" s="227" t="str">
        <f>IF(Recto!$C$3=Familles!B236,CONCATENATE(A236),"")</f>
        <v/>
      </c>
      <c r="D236" s="362" t="s">
        <v>35</v>
      </c>
      <c r="E236" s="364" t="s">
        <v>171</v>
      </c>
      <c r="F236" s="364" t="s">
        <v>6061</v>
      </c>
      <c r="G236" s="364">
        <v>288</v>
      </c>
      <c r="H236" s="196">
        <f t="shared" si="16"/>
        <v>9</v>
      </c>
      <c r="I236" s="196" t="str">
        <f t="shared" si="13"/>
        <v/>
      </c>
      <c r="J236" s="196" t="str">
        <f t="shared" si="14"/>
        <v/>
      </c>
      <c r="K236" s="295" t="str">
        <f t="shared" si="15"/>
        <v/>
      </c>
    </row>
    <row r="237" spans="1:11" x14ac:dyDescent="0.25">
      <c r="A237" s="227" t="s">
        <v>166</v>
      </c>
      <c r="B237" s="475" t="s">
        <v>185</v>
      </c>
      <c r="C237" s="227" t="str">
        <f>IF(Recto!$C$3=Familles!B237,CONCATENATE(A237),"")</f>
        <v/>
      </c>
      <c r="D237" s="362" t="s">
        <v>166</v>
      </c>
      <c r="E237" s="364" t="s">
        <v>172</v>
      </c>
      <c r="F237" s="364" t="s">
        <v>3</v>
      </c>
      <c r="G237" s="364">
        <v>221</v>
      </c>
      <c r="H237" s="196">
        <f t="shared" si="16"/>
        <v>5</v>
      </c>
      <c r="I237" s="196" t="str">
        <f t="shared" si="13"/>
        <v/>
      </c>
      <c r="J237" s="196" t="str">
        <f t="shared" si="14"/>
        <v/>
      </c>
      <c r="K237" s="295" t="str">
        <f t="shared" si="15"/>
        <v/>
      </c>
    </row>
    <row r="238" spans="1:11" x14ac:dyDescent="0.25">
      <c r="A238" s="227" t="s">
        <v>4402</v>
      </c>
      <c r="B238" s="475" t="s">
        <v>335</v>
      </c>
      <c r="C238" s="227" t="str">
        <f>IF(Recto!$C$3=Familles!B238,CONCATENATE(A238),"")</f>
        <v/>
      </c>
      <c r="D238" s="362" t="s">
        <v>4402</v>
      </c>
      <c r="E238" s="364" t="s">
        <v>171</v>
      </c>
      <c r="F238" s="364" t="s">
        <v>3</v>
      </c>
      <c r="G238" s="364">
        <v>218</v>
      </c>
      <c r="H238" s="196">
        <f t="shared" si="16"/>
        <v>9</v>
      </c>
      <c r="I238" s="196" t="str">
        <f t="shared" si="13"/>
        <v/>
      </c>
      <c r="J238" s="196" t="str">
        <f t="shared" si="14"/>
        <v/>
      </c>
      <c r="K238" s="295" t="str">
        <f t="shared" si="15"/>
        <v/>
      </c>
    </row>
    <row r="239" spans="1:11" x14ac:dyDescent="0.25">
      <c r="A239" s="227" t="s">
        <v>8</v>
      </c>
      <c r="B239" s="475" t="s">
        <v>175</v>
      </c>
      <c r="C239" s="227" t="str">
        <f>IF(Recto!$C$3=Familles!B239,CONCATENATE(A239),"")</f>
        <v/>
      </c>
      <c r="D239" s="362" t="s">
        <v>8</v>
      </c>
      <c r="E239" s="364" t="s">
        <v>9</v>
      </c>
      <c r="F239" s="364" t="s">
        <v>3</v>
      </c>
      <c r="G239" s="364">
        <v>106</v>
      </c>
      <c r="H239" s="196">
        <f t="shared" si="16"/>
        <v>4</v>
      </c>
      <c r="I239" s="196" t="str">
        <f t="shared" si="13"/>
        <v/>
      </c>
      <c r="J239" s="196" t="str">
        <f t="shared" si="14"/>
        <v/>
      </c>
      <c r="K239" s="295" t="str">
        <f t="shared" si="15"/>
        <v/>
      </c>
    </row>
    <row r="240" spans="1:11" x14ac:dyDescent="0.25">
      <c r="A240" s="227" t="s">
        <v>8</v>
      </c>
      <c r="B240" s="475" t="s">
        <v>384</v>
      </c>
      <c r="C240" s="227" t="str">
        <f>IF(Recto!$C$3=Familles!B240,CONCATENATE(A240),"")</f>
        <v/>
      </c>
      <c r="D240" s="362" t="s">
        <v>8</v>
      </c>
      <c r="E240" s="364" t="s">
        <v>9</v>
      </c>
      <c r="F240" s="364" t="s">
        <v>3</v>
      </c>
      <c r="G240" s="364">
        <v>218</v>
      </c>
      <c r="H240" s="196">
        <f t="shared" si="16"/>
        <v>4</v>
      </c>
      <c r="I240" s="196" t="str">
        <f t="shared" si="13"/>
        <v/>
      </c>
      <c r="J240" s="196" t="str">
        <f t="shared" si="14"/>
        <v/>
      </c>
      <c r="K240" s="295" t="str">
        <f t="shared" si="15"/>
        <v/>
      </c>
    </row>
    <row r="241" spans="1:11" s="196" customFormat="1" x14ac:dyDescent="0.25">
      <c r="A241" s="227" t="s">
        <v>7288</v>
      </c>
      <c r="B241" s="475" t="s">
        <v>6787</v>
      </c>
      <c r="C241" s="227" t="str">
        <f>IF(Recto!$C$3=Familles!B241,CONCATENATE(A241),"")</f>
        <v/>
      </c>
      <c r="D241" s="362" t="s">
        <v>7288</v>
      </c>
      <c r="E241" s="364" t="s">
        <v>174</v>
      </c>
      <c r="F241" s="364" t="s">
        <v>6753</v>
      </c>
      <c r="G241" s="364">
        <v>100</v>
      </c>
      <c r="H241" s="196">
        <f>IF(E241="+1 Force",1,IF(E241="+1 Agilité",2,IF(E241="+1 Intelligence",3,IF(E241="+1 Perception",4,IF(E241="+1 Constitution",5,IF(E241="+1 Vide",6,IF(E241="+1 Volonté",7,IF(E241="+1 Reflexes",8,IF(E241="+1 Intuition",9,0)))))))))</f>
        <v>7</v>
      </c>
      <c r="I241" s="196" t="str">
        <f t="shared" si="13"/>
        <v/>
      </c>
      <c r="J241" s="196" t="str">
        <f t="shared" si="14"/>
        <v/>
      </c>
      <c r="K241" s="295" t="str">
        <f t="shared" si="15"/>
        <v/>
      </c>
    </row>
    <row r="242" spans="1:11" x14ac:dyDescent="0.25">
      <c r="A242" s="227" t="s">
        <v>52</v>
      </c>
      <c r="B242" s="475" t="s">
        <v>47</v>
      </c>
      <c r="C242" s="227" t="str">
        <f>IF(Recto!$C$3=Familles!B242,CONCATENATE(A242),"")</f>
        <v/>
      </c>
      <c r="D242" s="362" t="s">
        <v>52</v>
      </c>
      <c r="E242" s="364" t="s">
        <v>174</v>
      </c>
      <c r="F242" s="364" t="s">
        <v>3</v>
      </c>
      <c r="G242" s="364">
        <v>228</v>
      </c>
      <c r="H242" s="196">
        <f t="shared" si="16"/>
        <v>7</v>
      </c>
      <c r="I242" s="196" t="str">
        <f t="shared" si="13"/>
        <v/>
      </c>
      <c r="J242" s="196" t="str">
        <f t="shared" si="14"/>
        <v/>
      </c>
      <c r="K242" s="295" t="str">
        <f t="shared" si="15"/>
        <v/>
      </c>
    </row>
    <row r="243" spans="1:11" s="196" customFormat="1" x14ac:dyDescent="0.25">
      <c r="A243" s="227" t="s">
        <v>52</v>
      </c>
      <c r="B243" s="475" t="s">
        <v>388</v>
      </c>
      <c r="C243" s="227" t="str">
        <f>IF(Recto!$C$3=Familles!B243,CONCATENATE(A243),"")</f>
        <v/>
      </c>
      <c r="D243" s="362" t="s">
        <v>52</v>
      </c>
      <c r="E243" s="364" t="s">
        <v>174</v>
      </c>
      <c r="F243" s="364" t="s">
        <v>3</v>
      </c>
      <c r="G243" s="364">
        <v>228</v>
      </c>
      <c r="H243" s="196">
        <f t="shared" si="16"/>
        <v>7</v>
      </c>
      <c r="I243" s="196" t="str">
        <f t="shared" si="13"/>
        <v/>
      </c>
      <c r="J243" s="196" t="str">
        <f t="shared" si="14"/>
        <v/>
      </c>
      <c r="K243" s="295" t="str">
        <f t="shared" si="15"/>
        <v/>
      </c>
    </row>
    <row r="244" spans="1:11" x14ac:dyDescent="0.25">
      <c r="A244" s="227" t="s">
        <v>446</v>
      </c>
      <c r="B244" s="475" t="s">
        <v>56</v>
      </c>
      <c r="C244" s="227" t="str">
        <f>IF(Recto!$C$3=Familles!B244,CONCATENATE(A244),"")</f>
        <v/>
      </c>
      <c r="D244" s="362" t="s">
        <v>446</v>
      </c>
      <c r="E244" s="364" t="s">
        <v>174</v>
      </c>
      <c r="F244" s="364" t="s">
        <v>464</v>
      </c>
      <c r="G244" s="364">
        <v>105</v>
      </c>
      <c r="H244" s="196">
        <f t="shared" si="16"/>
        <v>7</v>
      </c>
      <c r="I244" s="196" t="str">
        <f t="shared" si="13"/>
        <v/>
      </c>
      <c r="J244" s="196" t="str">
        <f t="shared" si="14"/>
        <v/>
      </c>
      <c r="K244" s="295" t="str">
        <f t="shared" si="15"/>
        <v/>
      </c>
    </row>
    <row r="245" spans="1:11" x14ac:dyDescent="0.25">
      <c r="A245" s="227" t="s">
        <v>155</v>
      </c>
      <c r="B245" s="475" t="s">
        <v>337</v>
      </c>
      <c r="C245" s="227" t="str">
        <f>IF(Recto!$C$3=Familles!B245,CONCATENATE(A245),"")</f>
        <v/>
      </c>
      <c r="D245" s="362" t="s">
        <v>155</v>
      </c>
      <c r="E245" s="364" t="s">
        <v>170</v>
      </c>
      <c r="F245" s="364" t="s">
        <v>3</v>
      </c>
      <c r="G245" s="364">
        <v>222</v>
      </c>
      <c r="H245" s="196">
        <f t="shared" si="16"/>
        <v>1</v>
      </c>
      <c r="I245" s="196" t="str">
        <f t="shared" si="13"/>
        <v/>
      </c>
      <c r="J245" s="196" t="str">
        <f t="shared" si="14"/>
        <v/>
      </c>
      <c r="K245" s="295" t="str">
        <f t="shared" si="15"/>
        <v/>
      </c>
    </row>
    <row r="246" spans="1:11" x14ac:dyDescent="0.25">
      <c r="A246" s="371" t="s">
        <v>155</v>
      </c>
      <c r="B246" s="475" t="s">
        <v>61</v>
      </c>
      <c r="C246" s="227" t="str">
        <f>IF(Recto!$C$3=Familles!B246,CONCATENATE(A246),"")</f>
        <v/>
      </c>
      <c r="D246" s="372" t="s">
        <v>155</v>
      </c>
      <c r="E246" s="364" t="s">
        <v>174</v>
      </c>
      <c r="F246" s="367" t="s">
        <v>150</v>
      </c>
      <c r="G246" s="367">
        <v>275</v>
      </c>
      <c r="H246" s="196">
        <f t="shared" si="16"/>
        <v>7</v>
      </c>
      <c r="I246" s="196" t="str">
        <f t="shared" si="13"/>
        <v/>
      </c>
      <c r="J246" s="196" t="str">
        <f t="shared" si="14"/>
        <v/>
      </c>
      <c r="K246" s="295" t="str">
        <f t="shared" si="15"/>
        <v/>
      </c>
    </row>
    <row r="247" spans="1:11" x14ac:dyDescent="0.25">
      <c r="A247" s="371" t="s">
        <v>156</v>
      </c>
      <c r="B247" s="475" t="s">
        <v>61</v>
      </c>
      <c r="C247" s="227" t="str">
        <f>IF(Recto!$C$3=Familles!B247,CONCATENATE(A247),"")</f>
        <v/>
      </c>
      <c r="D247" s="372" t="s">
        <v>156</v>
      </c>
      <c r="E247" s="364" t="s">
        <v>19</v>
      </c>
      <c r="F247" s="367" t="s">
        <v>150</v>
      </c>
      <c r="G247" s="367">
        <v>275</v>
      </c>
      <c r="H247" s="196">
        <f t="shared" si="16"/>
        <v>8</v>
      </c>
      <c r="I247" s="196" t="str">
        <f t="shared" si="13"/>
        <v/>
      </c>
      <c r="J247" s="196" t="str">
        <f t="shared" si="14"/>
        <v/>
      </c>
      <c r="K247" s="295" t="str">
        <f t="shared" si="15"/>
        <v/>
      </c>
    </row>
    <row r="248" spans="1:11" x14ac:dyDescent="0.25">
      <c r="A248" s="227" t="s">
        <v>156</v>
      </c>
      <c r="B248" s="475" t="s">
        <v>176</v>
      </c>
      <c r="C248" s="227" t="str">
        <f>IF(Recto!$C$3=Familles!B248,CONCATENATE(A248),"")</f>
        <v/>
      </c>
      <c r="D248" s="362" t="s">
        <v>13</v>
      </c>
      <c r="E248" s="364" t="s">
        <v>171</v>
      </c>
      <c r="F248" s="364" t="s">
        <v>6061</v>
      </c>
      <c r="G248" s="364">
        <v>291</v>
      </c>
      <c r="H248" s="196">
        <f t="shared" si="16"/>
        <v>9</v>
      </c>
      <c r="I248" s="196" t="str">
        <f t="shared" si="13"/>
        <v/>
      </c>
      <c r="J248" s="196" t="str">
        <f t="shared" si="14"/>
        <v/>
      </c>
      <c r="K248" s="295" t="str">
        <f t="shared" si="15"/>
        <v/>
      </c>
    </row>
    <row r="249" spans="1:11" x14ac:dyDescent="0.25">
      <c r="A249" s="227" t="s">
        <v>27</v>
      </c>
      <c r="B249" s="475" t="s">
        <v>178</v>
      </c>
      <c r="C249" s="227" t="str">
        <f>IF(Recto!$C$3=Familles!B249,CONCATENATE(A249),"")</f>
        <v/>
      </c>
      <c r="D249" s="362" t="s">
        <v>27</v>
      </c>
      <c r="E249" s="364" t="s">
        <v>9</v>
      </c>
      <c r="F249" s="364" t="s">
        <v>3</v>
      </c>
      <c r="G249" s="364">
        <v>120</v>
      </c>
      <c r="H249" s="196">
        <f t="shared" si="16"/>
        <v>4</v>
      </c>
      <c r="I249" s="196" t="str">
        <f t="shared" si="13"/>
        <v/>
      </c>
      <c r="J249" s="196" t="str">
        <f t="shared" si="14"/>
        <v/>
      </c>
      <c r="K249" s="295" t="str">
        <f t="shared" si="15"/>
        <v/>
      </c>
    </row>
    <row r="250" spans="1:11" x14ac:dyDescent="0.25">
      <c r="A250" s="227" t="s">
        <v>4372</v>
      </c>
      <c r="B250" s="475" t="s">
        <v>33</v>
      </c>
      <c r="C250" s="227" t="str">
        <f>IF(Recto!$C$3=Familles!B250,CONCATENATE(A250),"")</f>
        <v/>
      </c>
      <c r="D250" s="362" t="s">
        <v>34</v>
      </c>
      <c r="E250" s="364" t="s">
        <v>169</v>
      </c>
      <c r="F250" s="364" t="s">
        <v>158</v>
      </c>
      <c r="G250" s="364">
        <v>36</v>
      </c>
      <c r="H250" s="196">
        <f t="shared" si="16"/>
        <v>2</v>
      </c>
      <c r="I250" s="196" t="str">
        <f t="shared" si="13"/>
        <v/>
      </c>
      <c r="J250" s="196" t="str">
        <f t="shared" si="14"/>
        <v/>
      </c>
      <c r="K250" s="295" t="str">
        <f t="shared" si="15"/>
        <v/>
      </c>
    </row>
    <row r="251" spans="1:11" x14ac:dyDescent="0.25">
      <c r="A251" s="227" t="s">
        <v>4334</v>
      </c>
      <c r="B251" s="475" t="s">
        <v>175</v>
      </c>
      <c r="C251" s="227" t="str">
        <f>IF(Recto!$C$3=Familles!B251,CONCATENATE(A251),"")</f>
        <v/>
      </c>
      <c r="D251" s="362" t="s">
        <v>7</v>
      </c>
      <c r="E251" s="364" t="s">
        <v>6</v>
      </c>
      <c r="F251" s="364" t="s">
        <v>6061</v>
      </c>
      <c r="G251" s="364">
        <v>285</v>
      </c>
      <c r="H251" s="196">
        <f t="shared" si="16"/>
        <v>3</v>
      </c>
      <c r="I251" s="196" t="str">
        <f t="shared" si="13"/>
        <v/>
      </c>
      <c r="J251" s="196" t="str">
        <f t="shared" si="14"/>
        <v/>
      </c>
      <c r="K251" s="295" t="str">
        <f t="shared" si="15"/>
        <v/>
      </c>
    </row>
    <row r="252" spans="1:11" x14ac:dyDescent="0.25">
      <c r="A252" s="227" t="s">
        <v>386</v>
      </c>
      <c r="B252" s="475" t="s">
        <v>184</v>
      </c>
      <c r="C252" s="227" t="str">
        <f>IF(Recto!$C$3=Familles!B252,CONCATENATE(A252),"")</f>
        <v/>
      </c>
      <c r="D252" s="362" t="s">
        <v>386</v>
      </c>
      <c r="E252" s="364" t="s">
        <v>169</v>
      </c>
      <c r="F252" s="364" t="s">
        <v>3</v>
      </c>
      <c r="G252" s="364">
        <v>220</v>
      </c>
      <c r="H252" s="196">
        <f t="shared" si="16"/>
        <v>2</v>
      </c>
      <c r="I252" s="196" t="str">
        <f t="shared" si="13"/>
        <v/>
      </c>
      <c r="J252" s="196" t="str">
        <f t="shared" si="14"/>
        <v/>
      </c>
      <c r="K252" s="295" t="str">
        <f t="shared" si="15"/>
        <v/>
      </c>
    </row>
    <row r="253" spans="1:11" s="196" customFormat="1" x14ac:dyDescent="0.25">
      <c r="A253" s="227" t="s">
        <v>8256</v>
      </c>
      <c r="B253" s="475" t="s">
        <v>8257</v>
      </c>
      <c r="C253" s="227" t="str">
        <f>IF(Recto!$C$3=Familles!B253,CONCATENATE(A253),"")</f>
        <v/>
      </c>
      <c r="D253" s="362" t="s">
        <v>8256</v>
      </c>
      <c r="E253" s="364" t="s">
        <v>6</v>
      </c>
      <c r="F253" s="364" t="s">
        <v>6753</v>
      </c>
      <c r="G253" s="364">
        <v>23</v>
      </c>
      <c r="H253" s="196">
        <f t="shared" si="16"/>
        <v>3</v>
      </c>
      <c r="I253" s="196" t="str">
        <f t="shared" si="13"/>
        <v/>
      </c>
      <c r="J253" s="196" t="str">
        <f t="shared" si="14"/>
        <v/>
      </c>
      <c r="K253" s="295" t="str">
        <f t="shared" si="15"/>
        <v/>
      </c>
    </row>
    <row r="254" spans="1:11" s="196" customFormat="1" x14ac:dyDescent="0.25">
      <c r="A254" s="227" t="s">
        <v>6786</v>
      </c>
      <c r="B254" s="475" t="s">
        <v>6785</v>
      </c>
      <c r="C254" s="227" t="str">
        <f>IF(Recto!$C$3=Familles!B254,CONCATENATE(A254),"")</f>
        <v/>
      </c>
      <c r="D254" s="362" t="s">
        <v>6784</v>
      </c>
      <c r="E254" s="364" t="s">
        <v>19</v>
      </c>
      <c r="F254" s="364" t="s">
        <v>6753</v>
      </c>
      <c r="G254" s="364">
        <v>94</v>
      </c>
      <c r="H254" s="196">
        <f t="shared" si="16"/>
        <v>8</v>
      </c>
      <c r="I254" s="196" t="str">
        <f t="shared" si="13"/>
        <v/>
      </c>
      <c r="J254" s="196" t="str">
        <f t="shared" si="14"/>
        <v/>
      </c>
      <c r="K254" s="295" t="str">
        <f t="shared" si="15"/>
        <v/>
      </c>
    </row>
    <row r="255" spans="1:11" x14ac:dyDescent="0.25">
      <c r="A255" s="227" t="s">
        <v>385</v>
      </c>
      <c r="B255" s="475" t="s">
        <v>184</v>
      </c>
      <c r="C255" s="227" t="str">
        <f>IF(Recto!$C$3=Familles!B255,CONCATENATE(A255),"")</f>
        <v/>
      </c>
      <c r="D255" s="362" t="s">
        <v>385</v>
      </c>
      <c r="E255" s="364" t="s">
        <v>171</v>
      </c>
      <c r="F255" s="364" t="s">
        <v>3</v>
      </c>
      <c r="G255" s="364">
        <v>220</v>
      </c>
      <c r="H255" s="196">
        <f t="shared" si="16"/>
        <v>9</v>
      </c>
      <c r="I255" s="196" t="str">
        <f t="shared" si="13"/>
        <v/>
      </c>
      <c r="J255" s="196" t="str">
        <f t="shared" si="14"/>
        <v/>
      </c>
      <c r="K255" s="295" t="str">
        <f t="shared" si="15"/>
        <v/>
      </c>
    </row>
    <row r="256" spans="1:11" x14ac:dyDescent="0.25">
      <c r="A256" s="227" t="s">
        <v>43</v>
      </c>
      <c r="B256" s="475" t="s">
        <v>179</v>
      </c>
      <c r="C256" s="227" t="str">
        <f>IF(Recto!$C$3=Familles!B256,CONCATENATE(A256),"")</f>
        <v/>
      </c>
      <c r="D256" s="362" t="s">
        <v>43</v>
      </c>
      <c r="E256" s="364" t="s">
        <v>172</v>
      </c>
      <c r="F256" s="364" t="s">
        <v>3</v>
      </c>
      <c r="G256" s="364">
        <v>130</v>
      </c>
      <c r="H256" s="196">
        <f t="shared" si="16"/>
        <v>5</v>
      </c>
      <c r="I256" s="196" t="str">
        <f t="shared" si="13"/>
        <v/>
      </c>
      <c r="J256" s="196" t="str">
        <f t="shared" si="14"/>
        <v/>
      </c>
      <c r="K256" s="295" t="str">
        <f t="shared" si="15"/>
        <v/>
      </c>
    </row>
    <row r="257" spans="1:11" x14ac:dyDescent="0.25">
      <c r="A257" s="227" t="s">
        <v>442</v>
      </c>
      <c r="B257" s="475" t="s">
        <v>56</v>
      </c>
      <c r="C257" s="227" t="str">
        <f>IF(Recto!$C$3=Familles!B257,CONCATENATE(A257),"")</f>
        <v/>
      </c>
      <c r="D257" s="362" t="s">
        <v>442</v>
      </c>
      <c r="E257" s="364" t="s">
        <v>9</v>
      </c>
      <c r="F257" s="364" t="s">
        <v>464</v>
      </c>
      <c r="G257" s="364">
        <v>103</v>
      </c>
      <c r="H257" s="196">
        <f t="shared" si="16"/>
        <v>4</v>
      </c>
      <c r="I257" s="196" t="str">
        <f t="shared" si="13"/>
        <v/>
      </c>
      <c r="J257" s="196" t="str">
        <f t="shared" si="14"/>
        <v/>
      </c>
      <c r="K257" s="295" t="str">
        <f t="shared" si="15"/>
        <v/>
      </c>
    </row>
    <row r="258" spans="1:11" x14ac:dyDescent="0.25">
      <c r="A258" s="227" t="s">
        <v>4357</v>
      </c>
      <c r="B258" s="475" t="s">
        <v>20</v>
      </c>
      <c r="C258" s="227" t="str">
        <f>IF(Recto!$C$3=Familles!B258,CONCATENATE(A258),"")</f>
        <v/>
      </c>
      <c r="D258" s="362" t="s">
        <v>24</v>
      </c>
      <c r="E258" s="364" t="s">
        <v>170</v>
      </c>
      <c r="F258" s="364" t="s">
        <v>6061</v>
      </c>
      <c r="G258" s="364">
        <v>291</v>
      </c>
      <c r="H258" s="196">
        <f t="shared" si="16"/>
        <v>1</v>
      </c>
      <c r="I258" s="196" t="str">
        <f t="shared" si="13"/>
        <v/>
      </c>
      <c r="J258" s="196" t="str">
        <f t="shared" si="14"/>
        <v/>
      </c>
      <c r="K258" s="295" t="str">
        <f t="shared" si="15"/>
        <v/>
      </c>
    </row>
    <row r="259" spans="1:11" s="196" customFormat="1" x14ac:dyDescent="0.25">
      <c r="A259" s="227" t="s">
        <v>7230</v>
      </c>
      <c r="B259" s="475" t="s">
        <v>7231</v>
      </c>
      <c r="C259" s="227" t="str">
        <f>IF(Recto!$C$3=Familles!B259,CONCATENATE(A259),"")</f>
        <v/>
      </c>
      <c r="D259" s="362" t="s">
        <v>7230</v>
      </c>
      <c r="E259" s="364" t="s">
        <v>172</v>
      </c>
      <c r="F259" s="364" t="s">
        <v>7226</v>
      </c>
      <c r="G259" s="364">
        <v>66</v>
      </c>
      <c r="H259" s="196">
        <f t="shared" si="16"/>
        <v>5</v>
      </c>
      <c r="I259" s="196" t="str">
        <f t="shared" ref="I259:I267" si="17">IF(C259="","",ROW())</f>
        <v/>
      </c>
      <c r="J259" s="196" t="str">
        <f t="shared" ref="J259:J267" si="18">IFERROR(SMALL(I:I,ROW()-1),"")</f>
        <v/>
      </c>
      <c r="K259" s="295" t="str">
        <f t="shared" ref="K259:K267" si="19">IFERROR(INDEX(C:C,J259),"")</f>
        <v/>
      </c>
    </row>
    <row r="260" spans="1:11" x14ac:dyDescent="0.25">
      <c r="A260" s="227" t="s">
        <v>10</v>
      </c>
      <c r="B260" s="475" t="s">
        <v>175</v>
      </c>
      <c r="C260" s="227" t="str">
        <f>IF(Recto!$C$3=Familles!B260,CONCATENATE(A260),"")</f>
        <v/>
      </c>
      <c r="D260" s="362" t="s">
        <v>10</v>
      </c>
      <c r="E260" s="364" t="s">
        <v>171</v>
      </c>
      <c r="F260" s="364" t="s">
        <v>3</v>
      </c>
      <c r="G260" s="364">
        <v>106</v>
      </c>
      <c r="H260" s="196">
        <f t="shared" si="16"/>
        <v>9</v>
      </c>
      <c r="I260" s="196" t="str">
        <f t="shared" si="17"/>
        <v/>
      </c>
      <c r="J260" s="196" t="str">
        <f t="shared" si="18"/>
        <v/>
      </c>
      <c r="K260" s="295" t="str">
        <f t="shared" si="19"/>
        <v/>
      </c>
    </row>
    <row r="261" spans="1:11" x14ac:dyDescent="0.25">
      <c r="A261" s="227" t="s">
        <v>37</v>
      </c>
      <c r="B261" s="475" t="s">
        <v>33</v>
      </c>
      <c r="C261" s="227" t="str">
        <f>IF(Recto!$C$3=Familles!B261,CONCATENATE(A261),"")</f>
        <v/>
      </c>
      <c r="D261" s="362" t="s">
        <v>37</v>
      </c>
      <c r="E261" s="364" t="s">
        <v>174</v>
      </c>
      <c r="F261" s="367" t="s">
        <v>3</v>
      </c>
      <c r="G261" s="364">
        <v>126</v>
      </c>
      <c r="H261" s="196">
        <f t="shared" si="16"/>
        <v>7</v>
      </c>
      <c r="I261" s="196" t="str">
        <f t="shared" si="17"/>
        <v/>
      </c>
      <c r="J261" s="196" t="str">
        <f t="shared" si="18"/>
        <v/>
      </c>
      <c r="K261" s="295" t="str">
        <f t="shared" si="19"/>
        <v/>
      </c>
    </row>
    <row r="262" spans="1:11" x14ac:dyDescent="0.25">
      <c r="A262" s="227" t="s">
        <v>28</v>
      </c>
      <c r="B262" s="475" t="s">
        <v>178</v>
      </c>
      <c r="C262" s="227" t="str">
        <f>IF(Recto!$C$3=Familles!B262,CONCATENATE(A262),"")</f>
        <v/>
      </c>
      <c r="D262" s="362" t="s">
        <v>28</v>
      </c>
      <c r="E262" s="364" t="s">
        <v>172</v>
      </c>
      <c r="F262" s="364" t="s">
        <v>3</v>
      </c>
      <c r="G262" s="364">
        <v>120</v>
      </c>
      <c r="H262" s="196">
        <f t="shared" si="16"/>
        <v>5</v>
      </c>
      <c r="I262" s="196" t="str">
        <f t="shared" si="17"/>
        <v/>
      </c>
      <c r="J262" s="196" t="str">
        <f t="shared" si="18"/>
        <v/>
      </c>
      <c r="K262" s="295" t="str">
        <f t="shared" si="19"/>
        <v/>
      </c>
    </row>
    <row r="263" spans="1:11" x14ac:dyDescent="0.25">
      <c r="A263" s="227" t="s">
        <v>389</v>
      </c>
      <c r="B263" s="475" t="s">
        <v>388</v>
      </c>
      <c r="C263" s="227" t="str">
        <f>IF(Recto!$C$3=Familles!B263,CONCATENATE(A263),"")</f>
        <v/>
      </c>
      <c r="D263" s="362" t="s">
        <v>51</v>
      </c>
      <c r="E263" s="363" t="s">
        <v>169</v>
      </c>
      <c r="F263" s="364" t="s">
        <v>162</v>
      </c>
      <c r="G263" s="364">
        <v>26</v>
      </c>
      <c r="H263" s="196">
        <f t="shared" si="16"/>
        <v>2</v>
      </c>
      <c r="I263" s="196" t="str">
        <f t="shared" si="17"/>
        <v/>
      </c>
      <c r="J263" s="196" t="str">
        <f t="shared" si="18"/>
        <v/>
      </c>
      <c r="K263" s="295" t="str">
        <f t="shared" si="19"/>
        <v/>
      </c>
    </row>
    <row r="264" spans="1:11" x14ac:dyDescent="0.25">
      <c r="A264" s="371" t="s">
        <v>394</v>
      </c>
      <c r="B264" s="475" t="s">
        <v>393</v>
      </c>
      <c r="C264" s="227" t="str">
        <f>IF(Recto!$C$3=Familles!B264,CONCATENATE(A264),"")</f>
        <v/>
      </c>
      <c r="D264" s="372" t="s">
        <v>394</v>
      </c>
      <c r="E264" s="364" t="s">
        <v>6</v>
      </c>
      <c r="F264" s="367" t="s">
        <v>150</v>
      </c>
      <c r="G264" s="367">
        <v>276</v>
      </c>
      <c r="H264" s="196">
        <f t="shared" si="16"/>
        <v>3</v>
      </c>
      <c r="I264" s="196" t="str">
        <f t="shared" si="17"/>
        <v/>
      </c>
      <c r="J264" s="196" t="str">
        <f t="shared" si="18"/>
        <v/>
      </c>
      <c r="K264" s="295" t="str">
        <f t="shared" si="19"/>
        <v/>
      </c>
    </row>
    <row r="265" spans="1:11" x14ac:dyDescent="0.25">
      <c r="A265" s="227" t="s">
        <v>394</v>
      </c>
      <c r="B265" s="475" t="s">
        <v>47</v>
      </c>
      <c r="C265" s="227" t="str">
        <f>IF(Recto!$C$3=Familles!B265,CONCATENATE(A265),"")</f>
        <v/>
      </c>
      <c r="D265" s="362" t="s">
        <v>50</v>
      </c>
      <c r="E265" s="364" t="s">
        <v>169</v>
      </c>
      <c r="F265" s="364" t="s">
        <v>2080</v>
      </c>
      <c r="G265" s="364">
        <v>115</v>
      </c>
      <c r="H265" s="196">
        <f t="shared" si="16"/>
        <v>2</v>
      </c>
      <c r="I265" s="196" t="str">
        <f t="shared" si="17"/>
        <v/>
      </c>
      <c r="J265" s="196" t="str">
        <f t="shared" si="18"/>
        <v/>
      </c>
      <c r="K265" s="295" t="str">
        <f t="shared" si="19"/>
        <v/>
      </c>
    </row>
    <row r="266" spans="1:11" x14ac:dyDescent="0.25">
      <c r="A266" s="368" t="s">
        <v>5765</v>
      </c>
      <c r="B266" s="475" t="s">
        <v>179</v>
      </c>
      <c r="C266" s="227" t="str">
        <f>IF(Recto!$C$3=Familles!B266,CONCATENATE(A266),"")</f>
        <v/>
      </c>
      <c r="D266" s="369" t="s">
        <v>5766</v>
      </c>
      <c r="E266" s="364" t="s">
        <v>6</v>
      </c>
      <c r="F266" s="364"/>
      <c r="G266" s="364"/>
      <c r="H266" s="196">
        <f t="shared" si="16"/>
        <v>3</v>
      </c>
      <c r="I266" s="196" t="str">
        <f t="shared" si="17"/>
        <v/>
      </c>
      <c r="J266" s="196" t="str">
        <f t="shared" si="18"/>
        <v/>
      </c>
      <c r="K266" s="295" t="str">
        <f t="shared" si="19"/>
        <v/>
      </c>
    </row>
    <row r="267" spans="1:11" x14ac:dyDescent="0.25">
      <c r="A267" s="227" t="s">
        <v>4343</v>
      </c>
      <c r="B267" s="475" t="s">
        <v>15</v>
      </c>
      <c r="C267" s="227" t="str">
        <f>IF(Recto!$C$3=Familles!B267,CONCATENATE(A267),"")</f>
        <v/>
      </c>
      <c r="D267" s="362" t="s">
        <v>17</v>
      </c>
      <c r="E267" s="364" t="s">
        <v>169</v>
      </c>
      <c r="F267" s="364" t="s">
        <v>6061</v>
      </c>
      <c r="G267" s="364">
        <v>286</v>
      </c>
      <c r="H267" s="196">
        <f t="shared" si="16"/>
        <v>2</v>
      </c>
      <c r="I267" s="196" t="str">
        <f t="shared" si="17"/>
        <v/>
      </c>
      <c r="J267" s="196" t="str">
        <f t="shared" si="18"/>
        <v/>
      </c>
      <c r="K267" s="295" t="str">
        <f t="shared" si="19"/>
        <v/>
      </c>
    </row>
  </sheetData>
  <sheetProtection selectLockedCells="1" selectUnlockedCells="1"/>
  <sortState xmlns:xlrd2="http://schemas.microsoft.com/office/spreadsheetml/2017/richdata2" ref="A3:G204">
    <sortCondition ref="A3:A204"/>
  </sortState>
  <mergeCells count="1">
    <mergeCell ref="I1:K1"/>
  </mergeCells>
  <pageMargins left="0.78749999999999998" right="0.78749999999999998" top="1.0249999999999999" bottom="1.0249999999999999" header="0.78749999999999998" footer="0.78749999999999998"/>
  <pageSetup orientation="portrait" useFirstPageNumber="1" horizontalDpi="300" verticalDpi="300" r:id="rId1"/>
  <headerFooter alignWithMargins="0">
    <oddHeader>&amp;C&amp;A</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E13136"/>
  <sheetViews>
    <sheetView workbookViewId="0">
      <pane xSplit="2" ySplit="1" topLeftCell="C2" activePane="bottomRight" state="frozen"/>
      <selection pane="topRight" activeCell="B1" sqref="B1"/>
      <selection pane="bottomLeft" activeCell="A3" sqref="A3"/>
      <selection pane="bottomRight"/>
    </sheetView>
  </sheetViews>
  <sheetFormatPr baseColWidth="10" defaultColWidth="11.5546875" defaultRowHeight="60" customHeight="1" x14ac:dyDescent="0.25"/>
  <cols>
    <col min="1" max="1" width="20.109375" style="459" customWidth="1"/>
    <col min="2" max="2" width="20.109375" style="357" hidden="1" customWidth="1"/>
    <col min="3" max="3" width="10.5546875" style="460" customWidth="1"/>
    <col min="4" max="4" width="9.88671875" style="357" customWidth="1"/>
    <col min="5" max="5" width="5.6640625" style="356" customWidth="1"/>
    <col min="6" max="6" width="3.5546875" style="465" customWidth="1"/>
    <col min="7" max="7" width="4.5546875" style="465" customWidth="1"/>
    <col min="8" max="8" width="3" style="356" customWidth="1"/>
    <col min="9" max="9" width="3.6640625" style="356" customWidth="1"/>
    <col min="10" max="10" width="10.88671875" style="462" customWidth="1"/>
    <col min="11" max="11" width="3.6640625" style="357" customWidth="1"/>
    <col min="12" max="12" width="8.109375" style="463" customWidth="1"/>
    <col min="13" max="13" width="3.33203125" style="358" customWidth="1"/>
    <col min="14" max="14" width="13.33203125" style="463" customWidth="1"/>
    <col min="15" max="15" width="12.44140625" style="463" customWidth="1"/>
    <col min="16" max="16" width="1.6640625" style="464" customWidth="1"/>
    <col min="17" max="18" width="1.6640625" style="358" customWidth="1"/>
    <col min="19" max="19" width="1.6640625" style="189" customWidth="1"/>
    <col min="20" max="20" width="6.21875" style="92" hidden="1" customWidth="1"/>
    <col min="21" max="21" width="5.6640625" style="92" hidden="1" customWidth="1"/>
    <col min="22" max="22" width="19.88671875" style="579" hidden="1" customWidth="1"/>
    <col min="23" max="265" width="12.44140625" style="92" customWidth="1"/>
    <col min="266" max="16384" width="11.5546875" style="92"/>
  </cols>
  <sheetData>
    <row r="1" spans="1:22" s="474" customFormat="1" ht="61.2" customHeight="1" x14ac:dyDescent="0.25">
      <c r="A1" s="467" t="s">
        <v>2081</v>
      </c>
      <c r="B1" s="226" t="s">
        <v>187</v>
      </c>
      <c r="C1" s="468" t="s">
        <v>105</v>
      </c>
      <c r="D1" s="446" t="s">
        <v>463</v>
      </c>
      <c r="E1" s="469" t="s">
        <v>1935</v>
      </c>
      <c r="F1" s="470" t="s">
        <v>2093</v>
      </c>
      <c r="G1" s="470" t="s">
        <v>2092</v>
      </c>
      <c r="H1" s="470" t="s">
        <v>57</v>
      </c>
      <c r="I1" s="470" t="s">
        <v>2553</v>
      </c>
      <c r="J1" s="467" t="s">
        <v>0</v>
      </c>
      <c r="K1" s="471" t="s">
        <v>1</v>
      </c>
      <c r="L1" s="472" t="s">
        <v>346</v>
      </c>
      <c r="M1" s="470" t="s">
        <v>2602</v>
      </c>
      <c r="N1" s="467" t="s">
        <v>2126</v>
      </c>
      <c r="O1" s="467" t="s">
        <v>2127</v>
      </c>
      <c r="P1" s="145" t="s">
        <v>2228</v>
      </c>
      <c r="Q1" s="145" t="s">
        <v>5975</v>
      </c>
      <c r="R1" s="145" t="s">
        <v>5976</v>
      </c>
      <c r="S1" s="473" t="s">
        <v>4022</v>
      </c>
      <c r="T1" s="938" t="s">
        <v>9128</v>
      </c>
      <c r="U1" s="939"/>
      <c r="V1" s="940"/>
    </row>
    <row r="2" spans="1:22" s="358" customFormat="1" ht="61.2" customHeight="1" x14ac:dyDescent="0.25">
      <c r="A2" s="448" t="s">
        <v>6974</v>
      </c>
      <c r="B2" s="144" t="str">
        <f>IF(Clan="","",IF(OR(Recto!$C$3=C2,Calculs!$I$8&gt;0),CONCATENATE(A2),""))</f>
        <v/>
      </c>
      <c r="C2" s="447" t="s">
        <v>6795</v>
      </c>
      <c r="D2" s="144" t="s">
        <v>9</v>
      </c>
      <c r="E2" s="141">
        <v>6.5</v>
      </c>
      <c r="F2" s="142" t="str">
        <f>IF(H2="S","","---")</f>
        <v>---</v>
      </c>
      <c r="G2" s="142" t="str">
        <f>IF(F2="---","---","")</f>
        <v>---</v>
      </c>
      <c r="H2" s="141" t="s">
        <v>2052</v>
      </c>
      <c r="I2" s="141" t="s">
        <v>2086</v>
      </c>
      <c r="J2" s="448" t="s">
        <v>6811</v>
      </c>
      <c r="K2" s="144">
        <v>126</v>
      </c>
      <c r="L2" s="449" t="s">
        <v>6975</v>
      </c>
      <c r="M2" s="450">
        <f t="shared" ref="M2:M10" si="0">IF(D2="+1 Force",1,IF(D2="+1 Agilité",2,IF(D2="+1 Intelligence",3,IF(D2="+1 Perception",4,IF(D2="+1 Constitution",5,IF(D2="+1 Vide",6,IF(D2="+1 Volonté",7,IF(D2="+1 Reflexes",8,IF(D2="+1 Intuition",9,0)))))))))</f>
        <v>4</v>
      </c>
      <c r="N2" s="449" t="s">
        <v>6976</v>
      </c>
      <c r="O2" s="449" t="s">
        <v>6977</v>
      </c>
      <c r="P2" s="451">
        <v>8</v>
      </c>
      <c r="Q2" s="451">
        <v>0</v>
      </c>
      <c r="R2" s="451">
        <v>0</v>
      </c>
      <c r="S2" s="187" t="s">
        <v>1284</v>
      </c>
      <c r="T2" s="196" t="str">
        <f>IF(B2="","",ROW())</f>
        <v/>
      </c>
      <c r="U2" s="196">
        <f>IFERROR(SMALL(T:T,ROW()-1),"")</f>
        <v>231</v>
      </c>
      <c r="V2" s="578" t="str">
        <f>IFERROR(INDEX(B:B,U2),"")</f>
        <v>Shinrai Jotomon</v>
      </c>
    </row>
    <row r="3" spans="1:22" s="358" customFormat="1" ht="61.2" customHeight="1" x14ac:dyDescent="0.25">
      <c r="A3" s="448" t="s">
        <v>6817</v>
      </c>
      <c r="B3" s="144" t="str">
        <f>IF(Recto!$C$3="","",IF(OR(Recto!$C$3=C3,Calculs!$I$8&gt;0),CONCATENATE(A3),""))</f>
        <v/>
      </c>
      <c r="C3" s="447" t="s">
        <v>6809</v>
      </c>
      <c r="D3" s="144" t="s">
        <v>19</v>
      </c>
      <c r="E3" s="141">
        <v>5.5</v>
      </c>
      <c r="F3" s="142" t="str">
        <f>IF(H3="S","","---")</f>
        <v>---</v>
      </c>
      <c r="G3" s="142" t="str">
        <f>IF(F3="---","---","")</f>
        <v>---</v>
      </c>
      <c r="H3" s="141" t="s">
        <v>2049</v>
      </c>
      <c r="I3" s="141" t="s">
        <v>2086</v>
      </c>
      <c r="J3" s="448" t="s">
        <v>6811</v>
      </c>
      <c r="K3" s="144">
        <v>6</v>
      </c>
      <c r="L3" s="449" t="s">
        <v>6818</v>
      </c>
      <c r="M3" s="450">
        <f t="shared" si="0"/>
        <v>8</v>
      </c>
      <c r="N3" s="449" t="s">
        <v>6819</v>
      </c>
      <c r="O3" s="449" t="s">
        <v>6820</v>
      </c>
      <c r="P3" s="451">
        <v>5</v>
      </c>
      <c r="Q3" s="451">
        <v>0</v>
      </c>
      <c r="R3" s="451">
        <v>0</v>
      </c>
      <c r="S3" s="187" t="s">
        <v>1284</v>
      </c>
      <c r="T3" s="196" t="str">
        <f t="shared" ref="T3:T66" si="1">IF(B3="","",ROW())</f>
        <v/>
      </c>
      <c r="U3" s="196">
        <f t="shared" ref="U3:U66" si="2">IFERROR(SMALL(T:T,ROW()-1),"")</f>
        <v>232</v>
      </c>
      <c r="V3" s="578" t="str">
        <f t="shared" ref="V3:V66" si="3">IFERROR(INDEX(B:B,U3),"")</f>
        <v>Maître des Elements</v>
      </c>
    </row>
    <row r="4" spans="1:22" s="358" customFormat="1" ht="61.2" customHeight="1" x14ac:dyDescent="0.25">
      <c r="A4" s="448" t="s">
        <v>6884</v>
      </c>
      <c r="B4" s="144" t="str">
        <f>IF(Recto!$C$3="","",IF(OR(Recto!$C$3=C4,Calculs!$I$8&gt;0),CONCATENATE(A4),""))</f>
        <v/>
      </c>
      <c r="C4" s="447" t="s">
        <v>6772</v>
      </c>
      <c r="D4" s="144" t="s">
        <v>174</v>
      </c>
      <c r="E4" s="141">
        <v>6.5</v>
      </c>
      <c r="F4" s="142" t="str">
        <f>IF(H4="S","","---")</f>
        <v>---</v>
      </c>
      <c r="G4" s="142" t="str">
        <f>IF(F4="---","---","")</f>
        <v>---</v>
      </c>
      <c r="H4" s="141" t="s">
        <v>2052</v>
      </c>
      <c r="I4" s="141" t="s">
        <v>2086</v>
      </c>
      <c r="J4" s="448" t="s">
        <v>6811</v>
      </c>
      <c r="K4" s="144">
        <v>59</v>
      </c>
      <c r="L4" s="449" t="s">
        <v>6882</v>
      </c>
      <c r="M4" s="450">
        <f t="shared" si="0"/>
        <v>7</v>
      </c>
      <c r="N4" s="449" t="s">
        <v>6883</v>
      </c>
      <c r="O4" s="449" t="s">
        <v>2230</v>
      </c>
      <c r="P4" s="451">
        <v>3</v>
      </c>
      <c r="Q4" s="451">
        <v>0</v>
      </c>
      <c r="R4" s="451">
        <v>0</v>
      </c>
      <c r="S4" s="187" t="s">
        <v>1284</v>
      </c>
      <c r="T4" s="196" t="str">
        <f t="shared" si="1"/>
        <v/>
      </c>
      <c r="U4" s="196">
        <f t="shared" si="2"/>
        <v>233</v>
      </c>
      <c r="V4" s="578" t="str">
        <f t="shared" si="3"/>
        <v>Boureau Eta</v>
      </c>
    </row>
    <row r="5" spans="1:22" s="358" customFormat="1" ht="61.2" customHeight="1" x14ac:dyDescent="0.25">
      <c r="A5" s="448" t="s">
        <v>6874</v>
      </c>
      <c r="B5" s="144" t="str">
        <f>IF(Recto!$C$3="","",IF(OR(Recto!$C$3=C5,Calculs!$I$8&gt;0),CONCATENATE(A5),""))</f>
        <v/>
      </c>
      <c r="C5" s="447" t="s">
        <v>6766</v>
      </c>
      <c r="D5" s="144" t="s">
        <v>6</v>
      </c>
      <c r="E5" s="141">
        <v>3</v>
      </c>
      <c r="F5" s="142" t="str">
        <f>IF(H5="S","","---")</f>
        <v>---</v>
      </c>
      <c r="G5" s="142" t="str">
        <f>IF(F5="---","---","")</f>
        <v>---</v>
      </c>
      <c r="H5" s="141" t="s">
        <v>2052</v>
      </c>
      <c r="I5" s="141" t="s">
        <v>2086</v>
      </c>
      <c r="J5" s="448" t="s">
        <v>6811</v>
      </c>
      <c r="K5" s="144">
        <v>37</v>
      </c>
      <c r="L5" s="449" t="s">
        <v>7005</v>
      </c>
      <c r="M5" s="450">
        <f t="shared" si="0"/>
        <v>3</v>
      </c>
      <c r="N5" s="449" t="s">
        <v>6876</v>
      </c>
      <c r="O5" s="449" t="s">
        <v>6885</v>
      </c>
      <c r="P5" s="451">
        <v>3</v>
      </c>
      <c r="Q5" s="451">
        <v>0</v>
      </c>
      <c r="R5" s="451">
        <v>0</v>
      </c>
      <c r="S5" s="187" t="s">
        <v>1284</v>
      </c>
      <c r="T5" s="196" t="str">
        <f t="shared" si="1"/>
        <v/>
      </c>
      <c r="U5" s="196">
        <f t="shared" si="2"/>
        <v>234</v>
      </c>
      <c r="V5" s="578" t="str">
        <f t="shared" si="3"/>
        <v>Budoka</v>
      </c>
    </row>
    <row r="6" spans="1:22" s="358" customFormat="1" ht="61.2" customHeight="1" x14ac:dyDescent="0.25">
      <c r="A6" s="448" t="s">
        <v>6875</v>
      </c>
      <c r="B6" s="144" t="str">
        <f>IF(Recto!$C$3="","",IF(OR(Recto!$C$3=C6,Calculs!$I$8&gt;0),CONCATENATE(A6),""))</f>
        <v/>
      </c>
      <c r="C6" s="447" t="s">
        <v>6766</v>
      </c>
      <c r="D6" s="144" t="s">
        <v>9</v>
      </c>
      <c r="E6" s="141">
        <v>2.5</v>
      </c>
      <c r="F6" s="142" t="s">
        <v>578</v>
      </c>
      <c r="G6" s="142" t="s">
        <v>579</v>
      </c>
      <c r="H6" s="141" t="s">
        <v>2048</v>
      </c>
      <c r="I6" s="141" t="s">
        <v>2086</v>
      </c>
      <c r="J6" s="448" t="s">
        <v>6811</v>
      </c>
      <c r="K6" s="144">
        <v>38</v>
      </c>
      <c r="L6" s="449" t="s">
        <v>6877</v>
      </c>
      <c r="M6" s="450">
        <f t="shared" si="0"/>
        <v>4</v>
      </c>
      <c r="N6" s="449" t="s">
        <v>6878</v>
      </c>
      <c r="O6" s="449" t="s">
        <v>6886</v>
      </c>
      <c r="P6" s="451">
        <v>3</v>
      </c>
      <c r="Q6" s="451">
        <v>0</v>
      </c>
      <c r="R6" s="451">
        <v>0</v>
      </c>
      <c r="S6" s="187" t="s">
        <v>1284</v>
      </c>
      <c r="T6" s="196" t="str">
        <f t="shared" si="1"/>
        <v/>
      </c>
      <c r="U6" s="196">
        <f t="shared" si="2"/>
        <v>235</v>
      </c>
      <c r="V6" s="578" t="str">
        <f t="shared" si="3"/>
        <v>Geisha</v>
      </c>
    </row>
    <row r="7" spans="1:22" ht="60" customHeight="1" x14ac:dyDescent="0.25">
      <c r="A7" s="448" t="s">
        <v>246</v>
      </c>
      <c r="B7" s="144" t="str">
        <f>IF(Recto!$C$3="","",IF(OR(Recto!$C$3=C7,Calculs!$I$8&gt;0),CONCATENATE(A7),""))</f>
        <v/>
      </c>
      <c r="C7" s="164" t="s">
        <v>181</v>
      </c>
      <c r="D7" s="144" t="s">
        <v>170</v>
      </c>
      <c r="E7" s="141">
        <v>1.5</v>
      </c>
      <c r="F7" s="142" t="str">
        <f t="shared" ref="F7:F12" si="4">IF(H7="S","","---")</f>
        <v>---</v>
      </c>
      <c r="G7" s="142" t="str">
        <f t="shared" ref="G7:G12" si="5">IF(F7="---","---","")</f>
        <v>---</v>
      </c>
      <c r="H7" s="141" t="s">
        <v>2049</v>
      </c>
      <c r="I7" s="141" t="s">
        <v>2086</v>
      </c>
      <c r="J7" s="448" t="s">
        <v>3</v>
      </c>
      <c r="K7" s="144">
        <v>212</v>
      </c>
      <c r="L7" s="449" t="s">
        <v>363</v>
      </c>
      <c r="M7" s="450">
        <f t="shared" si="0"/>
        <v>1</v>
      </c>
      <c r="N7" s="449" t="s">
        <v>2128</v>
      </c>
      <c r="O7" s="449" t="s">
        <v>2229</v>
      </c>
      <c r="P7" s="451">
        <v>3</v>
      </c>
      <c r="Q7" s="451">
        <v>0</v>
      </c>
      <c r="R7" s="451">
        <v>0</v>
      </c>
      <c r="S7" s="187" t="s">
        <v>1284</v>
      </c>
      <c r="T7" s="196" t="str">
        <f t="shared" si="1"/>
        <v/>
      </c>
      <c r="U7" s="196" t="str">
        <f t="shared" si="2"/>
        <v/>
      </c>
      <c r="V7" s="578" t="str">
        <f t="shared" si="3"/>
        <v/>
      </c>
    </row>
    <row r="8" spans="1:22" ht="60" customHeight="1" x14ac:dyDescent="0.25">
      <c r="A8" s="448" t="s">
        <v>247</v>
      </c>
      <c r="B8" s="144" t="str">
        <f>IF(Recto!$C$3="","",IF(OR(Recto!$C$3=C8,Calculs!$I$8&gt;0),CONCATENATE(A8),""))</f>
        <v/>
      </c>
      <c r="C8" s="164" t="s">
        <v>181</v>
      </c>
      <c r="D8" s="144" t="s">
        <v>9</v>
      </c>
      <c r="E8" s="141">
        <v>1</v>
      </c>
      <c r="F8" s="142" t="str">
        <f t="shared" si="4"/>
        <v>---</v>
      </c>
      <c r="G8" s="142" t="str">
        <f t="shared" si="5"/>
        <v>---</v>
      </c>
      <c r="H8" s="141" t="s">
        <v>2052</v>
      </c>
      <c r="I8" s="141" t="s">
        <v>2086</v>
      </c>
      <c r="J8" s="448" t="s">
        <v>3</v>
      </c>
      <c r="K8" s="144">
        <v>213</v>
      </c>
      <c r="L8" s="449" t="s">
        <v>364</v>
      </c>
      <c r="M8" s="450">
        <f t="shared" si="0"/>
        <v>4</v>
      </c>
      <c r="N8" s="449" t="s">
        <v>2129</v>
      </c>
      <c r="O8" s="449" t="s">
        <v>2230</v>
      </c>
      <c r="P8" s="451">
        <v>3</v>
      </c>
      <c r="Q8" s="451">
        <v>0</v>
      </c>
      <c r="R8" s="451">
        <v>0</v>
      </c>
      <c r="S8" s="187" t="s">
        <v>1284</v>
      </c>
      <c r="T8" s="196" t="str">
        <f t="shared" si="1"/>
        <v/>
      </c>
      <c r="U8" s="196" t="str">
        <f t="shared" si="2"/>
        <v/>
      </c>
      <c r="V8" s="578" t="str">
        <f t="shared" si="3"/>
        <v/>
      </c>
    </row>
    <row r="9" spans="1:22" ht="60" customHeight="1" x14ac:dyDescent="0.25">
      <c r="A9" s="448" t="s">
        <v>426</v>
      </c>
      <c r="B9" s="144" t="str">
        <f>IF(Recto!$C$3="","",IF(OR(Recto!$C$3=C9,Calculs!$I$8&gt;0),CONCATENATE(A9),""))</f>
        <v/>
      </c>
      <c r="C9" s="164" t="s">
        <v>181</v>
      </c>
      <c r="D9" s="139" t="s">
        <v>2078</v>
      </c>
      <c r="E9" s="140" t="s">
        <v>2078</v>
      </c>
      <c r="F9" s="142" t="str">
        <f t="shared" si="4"/>
        <v>---</v>
      </c>
      <c r="G9" s="142" t="str">
        <f t="shared" si="5"/>
        <v>---</v>
      </c>
      <c r="H9" s="141" t="s">
        <v>2049</v>
      </c>
      <c r="I9" s="141" t="s">
        <v>2085</v>
      </c>
      <c r="J9" s="448" t="s">
        <v>3</v>
      </c>
      <c r="K9" s="144">
        <v>250</v>
      </c>
      <c r="L9" s="449" t="s">
        <v>2559</v>
      </c>
      <c r="M9" s="450">
        <f t="shared" si="0"/>
        <v>0</v>
      </c>
      <c r="N9" s="452" t="s">
        <v>2078</v>
      </c>
      <c r="O9" s="449" t="s">
        <v>253</v>
      </c>
      <c r="P9" s="451">
        <v>0</v>
      </c>
      <c r="Q9" s="451">
        <v>0</v>
      </c>
      <c r="R9" s="451">
        <v>0</v>
      </c>
      <c r="S9" s="187" t="s">
        <v>1284</v>
      </c>
      <c r="T9" s="196" t="str">
        <f t="shared" si="1"/>
        <v/>
      </c>
      <c r="U9" s="196" t="str">
        <f t="shared" si="2"/>
        <v/>
      </c>
      <c r="V9" s="578" t="str">
        <f t="shared" si="3"/>
        <v/>
      </c>
    </row>
    <row r="10" spans="1:22" ht="60" customHeight="1" x14ac:dyDescent="0.25">
      <c r="A10" s="448" t="s">
        <v>8064</v>
      </c>
      <c r="B10" s="144" t="str">
        <f>IF(Recto!$C$3="","",IF(OR(Recto!$C$3=C10,Calculs!$I$8&gt;0),CONCATENATE(A10),""))</f>
        <v/>
      </c>
      <c r="C10" s="164" t="s">
        <v>181</v>
      </c>
      <c r="D10" s="144" t="s">
        <v>172</v>
      </c>
      <c r="E10" s="141">
        <v>0</v>
      </c>
      <c r="F10" s="142" t="str">
        <f t="shared" si="4"/>
        <v>---</v>
      </c>
      <c r="G10" s="142" t="str">
        <f t="shared" si="5"/>
        <v>---</v>
      </c>
      <c r="H10" s="141" t="s">
        <v>2049</v>
      </c>
      <c r="I10" s="141" t="s">
        <v>2086</v>
      </c>
      <c r="J10" s="521" t="s">
        <v>8065</v>
      </c>
      <c r="K10" s="139" t="s">
        <v>2078</v>
      </c>
      <c r="L10" s="449" t="s">
        <v>2559</v>
      </c>
      <c r="M10" s="450">
        <f t="shared" si="0"/>
        <v>5</v>
      </c>
      <c r="N10" s="449" t="s">
        <v>8066</v>
      </c>
      <c r="O10" s="449" t="s">
        <v>8067</v>
      </c>
      <c r="P10" s="451">
        <v>0</v>
      </c>
      <c r="Q10" s="451">
        <v>0</v>
      </c>
      <c r="R10" s="451">
        <v>0</v>
      </c>
      <c r="S10" s="187" t="s">
        <v>1284</v>
      </c>
      <c r="T10" s="196" t="str">
        <f t="shared" si="1"/>
        <v/>
      </c>
      <c r="U10" s="196" t="str">
        <f t="shared" si="2"/>
        <v/>
      </c>
      <c r="V10" s="578" t="str">
        <f t="shared" si="3"/>
        <v/>
      </c>
    </row>
    <row r="11" spans="1:22" ht="60" customHeight="1" x14ac:dyDescent="0.25">
      <c r="A11" s="448" t="s">
        <v>427</v>
      </c>
      <c r="B11" s="144" t="str">
        <f>IF(Recto!$C$3="","",IF(OR(Recto!$C$3=C11,Calculs!$I$8&gt;0),CONCATENATE(A11),""))</f>
        <v/>
      </c>
      <c r="C11" s="164" t="s">
        <v>181</v>
      </c>
      <c r="D11" s="139" t="s">
        <v>2078</v>
      </c>
      <c r="E11" s="140" t="s">
        <v>2078</v>
      </c>
      <c r="F11" s="142" t="str">
        <f t="shared" si="4"/>
        <v>---</v>
      </c>
      <c r="G11" s="142" t="str">
        <f t="shared" si="5"/>
        <v>---</v>
      </c>
      <c r="H11" s="141" t="s">
        <v>2050</v>
      </c>
      <c r="I11" s="141" t="s">
        <v>2085</v>
      </c>
      <c r="J11" s="448" t="s">
        <v>4808</v>
      </c>
      <c r="K11" s="144">
        <v>207</v>
      </c>
      <c r="L11" s="449" t="s">
        <v>2067</v>
      </c>
      <c r="M11" s="450">
        <f>IF(D11="+1 Force",1,IF(D11="+1 Agilité",2,IF(D11="+1 Intelligence",3,IF(D11="+1 Perception",4,IF(D11="+1 Constitution",5,IF(D11="+1 Vide",6,IF(D11="+1 Volonté",7,IF(D11="+1 Reflexes",8,IF(D11="+1 Intuition",9,0)))))))))</f>
        <v>0</v>
      </c>
      <c r="N11" s="452" t="s">
        <v>2078</v>
      </c>
      <c r="O11" s="449" t="s">
        <v>253</v>
      </c>
      <c r="P11" s="451">
        <v>0</v>
      </c>
      <c r="Q11" s="451">
        <v>0</v>
      </c>
      <c r="R11" s="451">
        <v>0</v>
      </c>
      <c r="S11" s="187" t="s">
        <v>1284</v>
      </c>
      <c r="T11" s="196" t="str">
        <f t="shared" si="1"/>
        <v/>
      </c>
      <c r="U11" s="196" t="str">
        <f t="shared" si="2"/>
        <v/>
      </c>
      <c r="V11" s="578" t="str">
        <f t="shared" si="3"/>
        <v/>
      </c>
    </row>
    <row r="12" spans="1:22" ht="60" customHeight="1" x14ac:dyDescent="0.25">
      <c r="A12" s="448" t="s">
        <v>1934</v>
      </c>
      <c r="B12" s="144" t="str">
        <f>IF(Recto!$C$3="","",IF(OR(Recto!$C$3=C12,Calculs!$I$8&gt;0),CONCATENATE(A12),""))</f>
        <v/>
      </c>
      <c r="C12" s="164" t="s">
        <v>181</v>
      </c>
      <c r="D12" s="144" t="s">
        <v>169</v>
      </c>
      <c r="E12" s="141">
        <v>1.5</v>
      </c>
      <c r="F12" s="142" t="str">
        <f t="shared" si="4"/>
        <v>---</v>
      </c>
      <c r="G12" s="142" t="str">
        <f t="shared" si="5"/>
        <v>---</v>
      </c>
      <c r="H12" s="453" t="s">
        <v>2050</v>
      </c>
      <c r="I12" s="141" t="s">
        <v>2086</v>
      </c>
      <c r="J12" s="448" t="s">
        <v>3</v>
      </c>
      <c r="K12" s="144">
        <v>215</v>
      </c>
      <c r="L12" s="449" t="s">
        <v>2550</v>
      </c>
      <c r="M12" s="450">
        <f>IF(D12="+1 Force",1,IF(D12="+1 Agilité",2,IF(D12="+1 Intelligence",3,IF(D12="+1 Perception",4,IF(D12="+1 Constitution",5,IF(D12="+1 Vide",6,IF(D12="+1 Volonté",7,IF(D12="+1 Reflexes",8,IF(D12="+1 Intuition",9,0)))))))))</f>
        <v>2</v>
      </c>
      <c r="N12" s="449" t="s">
        <v>2130</v>
      </c>
      <c r="O12" s="449" t="s">
        <v>2231</v>
      </c>
      <c r="P12" s="451">
        <v>3</v>
      </c>
      <c r="Q12" s="451">
        <v>0</v>
      </c>
      <c r="R12" s="451">
        <v>0</v>
      </c>
      <c r="S12" s="187" t="s">
        <v>1284</v>
      </c>
      <c r="T12" s="196" t="str">
        <f t="shared" si="1"/>
        <v/>
      </c>
      <c r="U12" s="196" t="str">
        <f t="shared" si="2"/>
        <v/>
      </c>
      <c r="V12" s="578" t="str">
        <f t="shared" si="3"/>
        <v/>
      </c>
    </row>
    <row r="13" spans="1:22" ht="60" customHeight="1" x14ac:dyDescent="0.25">
      <c r="A13" s="448" t="s">
        <v>245</v>
      </c>
      <c r="B13" s="144" t="str">
        <f>IF(Recto!$C$3="","",IF(OR(Recto!$C$3=C13,Calculs!$I$8&gt;0),CONCATENATE(A13),""))</f>
        <v/>
      </c>
      <c r="C13" s="164" t="s">
        <v>181</v>
      </c>
      <c r="D13" s="144" t="s">
        <v>174</v>
      </c>
      <c r="E13" s="141">
        <v>0.5</v>
      </c>
      <c r="F13" s="142" t="s">
        <v>159</v>
      </c>
      <c r="G13" s="454" t="s">
        <v>2094</v>
      </c>
      <c r="H13" s="141" t="s">
        <v>2048</v>
      </c>
      <c r="I13" s="141" t="s">
        <v>2086</v>
      </c>
      <c r="J13" s="448" t="s">
        <v>3</v>
      </c>
      <c r="K13" s="144">
        <v>213</v>
      </c>
      <c r="L13" s="449" t="s">
        <v>159</v>
      </c>
      <c r="M13" s="450">
        <f>IF(D13="+1 Force",1,IF(D13="+1 Agilité",2,IF(D13="+1 Intelligence",3,IF(D13="+1 Perception",4,IF(D13="+1 Constitution",5,IF(D13="+1 Vide",6,IF(D13="+1 Volonté",7,IF(D13="+1 Reflexes",8,IF(D13="+1 Intuition",9,0)))))))))</f>
        <v>7</v>
      </c>
      <c r="N13" s="449" t="s">
        <v>2131</v>
      </c>
      <c r="O13" s="449" t="s">
        <v>2232</v>
      </c>
      <c r="P13" s="451">
        <v>3</v>
      </c>
      <c r="Q13" s="451">
        <v>0</v>
      </c>
      <c r="R13" s="451">
        <v>0</v>
      </c>
      <c r="S13" s="187" t="s">
        <v>1284</v>
      </c>
      <c r="T13" s="196" t="str">
        <f t="shared" si="1"/>
        <v/>
      </c>
      <c r="U13" s="196" t="str">
        <f t="shared" si="2"/>
        <v/>
      </c>
      <c r="V13" s="578" t="str">
        <f t="shared" si="3"/>
        <v/>
      </c>
    </row>
    <row r="14" spans="1:22" ht="60" customHeight="1" x14ac:dyDescent="0.25">
      <c r="A14" s="448" t="s">
        <v>7232</v>
      </c>
      <c r="B14" s="144" t="str">
        <f>IF(Recto!$C$3="","",IF(OR(Recto!$C$3=C14,Calculs!$I$8&gt;0),CONCATENATE(A14),""))</f>
        <v/>
      </c>
      <c r="C14" s="164" t="s">
        <v>7225</v>
      </c>
      <c r="D14" s="144" t="s">
        <v>9</v>
      </c>
      <c r="E14" s="141">
        <v>1.5</v>
      </c>
      <c r="F14" s="142" t="str">
        <f>IF(H14="S","","---")</f>
        <v>---</v>
      </c>
      <c r="G14" s="142" t="str">
        <f>IF(F14="---","---","")</f>
        <v>---</v>
      </c>
      <c r="H14" s="141" t="s">
        <v>2052</v>
      </c>
      <c r="I14" s="141" t="s">
        <v>2086</v>
      </c>
      <c r="J14" s="448" t="s">
        <v>7226</v>
      </c>
      <c r="K14" s="144">
        <v>57</v>
      </c>
      <c r="L14" s="449" t="s">
        <v>7233</v>
      </c>
      <c r="M14" s="450">
        <f>IF(D14="+1 Force",1,IF(D14="+1 Agilité",2,IF(D14="+1 Intelligence",3,IF(D14="+1 Perception",4,IF(D14="+1 Constitution",5,IF(D14="+1 Vide",6,IF(D14="+1 Volonté",7,IF(D14="+1 Reflexes",8,IF(D14="+1 Intuition",9,0)))))))))</f>
        <v>4</v>
      </c>
      <c r="N14" s="449" t="s">
        <v>7234</v>
      </c>
      <c r="O14" s="449" t="s">
        <v>7235</v>
      </c>
      <c r="P14" s="451">
        <v>3</v>
      </c>
      <c r="Q14" s="451">
        <v>0</v>
      </c>
      <c r="R14" s="451">
        <v>0</v>
      </c>
      <c r="S14" s="187" t="s">
        <v>1284</v>
      </c>
      <c r="T14" s="196" t="str">
        <f t="shared" si="1"/>
        <v/>
      </c>
      <c r="U14" s="196" t="str">
        <f t="shared" si="2"/>
        <v/>
      </c>
      <c r="V14" s="578" t="str">
        <f t="shared" si="3"/>
        <v/>
      </c>
    </row>
    <row r="15" spans="1:22" ht="60" customHeight="1" x14ac:dyDescent="0.25">
      <c r="A15" s="448" t="s">
        <v>402</v>
      </c>
      <c r="B15" s="144" t="str">
        <f>IF(Recto!$C$3="","",IF(OR(AND(Recto!$C$3=C15,Contexte_jeu="L'Empire Stellaire d'Emeraude"),Calculs!$I$8&gt;0),CONCATENATE(A15),""))</f>
        <v/>
      </c>
      <c r="C15" s="164" t="s">
        <v>180</v>
      </c>
      <c r="D15" s="144" t="s">
        <v>174</v>
      </c>
      <c r="E15" s="141">
        <v>3</v>
      </c>
      <c r="F15" s="142" t="str">
        <f t="shared" ref="F15" si="6">IF(H15="S","","---")</f>
        <v>---</v>
      </c>
      <c r="G15" s="142" t="str">
        <f t="shared" ref="G15" si="7">IF(F15="---","---","")</f>
        <v>---</v>
      </c>
      <c r="H15" s="141" t="s">
        <v>2049</v>
      </c>
      <c r="I15" s="141" t="s">
        <v>2086</v>
      </c>
      <c r="J15" s="448" t="s">
        <v>3</v>
      </c>
      <c r="K15" s="144">
        <v>217</v>
      </c>
      <c r="L15" s="449" t="s">
        <v>372</v>
      </c>
      <c r="M15" s="450">
        <f t="shared" ref="M15" si="8">IF(D15="+1 Force",1,IF(D15="+1 Agilité",2,IF(D15="+1 Intelligence",3,IF(D15="+1 Perception",4,IF(D15="+1 Constitution",5,IF(D15="+1 Vide",6,IF(D15="+1 Volonté",7,IF(D15="+1 Reflexes",8,IF(D15="+1 Intuition",9,0)))))))))</f>
        <v>7</v>
      </c>
      <c r="N15" s="449" t="s">
        <v>2187</v>
      </c>
      <c r="O15" s="449" t="s">
        <v>2239</v>
      </c>
      <c r="P15" s="451">
        <v>3</v>
      </c>
      <c r="Q15" s="451">
        <v>0</v>
      </c>
      <c r="R15" s="451">
        <v>0</v>
      </c>
      <c r="S15" s="187" t="s">
        <v>1284</v>
      </c>
      <c r="T15" s="196" t="str">
        <f t="shared" si="1"/>
        <v/>
      </c>
      <c r="U15" s="196" t="str">
        <f t="shared" si="2"/>
        <v/>
      </c>
      <c r="V15" s="578" t="str">
        <f t="shared" si="3"/>
        <v/>
      </c>
    </row>
    <row r="16" spans="1:22" ht="60" customHeight="1" x14ac:dyDescent="0.25">
      <c r="A16" s="448" t="s">
        <v>403</v>
      </c>
      <c r="B16" s="144" t="str">
        <f>IF(Recto!$C$3="","",IF(OR(Recto!$C$3=C16,Calculs!$I$8&gt;0),CONCATENATE(A16),""))</f>
        <v/>
      </c>
      <c r="C16" s="164" t="s">
        <v>180</v>
      </c>
      <c r="D16" s="144" t="s">
        <v>170</v>
      </c>
      <c r="E16" s="141">
        <v>3.5</v>
      </c>
      <c r="F16" s="142" t="str">
        <f t="shared" ref="F16:F27" si="9">IF(H16="S","","---")</f>
        <v>---</v>
      </c>
      <c r="G16" s="142" t="str">
        <f t="shared" ref="G16:G27" si="10">IF(F16="---","---","")</f>
        <v>---</v>
      </c>
      <c r="H16" s="141" t="s">
        <v>2049</v>
      </c>
      <c r="I16" s="141" t="s">
        <v>2086</v>
      </c>
      <c r="J16" s="448" t="s">
        <v>3</v>
      </c>
      <c r="K16" s="144">
        <v>215</v>
      </c>
      <c r="L16" s="449" t="s">
        <v>2138</v>
      </c>
      <c r="M16" s="450">
        <f t="shared" ref="M16:M41" si="11">IF(D16="+1 Force",1,IF(D16="+1 Agilité",2,IF(D16="+1 Intelligence",3,IF(D16="+1 Perception",4,IF(D16="+1 Constitution",5,IF(D16="+1 Vide",6,IF(D16="+1 Volonté",7,IF(D16="+1 Reflexes",8,IF(D16="+1 Intuition",9,0)))))))))</f>
        <v>1</v>
      </c>
      <c r="N16" s="449" t="s">
        <v>2132</v>
      </c>
      <c r="O16" s="449" t="s">
        <v>2233</v>
      </c>
      <c r="P16" s="451">
        <v>3</v>
      </c>
      <c r="Q16" s="451">
        <v>0</v>
      </c>
      <c r="R16" s="451">
        <v>0</v>
      </c>
      <c r="S16" s="187" t="s">
        <v>1284</v>
      </c>
      <c r="T16" s="196" t="str">
        <f t="shared" si="1"/>
        <v/>
      </c>
      <c r="U16" s="196" t="str">
        <f t="shared" si="2"/>
        <v/>
      </c>
      <c r="V16" s="578" t="str">
        <f t="shared" si="3"/>
        <v/>
      </c>
    </row>
    <row r="17" spans="1:22" ht="60" customHeight="1" x14ac:dyDescent="0.25">
      <c r="A17" s="448" t="s">
        <v>7749</v>
      </c>
      <c r="B17" s="144" t="str">
        <f>IF(Recto!$C$3="","",IF(OR(Recto!$C$3=C17,Calculs!$I$8&gt;0),CONCATENATE(A17),""))</f>
        <v/>
      </c>
      <c r="C17" s="164" t="s">
        <v>180</v>
      </c>
      <c r="D17" s="144" t="s">
        <v>171</v>
      </c>
      <c r="E17" s="141">
        <v>4.5</v>
      </c>
      <c r="F17" s="142" t="str">
        <f>IF(H17="S","","---")</f>
        <v>---</v>
      </c>
      <c r="G17" s="142" t="str">
        <f>IF(F17="---","---","")</f>
        <v>---</v>
      </c>
      <c r="H17" s="141" t="s">
        <v>2052</v>
      </c>
      <c r="I17" s="141" t="s">
        <v>2086</v>
      </c>
      <c r="J17" s="448" t="s">
        <v>7226</v>
      </c>
      <c r="K17" s="144">
        <v>52</v>
      </c>
      <c r="L17" s="449" t="s">
        <v>7750</v>
      </c>
      <c r="M17" s="450">
        <f t="shared" si="11"/>
        <v>9</v>
      </c>
      <c r="N17" s="449" t="s">
        <v>7751</v>
      </c>
      <c r="O17" s="449" t="s">
        <v>7752</v>
      </c>
      <c r="P17" s="451">
        <v>5</v>
      </c>
      <c r="Q17" s="451">
        <v>0</v>
      </c>
      <c r="R17" s="451">
        <v>0</v>
      </c>
      <c r="S17" s="187" t="s">
        <v>1284</v>
      </c>
      <c r="T17" s="196" t="str">
        <f t="shared" si="1"/>
        <v/>
      </c>
      <c r="U17" s="196" t="str">
        <f t="shared" si="2"/>
        <v/>
      </c>
      <c r="V17" s="578" t="str">
        <f t="shared" si="3"/>
        <v/>
      </c>
    </row>
    <row r="18" spans="1:22" s="358" customFormat="1" ht="61.2" customHeight="1" x14ac:dyDescent="0.25">
      <c r="A18" s="448" t="s">
        <v>6874</v>
      </c>
      <c r="B18" s="144" t="str">
        <f>IF(Recto!$C$3="","",IF(OR(AND(Recto!$C$3=C18,Contexte_jeu="L'Empire Stellaire d'Emeraude"),Calculs!$I$8&gt;0),CONCATENATE(A18),""))</f>
        <v/>
      </c>
      <c r="C18" s="164" t="s">
        <v>180</v>
      </c>
      <c r="D18" s="144" t="s">
        <v>6</v>
      </c>
      <c r="E18" s="141">
        <v>3</v>
      </c>
      <c r="F18" s="142" t="str">
        <f>IF(H18="S","","---")</f>
        <v>---</v>
      </c>
      <c r="G18" s="142" t="str">
        <f>IF(F18="---","---","")</f>
        <v>---</v>
      </c>
      <c r="H18" s="141" t="s">
        <v>2052</v>
      </c>
      <c r="I18" s="141" t="s">
        <v>2086</v>
      </c>
      <c r="J18" s="448" t="s">
        <v>6811</v>
      </c>
      <c r="K18" s="144">
        <v>35</v>
      </c>
      <c r="L18" s="449" t="s">
        <v>7005</v>
      </c>
      <c r="M18" s="450">
        <f t="shared" si="11"/>
        <v>3</v>
      </c>
      <c r="N18" s="449" t="s">
        <v>6876</v>
      </c>
      <c r="O18" s="449" t="s">
        <v>6885</v>
      </c>
      <c r="P18" s="451">
        <v>3</v>
      </c>
      <c r="Q18" s="451">
        <v>0</v>
      </c>
      <c r="R18" s="451">
        <v>0</v>
      </c>
      <c r="S18" s="187" t="s">
        <v>1284</v>
      </c>
      <c r="T18" s="196" t="str">
        <f t="shared" si="1"/>
        <v/>
      </c>
      <c r="U18" s="196" t="str">
        <f t="shared" si="2"/>
        <v/>
      </c>
      <c r="V18" s="578" t="str">
        <f t="shared" si="3"/>
        <v/>
      </c>
    </row>
    <row r="19" spans="1:22" s="358" customFormat="1" ht="61.2" customHeight="1" x14ac:dyDescent="0.25">
      <c r="A19" s="448" t="s">
        <v>6875</v>
      </c>
      <c r="B19" s="144" t="str">
        <f>IF(Recto!$C$3="","",IF(OR(AND(Recto!$C$3=C19,Contexte_jeu="L'Empire Stellaire d'Emeraude"),Calculs!$I$8&gt;0),CONCATENATE(A19),""))</f>
        <v/>
      </c>
      <c r="C19" s="164" t="s">
        <v>180</v>
      </c>
      <c r="D19" s="144" t="s">
        <v>9</v>
      </c>
      <c r="E19" s="141">
        <v>2.5</v>
      </c>
      <c r="F19" s="142" t="s">
        <v>578</v>
      </c>
      <c r="G19" s="142" t="s">
        <v>579</v>
      </c>
      <c r="H19" s="141" t="s">
        <v>2048</v>
      </c>
      <c r="I19" s="141" t="s">
        <v>2086</v>
      </c>
      <c r="J19" s="448" t="s">
        <v>6811</v>
      </c>
      <c r="K19" s="144">
        <v>36</v>
      </c>
      <c r="L19" s="449" t="s">
        <v>6877</v>
      </c>
      <c r="M19" s="450">
        <f t="shared" si="11"/>
        <v>4</v>
      </c>
      <c r="N19" s="449" t="s">
        <v>6878</v>
      </c>
      <c r="O19" s="449" t="s">
        <v>6886</v>
      </c>
      <c r="P19" s="451">
        <v>3</v>
      </c>
      <c r="Q19" s="451">
        <v>0</v>
      </c>
      <c r="R19" s="451">
        <v>0</v>
      </c>
      <c r="S19" s="187" t="s">
        <v>1284</v>
      </c>
      <c r="T19" s="196" t="str">
        <f t="shared" si="1"/>
        <v/>
      </c>
      <c r="U19" s="196" t="str">
        <f t="shared" si="2"/>
        <v/>
      </c>
      <c r="V19" s="578" t="str">
        <f t="shared" si="3"/>
        <v/>
      </c>
    </row>
    <row r="20" spans="1:22" ht="60" customHeight="1" x14ac:dyDescent="0.25">
      <c r="A20" s="448" t="s">
        <v>415</v>
      </c>
      <c r="B20" s="144" t="str">
        <f>IF(Recto!$C$3="","",IF(OR(AND(Recto!$C$3=C20,Contexte_jeu="L'Empire Stellaire d'Emeraude"),Calculs!$I$8&gt;0),CONCATENATE(A20),""))</f>
        <v/>
      </c>
      <c r="C20" s="164" t="s">
        <v>180</v>
      </c>
      <c r="D20" s="144" t="s">
        <v>6</v>
      </c>
      <c r="E20" s="141">
        <v>4.5</v>
      </c>
      <c r="F20" s="142" t="s">
        <v>100</v>
      </c>
      <c r="G20" s="142" t="s">
        <v>577</v>
      </c>
      <c r="H20" s="141" t="s">
        <v>2048</v>
      </c>
      <c r="I20" s="141" t="s">
        <v>2086</v>
      </c>
      <c r="J20" s="448" t="s">
        <v>3</v>
      </c>
      <c r="K20" s="144">
        <v>217</v>
      </c>
      <c r="L20" s="449" t="s">
        <v>365</v>
      </c>
      <c r="M20" s="450">
        <f t="shared" ref="M20" si="12">IF(D20="+1 Force",1,IF(D20="+1 Agilité",2,IF(D20="+1 Intelligence",3,IF(D20="+1 Perception",4,IF(D20="+1 Constitution",5,IF(D20="+1 Vide",6,IF(D20="+1 Volonté",7,IF(D20="+1 Reflexes",8,IF(D20="+1 Intuition",9,0)))))))))</f>
        <v>3</v>
      </c>
      <c r="N20" s="449" t="s">
        <v>5981</v>
      </c>
      <c r="O20" s="449" t="s">
        <v>2234</v>
      </c>
      <c r="P20" s="451">
        <v>3</v>
      </c>
      <c r="Q20" s="451">
        <v>0</v>
      </c>
      <c r="R20" s="451">
        <v>0</v>
      </c>
      <c r="S20" s="187" t="s">
        <v>1284</v>
      </c>
      <c r="T20" s="196" t="str">
        <f t="shared" si="1"/>
        <v/>
      </c>
      <c r="U20" s="196" t="str">
        <f t="shared" si="2"/>
        <v/>
      </c>
      <c r="V20" s="578" t="str">
        <f t="shared" si="3"/>
        <v/>
      </c>
    </row>
    <row r="21" spans="1:22" ht="60" customHeight="1" x14ac:dyDescent="0.25">
      <c r="A21" s="448" t="s">
        <v>404</v>
      </c>
      <c r="B21" s="144" t="str">
        <f>IF(Recto!$C$3="","",IF(OR(Recto!$C$3=C21,Calculs!$I$8&gt;0),CONCATENATE(A21),""))</f>
        <v/>
      </c>
      <c r="C21" s="164" t="s">
        <v>338</v>
      </c>
      <c r="D21" s="144" t="s">
        <v>169</v>
      </c>
      <c r="E21" s="141">
        <v>3.5</v>
      </c>
      <c r="F21" s="142" t="str">
        <f t="shared" si="9"/>
        <v>---</v>
      </c>
      <c r="G21" s="142" t="str">
        <f t="shared" si="10"/>
        <v>---</v>
      </c>
      <c r="H21" s="141" t="s">
        <v>2049</v>
      </c>
      <c r="I21" s="141" t="s">
        <v>2086</v>
      </c>
      <c r="J21" s="448" t="s">
        <v>3</v>
      </c>
      <c r="K21" s="144">
        <v>223</v>
      </c>
      <c r="L21" s="449" t="s">
        <v>347</v>
      </c>
      <c r="M21" s="450">
        <f t="shared" si="11"/>
        <v>2</v>
      </c>
      <c r="N21" s="449" t="s">
        <v>2139</v>
      </c>
      <c r="O21" s="449" t="s">
        <v>5590</v>
      </c>
      <c r="P21" s="451">
        <v>3</v>
      </c>
      <c r="Q21" s="451">
        <v>0</v>
      </c>
      <c r="R21" s="451">
        <v>0</v>
      </c>
      <c r="S21" s="187" t="s">
        <v>1284</v>
      </c>
      <c r="T21" s="196" t="str">
        <f t="shared" si="1"/>
        <v/>
      </c>
      <c r="U21" s="196" t="str">
        <f t="shared" si="2"/>
        <v/>
      </c>
      <c r="V21" s="578" t="str">
        <f t="shared" si="3"/>
        <v/>
      </c>
    </row>
    <row r="22" spans="1:22" ht="60" customHeight="1" x14ac:dyDescent="0.25">
      <c r="A22" s="448" t="s">
        <v>6952</v>
      </c>
      <c r="B22" s="144" t="str">
        <f>IF(Recto!$C$3="","",IF(OR(Recto!$C$3=C22,Calculs!$I$8&gt;0),CONCATENATE(A22),""))</f>
        <v/>
      </c>
      <c r="C22" s="447" t="s">
        <v>6783</v>
      </c>
      <c r="D22" s="144" t="s">
        <v>174</v>
      </c>
      <c r="E22" s="141">
        <v>1.5</v>
      </c>
      <c r="F22" s="142" t="str">
        <f t="shared" si="9"/>
        <v>---</v>
      </c>
      <c r="G22" s="142" t="str">
        <f t="shared" si="10"/>
        <v>---</v>
      </c>
      <c r="H22" s="141" t="s">
        <v>2049</v>
      </c>
      <c r="I22" s="141" t="s">
        <v>2086</v>
      </c>
      <c r="J22" s="448" t="s">
        <v>6811</v>
      </c>
      <c r="K22" s="144">
        <v>91</v>
      </c>
      <c r="L22" s="449" t="s">
        <v>6953</v>
      </c>
      <c r="M22" s="450">
        <f t="shared" si="11"/>
        <v>7</v>
      </c>
      <c r="N22" s="449" t="s">
        <v>6954</v>
      </c>
      <c r="O22" s="449" t="s">
        <v>6955</v>
      </c>
      <c r="P22" s="451">
        <v>0</v>
      </c>
      <c r="Q22" s="451">
        <v>5</v>
      </c>
      <c r="R22" s="451">
        <v>0</v>
      </c>
      <c r="S22" s="187" t="s">
        <v>1284</v>
      </c>
      <c r="T22" s="196" t="str">
        <f t="shared" si="1"/>
        <v/>
      </c>
      <c r="U22" s="196" t="str">
        <f t="shared" si="2"/>
        <v/>
      </c>
      <c r="V22" s="578" t="str">
        <f t="shared" si="3"/>
        <v/>
      </c>
    </row>
    <row r="23" spans="1:22" ht="60" customHeight="1" x14ac:dyDescent="0.25">
      <c r="A23" s="448" t="s">
        <v>7737</v>
      </c>
      <c r="B23" s="144" t="str">
        <f>IF(Contexte_jeu&lt;&gt;"L'Empire Stellaire d'Emeraude","",IF(Recto!$C$3="","",IF(OR(Recto!$C$3=C23,Calculs!$I$8&gt;0),CONCATENATE(A23),"")))</f>
        <v/>
      </c>
      <c r="C23" s="447" t="s">
        <v>7727</v>
      </c>
      <c r="D23" s="144" t="s">
        <v>9</v>
      </c>
      <c r="E23" s="141">
        <v>3.5</v>
      </c>
      <c r="F23" s="142" t="s">
        <v>100</v>
      </c>
      <c r="G23" s="142" t="s">
        <v>577</v>
      </c>
      <c r="H23" s="141" t="s">
        <v>2048</v>
      </c>
      <c r="I23" s="141" t="s">
        <v>2086</v>
      </c>
      <c r="J23" s="448" t="s">
        <v>7226</v>
      </c>
      <c r="K23" s="144">
        <v>63</v>
      </c>
      <c r="L23" s="449" t="s">
        <v>7738</v>
      </c>
      <c r="M23" s="450">
        <f t="shared" si="11"/>
        <v>4</v>
      </c>
      <c r="N23" s="449" t="s">
        <v>7739</v>
      </c>
      <c r="O23" s="449" t="s">
        <v>7740</v>
      </c>
      <c r="P23" s="451">
        <v>1</v>
      </c>
      <c r="Q23" s="451">
        <v>0</v>
      </c>
      <c r="R23" s="451">
        <v>0</v>
      </c>
      <c r="S23" s="187" t="s">
        <v>1284</v>
      </c>
      <c r="T23" s="196" t="str">
        <f t="shared" si="1"/>
        <v/>
      </c>
      <c r="U23" s="196" t="str">
        <f t="shared" si="2"/>
        <v/>
      </c>
      <c r="V23" s="578" t="str">
        <f t="shared" si="3"/>
        <v/>
      </c>
    </row>
    <row r="24" spans="1:22" ht="60" customHeight="1" x14ac:dyDescent="0.25">
      <c r="A24" s="448" t="s">
        <v>6845</v>
      </c>
      <c r="B24" s="144" t="str">
        <f>IF(Recto!$C$3="","",IF(OR(Recto!$C$3=C24,Calculs!$I$8&gt;0),CONCATENATE(A24),""))</f>
        <v/>
      </c>
      <c r="C24" s="447" t="s">
        <v>6757</v>
      </c>
      <c r="D24" s="144" t="s">
        <v>171</v>
      </c>
      <c r="E24" s="141">
        <v>3.5</v>
      </c>
      <c r="F24" s="142" t="str">
        <f t="shared" si="9"/>
        <v>---</v>
      </c>
      <c r="G24" s="142" t="str">
        <f t="shared" si="10"/>
        <v>---</v>
      </c>
      <c r="H24" s="141" t="s">
        <v>2049</v>
      </c>
      <c r="I24" s="141" t="s">
        <v>2086</v>
      </c>
      <c r="J24" s="448" t="s">
        <v>6811</v>
      </c>
      <c r="K24" s="144">
        <v>16</v>
      </c>
      <c r="L24" s="449" t="s">
        <v>6847</v>
      </c>
      <c r="M24" s="450">
        <f t="shared" si="11"/>
        <v>9</v>
      </c>
      <c r="N24" s="449" t="s">
        <v>6848</v>
      </c>
      <c r="O24" s="449" t="s">
        <v>6849</v>
      </c>
      <c r="P24" s="451">
        <v>5</v>
      </c>
      <c r="Q24" s="451">
        <v>0</v>
      </c>
      <c r="R24" s="451">
        <v>0</v>
      </c>
      <c r="S24" s="187" t="s">
        <v>1284</v>
      </c>
      <c r="T24" s="196" t="str">
        <f t="shared" si="1"/>
        <v/>
      </c>
      <c r="U24" s="196" t="str">
        <f t="shared" si="2"/>
        <v/>
      </c>
      <c r="V24" s="578" t="str">
        <f t="shared" si="3"/>
        <v/>
      </c>
    </row>
    <row r="25" spans="1:22" ht="60" customHeight="1" x14ac:dyDescent="0.25">
      <c r="A25" s="448" t="s">
        <v>7797</v>
      </c>
      <c r="B25" s="144" t="str">
        <f>IF(Recto!$C$3="","",IF(Contexte_jeu&lt;&gt;"L'Empire Stellaire d'Emeraude","",IF(OR(Recto!$C$3=C25,Calculs!$I$8&gt;0),CONCATENATE(A25),"")))</f>
        <v/>
      </c>
      <c r="C25" s="447" t="s">
        <v>6757</v>
      </c>
      <c r="D25" s="144" t="s">
        <v>9</v>
      </c>
      <c r="E25" s="141">
        <v>1.5</v>
      </c>
      <c r="F25" s="142" t="str">
        <f>IF(H25="S","","---")</f>
        <v>---</v>
      </c>
      <c r="G25" s="142" t="str">
        <f>IF(F25="---","---","")</f>
        <v>---</v>
      </c>
      <c r="H25" s="141" t="s">
        <v>2052</v>
      </c>
      <c r="I25" s="141" t="s">
        <v>2086</v>
      </c>
      <c r="J25" s="448" t="s">
        <v>7226</v>
      </c>
      <c r="K25" s="144">
        <v>64</v>
      </c>
      <c r="L25" s="449" t="s">
        <v>7798</v>
      </c>
      <c r="M25" s="450">
        <f t="shared" si="11"/>
        <v>4</v>
      </c>
      <c r="N25" s="449" t="s">
        <v>7799</v>
      </c>
      <c r="O25" s="449" t="s">
        <v>7800</v>
      </c>
      <c r="P25" s="451">
        <v>8</v>
      </c>
      <c r="Q25" s="451">
        <v>0</v>
      </c>
      <c r="R25" s="451">
        <v>0</v>
      </c>
      <c r="S25" s="187" t="s">
        <v>1284</v>
      </c>
      <c r="T25" s="196" t="str">
        <f t="shared" si="1"/>
        <v/>
      </c>
      <c r="U25" s="196" t="str">
        <f t="shared" si="2"/>
        <v/>
      </c>
      <c r="V25" s="578" t="str">
        <f t="shared" si="3"/>
        <v/>
      </c>
    </row>
    <row r="26" spans="1:22" ht="60" customHeight="1" x14ac:dyDescent="0.25">
      <c r="A26" s="448" t="s">
        <v>6846</v>
      </c>
      <c r="B26" s="144" t="str">
        <f>IF(Recto!$C$3="","",IF(OR(Recto!$C$3=C26,Calculs!$I$8&gt;0),CONCATENATE(A26),""))</f>
        <v/>
      </c>
      <c r="C26" s="447" t="s">
        <v>6757</v>
      </c>
      <c r="D26" s="144" t="s">
        <v>169</v>
      </c>
      <c r="E26" s="141">
        <v>3.5</v>
      </c>
      <c r="F26" s="142" t="str">
        <f t="shared" si="9"/>
        <v>---</v>
      </c>
      <c r="G26" s="142" t="str">
        <f t="shared" si="10"/>
        <v>---</v>
      </c>
      <c r="H26" s="141" t="s">
        <v>2049</v>
      </c>
      <c r="I26" s="141" t="s">
        <v>2086</v>
      </c>
      <c r="J26" s="448" t="s">
        <v>6811</v>
      </c>
      <c r="K26" s="144">
        <v>17</v>
      </c>
      <c r="L26" s="449" t="s">
        <v>6850</v>
      </c>
      <c r="M26" s="450">
        <f t="shared" si="11"/>
        <v>2</v>
      </c>
      <c r="N26" s="449" t="s">
        <v>6853</v>
      </c>
      <c r="O26" s="449" t="s">
        <v>6854</v>
      </c>
      <c r="P26" s="451">
        <v>10</v>
      </c>
      <c r="Q26" s="451">
        <v>0</v>
      </c>
      <c r="R26" s="451">
        <v>0</v>
      </c>
      <c r="S26" s="187" t="s">
        <v>1284</v>
      </c>
      <c r="T26" s="196" t="str">
        <f t="shared" si="1"/>
        <v/>
      </c>
      <c r="U26" s="196" t="str">
        <f t="shared" si="2"/>
        <v/>
      </c>
      <c r="V26" s="578" t="str">
        <f t="shared" si="3"/>
        <v/>
      </c>
    </row>
    <row r="27" spans="1:22" ht="60" customHeight="1" x14ac:dyDescent="0.25">
      <c r="A27" s="448" t="s">
        <v>6855</v>
      </c>
      <c r="B27" s="144" t="str">
        <f>IF(Recto!$C$3="","",IF(OR(Recto!$C$3=C27,Calculs!$I$8&gt;0),CONCATENATE(A27),""))</f>
        <v/>
      </c>
      <c r="C27" s="447" t="s">
        <v>6758</v>
      </c>
      <c r="D27" s="144" t="s">
        <v>19</v>
      </c>
      <c r="E27" s="141">
        <v>1</v>
      </c>
      <c r="F27" s="142" t="str">
        <f t="shared" si="9"/>
        <v>---</v>
      </c>
      <c r="G27" s="142" t="str">
        <f t="shared" si="10"/>
        <v>---</v>
      </c>
      <c r="H27" s="141" t="s">
        <v>2052</v>
      </c>
      <c r="I27" s="141" t="s">
        <v>2086</v>
      </c>
      <c r="J27" s="448" t="s">
        <v>6811</v>
      </c>
      <c r="K27" s="144">
        <v>20</v>
      </c>
      <c r="L27" s="449" t="s">
        <v>6858</v>
      </c>
      <c r="M27" s="450">
        <f t="shared" si="11"/>
        <v>8</v>
      </c>
      <c r="N27" s="449" t="s">
        <v>6856</v>
      </c>
      <c r="O27" s="449" t="s">
        <v>6859</v>
      </c>
      <c r="P27" s="451">
        <v>4</v>
      </c>
      <c r="Q27" s="451">
        <v>0</v>
      </c>
      <c r="R27" s="451">
        <v>0</v>
      </c>
      <c r="S27" s="187" t="s">
        <v>1284</v>
      </c>
      <c r="T27" s="196" t="str">
        <f t="shared" si="1"/>
        <v/>
      </c>
      <c r="U27" s="196" t="str">
        <f t="shared" si="2"/>
        <v/>
      </c>
      <c r="V27" s="578" t="str">
        <f t="shared" si="3"/>
        <v/>
      </c>
    </row>
    <row r="28" spans="1:22" ht="60" customHeight="1" x14ac:dyDescent="0.25">
      <c r="A28" s="448" t="s">
        <v>415</v>
      </c>
      <c r="B28" s="144" t="str">
        <f>IF(Recto!$C$3="","",IF(OR(Recto!$C$3=C28,Calculs!$I$8&gt;0),CONCATENATE(A28),""))</f>
        <v/>
      </c>
      <c r="C28" s="164" t="s">
        <v>400</v>
      </c>
      <c r="D28" s="144" t="s">
        <v>6</v>
      </c>
      <c r="E28" s="141">
        <v>4.5</v>
      </c>
      <c r="F28" s="142" t="s">
        <v>100</v>
      </c>
      <c r="G28" s="142" t="s">
        <v>577</v>
      </c>
      <c r="H28" s="141" t="s">
        <v>2048</v>
      </c>
      <c r="I28" s="141" t="s">
        <v>2086</v>
      </c>
      <c r="J28" s="448" t="s">
        <v>3</v>
      </c>
      <c r="K28" s="144">
        <v>217</v>
      </c>
      <c r="L28" s="449" t="s">
        <v>365</v>
      </c>
      <c r="M28" s="450">
        <f t="shared" si="11"/>
        <v>3</v>
      </c>
      <c r="N28" s="449" t="s">
        <v>5981</v>
      </c>
      <c r="O28" s="449" t="s">
        <v>2234</v>
      </c>
      <c r="P28" s="451">
        <v>3</v>
      </c>
      <c r="Q28" s="451">
        <v>0</v>
      </c>
      <c r="R28" s="451">
        <v>0</v>
      </c>
      <c r="S28" s="187" t="s">
        <v>1284</v>
      </c>
      <c r="T28" s="196" t="str">
        <f t="shared" si="1"/>
        <v/>
      </c>
      <c r="U28" s="196" t="str">
        <f t="shared" si="2"/>
        <v/>
      </c>
      <c r="V28" s="578" t="str">
        <f t="shared" si="3"/>
        <v/>
      </c>
    </row>
    <row r="29" spans="1:22" ht="60" customHeight="1" x14ac:dyDescent="0.25">
      <c r="A29" s="448" t="s">
        <v>6865</v>
      </c>
      <c r="B29" s="144" t="str">
        <f>IF(Recto!$C$3="","",IF(OR(Recto!$C$3=C29,Calculs!$I$8&gt;0),CONCATENATE(A29),""))</f>
        <v/>
      </c>
      <c r="C29" s="447" t="s">
        <v>6762</v>
      </c>
      <c r="D29" s="144" t="s">
        <v>9</v>
      </c>
      <c r="E29" s="141">
        <v>3.5</v>
      </c>
      <c r="F29" s="142" t="str">
        <f>IF(H29="S","","---")</f>
        <v>---</v>
      </c>
      <c r="G29" s="142" t="str">
        <f>IF(F29="---","---","")</f>
        <v>---</v>
      </c>
      <c r="H29" s="141" t="s">
        <v>2049</v>
      </c>
      <c r="I29" s="141" t="s">
        <v>2086</v>
      </c>
      <c r="J29" s="448" t="s">
        <v>6811</v>
      </c>
      <c r="K29" s="144">
        <v>30</v>
      </c>
      <c r="L29" s="449" t="s">
        <v>6866</v>
      </c>
      <c r="M29" s="450">
        <f t="shared" si="11"/>
        <v>4</v>
      </c>
      <c r="N29" s="449" t="s">
        <v>6867</v>
      </c>
      <c r="O29" s="449" t="s">
        <v>6868</v>
      </c>
      <c r="P29" s="451">
        <v>1</v>
      </c>
      <c r="Q29" s="451">
        <v>0</v>
      </c>
      <c r="R29" s="451">
        <v>0</v>
      </c>
      <c r="S29" s="187" t="s">
        <v>1284</v>
      </c>
      <c r="T29" s="196" t="str">
        <f t="shared" si="1"/>
        <v/>
      </c>
      <c r="U29" s="196" t="str">
        <f t="shared" si="2"/>
        <v/>
      </c>
      <c r="V29" s="578" t="str">
        <f t="shared" si="3"/>
        <v/>
      </c>
    </row>
    <row r="30" spans="1:22" ht="60" customHeight="1" x14ac:dyDescent="0.25">
      <c r="A30" s="448" t="s">
        <v>401</v>
      </c>
      <c r="B30" s="144" t="str">
        <f>IF(Recto!$C$3="","",IF(OR(Recto!$C$3=C30,Calculs!$I$8&gt;0),CONCATENATE(A30),""))</f>
        <v/>
      </c>
      <c r="C30" s="164" t="s">
        <v>388</v>
      </c>
      <c r="D30" s="139" t="s">
        <v>169</v>
      </c>
      <c r="E30" s="141">
        <v>6.5</v>
      </c>
      <c r="F30" s="142" t="str">
        <f>IF(H30="S","","---")</f>
        <v>---</v>
      </c>
      <c r="G30" s="142" t="str">
        <f>IF(F30="---","---","")</f>
        <v>---</v>
      </c>
      <c r="H30" s="141" t="s">
        <v>2049</v>
      </c>
      <c r="I30" s="141" t="s">
        <v>2086</v>
      </c>
      <c r="J30" s="448" t="s">
        <v>2076</v>
      </c>
      <c r="K30" s="144">
        <v>27</v>
      </c>
      <c r="L30" s="449" t="s">
        <v>2711</v>
      </c>
      <c r="M30" s="450">
        <f t="shared" si="11"/>
        <v>2</v>
      </c>
      <c r="N30" s="449" t="s">
        <v>2710</v>
      </c>
      <c r="O30" s="449" t="s">
        <v>6869</v>
      </c>
      <c r="P30" s="451">
        <v>4</v>
      </c>
      <c r="Q30" s="451">
        <v>0</v>
      </c>
      <c r="R30" s="451">
        <v>0</v>
      </c>
      <c r="S30" s="187" t="s">
        <v>1284</v>
      </c>
      <c r="T30" s="196" t="str">
        <f t="shared" si="1"/>
        <v/>
      </c>
      <c r="U30" s="196" t="str">
        <f t="shared" si="2"/>
        <v/>
      </c>
      <c r="V30" s="578" t="str">
        <f t="shared" si="3"/>
        <v/>
      </c>
    </row>
    <row r="31" spans="1:22" ht="60" customHeight="1" x14ac:dyDescent="0.25">
      <c r="A31" s="448" t="s">
        <v>6879</v>
      </c>
      <c r="B31" s="144" t="str">
        <f>IF(Recto!$C$3="","",IF(OR(AND(Recto!$C$3=C31,Contexte_jeu="L'Empire Stellaire d'Emeraude"),Calculs!$I$8&gt;0),CONCATENATE(A31),""))</f>
        <v/>
      </c>
      <c r="C31" s="164" t="s">
        <v>388</v>
      </c>
      <c r="D31" s="144" t="s">
        <v>9</v>
      </c>
      <c r="E31" s="141">
        <v>5</v>
      </c>
      <c r="F31" s="142" t="str">
        <f t="shared" ref="F31" si="13">IF(H31="S","","---")</f>
        <v>---</v>
      </c>
      <c r="G31" s="142" t="str">
        <f t="shared" ref="G31" si="14">IF(F31="---","---","")</f>
        <v>---</v>
      </c>
      <c r="H31" s="141" t="s">
        <v>2049</v>
      </c>
      <c r="I31" s="141" t="s">
        <v>2086</v>
      </c>
      <c r="J31" s="448" t="s">
        <v>6811</v>
      </c>
      <c r="K31" s="144">
        <v>43</v>
      </c>
      <c r="L31" s="449" t="s">
        <v>7017</v>
      </c>
      <c r="M31" s="450">
        <f t="shared" si="11"/>
        <v>4</v>
      </c>
      <c r="N31" s="449" t="s">
        <v>6880</v>
      </c>
      <c r="O31" s="449" t="s">
        <v>6881</v>
      </c>
      <c r="P31" s="451">
        <v>5</v>
      </c>
      <c r="Q31" s="451">
        <v>0</v>
      </c>
      <c r="R31" s="451">
        <v>0</v>
      </c>
      <c r="S31" s="187" t="s">
        <v>1284</v>
      </c>
      <c r="T31" s="196" t="str">
        <f t="shared" si="1"/>
        <v/>
      </c>
      <c r="U31" s="196" t="str">
        <f t="shared" si="2"/>
        <v/>
      </c>
      <c r="V31" s="578" t="str">
        <f t="shared" si="3"/>
        <v/>
      </c>
    </row>
    <row r="32" spans="1:22" ht="60" customHeight="1" x14ac:dyDescent="0.25">
      <c r="A32" s="448" t="str">
        <f>IF(Contexte_jeu="L'Empire Stellaire d'Emeraude","Diplomate Toturi","Diplomate Otomo")</f>
        <v>Diplomate Otomo</v>
      </c>
      <c r="B32" s="144" t="str">
        <f>IF(Recto!$C$3="","",IF(OR(Recto!$C$3=C32,Calculs!$I$8&gt;0),CONCATENATE(A32),""))</f>
        <v/>
      </c>
      <c r="C32" s="164" t="s">
        <v>388</v>
      </c>
      <c r="D32" s="144" t="s">
        <v>171</v>
      </c>
      <c r="E32" s="141">
        <v>6.5</v>
      </c>
      <c r="F32" s="142" t="str">
        <f>IF(H32="S","","---")</f>
        <v>---</v>
      </c>
      <c r="G32" s="142" t="str">
        <f>IF(F32="---","---","")</f>
        <v>---</v>
      </c>
      <c r="H32" s="141" t="s">
        <v>2052</v>
      </c>
      <c r="I32" s="141" t="s">
        <v>2086</v>
      </c>
      <c r="J32" s="448" t="s">
        <v>2076</v>
      </c>
      <c r="K32" s="144">
        <v>28</v>
      </c>
      <c r="L32" s="449" t="s">
        <v>2726</v>
      </c>
      <c r="M32" s="450">
        <f t="shared" si="11"/>
        <v>9</v>
      </c>
      <c r="N32" s="449" t="s">
        <v>2727</v>
      </c>
      <c r="O32" s="449" t="s">
        <v>2728</v>
      </c>
      <c r="P32" s="451">
        <v>5</v>
      </c>
      <c r="Q32" s="451">
        <v>0</v>
      </c>
      <c r="R32" s="451">
        <v>0</v>
      </c>
      <c r="S32" s="187" t="s">
        <v>1284</v>
      </c>
      <c r="T32" s="196" t="str">
        <f t="shared" si="1"/>
        <v/>
      </c>
      <c r="U32" s="196" t="str">
        <f t="shared" si="2"/>
        <v/>
      </c>
      <c r="V32" s="578" t="str">
        <f t="shared" si="3"/>
        <v/>
      </c>
    </row>
    <row r="33" spans="1:22" ht="60" customHeight="1" x14ac:dyDescent="0.25">
      <c r="A33" s="448" t="str">
        <f>IF(Contexte_jeu="L'Empire Stellaire d'Emeraude","Shugenja Yoshun","Shugenja Chuda")</f>
        <v>Shugenja Chuda</v>
      </c>
      <c r="B33" s="144" t="str">
        <f>IF(Recto!$C$3="","",IF(OR(AND(Recto!$C$3=C33,Contexte_jeu="L'Empire Stellaire d'Emeraude"),Calculs!$I$8&gt;0),CONCATENATE(A33),""))</f>
        <v/>
      </c>
      <c r="C33" s="164" t="s">
        <v>388</v>
      </c>
      <c r="D33" s="144" t="s">
        <v>174</v>
      </c>
      <c r="E33" s="141">
        <v>4.5</v>
      </c>
      <c r="F33" s="142" t="s">
        <v>577</v>
      </c>
      <c r="G33" s="142" t="s">
        <v>100</v>
      </c>
      <c r="H33" s="141" t="s">
        <v>2048</v>
      </c>
      <c r="I33" s="141" t="s">
        <v>2086</v>
      </c>
      <c r="J33" s="448" t="s">
        <v>3</v>
      </c>
      <c r="K33" s="144">
        <v>224</v>
      </c>
      <c r="L33" s="449" t="s">
        <v>374</v>
      </c>
      <c r="M33" s="450">
        <f t="shared" si="11"/>
        <v>7</v>
      </c>
      <c r="N33" s="449" t="s">
        <v>2191</v>
      </c>
      <c r="O33" s="449" t="s">
        <v>2232</v>
      </c>
      <c r="P33" s="451">
        <v>3</v>
      </c>
      <c r="Q33" s="451">
        <v>0</v>
      </c>
      <c r="R33" s="451">
        <v>0</v>
      </c>
      <c r="S33" s="187" t="s">
        <v>1284</v>
      </c>
      <c r="T33" s="196" t="str">
        <f t="shared" si="1"/>
        <v/>
      </c>
      <c r="U33" s="196" t="str">
        <f t="shared" si="2"/>
        <v/>
      </c>
      <c r="V33" s="578" t="str">
        <f t="shared" si="3"/>
        <v/>
      </c>
    </row>
    <row r="34" spans="1:22" ht="60" customHeight="1" x14ac:dyDescent="0.25">
      <c r="A34" s="448" t="str">
        <f>IF(Contexte_jeu="L'Empire Stellaire d'Emeraude","Shugenja Hantei","Shugenja Seppun")</f>
        <v>Shugenja Seppun</v>
      </c>
      <c r="B34" s="144" t="str">
        <f>IF(Recto!$C$3="","",IF(OR(Recto!$C$3=C34,Calculs!$I$8&gt;0),CONCATENATE(A34),""))</f>
        <v/>
      </c>
      <c r="C34" s="164" t="s">
        <v>388</v>
      </c>
      <c r="D34" s="144" t="s">
        <v>6</v>
      </c>
      <c r="E34" s="141">
        <v>6.5</v>
      </c>
      <c r="F34" s="142" t="s">
        <v>579</v>
      </c>
      <c r="G34" s="142" t="s">
        <v>578</v>
      </c>
      <c r="H34" s="141" t="s">
        <v>2048</v>
      </c>
      <c r="I34" s="141" t="s">
        <v>2086</v>
      </c>
      <c r="J34" s="448" t="s">
        <v>2076</v>
      </c>
      <c r="K34" s="144">
        <v>28</v>
      </c>
      <c r="L34" s="449" t="s">
        <v>2711</v>
      </c>
      <c r="M34" s="450">
        <f t="shared" si="11"/>
        <v>3</v>
      </c>
      <c r="N34" s="449" t="s">
        <v>2729</v>
      </c>
      <c r="O34" s="449" t="s">
        <v>2313</v>
      </c>
      <c r="P34" s="451">
        <v>4</v>
      </c>
      <c r="Q34" s="451">
        <v>0</v>
      </c>
      <c r="R34" s="451">
        <v>0</v>
      </c>
      <c r="S34" s="187" t="s">
        <v>1284</v>
      </c>
      <c r="T34" s="196" t="str">
        <f t="shared" si="1"/>
        <v/>
      </c>
      <c r="U34" s="196" t="str">
        <f t="shared" si="2"/>
        <v/>
      </c>
      <c r="V34" s="578" t="str">
        <f t="shared" si="3"/>
        <v/>
      </c>
    </row>
    <row r="35" spans="1:22" ht="60" customHeight="1" x14ac:dyDescent="0.25">
      <c r="A35" s="448" t="s">
        <v>257</v>
      </c>
      <c r="B35" s="144" t="str">
        <f>IF(Recto!$C$3="","",IF(OR(Recto!$C$3=C35,Calculs!$I$8&gt;0),CONCATENATE(A35),""))</f>
        <v/>
      </c>
      <c r="C35" s="164" t="s">
        <v>341</v>
      </c>
      <c r="D35" s="144" t="s">
        <v>6</v>
      </c>
      <c r="E35" s="141">
        <v>5.5</v>
      </c>
      <c r="F35" s="142" t="str">
        <f t="shared" ref="F35:F60" si="15">IF(S35="S","","---")</f>
        <v>---</v>
      </c>
      <c r="G35" s="142" t="str">
        <f t="shared" ref="G35:G70" si="16">IF(F35="---","---","")</f>
        <v>---</v>
      </c>
      <c r="H35" s="141" t="s">
        <v>2050</v>
      </c>
      <c r="I35" s="141" t="s">
        <v>2086</v>
      </c>
      <c r="J35" s="448" t="s">
        <v>2076</v>
      </c>
      <c r="K35" s="455">
        <v>29</v>
      </c>
      <c r="L35" s="449" t="s">
        <v>2734</v>
      </c>
      <c r="M35" s="450">
        <f t="shared" si="11"/>
        <v>3</v>
      </c>
      <c r="N35" s="449" t="s">
        <v>2731</v>
      </c>
      <c r="O35" s="449" t="s">
        <v>3499</v>
      </c>
      <c r="P35" s="451">
        <v>0</v>
      </c>
      <c r="Q35" s="451">
        <v>0</v>
      </c>
      <c r="R35" s="451">
        <v>2</v>
      </c>
      <c r="S35" s="187" t="s">
        <v>2088</v>
      </c>
      <c r="T35" s="196" t="str">
        <f t="shared" si="1"/>
        <v/>
      </c>
      <c r="U35" s="196" t="str">
        <f t="shared" si="2"/>
        <v/>
      </c>
      <c r="V35" s="578" t="str">
        <f t="shared" si="3"/>
        <v/>
      </c>
    </row>
    <row r="36" spans="1:22" ht="60" customHeight="1" x14ac:dyDescent="0.25">
      <c r="A36" s="448" t="s">
        <v>260</v>
      </c>
      <c r="B36" s="144" t="str">
        <f>IF(Recto!$C$3="","",IF(OR(Recto!$C$3=C36,Calculs!$I$8&gt;0),CONCATENATE(A36),""))</f>
        <v/>
      </c>
      <c r="C36" s="164" t="s">
        <v>341</v>
      </c>
      <c r="D36" s="144" t="s">
        <v>171</v>
      </c>
      <c r="E36" s="141">
        <v>6.5</v>
      </c>
      <c r="F36" s="142" t="str">
        <f t="shared" si="15"/>
        <v>---</v>
      </c>
      <c r="G36" s="142" t="str">
        <f t="shared" si="16"/>
        <v>---</v>
      </c>
      <c r="H36" s="141" t="s">
        <v>2050</v>
      </c>
      <c r="I36" s="141" t="s">
        <v>2086</v>
      </c>
      <c r="J36" s="448" t="s">
        <v>3</v>
      </c>
      <c r="K36" s="144">
        <v>231</v>
      </c>
      <c r="L36" s="449" t="s">
        <v>2327</v>
      </c>
      <c r="M36" s="450">
        <f t="shared" si="11"/>
        <v>9</v>
      </c>
      <c r="N36" s="449" t="s">
        <v>2319</v>
      </c>
      <c r="O36" s="449" t="s">
        <v>4842</v>
      </c>
      <c r="P36" s="451">
        <v>0</v>
      </c>
      <c r="Q36" s="451">
        <v>0</v>
      </c>
      <c r="R36" s="451">
        <v>2</v>
      </c>
      <c r="S36" s="187" t="s">
        <v>60</v>
      </c>
      <c r="T36" s="196" t="str">
        <f t="shared" si="1"/>
        <v/>
      </c>
      <c r="U36" s="196" t="str">
        <f t="shared" si="2"/>
        <v/>
      </c>
      <c r="V36" s="578" t="str">
        <f t="shared" si="3"/>
        <v/>
      </c>
    </row>
    <row r="37" spans="1:22" ht="60" customHeight="1" x14ac:dyDescent="0.25">
      <c r="A37" s="448" t="s">
        <v>4404</v>
      </c>
      <c r="B37" s="144" t="str">
        <f>IF(Recto!$C$3="","",IF(OR(Recto!$C$3=C37,Calculs!$I$8&gt;0),CONCATENATE(A37),""))</f>
        <v/>
      </c>
      <c r="C37" s="164" t="s">
        <v>341</v>
      </c>
      <c r="D37" s="144" t="s">
        <v>6</v>
      </c>
      <c r="E37" s="141">
        <v>5.5</v>
      </c>
      <c r="F37" s="142" t="str">
        <f t="shared" si="15"/>
        <v>---</v>
      </c>
      <c r="G37" s="142" t="str">
        <f t="shared" si="16"/>
        <v>---</v>
      </c>
      <c r="H37" s="141" t="s">
        <v>2050</v>
      </c>
      <c r="I37" s="141" t="s">
        <v>2086</v>
      </c>
      <c r="J37" s="448" t="s">
        <v>4403</v>
      </c>
      <c r="K37" s="144">
        <v>187</v>
      </c>
      <c r="L37" s="449" t="s">
        <v>5846</v>
      </c>
      <c r="M37" s="450">
        <f t="shared" si="11"/>
        <v>3</v>
      </c>
      <c r="N37" s="449" t="s">
        <v>5845</v>
      </c>
      <c r="O37" s="449" t="s">
        <v>3499</v>
      </c>
      <c r="P37" s="451">
        <v>0</v>
      </c>
      <c r="Q37" s="451">
        <v>0</v>
      </c>
      <c r="R37" s="451">
        <v>2</v>
      </c>
      <c r="S37" s="187" t="s">
        <v>2088</v>
      </c>
      <c r="T37" s="196" t="str">
        <f t="shared" si="1"/>
        <v/>
      </c>
      <c r="U37" s="196" t="str">
        <f t="shared" si="2"/>
        <v/>
      </c>
      <c r="V37" s="578" t="str">
        <f t="shared" si="3"/>
        <v/>
      </c>
    </row>
    <row r="38" spans="1:22" ht="60" customHeight="1" x14ac:dyDescent="0.25">
      <c r="A38" s="448" t="s">
        <v>7040</v>
      </c>
      <c r="B38" s="144" t="str">
        <f>IF(Recto!$C$3="","",IF(OR(Recto!$C$3=C38,Calculs!$I$8&gt;0),CONCATENATE(A38),""))</f>
        <v/>
      </c>
      <c r="C38" s="164" t="s">
        <v>341</v>
      </c>
      <c r="D38" s="144" t="s">
        <v>6</v>
      </c>
      <c r="E38" s="141">
        <v>4.5</v>
      </c>
      <c r="F38" s="142" t="str">
        <f>IF(S38="S","","---")</f>
        <v>---</v>
      </c>
      <c r="G38" s="142" t="str">
        <f t="shared" si="16"/>
        <v>---</v>
      </c>
      <c r="H38" s="141" t="s">
        <v>2050</v>
      </c>
      <c r="I38" s="141" t="s">
        <v>2086</v>
      </c>
      <c r="J38" s="448" t="s">
        <v>6811</v>
      </c>
      <c r="K38" s="144">
        <v>51</v>
      </c>
      <c r="L38" s="449" t="s">
        <v>7041</v>
      </c>
      <c r="M38" s="450">
        <f t="shared" si="11"/>
        <v>3</v>
      </c>
      <c r="N38" s="449" t="s">
        <v>7042</v>
      </c>
      <c r="O38" s="449" t="s">
        <v>3499</v>
      </c>
      <c r="P38" s="451">
        <v>0</v>
      </c>
      <c r="Q38" s="451">
        <v>0</v>
      </c>
      <c r="R38" s="451">
        <v>2</v>
      </c>
      <c r="S38" s="187" t="s">
        <v>60</v>
      </c>
      <c r="T38" s="196" t="str">
        <f t="shared" si="1"/>
        <v/>
      </c>
      <c r="U38" s="196" t="str">
        <f t="shared" si="2"/>
        <v/>
      </c>
      <c r="V38" s="578" t="str">
        <f t="shared" si="3"/>
        <v/>
      </c>
    </row>
    <row r="39" spans="1:22" ht="60" customHeight="1" x14ac:dyDescent="0.25">
      <c r="A39" s="448" t="s">
        <v>272</v>
      </c>
      <c r="B39" s="144" t="str">
        <f>IF(Recto!$C$3="","",IF(OR(Recto!$C$3=C39,Calculs!$I$8&gt;0),CONCATENATE(A39),""))</f>
        <v/>
      </c>
      <c r="C39" s="164" t="s">
        <v>341</v>
      </c>
      <c r="D39" s="144" t="s">
        <v>19</v>
      </c>
      <c r="E39" s="141">
        <v>6.5</v>
      </c>
      <c r="F39" s="142" t="str">
        <f t="shared" si="15"/>
        <v>---</v>
      </c>
      <c r="G39" s="142" t="str">
        <f t="shared" si="16"/>
        <v>---</v>
      </c>
      <c r="H39" s="141" t="s">
        <v>2050</v>
      </c>
      <c r="I39" s="141" t="s">
        <v>2086</v>
      </c>
      <c r="J39" s="448" t="s">
        <v>118</v>
      </c>
      <c r="K39" s="144">
        <v>194</v>
      </c>
      <c r="L39" s="449" t="s">
        <v>355</v>
      </c>
      <c r="M39" s="450">
        <f t="shared" si="11"/>
        <v>8</v>
      </c>
      <c r="N39" s="449" t="s">
        <v>2761</v>
      </c>
      <c r="O39" s="449" t="s">
        <v>4842</v>
      </c>
      <c r="P39" s="451">
        <v>0.2</v>
      </c>
      <c r="Q39" s="451">
        <v>0</v>
      </c>
      <c r="R39" s="451">
        <v>2</v>
      </c>
      <c r="S39" s="187" t="s">
        <v>60</v>
      </c>
      <c r="T39" s="196" t="str">
        <f t="shared" si="1"/>
        <v/>
      </c>
      <c r="U39" s="196" t="str">
        <f t="shared" si="2"/>
        <v/>
      </c>
      <c r="V39" s="578" t="str">
        <f t="shared" si="3"/>
        <v/>
      </c>
    </row>
    <row r="40" spans="1:22" ht="60" customHeight="1" x14ac:dyDescent="0.25">
      <c r="A40" s="448" t="s">
        <v>263</v>
      </c>
      <c r="B40" s="144" t="str">
        <f>IF(Recto!$C$3="","",IF(OR(Recto!$C$3=C40,Calculs!$I$8&gt;0),CONCATENATE(A40),""))</f>
        <v/>
      </c>
      <c r="C40" s="164" t="s">
        <v>341</v>
      </c>
      <c r="D40" s="144" t="s">
        <v>6</v>
      </c>
      <c r="E40" s="141">
        <v>6.5</v>
      </c>
      <c r="F40" s="142" t="str">
        <f t="shared" si="15"/>
        <v>---</v>
      </c>
      <c r="G40" s="142" t="str">
        <f t="shared" si="16"/>
        <v>---</v>
      </c>
      <c r="H40" s="141" t="s">
        <v>2050</v>
      </c>
      <c r="I40" s="141" t="s">
        <v>2086</v>
      </c>
      <c r="J40" s="448" t="s">
        <v>160</v>
      </c>
      <c r="K40" s="144">
        <v>191</v>
      </c>
      <c r="L40" s="449" t="s">
        <v>2778</v>
      </c>
      <c r="M40" s="450">
        <f t="shared" si="11"/>
        <v>3</v>
      </c>
      <c r="N40" s="449" t="s">
        <v>2772</v>
      </c>
      <c r="O40" s="449" t="s">
        <v>4842</v>
      </c>
      <c r="P40" s="451">
        <v>0</v>
      </c>
      <c r="Q40" s="451">
        <v>0</v>
      </c>
      <c r="R40" s="451">
        <v>2</v>
      </c>
      <c r="S40" s="187" t="s">
        <v>2088</v>
      </c>
      <c r="T40" s="196" t="str">
        <f t="shared" si="1"/>
        <v/>
      </c>
      <c r="U40" s="196" t="str">
        <f t="shared" si="2"/>
        <v/>
      </c>
      <c r="V40" s="578" t="str">
        <f t="shared" si="3"/>
        <v/>
      </c>
    </row>
    <row r="41" spans="1:22" ht="60" customHeight="1" x14ac:dyDescent="0.25">
      <c r="A41" s="448" t="s">
        <v>6298</v>
      </c>
      <c r="B41" s="144" t="str">
        <f>IF(Recto!$C$3="","",IF(OR(Recto!$C$3=C41,Calculs!$I$8&gt;0),CONCATENATE(A41),""))</f>
        <v/>
      </c>
      <c r="C41" s="164" t="s">
        <v>341</v>
      </c>
      <c r="D41" s="144" t="s">
        <v>6</v>
      </c>
      <c r="E41" s="141">
        <v>4.5</v>
      </c>
      <c r="F41" s="142" t="str">
        <f t="shared" si="15"/>
        <v>---</v>
      </c>
      <c r="G41" s="142" t="str">
        <f t="shared" si="16"/>
        <v>---</v>
      </c>
      <c r="H41" s="141" t="s">
        <v>2050</v>
      </c>
      <c r="I41" s="141" t="s">
        <v>2086</v>
      </c>
      <c r="J41" s="448" t="s">
        <v>6192</v>
      </c>
      <c r="K41" s="144">
        <v>193</v>
      </c>
      <c r="L41" s="449" t="s">
        <v>7039</v>
      </c>
      <c r="M41" s="450">
        <f t="shared" si="11"/>
        <v>3</v>
      </c>
      <c r="N41" s="449" t="s">
        <v>6299</v>
      </c>
      <c r="O41" s="449" t="s">
        <v>4842</v>
      </c>
      <c r="P41" s="451">
        <v>0</v>
      </c>
      <c r="Q41" s="451">
        <v>0</v>
      </c>
      <c r="R41" s="451">
        <v>2</v>
      </c>
      <c r="S41" s="187" t="s">
        <v>60</v>
      </c>
      <c r="T41" s="196" t="str">
        <f t="shared" si="1"/>
        <v/>
      </c>
      <c r="U41" s="196" t="str">
        <f t="shared" si="2"/>
        <v/>
      </c>
      <c r="V41" s="578" t="str">
        <f t="shared" si="3"/>
        <v/>
      </c>
    </row>
    <row r="42" spans="1:22" ht="60" customHeight="1" x14ac:dyDescent="0.25">
      <c r="A42" s="448" t="s">
        <v>264</v>
      </c>
      <c r="B42" s="144" t="str">
        <f>IF(Recto!$C$3="","",IF(OR(Recto!$C$3=C42,Calculs!$I$8&gt;0),CONCATENATE(A42),""))</f>
        <v/>
      </c>
      <c r="C42" s="164" t="s">
        <v>341</v>
      </c>
      <c r="D42" s="144" t="s">
        <v>171</v>
      </c>
      <c r="E42" s="141">
        <v>4</v>
      </c>
      <c r="F42" s="142" t="str">
        <f t="shared" si="15"/>
        <v>---</v>
      </c>
      <c r="G42" s="142" t="str">
        <f t="shared" si="16"/>
        <v>---</v>
      </c>
      <c r="H42" s="141" t="s">
        <v>2050</v>
      </c>
      <c r="I42" s="141" t="s">
        <v>2086</v>
      </c>
      <c r="J42" s="448" t="s">
        <v>2076</v>
      </c>
      <c r="K42" s="144">
        <v>103</v>
      </c>
      <c r="L42" s="449" t="s">
        <v>2738</v>
      </c>
      <c r="M42" s="450">
        <f t="shared" ref="M42:M74" si="17">IF(D42="+1 Force",1,IF(D42="+1 Agilité",2,IF(D42="+1 Intelligence",3,IF(D42="+1 Perception",4,IF(D42="+1 Constitution",5,IF(D42="+1 Vide",6,IF(D42="+1 Volonté",7,IF(D42="+1 Reflexes",8,IF(D42="+1 Intuition",9,0)))))))))</f>
        <v>9</v>
      </c>
      <c r="N42" s="449" t="s">
        <v>2735</v>
      </c>
      <c r="O42" s="449" t="s">
        <v>3499</v>
      </c>
      <c r="P42" s="451">
        <v>0</v>
      </c>
      <c r="Q42" s="451">
        <v>0</v>
      </c>
      <c r="R42" s="451">
        <v>2</v>
      </c>
      <c r="S42" s="187" t="s">
        <v>60</v>
      </c>
      <c r="T42" s="196" t="str">
        <f t="shared" si="1"/>
        <v/>
      </c>
      <c r="U42" s="196" t="str">
        <f t="shared" si="2"/>
        <v/>
      </c>
      <c r="V42" s="578" t="str">
        <f t="shared" si="3"/>
        <v/>
      </c>
    </row>
    <row r="43" spans="1:22" ht="60" customHeight="1" x14ac:dyDescent="0.25">
      <c r="A43" s="448" t="s">
        <v>261</v>
      </c>
      <c r="B43" s="144" t="str">
        <f>IF(Recto!$C$3="","",IF(OR(Recto!$C$3=C43,Calculs!$I$8&gt;0),CONCATENATE(A43),""))</f>
        <v/>
      </c>
      <c r="C43" s="164" t="s">
        <v>341</v>
      </c>
      <c r="D43" s="144" t="s">
        <v>9</v>
      </c>
      <c r="E43" s="141">
        <v>4.5</v>
      </c>
      <c r="F43" s="142" t="str">
        <f t="shared" si="15"/>
        <v>---</v>
      </c>
      <c r="G43" s="142" t="str">
        <f t="shared" si="16"/>
        <v>---</v>
      </c>
      <c r="H43" s="141" t="s">
        <v>2050</v>
      </c>
      <c r="I43" s="141" t="s">
        <v>2086</v>
      </c>
      <c r="J43" s="448" t="s">
        <v>3</v>
      </c>
      <c r="K43" s="144">
        <v>231</v>
      </c>
      <c r="L43" s="449" t="s">
        <v>2317</v>
      </c>
      <c r="M43" s="450">
        <f t="shared" si="17"/>
        <v>4</v>
      </c>
      <c r="N43" s="449" t="s">
        <v>2315</v>
      </c>
      <c r="O43" s="449" t="s">
        <v>4842</v>
      </c>
      <c r="P43" s="451">
        <v>0</v>
      </c>
      <c r="Q43" s="451">
        <v>0</v>
      </c>
      <c r="R43" s="451">
        <v>2</v>
      </c>
      <c r="S43" s="187" t="s">
        <v>60</v>
      </c>
      <c r="T43" s="196" t="str">
        <f t="shared" si="1"/>
        <v/>
      </c>
      <c r="U43" s="196" t="str">
        <f t="shared" si="2"/>
        <v/>
      </c>
      <c r="V43" s="578" t="str">
        <f t="shared" si="3"/>
        <v/>
      </c>
    </row>
    <row r="44" spans="1:22" ht="60" customHeight="1" x14ac:dyDescent="0.25">
      <c r="A44" s="448" t="s">
        <v>265</v>
      </c>
      <c r="B44" s="144" t="str">
        <f>IF(Recto!$C$3="","",IF(OR(Recto!$C$3=C44,Calculs!$I$8&gt;0),CONCATENATE(A44),""))</f>
        <v/>
      </c>
      <c r="C44" s="164" t="s">
        <v>341</v>
      </c>
      <c r="D44" s="144" t="s">
        <v>172</v>
      </c>
      <c r="E44" s="141">
        <v>4.5</v>
      </c>
      <c r="F44" s="142" t="str">
        <f t="shared" si="15"/>
        <v>---</v>
      </c>
      <c r="G44" s="142" t="str">
        <f t="shared" si="16"/>
        <v>---</v>
      </c>
      <c r="H44" s="141" t="s">
        <v>2050</v>
      </c>
      <c r="I44" s="141" t="s">
        <v>2086</v>
      </c>
      <c r="J44" s="448" t="s">
        <v>158</v>
      </c>
      <c r="K44" s="144">
        <v>205</v>
      </c>
      <c r="L44" s="449" t="s">
        <v>2771</v>
      </c>
      <c r="M44" s="450">
        <f t="shared" si="17"/>
        <v>5</v>
      </c>
      <c r="N44" s="449" t="s">
        <v>2767</v>
      </c>
      <c r="O44" s="449" t="s">
        <v>4842</v>
      </c>
      <c r="P44" s="451">
        <v>0</v>
      </c>
      <c r="Q44" s="451">
        <v>0</v>
      </c>
      <c r="R44" s="451">
        <v>2</v>
      </c>
      <c r="S44" s="187" t="s">
        <v>60</v>
      </c>
      <c r="T44" s="196" t="str">
        <f t="shared" si="1"/>
        <v/>
      </c>
      <c r="U44" s="196" t="str">
        <f t="shared" si="2"/>
        <v/>
      </c>
      <c r="V44" s="578" t="str">
        <f t="shared" si="3"/>
        <v/>
      </c>
    </row>
    <row r="45" spans="1:22" ht="60" customHeight="1" x14ac:dyDescent="0.25">
      <c r="A45" s="448" t="s">
        <v>262</v>
      </c>
      <c r="B45" s="144" t="str">
        <f>IF(Recto!$C$3="","",IF(OR(Recto!$C$3=C45,Calculs!$I$8&gt;0),CONCATENATE(A45),""))</f>
        <v/>
      </c>
      <c r="C45" s="164" t="s">
        <v>341</v>
      </c>
      <c r="D45" s="144" t="s">
        <v>171</v>
      </c>
      <c r="E45" s="141">
        <v>4.5</v>
      </c>
      <c r="F45" s="142" t="str">
        <f t="shared" si="15"/>
        <v>---</v>
      </c>
      <c r="G45" s="142" t="str">
        <f t="shared" si="16"/>
        <v>---</v>
      </c>
      <c r="H45" s="141" t="s">
        <v>2050</v>
      </c>
      <c r="I45" s="141" t="s">
        <v>2086</v>
      </c>
      <c r="J45" s="448" t="s">
        <v>2080</v>
      </c>
      <c r="K45" s="144">
        <v>242</v>
      </c>
      <c r="L45" s="449" t="s">
        <v>2785</v>
      </c>
      <c r="M45" s="450">
        <f t="shared" si="17"/>
        <v>9</v>
      </c>
      <c r="N45" s="449" t="s">
        <v>2784</v>
      </c>
      <c r="O45" s="449" t="s">
        <v>3499</v>
      </c>
      <c r="P45" s="451">
        <v>0</v>
      </c>
      <c r="Q45" s="451">
        <v>0</v>
      </c>
      <c r="R45" s="451">
        <v>2</v>
      </c>
      <c r="S45" s="187" t="s">
        <v>2088</v>
      </c>
      <c r="T45" s="196" t="str">
        <f t="shared" si="1"/>
        <v/>
      </c>
      <c r="U45" s="196" t="str">
        <f t="shared" si="2"/>
        <v/>
      </c>
      <c r="V45" s="578" t="str">
        <f t="shared" si="3"/>
        <v/>
      </c>
    </row>
    <row r="46" spans="1:22" ht="60" customHeight="1" x14ac:dyDescent="0.25">
      <c r="A46" s="448" t="s">
        <v>4807</v>
      </c>
      <c r="B46" s="144" t="str">
        <f>IF(Recto!$C$3="","",IF(OR(Recto!$C$3=C46,Calculs!$I$8&gt;0),CONCATENATE(A46),""))</f>
        <v/>
      </c>
      <c r="C46" s="164" t="s">
        <v>341</v>
      </c>
      <c r="D46" s="144" t="s">
        <v>173</v>
      </c>
      <c r="E46" s="141">
        <v>6.5</v>
      </c>
      <c r="F46" s="142" t="str">
        <f t="shared" si="15"/>
        <v>---</v>
      </c>
      <c r="G46" s="142" t="str">
        <f t="shared" si="16"/>
        <v>---</v>
      </c>
      <c r="H46" s="141" t="s">
        <v>2050</v>
      </c>
      <c r="I46" s="141" t="s">
        <v>2086</v>
      </c>
      <c r="J46" s="448" t="s">
        <v>4808</v>
      </c>
      <c r="K46" s="144">
        <v>206</v>
      </c>
      <c r="L46" s="449" t="s">
        <v>2340</v>
      </c>
      <c r="M46" s="450">
        <f t="shared" si="17"/>
        <v>6</v>
      </c>
      <c r="N46" s="449" t="s">
        <v>2324</v>
      </c>
      <c r="O46" s="449" t="s">
        <v>4842</v>
      </c>
      <c r="P46" s="451">
        <v>0</v>
      </c>
      <c r="Q46" s="451">
        <v>0</v>
      </c>
      <c r="R46" s="451">
        <v>2</v>
      </c>
      <c r="S46" s="187" t="s">
        <v>60</v>
      </c>
      <c r="T46" s="196" t="str">
        <f t="shared" si="1"/>
        <v/>
      </c>
      <c r="U46" s="196" t="str">
        <f t="shared" si="2"/>
        <v/>
      </c>
      <c r="V46" s="578" t="str">
        <f t="shared" si="3"/>
        <v/>
      </c>
    </row>
    <row r="47" spans="1:22" ht="60" customHeight="1" x14ac:dyDescent="0.25">
      <c r="A47" s="448" t="s">
        <v>266</v>
      </c>
      <c r="B47" s="144" t="str">
        <f>IF(Recto!$C$3="","",IF(OR(Recto!$C$3=C47,Calculs!$I$8&gt;0),CONCATENATE(A47),""))</f>
        <v/>
      </c>
      <c r="C47" s="164" t="s">
        <v>341</v>
      </c>
      <c r="D47" s="144" t="s">
        <v>19</v>
      </c>
      <c r="E47" s="141">
        <v>4.5</v>
      </c>
      <c r="F47" s="142" t="str">
        <f t="shared" si="15"/>
        <v>---</v>
      </c>
      <c r="G47" s="142" t="str">
        <f t="shared" si="16"/>
        <v>---</v>
      </c>
      <c r="H47" s="141" t="s">
        <v>2050</v>
      </c>
      <c r="I47" s="141" t="s">
        <v>2086</v>
      </c>
      <c r="J47" s="448" t="s">
        <v>118</v>
      </c>
      <c r="K47" s="144">
        <v>193</v>
      </c>
      <c r="L47" s="449" t="s">
        <v>2760</v>
      </c>
      <c r="M47" s="450">
        <f t="shared" si="17"/>
        <v>8</v>
      </c>
      <c r="N47" s="449" t="s">
        <v>2757</v>
      </c>
      <c r="O47" s="449" t="s">
        <v>4842</v>
      </c>
      <c r="P47" s="451">
        <v>0</v>
      </c>
      <c r="Q47" s="451">
        <v>0</v>
      </c>
      <c r="R47" s="451">
        <v>2</v>
      </c>
      <c r="S47" s="187" t="s">
        <v>2088</v>
      </c>
      <c r="T47" s="196" t="str">
        <f t="shared" si="1"/>
        <v/>
      </c>
      <c r="U47" s="196" t="str">
        <f t="shared" si="2"/>
        <v/>
      </c>
      <c r="V47" s="578" t="str">
        <f t="shared" si="3"/>
        <v/>
      </c>
    </row>
    <row r="48" spans="1:22" ht="60" customHeight="1" x14ac:dyDescent="0.25">
      <c r="A48" s="448" t="s">
        <v>1942</v>
      </c>
      <c r="B48" s="144" t="str">
        <f>IF(Recto!$C$3="","",IF(OR(Recto!$C$3=C48,Calculs!$I$8&gt;0),CONCATENATE(A48),""))</f>
        <v/>
      </c>
      <c r="C48" s="164" t="s">
        <v>341</v>
      </c>
      <c r="D48" s="144" t="s">
        <v>174</v>
      </c>
      <c r="E48" s="141">
        <v>1.5</v>
      </c>
      <c r="F48" s="142" t="str">
        <f t="shared" si="15"/>
        <v>---</v>
      </c>
      <c r="G48" s="142" t="str">
        <f t="shared" si="16"/>
        <v>---</v>
      </c>
      <c r="H48" s="141" t="s">
        <v>2050</v>
      </c>
      <c r="I48" s="141" t="s">
        <v>2086</v>
      </c>
      <c r="J48" s="448" t="s">
        <v>2076</v>
      </c>
      <c r="K48" s="455">
        <v>287</v>
      </c>
      <c r="L48" s="449" t="s">
        <v>2743</v>
      </c>
      <c r="M48" s="450">
        <f t="shared" si="17"/>
        <v>7</v>
      </c>
      <c r="N48" s="449" t="s">
        <v>2739</v>
      </c>
      <c r="O48" s="449" t="s">
        <v>3499</v>
      </c>
      <c r="P48" s="451">
        <v>0</v>
      </c>
      <c r="Q48" s="451">
        <v>0</v>
      </c>
      <c r="R48" s="451">
        <v>2</v>
      </c>
      <c r="S48" s="187" t="s">
        <v>1284</v>
      </c>
      <c r="T48" s="196" t="str">
        <f t="shared" si="1"/>
        <v/>
      </c>
      <c r="U48" s="196" t="str">
        <f t="shared" si="2"/>
        <v/>
      </c>
      <c r="V48" s="578" t="str">
        <f t="shared" si="3"/>
        <v/>
      </c>
    </row>
    <row r="49" spans="1:22" ht="60" customHeight="1" x14ac:dyDescent="0.25">
      <c r="A49" s="448" t="s">
        <v>1943</v>
      </c>
      <c r="B49" s="144" t="str">
        <f>IF(Recto!$C$3="","",IF(OR(Recto!$C$3=C49,Calculs!$I$8&gt;0),CONCATENATE(A49),""))</f>
        <v/>
      </c>
      <c r="C49" s="164" t="s">
        <v>341</v>
      </c>
      <c r="D49" s="144" t="s">
        <v>174</v>
      </c>
      <c r="E49" s="141">
        <v>4.5</v>
      </c>
      <c r="F49" s="142" t="str">
        <f t="shared" si="15"/>
        <v>---</v>
      </c>
      <c r="G49" s="142" t="str">
        <f t="shared" si="16"/>
        <v>---</v>
      </c>
      <c r="H49" s="141" t="s">
        <v>2050</v>
      </c>
      <c r="I49" s="141" t="s">
        <v>2086</v>
      </c>
      <c r="J49" s="448" t="s">
        <v>2076</v>
      </c>
      <c r="K49" s="455">
        <v>287</v>
      </c>
      <c r="L49" s="449" t="s">
        <v>2743</v>
      </c>
      <c r="M49" s="450">
        <f t="shared" si="17"/>
        <v>7</v>
      </c>
      <c r="N49" s="449" t="s">
        <v>2739</v>
      </c>
      <c r="O49" s="449" t="s">
        <v>3499</v>
      </c>
      <c r="P49" s="451">
        <v>0</v>
      </c>
      <c r="Q49" s="451">
        <v>0</v>
      </c>
      <c r="R49" s="451">
        <v>2</v>
      </c>
      <c r="S49" s="187" t="s">
        <v>1284</v>
      </c>
      <c r="T49" s="196" t="str">
        <f t="shared" si="1"/>
        <v/>
      </c>
      <c r="U49" s="196" t="str">
        <f t="shared" si="2"/>
        <v/>
      </c>
      <c r="V49" s="578" t="str">
        <f t="shared" si="3"/>
        <v/>
      </c>
    </row>
    <row r="50" spans="1:22" ht="60" customHeight="1" x14ac:dyDescent="0.25">
      <c r="A50" s="448" t="s">
        <v>259</v>
      </c>
      <c r="B50" s="144" t="str">
        <f>IF(Recto!$C$3="","",IF(OR(Recto!$C$3=C50,Calculs!$I$8&gt;0),CONCATENATE(A50),""))</f>
        <v/>
      </c>
      <c r="C50" s="164" t="s">
        <v>341</v>
      </c>
      <c r="D50" s="144" t="s">
        <v>169</v>
      </c>
      <c r="E50" s="141">
        <v>4.5</v>
      </c>
      <c r="F50" s="142" t="str">
        <f t="shared" si="15"/>
        <v>---</v>
      </c>
      <c r="G50" s="142" t="str">
        <f t="shared" si="16"/>
        <v>---</v>
      </c>
      <c r="H50" s="141" t="s">
        <v>2050</v>
      </c>
      <c r="I50" s="141" t="s">
        <v>2086</v>
      </c>
      <c r="J50" s="448" t="s">
        <v>160</v>
      </c>
      <c r="K50" s="144">
        <v>191</v>
      </c>
      <c r="L50" s="449" t="s">
        <v>2780</v>
      </c>
      <c r="M50" s="450">
        <f t="shared" si="17"/>
        <v>2</v>
      </c>
      <c r="N50" s="449" t="s">
        <v>2773</v>
      </c>
      <c r="O50" s="449" t="s">
        <v>4842</v>
      </c>
      <c r="P50" s="451">
        <v>0</v>
      </c>
      <c r="Q50" s="451">
        <v>0</v>
      </c>
      <c r="R50" s="451">
        <v>2</v>
      </c>
      <c r="S50" s="187" t="s">
        <v>60</v>
      </c>
      <c r="T50" s="196" t="str">
        <f t="shared" si="1"/>
        <v/>
      </c>
      <c r="U50" s="196" t="str">
        <f t="shared" si="2"/>
        <v/>
      </c>
      <c r="V50" s="578" t="str">
        <f t="shared" si="3"/>
        <v/>
      </c>
    </row>
    <row r="51" spans="1:22" ht="60" customHeight="1" x14ac:dyDescent="0.25">
      <c r="A51" s="448" t="s">
        <v>267</v>
      </c>
      <c r="B51" s="144" t="str">
        <f>IF(Recto!$C$3="","",IF(OR(Recto!$C$3=C51,Calculs!$I$8&gt;0),CONCATENATE(A51),""))</f>
        <v/>
      </c>
      <c r="C51" s="164" t="s">
        <v>341</v>
      </c>
      <c r="D51" s="144" t="s">
        <v>172</v>
      </c>
      <c r="E51" s="141">
        <v>4.5</v>
      </c>
      <c r="F51" s="142" t="str">
        <f t="shared" si="15"/>
        <v>---</v>
      </c>
      <c r="G51" s="142" t="str">
        <f t="shared" si="16"/>
        <v>---</v>
      </c>
      <c r="H51" s="141" t="s">
        <v>2050</v>
      </c>
      <c r="I51" s="141" t="s">
        <v>2086</v>
      </c>
      <c r="J51" s="448" t="s">
        <v>3</v>
      </c>
      <c r="K51" s="144">
        <v>231</v>
      </c>
      <c r="L51" s="449" t="s">
        <v>2330</v>
      </c>
      <c r="M51" s="450">
        <f t="shared" si="17"/>
        <v>5</v>
      </c>
      <c r="N51" s="449" t="s">
        <v>2320</v>
      </c>
      <c r="O51" s="449" t="s">
        <v>4842</v>
      </c>
      <c r="P51" s="451">
        <v>0</v>
      </c>
      <c r="Q51" s="451">
        <v>0</v>
      </c>
      <c r="R51" s="451">
        <v>2</v>
      </c>
      <c r="S51" s="187" t="s">
        <v>60</v>
      </c>
      <c r="T51" s="196" t="str">
        <f t="shared" si="1"/>
        <v/>
      </c>
      <c r="U51" s="196" t="str">
        <f t="shared" si="2"/>
        <v/>
      </c>
      <c r="V51" s="578" t="str">
        <f t="shared" si="3"/>
        <v/>
      </c>
    </row>
    <row r="52" spans="1:22" ht="60" customHeight="1" x14ac:dyDescent="0.25">
      <c r="A52" s="448" t="s">
        <v>7033</v>
      </c>
      <c r="B52" s="144" t="str">
        <f>IF(Recto!$C$3="","",IF(OR(Recto!$C$3=C52,Calculs!$I$8&gt;0),CONCATENATE(A52),""))</f>
        <v/>
      </c>
      <c r="C52" s="164" t="s">
        <v>341</v>
      </c>
      <c r="D52" s="144" t="s">
        <v>172</v>
      </c>
      <c r="E52" s="141">
        <v>4.5</v>
      </c>
      <c r="F52" s="142" t="str">
        <f t="shared" si="15"/>
        <v>---</v>
      </c>
      <c r="G52" s="142" t="str">
        <f t="shared" si="16"/>
        <v>---</v>
      </c>
      <c r="H52" s="141" t="s">
        <v>2050</v>
      </c>
      <c r="I52" s="141" t="s">
        <v>2086</v>
      </c>
      <c r="J52" s="448" t="s">
        <v>6811</v>
      </c>
      <c r="K52" s="144">
        <v>55</v>
      </c>
      <c r="L52" s="449" t="s">
        <v>7034</v>
      </c>
      <c r="M52" s="450">
        <f t="shared" si="17"/>
        <v>5</v>
      </c>
      <c r="N52" s="449" t="s">
        <v>7035</v>
      </c>
      <c r="O52" s="449" t="s">
        <v>4842</v>
      </c>
      <c r="P52" s="451">
        <v>0</v>
      </c>
      <c r="Q52" s="451">
        <v>0</v>
      </c>
      <c r="R52" s="451">
        <v>2</v>
      </c>
      <c r="S52" s="187" t="s">
        <v>60</v>
      </c>
      <c r="T52" s="196" t="str">
        <f t="shared" si="1"/>
        <v/>
      </c>
      <c r="U52" s="196" t="str">
        <f t="shared" si="2"/>
        <v/>
      </c>
      <c r="V52" s="578" t="str">
        <f t="shared" si="3"/>
        <v/>
      </c>
    </row>
    <row r="53" spans="1:22" ht="60" customHeight="1" x14ac:dyDescent="0.25">
      <c r="A53" s="448" t="s">
        <v>268</v>
      </c>
      <c r="B53" s="144" t="str">
        <f>IF(Recto!$C$3="","",IF(OR(Recto!$C$3=C53,Calculs!$I$8&gt;0),CONCATENATE(A53),""))</f>
        <v/>
      </c>
      <c r="C53" s="164" t="s">
        <v>341</v>
      </c>
      <c r="D53" s="144" t="s">
        <v>174</v>
      </c>
      <c r="E53" s="141">
        <v>4.5</v>
      </c>
      <c r="F53" s="142" t="str">
        <f t="shared" si="15"/>
        <v>---</v>
      </c>
      <c r="G53" s="142" t="str">
        <f t="shared" si="16"/>
        <v>---</v>
      </c>
      <c r="H53" s="141" t="s">
        <v>2050</v>
      </c>
      <c r="I53" s="141" t="s">
        <v>2086</v>
      </c>
      <c r="J53" s="448" t="s">
        <v>3</v>
      </c>
      <c r="K53" s="144">
        <v>231</v>
      </c>
      <c r="L53" s="449" t="s">
        <v>2333</v>
      </c>
      <c r="M53" s="450">
        <f t="shared" si="17"/>
        <v>7</v>
      </c>
      <c r="N53" s="449" t="s">
        <v>2321</v>
      </c>
      <c r="O53" s="449" t="s">
        <v>4842</v>
      </c>
      <c r="P53" s="451">
        <v>0</v>
      </c>
      <c r="Q53" s="451">
        <v>0</v>
      </c>
      <c r="R53" s="451">
        <v>2</v>
      </c>
      <c r="S53" s="187" t="s">
        <v>2088</v>
      </c>
      <c r="T53" s="196" t="str">
        <f t="shared" si="1"/>
        <v/>
      </c>
      <c r="U53" s="196" t="str">
        <f t="shared" si="2"/>
        <v/>
      </c>
      <c r="V53" s="578" t="str">
        <f t="shared" si="3"/>
        <v/>
      </c>
    </row>
    <row r="54" spans="1:22" ht="60" customHeight="1" x14ac:dyDescent="0.25">
      <c r="A54" s="448" t="s">
        <v>271</v>
      </c>
      <c r="B54" s="144" t="str">
        <f>IF(Recto!$C$3="","",IF(OR(Recto!$C$3=C54,Calculs!$I$8&gt;0),CONCATENATE(A54),""))</f>
        <v/>
      </c>
      <c r="C54" s="164" t="s">
        <v>341</v>
      </c>
      <c r="D54" s="144" t="s">
        <v>172</v>
      </c>
      <c r="E54" s="141">
        <v>3.5</v>
      </c>
      <c r="F54" s="142" t="str">
        <f t="shared" si="15"/>
        <v>---</v>
      </c>
      <c r="G54" s="142" t="str">
        <f t="shared" si="16"/>
        <v>---</v>
      </c>
      <c r="H54" s="141" t="s">
        <v>2050</v>
      </c>
      <c r="I54" s="141" t="s">
        <v>2086</v>
      </c>
      <c r="J54" s="448" t="s">
        <v>158</v>
      </c>
      <c r="K54" s="144">
        <v>205</v>
      </c>
      <c r="L54" s="449" t="s">
        <v>2769</v>
      </c>
      <c r="M54" s="450">
        <f t="shared" si="17"/>
        <v>5</v>
      </c>
      <c r="N54" s="449" t="s">
        <v>2770</v>
      </c>
      <c r="O54" s="449" t="s">
        <v>4842</v>
      </c>
      <c r="P54" s="451">
        <v>0</v>
      </c>
      <c r="Q54" s="451">
        <v>0</v>
      </c>
      <c r="R54" s="451">
        <v>2</v>
      </c>
      <c r="S54" s="187" t="s">
        <v>2088</v>
      </c>
      <c r="T54" s="196" t="str">
        <f t="shared" si="1"/>
        <v/>
      </c>
      <c r="U54" s="196" t="str">
        <f t="shared" si="2"/>
        <v/>
      </c>
      <c r="V54" s="578" t="str">
        <f t="shared" si="3"/>
        <v/>
      </c>
    </row>
    <row r="55" spans="1:22" ht="60" customHeight="1" x14ac:dyDescent="0.25">
      <c r="A55" s="448" t="s">
        <v>270</v>
      </c>
      <c r="B55" s="144" t="str">
        <f>IF(Recto!$C$3="","",IF(OR(Recto!$C$3=C55,Calculs!$I$8&gt;0),CONCATENATE(A55),""))</f>
        <v/>
      </c>
      <c r="C55" s="164" t="s">
        <v>341</v>
      </c>
      <c r="D55" s="144" t="s">
        <v>6</v>
      </c>
      <c r="E55" s="141">
        <v>6.5</v>
      </c>
      <c r="F55" s="142" t="str">
        <f t="shared" si="15"/>
        <v>---</v>
      </c>
      <c r="G55" s="142" t="str">
        <f t="shared" si="16"/>
        <v>---</v>
      </c>
      <c r="H55" s="141" t="s">
        <v>2050</v>
      </c>
      <c r="I55" s="141" t="s">
        <v>2086</v>
      </c>
      <c r="J55" s="448" t="s">
        <v>160</v>
      </c>
      <c r="K55" s="144">
        <v>191</v>
      </c>
      <c r="L55" s="449" t="s">
        <v>2327</v>
      </c>
      <c r="M55" s="450">
        <f t="shared" si="17"/>
        <v>3</v>
      </c>
      <c r="N55" s="449" t="s">
        <v>2774</v>
      </c>
      <c r="O55" s="449" t="s">
        <v>4842</v>
      </c>
      <c r="P55" s="451">
        <v>0</v>
      </c>
      <c r="Q55" s="451">
        <v>0</v>
      </c>
      <c r="R55" s="451">
        <v>2</v>
      </c>
      <c r="S55" s="187" t="s">
        <v>2088</v>
      </c>
      <c r="T55" s="196" t="str">
        <f t="shared" si="1"/>
        <v/>
      </c>
      <c r="U55" s="196" t="str">
        <f t="shared" si="2"/>
        <v/>
      </c>
      <c r="V55" s="578" t="str">
        <f t="shared" si="3"/>
        <v/>
      </c>
    </row>
    <row r="56" spans="1:22" ht="60" customHeight="1" x14ac:dyDescent="0.25">
      <c r="A56" s="448" t="s">
        <v>269</v>
      </c>
      <c r="B56" s="144" t="str">
        <f>IF(Recto!$C$3="","",IF(OR(Recto!$C$3=C56,Calculs!$I$8&gt;0),CONCATENATE(A56),""))</f>
        <v/>
      </c>
      <c r="C56" s="164" t="s">
        <v>341</v>
      </c>
      <c r="D56" s="144" t="s">
        <v>170</v>
      </c>
      <c r="E56" s="141">
        <v>4.5</v>
      </c>
      <c r="F56" s="142" t="str">
        <f t="shared" si="15"/>
        <v>---</v>
      </c>
      <c r="G56" s="142" t="str">
        <f t="shared" si="16"/>
        <v>---</v>
      </c>
      <c r="H56" s="141" t="s">
        <v>2050</v>
      </c>
      <c r="I56" s="141" t="s">
        <v>2086</v>
      </c>
      <c r="J56" s="448" t="s">
        <v>3</v>
      </c>
      <c r="K56" s="144">
        <v>233</v>
      </c>
      <c r="L56" s="449" t="s">
        <v>2336</v>
      </c>
      <c r="M56" s="450">
        <f t="shared" si="17"/>
        <v>1</v>
      </c>
      <c r="N56" s="449" t="s">
        <v>2322</v>
      </c>
      <c r="O56" s="449" t="s">
        <v>4842</v>
      </c>
      <c r="P56" s="451">
        <v>0</v>
      </c>
      <c r="Q56" s="451">
        <v>0</v>
      </c>
      <c r="R56" s="451">
        <v>2</v>
      </c>
      <c r="S56" s="187" t="s">
        <v>2088</v>
      </c>
      <c r="T56" s="196" t="str">
        <f t="shared" si="1"/>
        <v/>
      </c>
      <c r="U56" s="196" t="str">
        <f t="shared" si="2"/>
        <v/>
      </c>
      <c r="V56" s="578" t="str">
        <f t="shared" si="3"/>
        <v/>
      </c>
    </row>
    <row r="57" spans="1:22" ht="60" customHeight="1" x14ac:dyDescent="0.25">
      <c r="A57" s="448" t="s">
        <v>7036</v>
      </c>
      <c r="B57" s="144" t="str">
        <f>IF(Recto!$C$3="","",IF(OR(Recto!$C$3=C57,Calculs!$I$8&gt;0),CONCATENATE(A57),""))</f>
        <v/>
      </c>
      <c r="C57" s="164" t="s">
        <v>341</v>
      </c>
      <c r="D57" s="144" t="s">
        <v>171</v>
      </c>
      <c r="E57" s="141">
        <v>5.5</v>
      </c>
      <c r="F57" s="142" t="str">
        <f t="shared" si="15"/>
        <v>---</v>
      </c>
      <c r="G57" s="142" t="str">
        <f t="shared" si="16"/>
        <v>---</v>
      </c>
      <c r="H57" s="141" t="s">
        <v>2050</v>
      </c>
      <c r="I57" s="141" t="s">
        <v>2086</v>
      </c>
      <c r="J57" s="448" t="s">
        <v>6811</v>
      </c>
      <c r="K57" s="144">
        <v>55</v>
      </c>
      <c r="L57" s="449" t="s">
        <v>7037</v>
      </c>
      <c r="M57" s="450">
        <f t="shared" si="17"/>
        <v>9</v>
      </c>
      <c r="N57" s="449" t="s">
        <v>7038</v>
      </c>
      <c r="O57" s="449" t="s">
        <v>4842</v>
      </c>
      <c r="P57" s="451">
        <v>0</v>
      </c>
      <c r="Q57" s="451">
        <v>0</v>
      </c>
      <c r="R57" s="451">
        <v>2</v>
      </c>
      <c r="S57" s="187" t="s">
        <v>2088</v>
      </c>
      <c r="T57" s="196" t="str">
        <f t="shared" si="1"/>
        <v/>
      </c>
      <c r="U57" s="196" t="str">
        <f t="shared" si="2"/>
        <v/>
      </c>
      <c r="V57" s="578" t="str">
        <f t="shared" si="3"/>
        <v/>
      </c>
    </row>
    <row r="58" spans="1:22" ht="60" customHeight="1" x14ac:dyDescent="0.25">
      <c r="A58" s="448" t="s">
        <v>4405</v>
      </c>
      <c r="B58" s="144" t="str">
        <f>IF(Recto!$C$3="","",IF(OR(Recto!$C$3=C58,Calculs!$I$8&gt;0),CONCATENATE(A58),""))</f>
        <v/>
      </c>
      <c r="C58" s="164" t="s">
        <v>341</v>
      </c>
      <c r="D58" s="144" t="s">
        <v>9</v>
      </c>
      <c r="E58" s="141">
        <v>3.5</v>
      </c>
      <c r="F58" s="142" t="str">
        <f t="shared" si="15"/>
        <v>---</v>
      </c>
      <c r="G58" s="142" t="str">
        <f t="shared" si="16"/>
        <v>---</v>
      </c>
      <c r="H58" s="141" t="s">
        <v>2050</v>
      </c>
      <c r="I58" s="141" t="s">
        <v>2086</v>
      </c>
      <c r="J58" s="448" t="s">
        <v>4403</v>
      </c>
      <c r="K58" s="144">
        <v>187</v>
      </c>
      <c r="L58" s="449" t="s">
        <v>5853</v>
      </c>
      <c r="M58" s="450">
        <f t="shared" si="17"/>
        <v>4</v>
      </c>
      <c r="N58" s="449" t="s">
        <v>5852</v>
      </c>
      <c r="O58" s="449" t="s">
        <v>3499</v>
      </c>
      <c r="P58" s="451">
        <v>0</v>
      </c>
      <c r="Q58" s="451">
        <v>0</v>
      </c>
      <c r="R58" s="451">
        <v>2</v>
      </c>
      <c r="S58" s="187" t="s">
        <v>2088</v>
      </c>
      <c r="T58" s="196" t="str">
        <f t="shared" si="1"/>
        <v/>
      </c>
      <c r="U58" s="196" t="str">
        <f t="shared" si="2"/>
        <v/>
      </c>
      <c r="V58" s="578" t="str">
        <f t="shared" si="3"/>
        <v/>
      </c>
    </row>
    <row r="59" spans="1:22" ht="60" customHeight="1" x14ac:dyDescent="0.25">
      <c r="A59" s="448" t="s">
        <v>2318</v>
      </c>
      <c r="B59" s="144" t="str">
        <f>IF(Recto!$C$3="","",IF(OR(Recto!$C$3=C59,Calculs!$I$8&gt;0),CONCATENATE(A59),""))</f>
        <v/>
      </c>
      <c r="C59" s="164" t="s">
        <v>341</v>
      </c>
      <c r="D59" s="144" t="s">
        <v>169</v>
      </c>
      <c r="E59" s="141">
        <v>4.5</v>
      </c>
      <c r="F59" s="142" t="str">
        <f t="shared" si="15"/>
        <v>---</v>
      </c>
      <c r="G59" s="142" t="str">
        <f t="shared" si="16"/>
        <v>---</v>
      </c>
      <c r="H59" s="141" t="s">
        <v>2050</v>
      </c>
      <c r="I59" s="141" t="s">
        <v>2086</v>
      </c>
      <c r="J59" s="448" t="s">
        <v>3</v>
      </c>
      <c r="K59" s="144">
        <v>233</v>
      </c>
      <c r="L59" s="449" t="s">
        <v>2339</v>
      </c>
      <c r="M59" s="450">
        <f t="shared" si="17"/>
        <v>2</v>
      </c>
      <c r="N59" s="449" t="s">
        <v>2323</v>
      </c>
      <c r="O59" s="449" t="s">
        <v>4842</v>
      </c>
      <c r="P59" s="451">
        <v>0</v>
      </c>
      <c r="Q59" s="451">
        <v>0</v>
      </c>
      <c r="R59" s="451">
        <v>2</v>
      </c>
      <c r="S59" s="187" t="s">
        <v>2088</v>
      </c>
      <c r="T59" s="196" t="str">
        <f t="shared" si="1"/>
        <v/>
      </c>
      <c r="U59" s="196" t="str">
        <f t="shared" si="2"/>
        <v/>
      </c>
      <c r="V59" s="578" t="str">
        <f t="shared" si="3"/>
        <v/>
      </c>
    </row>
    <row r="60" spans="1:22" ht="60" customHeight="1" x14ac:dyDescent="0.25">
      <c r="A60" s="448" t="s">
        <v>256</v>
      </c>
      <c r="B60" s="144" t="str">
        <f>IF(Recto!$C$3="","",IF(OR(Recto!$C$3=C60,Calculs!$I$8&gt;0),CONCATENATE(A60),""))</f>
        <v/>
      </c>
      <c r="C60" s="164" t="s">
        <v>341</v>
      </c>
      <c r="D60" s="144" t="s">
        <v>9</v>
      </c>
      <c r="E60" s="141">
        <v>4.5</v>
      </c>
      <c r="F60" s="142" t="str">
        <f t="shared" si="15"/>
        <v>---</v>
      </c>
      <c r="G60" s="142" t="str">
        <f t="shared" si="16"/>
        <v>---</v>
      </c>
      <c r="H60" s="141" t="s">
        <v>2050</v>
      </c>
      <c r="I60" s="141" t="s">
        <v>2086</v>
      </c>
      <c r="J60" s="448" t="s">
        <v>118</v>
      </c>
      <c r="K60" s="455">
        <v>194</v>
      </c>
      <c r="L60" s="449" t="s">
        <v>2766</v>
      </c>
      <c r="M60" s="450">
        <f t="shared" si="17"/>
        <v>4</v>
      </c>
      <c r="N60" s="449" t="s">
        <v>2763</v>
      </c>
      <c r="O60" s="449" t="s">
        <v>4842</v>
      </c>
      <c r="P60" s="451">
        <v>0</v>
      </c>
      <c r="Q60" s="451">
        <v>0</v>
      </c>
      <c r="R60" s="451">
        <v>2</v>
      </c>
      <c r="S60" s="187" t="s">
        <v>2088</v>
      </c>
      <c r="T60" s="196" t="str">
        <f t="shared" si="1"/>
        <v/>
      </c>
      <c r="U60" s="196" t="str">
        <f t="shared" si="2"/>
        <v/>
      </c>
      <c r="V60" s="578" t="str">
        <f t="shared" si="3"/>
        <v/>
      </c>
    </row>
    <row r="61" spans="1:22" ht="60" customHeight="1" x14ac:dyDescent="0.25">
      <c r="A61" s="448" t="s">
        <v>8264</v>
      </c>
      <c r="B61" s="144" t="str">
        <f>IF(Recto!$C$3="","",IF(OR(Recto!$C$3=C61,Calculs!$I$8&gt;0),CONCATENATE(A61),""))</f>
        <v/>
      </c>
      <c r="C61" s="164" t="s">
        <v>8265</v>
      </c>
      <c r="D61" s="144" t="s">
        <v>19</v>
      </c>
      <c r="E61" s="141">
        <v>3.5</v>
      </c>
      <c r="F61" s="142" t="str">
        <f t="shared" ref="F61" si="18">IF(S61="S","","---")</f>
        <v>---</v>
      </c>
      <c r="G61" s="142" t="str">
        <f t="shared" ref="G61" si="19">IF(F61="---","---","")</f>
        <v>---</v>
      </c>
      <c r="H61" s="141" t="s">
        <v>2049</v>
      </c>
      <c r="I61" s="141" t="s">
        <v>2086</v>
      </c>
      <c r="J61" s="448" t="s">
        <v>6811</v>
      </c>
      <c r="K61" s="455">
        <v>23</v>
      </c>
      <c r="L61" s="449" t="s">
        <v>8267</v>
      </c>
      <c r="M61" s="450">
        <f t="shared" si="17"/>
        <v>8</v>
      </c>
      <c r="N61" s="449" t="s">
        <v>8268</v>
      </c>
      <c r="O61" s="449" t="s">
        <v>8269</v>
      </c>
      <c r="P61" s="451">
        <v>2</v>
      </c>
      <c r="Q61" s="451">
        <v>0</v>
      </c>
      <c r="R61" s="451">
        <v>0</v>
      </c>
      <c r="S61" s="187" t="s">
        <v>1284</v>
      </c>
      <c r="T61" s="196" t="str">
        <f t="shared" si="1"/>
        <v/>
      </c>
      <c r="U61" s="196" t="str">
        <f t="shared" si="2"/>
        <v/>
      </c>
      <c r="V61" s="578" t="str">
        <f t="shared" si="3"/>
        <v/>
      </c>
    </row>
    <row r="62" spans="1:22" ht="60" customHeight="1" x14ac:dyDescent="0.25">
      <c r="A62" s="448" t="s">
        <v>6978</v>
      </c>
      <c r="B62" s="144" t="str">
        <f>IF(Recto!$C$3="","",IF(OR(Recto!$C$3=C62,Calculs!$I$8&gt;0),CONCATENATE(A62),""))</f>
        <v/>
      </c>
      <c r="C62" s="447" t="s">
        <v>6797</v>
      </c>
      <c r="D62" s="144" t="s">
        <v>169</v>
      </c>
      <c r="E62" s="141">
        <v>5.5</v>
      </c>
      <c r="F62" s="142" t="str">
        <f t="shared" ref="F62:F70" si="20">IF(H62="S","","---")</f>
        <v>---</v>
      </c>
      <c r="G62" s="142" t="str">
        <f t="shared" si="16"/>
        <v>---</v>
      </c>
      <c r="H62" s="141" t="s">
        <v>2049</v>
      </c>
      <c r="I62" s="141" t="s">
        <v>2086</v>
      </c>
      <c r="J62" s="448" t="s">
        <v>6811</v>
      </c>
      <c r="K62" s="144">
        <v>118</v>
      </c>
      <c r="L62" s="452" t="s">
        <v>2078</v>
      </c>
      <c r="M62" s="450">
        <f t="shared" si="17"/>
        <v>2</v>
      </c>
      <c r="N62" s="449" t="s">
        <v>6979</v>
      </c>
      <c r="O62" s="449" t="s">
        <v>2235</v>
      </c>
      <c r="P62" s="451">
        <v>1</v>
      </c>
      <c r="Q62" s="451">
        <v>0</v>
      </c>
      <c r="R62" s="451">
        <v>0</v>
      </c>
      <c r="S62" s="187" t="s">
        <v>1284</v>
      </c>
      <c r="T62" s="196" t="str">
        <f t="shared" si="1"/>
        <v/>
      </c>
      <c r="U62" s="196" t="str">
        <f t="shared" si="2"/>
        <v/>
      </c>
      <c r="V62" s="578" t="str">
        <f t="shared" si="3"/>
        <v/>
      </c>
    </row>
    <row r="63" spans="1:22" ht="60" customHeight="1" x14ac:dyDescent="0.25">
      <c r="A63" s="448" t="s">
        <v>191</v>
      </c>
      <c r="B63" s="144" t="str">
        <f>IF(Recto!$C$3="","",IF(OR(Recto!$C$3=C63,Calculs!$I$8&gt;0),CONCATENATE(A63),""))</f>
        <v/>
      </c>
      <c r="C63" s="164" t="s">
        <v>175</v>
      </c>
      <c r="D63" s="144" t="s">
        <v>172</v>
      </c>
      <c r="E63" s="141">
        <v>3.5</v>
      </c>
      <c r="F63" s="142" t="str">
        <f t="shared" si="20"/>
        <v>---</v>
      </c>
      <c r="G63" s="142" t="str">
        <f t="shared" si="16"/>
        <v>---</v>
      </c>
      <c r="H63" s="141" t="s">
        <v>2049</v>
      </c>
      <c r="I63" s="141" t="s">
        <v>2086</v>
      </c>
      <c r="J63" s="448" t="s">
        <v>3</v>
      </c>
      <c r="K63" s="144">
        <v>106</v>
      </c>
      <c r="L63" s="449" t="s">
        <v>307</v>
      </c>
      <c r="M63" s="450">
        <f t="shared" si="17"/>
        <v>5</v>
      </c>
      <c r="N63" s="449" t="s">
        <v>2209</v>
      </c>
      <c r="O63" s="449" t="s">
        <v>2233</v>
      </c>
      <c r="P63" s="451">
        <v>3</v>
      </c>
      <c r="Q63" s="451">
        <v>0</v>
      </c>
      <c r="R63" s="451">
        <v>0</v>
      </c>
      <c r="S63" s="187" t="s">
        <v>1284</v>
      </c>
      <c r="T63" s="196" t="str">
        <f t="shared" si="1"/>
        <v/>
      </c>
      <c r="U63" s="196" t="str">
        <f t="shared" si="2"/>
        <v/>
      </c>
      <c r="V63" s="578" t="str">
        <f t="shared" si="3"/>
        <v/>
      </c>
    </row>
    <row r="64" spans="1:22" ht="60" customHeight="1" x14ac:dyDescent="0.25">
      <c r="A64" s="448" t="s">
        <v>193</v>
      </c>
      <c r="B64" s="144" t="str">
        <f>IF(Recto!$C$3="","",IF(OR(Recto!$C$3=C64,Calculs!$I$8&gt;0),CONCATENATE(A64),""))</f>
        <v/>
      </c>
      <c r="C64" s="164" t="s">
        <v>175</v>
      </c>
      <c r="D64" s="144" t="s">
        <v>174</v>
      </c>
      <c r="E64" s="141">
        <v>4.5</v>
      </c>
      <c r="F64" s="142" t="str">
        <f t="shared" si="20"/>
        <v>---</v>
      </c>
      <c r="G64" s="142" t="str">
        <f t="shared" si="16"/>
        <v>---</v>
      </c>
      <c r="H64" s="141" t="s">
        <v>2049</v>
      </c>
      <c r="I64" s="141" t="s">
        <v>2086</v>
      </c>
      <c r="J64" s="448" t="s">
        <v>3</v>
      </c>
      <c r="K64" s="144">
        <v>108</v>
      </c>
      <c r="L64" s="449" t="s">
        <v>2248</v>
      </c>
      <c r="M64" s="450">
        <f t="shared" si="17"/>
        <v>7</v>
      </c>
      <c r="N64" s="449" t="s">
        <v>2943</v>
      </c>
      <c r="O64" s="449" t="s">
        <v>2235</v>
      </c>
      <c r="P64" s="451">
        <v>3</v>
      </c>
      <c r="Q64" s="451">
        <v>0</v>
      </c>
      <c r="R64" s="451">
        <v>0</v>
      </c>
      <c r="S64" s="187" t="s">
        <v>1284</v>
      </c>
      <c r="T64" s="196" t="str">
        <f t="shared" si="1"/>
        <v/>
      </c>
      <c r="U64" s="196" t="str">
        <f t="shared" si="2"/>
        <v/>
      </c>
      <c r="V64" s="578" t="str">
        <f t="shared" si="3"/>
        <v/>
      </c>
    </row>
    <row r="65" spans="1:22" ht="60" customHeight="1" x14ac:dyDescent="0.25">
      <c r="A65" s="448" t="s">
        <v>6036</v>
      </c>
      <c r="B65" s="144" t="str">
        <f>IF(Recto!$C$3="","",IF(OR(Recto!$C$3=C65,Calculs!$I$8&gt;0),CONCATENATE(A65),""))</f>
        <v/>
      </c>
      <c r="C65" s="164" t="s">
        <v>175</v>
      </c>
      <c r="D65" s="144" t="s">
        <v>174</v>
      </c>
      <c r="E65" s="141">
        <v>5.5</v>
      </c>
      <c r="F65" s="142" t="str">
        <f t="shared" si="20"/>
        <v>---</v>
      </c>
      <c r="G65" s="142" t="str">
        <f t="shared" si="16"/>
        <v>---</v>
      </c>
      <c r="H65" s="141" t="s">
        <v>2050</v>
      </c>
      <c r="I65" s="141" t="s">
        <v>2086</v>
      </c>
      <c r="J65" s="448" t="s">
        <v>6061</v>
      </c>
      <c r="K65" s="144">
        <v>40</v>
      </c>
      <c r="L65" s="449" t="s">
        <v>4023</v>
      </c>
      <c r="M65" s="450">
        <f t="shared" si="17"/>
        <v>7</v>
      </c>
      <c r="N65" s="449" t="s">
        <v>3498</v>
      </c>
      <c r="O65" s="449" t="s">
        <v>3499</v>
      </c>
      <c r="P65" s="451">
        <v>3</v>
      </c>
      <c r="Q65" s="451">
        <v>0</v>
      </c>
      <c r="R65" s="451">
        <v>0</v>
      </c>
      <c r="S65" s="187" t="s">
        <v>1284</v>
      </c>
      <c r="T65" s="196" t="str">
        <f t="shared" si="1"/>
        <v/>
      </c>
      <c r="U65" s="196" t="str">
        <f t="shared" si="2"/>
        <v/>
      </c>
      <c r="V65" s="578" t="str">
        <f t="shared" si="3"/>
        <v/>
      </c>
    </row>
    <row r="66" spans="1:22" ht="60" customHeight="1" x14ac:dyDescent="0.25">
      <c r="A66" s="448" t="s">
        <v>195</v>
      </c>
      <c r="B66" s="144" t="str">
        <f>IF(Recto!$C$3="","",IF(OR(Recto!$C$3=C66,Calculs!$I$8&gt;0),CONCATENATE(A66),""))</f>
        <v/>
      </c>
      <c r="C66" s="164" t="s">
        <v>175</v>
      </c>
      <c r="D66" s="144" t="s">
        <v>9</v>
      </c>
      <c r="E66" s="141">
        <v>2.5</v>
      </c>
      <c r="F66" s="142" t="str">
        <f t="shared" si="20"/>
        <v>---</v>
      </c>
      <c r="G66" s="142" t="str">
        <f t="shared" si="16"/>
        <v>---</v>
      </c>
      <c r="H66" s="141" t="s">
        <v>2052</v>
      </c>
      <c r="I66" s="141" t="s">
        <v>2086</v>
      </c>
      <c r="J66" s="448" t="s">
        <v>3</v>
      </c>
      <c r="K66" s="144">
        <v>107</v>
      </c>
      <c r="L66" s="449" t="s">
        <v>311</v>
      </c>
      <c r="M66" s="450">
        <f t="shared" si="17"/>
        <v>4</v>
      </c>
      <c r="N66" s="449" t="s">
        <v>2220</v>
      </c>
      <c r="O66" s="449" t="s">
        <v>2236</v>
      </c>
      <c r="P66" s="451">
        <v>5</v>
      </c>
      <c r="Q66" s="451">
        <v>0</v>
      </c>
      <c r="R66" s="451">
        <v>0</v>
      </c>
      <c r="S66" s="187" t="s">
        <v>1284</v>
      </c>
      <c r="T66" s="196" t="str">
        <f t="shared" si="1"/>
        <v/>
      </c>
      <c r="U66" s="196" t="str">
        <f t="shared" si="2"/>
        <v/>
      </c>
      <c r="V66" s="578" t="str">
        <f t="shared" si="3"/>
        <v/>
      </c>
    </row>
    <row r="67" spans="1:22" ht="60" customHeight="1" x14ac:dyDescent="0.25">
      <c r="A67" s="448" t="s">
        <v>2579</v>
      </c>
      <c r="B67" s="144" t="str">
        <f>IF(Recto!$C$3="","",IF(OR(Recto!$C$3=C67,Calculs!$I$8&gt;0),CONCATENATE(A67),""))</f>
        <v/>
      </c>
      <c r="C67" s="164" t="s">
        <v>175</v>
      </c>
      <c r="D67" s="139" t="s">
        <v>2078</v>
      </c>
      <c r="E67" s="140" t="s">
        <v>2078</v>
      </c>
      <c r="F67" s="142" t="str">
        <f t="shared" si="20"/>
        <v>---</v>
      </c>
      <c r="G67" s="142" t="str">
        <f t="shared" si="16"/>
        <v>---</v>
      </c>
      <c r="H67" s="141" t="s">
        <v>2049</v>
      </c>
      <c r="I67" s="141" t="s">
        <v>2085</v>
      </c>
      <c r="J67" s="448" t="s">
        <v>3</v>
      </c>
      <c r="K67" s="144">
        <v>247</v>
      </c>
      <c r="L67" s="449" t="s">
        <v>307</v>
      </c>
      <c r="M67" s="450">
        <f t="shared" si="17"/>
        <v>0</v>
      </c>
      <c r="N67" s="452" t="s">
        <v>2078</v>
      </c>
      <c r="O67" s="449" t="s">
        <v>253</v>
      </c>
      <c r="P67" s="451">
        <v>0</v>
      </c>
      <c r="Q67" s="451">
        <v>0</v>
      </c>
      <c r="R67" s="451">
        <v>0</v>
      </c>
      <c r="S67" s="187" t="s">
        <v>1284</v>
      </c>
      <c r="T67" s="196" t="str">
        <f t="shared" ref="T67:T130" si="21">IF(B67="","",ROW())</f>
        <v/>
      </c>
      <c r="U67" s="196" t="str">
        <f t="shared" ref="U67:U130" si="22">IFERROR(SMALL(T:T,ROW()-1),"")</f>
        <v/>
      </c>
      <c r="V67" s="578" t="str">
        <f t="shared" ref="V67:V130" si="23">IFERROR(INDEX(B:B,U67),"")</f>
        <v/>
      </c>
    </row>
    <row r="68" spans="1:22" ht="60" customHeight="1" x14ac:dyDescent="0.25">
      <c r="A68" s="448" t="s">
        <v>194</v>
      </c>
      <c r="B68" s="144" t="str">
        <f>IF(Recto!$C$3="","",IF(OR(Recto!$C$3=C68,Calculs!$I$8&gt;0),CONCATENATE(A68),""))</f>
        <v/>
      </c>
      <c r="C68" s="164" t="s">
        <v>175</v>
      </c>
      <c r="D68" s="144" t="s">
        <v>19</v>
      </c>
      <c r="E68" s="141">
        <v>4.5</v>
      </c>
      <c r="F68" s="142" t="str">
        <f t="shared" si="20"/>
        <v>---</v>
      </c>
      <c r="G68" s="142" t="str">
        <f t="shared" si="16"/>
        <v>---</v>
      </c>
      <c r="H68" s="141" t="s">
        <v>2049</v>
      </c>
      <c r="I68" s="141" t="s">
        <v>2086</v>
      </c>
      <c r="J68" s="448" t="s">
        <v>2077</v>
      </c>
      <c r="K68" s="144">
        <v>148</v>
      </c>
      <c r="L68" s="449" t="s">
        <v>2947</v>
      </c>
      <c r="M68" s="450">
        <f t="shared" si="17"/>
        <v>8</v>
      </c>
      <c r="N68" s="449" t="s">
        <v>2943</v>
      </c>
      <c r="O68" s="449" t="s">
        <v>2235</v>
      </c>
      <c r="P68" s="451">
        <v>3</v>
      </c>
      <c r="Q68" s="451">
        <v>0</v>
      </c>
      <c r="R68" s="451">
        <v>0</v>
      </c>
      <c r="S68" s="187" t="s">
        <v>1284</v>
      </c>
      <c r="T68" s="196" t="str">
        <f t="shared" si="21"/>
        <v/>
      </c>
      <c r="U68" s="196" t="str">
        <f t="shared" si="22"/>
        <v/>
      </c>
      <c r="V68" s="578" t="str">
        <f t="shared" si="23"/>
        <v/>
      </c>
    </row>
    <row r="69" spans="1:22" ht="60" customHeight="1" x14ac:dyDescent="0.25">
      <c r="A69" s="448" t="s">
        <v>3490</v>
      </c>
      <c r="B69" s="144" t="str">
        <f>IF(Recto!$C$3="","",IF(OR(Recto!$C$3=C69,Calculs!$I$8&gt;0),CONCATENATE(A69),""))</f>
        <v/>
      </c>
      <c r="C69" s="164" t="s">
        <v>175</v>
      </c>
      <c r="D69" s="144" t="s">
        <v>6</v>
      </c>
      <c r="E69" s="141">
        <v>4.5</v>
      </c>
      <c r="F69" s="142" t="str">
        <f t="shared" si="20"/>
        <v>---</v>
      </c>
      <c r="G69" s="142" t="str">
        <f t="shared" si="16"/>
        <v>---</v>
      </c>
      <c r="H69" s="141" t="s">
        <v>2049</v>
      </c>
      <c r="I69" s="141" t="s">
        <v>2086</v>
      </c>
      <c r="J69" s="448" t="s">
        <v>6061</v>
      </c>
      <c r="K69" s="144">
        <v>38</v>
      </c>
      <c r="L69" s="449" t="s">
        <v>3497</v>
      </c>
      <c r="M69" s="450">
        <f t="shared" si="17"/>
        <v>3</v>
      </c>
      <c r="N69" s="449" t="s">
        <v>3491</v>
      </c>
      <c r="O69" s="449" t="s">
        <v>3492</v>
      </c>
      <c r="P69" s="451">
        <v>3</v>
      </c>
      <c r="Q69" s="451">
        <v>0</v>
      </c>
      <c r="R69" s="451">
        <v>0</v>
      </c>
      <c r="S69" s="187" t="s">
        <v>1284</v>
      </c>
      <c r="T69" s="196" t="str">
        <f t="shared" si="21"/>
        <v/>
      </c>
      <c r="U69" s="196" t="str">
        <f t="shared" si="22"/>
        <v/>
      </c>
      <c r="V69" s="578" t="str">
        <f t="shared" si="23"/>
        <v/>
      </c>
    </row>
    <row r="70" spans="1:22" ht="60" customHeight="1" x14ac:dyDescent="0.25">
      <c r="A70" s="448" t="s">
        <v>192</v>
      </c>
      <c r="B70" s="144" t="str">
        <f>IF(Recto!$C$3="","",IF(OR(Recto!$C$3=C70,Calculs!$I$8&gt;0),CONCATENATE(A70),""))</f>
        <v/>
      </c>
      <c r="C70" s="164" t="s">
        <v>175</v>
      </c>
      <c r="D70" s="144" t="s">
        <v>169</v>
      </c>
      <c r="E70" s="141">
        <v>2.5</v>
      </c>
      <c r="F70" s="142" t="str">
        <f t="shared" si="20"/>
        <v>---</v>
      </c>
      <c r="G70" s="142" t="str">
        <f t="shared" si="16"/>
        <v>---</v>
      </c>
      <c r="H70" s="141" t="s">
        <v>2049</v>
      </c>
      <c r="I70" s="141" t="s">
        <v>2086</v>
      </c>
      <c r="J70" s="448" t="s">
        <v>4808</v>
      </c>
      <c r="K70" s="144">
        <v>247</v>
      </c>
      <c r="L70" s="449" t="s">
        <v>2782</v>
      </c>
      <c r="M70" s="450">
        <f t="shared" si="17"/>
        <v>2</v>
      </c>
      <c r="N70" s="449" t="s">
        <v>2607</v>
      </c>
      <c r="O70" s="449" t="s">
        <v>2233</v>
      </c>
      <c r="P70" s="451">
        <v>3</v>
      </c>
      <c r="Q70" s="451">
        <v>0</v>
      </c>
      <c r="R70" s="451">
        <v>0</v>
      </c>
      <c r="S70" s="187" t="s">
        <v>1284</v>
      </c>
      <c r="T70" s="196" t="str">
        <f t="shared" si="21"/>
        <v/>
      </c>
      <c r="U70" s="196" t="str">
        <f t="shared" si="22"/>
        <v/>
      </c>
      <c r="V70" s="578" t="str">
        <f t="shared" si="23"/>
        <v/>
      </c>
    </row>
    <row r="71" spans="1:22" ht="60" customHeight="1" x14ac:dyDescent="0.25">
      <c r="A71" s="448" t="s">
        <v>308</v>
      </c>
      <c r="B71" s="144" t="str">
        <f>IF(Recto!$C$3="","",IF(OR(Recto!$C$3=C71,Calculs!$I$8&gt;0),CONCATENATE(A71),""))</f>
        <v/>
      </c>
      <c r="C71" s="164" t="s">
        <v>175</v>
      </c>
      <c r="D71" s="144" t="s">
        <v>174</v>
      </c>
      <c r="E71" s="141">
        <v>2.5</v>
      </c>
      <c r="F71" s="142" t="s">
        <v>577</v>
      </c>
      <c r="G71" s="142" t="s">
        <v>100</v>
      </c>
      <c r="H71" s="141" t="s">
        <v>2048</v>
      </c>
      <c r="I71" s="141" t="s">
        <v>2086</v>
      </c>
      <c r="J71" s="448" t="s">
        <v>3</v>
      </c>
      <c r="K71" s="144">
        <v>107</v>
      </c>
      <c r="L71" s="449" t="s">
        <v>2095</v>
      </c>
      <c r="M71" s="450">
        <f t="shared" si="17"/>
        <v>7</v>
      </c>
      <c r="N71" s="449" t="s">
        <v>2218</v>
      </c>
      <c r="O71" s="449" t="s">
        <v>2234</v>
      </c>
      <c r="P71" s="451">
        <v>3</v>
      </c>
      <c r="Q71" s="451">
        <v>0</v>
      </c>
      <c r="R71" s="451">
        <v>0</v>
      </c>
      <c r="S71" s="187" t="s">
        <v>1284</v>
      </c>
      <c r="T71" s="196" t="str">
        <f t="shared" si="21"/>
        <v/>
      </c>
      <c r="U71" s="196" t="str">
        <f t="shared" si="22"/>
        <v/>
      </c>
      <c r="V71" s="578" t="str">
        <f t="shared" si="23"/>
        <v/>
      </c>
    </row>
    <row r="72" spans="1:22" ht="60" customHeight="1" x14ac:dyDescent="0.25">
      <c r="A72" s="448" t="s">
        <v>6860</v>
      </c>
      <c r="B72" s="144" t="str">
        <f>IF(Recto!$C$3="","",IF(OR(Recto!$C$3=C72,Calculs!$I$8&gt;0),CONCATENATE(A72),""))</f>
        <v/>
      </c>
      <c r="C72" s="447" t="s">
        <v>6760</v>
      </c>
      <c r="D72" s="144" t="s">
        <v>169</v>
      </c>
      <c r="E72" s="141">
        <v>2</v>
      </c>
      <c r="F72" s="142" t="str">
        <f t="shared" ref="F72:F77" si="24">IF(H72="S","","---")</f>
        <v>---</v>
      </c>
      <c r="G72" s="142" t="str">
        <f t="shared" ref="G72:G77" si="25">IF(F72="---","---","")</f>
        <v>---</v>
      </c>
      <c r="H72" s="141" t="s">
        <v>2049</v>
      </c>
      <c r="I72" s="141" t="s">
        <v>2086</v>
      </c>
      <c r="J72" s="448" t="s">
        <v>6811</v>
      </c>
      <c r="K72" s="144">
        <v>26</v>
      </c>
      <c r="L72" s="449" t="s">
        <v>6861</v>
      </c>
      <c r="M72" s="450">
        <f t="shared" si="17"/>
        <v>2</v>
      </c>
      <c r="N72" s="449" t="s">
        <v>6863</v>
      </c>
      <c r="O72" s="449" t="s">
        <v>6864</v>
      </c>
      <c r="P72" s="451">
        <v>3</v>
      </c>
      <c r="Q72" s="451">
        <v>0</v>
      </c>
      <c r="R72" s="451">
        <v>0</v>
      </c>
      <c r="S72" s="187" t="s">
        <v>1284</v>
      </c>
      <c r="T72" s="196" t="str">
        <f t="shared" si="21"/>
        <v/>
      </c>
      <c r="U72" s="196" t="str">
        <f t="shared" si="22"/>
        <v/>
      </c>
      <c r="V72" s="578" t="str">
        <f t="shared" si="23"/>
        <v/>
      </c>
    </row>
    <row r="73" spans="1:22" ht="60" customHeight="1" x14ac:dyDescent="0.25">
      <c r="A73" s="448" t="s">
        <v>6963</v>
      </c>
      <c r="B73" s="144" t="str">
        <f>IF(Recto!$C$3="","",IF(OR(Recto!$C$3=C73,Calculs!$I$8&gt;0),CONCATENATE(A73),""))</f>
        <v/>
      </c>
      <c r="C73" s="447" t="s">
        <v>6789</v>
      </c>
      <c r="D73" s="144" t="s">
        <v>169</v>
      </c>
      <c r="E73" s="141">
        <v>5.5</v>
      </c>
      <c r="F73" s="142" t="str">
        <f t="shared" si="24"/>
        <v>---</v>
      </c>
      <c r="G73" s="142" t="str">
        <f t="shared" si="25"/>
        <v>---</v>
      </c>
      <c r="H73" s="141" t="s">
        <v>2049</v>
      </c>
      <c r="I73" s="141" t="s">
        <v>2086</v>
      </c>
      <c r="J73" s="448" t="s">
        <v>6811</v>
      </c>
      <c r="K73" s="144">
        <v>107</v>
      </c>
      <c r="L73" s="449" t="s">
        <v>6964</v>
      </c>
      <c r="M73" s="450">
        <f t="shared" si="17"/>
        <v>2</v>
      </c>
      <c r="N73" s="449" t="s">
        <v>6965</v>
      </c>
      <c r="O73" s="449" t="s">
        <v>6966</v>
      </c>
      <c r="P73" s="451">
        <v>3</v>
      </c>
      <c r="Q73" s="451">
        <v>0</v>
      </c>
      <c r="R73" s="451">
        <v>0</v>
      </c>
      <c r="S73" s="187" t="s">
        <v>1284</v>
      </c>
      <c r="T73" s="196" t="str">
        <f t="shared" si="21"/>
        <v/>
      </c>
      <c r="U73" s="196" t="str">
        <f t="shared" si="22"/>
        <v/>
      </c>
      <c r="V73" s="578" t="str">
        <f t="shared" si="23"/>
        <v/>
      </c>
    </row>
    <row r="74" spans="1:22" ht="60" customHeight="1" x14ac:dyDescent="0.25">
      <c r="A74" s="448" t="s">
        <v>313</v>
      </c>
      <c r="B74" s="144" t="str">
        <f>IF(Recto!$C$3="","",IF(OR(Recto!$C$3=C74,Calculs!$I$8&gt;0),CONCATENATE(A74),""))</f>
        <v/>
      </c>
      <c r="C74" s="164" t="s">
        <v>15</v>
      </c>
      <c r="D74" s="144" t="s">
        <v>172</v>
      </c>
      <c r="E74" s="141">
        <v>4.5</v>
      </c>
      <c r="F74" s="142" t="str">
        <f t="shared" si="24"/>
        <v>---</v>
      </c>
      <c r="G74" s="142" t="str">
        <f t="shared" si="25"/>
        <v>---</v>
      </c>
      <c r="H74" s="141" t="s">
        <v>2049</v>
      </c>
      <c r="I74" s="141" t="s">
        <v>2086</v>
      </c>
      <c r="J74" s="448" t="s">
        <v>3</v>
      </c>
      <c r="K74" s="144">
        <v>109</v>
      </c>
      <c r="L74" s="449" t="s">
        <v>314</v>
      </c>
      <c r="M74" s="450">
        <f t="shared" si="17"/>
        <v>5</v>
      </c>
      <c r="N74" s="449" t="s">
        <v>2249</v>
      </c>
      <c r="O74" s="449" t="s">
        <v>2229</v>
      </c>
      <c r="P74" s="451">
        <v>5</v>
      </c>
      <c r="Q74" s="451">
        <v>0</v>
      </c>
      <c r="R74" s="451">
        <v>0</v>
      </c>
      <c r="S74" s="187" t="s">
        <v>1284</v>
      </c>
      <c r="T74" s="196" t="str">
        <f t="shared" si="21"/>
        <v/>
      </c>
      <c r="U74" s="196" t="str">
        <f t="shared" si="22"/>
        <v/>
      </c>
      <c r="V74" s="578" t="str">
        <f t="shared" si="23"/>
        <v/>
      </c>
    </row>
    <row r="75" spans="1:22" ht="60" customHeight="1" x14ac:dyDescent="0.25">
      <c r="A75" s="448" t="s">
        <v>316</v>
      </c>
      <c r="B75" s="144" t="str">
        <f>IF(Recto!$C$3="","",IF(OR(Recto!$C$3=C75,Calculs!$I$8&gt;0),CONCATENATE(A75),""))</f>
        <v/>
      </c>
      <c r="C75" s="164" t="s">
        <v>15</v>
      </c>
      <c r="D75" s="144" t="s">
        <v>9</v>
      </c>
      <c r="E75" s="141">
        <v>5.5</v>
      </c>
      <c r="F75" s="142" t="str">
        <f t="shared" si="24"/>
        <v>---</v>
      </c>
      <c r="G75" s="142" t="str">
        <f t="shared" si="25"/>
        <v>---</v>
      </c>
      <c r="H75" s="141" t="s">
        <v>2052</v>
      </c>
      <c r="I75" s="141" t="s">
        <v>2086</v>
      </c>
      <c r="J75" s="448" t="s">
        <v>3</v>
      </c>
      <c r="K75" s="144">
        <v>111</v>
      </c>
      <c r="L75" s="449" t="s">
        <v>317</v>
      </c>
      <c r="M75" s="450">
        <f t="shared" ref="M75:M96" si="26">IF(D75="+1 Force",1,IF(D75="+1 Agilité",2,IF(D75="+1 Intelligence",3,IF(D75="+1 Perception",4,IF(D75="+1 Constitution",5,IF(D75="+1 Vide",6,IF(D75="+1 Volonté",7,IF(D75="+1 Reflexes",8,IF(D75="+1 Intuition",9,0)))))))))</f>
        <v>4</v>
      </c>
      <c r="N75" s="449" t="s">
        <v>2261</v>
      </c>
      <c r="O75" s="449" t="s">
        <v>2262</v>
      </c>
      <c r="P75" s="451">
        <v>5</v>
      </c>
      <c r="Q75" s="451">
        <v>0</v>
      </c>
      <c r="R75" s="451">
        <v>0</v>
      </c>
      <c r="S75" s="187" t="s">
        <v>1284</v>
      </c>
      <c r="T75" s="196" t="str">
        <f t="shared" si="21"/>
        <v/>
      </c>
      <c r="U75" s="196" t="str">
        <f t="shared" si="22"/>
        <v/>
      </c>
      <c r="V75" s="578" t="str">
        <f t="shared" si="23"/>
        <v/>
      </c>
    </row>
    <row r="76" spans="1:22" ht="60" customHeight="1" x14ac:dyDescent="0.25">
      <c r="A76" s="448" t="s">
        <v>1936</v>
      </c>
      <c r="B76" s="144" t="str">
        <f>IF(Recto!$C$3="","",IF(OR(Recto!$C$3=C76,Calculs!$I$8&gt;0),CONCATENATE(A76),""))</f>
        <v/>
      </c>
      <c r="C76" s="164" t="s">
        <v>15</v>
      </c>
      <c r="D76" s="144" t="s">
        <v>173</v>
      </c>
      <c r="E76" s="141">
        <v>5.5</v>
      </c>
      <c r="F76" s="142" t="str">
        <f t="shared" si="24"/>
        <v>---</v>
      </c>
      <c r="G76" s="142" t="str">
        <f t="shared" si="25"/>
        <v>---</v>
      </c>
      <c r="H76" s="141" t="s">
        <v>2049</v>
      </c>
      <c r="I76" s="141" t="s">
        <v>2086</v>
      </c>
      <c r="J76" s="448" t="s">
        <v>4808</v>
      </c>
      <c r="K76" s="144">
        <v>221</v>
      </c>
      <c r="L76" s="449" t="s">
        <v>2658</v>
      </c>
      <c r="M76" s="450">
        <f t="shared" si="26"/>
        <v>6</v>
      </c>
      <c r="N76" s="449" t="s">
        <v>2614</v>
      </c>
      <c r="O76" s="449" t="s">
        <v>2615</v>
      </c>
      <c r="P76" s="451">
        <v>1</v>
      </c>
      <c r="Q76" s="451">
        <v>0</v>
      </c>
      <c r="R76" s="451">
        <v>0</v>
      </c>
      <c r="S76" s="187" t="s">
        <v>1284</v>
      </c>
      <c r="T76" s="196" t="str">
        <f t="shared" si="21"/>
        <v/>
      </c>
      <c r="U76" s="196" t="str">
        <f t="shared" si="22"/>
        <v/>
      </c>
      <c r="V76" s="578" t="str">
        <f t="shared" si="23"/>
        <v/>
      </c>
    </row>
    <row r="77" spans="1:22" ht="60" customHeight="1" x14ac:dyDescent="0.25">
      <c r="A77" s="448" t="s">
        <v>200</v>
      </c>
      <c r="B77" s="144" t="str">
        <f>IF(Recto!$C$3="","",IF(OR(Recto!$C$3=C77,Calculs!$I$8&gt;0),CONCATENATE(A77),""))</f>
        <v/>
      </c>
      <c r="C77" s="164" t="s">
        <v>15</v>
      </c>
      <c r="D77" s="144" t="s">
        <v>19</v>
      </c>
      <c r="E77" s="141">
        <v>4.5</v>
      </c>
      <c r="F77" s="142" t="str">
        <f t="shared" si="24"/>
        <v>---</v>
      </c>
      <c r="G77" s="142" t="str">
        <f t="shared" si="25"/>
        <v>---</v>
      </c>
      <c r="H77" s="141" t="s">
        <v>2050</v>
      </c>
      <c r="I77" s="141" t="s">
        <v>2086</v>
      </c>
      <c r="J77" s="448" t="s">
        <v>2077</v>
      </c>
      <c r="K77" s="144">
        <v>214</v>
      </c>
      <c r="L77" s="449" t="s">
        <v>318</v>
      </c>
      <c r="M77" s="450">
        <f t="shared" si="26"/>
        <v>8</v>
      </c>
      <c r="N77" s="449" t="s">
        <v>2948</v>
      </c>
      <c r="O77" s="449" t="s">
        <v>2272</v>
      </c>
      <c r="P77" s="451">
        <v>2</v>
      </c>
      <c r="Q77" s="451">
        <v>0</v>
      </c>
      <c r="R77" s="451">
        <v>0</v>
      </c>
      <c r="S77" s="187" t="s">
        <v>1284</v>
      </c>
      <c r="T77" s="196" t="str">
        <f t="shared" si="21"/>
        <v/>
      </c>
      <c r="U77" s="196" t="str">
        <f t="shared" si="22"/>
        <v/>
      </c>
      <c r="V77" s="578" t="str">
        <f t="shared" si="23"/>
        <v/>
      </c>
    </row>
    <row r="78" spans="1:22" ht="60" customHeight="1" x14ac:dyDescent="0.25">
      <c r="A78" s="448" t="s">
        <v>421</v>
      </c>
      <c r="B78" s="144" t="str">
        <f>IF(Recto!$C$3="","",IF(OR(Recto!$C$3=C78,Calculs!$I$8&gt;0),CONCATENATE(A78),""))</f>
        <v/>
      </c>
      <c r="C78" s="164" t="s">
        <v>15</v>
      </c>
      <c r="D78" s="139" t="s">
        <v>2078</v>
      </c>
      <c r="E78" s="140" t="s">
        <v>2078</v>
      </c>
      <c r="F78" s="142" t="s">
        <v>2078</v>
      </c>
      <c r="G78" s="142" t="s">
        <v>2078</v>
      </c>
      <c r="H78" s="141" t="s">
        <v>2048</v>
      </c>
      <c r="I78" s="141" t="s">
        <v>2085</v>
      </c>
      <c r="J78" s="448" t="s">
        <v>6061</v>
      </c>
      <c r="K78" s="144">
        <v>69</v>
      </c>
      <c r="L78" s="449" t="s">
        <v>2823</v>
      </c>
      <c r="M78" s="450">
        <f t="shared" si="26"/>
        <v>0</v>
      </c>
      <c r="N78" s="452" t="s">
        <v>2078</v>
      </c>
      <c r="O78" s="449" t="s">
        <v>253</v>
      </c>
      <c r="P78" s="451">
        <v>0</v>
      </c>
      <c r="Q78" s="451">
        <v>0</v>
      </c>
      <c r="R78" s="451">
        <v>0</v>
      </c>
      <c r="S78" s="187" t="s">
        <v>1284</v>
      </c>
      <c r="T78" s="196" t="str">
        <f t="shared" si="21"/>
        <v/>
      </c>
      <c r="U78" s="196" t="str">
        <f t="shared" si="22"/>
        <v/>
      </c>
      <c r="V78" s="578" t="str">
        <f t="shared" si="23"/>
        <v/>
      </c>
    </row>
    <row r="79" spans="1:22" ht="60" customHeight="1" x14ac:dyDescent="0.25">
      <c r="A79" s="448" t="s">
        <v>2578</v>
      </c>
      <c r="B79" s="144" t="str">
        <f>IF(Recto!$C$3="","",IF(OR(Recto!$C$3=C79,Calculs!$I$8&gt;0),CONCATENATE(A79),""))</f>
        <v/>
      </c>
      <c r="C79" s="164" t="s">
        <v>15</v>
      </c>
      <c r="D79" s="139" t="s">
        <v>2078</v>
      </c>
      <c r="E79" s="140" t="s">
        <v>2078</v>
      </c>
      <c r="F79" s="142" t="str">
        <f>IF(H79="S","","---")</f>
        <v>---</v>
      </c>
      <c r="G79" s="142" t="str">
        <f>IF(F79="---","---","")</f>
        <v>---</v>
      </c>
      <c r="H79" s="141" t="s">
        <v>2049</v>
      </c>
      <c r="I79" s="141" t="s">
        <v>2085</v>
      </c>
      <c r="J79" s="448" t="s">
        <v>3</v>
      </c>
      <c r="K79" s="144">
        <v>247</v>
      </c>
      <c r="L79" s="449" t="s">
        <v>2592</v>
      </c>
      <c r="M79" s="450">
        <f t="shared" si="26"/>
        <v>0</v>
      </c>
      <c r="N79" s="452" t="s">
        <v>2078</v>
      </c>
      <c r="O79" s="449" t="s">
        <v>253</v>
      </c>
      <c r="P79" s="451">
        <v>0</v>
      </c>
      <c r="Q79" s="451">
        <v>0</v>
      </c>
      <c r="R79" s="451">
        <v>0</v>
      </c>
      <c r="S79" s="187" t="s">
        <v>1284</v>
      </c>
      <c r="T79" s="196" t="str">
        <f t="shared" si="21"/>
        <v/>
      </c>
      <c r="U79" s="196" t="str">
        <f t="shared" si="22"/>
        <v/>
      </c>
      <c r="V79" s="578" t="str">
        <f t="shared" si="23"/>
        <v/>
      </c>
    </row>
    <row r="80" spans="1:22" ht="60" customHeight="1" x14ac:dyDescent="0.25">
      <c r="A80" s="448" t="s">
        <v>420</v>
      </c>
      <c r="B80" s="144" t="str">
        <f>IF(Recto!$C$3="","",IF(OR(Recto!$C$3=C80,Calculs!$I$8&gt;0),CONCATENATE(A80),""))</f>
        <v/>
      </c>
      <c r="C80" s="164" t="s">
        <v>15</v>
      </c>
      <c r="D80" s="139" t="s">
        <v>2078</v>
      </c>
      <c r="E80" s="140" t="s">
        <v>2078</v>
      </c>
      <c r="F80" s="142" t="str">
        <f>IF(H80="S","","---")</f>
        <v>---</v>
      </c>
      <c r="G80" s="142" t="str">
        <f>IF(F80="---","---","")</f>
        <v>---</v>
      </c>
      <c r="H80" s="141" t="s">
        <v>2049</v>
      </c>
      <c r="I80" s="141" t="s">
        <v>2085</v>
      </c>
      <c r="J80" s="448" t="s">
        <v>6061</v>
      </c>
      <c r="K80" s="455">
        <v>68</v>
      </c>
      <c r="L80" s="449" t="s">
        <v>2817</v>
      </c>
      <c r="M80" s="450">
        <f t="shared" si="26"/>
        <v>0</v>
      </c>
      <c r="N80" s="452" t="s">
        <v>2078</v>
      </c>
      <c r="O80" s="449" t="s">
        <v>253</v>
      </c>
      <c r="P80" s="451">
        <v>0</v>
      </c>
      <c r="Q80" s="451">
        <v>0</v>
      </c>
      <c r="R80" s="451">
        <v>0</v>
      </c>
      <c r="S80" s="187" t="s">
        <v>1284</v>
      </c>
      <c r="T80" s="196" t="str">
        <f t="shared" si="21"/>
        <v/>
      </c>
      <c r="U80" s="196" t="str">
        <f t="shared" si="22"/>
        <v/>
      </c>
      <c r="V80" s="578" t="str">
        <f t="shared" si="23"/>
        <v/>
      </c>
    </row>
    <row r="81" spans="1:22" ht="60" customHeight="1" x14ac:dyDescent="0.25">
      <c r="A81" s="448" t="s">
        <v>202</v>
      </c>
      <c r="B81" s="144" t="str">
        <f>IF(Recto!$C$3="","",IF(OR(Recto!$C$3=C81,Calculs!$I$8&gt;0),CONCATENATE(A81),""))</f>
        <v/>
      </c>
      <c r="C81" s="164" t="s">
        <v>15</v>
      </c>
      <c r="D81" s="144" t="s">
        <v>173</v>
      </c>
      <c r="E81" s="141">
        <v>4.5</v>
      </c>
      <c r="F81" s="142" t="str">
        <f>IF(H81="S","","---")</f>
        <v>---</v>
      </c>
      <c r="G81" s="142" t="str">
        <f>IF(F81="---","---","")</f>
        <v>---</v>
      </c>
      <c r="H81" s="141" t="s">
        <v>2050</v>
      </c>
      <c r="I81" s="141" t="s">
        <v>2086</v>
      </c>
      <c r="J81" s="448" t="s">
        <v>3</v>
      </c>
      <c r="K81" s="144">
        <v>111</v>
      </c>
      <c r="L81" s="449" t="s">
        <v>318</v>
      </c>
      <c r="M81" s="450">
        <f t="shared" si="26"/>
        <v>6</v>
      </c>
      <c r="N81" s="449" t="s">
        <v>2271</v>
      </c>
      <c r="O81" s="449" t="s">
        <v>2272</v>
      </c>
      <c r="P81" s="451">
        <v>5</v>
      </c>
      <c r="Q81" s="451">
        <v>0</v>
      </c>
      <c r="R81" s="451">
        <v>0</v>
      </c>
      <c r="S81" s="187" t="s">
        <v>1284</v>
      </c>
      <c r="T81" s="196" t="str">
        <f t="shared" si="21"/>
        <v/>
      </c>
      <c r="U81" s="196" t="str">
        <f t="shared" si="22"/>
        <v/>
      </c>
      <c r="V81" s="578" t="str">
        <f t="shared" si="23"/>
        <v/>
      </c>
    </row>
    <row r="82" spans="1:22" ht="60" customHeight="1" x14ac:dyDescent="0.25">
      <c r="A82" s="448" t="s">
        <v>315</v>
      </c>
      <c r="B82" s="144" t="str">
        <f>IF(Recto!$C$3="","",IF(OR(Recto!$C$3=C82,Calculs!$I$8&gt;0),CONCATENATE(A82),""))</f>
        <v/>
      </c>
      <c r="C82" s="164" t="s">
        <v>15</v>
      </c>
      <c r="D82" s="144" t="s">
        <v>172</v>
      </c>
      <c r="E82" s="141">
        <v>4.5</v>
      </c>
      <c r="F82" s="142" t="s">
        <v>577</v>
      </c>
      <c r="G82" s="142" t="s">
        <v>100</v>
      </c>
      <c r="H82" s="141" t="s">
        <v>2048</v>
      </c>
      <c r="I82" s="141" t="s">
        <v>2086</v>
      </c>
      <c r="J82" s="448" t="s">
        <v>3</v>
      </c>
      <c r="K82" s="144">
        <v>110</v>
      </c>
      <c r="L82" s="449" t="s">
        <v>345</v>
      </c>
      <c r="M82" s="450">
        <f t="shared" si="26"/>
        <v>5</v>
      </c>
      <c r="N82" s="449" t="s">
        <v>2260</v>
      </c>
      <c r="O82" s="449" t="s">
        <v>2234</v>
      </c>
      <c r="P82" s="451">
        <v>5</v>
      </c>
      <c r="Q82" s="451">
        <v>0</v>
      </c>
      <c r="R82" s="451">
        <v>0</v>
      </c>
      <c r="S82" s="187" t="s">
        <v>1284</v>
      </c>
      <c r="T82" s="196" t="str">
        <f t="shared" si="21"/>
        <v/>
      </c>
      <c r="U82" s="196" t="str">
        <f t="shared" si="22"/>
        <v/>
      </c>
      <c r="V82" s="578" t="str">
        <f t="shared" si="23"/>
        <v/>
      </c>
    </row>
    <row r="83" spans="1:22" ht="60" customHeight="1" x14ac:dyDescent="0.25">
      <c r="A83" s="448" t="s">
        <v>201</v>
      </c>
      <c r="B83" s="144" t="str">
        <f>IF(Recto!$C$3="","",IF(OR(Recto!$C$3=C83,Calculs!$I$8&gt;0),CONCATENATE(A83),""))</f>
        <v/>
      </c>
      <c r="C83" s="164" t="s">
        <v>15</v>
      </c>
      <c r="D83" s="144" t="s">
        <v>173</v>
      </c>
      <c r="E83" s="141">
        <v>4.5</v>
      </c>
      <c r="F83" s="142" t="str">
        <f t="shared" ref="F83:F100" si="27">IF(H83="S","","---")</f>
        <v>---</v>
      </c>
      <c r="G83" s="142" t="str">
        <f t="shared" ref="G83:G100" si="28">IF(F83="---","---","")</f>
        <v>---</v>
      </c>
      <c r="H83" s="141" t="s">
        <v>2050</v>
      </c>
      <c r="I83" s="141" t="s">
        <v>2086</v>
      </c>
      <c r="J83" s="448" t="s">
        <v>2077</v>
      </c>
      <c r="K83" s="144">
        <v>215</v>
      </c>
      <c r="L83" s="449" t="s">
        <v>2961</v>
      </c>
      <c r="M83" s="450">
        <f t="shared" si="26"/>
        <v>6</v>
      </c>
      <c r="N83" s="449" t="s">
        <v>2950</v>
      </c>
      <c r="O83" s="449" t="s">
        <v>2951</v>
      </c>
      <c r="P83" s="451">
        <v>4</v>
      </c>
      <c r="Q83" s="451">
        <v>0</v>
      </c>
      <c r="R83" s="451">
        <v>0</v>
      </c>
      <c r="S83" s="187" t="s">
        <v>1284</v>
      </c>
      <c r="T83" s="196" t="str">
        <f t="shared" si="21"/>
        <v/>
      </c>
      <c r="U83" s="196" t="str">
        <f t="shared" si="22"/>
        <v/>
      </c>
      <c r="V83" s="578" t="str">
        <f t="shared" si="23"/>
        <v/>
      </c>
    </row>
    <row r="84" spans="1:22" ht="60" customHeight="1" x14ac:dyDescent="0.25">
      <c r="A84" s="448" t="s">
        <v>6870</v>
      </c>
      <c r="B84" s="144" t="str">
        <f>IF(Recto!$C$3="","",IF(OR(Recto!$C$3=C84,Calculs!$I$8&gt;0),CONCATENATE(A84),""))</f>
        <v/>
      </c>
      <c r="C84" s="447" t="s">
        <v>6764</v>
      </c>
      <c r="D84" s="144" t="s">
        <v>19</v>
      </c>
      <c r="E84" s="141">
        <v>6</v>
      </c>
      <c r="F84" s="142" t="str">
        <f t="shared" si="27"/>
        <v>---</v>
      </c>
      <c r="G84" s="142" t="str">
        <f t="shared" si="28"/>
        <v>---</v>
      </c>
      <c r="H84" s="141" t="s">
        <v>2049</v>
      </c>
      <c r="I84" s="141" t="s">
        <v>2086</v>
      </c>
      <c r="J84" s="448" t="s">
        <v>6811</v>
      </c>
      <c r="K84" s="144">
        <v>33</v>
      </c>
      <c r="L84" s="449" t="s">
        <v>6871</v>
      </c>
      <c r="M84" s="450">
        <f t="shared" si="26"/>
        <v>8</v>
      </c>
      <c r="N84" s="449" t="s">
        <v>6872</v>
      </c>
      <c r="O84" s="449" t="s">
        <v>6873</v>
      </c>
      <c r="P84" s="451">
        <v>5</v>
      </c>
      <c r="Q84" s="451">
        <v>0</v>
      </c>
      <c r="R84" s="451">
        <v>0</v>
      </c>
      <c r="S84" s="187" t="s">
        <v>1284</v>
      </c>
      <c r="T84" s="196" t="str">
        <f t="shared" si="21"/>
        <v/>
      </c>
      <c r="U84" s="196" t="str">
        <f t="shared" si="22"/>
        <v/>
      </c>
      <c r="V84" s="578" t="str">
        <f t="shared" si="23"/>
        <v/>
      </c>
    </row>
    <row r="85" spans="1:22" ht="60" customHeight="1" x14ac:dyDescent="0.25">
      <c r="A85" s="448" t="s">
        <v>8260</v>
      </c>
      <c r="B85" s="144" t="str">
        <f>IF(Recto!$C$3="","",IF(OR(Recto!$C$3=C85,Calculs!$I$8&gt;0),CONCATENATE(A85),""))</f>
        <v/>
      </c>
      <c r="C85" s="164" t="s">
        <v>8285</v>
      </c>
      <c r="D85" s="139" t="s">
        <v>169</v>
      </c>
      <c r="E85" s="141">
        <v>4.5</v>
      </c>
      <c r="F85" s="142" t="str">
        <f t="shared" ref="F85" si="29">IF(H85="S","","---")</f>
        <v>---</v>
      </c>
      <c r="G85" s="142" t="str">
        <f t="shared" ref="G85" si="30">IF(F85="---","---","")</f>
        <v>---</v>
      </c>
      <c r="H85" s="141" t="s">
        <v>2049</v>
      </c>
      <c r="I85" s="141" t="s">
        <v>2086</v>
      </c>
      <c r="J85" s="448" t="s">
        <v>6811</v>
      </c>
      <c r="K85" s="144">
        <v>35</v>
      </c>
      <c r="L85" s="449" t="s">
        <v>8266</v>
      </c>
      <c r="M85" s="450">
        <f>IF(D85="+1 Force",1,IF(D85="+1 Agilité",2,IF(D85="+1 Intelligence",3,IF(D85="+1 Perception",4,IF(D85="+1 Constitution",5,IF(D85="+1 Vide",6,IF(D85="+1 Volonté",7,IF(D85="+1 Reflexes",8,IF(D85="+1 Intuition",9,0)))))))))</f>
        <v>2</v>
      </c>
      <c r="N85" s="449" t="s">
        <v>8262</v>
      </c>
      <c r="O85" s="449" t="s">
        <v>8263</v>
      </c>
      <c r="P85" s="451">
        <v>3</v>
      </c>
      <c r="Q85" s="451">
        <v>0</v>
      </c>
      <c r="R85" s="451">
        <v>0</v>
      </c>
      <c r="S85" s="187" t="s">
        <v>1284</v>
      </c>
      <c r="T85" s="196" t="str">
        <f t="shared" si="21"/>
        <v/>
      </c>
      <c r="U85" s="196" t="str">
        <f t="shared" si="22"/>
        <v/>
      </c>
      <c r="V85" s="578" t="str">
        <f t="shared" si="23"/>
        <v/>
      </c>
    </row>
    <row r="86" spans="1:22" ht="60" customHeight="1" x14ac:dyDescent="0.25">
      <c r="A86" s="448" t="s">
        <v>8327</v>
      </c>
      <c r="B86" s="144" t="str">
        <f>IF(Recto!$C$3="","",IF(OR(Recto!$C$3=C86,Calculs!$I$8&gt;0),CONCATENATE(A86),""))</f>
        <v/>
      </c>
      <c r="C86" s="164" t="s">
        <v>7733</v>
      </c>
      <c r="D86" s="144" t="s">
        <v>6</v>
      </c>
      <c r="E86" s="141">
        <v>3.5</v>
      </c>
      <c r="F86" s="142" t="str">
        <f t="shared" ref="F86" si="31">IF(H86="S","","---")</f>
        <v>---</v>
      </c>
      <c r="G86" s="142" t="str">
        <f t="shared" ref="G86" si="32">IF(F86="---","---","")</f>
        <v>---</v>
      </c>
      <c r="H86" s="141" t="s">
        <v>2049</v>
      </c>
      <c r="I86" s="141" t="s">
        <v>2086</v>
      </c>
      <c r="J86" s="448" t="s">
        <v>6811</v>
      </c>
      <c r="K86" s="144">
        <v>103</v>
      </c>
      <c r="L86" s="449" t="s">
        <v>8328</v>
      </c>
      <c r="M86" s="450">
        <f>IF(D86="+1 Force",1,IF(D86="+1 Agilité",2,IF(D86="+1 Intelligence",3,IF(D86="+1 Perception",4,IF(D86="+1 Constitution",5,IF(D86="+1 Vide",6,IF(D86="+1 Volonté",7,IF(D86="+1 Reflexes",8,IF(D86="+1 Intuition",9,0)))))))))</f>
        <v>3</v>
      </c>
      <c r="N86" s="449" t="s">
        <v>8329</v>
      </c>
      <c r="O86" s="449" t="s">
        <v>8334</v>
      </c>
      <c r="P86" s="451">
        <v>4</v>
      </c>
      <c r="Q86" s="451">
        <v>0</v>
      </c>
      <c r="R86" s="451">
        <v>0</v>
      </c>
      <c r="S86" s="187" t="s">
        <v>1284</v>
      </c>
      <c r="T86" s="196" t="str">
        <f t="shared" si="21"/>
        <v/>
      </c>
      <c r="U86" s="196" t="str">
        <f t="shared" si="22"/>
        <v/>
      </c>
      <c r="V86" s="578" t="str">
        <f t="shared" si="23"/>
        <v/>
      </c>
    </row>
    <row r="87" spans="1:22" ht="60" customHeight="1" x14ac:dyDescent="0.25">
      <c r="A87" s="448" t="s">
        <v>8790</v>
      </c>
      <c r="B87" s="144" t="str">
        <f>IF(Recto!$C$3="","",IF(OR(Recto!$C$3=C87,Calculs!$I$8&gt;0),CONCATENATE(A87),""))</f>
        <v/>
      </c>
      <c r="C87" s="164" t="s">
        <v>8787</v>
      </c>
      <c r="D87" s="144" t="s">
        <v>9</v>
      </c>
      <c r="E87" s="141">
        <v>1.5</v>
      </c>
      <c r="F87" s="142" t="s">
        <v>159</v>
      </c>
      <c r="G87" s="142" t="s">
        <v>2094</v>
      </c>
      <c r="H87" s="141" t="s">
        <v>2048</v>
      </c>
      <c r="I87" s="141" t="s">
        <v>2086</v>
      </c>
      <c r="J87" s="448" t="s">
        <v>6811</v>
      </c>
      <c r="K87" s="144">
        <v>41</v>
      </c>
      <c r="L87" s="449" t="s">
        <v>8791</v>
      </c>
      <c r="M87" s="450">
        <f>IF(D87="+1 Force",1,IF(D87="+1 Agilité",2,IF(D87="+1 Intelligence",3,IF(D87="+1 Perception",4,IF(D87="+1 Constitution",5,IF(D87="+1 Vide",6,IF(D87="+1 Volonté",7,IF(D87="+1 Reflexes",8,IF(D87="+1 Intuition",9,0)))))))))</f>
        <v>4</v>
      </c>
      <c r="N87" s="449" t="s">
        <v>8792</v>
      </c>
      <c r="O87" s="449" t="s">
        <v>8793</v>
      </c>
      <c r="P87" s="451">
        <v>2</v>
      </c>
      <c r="Q87" s="451">
        <v>0</v>
      </c>
      <c r="R87" s="451">
        <v>0</v>
      </c>
      <c r="S87" s="187" t="s">
        <v>1284</v>
      </c>
      <c r="T87" s="196" t="str">
        <f t="shared" si="21"/>
        <v/>
      </c>
      <c r="U87" s="196" t="str">
        <f t="shared" si="22"/>
        <v/>
      </c>
      <c r="V87" s="578" t="str">
        <f t="shared" si="23"/>
        <v/>
      </c>
    </row>
    <row r="88" spans="1:22" ht="60" customHeight="1" x14ac:dyDescent="0.25">
      <c r="A88" s="448" t="s">
        <v>8786</v>
      </c>
      <c r="B88" s="144" t="str">
        <f>IF(Recto!$C$3="","",IF(OR(Recto!$C$3=C88,Calculs!$I$8&gt;0),CONCATENATE(A88),""))</f>
        <v/>
      </c>
      <c r="C88" s="164" t="s">
        <v>8787</v>
      </c>
      <c r="D88" s="144" t="s">
        <v>173</v>
      </c>
      <c r="E88" s="141">
        <v>1.5</v>
      </c>
      <c r="F88" s="142" t="str">
        <f t="shared" ref="F88" si="33">IF(H88="S","","---")</f>
        <v>---</v>
      </c>
      <c r="G88" s="142" t="str">
        <f t="shared" ref="G88" si="34">IF(F88="---","---","")</f>
        <v>---</v>
      </c>
      <c r="H88" s="141" t="s">
        <v>2049</v>
      </c>
      <c r="I88" s="141" t="s">
        <v>2086</v>
      </c>
      <c r="J88" s="448" t="s">
        <v>6811</v>
      </c>
      <c r="K88" s="144">
        <v>40</v>
      </c>
      <c r="L88" s="449" t="s">
        <v>1658</v>
      </c>
      <c r="M88" s="450">
        <f>IF(D88="+1 Force",1,IF(D88="+1 Agilité",2,IF(D88="+1 Intelligence",3,IF(D88="+1 Perception",4,IF(D88="+1 Constitution",5,IF(D88="+1 Vide",6,IF(D88="+1 Volonté",7,IF(D88="+1 Reflexes",8,IF(D88="+1 Intuition",9,0)))))))))</f>
        <v>6</v>
      </c>
      <c r="N88" s="449" t="s">
        <v>8788</v>
      </c>
      <c r="O88" s="449" t="s">
        <v>8789</v>
      </c>
      <c r="P88" s="451">
        <v>2</v>
      </c>
      <c r="Q88" s="451">
        <v>0</v>
      </c>
      <c r="R88" s="451">
        <v>0</v>
      </c>
      <c r="S88" s="187" t="s">
        <v>1284</v>
      </c>
      <c r="T88" s="196" t="str">
        <f t="shared" si="21"/>
        <v/>
      </c>
      <c r="U88" s="196" t="str">
        <f t="shared" si="22"/>
        <v/>
      </c>
      <c r="V88" s="578" t="str">
        <f t="shared" si="23"/>
        <v/>
      </c>
    </row>
    <row r="89" spans="1:22" ht="60" customHeight="1" x14ac:dyDescent="0.25">
      <c r="A89" s="448" t="s">
        <v>6967</v>
      </c>
      <c r="B89" s="144" t="str">
        <f>IF(Recto!$C$3="","",IF(OR(Recto!$C$3=C89,Calculs!$I$8&gt;0),CONCATENATE(A89),""))</f>
        <v/>
      </c>
      <c r="C89" s="447" t="s">
        <v>6792</v>
      </c>
      <c r="D89" s="144" t="s">
        <v>169</v>
      </c>
      <c r="E89" s="141">
        <v>6.5</v>
      </c>
      <c r="F89" s="142" t="str">
        <f t="shared" si="27"/>
        <v>---</v>
      </c>
      <c r="G89" s="142" t="str">
        <f t="shared" si="28"/>
        <v>---</v>
      </c>
      <c r="H89" s="141" t="s">
        <v>2049</v>
      </c>
      <c r="I89" s="141" t="s">
        <v>2086</v>
      </c>
      <c r="J89" s="448" t="s">
        <v>6811</v>
      </c>
      <c r="K89" s="144">
        <v>111</v>
      </c>
      <c r="L89" s="449" t="s">
        <v>6968</v>
      </c>
      <c r="M89" s="450">
        <f t="shared" si="26"/>
        <v>2</v>
      </c>
      <c r="N89" s="449" t="s">
        <v>6969</v>
      </c>
      <c r="O89" s="449" t="s">
        <v>6873</v>
      </c>
      <c r="P89" s="451">
        <v>5</v>
      </c>
      <c r="Q89" s="451">
        <v>0</v>
      </c>
      <c r="R89" s="451">
        <v>0</v>
      </c>
      <c r="S89" s="187" t="s">
        <v>1284</v>
      </c>
      <c r="T89" s="196" t="str">
        <f t="shared" si="21"/>
        <v/>
      </c>
      <c r="U89" s="196" t="str">
        <f t="shared" si="22"/>
        <v/>
      </c>
      <c r="V89" s="578" t="str">
        <f t="shared" si="23"/>
        <v/>
      </c>
    </row>
    <row r="90" spans="1:22" ht="60" customHeight="1" x14ac:dyDescent="0.25">
      <c r="A90" s="448" t="s">
        <v>407</v>
      </c>
      <c r="B90" s="144" t="str">
        <f>IF(Recto!$C$3="","",IF(OR(Recto!$C$3=C90,Calculs!$I$8&gt;0),CONCATENATE(A90),""))</f>
        <v/>
      </c>
      <c r="C90" s="164" t="s">
        <v>384</v>
      </c>
      <c r="D90" s="144" t="s">
        <v>9</v>
      </c>
      <c r="E90" s="141">
        <v>5.5</v>
      </c>
      <c r="F90" s="142" t="str">
        <f t="shared" si="27"/>
        <v>---</v>
      </c>
      <c r="G90" s="142" t="str">
        <f t="shared" si="28"/>
        <v>---</v>
      </c>
      <c r="H90" s="141" t="s">
        <v>2049</v>
      </c>
      <c r="I90" s="141" t="s">
        <v>2086</v>
      </c>
      <c r="J90" s="448" t="s">
        <v>3</v>
      </c>
      <c r="K90" s="144">
        <v>219</v>
      </c>
      <c r="L90" s="449" t="s">
        <v>366</v>
      </c>
      <c r="M90" s="450">
        <f t="shared" si="26"/>
        <v>4</v>
      </c>
      <c r="N90" s="449" t="s">
        <v>2148</v>
      </c>
      <c r="O90" s="449" t="s">
        <v>2229</v>
      </c>
      <c r="P90" s="451">
        <v>3</v>
      </c>
      <c r="Q90" s="451">
        <v>0</v>
      </c>
      <c r="R90" s="451">
        <v>0</v>
      </c>
      <c r="S90" s="187" t="s">
        <v>1284</v>
      </c>
      <c r="T90" s="196" t="str">
        <f t="shared" si="21"/>
        <v/>
      </c>
      <c r="U90" s="196" t="str">
        <f t="shared" si="22"/>
        <v/>
      </c>
      <c r="V90" s="578" t="str">
        <f t="shared" si="23"/>
        <v/>
      </c>
    </row>
    <row r="91" spans="1:22" ht="60" customHeight="1" x14ac:dyDescent="0.25">
      <c r="A91" s="448" t="s">
        <v>6052</v>
      </c>
      <c r="B91" s="144" t="str">
        <f>IF(Recto!$C$3="","",IF(OR(Recto!$C$3=C91,Calculs!$I$8&gt;0),CONCATENATE(A91),""))</f>
        <v/>
      </c>
      <c r="C91" s="164" t="s">
        <v>176</v>
      </c>
      <c r="D91" s="144" t="s">
        <v>171</v>
      </c>
      <c r="E91" s="141">
        <v>5.5</v>
      </c>
      <c r="F91" s="142" t="str">
        <f t="shared" si="27"/>
        <v>---</v>
      </c>
      <c r="G91" s="142" t="str">
        <f t="shared" si="28"/>
        <v>---</v>
      </c>
      <c r="H91" s="141" t="s">
        <v>2057</v>
      </c>
      <c r="I91" s="141" t="s">
        <v>2086</v>
      </c>
      <c r="J91" s="448" t="s">
        <v>6061</v>
      </c>
      <c r="K91" s="455">
        <v>100</v>
      </c>
      <c r="L91" s="449" t="s">
        <v>2838</v>
      </c>
      <c r="M91" s="450">
        <f t="shared" si="26"/>
        <v>9</v>
      </c>
      <c r="N91" s="449" t="s">
        <v>2835</v>
      </c>
      <c r="O91" s="449" t="s">
        <v>2836</v>
      </c>
      <c r="P91" s="451">
        <v>10</v>
      </c>
      <c r="Q91" s="451">
        <v>0</v>
      </c>
      <c r="R91" s="451">
        <v>0</v>
      </c>
      <c r="S91" s="187" t="s">
        <v>1284</v>
      </c>
      <c r="T91" s="196" t="str">
        <f t="shared" si="21"/>
        <v/>
      </c>
      <c r="U91" s="196" t="str">
        <f t="shared" si="22"/>
        <v/>
      </c>
      <c r="V91" s="578" t="str">
        <f t="shared" si="23"/>
        <v/>
      </c>
    </row>
    <row r="92" spans="1:22" ht="60" customHeight="1" x14ac:dyDescent="0.25">
      <c r="A92" s="448" t="s">
        <v>587</v>
      </c>
      <c r="B92" s="144" t="str">
        <f>IF(Recto!$C$3="","",IF(OR(Recto!$C$3=C92,Calculs!$I$8&gt;0),CONCATENATE(A92),""))</f>
        <v/>
      </c>
      <c r="C92" s="164" t="s">
        <v>176</v>
      </c>
      <c r="D92" s="139" t="s">
        <v>2078</v>
      </c>
      <c r="E92" s="140" t="s">
        <v>2078</v>
      </c>
      <c r="F92" s="142" t="str">
        <f t="shared" si="27"/>
        <v>---</v>
      </c>
      <c r="G92" s="142" t="str">
        <f t="shared" si="28"/>
        <v>---</v>
      </c>
      <c r="H92" s="141" t="s">
        <v>2060</v>
      </c>
      <c r="I92" s="141" t="s">
        <v>2085</v>
      </c>
      <c r="J92" s="448" t="s">
        <v>2077</v>
      </c>
      <c r="K92" s="455">
        <v>180</v>
      </c>
      <c r="L92" s="449" t="s">
        <v>2833</v>
      </c>
      <c r="M92" s="450">
        <f t="shared" si="26"/>
        <v>0</v>
      </c>
      <c r="N92" s="452" t="s">
        <v>2078</v>
      </c>
      <c r="O92" s="449" t="s">
        <v>253</v>
      </c>
      <c r="P92" s="451">
        <v>0</v>
      </c>
      <c r="Q92" s="451">
        <v>0</v>
      </c>
      <c r="R92" s="451">
        <v>0</v>
      </c>
      <c r="S92" s="187" t="s">
        <v>1284</v>
      </c>
      <c r="T92" s="196" t="str">
        <f t="shared" si="21"/>
        <v/>
      </c>
      <c r="U92" s="196" t="str">
        <f t="shared" si="22"/>
        <v/>
      </c>
      <c r="V92" s="578" t="str">
        <f t="shared" si="23"/>
        <v/>
      </c>
    </row>
    <row r="93" spans="1:22" ht="60" customHeight="1" x14ac:dyDescent="0.25">
      <c r="A93" s="448" t="s">
        <v>198</v>
      </c>
      <c r="B93" s="144" t="str">
        <f>IF(Recto!$C$3="","",IF(OR(Recto!$C$3=C93,Calculs!$I$8&gt;0),CONCATENATE(A93),""))</f>
        <v/>
      </c>
      <c r="C93" s="164" t="s">
        <v>176</v>
      </c>
      <c r="D93" s="144" t="s">
        <v>19</v>
      </c>
      <c r="E93" s="141">
        <v>6.5</v>
      </c>
      <c r="F93" s="142" t="str">
        <f t="shared" si="27"/>
        <v>---</v>
      </c>
      <c r="G93" s="142" t="str">
        <f t="shared" si="28"/>
        <v>---</v>
      </c>
      <c r="H93" s="141" t="s">
        <v>2049</v>
      </c>
      <c r="I93" s="141" t="s">
        <v>2086</v>
      </c>
      <c r="J93" s="448" t="s">
        <v>3</v>
      </c>
      <c r="K93" s="144">
        <v>113</v>
      </c>
      <c r="L93" s="449" t="s">
        <v>2350</v>
      </c>
      <c r="M93" s="450">
        <f t="shared" si="26"/>
        <v>8</v>
      </c>
      <c r="N93" s="449" t="s">
        <v>2346</v>
      </c>
      <c r="O93" s="449" t="s">
        <v>2229</v>
      </c>
      <c r="P93" s="451">
        <v>10</v>
      </c>
      <c r="Q93" s="451">
        <v>0</v>
      </c>
      <c r="R93" s="451">
        <v>0</v>
      </c>
      <c r="S93" s="187" t="s">
        <v>1284</v>
      </c>
      <c r="T93" s="196" t="str">
        <f t="shared" si="21"/>
        <v/>
      </c>
      <c r="U93" s="196" t="str">
        <f t="shared" si="22"/>
        <v/>
      </c>
      <c r="V93" s="578" t="str">
        <f t="shared" si="23"/>
        <v/>
      </c>
    </row>
    <row r="94" spans="1:22" ht="60" customHeight="1" x14ac:dyDescent="0.25">
      <c r="A94" s="448" t="s">
        <v>196</v>
      </c>
      <c r="B94" s="144" t="str">
        <f>IF(Recto!$C$3="","",IF(OR(Recto!$C$3=C94,Calculs!$I$8&gt;0),CONCATENATE(A94),""))</f>
        <v/>
      </c>
      <c r="C94" s="164" t="s">
        <v>176</v>
      </c>
      <c r="D94" s="144" t="s">
        <v>171</v>
      </c>
      <c r="E94" s="141">
        <v>6.5</v>
      </c>
      <c r="F94" s="142" t="str">
        <f t="shared" si="27"/>
        <v>---</v>
      </c>
      <c r="G94" s="142" t="str">
        <f t="shared" si="28"/>
        <v>---</v>
      </c>
      <c r="H94" s="141" t="s">
        <v>2052</v>
      </c>
      <c r="I94" s="141" t="s">
        <v>2086</v>
      </c>
      <c r="J94" s="448" t="s">
        <v>3</v>
      </c>
      <c r="K94" s="144">
        <v>114</v>
      </c>
      <c r="L94" s="449" t="s">
        <v>2364</v>
      </c>
      <c r="M94" s="450">
        <f t="shared" si="26"/>
        <v>9</v>
      </c>
      <c r="N94" s="449" t="s">
        <v>2355</v>
      </c>
      <c r="O94" s="449" t="s">
        <v>2356</v>
      </c>
      <c r="P94" s="451">
        <v>10</v>
      </c>
      <c r="Q94" s="451">
        <v>0</v>
      </c>
      <c r="R94" s="451">
        <v>0</v>
      </c>
      <c r="S94" s="187" t="s">
        <v>1284</v>
      </c>
      <c r="T94" s="196" t="str">
        <f t="shared" si="21"/>
        <v/>
      </c>
      <c r="U94" s="196" t="str">
        <f t="shared" si="22"/>
        <v/>
      </c>
      <c r="V94" s="578" t="str">
        <f t="shared" si="23"/>
        <v/>
      </c>
    </row>
    <row r="95" spans="1:22" ht="60" customHeight="1" x14ac:dyDescent="0.25">
      <c r="A95" s="448" t="s">
        <v>2824</v>
      </c>
      <c r="B95" s="144" t="str">
        <f>IF(Recto!$C$3="","",IF(OR(Recto!$C$3=C95,Calculs!$I$8&gt;0),CONCATENATE(A95),""))</f>
        <v/>
      </c>
      <c r="C95" s="164" t="s">
        <v>176</v>
      </c>
      <c r="D95" s="139" t="s">
        <v>2825</v>
      </c>
      <c r="E95" s="141">
        <v>6.5</v>
      </c>
      <c r="F95" s="142" t="str">
        <f t="shared" si="27"/>
        <v>---</v>
      </c>
      <c r="G95" s="142" t="str">
        <f t="shared" si="28"/>
        <v>---</v>
      </c>
      <c r="H95" s="141" t="s">
        <v>2049</v>
      </c>
      <c r="I95" s="141" t="s">
        <v>2086</v>
      </c>
      <c r="J95" s="448" t="s">
        <v>6061</v>
      </c>
      <c r="K95" s="144">
        <v>98</v>
      </c>
      <c r="L95" s="449" t="s">
        <v>2833</v>
      </c>
      <c r="M95" s="450">
        <f t="shared" si="26"/>
        <v>0</v>
      </c>
      <c r="N95" s="449" t="s">
        <v>2826</v>
      </c>
      <c r="O95" s="449" t="s">
        <v>2827</v>
      </c>
      <c r="P95" s="451">
        <v>5</v>
      </c>
      <c r="Q95" s="451">
        <v>0</v>
      </c>
      <c r="R95" s="451">
        <v>0</v>
      </c>
      <c r="S95" s="187" t="s">
        <v>1284</v>
      </c>
      <c r="T95" s="196" t="str">
        <f t="shared" si="21"/>
        <v/>
      </c>
      <c r="U95" s="196" t="str">
        <f t="shared" si="22"/>
        <v/>
      </c>
      <c r="V95" s="578" t="str">
        <f t="shared" si="23"/>
        <v/>
      </c>
    </row>
    <row r="96" spans="1:22" ht="60" customHeight="1" x14ac:dyDescent="0.25">
      <c r="A96" s="448" t="s">
        <v>6138</v>
      </c>
      <c r="B96" s="144" t="str">
        <f>IF(Recto!$C$3="","",IF(OR(Recto!$C$3=C96,Calculs!$I$8&gt;0),CONCATENATE(A96),""))</f>
        <v/>
      </c>
      <c r="C96" s="164" t="s">
        <v>176</v>
      </c>
      <c r="D96" s="139" t="s">
        <v>2078</v>
      </c>
      <c r="E96" s="140" t="s">
        <v>2078</v>
      </c>
      <c r="F96" s="142" t="str">
        <f t="shared" si="27"/>
        <v>---</v>
      </c>
      <c r="G96" s="142" t="str">
        <f t="shared" si="28"/>
        <v>---</v>
      </c>
      <c r="H96" s="141" t="s">
        <v>2052</v>
      </c>
      <c r="I96" s="141" t="s">
        <v>2085</v>
      </c>
      <c r="J96" s="448" t="s">
        <v>6010</v>
      </c>
      <c r="K96" s="144">
        <v>204</v>
      </c>
      <c r="L96" s="449" t="s">
        <v>6137</v>
      </c>
      <c r="M96" s="450">
        <f t="shared" si="26"/>
        <v>0</v>
      </c>
      <c r="N96" s="452" t="s">
        <v>2078</v>
      </c>
      <c r="O96" s="449" t="s">
        <v>253</v>
      </c>
      <c r="P96" s="451">
        <v>0</v>
      </c>
      <c r="Q96" s="451">
        <v>0</v>
      </c>
      <c r="R96" s="451">
        <v>0</v>
      </c>
      <c r="S96" s="187" t="s">
        <v>1284</v>
      </c>
      <c r="T96" s="196" t="str">
        <f t="shared" si="21"/>
        <v/>
      </c>
      <c r="U96" s="196" t="str">
        <f t="shared" si="22"/>
        <v/>
      </c>
      <c r="V96" s="578" t="str">
        <f t="shared" si="23"/>
        <v/>
      </c>
    </row>
    <row r="97" spans="1:22" ht="60" customHeight="1" x14ac:dyDescent="0.25">
      <c r="A97" s="448" t="s">
        <v>199</v>
      </c>
      <c r="B97" s="144" t="str">
        <f>IF(Recto!$C$3="","",IF(OR(Recto!$C$3=C97,Calculs!$I$8&gt;0),CONCATENATE(A97),""))</f>
        <v/>
      </c>
      <c r="C97" s="164" t="s">
        <v>176</v>
      </c>
      <c r="D97" s="144" t="s">
        <v>169</v>
      </c>
      <c r="E97" s="141">
        <v>6.5</v>
      </c>
      <c r="F97" s="142" t="str">
        <f t="shared" si="27"/>
        <v>---</v>
      </c>
      <c r="G97" s="142" t="str">
        <f t="shared" si="28"/>
        <v>---</v>
      </c>
      <c r="H97" s="141" t="s">
        <v>2049</v>
      </c>
      <c r="I97" s="141" t="s">
        <v>2086</v>
      </c>
      <c r="J97" s="448" t="s">
        <v>3</v>
      </c>
      <c r="K97" s="144">
        <v>111</v>
      </c>
      <c r="L97" s="449" t="s">
        <v>2376</v>
      </c>
      <c r="M97" s="450">
        <f t="shared" ref="M97:M134" si="35">IF(D97="+1 Force",1,IF(D97="+1 Agilité",2,IF(D97="+1 Intelligence",3,IF(D97="+1 Perception",4,IF(D97="+1 Constitution",5,IF(D97="+1 Vide",6,IF(D97="+1 Volonté",7,IF(D97="+1 Reflexes",8,IF(D97="+1 Intuition",9,0)))))))))</f>
        <v>2</v>
      </c>
      <c r="N97" s="449" t="s">
        <v>8377</v>
      </c>
      <c r="O97" s="449" t="s">
        <v>2365</v>
      </c>
      <c r="P97" s="451">
        <v>10</v>
      </c>
      <c r="Q97" s="451">
        <v>0</v>
      </c>
      <c r="R97" s="451">
        <v>0</v>
      </c>
      <c r="S97" s="187" t="s">
        <v>1284</v>
      </c>
      <c r="T97" s="196" t="str">
        <f t="shared" si="21"/>
        <v/>
      </c>
      <c r="U97" s="196" t="str">
        <f t="shared" si="22"/>
        <v/>
      </c>
      <c r="V97" s="578" t="str">
        <f t="shared" si="23"/>
        <v/>
      </c>
    </row>
    <row r="98" spans="1:22" ht="60" customHeight="1" x14ac:dyDescent="0.25">
      <c r="A98" s="448" t="s">
        <v>62</v>
      </c>
      <c r="B98" s="144" t="str">
        <f>IF(Recto!$C$3="","",IF(OR(Recto!$C$3=C98,Calculs!$I$8&gt;0),CONCATENATE(A98),""))</f>
        <v/>
      </c>
      <c r="C98" s="164" t="s">
        <v>176</v>
      </c>
      <c r="D98" s="139" t="s">
        <v>2078</v>
      </c>
      <c r="E98" s="140" t="s">
        <v>2078</v>
      </c>
      <c r="F98" s="142" t="str">
        <f t="shared" si="27"/>
        <v>---</v>
      </c>
      <c r="G98" s="142" t="str">
        <f t="shared" si="28"/>
        <v>---</v>
      </c>
      <c r="H98" s="141" t="s">
        <v>2049</v>
      </c>
      <c r="I98" s="141" t="s">
        <v>2085</v>
      </c>
      <c r="J98" s="448" t="s">
        <v>3</v>
      </c>
      <c r="K98" s="144">
        <v>247</v>
      </c>
      <c r="L98" s="449" t="s">
        <v>588</v>
      </c>
      <c r="M98" s="450">
        <f t="shared" si="35"/>
        <v>0</v>
      </c>
      <c r="N98" s="452" t="s">
        <v>2078</v>
      </c>
      <c r="O98" s="449" t="s">
        <v>253</v>
      </c>
      <c r="P98" s="451">
        <v>0</v>
      </c>
      <c r="Q98" s="451">
        <v>0</v>
      </c>
      <c r="R98" s="451">
        <v>0</v>
      </c>
      <c r="S98" s="187" t="s">
        <v>1284</v>
      </c>
      <c r="T98" s="196" t="str">
        <f t="shared" si="21"/>
        <v/>
      </c>
      <c r="U98" s="196" t="str">
        <f t="shared" si="22"/>
        <v/>
      </c>
      <c r="V98" s="578" t="str">
        <f t="shared" si="23"/>
        <v/>
      </c>
    </row>
    <row r="99" spans="1:22" ht="70.95" customHeight="1" x14ac:dyDescent="0.25">
      <c r="A99" s="448" t="s">
        <v>197</v>
      </c>
      <c r="B99" s="144" t="str">
        <f>IF(Recto!$C$3="","",IF(OR(Recto!$C$3=C99,Calculs!$I$8&gt;0),CONCATENATE(A99),""))</f>
        <v/>
      </c>
      <c r="C99" s="164" t="s">
        <v>176</v>
      </c>
      <c r="D99" s="144" t="s">
        <v>19</v>
      </c>
      <c r="E99" s="141">
        <v>5.5</v>
      </c>
      <c r="F99" s="142" t="str">
        <f t="shared" si="27"/>
        <v>---</v>
      </c>
      <c r="G99" s="142" t="str">
        <f t="shared" si="28"/>
        <v>---</v>
      </c>
      <c r="H99" s="141" t="s">
        <v>2049</v>
      </c>
      <c r="I99" s="141" t="s">
        <v>2086</v>
      </c>
      <c r="J99" s="448" t="s">
        <v>4808</v>
      </c>
      <c r="K99" s="144">
        <v>170</v>
      </c>
      <c r="L99" s="449" t="s">
        <v>2663</v>
      </c>
      <c r="M99" s="450">
        <f t="shared" si="35"/>
        <v>8</v>
      </c>
      <c r="N99" s="449" t="s">
        <v>2659</v>
      </c>
      <c r="O99" s="449" t="s">
        <v>2660</v>
      </c>
      <c r="P99" s="451">
        <v>10</v>
      </c>
      <c r="Q99" s="451">
        <v>0</v>
      </c>
      <c r="R99" s="451">
        <v>0</v>
      </c>
      <c r="S99" s="187" t="s">
        <v>1284</v>
      </c>
      <c r="T99" s="196" t="str">
        <f t="shared" si="21"/>
        <v/>
      </c>
      <c r="U99" s="196" t="str">
        <f t="shared" si="22"/>
        <v/>
      </c>
      <c r="V99" s="578" t="str">
        <f t="shared" si="23"/>
        <v/>
      </c>
    </row>
    <row r="100" spans="1:22" ht="60" customHeight="1" x14ac:dyDescent="0.25">
      <c r="A100" s="448" t="s">
        <v>6058</v>
      </c>
      <c r="B100" s="144" t="str">
        <f>IF(Recto!$C$3="","",IF(OR(Recto!$C$3=C100,Calculs!$I$8&gt;0),CONCATENATE(A100),""))</f>
        <v/>
      </c>
      <c r="C100" s="164" t="s">
        <v>176</v>
      </c>
      <c r="D100" s="139" t="s">
        <v>2078</v>
      </c>
      <c r="E100" s="140" t="s">
        <v>2078</v>
      </c>
      <c r="F100" s="142" t="str">
        <f t="shared" si="27"/>
        <v>---</v>
      </c>
      <c r="G100" s="142" t="str">
        <f t="shared" si="28"/>
        <v>---</v>
      </c>
      <c r="H100" s="141" t="s">
        <v>2057</v>
      </c>
      <c r="I100" s="141" t="s">
        <v>2085</v>
      </c>
      <c r="J100" s="448" t="s">
        <v>6061</v>
      </c>
      <c r="K100" s="455">
        <v>102</v>
      </c>
      <c r="L100" s="449" t="s">
        <v>2853</v>
      </c>
      <c r="M100" s="450">
        <f t="shared" si="35"/>
        <v>0</v>
      </c>
      <c r="N100" s="452" t="s">
        <v>2078</v>
      </c>
      <c r="O100" s="449" t="s">
        <v>253</v>
      </c>
      <c r="P100" s="451">
        <v>0</v>
      </c>
      <c r="Q100" s="451">
        <v>0</v>
      </c>
      <c r="R100" s="451">
        <v>0</v>
      </c>
      <c r="S100" s="187" t="s">
        <v>1284</v>
      </c>
      <c r="T100" s="196" t="str">
        <f t="shared" si="21"/>
        <v/>
      </c>
      <c r="U100" s="196" t="str">
        <f t="shared" si="22"/>
        <v/>
      </c>
      <c r="V100" s="578" t="str">
        <f t="shared" si="23"/>
        <v/>
      </c>
    </row>
    <row r="101" spans="1:22" ht="60" customHeight="1" x14ac:dyDescent="0.25">
      <c r="A101" s="448" t="s">
        <v>7794</v>
      </c>
      <c r="B101" s="144" t="str">
        <f>IF(Recto!$C$3="","",IF(Contexte_jeu&lt;&gt;"L'Empire Stellaire d'Emeraude","",IF(OR(Recto!$C$3=C101,Calculs!$I$8&gt;0),CONCATENATE(A101),"")))</f>
        <v/>
      </c>
      <c r="C101" s="164" t="s">
        <v>176</v>
      </c>
      <c r="D101" s="144" t="s">
        <v>6</v>
      </c>
      <c r="E101" s="140" t="s">
        <v>2078</v>
      </c>
      <c r="F101" s="142" t="str">
        <f>IF(H101="S","","---")</f>
        <v>---</v>
      </c>
      <c r="G101" s="142" t="str">
        <f>IF(F101="---","---","")</f>
        <v>---</v>
      </c>
      <c r="H101" s="141" t="s">
        <v>2052</v>
      </c>
      <c r="I101" s="141" t="s">
        <v>2086</v>
      </c>
      <c r="J101" s="448" t="s">
        <v>7226</v>
      </c>
      <c r="K101" s="455">
        <v>63</v>
      </c>
      <c r="L101" s="449" t="s">
        <v>7413</v>
      </c>
      <c r="M101" s="450">
        <f t="shared" si="35"/>
        <v>3</v>
      </c>
      <c r="N101" s="452" t="s">
        <v>7795</v>
      </c>
      <c r="O101" s="449" t="s">
        <v>7796</v>
      </c>
      <c r="P101" s="506">
        <v>10</v>
      </c>
      <c r="Q101" s="451">
        <v>0</v>
      </c>
      <c r="R101" s="451">
        <v>0</v>
      </c>
      <c r="S101" s="187" t="s">
        <v>1284</v>
      </c>
      <c r="T101" s="196" t="str">
        <f t="shared" si="21"/>
        <v/>
      </c>
      <c r="U101" s="196" t="str">
        <f t="shared" si="22"/>
        <v/>
      </c>
      <c r="V101" s="578" t="str">
        <f t="shared" si="23"/>
        <v/>
      </c>
    </row>
    <row r="102" spans="1:22" ht="60" customHeight="1" x14ac:dyDescent="0.25">
      <c r="A102" s="448" t="s">
        <v>309</v>
      </c>
      <c r="B102" s="144" t="str">
        <f>IF(Recto!$C$3="","",IF(OR(Recto!$C$3=C102,Calculs!$I$8&gt;0),CONCATENATE(A102),""))</f>
        <v/>
      </c>
      <c r="C102" s="164" t="s">
        <v>176</v>
      </c>
      <c r="D102" s="144" t="s">
        <v>171</v>
      </c>
      <c r="E102" s="141">
        <v>6.5</v>
      </c>
      <c r="F102" s="142" t="s">
        <v>100</v>
      </c>
      <c r="G102" s="142" t="s">
        <v>579</v>
      </c>
      <c r="H102" s="141" t="s">
        <v>2048</v>
      </c>
      <c r="I102" s="141" t="s">
        <v>2086</v>
      </c>
      <c r="J102" s="448" t="s">
        <v>3</v>
      </c>
      <c r="K102" s="144">
        <v>114</v>
      </c>
      <c r="L102" s="449" t="s">
        <v>2352</v>
      </c>
      <c r="M102" s="450">
        <f t="shared" si="35"/>
        <v>9</v>
      </c>
      <c r="N102" s="449" t="s">
        <v>2353</v>
      </c>
      <c r="O102" s="449" t="s">
        <v>2354</v>
      </c>
      <c r="P102" s="451">
        <v>10</v>
      </c>
      <c r="Q102" s="451">
        <v>0</v>
      </c>
      <c r="R102" s="451">
        <v>0</v>
      </c>
      <c r="S102" s="187" t="s">
        <v>1284</v>
      </c>
      <c r="T102" s="196" t="str">
        <f t="shared" si="21"/>
        <v/>
      </c>
      <c r="U102" s="196" t="str">
        <f t="shared" si="22"/>
        <v/>
      </c>
      <c r="V102" s="578" t="str">
        <f t="shared" si="23"/>
        <v/>
      </c>
    </row>
    <row r="103" spans="1:22" ht="60" customHeight="1" x14ac:dyDescent="0.25">
      <c r="A103" s="448" t="s">
        <v>209</v>
      </c>
      <c r="B103" s="144" t="str">
        <f>IF(Recto!$C$3="","",IF(OR(Recto!$C$3=C103,Calculs!$I$8&gt;0),CONCATENATE(A103),""))</f>
        <v/>
      </c>
      <c r="C103" s="164" t="s">
        <v>2103</v>
      </c>
      <c r="D103" s="144" t="s">
        <v>19</v>
      </c>
      <c r="E103" s="141">
        <v>3.5</v>
      </c>
      <c r="F103" s="142" t="str">
        <f t="shared" ref="F103:F109" si="36">IF(H103="S","","---")</f>
        <v>---</v>
      </c>
      <c r="G103" s="142" t="str">
        <f t="shared" ref="G103:G109" si="37">IF(F103="---","---","")</f>
        <v>---</v>
      </c>
      <c r="H103" s="141" t="s">
        <v>2049</v>
      </c>
      <c r="I103" s="141" t="s">
        <v>2086</v>
      </c>
      <c r="J103" s="448" t="s">
        <v>3</v>
      </c>
      <c r="K103" s="144">
        <v>125</v>
      </c>
      <c r="L103" s="449" t="s">
        <v>355</v>
      </c>
      <c r="M103" s="450">
        <f t="shared" si="35"/>
        <v>8</v>
      </c>
      <c r="N103" s="449" t="s">
        <v>2534</v>
      </c>
      <c r="O103" s="449" t="s">
        <v>2535</v>
      </c>
      <c r="P103" s="451">
        <v>3</v>
      </c>
      <c r="Q103" s="451">
        <v>0</v>
      </c>
      <c r="R103" s="451">
        <v>0</v>
      </c>
      <c r="S103" s="187" t="s">
        <v>1284</v>
      </c>
      <c r="T103" s="196" t="str">
        <f t="shared" si="21"/>
        <v/>
      </c>
      <c r="U103" s="196" t="str">
        <f t="shared" si="22"/>
        <v/>
      </c>
      <c r="V103" s="578" t="str">
        <f t="shared" si="23"/>
        <v/>
      </c>
    </row>
    <row r="104" spans="1:22" ht="60" customHeight="1" x14ac:dyDescent="0.25">
      <c r="A104" s="448" t="s">
        <v>8299</v>
      </c>
      <c r="B104" s="144" t="str">
        <f>IF(Recto!$C$3="","",IF(OR(Recto!$C$3=C104,Calculs!$I$8&gt;0),CONCATENATE(A104),""))</f>
        <v/>
      </c>
      <c r="C104" s="164" t="s">
        <v>8259</v>
      </c>
      <c r="D104" s="139" t="s">
        <v>169</v>
      </c>
      <c r="E104" s="141">
        <v>5.5</v>
      </c>
      <c r="F104" s="142" t="str">
        <f t="shared" ref="F104" si="38">IF(H104="S","","---")</f>
        <v>---</v>
      </c>
      <c r="G104" s="142" t="str">
        <f t="shared" ref="G104" si="39">IF(F104="---","---","")</f>
        <v>---</v>
      </c>
      <c r="H104" s="141" t="s">
        <v>2049</v>
      </c>
      <c r="I104" s="141" t="s">
        <v>2086</v>
      </c>
      <c r="J104" s="448" t="s">
        <v>6811</v>
      </c>
      <c r="K104" s="144">
        <v>51</v>
      </c>
      <c r="L104" s="449" t="s">
        <v>8300</v>
      </c>
      <c r="M104" s="450">
        <f t="shared" si="35"/>
        <v>2</v>
      </c>
      <c r="N104" s="449" t="s">
        <v>8301</v>
      </c>
      <c r="O104" s="449" t="s">
        <v>8302</v>
      </c>
      <c r="P104" s="451">
        <v>3</v>
      </c>
      <c r="Q104" s="451">
        <v>0</v>
      </c>
      <c r="R104" s="451">
        <v>0</v>
      </c>
      <c r="S104" s="187" t="s">
        <v>1284</v>
      </c>
      <c r="T104" s="196" t="str">
        <f t="shared" si="21"/>
        <v/>
      </c>
      <c r="U104" s="196" t="str">
        <f t="shared" si="22"/>
        <v/>
      </c>
      <c r="V104" s="578" t="str">
        <f t="shared" si="23"/>
        <v/>
      </c>
    </row>
    <row r="105" spans="1:22" ht="60" customHeight="1" x14ac:dyDescent="0.25">
      <c r="A105" s="448" t="s">
        <v>8261</v>
      </c>
      <c r="B105" s="144" t="str">
        <f>IF(Recto!$C$3="","",IF(OR(Recto!$C$3=C105,Calculs!$I$8&gt;0),CONCATENATE(A105),""))</f>
        <v/>
      </c>
      <c r="C105" s="164" t="s">
        <v>6787</v>
      </c>
      <c r="D105" s="144" t="s">
        <v>9</v>
      </c>
      <c r="E105" s="141">
        <v>5.5</v>
      </c>
      <c r="F105" s="142" t="str">
        <f t="shared" si="36"/>
        <v>---</v>
      </c>
      <c r="G105" s="142" t="str">
        <f t="shared" si="37"/>
        <v>---</v>
      </c>
      <c r="H105" s="141" t="s">
        <v>2050</v>
      </c>
      <c r="I105" s="141" t="s">
        <v>2086</v>
      </c>
      <c r="J105" s="448" t="s">
        <v>6811</v>
      </c>
      <c r="K105" s="144">
        <v>101</v>
      </c>
      <c r="L105" s="449" t="s">
        <v>6812</v>
      </c>
      <c r="M105" s="450">
        <f t="shared" si="35"/>
        <v>4</v>
      </c>
      <c r="N105" s="449" t="s">
        <v>6813</v>
      </c>
      <c r="O105" s="449" t="s">
        <v>4842</v>
      </c>
      <c r="P105" s="451">
        <v>0</v>
      </c>
      <c r="Q105" s="451">
        <v>0</v>
      </c>
      <c r="R105" s="451">
        <v>2</v>
      </c>
      <c r="S105" s="187" t="s">
        <v>2088</v>
      </c>
      <c r="T105" s="196" t="str">
        <f t="shared" si="21"/>
        <v/>
      </c>
      <c r="U105" s="196" t="str">
        <f t="shared" si="22"/>
        <v/>
      </c>
      <c r="V105" s="578" t="str">
        <f t="shared" si="23"/>
        <v/>
      </c>
    </row>
    <row r="106" spans="1:22" ht="60" customHeight="1" x14ac:dyDescent="0.25">
      <c r="A106" s="448" t="s">
        <v>7239</v>
      </c>
      <c r="B106" s="144" t="str">
        <f>IF(Recto!$C$3="","",IF(OR(Recto!$C$3=C106,Calculs!$I$8&gt;0),CONCATENATE(A106),""))</f>
        <v/>
      </c>
      <c r="C106" s="164" t="s">
        <v>7229</v>
      </c>
      <c r="D106" s="139" t="s">
        <v>169</v>
      </c>
      <c r="E106" s="141">
        <v>2.5</v>
      </c>
      <c r="F106" s="142" t="str">
        <f t="shared" si="36"/>
        <v>---</v>
      </c>
      <c r="G106" s="142" t="str">
        <f t="shared" si="37"/>
        <v>---</v>
      </c>
      <c r="H106" s="141" t="s">
        <v>2049</v>
      </c>
      <c r="I106" s="141" t="s">
        <v>2086</v>
      </c>
      <c r="J106" s="448" t="s">
        <v>7226</v>
      </c>
      <c r="K106" s="144">
        <v>65</v>
      </c>
      <c r="L106" s="449" t="s">
        <v>7240</v>
      </c>
      <c r="M106" s="450">
        <f t="shared" si="35"/>
        <v>2</v>
      </c>
      <c r="N106" s="449" t="s">
        <v>7241</v>
      </c>
      <c r="O106" s="449" t="s">
        <v>7242</v>
      </c>
      <c r="P106" s="451">
        <v>8</v>
      </c>
      <c r="Q106" s="451">
        <v>0</v>
      </c>
      <c r="R106" s="451">
        <v>0</v>
      </c>
      <c r="S106" s="187" t="s">
        <v>1284</v>
      </c>
      <c r="T106" s="196" t="str">
        <f t="shared" si="21"/>
        <v/>
      </c>
      <c r="U106" s="196" t="str">
        <f t="shared" si="22"/>
        <v/>
      </c>
      <c r="V106" s="578" t="str">
        <f t="shared" si="23"/>
        <v/>
      </c>
    </row>
    <row r="107" spans="1:22" ht="60" customHeight="1" x14ac:dyDescent="0.25">
      <c r="A107" s="448" t="s">
        <v>250</v>
      </c>
      <c r="B107" s="144" t="str">
        <f>IF(Recto!$C$3="","",IF(OR(Recto!$C$3=C107,Calculs!$I$8&gt;0),CONCATENATE(A107),""))</f>
        <v/>
      </c>
      <c r="C107" s="164" t="s">
        <v>47</v>
      </c>
      <c r="D107" s="144" t="s">
        <v>171</v>
      </c>
      <c r="E107" s="141">
        <v>5.5</v>
      </c>
      <c r="F107" s="142" t="str">
        <f t="shared" si="36"/>
        <v>---</v>
      </c>
      <c r="G107" s="142" t="str">
        <f t="shared" si="37"/>
        <v>---</v>
      </c>
      <c r="H107" s="141" t="s">
        <v>2052</v>
      </c>
      <c r="I107" s="141" t="s">
        <v>2086</v>
      </c>
      <c r="J107" s="448" t="s">
        <v>3</v>
      </c>
      <c r="K107" s="144">
        <v>229</v>
      </c>
      <c r="L107" s="449" t="s">
        <v>2302</v>
      </c>
      <c r="M107" s="450">
        <f t="shared" si="35"/>
        <v>9</v>
      </c>
      <c r="N107" s="449" t="s">
        <v>2292</v>
      </c>
      <c r="O107" s="449" t="s">
        <v>2293</v>
      </c>
      <c r="P107" s="451">
        <v>10</v>
      </c>
      <c r="Q107" s="451">
        <v>0</v>
      </c>
      <c r="R107" s="451">
        <v>0</v>
      </c>
      <c r="S107" s="187" t="s">
        <v>1284</v>
      </c>
      <c r="T107" s="196" t="str">
        <f t="shared" si="21"/>
        <v/>
      </c>
      <c r="U107" s="196" t="str">
        <f t="shared" si="22"/>
        <v/>
      </c>
      <c r="V107" s="578" t="str">
        <f t="shared" si="23"/>
        <v/>
      </c>
    </row>
    <row r="108" spans="1:22" ht="60" customHeight="1" x14ac:dyDescent="0.25">
      <c r="A108" s="448" t="s">
        <v>251</v>
      </c>
      <c r="B108" s="144" t="str">
        <f>IF(Recto!$C$3="","",IF(OR(Recto!$C$3=C108,Calculs!$I$8&gt;0),CONCATENATE(A108),""))</f>
        <v/>
      </c>
      <c r="C108" s="164" t="s">
        <v>47</v>
      </c>
      <c r="D108" s="144" t="s">
        <v>9</v>
      </c>
      <c r="E108" s="141">
        <v>6.5</v>
      </c>
      <c r="F108" s="142" t="str">
        <f t="shared" si="36"/>
        <v>---</v>
      </c>
      <c r="G108" s="142" t="str">
        <f t="shared" si="37"/>
        <v>---</v>
      </c>
      <c r="H108" s="141" t="s">
        <v>2049</v>
      </c>
      <c r="I108" s="141" t="s">
        <v>2086</v>
      </c>
      <c r="J108" s="448" t="s">
        <v>3</v>
      </c>
      <c r="K108" s="144">
        <v>228</v>
      </c>
      <c r="L108" s="449" t="s">
        <v>377</v>
      </c>
      <c r="M108" s="450">
        <f t="shared" si="35"/>
        <v>4</v>
      </c>
      <c r="N108" s="449" t="s">
        <v>2304</v>
      </c>
      <c r="O108" s="449" t="s">
        <v>2229</v>
      </c>
      <c r="P108" s="451">
        <v>10</v>
      </c>
      <c r="Q108" s="451">
        <v>0</v>
      </c>
      <c r="R108" s="451">
        <v>0</v>
      </c>
      <c r="S108" s="187" t="s">
        <v>1284</v>
      </c>
      <c r="T108" s="196" t="str">
        <f t="shared" si="21"/>
        <v/>
      </c>
      <c r="U108" s="196" t="str">
        <f t="shared" si="22"/>
        <v/>
      </c>
      <c r="V108" s="578" t="str">
        <f t="shared" si="23"/>
        <v/>
      </c>
    </row>
    <row r="109" spans="1:22" ht="60" customHeight="1" x14ac:dyDescent="0.25">
      <c r="A109" s="448" t="s">
        <v>249</v>
      </c>
      <c r="B109" s="144" t="str">
        <f>IF(Recto!$C$3="","",IF(OR(Recto!$C$3=C109,Calculs!$I$8&gt;0),CONCATENATE(A109),""))</f>
        <v/>
      </c>
      <c r="C109" s="164" t="s">
        <v>47</v>
      </c>
      <c r="D109" s="144" t="s">
        <v>171</v>
      </c>
      <c r="E109" s="141">
        <v>6.5</v>
      </c>
      <c r="F109" s="142" t="str">
        <f t="shared" si="36"/>
        <v>---</v>
      </c>
      <c r="G109" s="142" t="str">
        <f t="shared" si="37"/>
        <v>---</v>
      </c>
      <c r="H109" s="141" t="s">
        <v>2052</v>
      </c>
      <c r="I109" s="141" t="s">
        <v>2086</v>
      </c>
      <c r="J109" s="448" t="s">
        <v>3</v>
      </c>
      <c r="K109" s="144">
        <v>230</v>
      </c>
      <c r="L109" s="449" t="s">
        <v>2284</v>
      </c>
      <c r="M109" s="450">
        <f t="shared" si="35"/>
        <v>9</v>
      </c>
      <c r="N109" s="449" t="s">
        <v>2282</v>
      </c>
      <c r="O109" s="449" t="s">
        <v>2283</v>
      </c>
      <c r="P109" s="451">
        <v>10</v>
      </c>
      <c r="Q109" s="451">
        <v>0</v>
      </c>
      <c r="R109" s="451">
        <v>0</v>
      </c>
      <c r="S109" s="187" t="s">
        <v>1284</v>
      </c>
      <c r="T109" s="196" t="str">
        <f t="shared" si="21"/>
        <v/>
      </c>
      <c r="U109" s="196" t="str">
        <f t="shared" si="22"/>
        <v/>
      </c>
      <c r="V109" s="578" t="str">
        <f t="shared" si="23"/>
        <v/>
      </c>
    </row>
    <row r="110" spans="1:22" ht="60" customHeight="1" x14ac:dyDescent="0.25">
      <c r="A110" s="448" t="s">
        <v>252</v>
      </c>
      <c r="B110" s="144" t="str">
        <f>IF(Recto!$C$3="","",IF(OR(Recto!$C$3=C110,Calculs!$I$8&gt;0),CONCATENATE(A110),""))</f>
        <v/>
      </c>
      <c r="C110" s="164" t="s">
        <v>47</v>
      </c>
      <c r="D110" s="144" t="s">
        <v>6</v>
      </c>
      <c r="E110" s="141">
        <v>6.5</v>
      </c>
      <c r="F110" s="142" t="s">
        <v>579</v>
      </c>
      <c r="G110" s="142" t="s">
        <v>578</v>
      </c>
      <c r="H110" s="141" t="s">
        <v>2048</v>
      </c>
      <c r="I110" s="141" t="s">
        <v>2086</v>
      </c>
      <c r="J110" s="448" t="s">
        <v>3</v>
      </c>
      <c r="K110" s="144">
        <v>230</v>
      </c>
      <c r="L110" s="449" t="s">
        <v>378</v>
      </c>
      <c r="M110" s="450">
        <f t="shared" si="35"/>
        <v>3</v>
      </c>
      <c r="N110" s="449" t="s">
        <v>2312</v>
      </c>
      <c r="O110" s="449" t="s">
        <v>2313</v>
      </c>
      <c r="P110" s="451">
        <v>10</v>
      </c>
      <c r="Q110" s="451">
        <v>0</v>
      </c>
      <c r="R110" s="451">
        <v>0</v>
      </c>
      <c r="S110" s="187" t="s">
        <v>1284</v>
      </c>
      <c r="T110" s="196" t="str">
        <f t="shared" si="21"/>
        <v/>
      </c>
      <c r="U110" s="196" t="str">
        <f t="shared" si="22"/>
        <v/>
      </c>
      <c r="V110" s="578" t="str">
        <f t="shared" si="23"/>
        <v/>
      </c>
    </row>
    <row r="111" spans="1:22" ht="60" customHeight="1" x14ac:dyDescent="0.25">
      <c r="A111" s="448" t="s">
        <v>4825</v>
      </c>
      <c r="B111" s="144" t="str">
        <f>IF(Recto!$C$3="","",IF(OR(Recto!$C$3=C111,Calculs!$I$8&gt;0),CONCATENATE(A111),""))</f>
        <v/>
      </c>
      <c r="C111" s="164" t="s">
        <v>396</v>
      </c>
      <c r="D111" s="139" t="s">
        <v>2078</v>
      </c>
      <c r="E111" s="140" t="s">
        <v>2078</v>
      </c>
      <c r="F111" s="142" t="str">
        <f>IF(H111="S","","---")</f>
        <v>---</v>
      </c>
      <c r="G111" s="142" t="str">
        <f>IF(F111="---","---","")</f>
        <v>---</v>
      </c>
      <c r="H111" s="141" t="s">
        <v>2052</v>
      </c>
      <c r="I111" s="141" t="s">
        <v>2085</v>
      </c>
      <c r="J111" s="448" t="s">
        <v>4808</v>
      </c>
      <c r="K111" s="144">
        <v>79</v>
      </c>
      <c r="L111" s="449" t="s">
        <v>2671</v>
      </c>
      <c r="M111" s="450">
        <f t="shared" si="35"/>
        <v>0</v>
      </c>
      <c r="N111" s="452" t="s">
        <v>2078</v>
      </c>
      <c r="O111" s="449" t="s">
        <v>253</v>
      </c>
      <c r="P111" s="451">
        <v>0</v>
      </c>
      <c r="Q111" s="451">
        <v>0</v>
      </c>
      <c r="R111" s="451">
        <v>0</v>
      </c>
      <c r="S111" s="187" t="s">
        <v>1284</v>
      </c>
      <c r="T111" s="196" t="str">
        <f t="shared" si="21"/>
        <v/>
      </c>
      <c r="U111" s="196" t="str">
        <f t="shared" si="22"/>
        <v/>
      </c>
      <c r="V111" s="578" t="str">
        <f t="shared" si="23"/>
        <v/>
      </c>
    </row>
    <row r="112" spans="1:22" ht="60" customHeight="1" x14ac:dyDescent="0.25">
      <c r="A112" s="448" t="s">
        <v>431</v>
      </c>
      <c r="B112" s="144" t="str">
        <f>IF(Recto!$C$3="","",IF(OR(Recto!$C$3=C112,Calculs!$I$8&gt;0),CONCATENATE(A112),""))</f>
        <v/>
      </c>
      <c r="C112" s="164" t="s">
        <v>396</v>
      </c>
      <c r="D112" s="139" t="s">
        <v>2078</v>
      </c>
      <c r="E112" s="140" t="s">
        <v>2078</v>
      </c>
      <c r="F112" s="142" t="str">
        <f>IF(H112="S","","---")</f>
        <v>---</v>
      </c>
      <c r="G112" s="142" t="str">
        <f>IF(F112="---","---","")</f>
        <v>---</v>
      </c>
      <c r="H112" s="141" t="s">
        <v>2049</v>
      </c>
      <c r="I112" s="141" t="s">
        <v>2085</v>
      </c>
      <c r="J112" s="448" t="s">
        <v>2076</v>
      </c>
      <c r="K112" s="144">
        <v>244</v>
      </c>
      <c r="L112" s="449" t="s">
        <v>2747</v>
      </c>
      <c r="M112" s="450">
        <f t="shared" si="35"/>
        <v>0</v>
      </c>
      <c r="N112" s="452" t="s">
        <v>2078</v>
      </c>
      <c r="O112" s="449" t="s">
        <v>253</v>
      </c>
      <c r="P112" s="451">
        <v>0</v>
      </c>
      <c r="Q112" s="451">
        <v>0</v>
      </c>
      <c r="R112" s="451">
        <v>0</v>
      </c>
      <c r="S112" s="187" t="s">
        <v>1284</v>
      </c>
      <c r="T112" s="196" t="str">
        <f t="shared" si="21"/>
        <v/>
      </c>
      <c r="U112" s="196" t="str">
        <f t="shared" si="22"/>
        <v/>
      </c>
      <c r="V112" s="578" t="str">
        <f t="shared" si="23"/>
        <v/>
      </c>
    </row>
    <row r="113" spans="1:22" ht="60" customHeight="1" x14ac:dyDescent="0.25">
      <c r="A113" s="448" t="s">
        <v>302</v>
      </c>
      <c r="B113" s="144" t="str">
        <f>IF(Recto!$C$3="","",IF(OR(Recto!$C$3=C113,Calculs!$I$8&gt;0),CONCATENATE(A113),""))</f>
        <v/>
      </c>
      <c r="C113" s="164" t="s">
        <v>1940</v>
      </c>
      <c r="D113" s="144" t="s">
        <v>19</v>
      </c>
      <c r="E113" s="141">
        <v>4.5</v>
      </c>
      <c r="F113" s="142" t="str">
        <f>IF(H113="S","","---")</f>
        <v>---</v>
      </c>
      <c r="G113" s="142" t="str">
        <f>IF(F113="---","---","")</f>
        <v>---</v>
      </c>
      <c r="H113" s="141" t="s">
        <v>2049</v>
      </c>
      <c r="I113" s="141" t="s">
        <v>2086</v>
      </c>
      <c r="J113" s="448" t="s">
        <v>2075</v>
      </c>
      <c r="K113" s="144">
        <v>182</v>
      </c>
      <c r="L113" s="449" t="s">
        <v>302</v>
      </c>
      <c r="M113" s="450">
        <f t="shared" si="35"/>
        <v>8</v>
      </c>
      <c r="N113" s="449" t="s">
        <v>3008</v>
      </c>
      <c r="O113" s="449" t="s">
        <v>3009</v>
      </c>
      <c r="P113" s="451">
        <v>3</v>
      </c>
      <c r="Q113" s="451">
        <v>0</v>
      </c>
      <c r="R113" s="451">
        <v>0</v>
      </c>
      <c r="S113" s="187" t="s">
        <v>1284</v>
      </c>
      <c r="T113" s="196" t="str">
        <f t="shared" si="21"/>
        <v/>
      </c>
      <c r="U113" s="196" t="str">
        <f t="shared" si="22"/>
        <v/>
      </c>
      <c r="V113" s="578" t="str">
        <f t="shared" si="23"/>
        <v/>
      </c>
    </row>
    <row r="114" spans="1:22" ht="66" customHeight="1" x14ac:dyDescent="0.25">
      <c r="A114" s="448" t="s">
        <v>430</v>
      </c>
      <c r="B114" s="144" t="str">
        <f>IF(Recto!$C$3="","",IF(OR(Recto!$C$3=C114,Calculs!$I$8&gt;0),CONCATENATE(A114),""))</f>
        <v/>
      </c>
      <c r="C114" s="164" t="s">
        <v>64</v>
      </c>
      <c r="D114" s="139" t="s">
        <v>2078</v>
      </c>
      <c r="E114" s="140" t="s">
        <v>2078</v>
      </c>
      <c r="F114" s="142" t="str">
        <f>IF(H114="S","","---")</f>
        <v>---</v>
      </c>
      <c r="G114" s="142" t="str">
        <f>IF(F114="---","---","")</f>
        <v>---</v>
      </c>
      <c r="H114" s="141" t="s">
        <v>2060</v>
      </c>
      <c r="I114" s="141" t="s">
        <v>2085</v>
      </c>
      <c r="J114" s="448" t="s">
        <v>2075</v>
      </c>
      <c r="K114" s="144">
        <v>49</v>
      </c>
      <c r="L114" s="449" t="s">
        <v>3002</v>
      </c>
      <c r="M114" s="450">
        <f t="shared" si="35"/>
        <v>0</v>
      </c>
      <c r="N114" s="452" t="s">
        <v>2078</v>
      </c>
      <c r="O114" s="449" t="s">
        <v>253</v>
      </c>
      <c r="P114" s="451">
        <v>0</v>
      </c>
      <c r="Q114" s="451">
        <v>0</v>
      </c>
      <c r="R114" s="451">
        <v>0</v>
      </c>
      <c r="S114" s="187" t="s">
        <v>1284</v>
      </c>
      <c r="T114" s="196" t="str">
        <f t="shared" si="21"/>
        <v/>
      </c>
      <c r="U114" s="196" t="str">
        <f t="shared" si="22"/>
        <v/>
      </c>
      <c r="V114" s="578" t="str">
        <f t="shared" si="23"/>
        <v/>
      </c>
    </row>
    <row r="115" spans="1:22" ht="60" customHeight="1" x14ac:dyDescent="0.25">
      <c r="A115" s="448" t="s">
        <v>416</v>
      </c>
      <c r="B115" s="144" t="str">
        <f>IF(Recto!$C$3="","",IF(OR(Recto!$C$3=C115,Calculs!$I$8&gt;0),CONCATENATE(A115),""))</f>
        <v/>
      </c>
      <c r="C115" s="164" t="s">
        <v>335</v>
      </c>
      <c r="D115" s="144" t="s">
        <v>9</v>
      </c>
      <c r="E115" s="141">
        <v>4.5</v>
      </c>
      <c r="F115" s="142" t="s">
        <v>578</v>
      </c>
      <c r="G115" s="142" t="s">
        <v>579</v>
      </c>
      <c r="H115" s="141" t="s">
        <v>2048</v>
      </c>
      <c r="I115" s="141" t="s">
        <v>2086</v>
      </c>
      <c r="J115" s="448" t="s">
        <v>3</v>
      </c>
      <c r="K115" s="144">
        <v>218</v>
      </c>
      <c r="L115" s="449" t="s">
        <v>367</v>
      </c>
      <c r="M115" s="450">
        <f t="shared" si="35"/>
        <v>4</v>
      </c>
      <c r="N115" s="449" t="s">
        <v>2158</v>
      </c>
      <c r="O115" s="449" t="s">
        <v>2232</v>
      </c>
      <c r="P115" s="451">
        <v>3</v>
      </c>
      <c r="Q115" s="451">
        <v>0</v>
      </c>
      <c r="R115" s="451">
        <v>0</v>
      </c>
      <c r="S115" s="187" t="s">
        <v>1284</v>
      </c>
      <c r="T115" s="196" t="str">
        <f t="shared" si="21"/>
        <v/>
      </c>
      <c r="U115" s="196" t="str">
        <f t="shared" si="22"/>
        <v/>
      </c>
      <c r="V115" s="578" t="str">
        <f t="shared" si="23"/>
        <v/>
      </c>
    </row>
    <row r="116" spans="1:22" ht="60" customHeight="1" x14ac:dyDescent="0.25">
      <c r="A116" s="448" t="s">
        <v>242</v>
      </c>
      <c r="B116" s="144" t="str">
        <f>IF(Recto!$C$3="","",IF(OR(Recto!$C$3=C116,Calculs!$I$8&gt;0),CONCATENATE(A116),""))</f>
        <v/>
      </c>
      <c r="C116" s="164" t="s">
        <v>179</v>
      </c>
      <c r="D116" s="144" t="s">
        <v>170</v>
      </c>
      <c r="E116" s="141">
        <v>3.5</v>
      </c>
      <c r="F116" s="142" t="str">
        <f t="shared" ref="F116:F121" si="40">IF(H116="S","","---")</f>
        <v>---</v>
      </c>
      <c r="G116" s="142" t="str">
        <f t="shared" ref="G116:G121" si="41">IF(F116="---","---","")</f>
        <v>---</v>
      </c>
      <c r="H116" s="141" t="s">
        <v>2049</v>
      </c>
      <c r="I116" s="141" t="s">
        <v>2086</v>
      </c>
      <c r="J116" s="448" t="s">
        <v>3</v>
      </c>
      <c r="K116" s="144">
        <v>116</v>
      </c>
      <c r="L116" s="449" t="s">
        <v>347</v>
      </c>
      <c r="M116" s="450">
        <f t="shared" si="35"/>
        <v>1</v>
      </c>
      <c r="N116" s="449" t="s">
        <v>2377</v>
      </c>
      <c r="O116" s="449" t="s">
        <v>2378</v>
      </c>
      <c r="P116" s="451">
        <v>10</v>
      </c>
      <c r="Q116" s="451">
        <v>0</v>
      </c>
      <c r="R116" s="451">
        <v>0</v>
      </c>
      <c r="S116" s="187" t="s">
        <v>1284</v>
      </c>
      <c r="T116" s="196" t="str">
        <f t="shared" si="21"/>
        <v/>
      </c>
      <c r="U116" s="196" t="str">
        <f t="shared" si="22"/>
        <v/>
      </c>
      <c r="V116" s="578" t="str">
        <f t="shared" si="23"/>
        <v/>
      </c>
    </row>
    <row r="117" spans="1:22" ht="60" customHeight="1" x14ac:dyDescent="0.25">
      <c r="A117" s="448" t="s">
        <v>243</v>
      </c>
      <c r="B117" s="144" t="str">
        <f>IF(Recto!$C$3="","",IF(OR(Recto!$C$3=C117,Calculs!$I$8&gt;0),CONCATENATE(A117),""))</f>
        <v/>
      </c>
      <c r="C117" s="164" t="s">
        <v>179</v>
      </c>
      <c r="D117" s="144" t="s">
        <v>169</v>
      </c>
      <c r="E117" s="141">
        <v>4.5</v>
      </c>
      <c r="F117" s="142" t="str">
        <f t="shared" si="40"/>
        <v>---</v>
      </c>
      <c r="G117" s="142" t="str">
        <f t="shared" si="41"/>
        <v>---</v>
      </c>
      <c r="H117" s="141" t="s">
        <v>2049</v>
      </c>
      <c r="I117" s="141" t="s">
        <v>2086</v>
      </c>
      <c r="J117" s="448" t="s">
        <v>4808</v>
      </c>
      <c r="K117" s="144">
        <v>31</v>
      </c>
      <c r="L117" s="449" t="s">
        <v>2677</v>
      </c>
      <c r="M117" s="450">
        <f t="shared" si="35"/>
        <v>2</v>
      </c>
      <c r="N117" s="449" t="s">
        <v>2672</v>
      </c>
      <c r="O117" s="449" t="s">
        <v>2673</v>
      </c>
      <c r="P117" s="451">
        <v>10</v>
      </c>
      <c r="Q117" s="451">
        <v>0</v>
      </c>
      <c r="R117" s="451">
        <v>0</v>
      </c>
      <c r="S117" s="187" t="s">
        <v>1284</v>
      </c>
      <c r="T117" s="196" t="str">
        <f t="shared" si="21"/>
        <v/>
      </c>
      <c r="U117" s="196" t="str">
        <f t="shared" si="22"/>
        <v/>
      </c>
      <c r="V117" s="578" t="str">
        <f t="shared" si="23"/>
        <v/>
      </c>
    </row>
    <row r="118" spans="1:22" ht="60" customHeight="1" x14ac:dyDescent="0.25">
      <c r="A118" s="448" t="s">
        <v>239</v>
      </c>
      <c r="B118" s="144" t="str">
        <f>IF(Recto!$C$3="","",IF(OR(Recto!$C$3=C118,Calculs!$I$8&gt;0),CONCATENATE(A118),""))</f>
        <v/>
      </c>
      <c r="C118" s="164" t="s">
        <v>179</v>
      </c>
      <c r="D118" s="144" t="s">
        <v>19</v>
      </c>
      <c r="E118" s="141">
        <v>4.5</v>
      </c>
      <c r="F118" s="142" t="str">
        <f t="shared" si="40"/>
        <v>---</v>
      </c>
      <c r="G118" s="142" t="str">
        <f t="shared" si="41"/>
        <v>---</v>
      </c>
      <c r="H118" s="141" t="s">
        <v>2049</v>
      </c>
      <c r="I118" s="141" t="s">
        <v>2086</v>
      </c>
      <c r="J118" s="448" t="s">
        <v>2077</v>
      </c>
      <c r="K118" s="455">
        <v>147</v>
      </c>
      <c r="L118" s="449" t="s">
        <v>2947</v>
      </c>
      <c r="M118" s="450">
        <f t="shared" si="35"/>
        <v>8</v>
      </c>
      <c r="N118" s="449" t="s">
        <v>2943</v>
      </c>
      <c r="O118" s="449" t="s">
        <v>2235</v>
      </c>
      <c r="P118" s="451">
        <v>3</v>
      </c>
      <c r="Q118" s="451">
        <v>0</v>
      </c>
      <c r="R118" s="451">
        <v>0</v>
      </c>
      <c r="S118" s="187" t="s">
        <v>1284</v>
      </c>
      <c r="T118" s="196" t="str">
        <f t="shared" si="21"/>
        <v/>
      </c>
      <c r="U118" s="196" t="str">
        <f t="shared" si="22"/>
        <v/>
      </c>
      <c r="V118" s="578" t="str">
        <f t="shared" si="23"/>
        <v/>
      </c>
    </row>
    <row r="119" spans="1:22" ht="60" customHeight="1" x14ac:dyDescent="0.25">
      <c r="A119" s="448" t="s">
        <v>241</v>
      </c>
      <c r="B119" s="144" t="str">
        <f>IF(Recto!$C$3="","",IF(OR(Recto!$C$3=C119,Calculs!$I$8&gt;0),CONCATENATE(A119),""))</f>
        <v/>
      </c>
      <c r="C119" s="164" t="s">
        <v>179</v>
      </c>
      <c r="D119" s="144" t="s">
        <v>171</v>
      </c>
      <c r="E119" s="141">
        <v>5.5</v>
      </c>
      <c r="F119" s="142" t="str">
        <f t="shared" si="40"/>
        <v>---</v>
      </c>
      <c r="G119" s="142" t="str">
        <f t="shared" si="41"/>
        <v>---</v>
      </c>
      <c r="H119" s="141" t="s">
        <v>2052</v>
      </c>
      <c r="I119" s="141" t="s">
        <v>2086</v>
      </c>
      <c r="J119" s="448" t="s">
        <v>3</v>
      </c>
      <c r="K119" s="144">
        <v>117</v>
      </c>
      <c r="L119" s="449" t="s">
        <v>348</v>
      </c>
      <c r="M119" s="450">
        <f t="shared" si="35"/>
        <v>9</v>
      </c>
      <c r="N119" s="449" t="s">
        <v>2394</v>
      </c>
      <c r="O119" s="449" t="s">
        <v>2356</v>
      </c>
      <c r="P119" s="451">
        <v>10</v>
      </c>
      <c r="Q119" s="451">
        <v>0</v>
      </c>
      <c r="R119" s="451">
        <v>0</v>
      </c>
      <c r="S119" s="187" t="s">
        <v>1284</v>
      </c>
      <c r="T119" s="196" t="str">
        <f t="shared" si="21"/>
        <v/>
      </c>
      <c r="U119" s="196" t="str">
        <f t="shared" si="22"/>
        <v/>
      </c>
      <c r="V119" s="578" t="str">
        <f t="shared" si="23"/>
        <v/>
      </c>
    </row>
    <row r="120" spans="1:22" ht="60" customHeight="1" x14ac:dyDescent="0.25">
      <c r="A120" s="448" t="s">
        <v>589</v>
      </c>
      <c r="B120" s="144" t="str">
        <f>IF(Recto!$C$3="","",IF(OR(Recto!$C$3=C120,Calculs!$I$8&gt;0),CONCATENATE(A120),""))</f>
        <v/>
      </c>
      <c r="C120" s="164" t="s">
        <v>179</v>
      </c>
      <c r="D120" s="139" t="s">
        <v>2078</v>
      </c>
      <c r="E120" s="140" t="s">
        <v>2078</v>
      </c>
      <c r="F120" s="142" t="str">
        <f t="shared" si="40"/>
        <v>---</v>
      </c>
      <c r="G120" s="142" t="str">
        <f t="shared" si="41"/>
        <v>---</v>
      </c>
      <c r="H120" s="141" t="s">
        <v>2049</v>
      </c>
      <c r="I120" s="141" t="s">
        <v>2085</v>
      </c>
      <c r="J120" s="448" t="s">
        <v>3</v>
      </c>
      <c r="K120" s="144">
        <v>248</v>
      </c>
      <c r="L120" s="449" t="s">
        <v>2603</v>
      </c>
      <c r="M120" s="450">
        <f t="shared" si="35"/>
        <v>0</v>
      </c>
      <c r="N120" s="452" t="s">
        <v>2078</v>
      </c>
      <c r="O120" s="449" t="s">
        <v>253</v>
      </c>
      <c r="P120" s="451">
        <v>0</v>
      </c>
      <c r="Q120" s="451">
        <v>0</v>
      </c>
      <c r="R120" s="451">
        <v>0</v>
      </c>
      <c r="S120" s="187" t="s">
        <v>1284</v>
      </c>
      <c r="T120" s="196" t="str">
        <f t="shared" si="21"/>
        <v/>
      </c>
      <c r="U120" s="196" t="str">
        <f t="shared" si="22"/>
        <v/>
      </c>
      <c r="V120" s="578" t="str">
        <f t="shared" si="23"/>
        <v/>
      </c>
    </row>
    <row r="121" spans="1:22" ht="60" customHeight="1" x14ac:dyDescent="0.25">
      <c r="A121" s="448" t="s">
        <v>244</v>
      </c>
      <c r="B121" s="144" t="str">
        <f>IF(Recto!$C$3="","",IF(OR(Recto!$C$3=C121,Calculs!$I$8&gt;0),CONCATENATE(A121),""))</f>
        <v/>
      </c>
      <c r="C121" s="164" t="s">
        <v>179</v>
      </c>
      <c r="D121" s="139" t="s">
        <v>169</v>
      </c>
      <c r="E121" s="141">
        <v>5.5</v>
      </c>
      <c r="F121" s="142" t="str">
        <f t="shared" si="40"/>
        <v>---</v>
      </c>
      <c r="G121" s="142" t="str">
        <f t="shared" si="41"/>
        <v>---</v>
      </c>
      <c r="H121" s="141" t="s">
        <v>2049</v>
      </c>
      <c r="I121" s="141" t="s">
        <v>2086</v>
      </c>
      <c r="J121" s="448" t="s">
        <v>2076</v>
      </c>
      <c r="K121" s="144">
        <v>168</v>
      </c>
      <c r="L121" s="449" t="s">
        <v>350</v>
      </c>
      <c r="M121" s="450">
        <f t="shared" si="35"/>
        <v>2</v>
      </c>
      <c r="N121" s="449" t="s">
        <v>2748</v>
      </c>
      <c r="O121" s="449" t="s">
        <v>2749</v>
      </c>
      <c r="P121" s="451">
        <v>5</v>
      </c>
      <c r="Q121" s="451">
        <v>0</v>
      </c>
      <c r="R121" s="451">
        <v>0</v>
      </c>
      <c r="S121" s="187" t="s">
        <v>1284</v>
      </c>
      <c r="T121" s="196" t="str">
        <f t="shared" si="21"/>
        <v/>
      </c>
      <c r="U121" s="196" t="str">
        <f t="shared" si="22"/>
        <v/>
      </c>
      <c r="V121" s="578" t="str">
        <f t="shared" si="23"/>
        <v/>
      </c>
    </row>
    <row r="122" spans="1:22" ht="60" customHeight="1" x14ac:dyDescent="0.25">
      <c r="A122" s="456" t="s">
        <v>2598</v>
      </c>
      <c r="B122" s="144" t="str">
        <f>IF(Recto!$C$3="","",IF(OR(Recto!$C$3=C122,Calculs!$I$8&gt;0),CONCATENATE(A122),""))</f>
        <v/>
      </c>
      <c r="C122" s="164" t="s">
        <v>179</v>
      </c>
      <c r="D122" s="144" t="s">
        <v>174</v>
      </c>
      <c r="E122" s="141">
        <v>3.5</v>
      </c>
      <c r="F122" s="142" t="s">
        <v>577</v>
      </c>
      <c r="G122" s="142" t="s">
        <v>100</v>
      </c>
      <c r="H122" s="141" t="s">
        <v>2048</v>
      </c>
      <c r="I122" s="141" t="s">
        <v>2086</v>
      </c>
      <c r="J122" s="448" t="s">
        <v>2077</v>
      </c>
      <c r="K122" s="455">
        <v>240</v>
      </c>
      <c r="L122" s="449" t="s">
        <v>2992</v>
      </c>
      <c r="M122" s="450">
        <f t="shared" si="35"/>
        <v>7</v>
      </c>
      <c r="N122" s="449" t="s">
        <v>2989</v>
      </c>
      <c r="O122" s="449" t="s">
        <v>2990</v>
      </c>
      <c r="P122" s="451">
        <v>5</v>
      </c>
      <c r="Q122" s="451">
        <v>0</v>
      </c>
      <c r="R122" s="451">
        <v>0</v>
      </c>
      <c r="S122" s="187" t="s">
        <v>1284</v>
      </c>
      <c r="T122" s="196" t="str">
        <f t="shared" si="21"/>
        <v/>
      </c>
      <c r="U122" s="196" t="str">
        <f t="shared" si="22"/>
        <v/>
      </c>
      <c r="V122" s="578" t="str">
        <f t="shared" si="23"/>
        <v/>
      </c>
    </row>
    <row r="123" spans="1:22" ht="60" customHeight="1" x14ac:dyDescent="0.25">
      <c r="A123" s="448" t="s">
        <v>240</v>
      </c>
      <c r="B123" s="144" t="str">
        <f>IF(Recto!$C$3="","",IF(OR(Recto!$C$3=C123,Calculs!$I$8&gt;0),CONCATENATE(A123),""))</f>
        <v/>
      </c>
      <c r="C123" s="164" t="s">
        <v>179</v>
      </c>
      <c r="D123" s="144" t="s">
        <v>9</v>
      </c>
      <c r="E123" s="141">
        <v>5.5</v>
      </c>
      <c r="F123" s="142" t="s">
        <v>578</v>
      </c>
      <c r="G123" s="142" t="s">
        <v>579</v>
      </c>
      <c r="H123" s="141" t="s">
        <v>2048</v>
      </c>
      <c r="I123" s="141" t="s">
        <v>2086</v>
      </c>
      <c r="J123" s="448" t="s">
        <v>3</v>
      </c>
      <c r="K123" s="144">
        <v>117</v>
      </c>
      <c r="L123" s="449" t="s">
        <v>2390</v>
      </c>
      <c r="M123" s="450">
        <f t="shared" si="35"/>
        <v>4</v>
      </c>
      <c r="N123" s="449" t="s">
        <v>2391</v>
      </c>
      <c r="O123" s="449" t="s">
        <v>2395</v>
      </c>
      <c r="P123" s="451">
        <v>10</v>
      </c>
      <c r="Q123" s="451">
        <v>0</v>
      </c>
      <c r="R123" s="451">
        <v>0</v>
      </c>
      <c r="S123" s="187" t="s">
        <v>1284</v>
      </c>
      <c r="T123" s="196" t="str">
        <f t="shared" si="21"/>
        <v/>
      </c>
      <c r="U123" s="196" t="str">
        <f t="shared" si="22"/>
        <v/>
      </c>
      <c r="V123" s="578" t="str">
        <f t="shared" si="23"/>
        <v/>
      </c>
    </row>
    <row r="124" spans="1:22" ht="60" customHeight="1" x14ac:dyDescent="0.25">
      <c r="A124" s="448" t="s">
        <v>3377</v>
      </c>
      <c r="B124" s="144" t="str">
        <f>IF(Recto!$C$3="","",IF(OR(Recto!$C$3=C124,Calculs!$I$8&gt;0),CONCATENATE(A124),""))</f>
        <v/>
      </c>
      <c r="C124" s="164" t="s">
        <v>179</v>
      </c>
      <c r="D124" s="144" t="s">
        <v>172</v>
      </c>
      <c r="E124" s="140">
        <v>4.5</v>
      </c>
      <c r="F124" s="142" t="s">
        <v>577</v>
      </c>
      <c r="G124" s="142" t="s">
        <v>100</v>
      </c>
      <c r="H124" s="141" t="s">
        <v>2048</v>
      </c>
      <c r="I124" s="141" t="s">
        <v>2086</v>
      </c>
      <c r="J124" s="448" t="s">
        <v>6061</v>
      </c>
      <c r="K124" s="144">
        <v>257</v>
      </c>
      <c r="L124" s="449" t="s">
        <v>3379</v>
      </c>
      <c r="M124" s="450">
        <f t="shared" si="35"/>
        <v>5</v>
      </c>
      <c r="N124" s="452" t="s">
        <v>5982</v>
      </c>
      <c r="O124" s="449" t="s">
        <v>3378</v>
      </c>
      <c r="P124" s="451">
        <v>4</v>
      </c>
      <c r="Q124" s="451">
        <v>0</v>
      </c>
      <c r="R124" s="451">
        <v>0</v>
      </c>
      <c r="S124" s="187" t="s">
        <v>1284</v>
      </c>
      <c r="T124" s="196" t="str">
        <f t="shared" si="21"/>
        <v/>
      </c>
      <c r="U124" s="196" t="str">
        <f t="shared" si="22"/>
        <v/>
      </c>
      <c r="V124" s="578" t="str">
        <f t="shared" si="23"/>
        <v/>
      </c>
    </row>
    <row r="125" spans="1:22" ht="60" customHeight="1" x14ac:dyDescent="0.25">
      <c r="A125" s="448" t="s">
        <v>6072</v>
      </c>
      <c r="B125" s="144" t="str">
        <f>IF(Recto!$C$3="","",IF(OR(Recto!$C$3=C125,Calculs!$I$8&gt;0),CONCATENATE(A125),""))</f>
        <v/>
      </c>
      <c r="C125" s="164" t="s">
        <v>179</v>
      </c>
      <c r="D125" s="144" t="s">
        <v>174</v>
      </c>
      <c r="E125" s="141">
        <v>3.5</v>
      </c>
      <c r="F125" s="142" t="str">
        <f t="shared" ref="F125:F139" si="42">IF(H125="S","","---")</f>
        <v>---</v>
      </c>
      <c r="G125" s="142" t="str">
        <f t="shared" ref="G125:G139" si="43">IF(F125="---","---","")</f>
        <v>---</v>
      </c>
      <c r="H125" s="141" t="s">
        <v>2049</v>
      </c>
      <c r="I125" s="141" t="s">
        <v>2086</v>
      </c>
      <c r="J125" s="448" t="s">
        <v>6061</v>
      </c>
      <c r="K125" s="144">
        <v>257</v>
      </c>
      <c r="L125" s="449" t="s">
        <v>3395</v>
      </c>
      <c r="M125" s="450">
        <f t="shared" si="35"/>
        <v>7</v>
      </c>
      <c r="N125" s="449" t="s">
        <v>3381</v>
      </c>
      <c r="O125" s="449" t="s">
        <v>3382</v>
      </c>
      <c r="P125" s="451">
        <v>5</v>
      </c>
      <c r="Q125" s="451">
        <v>0</v>
      </c>
      <c r="R125" s="451">
        <v>0</v>
      </c>
      <c r="S125" s="187" t="s">
        <v>1284</v>
      </c>
      <c r="T125" s="196" t="str">
        <f t="shared" si="21"/>
        <v/>
      </c>
      <c r="U125" s="196" t="str">
        <f t="shared" si="22"/>
        <v/>
      </c>
      <c r="V125" s="578" t="str">
        <f t="shared" si="23"/>
        <v/>
      </c>
    </row>
    <row r="126" spans="1:22" ht="60" customHeight="1" x14ac:dyDescent="0.25">
      <c r="A126" s="448" t="s">
        <v>349</v>
      </c>
      <c r="B126" s="144" t="str">
        <f>IF(Recto!$C$3="","",IF(OR(Recto!$C$3=C126,Calculs!$I$8&gt;0),CONCATENATE(A126),""))</f>
        <v/>
      </c>
      <c r="C126" s="164" t="s">
        <v>179</v>
      </c>
      <c r="D126" s="144" t="s">
        <v>19</v>
      </c>
      <c r="E126" s="141">
        <v>6.5</v>
      </c>
      <c r="F126" s="142" t="str">
        <f t="shared" si="42"/>
        <v>---</v>
      </c>
      <c r="G126" s="142" t="str">
        <f t="shared" si="43"/>
        <v>---</v>
      </c>
      <c r="H126" s="141" t="s">
        <v>2049</v>
      </c>
      <c r="I126" s="141" t="s">
        <v>2086</v>
      </c>
      <c r="J126" s="448" t="s">
        <v>3</v>
      </c>
      <c r="K126" s="144">
        <v>118</v>
      </c>
      <c r="L126" s="449" t="s">
        <v>350</v>
      </c>
      <c r="M126" s="450">
        <f t="shared" si="35"/>
        <v>8</v>
      </c>
      <c r="N126" s="449" t="s">
        <v>2402</v>
      </c>
      <c r="O126" s="449" t="s">
        <v>2403</v>
      </c>
      <c r="P126" s="451">
        <v>10</v>
      </c>
      <c r="Q126" s="451">
        <v>0</v>
      </c>
      <c r="R126" s="451">
        <v>0</v>
      </c>
      <c r="S126" s="187" t="s">
        <v>1284</v>
      </c>
      <c r="T126" s="196" t="str">
        <f t="shared" si="21"/>
        <v/>
      </c>
      <c r="U126" s="196" t="str">
        <f t="shared" si="22"/>
        <v/>
      </c>
      <c r="V126" s="578" t="str">
        <f t="shared" si="23"/>
        <v/>
      </c>
    </row>
    <row r="127" spans="1:22" ht="60" customHeight="1" x14ac:dyDescent="0.25">
      <c r="A127" s="448" t="s">
        <v>408</v>
      </c>
      <c r="B127" s="144" t="str">
        <f>IF(Recto!$C$3="","",IF(OR(Recto!$C$3=C127,Calculs!$I$8&gt;0),CONCATENATE(A127),""))</f>
        <v/>
      </c>
      <c r="C127" s="164" t="s">
        <v>184</v>
      </c>
      <c r="D127" s="144" t="s">
        <v>19</v>
      </c>
      <c r="E127" s="141">
        <v>4</v>
      </c>
      <c r="F127" s="142" t="str">
        <f t="shared" si="42"/>
        <v>---</v>
      </c>
      <c r="G127" s="142" t="str">
        <f t="shared" si="43"/>
        <v>---</v>
      </c>
      <c r="H127" s="140" t="s">
        <v>2049</v>
      </c>
      <c r="I127" s="141" t="s">
        <v>2086</v>
      </c>
      <c r="J127" s="448" t="s">
        <v>3</v>
      </c>
      <c r="K127" s="144">
        <v>220</v>
      </c>
      <c r="L127" s="449" t="s">
        <v>368</v>
      </c>
      <c r="M127" s="450">
        <f t="shared" si="35"/>
        <v>8</v>
      </c>
      <c r="N127" s="449" t="s">
        <v>2159</v>
      </c>
      <c r="O127" s="449" t="s">
        <v>2237</v>
      </c>
      <c r="P127" s="451">
        <v>3</v>
      </c>
      <c r="Q127" s="451">
        <v>0</v>
      </c>
      <c r="R127" s="451">
        <v>0</v>
      </c>
      <c r="S127" s="187" t="s">
        <v>1284</v>
      </c>
      <c r="T127" s="196" t="str">
        <f t="shared" si="21"/>
        <v/>
      </c>
      <c r="U127" s="196" t="str">
        <f t="shared" si="22"/>
        <v/>
      </c>
      <c r="V127" s="578" t="str">
        <f t="shared" si="23"/>
        <v/>
      </c>
    </row>
    <row r="128" spans="1:22" ht="60" customHeight="1" x14ac:dyDescent="0.25">
      <c r="A128" s="448" t="s">
        <v>8414</v>
      </c>
      <c r="B128" s="144" t="str">
        <f>IF(Recto!$C$3="","",IF(OR(Recto!$C$3=C128,Calculs!$I$8&gt;0),CONCATENATE(A128),""))</f>
        <v/>
      </c>
      <c r="C128" s="164" t="s">
        <v>184</v>
      </c>
      <c r="D128" s="144" t="s">
        <v>9</v>
      </c>
      <c r="E128" s="141">
        <v>4</v>
      </c>
      <c r="F128" s="142" t="s">
        <v>578</v>
      </c>
      <c r="G128" s="142" t="s">
        <v>579</v>
      </c>
      <c r="H128" s="140" t="s">
        <v>2048</v>
      </c>
      <c r="I128" s="141" t="s">
        <v>2086</v>
      </c>
      <c r="J128" s="448" t="s">
        <v>7759</v>
      </c>
      <c r="K128" s="144">
        <v>26</v>
      </c>
      <c r="L128" s="449" t="s">
        <v>102</v>
      </c>
      <c r="M128" s="450">
        <f t="shared" si="35"/>
        <v>4</v>
      </c>
      <c r="N128" s="449" t="s">
        <v>8415</v>
      </c>
      <c r="O128" s="449" t="s">
        <v>8416</v>
      </c>
      <c r="P128" s="451">
        <v>3</v>
      </c>
      <c r="Q128" s="451">
        <v>0</v>
      </c>
      <c r="R128" s="451">
        <v>0</v>
      </c>
      <c r="S128" s="187" t="s">
        <v>1284</v>
      </c>
      <c r="T128" s="196" t="str">
        <f t="shared" si="21"/>
        <v/>
      </c>
      <c r="U128" s="196" t="str">
        <f t="shared" si="22"/>
        <v/>
      </c>
      <c r="V128" s="578" t="str">
        <f t="shared" si="23"/>
        <v/>
      </c>
    </row>
    <row r="129" spans="1:22" ht="60" customHeight="1" x14ac:dyDescent="0.25">
      <c r="A129" s="448" t="s">
        <v>7806</v>
      </c>
      <c r="B129" s="144" t="str">
        <f>IF(Recto!$C$3="","",IF(Contexte_jeu&lt;&gt;"L'Empire Stellaire d'Emeraude","",IF(OR(Recto!$C$3=C129,Calculs!$I$8&gt;0),CONCATENATE(A129),"")))</f>
        <v/>
      </c>
      <c r="C129" s="164" t="s">
        <v>184</v>
      </c>
      <c r="D129" s="144" t="s">
        <v>19</v>
      </c>
      <c r="E129" s="141">
        <v>2.5</v>
      </c>
      <c r="F129" s="142" t="str">
        <f>IF(H129="S","","---")</f>
        <v>---</v>
      </c>
      <c r="G129" s="142" t="str">
        <f>IF(F129="---","---","")</f>
        <v>---</v>
      </c>
      <c r="H129" s="140" t="s">
        <v>2049</v>
      </c>
      <c r="I129" s="141" t="s">
        <v>2086</v>
      </c>
      <c r="J129" s="448" t="s">
        <v>7226</v>
      </c>
      <c r="K129" s="144">
        <v>66</v>
      </c>
      <c r="L129" s="449" t="s">
        <v>7807</v>
      </c>
      <c r="M129" s="450">
        <f t="shared" si="35"/>
        <v>8</v>
      </c>
      <c r="N129" s="449" t="s">
        <v>7808</v>
      </c>
      <c r="O129" s="449" t="s">
        <v>7809</v>
      </c>
      <c r="P129" s="451">
        <v>5</v>
      </c>
      <c r="Q129" s="451">
        <v>0</v>
      </c>
      <c r="R129" s="451">
        <v>0</v>
      </c>
      <c r="S129" s="187" t="s">
        <v>1284</v>
      </c>
      <c r="T129" s="196" t="str">
        <f t="shared" si="21"/>
        <v/>
      </c>
      <c r="U129" s="196" t="str">
        <f t="shared" si="22"/>
        <v/>
      </c>
      <c r="V129" s="578" t="str">
        <f t="shared" si="23"/>
        <v/>
      </c>
    </row>
    <row r="130" spans="1:22" ht="60" customHeight="1" x14ac:dyDescent="0.25">
      <c r="A130" s="448" t="s">
        <v>7791</v>
      </c>
      <c r="B130" s="144" t="str">
        <f>IF(Recto!$C$3="","",IF(Contexte_jeu&lt;&gt;"L'Empire Stellaire d'Emeraude","",IF(OR(Recto!$C$3=C130,Calculs!$I$8&gt;0),CONCATENATE(A130),"")))</f>
        <v/>
      </c>
      <c r="C130" s="164" t="s">
        <v>20</v>
      </c>
      <c r="D130" s="144" t="s">
        <v>171</v>
      </c>
      <c r="E130" s="141">
        <v>3.5</v>
      </c>
      <c r="F130" s="142" t="str">
        <f>IF(H130="S","","---")</f>
        <v>---</v>
      </c>
      <c r="G130" s="142" t="str">
        <f>IF(F130="---","---","")</f>
        <v>---</v>
      </c>
      <c r="H130" s="140" t="s">
        <v>2049</v>
      </c>
      <c r="I130" s="141" t="s">
        <v>2086</v>
      </c>
      <c r="J130" s="448"/>
      <c r="K130" s="144"/>
      <c r="L130" s="449" t="s">
        <v>7792</v>
      </c>
      <c r="M130" s="450">
        <f t="shared" si="35"/>
        <v>9</v>
      </c>
      <c r="N130" s="449" t="s">
        <v>7793</v>
      </c>
      <c r="O130" s="449" t="s">
        <v>7809</v>
      </c>
      <c r="P130" s="451">
        <v>7</v>
      </c>
      <c r="Q130" s="451">
        <v>0</v>
      </c>
      <c r="R130" s="451">
        <v>0</v>
      </c>
      <c r="S130" s="187" t="s">
        <v>1284</v>
      </c>
      <c r="T130" s="196" t="str">
        <f t="shared" si="21"/>
        <v/>
      </c>
      <c r="U130" s="196" t="str">
        <f t="shared" si="22"/>
        <v/>
      </c>
      <c r="V130" s="578" t="str">
        <f t="shared" si="23"/>
        <v/>
      </c>
    </row>
    <row r="131" spans="1:22" ht="60" customHeight="1" x14ac:dyDescent="0.25">
      <c r="A131" s="448" t="s">
        <v>204</v>
      </c>
      <c r="B131" s="144" t="str">
        <f>IF(Recto!$C$3="","",IF(OR(Recto!$C$3=C131,Calculs!$I$8&gt;0),CONCATENATE(A131),""))</f>
        <v/>
      </c>
      <c r="C131" s="164" t="s">
        <v>20</v>
      </c>
      <c r="D131" s="144" t="s">
        <v>6</v>
      </c>
      <c r="E131" s="141">
        <v>6.5</v>
      </c>
      <c r="F131" s="142" t="str">
        <f t="shared" si="42"/>
        <v>---</v>
      </c>
      <c r="G131" s="142" t="str">
        <f t="shared" si="43"/>
        <v>---</v>
      </c>
      <c r="H131" s="141" t="s">
        <v>2052</v>
      </c>
      <c r="I131" s="141" t="s">
        <v>2086</v>
      </c>
      <c r="J131" s="448" t="s">
        <v>3</v>
      </c>
      <c r="K131" s="144">
        <v>121</v>
      </c>
      <c r="L131" s="449" t="s">
        <v>352</v>
      </c>
      <c r="M131" s="450">
        <f t="shared" si="35"/>
        <v>3</v>
      </c>
      <c r="N131" s="449" t="s">
        <v>5983</v>
      </c>
      <c r="O131" s="449" t="s">
        <v>2262</v>
      </c>
      <c r="P131" s="451">
        <v>5</v>
      </c>
      <c r="Q131" s="451">
        <v>0</v>
      </c>
      <c r="R131" s="451">
        <v>0</v>
      </c>
      <c r="S131" s="187" t="s">
        <v>1284</v>
      </c>
      <c r="T131" s="196" t="str">
        <f t="shared" ref="T131:T194" si="44">IF(B131="","",ROW())</f>
        <v/>
      </c>
      <c r="U131" s="196" t="str">
        <f t="shared" ref="U131:U194" si="45">IFERROR(SMALL(T:T,ROW()-1),"")</f>
        <v/>
      </c>
      <c r="V131" s="578" t="str">
        <f t="shared" ref="V131:V194" si="46">IFERROR(INDEX(B:B,U131),"")</f>
        <v/>
      </c>
    </row>
    <row r="132" spans="1:22" ht="60" customHeight="1" x14ac:dyDescent="0.25">
      <c r="A132" s="448" t="s">
        <v>208</v>
      </c>
      <c r="B132" s="144" t="str">
        <f>IF(Recto!$C$3="","",IF(OR(Recto!$C$3=C132,Calculs!$I$8&gt;0),CONCATENATE(A132),""))</f>
        <v/>
      </c>
      <c r="C132" s="164" t="s">
        <v>20</v>
      </c>
      <c r="D132" s="144" t="s">
        <v>170</v>
      </c>
      <c r="E132" s="141">
        <v>6.5</v>
      </c>
      <c r="F132" s="142" t="str">
        <f t="shared" si="42"/>
        <v>---</v>
      </c>
      <c r="G132" s="142" t="str">
        <f t="shared" si="43"/>
        <v>---</v>
      </c>
      <c r="H132" s="141" t="s">
        <v>2049</v>
      </c>
      <c r="I132" s="141" t="s">
        <v>2086</v>
      </c>
      <c r="J132" s="448" t="s">
        <v>3</v>
      </c>
      <c r="K132" s="144">
        <v>122</v>
      </c>
      <c r="L132" s="449" t="s">
        <v>2467</v>
      </c>
      <c r="M132" s="450">
        <f t="shared" si="35"/>
        <v>1</v>
      </c>
      <c r="N132" s="449" t="s">
        <v>2465</v>
      </c>
      <c r="O132" s="449" t="s">
        <v>2466</v>
      </c>
      <c r="P132" s="451">
        <v>5</v>
      </c>
      <c r="Q132" s="451">
        <v>0</v>
      </c>
      <c r="R132" s="451">
        <v>0</v>
      </c>
      <c r="S132" s="187" t="s">
        <v>1284</v>
      </c>
      <c r="T132" s="196" t="str">
        <f t="shared" si="44"/>
        <v/>
      </c>
      <c r="U132" s="196" t="str">
        <f t="shared" si="45"/>
        <v/>
      </c>
      <c r="V132" s="578" t="str">
        <f t="shared" si="46"/>
        <v/>
      </c>
    </row>
    <row r="133" spans="1:22" ht="60" customHeight="1" x14ac:dyDescent="0.25">
      <c r="A133" s="448" t="s">
        <v>203</v>
      </c>
      <c r="B133" s="144" t="str">
        <f>IF(Recto!$C$3="","",IF(OR(Recto!$C$3=C133,Calculs!$I$8&gt;0),CONCATENATE(A133),""))</f>
        <v/>
      </c>
      <c r="C133" s="164" t="s">
        <v>20</v>
      </c>
      <c r="D133" s="144" t="s">
        <v>9</v>
      </c>
      <c r="E133" s="141">
        <v>6.5</v>
      </c>
      <c r="F133" s="142" t="str">
        <f t="shared" si="42"/>
        <v>---</v>
      </c>
      <c r="G133" s="142" t="str">
        <f t="shared" si="43"/>
        <v>---</v>
      </c>
      <c r="H133" s="141" t="s">
        <v>2049</v>
      </c>
      <c r="I133" s="141" t="s">
        <v>2086</v>
      </c>
      <c r="J133" s="448" t="s">
        <v>3</v>
      </c>
      <c r="K133" s="144">
        <v>120</v>
      </c>
      <c r="L133" s="449" t="s">
        <v>351</v>
      </c>
      <c r="M133" s="450">
        <f t="shared" si="35"/>
        <v>4</v>
      </c>
      <c r="N133" s="449" t="s">
        <v>2448</v>
      </c>
      <c r="O133" s="449" t="s">
        <v>2449</v>
      </c>
      <c r="P133" s="451">
        <v>5</v>
      </c>
      <c r="Q133" s="451">
        <v>0</v>
      </c>
      <c r="R133" s="451">
        <v>0</v>
      </c>
      <c r="S133" s="187" t="s">
        <v>1284</v>
      </c>
      <c r="T133" s="196" t="str">
        <f t="shared" si="44"/>
        <v/>
      </c>
      <c r="U133" s="196" t="str">
        <f t="shared" si="45"/>
        <v/>
      </c>
      <c r="V133" s="578" t="str">
        <f t="shared" si="46"/>
        <v/>
      </c>
    </row>
    <row r="134" spans="1:22" ht="60" customHeight="1" x14ac:dyDescent="0.25">
      <c r="A134" s="448" t="s">
        <v>1937</v>
      </c>
      <c r="B134" s="144" t="str">
        <f>IF(Recto!$C$3="","",IF(OR(Recto!$C$3=C134,Calculs!$I$8&gt;0),CONCATENATE(A134),""))</f>
        <v/>
      </c>
      <c r="C134" s="164" t="s">
        <v>20</v>
      </c>
      <c r="D134" s="139" t="s">
        <v>169</v>
      </c>
      <c r="E134" s="141">
        <v>5.5</v>
      </c>
      <c r="F134" s="142" t="str">
        <f t="shared" si="42"/>
        <v>---</v>
      </c>
      <c r="G134" s="142" t="str">
        <f t="shared" si="43"/>
        <v>---</v>
      </c>
      <c r="H134" s="141" t="s">
        <v>2049</v>
      </c>
      <c r="I134" s="141" t="s">
        <v>2086</v>
      </c>
      <c r="J134" s="448" t="s">
        <v>6061</v>
      </c>
      <c r="K134" s="455">
        <v>165</v>
      </c>
      <c r="L134" s="449" t="s">
        <v>2857</v>
      </c>
      <c r="M134" s="450">
        <f t="shared" si="35"/>
        <v>2</v>
      </c>
      <c r="N134" s="449" t="s">
        <v>2854</v>
      </c>
      <c r="O134" s="449" t="s">
        <v>2449</v>
      </c>
      <c r="P134" s="451">
        <v>4</v>
      </c>
      <c r="Q134" s="451">
        <v>0</v>
      </c>
      <c r="R134" s="451">
        <v>0</v>
      </c>
      <c r="S134" s="187" t="s">
        <v>1284</v>
      </c>
      <c r="T134" s="196" t="str">
        <f t="shared" si="44"/>
        <v/>
      </c>
      <c r="U134" s="196" t="str">
        <f t="shared" si="45"/>
        <v/>
      </c>
      <c r="V134" s="578" t="str">
        <f t="shared" si="46"/>
        <v/>
      </c>
    </row>
    <row r="135" spans="1:22" ht="60" customHeight="1" x14ac:dyDescent="0.25">
      <c r="A135" s="448" t="s">
        <v>418</v>
      </c>
      <c r="B135" s="144" t="str">
        <f>IF(Recto!$C$3="","",IF(OR(Recto!$C$3=C135,Calculs!$I$8&gt;0),CONCATENATE(A135),""))</f>
        <v/>
      </c>
      <c r="C135" s="164" t="s">
        <v>20</v>
      </c>
      <c r="D135" s="139" t="s">
        <v>2078</v>
      </c>
      <c r="E135" s="140" t="s">
        <v>2078</v>
      </c>
      <c r="F135" s="142" t="str">
        <f t="shared" si="42"/>
        <v>---</v>
      </c>
      <c r="G135" s="142" t="str">
        <f t="shared" si="43"/>
        <v>---</v>
      </c>
      <c r="H135" s="141" t="s">
        <v>2049</v>
      </c>
      <c r="I135" s="141" t="s">
        <v>2085</v>
      </c>
      <c r="J135" s="448" t="s">
        <v>3</v>
      </c>
      <c r="K135" s="144">
        <v>248</v>
      </c>
      <c r="L135" s="449" t="s">
        <v>1935</v>
      </c>
      <c r="M135" s="450">
        <f t="shared" ref="M135:M144" si="47">IF(D135="+1 Force",1,IF(D135="+1 Agilité",2,IF(D135="+1 Intelligence",3,IF(D135="+1 Perception",4,IF(D135="+1 Constitution",5,IF(D135="+1 Vide",6,IF(D135="+1 Volonté",7,IF(D135="+1 Reflexes",8,IF(D135="+1 Intuition",9,0)))))))))</f>
        <v>0</v>
      </c>
      <c r="N135" s="452" t="s">
        <v>2078</v>
      </c>
      <c r="O135" s="449" t="s">
        <v>253</v>
      </c>
      <c r="P135" s="451">
        <v>0</v>
      </c>
      <c r="Q135" s="451">
        <v>0</v>
      </c>
      <c r="R135" s="451">
        <v>0</v>
      </c>
      <c r="S135" s="187" t="s">
        <v>1284</v>
      </c>
      <c r="T135" s="196" t="str">
        <f t="shared" si="44"/>
        <v/>
      </c>
      <c r="U135" s="196" t="str">
        <f t="shared" si="45"/>
        <v/>
      </c>
      <c r="V135" s="578" t="str">
        <f t="shared" si="46"/>
        <v/>
      </c>
    </row>
    <row r="136" spans="1:22" ht="60" customHeight="1" x14ac:dyDescent="0.25">
      <c r="A136" s="448" t="s">
        <v>2594</v>
      </c>
      <c r="B136" s="144" t="str">
        <f>IF(Recto!$C$3="","",IF(OR(Recto!$C$3=C136,Calculs!$I$8&gt;0),CONCATENATE(A136),""))</f>
        <v/>
      </c>
      <c r="C136" s="164" t="s">
        <v>20</v>
      </c>
      <c r="D136" s="139" t="s">
        <v>2078</v>
      </c>
      <c r="E136" s="140" t="s">
        <v>2078</v>
      </c>
      <c r="F136" s="142" t="str">
        <f t="shared" si="42"/>
        <v>---</v>
      </c>
      <c r="G136" s="142" t="str">
        <f t="shared" si="43"/>
        <v>---</v>
      </c>
      <c r="H136" s="141" t="s">
        <v>2049</v>
      </c>
      <c r="I136" s="141" t="s">
        <v>2085</v>
      </c>
      <c r="J136" s="448" t="s">
        <v>3</v>
      </c>
      <c r="K136" s="144">
        <v>248</v>
      </c>
      <c r="L136" s="449" t="s">
        <v>1935</v>
      </c>
      <c r="M136" s="450">
        <f t="shared" si="47"/>
        <v>0</v>
      </c>
      <c r="N136" s="452" t="s">
        <v>2078</v>
      </c>
      <c r="O136" s="449" t="s">
        <v>253</v>
      </c>
      <c r="P136" s="451">
        <v>0</v>
      </c>
      <c r="Q136" s="451">
        <v>0</v>
      </c>
      <c r="R136" s="451">
        <v>0</v>
      </c>
      <c r="S136" s="187" t="s">
        <v>1284</v>
      </c>
      <c r="T136" s="196" t="str">
        <f t="shared" si="44"/>
        <v/>
      </c>
      <c r="U136" s="196" t="str">
        <f t="shared" si="45"/>
        <v/>
      </c>
      <c r="V136" s="578" t="str">
        <f t="shared" si="46"/>
        <v/>
      </c>
    </row>
    <row r="137" spans="1:22" ht="60" customHeight="1" x14ac:dyDescent="0.25">
      <c r="A137" s="448" t="s">
        <v>207</v>
      </c>
      <c r="B137" s="144" t="str">
        <f>IF(Recto!$C$3="","",IF(OR(Recto!$C$3=C137,Calculs!$I$8&gt;0),CONCATENATE(A137),""))</f>
        <v/>
      </c>
      <c r="C137" s="164" t="s">
        <v>20</v>
      </c>
      <c r="D137" s="144" t="s">
        <v>19</v>
      </c>
      <c r="E137" s="141">
        <v>5.5</v>
      </c>
      <c r="F137" s="142" t="str">
        <f t="shared" si="42"/>
        <v>---</v>
      </c>
      <c r="G137" s="142" t="str">
        <f t="shared" si="43"/>
        <v>---</v>
      </c>
      <c r="H137" s="141" t="s">
        <v>2049</v>
      </c>
      <c r="I137" s="141" t="s">
        <v>2086</v>
      </c>
      <c r="J137" s="448" t="s">
        <v>2089</v>
      </c>
      <c r="K137" s="144">
        <v>8</v>
      </c>
      <c r="L137" s="449" t="s">
        <v>2918</v>
      </c>
      <c r="M137" s="450">
        <f t="shared" si="47"/>
        <v>8</v>
      </c>
      <c r="N137" s="449" t="s">
        <v>2908</v>
      </c>
      <c r="O137" s="449" t="s">
        <v>2909</v>
      </c>
      <c r="P137" s="451">
        <v>5</v>
      </c>
      <c r="Q137" s="451">
        <v>0</v>
      </c>
      <c r="R137" s="451">
        <v>0</v>
      </c>
      <c r="S137" s="187" t="s">
        <v>1284</v>
      </c>
      <c r="T137" s="196" t="str">
        <f t="shared" si="44"/>
        <v/>
      </c>
      <c r="U137" s="196" t="str">
        <f t="shared" si="45"/>
        <v/>
      </c>
      <c r="V137" s="578" t="str">
        <f t="shared" si="46"/>
        <v/>
      </c>
    </row>
    <row r="138" spans="1:22" ht="60" customHeight="1" x14ac:dyDescent="0.25">
      <c r="A138" s="448" t="s">
        <v>419</v>
      </c>
      <c r="B138" s="144" t="str">
        <f>IF(Recto!$C$3="","",IF(OR(Recto!$C$3=C138,Calculs!$I$8&gt;0),CONCATENATE(A138),""))</f>
        <v/>
      </c>
      <c r="C138" s="164" t="s">
        <v>20</v>
      </c>
      <c r="D138" s="139" t="s">
        <v>2078</v>
      </c>
      <c r="E138" s="140" t="s">
        <v>2078</v>
      </c>
      <c r="F138" s="142" t="str">
        <f t="shared" si="42"/>
        <v>---</v>
      </c>
      <c r="G138" s="142" t="str">
        <f t="shared" si="43"/>
        <v>---</v>
      </c>
      <c r="H138" s="141" t="s">
        <v>2049</v>
      </c>
      <c r="I138" s="141" t="s">
        <v>2085</v>
      </c>
      <c r="J138" s="448" t="s">
        <v>6061</v>
      </c>
      <c r="K138" s="455">
        <v>167</v>
      </c>
      <c r="L138" s="449" t="s">
        <v>2864</v>
      </c>
      <c r="M138" s="450">
        <f t="shared" si="47"/>
        <v>0</v>
      </c>
      <c r="N138" s="452" t="s">
        <v>2078</v>
      </c>
      <c r="O138" s="449" t="s">
        <v>253</v>
      </c>
      <c r="P138" s="451">
        <v>0</v>
      </c>
      <c r="Q138" s="451">
        <v>0</v>
      </c>
      <c r="R138" s="451">
        <v>0</v>
      </c>
      <c r="S138" s="187" t="s">
        <v>1284</v>
      </c>
      <c r="T138" s="196" t="str">
        <f t="shared" si="44"/>
        <v/>
      </c>
      <c r="U138" s="196" t="str">
        <f t="shared" si="45"/>
        <v/>
      </c>
      <c r="V138" s="578" t="str">
        <f t="shared" si="46"/>
        <v/>
      </c>
    </row>
    <row r="139" spans="1:22" ht="60" customHeight="1" x14ac:dyDescent="0.25">
      <c r="A139" s="448" t="s">
        <v>205</v>
      </c>
      <c r="B139" s="144" t="str">
        <f>IF(Recto!$C$3="","",IF(OR(Recto!$C$3=C139,Calculs!$I$8&gt;0),CONCATENATE(A139),""))</f>
        <v/>
      </c>
      <c r="C139" s="164" t="s">
        <v>20</v>
      </c>
      <c r="D139" s="144" t="s">
        <v>171</v>
      </c>
      <c r="E139" s="141">
        <v>3.5</v>
      </c>
      <c r="F139" s="142" t="str">
        <f t="shared" si="42"/>
        <v>---</v>
      </c>
      <c r="G139" s="142" t="str">
        <f t="shared" si="43"/>
        <v>---</v>
      </c>
      <c r="H139" s="141" t="s">
        <v>2049</v>
      </c>
      <c r="I139" s="141" t="s">
        <v>2086</v>
      </c>
      <c r="J139" s="448" t="s">
        <v>4808</v>
      </c>
      <c r="K139" s="144">
        <v>109</v>
      </c>
      <c r="L139" s="449" t="s">
        <v>4831</v>
      </c>
      <c r="M139" s="450">
        <f t="shared" si="47"/>
        <v>9</v>
      </c>
      <c r="N139" s="449" t="s">
        <v>2679</v>
      </c>
      <c r="O139" s="449" t="s">
        <v>2680</v>
      </c>
      <c r="P139" s="451">
        <v>5</v>
      </c>
      <c r="Q139" s="451">
        <v>0</v>
      </c>
      <c r="R139" s="451">
        <v>0</v>
      </c>
      <c r="S139" s="187" t="s">
        <v>1284</v>
      </c>
      <c r="T139" s="196" t="str">
        <f t="shared" si="44"/>
        <v/>
      </c>
      <c r="U139" s="196" t="str">
        <f t="shared" si="45"/>
        <v/>
      </c>
      <c r="V139" s="578" t="str">
        <f t="shared" si="46"/>
        <v/>
      </c>
    </row>
    <row r="140" spans="1:22" ht="60" customHeight="1" x14ac:dyDescent="0.25">
      <c r="A140" s="448" t="s">
        <v>206</v>
      </c>
      <c r="B140" s="144" t="str">
        <f>IF(Recto!$C$3="","",IF(OR(Recto!$C$3=C140,Calculs!$I$8&gt;0),CONCATENATE(A140),""))</f>
        <v/>
      </c>
      <c r="C140" s="164" t="s">
        <v>20</v>
      </c>
      <c r="D140" s="144" t="s">
        <v>9</v>
      </c>
      <c r="E140" s="141">
        <v>6.5</v>
      </c>
      <c r="F140" s="142" t="s">
        <v>578</v>
      </c>
      <c r="G140" s="142" t="s">
        <v>579</v>
      </c>
      <c r="H140" s="141" t="s">
        <v>2048</v>
      </c>
      <c r="I140" s="141" t="s">
        <v>2086</v>
      </c>
      <c r="J140" s="448" t="s">
        <v>3</v>
      </c>
      <c r="K140" s="144">
        <v>120</v>
      </c>
      <c r="L140" s="449" t="s">
        <v>2464</v>
      </c>
      <c r="M140" s="450">
        <f t="shared" si="47"/>
        <v>4</v>
      </c>
      <c r="N140" s="449" t="s">
        <v>2450</v>
      </c>
      <c r="O140" s="449" t="s">
        <v>2232</v>
      </c>
      <c r="P140" s="451">
        <v>5</v>
      </c>
      <c r="Q140" s="451">
        <v>0</v>
      </c>
      <c r="R140" s="451">
        <v>0</v>
      </c>
      <c r="S140" s="187" t="s">
        <v>1284</v>
      </c>
      <c r="T140" s="196" t="str">
        <f t="shared" si="44"/>
        <v/>
      </c>
      <c r="U140" s="196" t="str">
        <f t="shared" si="45"/>
        <v/>
      </c>
      <c r="V140" s="578" t="str">
        <f t="shared" si="46"/>
        <v/>
      </c>
    </row>
    <row r="141" spans="1:22" ht="60" customHeight="1" x14ac:dyDescent="0.25">
      <c r="A141" s="448" t="s">
        <v>168</v>
      </c>
      <c r="B141" s="144" t="str">
        <f>IF(Recto!$C$3="","",IF(OR(Recto!$C$3=C141,Calculs!$I$8&gt;0),CONCATENATE(A141),""))</f>
        <v/>
      </c>
      <c r="C141" s="164" t="s">
        <v>20</v>
      </c>
      <c r="D141" s="139" t="s">
        <v>2078</v>
      </c>
      <c r="E141" s="140" t="s">
        <v>2078</v>
      </c>
      <c r="F141" s="142" t="s">
        <v>2078</v>
      </c>
      <c r="G141" s="142" t="s">
        <v>2078</v>
      </c>
      <c r="H141" s="141" t="s">
        <v>2048</v>
      </c>
      <c r="I141" s="141" t="s">
        <v>2085</v>
      </c>
      <c r="J141" s="448" t="s">
        <v>2077</v>
      </c>
      <c r="K141" s="455">
        <v>241</v>
      </c>
      <c r="L141" s="449" t="s">
        <v>2999</v>
      </c>
      <c r="M141" s="450">
        <f t="shared" si="47"/>
        <v>0</v>
      </c>
      <c r="N141" s="452" t="s">
        <v>2078</v>
      </c>
      <c r="O141" s="449" t="s">
        <v>253</v>
      </c>
      <c r="P141" s="451">
        <v>0</v>
      </c>
      <c r="Q141" s="451">
        <v>0</v>
      </c>
      <c r="R141" s="451">
        <v>0</v>
      </c>
      <c r="S141" s="187" t="s">
        <v>1284</v>
      </c>
      <c r="T141" s="196" t="str">
        <f t="shared" si="44"/>
        <v/>
      </c>
      <c r="U141" s="196" t="str">
        <f t="shared" si="45"/>
        <v/>
      </c>
      <c r="V141" s="578" t="str">
        <f t="shared" si="46"/>
        <v/>
      </c>
    </row>
    <row r="142" spans="1:22" ht="60" customHeight="1" x14ac:dyDescent="0.25">
      <c r="A142" s="448" t="s">
        <v>412</v>
      </c>
      <c r="B142" s="144" t="str">
        <f>IF(Recto!$C$3="","",IF(OR(Recto!$C$3=C142,Calculs!$I$8&gt;0),CONCATENATE(A142),""))</f>
        <v/>
      </c>
      <c r="C142" s="164" t="s">
        <v>337</v>
      </c>
      <c r="D142" s="144" t="s">
        <v>6</v>
      </c>
      <c r="E142" s="141">
        <v>4.5</v>
      </c>
      <c r="F142" s="142" t="str">
        <f>IF(H142="S","","---")</f>
        <v>---</v>
      </c>
      <c r="G142" s="142" t="str">
        <f>IF(F142="---","---","")</f>
        <v>---</v>
      </c>
      <c r="H142" s="141" t="s">
        <v>2057</v>
      </c>
      <c r="I142" s="141" t="s">
        <v>2086</v>
      </c>
      <c r="J142" s="448" t="s">
        <v>3</v>
      </c>
      <c r="K142" s="144">
        <v>222</v>
      </c>
      <c r="L142" s="449" t="s">
        <v>369</v>
      </c>
      <c r="M142" s="450">
        <f t="shared" si="47"/>
        <v>3</v>
      </c>
      <c r="N142" s="449" t="s">
        <v>2166</v>
      </c>
      <c r="O142" s="449" t="s">
        <v>2238</v>
      </c>
      <c r="P142" s="451">
        <v>3</v>
      </c>
      <c r="Q142" s="451">
        <v>0</v>
      </c>
      <c r="R142" s="451">
        <v>0</v>
      </c>
      <c r="S142" s="187" t="s">
        <v>1284</v>
      </c>
      <c r="T142" s="196" t="str">
        <f t="shared" si="44"/>
        <v/>
      </c>
      <c r="U142" s="196" t="str">
        <f t="shared" si="45"/>
        <v/>
      </c>
      <c r="V142" s="578" t="str">
        <f t="shared" si="46"/>
        <v/>
      </c>
    </row>
    <row r="143" spans="1:22" ht="60" customHeight="1" x14ac:dyDescent="0.25">
      <c r="A143" s="448" t="s">
        <v>6970</v>
      </c>
      <c r="B143" s="144" t="str">
        <f>IF(Recto!$C$3="","",IF(OR(Recto!$C$3=C143,Calculs!$I$8&gt;0),CONCATENATE(A143),""))</f>
        <v/>
      </c>
      <c r="C143" s="164" t="s">
        <v>332</v>
      </c>
      <c r="D143" s="448" t="s">
        <v>7327</v>
      </c>
      <c r="E143" s="141">
        <v>5.5</v>
      </c>
      <c r="F143" s="142" t="str">
        <f>IF(H143="S","","---")</f>
        <v>---</v>
      </c>
      <c r="G143" s="142" t="str">
        <f>IF(F143="---","---","")</f>
        <v>---</v>
      </c>
      <c r="H143" s="141" t="s">
        <v>2049</v>
      </c>
      <c r="I143" s="141" t="s">
        <v>2086</v>
      </c>
      <c r="J143" s="448" t="s">
        <v>6811</v>
      </c>
      <c r="K143" s="144">
        <v>120</v>
      </c>
      <c r="L143" s="449" t="s">
        <v>6973</v>
      </c>
      <c r="M143" s="450">
        <f t="shared" si="47"/>
        <v>0</v>
      </c>
      <c r="N143" s="449" t="s">
        <v>6971</v>
      </c>
      <c r="O143" s="449" t="s">
        <v>6972</v>
      </c>
      <c r="P143" s="451">
        <v>2</v>
      </c>
      <c r="Q143" s="451">
        <v>0</v>
      </c>
      <c r="R143" s="451">
        <v>0</v>
      </c>
      <c r="S143" s="187" t="s">
        <v>1284</v>
      </c>
      <c r="T143" s="196" t="str">
        <f t="shared" si="44"/>
        <v/>
      </c>
      <c r="U143" s="196" t="str">
        <f t="shared" si="45"/>
        <v/>
      </c>
      <c r="V143" s="578" t="str">
        <f t="shared" si="46"/>
        <v/>
      </c>
    </row>
    <row r="144" spans="1:22" ht="60" customHeight="1" x14ac:dyDescent="0.25">
      <c r="A144" s="448" t="s">
        <v>7150</v>
      </c>
      <c r="B144" s="144" t="str">
        <f>IF(Recto!$C$3="","",IF(OR(Recto!$C$3=C144,Calculs!$I$8&gt;0),CONCATENATE(A144),""))</f>
        <v/>
      </c>
      <c r="C144" s="164" t="s">
        <v>332</v>
      </c>
      <c r="D144" s="139" t="s">
        <v>2078</v>
      </c>
      <c r="E144" s="140" t="s">
        <v>2078</v>
      </c>
      <c r="F144" s="142" t="s">
        <v>2078</v>
      </c>
      <c r="G144" s="142" t="s">
        <v>2078</v>
      </c>
      <c r="H144" s="141" t="s">
        <v>2049</v>
      </c>
      <c r="I144" s="141" t="s">
        <v>2085</v>
      </c>
      <c r="J144" s="448" t="s">
        <v>6811</v>
      </c>
      <c r="K144" s="144">
        <v>122</v>
      </c>
      <c r="L144" s="449" t="s">
        <v>7153</v>
      </c>
      <c r="M144" s="450">
        <f t="shared" si="47"/>
        <v>0</v>
      </c>
      <c r="N144" s="452" t="s">
        <v>2078</v>
      </c>
      <c r="O144" s="449" t="s">
        <v>253</v>
      </c>
      <c r="P144" s="451">
        <v>0</v>
      </c>
      <c r="Q144" s="451">
        <v>0</v>
      </c>
      <c r="R144" s="451">
        <v>0</v>
      </c>
      <c r="S144" s="187" t="s">
        <v>1284</v>
      </c>
      <c r="T144" s="196" t="str">
        <f t="shared" si="44"/>
        <v/>
      </c>
      <c r="U144" s="196" t="str">
        <f t="shared" si="45"/>
        <v/>
      </c>
      <c r="V144" s="578" t="str">
        <f t="shared" si="46"/>
        <v/>
      </c>
    </row>
    <row r="145" spans="1:22" ht="60" customHeight="1" x14ac:dyDescent="0.25">
      <c r="A145" s="448" t="s">
        <v>6897</v>
      </c>
      <c r="B145" s="144" t="str">
        <f>IF(Recto!$C$3="","",IF(OR(Recto!$C$3=C145,Calculs!$I$8&gt;0),CONCATENATE(A145),""))</f>
        <v/>
      </c>
      <c r="C145" s="447" t="s">
        <v>6779</v>
      </c>
      <c r="D145" s="144" t="s">
        <v>6</v>
      </c>
      <c r="E145" s="141">
        <v>4.5</v>
      </c>
      <c r="F145" s="142" t="s">
        <v>578</v>
      </c>
      <c r="G145" s="142" t="s">
        <v>579</v>
      </c>
      <c r="H145" s="141" t="s">
        <v>2048</v>
      </c>
      <c r="I145" s="141" t="s">
        <v>2086</v>
      </c>
      <c r="J145" s="448" t="s">
        <v>6811</v>
      </c>
      <c r="K145" s="144">
        <v>85</v>
      </c>
      <c r="L145" s="449" t="s">
        <v>6898</v>
      </c>
      <c r="M145" s="450">
        <f>IF(D145="+1 Force",1,IF(D145="+1 Agilité",2,IF(D145="+1 Intelligence",3,IF(D145="+1 Perception",4,IF(D145="+1 Constitution",5,IF(D145="+1 Vide",6,IF(D145="+1 Volonté",7,IF(D145="+1 Reflexes",8,IF(D145="+1 Intuition",9,0)))))))))</f>
        <v>3</v>
      </c>
      <c r="N145" s="449" t="s">
        <v>6899</v>
      </c>
      <c r="O145" s="449" t="s">
        <v>6900</v>
      </c>
      <c r="P145" s="451">
        <v>6</v>
      </c>
      <c r="Q145" s="451">
        <v>0</v>
      </c>
      <c r="R145" s="451">
        <v>0</v>
      </c>
      <c r="S145" s="187" t="s">
        <v>1284</v>
      </c>
      <c r="T145" s="196" t="str">
        <f t="shared" si="44"/>
        <v/>
      </c>
      <c r="U145" s="196" t="str">
        <f t="shared" si="45"/>
        <v/>
      </c>
      <c r="V145" s="578" t="str">
        <f t="shared" si="46"/>
        <v/>
      </c>
    </row>
    <row r="146" spans="1:22" ht="60" customHeight="1" x14ac:dyDescent="0.25">
      <c r="A146" s="448" t="s">
        <v>7091</v>
      </c>
      <c r="B146" s="144" t="str">
        <f>IF(Recto!$C$3="","",IF(OR(Recto!$C$3=C146,Calculs!$I$8&gt;0),CONCATENATE(A146),""))</f>
        <v/>
      </c>
      <c r="C146" s="447" t="s">
        <v>6803</v>
      </c>
      <c r="D146" s="144" t="s">
        <v>171</v>
      </c>
      <c r="E146" s="141">
        <v>5.5</v>
      </c>
      <c r="F146" s="142" t="str">
        <f t="shared" ref="F146:F152" si="48">IF(H146="S","","---")</f>
        <v>---</v>
      </c>
      <c r="G146" s="142" t="str">
        <f t="shared" ref="G146:G152" si="49">IF(F146="---","---","")</f>
        <v>---</v>
      </c>
      <c r="H146" s="141" t="s">
        <v>2049</v>
      </c>
      <c r="I146" s="141" t="s">
        <v>2086</v>
      </c>
      <c r="J146" s="448" t="s">
        <v>6811</v>
      </c>
      <c r="K146" s="144">
        <v>130</v>
      </c>
      <c r="L146" s="449" t="s">
        <v>7092</v>
      </c>
      <c r="M146" s="450">
        <f>IF(D146="+1 Force",1,IF(D146="+1 Agilité",2,IF(D146="+1 Intelligence",3,IF(D146="+1 Perception",4,IF(D146="+1 Constitution",5,IF(D146="+1 Vide",6,IF(D146="+1 Volonté",7,IF(D146="+1 Reflexes",8,IF(D146="+1 Intuition",9,0)))))))))</f>
        <v>9</v>
      </c>
      <c r="N146" s="449" t="s">
        <v>7093</v>
      </c>
      <c r="O146" s="449" t="s">
        <v>7094</v>
      </c>
      <c r="P146" s="451">
        <v>2</v>
      </c>
      <c r="Q146" s="451">
        <v>0</v>
      </c>
      <c r="R146" s="451">
        <v>0</v>
      </c>
      <c r="S146" s="187" t="s">
        <v>1284</v>
      </c>
      <c r="T146" s="196" t="str">
        <f t="shared" si="44"/>
        <v/>
      </c>
      <c r="U146" s="196" t="str">
        <f t="shared" si="45"/>
        <v/>
      </c>
      <c r="V146" s="578" t="str">
        <f t="shared" si="46"/>
        <v/>
      </c>
    </row>
    <row r="147" spans="1:22" ht="60" customHeight="1" x14ac:dyDescent="0.25">
      <c r="A147" s="448" t="s">
        <v>7303</v>
      </c>
      <c r="B147" s="144" t="str">
        <f>IF(Recto!$C$3="","",IF(OR(Recto!$C$3=C147,Calculs!$I$8&gt;0),CONCATENATE(A147),""))</f>
        <v/>
      </c>
      <c r="C147" s="447" t="s">
        <v>7302</v>
      </c>
      <c r="D147" s="144" t="s">
        <v>170</v>
      </c>
      <c r="E147" s="141">
        <v>4.5</v>
      </c>
      <c r="F147" s="142" t="str">
        <f t="shared" si="48"/>
        <v>---</v>
      </c>
      <c r="G147" s="142" t="str">
        <f t="shared" si="49"/>
        <v>---</v>
      </c>
      <c r="H147" s="141" t="s">
        <v>2049</v>
      </c>
      <c r="I147" s="141" t="s">
        <v>2086</v>
      </c>
      <c r="J147" s="448" t="s">
        <v>6811</v>
      </c>
      <c r="K147" s="144">
        <v>65</v>
      </c>
      <c r="L147" s="449" t="s">
        <v>7304</v>
      </c>
      <c r="M147" s="450">
        <f>IF(D147="+1 Force",1,IF(D147="+1 Agilité",2,IF(D147="+1 Intelligence",3,IF(D147="+1 Perception",4,IF(D147="+1 Constitution",5,IF(D147="+1 Vide",6,IF(D147="+1 Volonté",7,IF(D147="+1 Reflexes",8,IF(D147="+1 Intuition",9,0)))))))))</f>
        <v>1</v>
      </c>
      <c r="N147" s="449" t="s">
        <v>7306</v>
      </c>
      <c r="O147" s="449" t="s">
        <v>7305</v>
      </c>
      <c r="P147" s="451">
        <v>3</v>
      </c>
      <c r="Q147" s="451">
        <v>0</v>
      </c>
      <c r="R147" s="451">
        <v>0</v>
      </c>
      <c r="S147" s="187" t="s">
        <v>1284</v>
      </c>
      <c r="T147" s="196" t="str">
        <f t="shared" si="44"/>
        <v/>
      </c>
      <c r="U147" s="196" t="str">
        <f t="shared" si="45"/>
        <v/>
      </c>
      <c r="V147" s="578" t="str">
        <f t="shared" si="46"/>
        <v/>
      </c>
    </row>
    <row r="148" spans="1:22" ht="60" customHeight="1" x14ac:dyDescent="0.25">
      <c r="A148" s="448" t="s">
        <v>209</v>
      </c>
      <c r="B148" s="144" t="str">
        <f>IF(Recto!$C$3="","",IF(OR(Recto!$C$3=C148,Calculs!$I$8&gt;0),CONCATENATE(A148),""))</f>
        <v/>
      </c>
      <c r="C148" s="164" t="s">
        <v>178</v>
      </c>
      <c r="D148" s="144" t="s">
        <v>19</v>
      </c>
      <c r="E148" s="141">
        <v>3.5</v>
      </c>
      <c r="F148" s="142" t="str">
        <f t="shared" si="48"/>
        <v>---</v>
      </c>
      <c r="G148" s="142" t="str">
        <f t="shared" si="49"/>
        <v>---</v>
      </c>
      <c r="H148" s="141" t="s">
        <v>2049</v>
      </c>
      <c r="I148" s="141" t="s">
        <v>2086</v>
      </c>
      <c r="J148" s="448" t="s">
        <v>3</v>
      </c>
      <c r="K148" s="144">
        <v>125</v>
      </c>
      <c r="L148" s="449" t="s">
        <v>355</v>
      </c>
      <c r="M148" s="450">
        <f t="shared" ref="M148:M169" si="50">IF(D148="+1 Force",1,IF(D148="+1 Agilité",2,IF(D148="+1 Intelligence",3,IF(D148="+1 Perception",4,IF(D148="+1 Constitution",5,IF(D148="+1 Vide",6,IF(D148="+1 Volonté",7,IF(D148="+1 Reflexes",8,IF(D148="+1 Intuition",9,0)))))))))</f>
        <v>8</v>
      </c>
      <c r="N148" s="449" t="s">
        <v>2534</v>
      </c>
      <c r="O148" s="449" t="s">
        <v>2535</v>
      </c>
      <c r="P148" s="451">
        <v>10</v>
      </c>
      <c r="Q148" s="451">
        <v>0</v>
      </c>
      <c r="R148" s="451">
        <v>0</v>
      </c>
      <c r="S148" s="187" t="s">
        <v>1284</v>
      </c>
      <c r="T148" s="196" t="str">
        <f t="shared" si="44"/>
        <v/>
      </c>
      <c r="U148" s="196" t="str">
        <f t="shared" si="45"/>
        <v/>
      </c>
      <c r="V148" s="578" t="str">
        <f t="shared" si="46"/>
        <v/>
      </c>
    </row>
    <row r="149" spans="1:22" ht="60" customHeight="1" x14ac:dyDescent="0.25">
      <c r="A149" s="448" t="s">
        <v>6090</v>
      </c>
      <c r="B149" s="144" t="str">
        <f>IF(Recto!$C$3="","",IF(OR(Recto!$C$3=C149,Calculs!$I$8&gt;0),CONCATENATE(A149),""))</f>
        <v/>
      </c>
      <c r="C149" s="164" t="s">
        <v>178</v>
      </c>
      <c r="D149" s="139" t="s">
        <v>169</v>
      </c>
      <c r="E149" s="141">
        <v>3.5</v>
      </c>
      <c r="F149" s="142" t="str">
        <f t="shared" si="48"/>
        <v>---</v>
      </c>
      <c r="G149" s="142" t="str">
        <f t="shared" si="49"/>
        <v>---</v>
      </c>
      <c r="H149" s="141" t="s">
        <v>2049</v>
      </c>
      <c r="I149" s="141" t="s">
        <v>2086</v>
      </c>
      <c r="J149" s="448" t="s">
        <v>6061</v>
      </c>
      <c r="K149" s="144">
        <v>194</v>
      </c>
      <c r="L149" s="449" t="s">
        <v>2883</v>
      </c>
      <c r="M149" s="450">
        <f t="shared" si="50"/>
        <v>2</v>
      </c>
      <c r="N149" s="449" t="s">
        <v>8388</v>
      </c>
      <c r="O149" s="449" t="s">
        <v>8389</v>
      </c>
      <c r="P149" s="451">
        <v>4</v>
      </c>
      <c r="Q149" s="451">
        <v>0</v>
      </c>
      <c r="R149" s="451">
        <v>0</v>
      </c>
      <c r="S149" s="187" t="s">
        <v>1284</v>
      </c>
      <c r="T149" s="196" t="str">
        <f t="shared" si="44"/>
        <v/>
      </c>
      <c r="U149" s="196" t="str">
        <f t="shared" si="45"/>
        <v/>
      </c>
      <c r="V149" s="578" t="str">
        <f t="shared" si="46"/>
        <v/>
      </c>
    </row>
    <row r="150" spans="1:22" ht="60" customHeight="1" x14ac:dyDescent="0.25">
      <c r="A150" s="448" t="s">
        <v>210</v>
      </c>
      <c r="B150" s="144" t="str">
        <f>IF(Recto!$C$3="","",IF(OR(Recto!$C$3=C150,Calculs!$I$8&gt;0),CONCATENATE(A150),""))</f>
        <v/>
      </c>
      <c r="C150" s="164" t="s">
        <v>178</v>
      </c>
      <c r="D150" s="144" t="s">
        <v>170</v>
      </c>
      <c r="E150" s="141">
        <v>3.5</v>
      </c>
      <c r="F150" s="142" t="str">
        <f t="shared" si="48"/>
        <v>---</v>
      </c>
      <c r="G150" s="142" t="str">
        <f t="shared" si="49"/>
        <v>---</v>
      </c>
      <c r="H150" s="141" t="s">
        <v>2049</v>
      </c>
      <c r="I150" s="141" t="s">
        <v>2086</v>
      </c>
      <c r="J150" s="448" t="s">
        <v>3</v>
      </c>
      <c r="K150" s="144">
        <v>123</v>
      </c>
      <c r="L150" s="449" t="s">
        <v>353</v>
      </c>
      <c r="M150" s="450">
        <f t="shared" si="50"/>
        <v>1</v>
      </c>
      <c r="N150" s="449" t="s">
        <v>2473</v>
      </c>
      <c r="O150" s="449" t="s">
        <v>2474</v>
      </c>
      <c r="P150" s="451">
        <v>10</v>
      </c>
      <c r="Q150" s="451">
        <v>0</v>
      </c>
      <c r="R150" s="451">
        <v>0</v>
      </c>
      <c r="S150" s="187" t="s">
        <v>1284</v>
      </c>
      <c r="T150" s="196" t="str">
        <f t="shared" si="44"/>
        <v/>
      </c>
      <c r="U150" s="196" t="str">
        <f t="shared" si="45"/>
        <v/>
      </c>
      <c r="V150" s="578" t="str">
        <f t="shared" si="46"/>
        <v/>
      </c>
    </row>
    <row r="151" spans="1:22" ht="60" customHeight="1" x14ac:dyDescent="0.25">
      <c r="A151" s="448" t="s">
        <v>422</v>
      </c>
      <c r="B151" s="144" t="str">
        <f>IF(Recto!$C$3="","",IF(OR(Recto!$C$3=C151,Calculs!$I$8&gt;0),CONCATENATE(A151),""))</f>
        <v/>
      </c>
      <c r="C151" s="164" t="s">
        <v>178</v>
      </c>
      <c r="D151" s="139" t="s">
        <v>2078</v>
      </c>
      <c r="E151" s="140" t="s">
        <v>2078</v>
      </c>
      <c r="F151" s="142" t="str">
        <f t="shared" si="48"/>
        <v>---</v>
      </c>
      <c r="G151" s="142" t="str">
        <f t="shared" si="49"/>
        <v>---</v>
      </c>
      <c r="H151" s="141" t="s">
        <v>2049</v>
      </c>
      <c r="I151" s="141" t="s">
        <v>2085</v>
      </c>
      <c r="J151" s="448" t="s">
        <v>4808</v>
      </c>
      <c r="K151" s="144">
        <v>143</v>
      </c>
      <c r="L151" s="449" t="s">
        <v>422</v>
      </c>
      <c r="M151" s="450">
        <f t="shared" si="50"/>
        <v>0</v>
      </c>
      <c r="N151" s="452" t="s">
        <v>2078</v>
      </c>
      <c r="O151" s="449" t="s">
        <v>253</v>
      </c>
      <c r="P151" s="451">
        <v>0</v>
      </c>
      <c r="Q151" s="451">
        <v>0</v>
      </c>
      <c r="R151" s="451">
        <v>0</v>
      </c>
      <c r="S151" s="187" t="s">
        <v>1284</v>
      </c>
      <c r="T151" s="196" t="str">
        <f t="shared" si="44"/>
        <v/>
      </c>
      <c r="U151" s="196" t="str">
        <f t="shared" si="45"/>
        <v/>
      </c>
      <c r="V151" s="578" t="str">
        <f t="shared" si="46"/>
        <v/>
      </c>
    </row>
    <row r="152" spans="1:22" ht="60" customHeight="1" x14ac:dyDescent="0.25">
      <c r="A152" s="448" t="s">
        <v>2865</v>
      </c>
      <c r="B152" s="144" t="str">
        <f>IF(Recto!$C$3="","",IF(OR(Recto!$C$3=C152,Calculs!$I$8&gt;0),CONCATENATE(A152),""))</f>
        <v/>
      </c>
      <c r="C152" s="164" t="s">
        <v>178</v>
      </c>
      <c r="D152" s="139" t="s">
        <v>169</v>
      </c>
      <c r="E152" s="141">
        <v>4.5</v>
      </c>
      <c r="F152" s="142" t="str">
        <f t="shared" si="48"/>
        <v>---</v>
      </c>
      <c r="G152" s="142" t="str">
        <f t="shared" si="49"/>
        <v>---</v>
      </c>
      <c r="H152" s="141" t="s">
        <v>2049</v>
      </c>
      <c r="I152" s="141" t="s">
        <v>2086</v>
      </c>
      <c r="J152" s="448" t="s">
        <v>6061</v>
      </c>
      <c r="K152" s="144">
        <v>196</v>
      </c>
      <c r="L152" s="449" t="s">
        <v>2881</v>
      </c>
      <c r="M152" s="450">
        <f t="shared" si="50"/>
        <v>2</v>
      </c>
      <c r="N152" s="449" t="s">
        <v>3020</v>
      </c>
      <c r="O152" s="449" t="s">
        <v>2875</v>
      </c>
      <c r="P152" s="451">
        <v>10</v>
      </c>
      <c r="Q152" s="451">
        <v>0</v>
      </c>
      <c r="R152" s="451">
        <v>0</v>
      </c>
      <c r="S152" s="187" t="s">
        <v>1284</v>
      </c>
      <c r="T152" s="196" t="str">
        <f t="shared" si="44"/>
        <v/>
      </c>
      <c r="U152" s="196" t="str">
        <f t="shared" si="45"/>
        <v/>
      </c>
      <c r="V152" s="578" t="str">
        <f t="shared" si="46"/>
        <v/>
      </c>
    </row>
    <row r="153" spans="1:22" ht="60" customHeight="1" x14ac:dyDescent="0.25">
      <c r="A153" s="448" t="s">
        <v>2568</v>
      </c>
      <c r="B153" s="144" t="str">
        <f>IF(Recto!$C$3="","",IF(OR(Recto!$C$3=C153,Calculs!$I$8&gt;0),CONCATENATE(A153),""))</f>
        <v/>
      </c>
      <c r="C153" s="164" t="s">
        <v>178</v>
      </c>
      <c r="D153" s="139" t="s">
        <v>2078</v>
      </c>
      <c r="E153" s="140" t="s">
        <v>2078</v>
      </c>
      <c r="F153" s="142" t="s">
        <v>2078</v>
      </c>
      <c r="G153" s="142" t="s">
        <v>2078</v>
      </c>
      <c r="H153" s="141" t="s">
        <v>2048</v>
      </c>
      <c r="I153" s="141" t="s">
        <v>2085</v>
      </c>
      <c r="J153" s="448" t="s">
        <v>3</v>
      </c>
      <c r="K153" s="144">
        <v>249</v>
      </c>
      <c r="L153" s="449" t="s">
        <v>2595</v>
      </c>
      <c r="M153" s="450">
        <f t="shared" si="50"/>
        <v>0</v>
      </c>
      <c r="N153" s="452" t="s">
        <v>2078</v>
      </c>
      <c r="O153" s="449" t="s">
        <v>253</v>
      </c>
      <c r="P153" s="451">
        <v>0</v>
      </c>
      <c r="Q153" s="451">
        <v>0</v>
      </c>
      <c r="R153" s="451">
        <v>0</v>
      </c>
      <c r="S153" s="187" t="s">
        <v>1284</v>
      </c>
      <c r="T153" s="196" t="str">
        <f t="shared" si="44"/>
        <v/>
      </c>
      <c r="U153" s="196" t="str">
        <f t="shared" si="45"/>
        <v/>
      </c>
      <c r="V153" s="578" t="str">
        <f t="shared" si="46"/>
        <v/>
      </c>
    </row>
    <row r="154" spans="1:22" ht="60" customHeight="1" x14ac:dyDescent="0.25">
      <c r="A154" s="448" t="s">
        <v>211</v>
      </c>
      <c r="B154" s="144" t="str">
        <f>IF(Recto!$C$3="","",IF(OR(Recto!$C$3=C154,Calculs!$I$8&gt;0),CONCATENATE(A154),""))</f>
        <v/>
      </c>
      <c r="C154" s="164" t="s">
        <v>178</v>
      </c>
      <c r="D154" s="144" t="s">
        <v>174</v>
      </c>
      <c r="E154" s="141">
        <v>2.5</v>
      </c>
      <c r="F154" s="142" t="str">
        <f>IF(H154="S","","---")</f>
        <v>---</v>
      </c>
      <c r="G154" s="142" t="str">
        <f>IF(F154="---","---","")</f>
        <v>---</v>
      </c>
      <c r="H154" s="141" t="s">
        <v>2052</v>
      </c>
      <c r="I154" s="141" t="s">
        <v>2086</v>
      </c>
      <c r="J154" s="448" t="s">
        <v>3</v>
      </c>
      <c r="K154" s="144">
        <v>124</v>
      </c>
      <c r="L154" s="449" t="s">
        <v>354</v>
      </c>
      <c r="M154" s="450">
        <f t="shared" si="50"/>
        <v>7</v>
      </c>
      <c r="N154" s="449" t="s">
        <v>2481</v>
      </c>
      <c r="O154" s="449" t="s">
        <v>2356</v>
      </c>
      <c r="P154" s="451">
        <v>10</v>
      </c>
      <c r="Q154" s="451">
        <v>0</v>
      </c>
      <c r="R154" s="451">
        <v>0</v>
      </c>
      <c r="S154" s="187" t="s">
        <v>1284</v>
      </c>
      <c r="T154" s="196" t="str">
        <f t="shared" si="44"/>
        <v/>
      </c>
      <c r="U154" s="196" t="str">
        <f t="shared" si="45"/>
        <v/>
      </c>
      <c r="V154" s="578" t="str">
        <f t="shared" si="46"/>
        <v/>
      </c>
    </row>
    <row r="155" spans="1:22" ht="60" customHeight="1" x14ac:dyDescent="0.25">
      <c r="A155" s="448" t="s">
        <v>312</v>
      </c>
      <c r="B155" s="144" t="str">
        <f>IF(Recto!$C$3="","",IF(OR(Recto!$C$3=C155,Calculs!$I$8&gt;0),CONCATENATE(A155),""))</f>
        <v/>
      </c>
      <c r="C155" s="164" t="s">
        <v>178</v>
      </c>
      <c r="D155" s="144" t="s">
        <v>171</v>
      </c>
      <c r="E155" s="141">
        <v>4.5</v>
      </c>
      <c r="F155" s="142" t="s">
        <v>100</v>
      </c>
      <c r="G155" s="142" t="s">
        <v>577</v>
      </c>
      <c r="H155" s="141" t="s">
        <v>2048</v>
      </c>
      <c r="I155" s="141" t="s">
        <v>2086</v>
      </c>
      <c r="J155" s="448" t="s">
        <v>3</v>
      </c>
      <c r="K155" s="144">
        <v>124</v>
      </c>
      <c r="L155" s="449" t="s">
        <v>2479</v>
      </c>
      <c r="M155" s="450">
        <f t="shared" si="50"/>
        <v>9</v>
      </c>
      <c r="N155" s="449" t="s">
        <v>2480</v>
      </c>
      <c r="O155" s="449" t="s">
        <v>2232</v>
      </c>
      <c r="P155" s="451">
        <v>10</v>
      </c>
      <c r="Q155" s="451">
        <v>0</v>
      </c>
      <c r="R155" s="451">
        <v>0</v>
      </c>
      <c r="S155" s="187" t="s">
        <v>1284</v>
      </c>
      <c r="T155" s="196" t="str">
        <f t="shared" si="44"/>
        <v/>
      </c>
      <c r="U155" s="196" t="str">
        <f t="shared" si="45"/>
        <v/>
      </c>
      <c r="V155" s="578" t="str">
        <f t="shared" si="46"/>
        <v/>
      </c>
    </row>
    <row r="156" spans="1:22" ht="60" customHeight="1" x14ac:dyDescent="0.25">
      <c r="A156" s="448" t="s">
        <v>212</v>
      </c>
      <c r="B156" s="144" t="str">
        <f>IF(Recto!$C$3="","",IF(OR(Recto!$C$3=C156,Calculs!$I$8&gt;0),CONCATENATE(A156),""))</f>
        <v/>
      </c>
      <c r="C156" s="164" t="s">
        <v>178</v>
      </c>
      <c r="D156" s="144" t="s">
        <v>9</v>
      </c>
      <c r="E156" s="141">
        <v>4.5</v>
      </c>
      <c r="F156" s="142" t="s">
        <v>7326</v>
      </c>
      <c r="G156" s="142" t="str">
        <f>IF(F156="Choix affinité?","Choix affinité?",IF(F156="Air","Terre",IF(F156="Feu","Eau",IF(F156="Eau","Feu",IF(F156="Terre","Air","")))))</f>
        <v>Choix affinité?</v>
      </c>
      <c r="H156" s="141" t="s">
        <v>2048</v>
      </c>
      <c r="I156" s="141" t="s">
        <v>2086</v>
      </c>
      <c r="J156" s="448" t="s">
        <v>6061</v>
      </c>
      <c r="K156" s="144">
        <v>198</v>
      </c>
      <c r="L156" s="449" t="s">
        <v>2872</v>
      </c>
      <c r="M156" s="450">
        <f t="shared" si="50"/>
        <v>4</v>
      </c>
      <c r="N156" s="449" t="s">
        <v>2873</v>
      </c>
      <c r="O156" s="449" t="s">
        <v>2874</v>
      </c>
      <c r="P156" s="451">
        <v>10</v>
      </c>
      <c r="Q156" s="451">
        <v>0</v>
      </c>
      <c r="R156" s="451">
        <v>0</v>
      </c>
      <c r="S156" s="187" t="s">
        <v>1284</v>
      </c>
      <c r="T156" s="196" t="str">
        <f t="shared" si="44"/>
        <v/>
      </c>
      <c r="U156" s="196" t="str">
        <f t="shared" si="45"/>
        <v/>
      </c>
      <c r="V156" s="578" t="str">
        <f t="shared" si="46"/>
        <v/>
      </c>
    </row>
    <row r="157" spans="1:22" ht="60" customHeight="1" x14ac:dyDescent="0.25">
      <c r="A157" s="448" t="s">
        <v>312</v>
      </c>
      <c r="B157" s="144" t="str">
        <f>IF(Recto!$C$3="","",IF(OR(Recto!$C$3=C157,Calculs!$I$8&gt;0),CONCATENATE(A157),""))</f>
        <v/>
      </c>
      <c r="C157" s="164" t="s">
        <v>322</v>
      </c>
      <c r="D157" s="144" t="s">
        <v>171</v>
      </c>
      <c r="E157" s="141">
        <v>4.5</v>
      </c>
      <c r="F157" s="142" t="s">
        <v>100</v>
      </c>
      <c r="G157" s="142" t="s">
        <v>577</v>
      </c>
      <c r="H157" s="141" t="s">
        <v>2048</v>
      </c>
      <c r="I157" s="141" t="s">
        <v>2086</v>
      </c>
      <c r="J157" s="448" t="s">
        <v>3</v>
      </c>
      <c r="K157" s="144">
        <v>124</v>
      </c>
      <c r="L157" s="449" t="s">
        <v>2479</v>
      </c>
      <c r="M157" s="450">
        <f t="shared" si="50"/>
        <v>9</v>
      </c>
      <c r="N157" s="449" t="s">
        <v>2480</v>
      </c>
      <c r="O157" s="449" t="s">
        <v>2232</v>
      </c>
      <c r="P157" s="451">
        <v>10</v>
      </c>
      <c r="Q157" s="451">
        <v>0</v>
      </c>
      <c r="R157" s="451">
        <v>0</v>
      </c>
      <c r="S157" s="187" t="s">
        <v>1284</v>
      </c>
      <c r="T157" s="196" t="str">
        <f t="shared" si="44"/>
        <v/>
      </c>
      <c r="U157" s="196" t="str">
        <f t="shared" si="45"/>
        <v/>
      </c>
      <c r="V157" s="578" t="str">
        <f t="shared" si="46"/>
        <v/>
      </c>
    </row>
    <row r="158" spans="1:22" ht="60" customHeight="1" x14ac:dyDescent="0.25">
      <c r="A158" s="448" t="s">
        <v>429</v>
      </c>
      <c r="B158" s="144" t="str">
        <f>IF(Recto!$C$3="","",IF(OR(Recto!$C$3=C158,Calculs!$I$8&gt;0),CONCATENATE(A158),""))</f>
        <v/>
      </c>
      <c r="C158" s="164" t="s">
        <v>398</v>
      </c>
      <c r="D158" s="139" t="s">
        <v>2078</v>
      </c>
      <c r="E158" s="140" t="s">
        <v>2078</v>
      </c>
      <c r="F158" s="142" t="str">
        <f>IF(H158="S","","---")</f>
        <v>---</v>
      </c>
      <c r="G158" s="142" t="str">
        <f>IF(F158="---","---","")</f>
        <v>---</v>
      </c>
      <c r="H158" s="141" t="s">
        <v>2049</v>
      </c>
      <c r="I158" s="141" t="s">
        <v>2085</v>
      </c>
      <c r="J158" s="448" t="s">
        <v>4808</v>
      </c>
      <c r="K158" s="144">
        <v>63</v>
      </c>
      <c r="L158" s="449" t="s">
        <v>429</v>
      </c>
      <c r="M158" s="450">
        <f t="shared" si="50"/>
        <v>0</v>
      </c>
      <c r="N158" s="452" t="s">
        <v>2078</v>
      </c>
      <c r="O158" s="449" t="s">
        <v>253</v>
      </c>
      <c r="P158" s="451">
        <v>0</v>
      </c>
      <c r="Q158" s="451">
        <v>0</v>
      </c>
      <c r="R158" s="451">
        <v>0</v>
      </c>
      <c r="S158" s="187" t="s">
        <v>1284</v>
      </c>
      <c r="T158" s="196" t="str">
        <f t="shared" si="44"/>
        <v/>
      </c>
      <c r="U158" s="196" t="str">
        <f t="shared" si="45"/>
        <v/>
      </c>
      <c r="V158" s="578" t="str">
        <f t="shared" si="46"/>
        <v/>
      </c>
    </row>
    <row r="159" spans="1:22" ht="60" customHeight="1" x14ac:dyDescent="0.25">
      <c r="A159" s="448" t="s">
        <v>6887</v>
      </c>
      <c r="B159" s="144"/>
      <c r="C159" s="447" t="s">
        <v>6773</v>
      </c>
      <c r="D159" s="144" t="s">
        <v>9</v>
      </c>
      <c r="E159" s="140">
        <v>3.5</v>
      </c>
      <c r="F159" s="142" t="s">
        <v>578</v>
      </c>
      <c r="G159" s="142" t="s">
        <v>579</v>
      </c>
      <c r="H159" s="141" t="s">
        <v>2048</v>
      </c>
      <c r="I159" s="141" t="s">
        <v>2086</v>
      </c>
      <c r="J159" s="448" t="s">
        <v>6811</v>
      </c>
      <c r="K159" s="144">
        <v>69</v>
      </c>
      <c r="L159" s="449" t="s">
        <v>6888</v>
      </c>
      <c r="M159" s="450">
        <f t="shared" si="50"/>
        <v>4</v>
      </c>
      <c r="N159" s="452" t="s">
        <v>6889</v>
      </c>
      <c r="O159" s="449" t="s">
        <v>2232</v>
      </c>
      <c r="P159" s="451">
        <v>2</v>
      </c>
      <c r="Q159" s="451">
        <v>0</v>
      </c>
      <c r="R159" s="451">
        <v>0</v>
      </c>
      <c r="S159" s="187" t="s">
        <v>1284</v>
      </c>
      <c r="T159" s="196" t="str">
        <f t="shared" si="44"/>
        <v/>
      </c>
      <c r="U159" s="196" t="str">
        <f t="shared" si="45"/>
        <v/>
      </c>
      <c r="V159" s="578" t="str">
        <f t="shared" si="46"/>
        <v/>
      </c>
    </row>
    <row r="160" spans="1:22" ht="60" customHeight="1" x14ac:dyDescent="0.25">
      <c r="A160" s="448" t="s">
        <v>405</v>
      </c>
      <c r="B160" s="144" t="str">
        <f>IF(Recto!$C$3="","",IF(OR(Recto!$C$3=C160,Calculs!$I$8&gt;0),CONCATENATE(A160),""))</f>
        <v/>
      </c>
      <c r="C160" s="164" t="s">
        <v>339</v>
      </c>
      <c r="D160" s="144" t="s">
        <v>174</v>
      </c>
      <c r="E160" s="141">
        <v>6.5</v>
      </c>
      <c r="F160" s="142" t="str">
        <f>IF(H160="S","","---")</f>
        <v>---</v>
      </c>
      <c r="G160" s="142" t="str">
        <f>IF(F160="---","---","")</f>
        <v>---</v>
      </c>
      <c r="H160" s="141" t="s">
        <v>2049</v>
      </c>
      <c r="I160" s="141" t="s">
        <v>2086</v>
      </c>
      <c r="J160" s="448" t="s">
        <v>3</v>
      </c>
      <c r="K160" s="144">
        <v>225</v>
      </c>
      <c r="L160" s="449" t="s">
        <v>370</v>
      </c>
      <c r="M160" s="450">
        <f t="shared" si="50"/>
        <v>7</v>
      </c>
      <c r="N160" s="449" t="s">
        <v>2173</v>
      </c>
      <c r="O160" s="449" t="s">
        <v>2229</v>
      </c>
      <c r="P160" s="451">
        <v>3</v>
      </c>
      <c r="Q160" s="451">
        <v>0</v>
      </c>
      <c r="R160" s="451">
        <v>0</v>
      </c>
      <c r="S160" s="187" t="s">
        <v>1284</v>
      </c>
      <c r="T160" s="196" t="str">
        <f t="shared" si="44"/>
        <v/>
      </c>
      <c r="U160" s="196" t="str">
        <f t="shared" si="45"/>
        <v/>
      </c>
      <c r="V160" s="578" t="str">
        <f t="shared" si="46"/>
        <v/>
      </c>
    </row>
    <row r="161" spans="1:265" ht="60" customHeight="1" x14ac:dyDescent="0.25">
      <c r="A161" s="448" t="s">
        <v>298</v>
      </c>
      <c r="B161" s="144" t="str">
        <f>IF(Recto!$C$3="","",IF(OR(Recto!$C$3=C161,Calculs!$I$8&gt;0),CONCATENATE(A161),""))</f>
        <v/>
      </c>
      <c r="C161" s="164" t="s">
        <v>53</v>
      </c>
      <c r="D161" s="144" t="s">
        <v>9</v>
      </c>
      <c r="E161" s="141">
        <v>4.5</v>
      </c>
      <c r="F161" s="142" t="str">
        <f>IF(H161="S","","---")</f>
        <v>---</v>
      </c>
      <c r="G161" s="142" t="str">
        <f>IF(F161="---","---","")</f>
        <v>---</v>
      </c>
      <c r="H161" s="141" t="s">
        <v>2049</v>
      </c>
      <c r="I161" s="141" t="s">
        <v>2086</v>
      </c>
      <c r="J161" s="448" t="s">
        <v>2075</v>
      </c>
      <c r="K161" s="144">
        <v>83</v>
      </c>
      <c r="L161" s="449" t="s">
        <v>298</v>
      </c>
      <c r="M161" s="450">
        <f t="shared" si="50"/>
        <v>4</v>
      </c>
      <c r="N161" s="449" t="s">
        <v>3021</v>
      </c>
      <c r="O161" s="449" t="s">
        <v>3022</v>
      </c>
      <c r="P161" s="451">
        <v>0</v>
      </c>
      <c r="Q161" s="451">
        <v>0</v>
      </c>
      <c r="R161" s="451">
        <v>0</v>
      </c>
      <c r="S161" s="187" t="s">
        <v>1284</v>
      </c>
      <c r="T161" s="196" t="str">
        <f t="shared" si="44"/>
        <v/>
      </c>
      <c r="U161" s="196" t="str">
        <f t="shared" si="45"/>
        <v/>
      </c>
      <c r="V161" s="578" t="str">
        <f t="shared" si="46"/>
        <v/>
      </c>
    </row>
    <row r="162" spans="1:265" ht="60" customHeight="1" x14ac:dyDescent="0.25">
      <c r="A162" s="448" t="s">
        <v>299</v>
      </c>
      <c r="B162" s="144" t="str">
        <f>IF(Recto!$C$3="","",IF(OR(Recto!$C$3=C162,Calculs!$I$8&gt;0),CONCATENATE(A162),""))</f>
        <v/>
      </c>
      <c r="C162" s="164" t="s">
        <v>53</v>
      </c>
      <c r="D162" s="144" t="s">
        <v>170</v>
      </c>
      <c r="E162" s="141">
        <v>4.5</v>
      </c>
      <c r="F162" s="142" t="str">
        <f>IF(H162="S","","---")</f>
        <v>---</v>
      </c>
      <c r="G162" s="142" t="str">
        <f>IF(F162="---","---","")</f>
        <v>---</v>
      </c>
      <c r="H162" s="141" t="s">
        <v>2049</v>
      </c>
      <c r="I162" s="141" t="s">
        <v>2086</v>
      </c>
      <c r="J162" s="448" t="s">
        <v>2075</v>
      </c>
      <c r="K162" s="144">
        <v>85</v>
      </c>
      <c r="L162" s="449" t="s">
        <v>299</v>
      </c>
      <c r="M162" s="450">
        <f t="shared" si="50"/>
        <v>1</v>
      </c>
      <c r="N162" s="449" t="s">
        <v>3046</v>
      </c>
      <c r="O162" s="449" t="s">
        <v>3040</v>
      </c>
      <c r="P162" s="451">
        <v>0</v>
      </c>
      <c r="Q162" s="451">
        <v>0</v>
      </c>
      <c r="R162" s="451">
        <v>0</v>
      </c>
      <c r="S162" s="187" t="s">
        <v>1284</v>
      </c>
      <c r="T162" s="196" t="str">
        <f t="shared" si="44"/>
        <v/>
      </c>
      <c r="U162" s="196" t="str">
        <f t="shared" si="45"/>
        <v/>
      </c>
      <c r="V162" s="578" t="str">
        <f t="shared" si="46"/>
        <v/>
      </c>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457"/>
      <c r="AY162" s="457"/>
      <c r="AZ162" s="457"/>
      <c r="BA162" s="457"/>
      <c r="BB162" s="457"/>
      <c r="BC162" s="457"/>
      <c r="BD162" s="457"/>
      <c r="BE162" s="457"/>
      <c r="BF162" s="457"/>
      <c r="BG162" s="457"/>
      <c r="BH162" s="457"/>
      <c r="BI162" s="457"/>
      <c r="BJ162" s="457"/>
      <c r="BK162" s="457"/>
      <c r="BL162" s="457"/>
      <c r="BM162" s="457"/>
      <c r="BN162" s="457"/>
      <c r="BO162" s="457"/>
      <c r="BP162" s="457"/>
      <c r="BQ162" s="457"/>
      <c r="BR162" s="457"/>
      <c r="BS162" s="457"/>
      <c r="BT162" s="457"/>
      <c r="BU162" s="457"/>
      <c r="BV162" s="457"/>
      <c r="BW162" s="457"/>
      <c r="BX162" s="457"/>
      <c r="BY162" s="457"/>
      <c r="BZ162" s="457"/>
      <c r="CA162" s="457"/>
      <c r="CB162" s="457"/>
      <c r="CC162" s="457"/>
      <c r="CD162" s="457"/>
      <c r="CE162" s="457"/>
      <c r="CF162" s="457"/>
      <c r="CG162" s="457"/>
      <c r="CH162" s="457"/>
      <c r="CI162" s="457"/>
      <c r="CJ162" s="457"/>
      <c r="CK162" s="457"/>
      <c r="CL162" s="457"/>
      <c r="CM162" s="457"/>
      <c r="CN162" s="457"/>
      <c r="CO162" s="457"/>
      <c r="CP162" s="457"/>
      <c r="CQ162" s="457"/>
      <c r="CR162" s="457"/>
      <c r="CS162" s="457"/>
      <c r="CT162" s="457"/>
      <c r="CU162" s="457"/>
      <c r="CV162" s="457"/>
      <c r="CW162" s="457"/>
      <c r="CX162" s="457"/>
      <c r="CY162" s="457"/>
      <c r="CZ162" s="457"/>
      <c r="DA162" s="457"/>
      <c r="DB162" s="457"/>
      <c r="DC162" s="457"/>
      <c r="DD162" s="457"/>
      <c r="DE162" s="457"/>
      <c r="DF162" s="457"/>
      <c r="DG162" s="457"/>
      <c r="DH162" s="457"/>
      <c r="DI162" s="457"/>
      <c r="DJ162" s="457"/>
      <c r="DK162" s="457"/>
      <c r="DL162" s="457"/>
      <c r="DM162" s="457"/>
      <c r="DN162" s="457"/>
      <c r="DO162" s="457"/>
      <c r="DP162" s="457"/>
      <c r="DQ162" s="457"/>
      <c r="DR162" s="457"/>
      <c r="DS162" s="457"/>
      <c r="DT162" s="457"/>
      <c r="DU162" s="457"/>
      <c r="DV162" s="457"/>
      <c r="DW162" s="457"/>
      <c r="DX162" s="457"/>
      <c r="DY162" s="457"/>
      <c r="DZ162" s="457"/>
      <c r="EA162" s="457"/>
      <c r="EB162" s="457"/>
      <c r="EC162" s="457"/>
      <c r="ED162" s="457"/>
      <c r="EE162" s="457"/>
      <c r="EF162" s="457"/>
      <c r="EG162" s="457"/>
      <c r="EH162" s="457"/>
      <c r="EI162" s="457"/>
      <c r="EJ162" s="457"/>
      <c r="EK162" s="457"/>
      <c r="EL162" s="457"/>
      <c r="EM162" s="457"/>
      <c r="EN162" s="457"/>
      <c r="EO162" s="457"/>
      <c r="EP162" s="457"/>
      <c r="EQ162" s="457"/>
      <c r="ER162" s="457"/>
      <c r="ES162" s="457"/>
      <c r="ET162" s="457"/>
      <c r="EU162" s="457"/>
      <c r="EV162" s="457"/>
      <c r="EW162" s="457"/>
      <c r="EX162" s="457"/>
      <c r="EY162" s="457"/>
      <c r="EZ162" s="457"/>
      <c r="FA162" s="457"/>
      <c r="FB162" s="457"/>
      <c r="FC162" s="457"/>
      <c r="FD162" s="457"/>
      <c r="FE162" s="457"/>
      <c r="FF162" s="457"/>
      <c r="FG162" s="457"/>
      <c r="FH162" s="457"/>
      <c r="FI162" s="457"/>
      <c r="FJ162" s="457"/>
      <c r="FK162" s="457"/>
      <c r="FL162" s="457"/>
      <c r="FM162" s="457"/>
      <c r="FN162" s="457"/>
      <c r="FO162" s="457"/>
      <c r="FP162" s="457"/>
      <c r="FQ162" s="457"/>
      <c r="FR162" s="457"/>
      <c r="FS162" s="457"/>
      <c r="FT162" s="457"/>
      <c r="FU162" s="457"/>
      <c r="FV162" s="457"/>
      <c r="FW162" s="457"/>
      <c r="FX162" s="457"/>
      <c r="FY162" s="457"/>
      <c r="FZ162" s="457"/>
      <c r="GA162" s="457"/>
      <c r="GB162" s="457"/>
      <c r="GC162" s="457"/>
      <c r="GD162" s="457"/>
      <c r="GE162" s="457"/>
      <c r="GF162" s="457"/>
      <c r="GG162" s="457"/>
      <c r="GH162" s="457"/>
      <c r="GI162" s="457"/>
      <c r="GJ162" s="457"/>
      <c r="GK162" s="457"/>
      <c r="GL162" s="457"/>
      <c r="GM162" s="457"/>
      <c r="GN162" s="457"/>
      <c r="GO162" s="457"/>
      <c r="GP162" s="457"/>
      <c r="GQ162" s="457"/>
      <c r="GR162" s="457"/>
      <c r="GS162" s="457"/>
      <c r="GT162" s="457"/>
      <c r="GU162" s="457"/>
      <c r="GV162" s="457"/>
      <c r="GW162" s="457"/>
      <c r="GX162" s="457"/>
      <c r="GY162" s="457"/>
      <c r="GZ162" s="457"/>
      <c r="HA162" s="457"/>
      <c r="HB162" s="457"/>
      <c r="HC162" s="457"/>
      <c r="HD162" s="457"/>
      <c r="HE162" s="457"/>
      <c r="HF162" s="457"/>
      <c r="HG162" s="457"/>
      <c r="HH162" s="457"/>
      <c r="HI162" s="457"/>
      <c r="HJ162" s="457"/>
      <c r="HK162" s="457"/>
      <c r="HL162" s="457"/>
      <c r="HM162" s="457"/>
      <c r="HN162" s="457"/>
      <c r="HO162" s="457"/>
      <c r="HP162" s="457"/>
      <c r="HQ162" s="457"/>
      <c r="HR162" s="457"/>
      <c r="HS162" s="457"/>
      <c r="HT162" s="457"/>
      <c r="HU162" s="457"/>
      <c r="HV162" s="457"/>
      <c r="HW162" s="457"/>
      <c r="HX162" s="457"/>
      <c r="HY162" s="457"/>
      <c r="HZ162" s="457"/>
      <c r="IA162" s="457"/>
      <c r="IB162" s="457"/>
      <c r="IC162" s="457"/>
      <c r="ID162" s="457"/>
      <c r="IE162" s="457"/>
      <c r="IF162" s="457"/>
      <c r="IG162" s="457"/>
      <c r="IH162" s="457"/>
      <c r="II162" s="457"/>
      <c r="IJ162" s="457"/>
      <c r="IK162" s="457"/>
      <c r="IL162" s="457"/>
      <c r="IM162" s="457"/>
      <c r="IN162" s="457"/>
      <c r="IO162" s="457"/>
      <c r="IP162" s="457"/>
      <c r="IQ162" s="457"/>
      <c r="IR162" s="457"/>
      <c r="IS162" s="457"/>
      <c r="IT162" s="457"/>
      <c r="IU162" s="457"/>
      <c r="IV162" s="457"/>
      <c r="IW162" s="457"/>
      <c r="IX162" s="457"/>
      <c r="IY162" s="457"/>
      <c r="IZ162" s="457"/>
      <c r="JA162" s="457"/>
      <c r="JB162" s="457"/>
      <c r="JC162" s="457"/>
      <c r="JD162" s="457"/>
      <c r="JE162" s="457"/>
    </row>
    <row r="163" spans="1:265" ht="60" customHeight="1" x14ac:dyDescent="0.25">
      <c r="A163" s="448" t="s">
        <v>297</v>
      </c>
      <c r="B163" s="144" t="str">
        <f>IF(Recto!$C$3="","",IF(OR(Recto!$C$3=C163,Calculs!$I$8&gt;0),CONCATENATE(A163),""))</f>
        <v/>
      </c>
      <c r="C163" s="164" t="s">
        <v>53</v>
      </c>
      <c r="D163" s="144" t="s">
        <v>6</v>
      </c>
      <c r="E163" s="141">
        <v>5.5</v>
      </c>
      <c r="F163" s="142" t="s">
        <v>578</v>
      </c>
      <c r="G163" s="142" t="s">
        <v>579</v>
      </c>
      <c r="H163" s="141" t="s">
        <v>2048</v>
      </c>
      <c r="I163" s="141" t="s">
        <v>2086</v>
      </c>
      <c r="J163" s="448" t="s">
        <v>2075</v>
      </c>
      <c r="K163" s="144">
        <v>83</v>
      </c>
      <c r="L163" s="449" t="s">
        <v>3019</v>
      </c>
      <c r="M163" s="450">
        <f t="shared" si="50"/>
        <v>3</v>
      </c>
      <c r="N163" s="449" t="s">
        <v>3018</v>
      </c>
      <c r="O163" s="449" t="s">
        <v>3023</v>
      </c>
      <c r="P163" s="451">
        <v>0</v>
      </c>
      <c r="Q163" s="451">
        <v>0</v>
      </c>
      <c r="R163" s="451">
        <v>0</v>
      </c>
      <c r="S163" s="187" t="s">
        <v>1284</v>
      </c>
      <c r="T163" s="196" t="str">
        <f t="shared" si="44"/>
        <v/>
      </c>
      <c r="U163" s="196" t="str">
        <f t="shared" si="45"/>
        <v/>
      </c>
      <c r="V163" s="578" t="str">
        <f t="shared" si="46"/>
        <v/>
      </c>
    </row>
    <row r="164" spans="1:265" s="457" customFormat="1" ht="60" customHeight="1" x14ac:dyDescent="0.25">
      <c r="A164" s="448" t="s">
        <v>581</v>
      </c>
      <c r="B164" s="144" t="str">
        <f>IF(Recto!$C$3="","",IF(OR(Recto!$C$3=C164,Calculs!$I$8&gt;0),CONCATENATE(A164),""))</f>
        <v/>
      </c>
      <c r="C164" s="164" t="s">
        <v>53</v>
      </c>
      <c r="D164" s="144" t="s">
        <v>171</v>
      </c>
      <c r="E164" s="141">
        <v>6.5</v>
      </c>
      <c r="F164" s="142" t="str">
        <f>IF(H164="S","","---")</f>
        <v>---</v>
      </c>
      <c r="G164" s="142" t="str">
        <f>IF(F164="---","---","")</f>
        <v>---</v>
      </c>
      <c r="H164" s="141" t="s">
        <v>2052</v>
      </c>
      <c r="I164" s="141" t="s">
        <v>2086</v>
      </c>
      <c r="J164" s="448" t="s">
        <v>2075</v>
      </c>
      <c r="K164" s="144">
        <v>84</v>
      </c>
      <c r="L164" s="449" t="s">
        <v>581</v>
      </c>
      <c r="M164" s="450">
        <f t="shared" si="50"/>
        <v>9</v>
      </c>
      <c r="N164" s="449" t="s">
        <v>3038</v>
      </c>
      <c r="O164" s="449" t="s">
        <v>3039</v>
      </c>
      <c r="P164" s="451">
        <v>0</v>
      </c>
      <c r="Q164" s="451">
        <v>0</v>
      </c>
      <c r="R164" s="451">
        <v>0</v>
      </c>
      <c r="S164" s="187" t="s">
        <v>1284</v>
      </c>
      <c r="T164" s="196" t="str">
        <f t="shared" si="44"/>
        <v/>
      </c>
      <c r="U164" s="196" t="str">
        <f t="shared" si="45"/>
        <v/>
      </c>
      <c r="V164" s="578" t="str">
        <f t="shared" si="46"/>
        <v/>
      </c>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c r="IT164" s="92"/>
      <c r="IU164" s="92"/>
      <c r="IV164" s="92"/>
      <c r="IW164" s="92"/>
      <c r="IX164" s="92"/>
      <c r="IY164" s="92"/>
      <c r="IZ164" s="92"/>
      <c r="JA164" s="92"/>
      <c r="JB164" s="92"/>
      <c r="JC164" s="92"/>
      <c r="JD164" s="92"/>
      <c r="JE164" s="92"/>
    </row>
    <row r="165" spans="1:265" s="457" customFormat="1" ht="60" customHeight="1" x14ac:dyDescent="0.25">
      <c r="A165" s="448" t="s">
        <v>584</v>
      </c>
      <c r="B165" s="144" t="str">
        <f>IF(Recto!$C$3="","",IF(OR(Recto!$C$3=C165,Calculs!$I$8&gt;0),CONCATENATE(A165),""))</f>
        <v/>
      </c>
      <c r="C165" s="164" t="s">
        <v>56</v>
      </c>
      <c r="D165" s="144" t="s">
        <v>6</v>
      </c>
      <c r="E165" s="141">
        <v>3.5</v>
      </c>
      <c r="F165" s="142" t="str">
        <f>IF(H165="S","","---")</f>
        <v>---</v>
      </c>
      <c r="G165" s="142" t="str">
        <f>IF(F165="---","---","")</f>
        <v>---</v>
      </c>
      <c r="H165" s="140" t="str">
        <f>IF(I165="S","","---")</f>
        <v>---</v>
      </c>
      <c r="I165" s="141" t="s">
        <v>2086</v>
      </c>
      <c r="J165" s="448" t="s">
        <v>2075</v>
      </c>
      <c r="K165" s="144">
        <v>112</v>
      </c>
      <c r="L165" s="449" t="s">
        <v>3109</v>
      </c>
      <c r="M165" s="450">
        <f t="shared" si="50"/>
        <v>3</v>
      </c>
      <c r="N165" s="449" t="s">
        <v>3107</v>
      </c>
      <c r="O165" s="449" t="s">
        <v>3108</v>
      </c>
      <c r="P165" s="451">
        <v>0</v>
      </c>
      <c r="Q165" s="451">
        <v>0</v>
      </c>
      <c r="R165" s="451">
        <v>0</v>
      </c>
      <c r="S165" s="187" t="s">
        <v>1284</v>
      </c>
      <c r="T165" s="196" t="str">
        <f t="shared" si="44"/>
        <v/>
      </c>
      <c r="U165" s="196" t="str">
        <f t="shared" si="45"/>
        <v/>
      </c>
      <c r="V165" s="578" t="str">
        <f t="shared" si="46"/>
        <v/>
      </c>
    </row>
    <row r="166" spans="1:265" s="457" customFormat="1" ht="60" customHeight="1" x14ac:dyDescent="0.25">
      <c r="A166" s="448" t="s">
        <v>585</v>
      </c>
      <c r="B166" s="144" t="str">
        <f>IF(Recto!$C$3="","",IF(OR(Recto!$C$3=C166,Calculs!$I$8&gt;0),CONCATENATE(A166),""))</f>
        <v/>
      </c>
      <c r="C166" s="164" t="s">
        <v>56</v>
      </c>
      <c r="D166" s="139" t="s">
        <v>2078</v>
      </c>
      <c r="E166" s="140" t="s">
        <v>2078</v>
      </c>
      <c r="F166" s="142" t="str">
        <f>IF(H166="S","","---")</f>
        <v>---</v>
      </c>
      <c r="G166" s="142" t="str">
        <f>IF(F166="---","---","")</f>
        <v>---</v>
      </c>
      <c r="H166" s="141" t="s">
        <v>2049</v>
      </c>
      <c r="I166" s="141" t="s">
        <v>2085</v>
      </c>
      <c r="J166" s="448" t="s">
        <v>2075</v>
      </c>
      <c r="K166" s="144">
        <v>113</v>
      </c>
      <c r="L166" s="449" t="s">
        <v>585</v>
      </c>
      <c r="M166" s="450">
        <f t="shared" si="50"/>
        <v>0</v>
      </c>
      <c r="N166" s="452" t="s">
        <v>2078</v>
      </c>
      <c r="O166" s="449" t="s">
        <v>253</v>
      </c>
      <c r="P166" s="451">
        <v>0</v>
      </c>
      <c r="Q166" s="451">
        <v>0</v>
      </c>
      <c r="R166" s="451">
        <v>0</v>
      </c>
      <c r="S166" s="187" t="s">
        <v>1284</v>
      </c>
      <c r="T166" s="196" t="str">
        <f t="shared" si="44"/>
        <v/>
      </c>
      <c r="U166" s="196" t="str">
        <f t="shared" si="45"/>
        <v/>
      </c>
      <c r="V166" s="578" t="str">
        <f t="shared" si="46"/>
        <v/>
      </c>
    </row>
    <row r="167" spans="1:265" s="457" customFormat="1" ht="60" customHeight="1" x14ac:dyDescent="0.25">
      <c r="A167" s="448" t="s">
        <v>583</v>
      </c>
      <c r="B167" s="144" t="str">
        <f>IF(Recto!$C$3="","",IF(OR(Recto!$C$3=C167,Calculs!$I$8&gt;0),CONCATENATE(A167),""))</f>
        <v/>
      </c>
      <c r="C167" s="164" t="s">
        <v>56</v>
      </c>
      <c r="D167" s="144" t="s">
        <v>173</v>
      </c>
      <c r="E167" s="141">
        <v>4</v>
      </c>
      <c r="F167" s="142" t="s">
        <v>379</v>
      </c>
      <c r="G167" s="142" t="s">
        <v>1284</v>
      </c>
      <c r="H167" s="141" t="s">
        <v>2048</v>
      </c>
      <c r="I167" s="141" t="s">
        <v>2086</v>
      </c>
      <c r="J167" s="448" t="s">
        <v>2075</v>
      </c>
      <c r="K167" s="144">
        <v>112</v>
      </c>
      <c r="L167" s="449" t="s">
        <v>3105</v>
      </c>
      <c r="M167" s="450">
        <f t="shared" si="50"/>
        <v>6</v>
      </c>
      <c r="N167" s="449" t="s">
        <v>3103</v>
      </c>
      <c r="O167" s="449" t="s">
        <v>3104</v>
      </c>
      <c r="P167" s="451">
        <v>0</v>
      </c>
      <c r="Q167" s="451">
        <v>0</v>
      </c>
      <c r="R167" s="451">
        <v>0</v>
      </c>
      <c r="S167" s="187" t="s">
        <v>1284</v>
      </c>
      <c r="T167" s="196" t="str">
        <f t="shared" si="44"/>
        <v/>
      </c>
      <c r="U167" s="196" t="str">
        <f t="shared" si="45"/>
        <v/>
      </c>
      <c r="V167" s="578" t="str">
        <f t="shared" si="46"/>
        <v/>
      </c>
    </row>
    <row r="168" spans="1:265" s="457" customFormat="1" ht="60" customHeight="1" x14ac:dyDescent="0.25">
      <c r="A168" s="448" t="s">
        <v>582</v>
      </c>
      <c r="B168" s="144" t="str">
        <f>IF(Recto!$C$3="","",IF(OR(Recto!$C$3=C168,Calculs!$I$8&gt;0),CONCATENATE(A168),""))</f>
        <v/>
      </c>
      <c r="C168" s="164" t="s">
        <v>56</v>
      </c>
      <c r="D168" s="144" t="s">
        <v>9</v>
      </c>
      <c r="E168" s="141">
        <v>2.5</v>
      </c>
      <c r="F168" s="142" t="str">
        <f>IF(H168="S","","---")</f>
        <v>---</v>
      </c>
      <c r="G168" s="142" t="str">
        <f>IF(F168="---","---","")</f>
        <v>---</v>
      </c>
      <c r="H168" s="140" t="str">
        <f>IF(I168="S","","---")</f>
        <v>---</v>
      </c>
      <c r="I168" s="141" t="s">
        <v>2086</v>
      </c>
      <c r="J168" s="448" t="s">
        <v>2075</v>
      </c>
      <c r="K168" s="144">
        <v>111</v>
      </c>
      <c r="L168" s="449" t="s">
        <v>582</v>
      </c>
      <c r="M168" s="450">
        <f t="shared" si="50"/>
        <v>4</v>
      </c>
      <c r="N168" s="449" t="s">
        <v>3095</v>
      </c>
      <c r="O168" s="449" t="s">
        <v>3096</v>
      </c>
      <c r="P168" s="451">
        <v>0</v>
      </c>
      <c r="Q168" s="451">
        <v>0</v>
      </c>
      <c r="R168" s="451">
        <v>0</v>
      </c>
      <c r="S168" s="187" t="s">
        <v>1284</v>
      </c>
      <c r="T168" s="196" t="str">
        <f t="shared" si="44"/>
        <v/>
      </c>
      <c r="U168" s="196" t="str">
        <f t="shared" si="45"/>
        <v/>
      </c>
      <c r="V168" s="578" t="str">
        <f t="shared" si="46"/>
        <v/>
      </c>
    </row>
    <row r="169" spans="1:265" s="457" customFormat="1" ht="60" customHeight="1" x14ac:dyDescent="0.25">
      <c r="A169" s="448" t="s">
        <v>300</v>
      </c>
      <c r="B169" s="144" t="str">
        <f>IF(Recto!$C$3="","",IF(OR(Recto!$C$3=C169,Calculs!$I$8&gt;0),CONCATENATE(A169),""))</f>
        <v/>
      </c>
      <c r="C169" s="164" t="s">
        <v>56</v>
      </c>
      <c r="D169" s="144" t="s">
        <v>169</v>
      </c>
      <c r="E169" s="141">
        <v>3.5</v>
      </c>
      <c r="F169" s="142" t="str">
        <f>IF(H169="S","","---")</f>
        <v>---</v>
      </c>
      <c r="G169" s="142" t="str">
        <f>IF(F169="---","---","")</f>
        <v>---</v>
      </c>
      <c r="H169" s="141" t="s">
        <v>2049</v>
      </c>
      <c r="I169" s="141" t="s">
        <v>2086</v>
      </c>
      <c r="J169" s="448" t="s">
        <v>2075</v>
      </c>
      <c r="K169" s="144">
        <v>111</v>
      </c>
      <c r="L169" s="449" t="s">
        <v>300</v>
      </c>
      <c r="M169" s="450">
        <f t="shared" si="50"/>
        <v>2</v>
      </c>
      <c r="N169" s="449" t="s">
        <v>3082</v>
      </c>
      <c r="O169" s="449" t="s">
        <v>3083</v>
      </c>
      <c r="P169" s="451">
        <v>0</v>
      </c>
      <c r="Q169" s="451">
        <v>0</v>
      </c>
      <c r="R169" s="451">
        <v>0</v>
      </c>
      <c r="S169" s="187" t="s">
        <v>1284</v>
      </c>
      <c r="T169" s="196" t="str">
        <f t="shared" si="44"/>
        <v/>
      </c>
      <c r="U169" s="196" t="str">
        <f t="shared" si="45"/>
        <v/>
      </c>
      <c r="V169" s="578" t="str">
        <f t="shared" si="46"/>
        <v/>
      </c>
    </row>
    <row r="170" spans="1:265" s="457" customFormat="1" ht="60" customHeight="1" x14ac:dyDescent="0.25">
      <c r="A170" s="448" t="s">
        <v>6890</v>
      </c>
      <c r="B170" s="144" t="str">
        <f>IF(Recto!$C$3="","",IF(OR(Recto!$C$3=C170,Calculs!$I$8&gt;0),CONCATENATE(A170),""))</f>
        <v/>
      </c>
      <c r="C170" s="447" t="s">
        <v>6775</v>
      </c>
      <c r="D170" s="144" t="s">
        <v>9</v>
      </c>
      <c r="E170" s="141">
        <v>4.5</v>
      </c>
      <c r="F170" s="142" t="str">
        <f>IF(H170="S","","---")</f>
        <v>---</v>
      </c>
      <c r="G170" s="142" t="str">
        <f>IF(F170="---","---","")</f>
        <v>---</v>
      </c>
      <c r="H170" s="141" t="s">
        <v>2050</v>
      </c>
      <c r="I170" s="141" t="s">
        <v>2086</v>
      </c>
      <c r="J170" s="448" t="s">
        <v>6811</v>
      </c>
      <c r="K170" s="144">
        <v>79</v>
      </c>
      <c r="L170" s="449" t="s">
        <v>6891</v>
      </c>
      <c r="M170" s="450">
        <f t="shared" ref="M170:M178" si="51">IF(D170="+1 Force",1,IF(D170="+1 Agilité",2,IF(D170="+1 Intelligence",3,IF(D170="+1 Perception",4,IF(D170="+1 Constitution",5,IF(D170="+1 Vide",6,IF(D170="+1 Volonté",7,IF(D170="+1 Reflexes",8,IF(D170="+1 Intuition",9,0)))))))))</f>
        <v>4</v>
      </c>
      <c r="N170" s="449" t="s">
        <v>6892</v>
      </c>
      <c r="O170" s="449" t="s">
        <v>6893</v>
      </c>
      <c r="P170" s="451">
        <v>2</v>
      </c>
      <c r="Q170" s="451">
        <v>0</v>
      </c>
      <c r="R170" s="451">
        <v>0</v>
      </c>
      <c r="S170" s="187" t="s">
        <v>1284</v>
      </c>
      <c r="T170" s="196" t="str">
        <f t="shared" si="44"/>
        <v/>
      </c>
      <c r="U170" s="196" t="str">
        <f t="shared" si="45"/>
        <v/>
      </c>
      <c r="V170" s="578" t="str">
        <f t="shared" si="46"/>
        <v/>
      </c>
    </row>
    <row r="171" spans="1:265" s="457" customFormat="1" ht="60" customHeight="1" x14ac:dyDescent="0.25">
      <c r="A171" s="448" t="s">
        <v>303</v>
      </c>
      <c r="B171" s="144" t="str">
        <f>IF(Recto!$C$3="","",IF(OR(Recto!$C$3=C171,Calculs!$I$8&gt;0),CONCATENATE(A171),""))</f>
        <v/>
      </c>
      <c r="C171" s="164" t="s">
        <v>1939</v>
      </c>
      <c r="D171" s="144" t="s">
        <v>170</v>
      </c>
      <c r="E171" s="141">
        <v>0</v>
      </c>
      <c r="F171" s="142" t="str">
        <f>IF(H171="S","","---")</f>
        <v>---</v>
      </c>
      <c r="G171" s="142" t="str">
        <f>IF(F171="---","---","")</f>
        <v>---</v>
      </c>
      <c r="H171" s="141" t="s">
        <v>2049</v>
      </c>
      <c r="I171" s="141" t="s">
        <v>2086</v>
      </c>
      <c r="J171" s="448" t="s">
        <v>2075</v>
      </c>
      <c r="K171" s="144">
        <v>239</v>
      </c>
      <c r="L171" s="449" t="s">
        <v>303</v>
      </c>
      <c r="M171" s="450">
        <f t="shared" si="51"/>
        <v>1</v>
      </c>
      <c r="N171" s="449" t="s">
        <v>3126</v>
      </c>
      <c r="O171" s="449" t="s">
        <v>3127</v>
      </c>
      <c r="P171" s="451">
        <v>0</v>
      </c>
      <c r="Q171" s="451">
        <v>0</v>
      </c>
      <c r="R171" s="451">
        <v>0</v>
      </c>
      <c r="S171" s="187" t="s">
        <v>1284</v>
      </c>
      <c r="T171" s="196" t="str">
        <f t="shared" si="44"/>
        <v/>
      </c>
      <c r="U171" s="196" t="str">
        <f t="shared" si="45"/>
        <v/>
      </c>
      <c r="V171" s="578" t="str">
        <f t="shared" si="46"/>
        <v/>
      </c>
    </row>
    <row r="172" spans="1:265" s="457" customFormat="1" ht="60" customHeight="1" x14ac:dyDescent="0.25">
      <c r="A172" s="448" t="s">
        <v>304</v>
      </c>
      <c r="B172" s="144" t="str">
        <f>IF(Recto!$C$3="","",IF(OR(Recto!$C$3=C172,Calculs!$I$8&gt;0),CONCATENATE(A172),""))</f>
        <v/>
      </c>
      <c r="C172" s="164" t="s">
        <v>1939</v>
      </c>
      <c r="D172" s="144" t="s">
        <v>174</v>
      </c>
      <c r="E172" s="141">
        <v>0</v>
      </c>
      <c r="F172" s="142" t="s">
        <v>1284</v>
      </c>
      <c r="G172" s="142" t="s">
        <v>1284</v>
      </c>
      <c r="H172" s="141" t="s">
        <v>2048</v>
      </c>
      <c r="I172" s="141" t="s">
        <v>2086</v>
      </c>
      <c r="J172" s="448" t="s">
        <v>2075</v>
      </c>
      <c r="K172" s="144">
        <v>239</v>
      </c>
      <c r="L172" s="449" t="s">
        <v>304</v>
      </c>
      <c r="M172" s="450">
        <f t="shared" si="51"/>
        <v>7</v>
      </c>
      <c r="N172" s="449" t="s">
        <v>3118</v>
      </c>
      <c r="O172" s="449" t="s">
        <v>3117</v>
      </c>
      <c r="P172" s="451">
        <v>0</v>
      </c>
      <c r="Q172" s="451">
        <v>0</v>
      </c>
      <c r="R172" s="451">
        <v>0</v>
      </c>
      <c r="S172" s="187" t="s">
        <v>1284</v>
      </c>
      <c r="T172" s="196" t="str">
        <f t="shared" si="44"/>
        <v/>
      </c>
      <c r="U172" s="196" t="str">
        <f t="shared" si="45"/>
        <v/>
      </c>
      <c r="V172" s="578" t="str">
        <f t="shared" si="46"/>
        <v/>
      </c>
    </row>
    <row r="173" spans="1:265" s="457" customFormat="1" ht="60" customHeight="1" x14ac:dyDescent="0.25">
      <c r="A173" s="448" t="s">
        <v>3676</v>
      </c>
      <c r="B173" s="144" t="str">
        <f>IF(Recto!$C$3="","",IF(OR(Recto!$C$3=C173,Calculs!$I$8&gt;0),CONCATENATE(A173),""))</f>
        <v/>
      </c>
      <c r="C173" s="164" t="s">
        <v>3169</v>
      </c>
      <c r="D173" s="139" t="s">
        <v>169</v>
      </c>
      <c r="E173" s="141">
        <v>0</v>
      </c>
      <c r="F173" s="142" t="str">
        <f>IF(H173="S","","---")</f>
        <v>---</v>
      </c>
      <c r="G173" s="142" t="str">
        <f>IF(F173="---","---","")</f>
        <v>---</v>
      </c>
      <c r="H173" s="141" t="s">
        <v>2060</v>
      </c>
      <c r="I173" s="141" t="s">
        <v>2086</v>
      </c>
      <c r="J173" s="448" t="s">
        <v>6061</v>
      </c>
      <c r="K173" s="144">
        <v>280</v>
      </c>
      <c r="L173" s="449" t="s">
        <v>7324</v>
      </c>
      <c r="M173" s="450">
        <f t="shared" si="51"/>
        <v>2</v>
      </c>
      <c r="N173" s="449" t="s">
        <v>3677</v>
      </c>
      <c r="O173" s="449" t="s">
        <v>3600</v>
      </c>
      <c r="P173" s="451">
        <v>1</v>
      </c>
      <c r="Q173" s="451">
        <v>0</v>
      </c>
      <c r="R173" s="451">
        <v>0</v>
      </c>
      <c r="S173" s="187" t="s">
        <v>1284</v>
      </c>
      <c r="T173" s="196" t="str">
        <f t="shared" si="44"/>
        <v/>
      </c>
      <c r="U173" s="196" t="str">
        <f t="shared" si="45"/>
        <v/>
      </c>
      <c r="V173" s="578" t="str">
        <f t="shared" si="46"/>
        <v/>
      </c>
    </row>
    <row r="174" spans="1:265" s="457" customFormat="1" ht="60" customHeight="1" x14ac:dyDescent="0.25">
      <c r="A174" s="448" t="s">
        <v>3598</v>
      </c>
      <c r="B174" s="144" t="str">
        <f>IF(Recto!$C$3="","",IF(OR(Recto!$C$3=C174,Calculs!$I$8&gt;0),CONCATENATE(A174),""))</f>
        <v/>
      </c>
      <c r="C174" s="164" t="s">
        <v>3169</v>
      </c>
      <c r="D174" s="144" t="s">
        <v>171</v>
      </c>
      <c r="E174" s="141">
        <v>0</v>
      </c>
      <c r="F174" s="142" t="s">
        <v>100</v>
      </c>
      <c r="G174" s="142" t="s">
        <v>577</v>
      </c>
      <c r="H174" s="141" t="s">
        <v>2048</v>
      </c>
      <c r="I174" s="141" t="s">
        <v>2086</v>
      </c>
      <c r="J174" s="448" t="s">
        <v>6061</v>
      </c>
      <c r="K174" s="144">
        <v>281</v>
      </c>
      <c r="L174" s="449" t="s">
        <v>3599</v>
      </c>
      <c r="M174" s="450">
        <f t="shared" si="51"/>
        <v>9</v>
      </c>
      <c r="N174" s="449" t="s">
        <v>3678</v>
      </c>
      <c r="O174" s="449" t="s">
        <v>3679</v>
      </c>
      <c r="P174" s="451">
        <v>2</v>
      </c>
      <c r="Q174" s="451">
        <v>0</v>
      </c>
      <c r="R174" s="451">
        <v>0</v>
      </c>
      <c r="S174" s="187" t="s">
        <v>1284</v>
      </c>
      <c r="T174" s="196" t="str">
        <f t="shared" si="44"/>
        <v/>
      </c>
      <c r="U174" s="196" t="str">
        <f t="shared" si="45"/>
        <v/>
      </c>
      <c r="V174" s="578" t="str">
        <f t="shared" si="46"/>
        <v/>
      </c>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c r="GR174" s="92"/>
      <c r="GS174" s="92"/>
      <c r="GT174" s="92"/>
      <c r="GU174" s="92"/>
      <c r="GV174" s="92"/>
      <c r="GW174" s="92"/>
      <c r="GX174" s="92"/>
      <c r="GY174" s="92"/>
      <c r="GZ174" s="92"/>
      <c r="HA174" s="92"/>
      <c r="HB174" s="92"/>
      <c r="HC174" s="92"/>
      <c r="HD174" s="92"/>
      <c r="HE174" s="92"/>
      <c r="HF174" s="92"/>
      <c r="HG174" s="92"/>
      <c r="HH174" s="92"/>
      <c r="HI174" s="92"/>
      <c r="HJ174" s="92"/>
      <c r="HK174" s="92"/>
      <c r="HL174" s="92"/>
      <c r="HM174" s="92"/>
      <c r="HN174" s="92"/>
      <c r="HO174" s="92"/>
      <c r="HP174" s="92"/>
      <c r="HQ174" s="92"/>
      <c r="HR174" s="92"/>
      <c r="HS174" s="92"/>
      <c r="HT174" s="92"/>
      <c r="HU174" s="92"/>
      <c r="HV174" s="92"/>
      <c r="HW174" s="92"/>
      <c r="HX174" s="92"/>
      <c r="HY174" s="92"/>
      <c r="HZ174" s="92"/>
      <c r="IA174" s="92"/>
      <c r="IB174" s="92"/>
      <c r="IC174" s="92"/>
      <c r="ID174" s="92"/>
      <c r="IE174" s="92"/>
      <c r="IF174" s="92"/>
      <c r="IG174" s="92"/>
      <c r="IH174" s="92"/>
      <c r="II174" s="92"/>
      <c r="IJ174" s="92"/>
      <c r="IK174" s="92"/>
      <c r="IL174" s="92"/>
      <c r="IM174" s="92"/>
      <c r="IN174" s="92"/>
      <c r="IO174" s="92"/>
      <c r="IP174" s="92"/>
      <c r="IQ174" s="92"/>
      <c r="IR174" s="92"/>
      <c r="IS174" s="92"/>
      <c r="IT174" s="92"/>
      <c r="IU174" s="92"/>
      <c r="IV174" s="92"/>
      <c r="IW174" s="92"/>
      <c r="IX174" s="92"/>
      <c r="IY174" s="92"/>
      <c r="IZ174" s="92"/>
      <c r="JA174" s="92"/>
      <c r="JB174" s="92"/>
      <c r="JC174" s="92"/>
      <c r="JD174" s="92"/>
      <c r="JE174" s="92"/>
    </row>
    <row r="175" spans="1:265" s="457" customFormat="1" ht="60" customHeight="1" x14ac:dyDescent="0.25">
      <c r="A175" s="448" t="s">
        <v>7236</v>
      </c>
      <c r="B175" s="144" t="str">
        <f>IF(Recto!$C$3="","",IF(OR(Recto!$C$3=C175,Calculs!$I$8&gt;0),CONCATENATE(A175),""))</f>
        <v/>
      </c>
      <c r="C175" s="164" t="s">
        <v>320</v>
      </c>
      <c r="D175" s="144" t="s">
        <v>170</v>
      </c>
      <c r="E175" s="141">
        <v>4</v>
      </c>
      <c r="F175" s="142" t="str">
        <f t="shared" ref="F175:F183" si="52">IF(H175="S","","---")</f>
        <v>---</v>
      </c>
      <c r="G175" s="142" t="str">
        <f t="shared" ref="G175:G183" si="53">IF(F175="---","---","")</f>
        <v>---</v>
      </c>
      <c r="H175" s="141" t="s">
        <v>2049</v>
      </c>
      <c r="I175" s="141" t="s">
        <v>2086</v>
      </c>
      <c r="J175" s="448" t="s">
        <v>7226</v>
      </c>
      <c r="K175" s="144">
        <v>61</v>
      </c>
      <c r="L175" s="449" t="s">
        <v>7237</v>
      </c>
      <c r="M175" s="450">
        <f t="shared" si="51"/>
        <v>1</v>
      </c>
      <c r="N175" s="449" t="s">
        <v>8291</v>
      </c>
      <c r="O175" s="449" t="s">
        <v>8292</v>
      </c>
      <c r="P175" s="451">
        <v>3</v>
      </c>
      <c r="Q175" s="451">
        <v>0</v>
      </c>
      <c r="R175" s="451">
        <v>0</v>
      </c>
      <c r="S175" s="187" t="s">
        <v>1284</v>
      </c>
      <c r="T175" s="196" t="str">
        <f t="shared" si="44"/>
        <v/>
      </c>
      <c r="U175" s="196" t="str">
        <f t="shared" si="45"/>
        <v/>
      </c>
      <c r="V175" s="578" t="str">
        <f t="shared" si="46"/>
        <v/>
      </c>
    </row>
    <row r="176" spans="1:265" s="457" customFormat="1" ht="60" customHeight="1" x14ac:dyDescent="0.25">
      <c r="A176" s="448" t="s">
        <v>248</v>
      </c>
      <c r="B176" s="144" t="str">
        <f>IF(Recto!$C$3="","",IF(OR(Recto!$C$3=C176,Calculs!$I$8&gt;0),CONCATENATE(A176),""))</f>
        <v/>
      </c>
      <c r="C176" s="164" t="s">
        <v>2062</v>
      </c>
      <c r="D176" s="144" t="s">
        <v>170</v>
      </c>
      <c r="E176" s="141">
        <v>0</v>
      </c>
      <c r="F176" s="142" t="str">
        <f t="shared" si="52"/>
        <v>---</v>
      </c>
      <c r="G176" s="142" t="str">
        <f t="shared" si="53"/>
        <v>---</v>
      </c>
      <c r="H176" s="141" t="s">
        <v>2049</v>
      </c>
      <c r="I176" s="141" t="s">
        <v>2086</v>
      </c>
      <c r="J176" s="448" t="s">
        <v>2075</v>
      </c>
      <c r="K176" s="144">
        <v>63</v>
      </c>
      <c r="L176" s="449" t="s">
        <v>3067</v>
      </c>
      <c r="M176" s="450">
        <f t="shared" si="51"/>
        <v>1</v>
      </c>
      <c r="N176" s="449" t="s">
        <v>3062</v>
      </c>
      <c r="O176" s="449" t="s">
        <v>3063</v>
      </c>
      <c r="P176" s="451">
        <v>0</v>
      </c>
      <c r="Q176" s="451">
        <v>0</v>
      </c>
      <c r="R176" s="451">
        <v>0</v>
      </c>
      <c r="S176" s="187" t="s">
        <v>1284</v>
      </c>
      <c r="T176" s="196" t="str">
        <f t="shared" si="44"/>
        <v/>
      </c>
      <c r="U176" s="196" t="str">
        <f t="shared" si="45"/>
        <v/>
      </c>
      <c r="V176" s="578" t="str">
        <f t="shared" si="46"/>
        <v/>
      </c>
    </row>
    <row r="177" spans="1:265" s="457" customFormat="1" ht="60" customHeight="1" x14ac:dyDescent="0.25">
      <c r="A177" s="448" t="s">
        <v>63</v>
      </c>
      <c r="B177" s="144" t="str">
        <f>IF(Recto!$C$3="","",IF(OR(Recto!$C$3=C177,Calculs!$I$8&gt;0),CONCATENATE(A177),""))</f>
        <v/>
      </c>
      <c r="C177" s="164" t="s">
        <v>2062</v>
      </c>
      <c r="D177" s="139" t="s">
        <v>2078</v>
      </c>
      <c r="E177" s="140">
        <v>0</v>
      </c>
      <c r="F177" s="142" t="str">
        <f t="shared" si="52"/>
        <v>---</v>
      </c>
      <c r="G177" s="142" t="str">
        <f t="shared" si="53"/>
        <v>---</v>
      </c>
      <c r="H177" s="141" t="s">
        <v>2049</v>
      </c>
      <c r="I177" s="141" t="s">
        <v>2085</v>
      </c>
      <c r="J177" s="448" t="s">
        <v>2075</v>
      </c>
      <c r="K177" s="144">
        <v>63</v>
      </c>
      <c r="L177" s="449" t="s">
        <v>3068</v>
      </c>
      <c r="M177" s="450">
        <f t="shared" si="51"/>
        <v>0</v>
      </c>
      <c r="N177" s="452" t="s">
        <v>2078</v>
      </c>
      <c r="O177" s="449" t="s">
        <v>253</v>
      </c>
      <c r="P177" s="451">
        <v>0</v>
      </c>
      <c r="Q177" s="451">
        <v>0</v>
      </c>
      <c r="R177" s="451">
        <v>0</v>
      </c>
      <c r="S177" s="187" t="s">
        <v>1284</v>
      </c>
      <c r="T177" s="196" t="str">
        <f t="shared" si="44"/>
        <v/>
      </c>
      <c r="U177" s="196" t="str">
        <f t="shared" si="45"/>
        <v/>
      </c>
      <c r="V177" s="578" t="str">
        <f t="shared" si="46"/>
        <v/>
      </c>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c r="GR177" s="92"/>
      <c r="GS177" s="92"/>
      <c r="GT177" s="92"/>
      <c r="GU177" s="92"/>
      <c r="GV177" s="92"/>
      <c r="GW177" s="92"/>
      <c r="GX177" s="92"/>
      <c r="GY177" s="92"/>
      <c r="GZ177" s="92"/>
      <c r="HA177" s="92"/>
      <c r="HB177" s="92"/>
      <c r="HC177" s="92"/>
      <c r="HD177" s="92"/>
      <c r="HE177" s="92"/>
      <c r="HF177" s="92"/>
      <c r="HG177" s="92"/>
      <c r="HH177" s="92"/>
      <c r="HI177" s="92"/>
      <c r="HJ177" s="92"/>
      <c r="HK177" s="92"/>
      <c r="HL177" s="92"/>
      <c r="HM177" s="92"/>
      <c r="HN177" s="92"/>
      <c r="HO177" s="92"/>
      <c r="HP177" s="92"/>
      <c r="HQ177" s="92"/>
      <c r="HR177" s="92"/>
      <c r="HS177" s="92"/>
      <c r="HT177" s="92"/>
      <c r="HU177" s="92"/>
      <c r="HV177" s="92"/>
      <c r="HW177" s="92"/>
      <c r="HX177" s="92"/>
      <c r="HY177" s="92"/>
      <c r="HZ177" s="92"/>
      <c r="IA177" s="92"/>
      <c r="IB177" s="92"/>
      <c r="IC177" s="92"/>
      <c r="ID177" s="92"/>
      <c r="IE177" s="92"/>
      <c r="IF177" s="92"/>
      <c r="IG177" s="92"/>
      <c r="IH177" s="92"/>
      <c r="II177" s="92"/>
      <c r="IJ177" s="92"/>
      <c r="IK177" s="92"/>
      <c r="IL177" s="92"/>
      <c r="IM177" s="92"/>
      <c r="IN177" s="92"/>
      <c r="IO177" s="92"/>
      <c r="IP177" s="92"/>
      <c r="IQ177" s="92"/>
      <c r="IR177" s="92"/>
      <c r="IS177" s="92"/>
      <c r="IT177" s="92"/>
      <c r="IU177" s="92"/>
      <c r="IV177" s="92"/>
      <c r="IW177" s="92"/>
      <c r="IX177" s="92"/>
      <c r="IY177" s="92"/>
      <c r="IZ177" s="92"/>
      <c r="JA177" s="92"/>
      <c r="JB177" s="92"/>
      <c r="JC177" s="92"/>
      <c r="JD177" s="92"/>
      <c r="JE177" s="92"/>
    </row>
    <row r="178" spans="1:265" ht="60" customHeight="1" x14ac:dyDescent="0.25">
      <c r="A178" s="448" t="s">
        <v>7243</v>
      </c>
      <c r="B178" s="144" t="str">
        <f>IF(Recto!$C$3="","",IF(OR(Recto!$C$3=C178,Calculs!$I$8&gt;0),CONCATENATE(A178),""))</f>
        <v/>
      </c>
      <c r="C178" s="164" t="s">
        <v>7231</v>
      </c>
      <c r="D178" s="144" t="s">
        <v>171</v>
      </c>
      <c r="E178" s="140">
        <v>6</v>
      </c>
      <c r="F178" s="142" t="str">
        <f t="shared" si="52"/>
        <v>---</v>
      </c>
      <c r="G178" s="142" t="str">
        <f t="shared" si="53"/>
        <v>---</v>
      </c>
      <c r="H178" s="141" t="s">
        <v>2050</v>
      </c>
      <c r="I178" s="141" t="s">
        <v>2086</v>
      </c>
      <c r="J178" s="448" t="s">
        <v>7226</v>
      </c>
      <c r="K178" s="144">
        <v>67</v>
      </c>
      <c r="L178" s="449" t="s">
        <v>7244</v>
      </c>
      <c r="M178" s="450">
        <f t="shared" si="51"/>
        <v>9</v>
      </c>
      <c r="N178" s="452" t="s">
        <v>7245</v>
      </c>
      <c r="O178" s="449" t="s">
        <v>7246</v>
      </c>
      <c r="P178" s="451">
        <v>6</v>
      </c>
      <c r="Q178" s="451">
        <v>0</v>
      </c>
      <c r="R178" s="451">
        <v>0</v>
      </c>
      <c r="S178" s="187" t="s">
        <v>2088</v>
      </c>
      <c r="T178" s="196" t="str">
        <f t="shared" si="44"/>
        <v/>
      </c>
      <c r="U178" s="196" t="str">
        <f t="shared" si="45"/>
        <v/>
      </c>
      <c r="V178" s="578" t="str">
        <f t="shared" si="46"/>
        <v/>
      </c>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c r="AS178" s="457"/>
      <c r="AT178" s="457"/>
      <c r="AU178" s="457"/>
      <c r="AV178" s="457"/>
      <c r="AW178" s="457"/>
      <c r="AX178" s="457"/>
      <c r="AY178" s="457"/>
      <c r="AZ178" s="457"/>
      <c r="BA178" s="457"/>
      <c r="BB178" s="457"/>
      <c r="BC178" s="457"/>
      <c r="BD178" s="457"/>
      <c r="BE178" s="457"/>
      <c r="BF178" s="457"/>
      <c r="BG178" s="457"/>
      <c r="BH178" s="457"/>
      <c r="BI178" s="457"/>
      <c r="BJ178" s="457"/>
      <c r="BK178" s="457"/>
      <c r="BL178" s="457"/>
      <c r="BM178" s="457"/>
      <c r="BN178" s="457"/>
      <c r="BO178" s="457"/>
      <c r="BP178" s="457"/>
      <c r="BQ178" s="457"/>
      <c r="BR178" s="457"/>
      <c r="BS178" s="457"/>
      <c r="BT178" s="457"/>
      <c r="BU178" s="457"/>
      <c r="BV178" s="457"/>
      <c r="BW178" s="457"/>
      <c r="BX178" s="457"/>
      <c r="BY178" s="457"/>
      <c r="BZ178" s="457"/>
      <c r="CA178" s="457"/>
      <c r="CB178" s="457"/>
      <c r="CC178" s="457"/>
      <c r="CD178" s="457"/>
      <c r="CE178" s="457"/>
      <c r="CF178" s="457"/>
      <c r="CG178" s="457"/>
      <c r="CH178" s="457"/>
      <c r="CI178" s="457"/>
      <c r="CJ178" s="457"/>
      <c r="CK178" s="457"/>
      <c r="CL178" s="457"/>
      <c r="CM178" s="457"/>
      <c r="CN178" s="457"/>
      <c r="CO178" s="457"/>
      <c r="CP178" s="457"/>
      <c r="CQ178" s="457"/>
      <c r="CR178" s="457"/>
      <c r="CS178" s="457"/>
      <c r="CT178" s="457"/>
      <c r="CU178" s="457"/>
      <c r="CV178" s="457"/>
      <c r="CW178" s="457"/>
      <c r="CX178" s="457"/>
      <c r="CY178" s="457"/>
      <c r="CZ178" s="457"/>
      <c r="DA178" s="457"/>
      <c r="DB178" s="457"/>
      <c r="DC178" s="457"/>
      <c r="DD178" s="457"/>
      <c r="DE178" s="457"/>
      <c r="DF178" s="457"/>
      <c r="DG178" s="457"/>
      <c r="DH178" s="457"/>
      <c r="DI178" s="457"/>
      <c r="DJ178" s="457"/>
      <c r="DK178" s="457"/>
      <c r="DL178" s="457"/>
      <c r="DM178" s="457"/>
      <c r="DN178" s="457"/>
      <c r="DO178" s="457"/>
      <c r="DP178" s="457"/>
      <c r="DQ178" s="457"/>
      <c r="DR178" s="457"/>
      <c r="DS178" s="457"/>
      <c r="DT178" s="457"/>
      <c r="DU178" s="457"/>
      <c r="DV178" s="457"/>
      <c r="DW178" s="457"/>
      <c r="DX178" s="457"/>
      <c r="DY178" s="457"/>
      <c r="DZ178" s="457"/>
      <c r="EA178" s="457"/>
      <c r="EB178" s="457"/>
      <c r="EC178" s="457"/>
      <c r="ED178" s="457"/>
      <c r="EE178" s="457"/>
      <c r="EF178" s="457"/>
      <c r="EG178" s="457"/>
      <c r="EH178" s="457"/>
      <c r="EI178" s="457"/>
      <c r="EJ178" s="457"/>
      <c r="EK178" s="457"/>
      <c r="EL178" s="457"/>
      <c r="EM178" s="457"/>
      <c r="EN178" s="457"/>
      <c r="EO178" s="457"/>
      <c r="EP178" s="457"/>
      <c r="EQ178" s="457"/>
      <c r="ER178" s="457"/>
      <c r="ES178" s="457"/>
      <c r="ET178" s="457"/>
      <c r="EU178" s="457"/>
      <c r="EV178" s="457"/>
      <c r="EW178" s="457"/>
      <c r="EX178" s="457"/>
      <c r="EY178" s="457"/>
      <c r="EZ178" s="457"/>
      <c r="FA178" s="457"/>
      <c r="FB178" s="457"/>
      <c r="FC178" s="457"/>
      <c r="FD178" s="457"/>
      <c r="FE178" s="457"/>
      <c r="FF178" s="457"/>
      <c r="FG178" s="457"/>
      <c r="FH178" s="457"/>
      <c r="FI178" s="457"/>
      <c r="FJ178" s="457"/>
      <c r="FK178" s="457"/>
      <c r="FL178" s="457"/>
      <c r="FM178" s="457"/>
      <c r="FN178" s="457"/>
      <c r="FO178" s="457"/>
      <c r="FP178" s="457"/>
      <c r="FQ178" s="457"/>
      <c r="FR178" s="457"/>
      <c r="FS178" s="457"/>
      <c r="FT178" s="457"/>
      <c r="FU178" s="457"/>
      <c r="FV178" s="457"/>
      <c r="FW178" s="457"/>
      <c r="FX178" s="457"/>
      <c r="FY178" s="457"/>
      <c r="FZ178" s="457"/>
      <c r="GA178" s="457"/>
      <c r="GB178" s="457"/>
      <c r="GC178" s="457"/>
      <c r="GD178" s="457"/>
      <c r="GE178" s="457"/>
      <c r="GF178" s="457"/>
      <c r="GG178" s="457"/>
      <c r="GH178" s="457"/>
      <c r="GI178" s="457"/>
      <c r="GJ178" s="457"/>
      <c r="GK178" s="457"/>
      <c r="GL178" s="457"/>
      <c r="GM178" s="457"/>
      <c r="GN178" s="457"/>
      <c r="GO178" s="457"/>
      <c r="GP178" s="457"/>
      <c r="GQ178" s="457"/>
      <c r="GR178" s="457"/>
      <c r="GS178" s="457"/>
      <c r="GT178" s="457"/>
      <c r="GU178" s="457"/>
      <c r="GV178" s="457"/>
      <c r="GW178" s="457"/>
      <c r="GX178" s="457"/>
      <c r="GY178" s="457"/>
      <c r="GZ178" s="457"/>
      <c r="HA178" s="457"/>
      <c r="HB178" s="457"/>
      <c r="HC178" s="457"/>
      <c r="HD178" s="457"/>
      <c r="HE178" s="457"/>
      <c r="HF178" s="457"/>
      <c r="HG178" s="457"/>
      <c r="HH178" s="457"/>
      <c r="HI178" s="457"/>
      <c r="HJ178" s="457"/>
      <c r="HK178" s="457"/>
      <c r="HL178" s="457"/>
      <c r="HM178" s="457"/>
      <c r="HN178" s="457"/>
      <c r="HO178" s="457"/>
      <c r="HP178" s="457"/>
      <c r="HQ178" s="457"/>
      <c r="HR178" s="457"/>
      <c r="HS178" s="457"/>
      <c r="HT178" s="457"/>
      <c r="HU178" s="457"/>
      <c r="HV178" s="457"/>
      <c r="HW178" s="457"/>
      <c r="HX178" s="457"/>
      <c r="HY178" s="457"/>
      <c r="HZ178" s="457"/>
      <c r="IA178" s="457"/>
      <c r="IB178" s="457"/>
      <c r="IC178" s="457"/>
      <c r="ID178" s="457"/>
      <c r="IE178" s="457"/>
      <c r="IF178" s="457"/>
      <c r="IG178" s="457"/>
      <c r="IH178" s="457"/>
      <c r="II178" s="457"/>
      <c r="IJ178" s="457"/>
      <c r="IK178" s="457"/>
      <c r="IL178" s="457"/>
      <c r="IM178" s="457"/>
      <c r="IN178" s="457"/>
      <c r="IO178" s="457"/>
      <c r="IP178" s="457"/>
      <c r="IQ178" s="457"/>
      <c r="IR178" s="457"/>
      <c r="IS178" s="457"/>
      <c r="IT178" s="457"/>
      <c r="IU178" s="457"/>
      <c r="IV178" s="457"/>
      <c r="IW178" s="457"/>
      <c r="IX178" s="457"/>
      <c r="IY178" s="457"/>
      <c r="IZ178" s="457"/>
      <c r="JA178" s="457"/>
      <c r="JB178" s="457"/>
      <c r="JC178" s="457"/>
      <c r="JD178" s="457"/>
      <c r="JE178" s="457"/>
    </row>
    <row r="179" spans="1:265" ht="60" customHeight="1" x14ac:dyDescent="0.25">
      <c r="A179" s="448" t="s">
        <v>7099</v>
      </c>
      <c r="B179" s="144" t="str">
        <f>IF(Recto!$C$3="","",IF(OR(Recto!$C$3=C179,Calculs!$I$8&gt;0),CONCATENATE(A179),""))</f>
        <v/>
      </c>
      <c r="C179" s="164" t="s">
        <v>6806</v>
      </c>
      <c r="D179" s="144" t="s">
        <v>171</v>
      </c>
      <c r="E179" s="140">
        <v>6.5</v>
      </c>
      <c r="F179" s="142" t="str">
        <f t="shared" si="52"/>
        <v>---</v>
      </c>
      <c r="G179" s="142" t="str">
        <f t="shared" si="53"/>
        <v>---</v>
      </c>
      <c r="H179" s="141" t="s">
        <v>2049</v>
      </c>
      <c r="I179" s="141" t="s">
        <v>2086</v>
      </c>
      <c r="J179" s="448" t="s">
        <v>6811</v>
      </c>
      <c r="K179" s="144">
        <v>134</v>
      </c>
      <c r="L179" s="449" t="s">
        <v>7101</v>
      </c>
      <c r="M179" s="450">
        <f>IF(D179="+1 Force",1,IF(D179="+1 Agilité",2,IF(D179="+1 Intelligence",3,IF(D179="+1 Perception",4,IF(D179="+1 Constitution",5,IF(D179="+1 Vide",6,IF(D179="+1 Volonté",7,IF(D179="+1 Reflexes",8,IF(D179="+1 Intuition",9,0)))))))))</f>
        <v>9</v>
      </c>
      <c r="N179" s="452" t="s">
        <v>7102</v>
      </c>
      <c r="O179" s="449" t="s">
        <v>7100</v>
      </c>
      <c r="P179" s="451">
        <v>5</v>
      </c>
      <c r="Q179" s="451">
        <v>0</v>
      </c>
      <c r="R179" s="451">
        <v>0</v>
      </c>
      <c r="S179" s="187" t="s">
        <v>1284</v>
      </c>
      <c r="T179" s="196" t="str">
        <f t="shared" si="44"/>
        <v/>
      </c>
      <c r="U179" s="196" t="str">
        <f t="shared" si="45"/>
        <v/>
      </c>
      <c r="V179" s="578" t="str">
        <f t="shared" si="46"/>
        <v/>
      </c>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c r="AS179" s="457"/>
      <c r="AT179" s="457"/>
      <c r="AU179" s="457"/>
      <c r="AV179" s="457"/>
      <c r="AW179" s="457"/>
      <c r="AX179" s="457"/>
      <c r="AY179" s="457"/>
      <c r="AZ179" s="457"/>
      <c r="BA179" s="457"/>
      <c r="BB179" s="457"/>
      <c r="BC179" s="457"/>
      <c r="BD179" s="457"/>
      <c r="BE179" s="457"/>
      <c r="BF179" s="457"/>
      <c r="BG179" s="457"/>
      <c r="BH179" s="457"/>
      <c r="BI179" s="457"/>
      <c r="BJ179" s="457"/>
      <c r="BK179" s="457"/>
      <c r="BL179" s="457"/>
      <c r="BM179" s="457"/>
      <c r="BN179" s="457"/>
      <c r="BO179" s="457"/>
      <c r="BP179" s="457"/>
      <c r="BQ179" s="457"/>
      <c r="BR179" s="457"/>
      <c r="BS179" s="457"/>
      <c r="BT179" s="457"/>
      <c r="BU179" s="457"/>
      <c r="BV179" s="457"/>
      <c r="BW179" s="457"/>
      <c r="BX179" s="457"/>
      <c r="BY179" s="457"/>
      <c r="BZ179" s="457"/>
      <c r="CA179" s="457"/>
      <c r="CB179" s="457"/>
      <c r="CC179" s="457"/>
      <c r="CD179" s="457"/>
      <c r="CE179" s="457"/>
      <c r="CF179" s="457"/>
      <c r="CG179" s="457"/>
      <c r="CH179" s="457"/>
      <c r="CI179" s="457"/>
      <c r="CJ179" s="457"/>
      <c r="CK179" s="457"/>
      <c r="CL179" s="457"/>
      <c r="CM179" s="457"/>
      <c r="CN179" s="457"/>
      <c r="CO179" s="457"/>
      <c r="CP179" s="457"/>
      <c r="CQ179" s="457"/>
      <c r="CR179" s="457"/>
      <c r="CS179" s="457"/>
      <c r="CT179" s="457"/>
      <c r="CU179" s="457"/>
      <c r="CV179" s="457"/>
      <c r="CW179" s="457"/>
      <c r="CX179" s="457"/>
      <c r="CY179" s="457"/>
      <c r="CZ179" s="457"/>
      <c r="DA179" s="457"/>
      <c r="DB179" s="457"/>
      <c r="DC179" s="457"/>
      <c r="DD179" s="457"/>
      <c r="DE179" s="457"/>
      <c r="DF179" s="457"/>
      <c r="DG179" s="457"/>
      <c r="DH179" s="457"/>
      <c r="DI179" s="457"/>
      <c r="DJ179" s="457"/>
      <c r="DK179" s="457"/>
      <c r="DL179" s="457"/>
      <c r="DM179" s="457"/>
      <c r="DN179" s="457"/>
      <c r="DO179" s="457"/>
      <c r="DP179" s="457"/>
      <c r="DQ179" s="457"/>
      <c r="DR179" s="457"/>
      <c r="DS179" s="457"/>
      <c r="DT179" s="457"/>
      <c r="DU179" s="457"/>
      <c r="DV179" s="457"/>
      <c r="DW179" s="457"/>
      <c r="DX179" s="457"/>
      <c r="DY179" s="457"/>
      <c r="DZ179" s="457"/>
      <c r="EA179" s="457"/>
      <c r="EB179" s="457"/>
      <c r="EC179" s="457"/>
      <c r="ED179" s="457"/>
      <c r="EE179" s="457"/>
      <c r="EF179" s="457"/>
      <c r="EG179" s="457"/>
      <c r="EH179" s="457"/>
      <c r="EI179" s="457"/>
      <c r="EJ179" s="457"/>
      <c r="EK179" s="457"/>
      <c r="EL179" s="457"/>
      <c r="EM179" s="457"/>
      <c r="EN179" s="457"/>
      <c r="EO179" s="457"/>
      <c r="EP179" s="457"/>
      <c r="EQ179" s="457"/>
      <c r="ER179" s="457"/>
      <c r="ES179" s="457"/>
      <c r="ET179" s="457"/>
      <c r="EU179" s="457"/>
      <c r="EV179" s="457"/>
      <c r="EW179" s="457"/>
      <c r="EX179" s="457"/>
      <c r="EY179" s="457"/>
      <c r="EZ179" s="457"/>
      <c r="FA179" s="457"/>
      <c r="FB179" s="457"/>
      <c r="FC179" s="457"/>
      <c r="FD179" s="457"/>
      <c r="FE179" s="457"/>
      <c r="FF179" s="457"/>
      <c r="FG179" s="457"/>
      <c r="FH179" s="457"/>
      <c r="FI179" s="457"/>
      <c r="FJ179" s="457"/>
      <c r="FK179" s="457"/>
      <c r="FL179" s="457"/>
      <c r="FM179" s="457"/>
      <c r="FN179" s="457"/>
      <c r="FO179" s="457"/>
      <c r="FP179" s="457"/>
      <c r="FQ179" s="457"/>
      <c r="FR179" s="457"/>
      <c r="FS179" s="457"/>
      <c r="FT179" s="457"/>
      <c r="FU179" s="457"/>
      <c r="FV179" s="457"/>
      <c r="FW179" s="457"/>
      <c r="FX179" s="457"/>
      <c r="FY179" s="457"/>
      <c r="FZ179" s="457"/>
      <c r="GA179" s="457"/>
      <c r="GB179" s="457"/>
      <c r="GC179" s="457"/>
      <c r="GD179" s="457"/>
      <c r="GE179" s="457"/>
      <c r="GF179" s="457"/>
      <c r="GG179" s="457"/>
      <c r="GH179" s="457"/>
      <c r="GI179" s="457"/>
      <c r="GJ179" s="457"/>
      <c r="GK179" s="457"/>
      <c r="GL179" s="457"/>
      <c r="GM179" s="457"/>
      <c r="GN179" s="457"/>
      <c r="GO179" s="457"/>
      <c r="GP179" s="457"/>
      <c r="GQ179" s="457"/>
      <c r="GR179" s="457"/>
      <c r="GS179" s="457"/>
      <c r="GT179" s="457"/>
      <c r="GU179" s="457"/>
      <c r="GV179" s="457"/>
      <c r="GW179" s="457"/>
      <c r="GX179" s="457"/>
      <c r="GY179" s="457"/>
      <c r="GZ179" s="457"/>
      <c r="HA179" s="457"/>
      <c r="HB179" s="457"/>
      <c r="HC179" s="457"/>
      <c r="HD179" s="457"/>
      <c r="HE179" s="457"/>
      <c r="HF179" s="457"/>
      <c r="HG179" s="457"/>
      <c r="HH179" s="457"/>
      <c r="HI179" s="457"/>
      <c r="HJ179" s="457"/>
      <c r="HK179" s="457"/>
      <c r="HL179" s="457"/>
      <c r="HM179" s="457"/>
      <c r="HN179" s="457"/>
      <c r="HO179" s="457"/>
      <c r="HP179" s="457"/>
      <c r="HQ179" s="457"/>
      <c r="HR179" s="457"/>
      <c r="HS179" s="457"/>
      <c r="HT179" s="457"/>
      <c r="HU179" s="457"/>
      <c r="HV179" s="457"/>
      <c r="HW179" s="457"/>
      <c r="HX179" s="457"/>
      <c r="HY179" s="457"/>
      <c r="HZ179" s="457"/>
      <c r="IA179" s="457"/>
      <c r="IB179" s="457"/>
      <c r="IC179" s="457"/>
      <c r="ID179" s="457"/>
      <c r="IE179" s="457"/>
      <c r="IF179" s="457"/>
      <c r="IG179" s="457"/>
      <c r="IH179" s="457"/>
      <c r="II179" s="457"/>
      <c r="IJ179" s="457"/>
      <c r="IK179" s="457"/>
      <c r="IL179" s="457"/>
      <c r="IM179" s="457"/>
      <c r="IN179" s="457"/>
      <c r="IO179" s="457"/>
      <c r="IP179" s="457"/>
      <c r="IQ179" s="457"/>
      <c r="IR179" s="457"/>
      <c r="IS179" s="457"/>
      <c r="IT179" s="457"/>
      <c r="IU179" s="457"/>
      <c r="IV179" s="457"/>
      <c r="IW179" s="457"/>
      <c r="IX179" s="457"/>
      <c r="IY179" s="457"/>
      <c r="IZ179" s="457"/>
      <c r="JA179" s="457"/>
      <c r="JB179" s="457"/>
      <c r="JC179" s="457"/>
      <c r="JD179" s="457"/>
      <c r="JE179" s="457"/>
    </row>
    <row r="180" spans="1:265" ht="60" customHeight="1" x14ac:dyDescent="0.25">
      <c r="A180" s="448" t="s">
        <v>7207</v>
      </c>
      <c r="B180" s="144" t="str">
        <f>IF(Recto!$C$3="","",IF(OR(Recto!$C$3=C180,Calculs!$I$8&gt;0),CONCATENATE(A180),""))</f>
        <v/>
      </c>
      <c r="C180" s="164" t="s">
        <v>6806</v>
      </c>
      <c r="D180" s="139" t="s">
        <v>2078</v>
      </c>
      <c r="E180" s="140" t="s">
        <v>2078</v>
      </c>
      <c r="F180" s="142" t="str">
        <f t="shared" si="52"/>
        <v>---</v>
      </c>
      <c r="G180" s="142" t="str">
        <f t="shared" si="53"/>
        <v>---</v>
      </c>
      <c r="H180" s="141" t="s">
        <v>2049</v>
      </c>
      <c r="I180" s="141" t="s">
        <v>2085</v>
      </c>
      <c r="J180" s="448" t="s">
        <v>6811</v>
      </c>
      <c r="K180" s="144">
        <v>135</v>
      </c>
      <c r="L180" s="449" t="s">
        <v>7208</v>
      </c>
      <c r="M180" s="450">
        <f>IF(D180="+1 Force",1,IF(D180="+1 Agilité",2,IF(D180="+1 Intelligence",3,IF(D180="+1 Perception",4,IF(D180="+1 Constitution",5,IF(D180="+1 Vide",6,IF(D180="+1 Volonté",7,IF(D180="+1 Reflexes",8,IF(D180="+1 Intuition",9,0)))))))))</f>
        <v>0</v>
      </c>
      <c r="N180" s="452" t="s">
        <v>2078</v>
      </c>
      <c r="O180" s="449" t="s">
        <v>253</v>
      </c>
      <c r="P180" s="451">
        <v>0</v>
      </c>
      <c r="Q180" s="451">
        <v>0</v>
      </c>
      <c r="R180" s="451">
        <v>0</v>
      </c>
      <c r="S180" s="187" t="s">
        <v>1284</v>
      </c>
      <c r="T180" s="196" t="str">
        <f t="shared" si="44"/>
        <v/>
      </c>
      <c r="U180" s="196" t="str">
        <f t="shared" si="45"/>
        <v/>
      </c>
      <c r="V180" s="578" t="str">
        <f t="shared" si="46"/>
        <v/>
      </c>
    </row>
    <row r="181" spans="1:265" s="457" customFormat="1" ht="60" customHeight="1" x14ac:dyDescent="0.25">
      <c r="A181" s="448" t="s">
        <v>6832</v>
      </c>
      <c r="B181" s="144" t="str">
        <f>IF(Recto!$C$3="","",IF(OR(Recto!$C$3=C181,Calculs!$I$8&gt;0),CONCATENATE(A181),""))</f>
        <v/>
      </c>
      <c r="C181" s="447" t="s">
        <v>6755</v>
      </c>
      <c r="D181" s="144" t="s">
        <v>173</v>
      </c>
      <c r="E181" s="140">
        <v>5.5</v>
      </c>
      <c r="F181" s="142" t="str">
        <f t="shared" si="52"/>
        <v>---</v>
      </c>
      <c r="G181" s="142" t="str">
        <f t="shared" si="53"/>
        <v>---</v>
      </c>
      <c r="H181" s="141" t="s">
        <v>2049</v>
      </c>
      <c r="I181" s="141" t="s">
        <v>2086</v>
      </c>
      <c r="J181" s="448" t="s">
        <v>6811</v>
      </c>
      <c r="K181" s="144">
        <v>10</v>
      </c>
      <c r="L181" s="449" t="s">
        <v>6833</v>
      </c>
      <c r="M181" s="450">
        <f t="shared" ref="M181:M194" si="54">IF(D181="+1 Force",1,IF(D181="+1 Agilité",2,IF(D181="+1 Intelligence",3,IF(D181="+1 Perception",4,IF(D181="+1 Constitution",5,IF(D181="+1 Vide",6,IF(D181="+1 Volonté",7,IF(D181="+1 Reflexes",8,IF(D181="+1 Intuition",9,0)))))))))</f>
        <v>6</v>
      </c>
      <c r="N181" s="452" t="s">
        <v>6834</v>
      </c>
      <c r="O181" s="449" t="s">
        <v>6835</v>
      </c>
      <c r="P181" s="451">
        <v>5</v>
      </c>
      <c r="Q181" s="451">
        <v>0</v>
      </c>
      <c r="R181" s="451">
        <v>0</v>
      </c>
      <c r="S181" s="187" t="s">
        <v>1284</v>
      </c>
      <c r="T181" s="196" t="str">
        <f t="shared" si="44"/>
        <v/>
      </c>
      <c r="U181" s="196" t="str">
        <f t="shared" si="45"/>
        <v/>
      </c>
      <c r="V181" s="578" t="str">
        <f t="shared" si="46"/>
        <v/>
      </c>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2"/>
      <c r="GQ181" s="92"/>
      <c r="GR181" s="92"/>
      <c r="GS181" s="92"/>
      <c r="GT181" s="92"/>
      <c r="GU181" s="92"/>
      <c r="GV181" s="92"/>
      <c r="GW181" s="92"/>
      <c r="GX181" s="92"/>
      <c r="GY181" s="92"/>
      <c r="GZ181" s="92"/>
      <c r="HA181" s="92"/>
      <c r="HB181" s="92"/>
      <c r="HC181" s="92"/>
      <c r="HD181" s="92"/>
      <c r="HE181" s="92"/>
      <c r="HF181" s="92"/>
      <c r="HG181" s="92"/>
      <c r="HH181" s="92"/>
      <c r="HI181" s="92"/>
      <c r="HJ181" s="92"/>
      <c r="HK181" s="92"/>
      <c r="HL181" s="92"/>
      <c r="HM181" s="92"/>
      <c r="HN181" s="92"/>
      <c r="HO181" s="92"/>
      <c r="HP181" s="92"/>
      <c r="HQ181" s="92"/>
      <c r="HR181" s="92"/>
      <c r="HS181" s="92"/>
      <c r="HT181" s="92"/>
      <c r="HU181" s="92"/>
      <c r="HV181" s="92"/>
      <c r="HW181" s="92"/>
      <c r="HX181" s="92"/>
      <c r="HY181" s="92"/>
      <c r="HZ181" s="92"/>
      <c r="IA181" s="92"/>
      <c r="IB181" s="92"/>
      <c r="IC181" s="92"/>
      <c r="ID181" s="92"/>
      <c r="IE181" s="92"/>
      <c r="IF181" s="92"/>
      <c r="IG181" s="92"/>
      <c r="IH181" s="92"/>
      <c r="II181" s="92"/>
      <c r="IJ181" s="92"/>
      <c r="IK181" s="92"/>
      <c r="IL181" s="92"/>
      <c r="IM181" s="92"/>
      <c r="IN181" s="92"/>
      <c r="IO181" s="92"/>
      <c r="IP181" s="92"/>
      <c r="IQ181" s="92"/>
      <c r="IR181" s="92"/>
      <c r="IS181" s="92"/>
      <c r="IT181" s="92"/>
      <c r="IU181" s="92"/>
      <c r="IV181" s="92"/>
      <c r="IW181" s="92"/>
      <c r="IX181" s="92"/>
      <c r="IY181" s="92"/>
      <c r="IZ181" s="92"/>
      <c r="JA181" s="92"/>
      <c r="JB181" s="92"/>
      <c r="JC181" s="92"/>
      <c r="JD181" s="92"/>
      <c r="JE181" s="92"/>
    </row>
    <row r="182" spans="1:265" ht="60" customHeight="1" x14ac:dyDescent="0.25">
      <c r="A182" s="448" t="s">
        <v>4836</v>
      </c>
      <c r="B182" s="144" t="str">
        <f>IF(Recto!$C$3="","",IF(OR(Recto!$C$3=C182,Calculs!$I$8&gt;0),CONCATENATE(A182),""))</f>
        <v/>
      </c>
      <c r="C182" s="164" t="s">
        <v>177</v>
      </c>
      <c r="D182" s="144" t="s">
        <v>6</v>
      </c>
      <c r="E182" s="141">
        <v>4.5</v>
      </c>
      <c r="F182" s="142" t="str">
        <f t="shared" si="52"/>
        <v>---</v>
      </c>
      <c r="G182" s="142" t="str">
        <f t="shared" si="53"/>
        <v>---</v>
      </c>
      <c r="H182" s="141" t="s">
        <v>2057</v>
      </c>
      <c r="I182" s="141" t="s">
        <v>2086</v>
      </c>
      <c r="J182" s="448" t="s">
        <v>4808</v>
      </c>
      <c r="K182" s="144">
        <v>123</v>
      </c>
      <c r="L182" s="449" t="s">
        <v>2699</v>
      </c>
      <c r="M182" s="450">
        <f t="shared" si="54"/>
        <v>3</v>
      </c>
      <c r="N182" s="449" t="s">
        <v>2693</v>
      </c>
      <c r="O182" s="449" t="s">
        <v>2694</v>
      </c>
      <c r="P182" s="451">
        <v>5</v>
      </c>
      <c r="Q182" s="451">
        <v>0</v>
      </c>
      <c r="R182" s="451">
        <v>0</v>
      </c>
      <c r="S182" s="187" t="s">
        <v>1284</v>
      </c>
      <c r="T182" s="196" t="str">
        <f t="shared" si="44"/>
        <v/>
      </c>
      <c r="U182" s="196" t="str">
        <f t="shared" si="45"/>
        <v/>
      </c>
      <c r="V182" s="578" t="str">
        <f t="shared" si="46"/>
        <v/>
      </c>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c r="AS182" s="457"/>
      <c r="AT182" s="457"/>
      <c r="AU182" s="457"/>
      <c r="AV182" s="457"/>
      <c r="AW182" s="457"/>
      <c r="AX182" s="457"/>
      <c r="AY182" s="457"/>
      <c r="AZ182" s="457"/>
      <c r="BA182" s="457"/>
      <c r="BB182" s="457"/>
      <c r="BC182" s="457"/>
      <c r="BD182" s="457"/>
      <c r="BE182" s="457"/>
      <c r="BF182" s="457"/>
      <c r="BG182" s="457"/>
      <c r="BH182" s="457"/>
      <c r="BI182" s="457"/>
      <c r="BJ182" s="457"/>
      <c r="BK182" s="457"/>
      <c r="BL182" s="457"/>
      <c r="BM182" s="457"/>
      <c r="BN182" s="457"/>
      <c r="BO182" s="457"/>
      <c r="BP182" s="457"/>
      <c r="BQ182" s="457"/>
      <c r="BR182" s="457"/>
      <c r="BS182" s="457"/>
      <c r="BT182" s="457"/>
      <c r="BU182" s="457"/>
      <c r="BV182" s="457"/>
      <c r="BW182" s="457"/>
      <c r="BX182" s="457"/>
      <c r="BY182" s="457"/>
      <c r="BZ182" s="457"/>
      <c r="CA182" s="457"/>
      <c r="CB182" s="457"/>
      <c r="CC182" s="457"/>
      <c r="CD182" s="457"/>
      <c r="CE182" s="457"/>
      <c r="CF182" s="457"/>
      <c r="CG182" s="457"/>
      <c r="CH182" s="457"/>
      <c r="CI182" s="457"/>
      <c r="CJ182" s="457"/>
      <c r="CK182" s="457"/>
      <c r="CL182" s="457"/>
      <c r="CM182" s="457"/>
      <c r="CN182" s="457"/>
      <c r="CO182" s="457"/>
      <c r="CP182" s="457"/>
      <c r="CQ182" s="457"/>
      <c r="CR182" s="457"/>
      <c r="CS182" s="457"/>
      <c r="CT182" s="457"/>
      <c r="CU182" s="457"/>
      <c r="CV182" s="457"/>
      <c r="CW182" s="457"/>
      <c r="CX182" s="457"/>
      <c r="CY182" s="457"/>
      <c r="CZ182" s="457"/>
      <c r="DA182" s="457"/>
      <c r="DB182" s="457"/>
      <c r="DC182" s="457"/>
      <c r="DD182" s="457"/>
      <c r="DE182" s="457"/>
      <c r="DF182" s="457"/>
      <c r="DG182" s="457"/>
      <c r="DH182" s="457"/>
      <c r="DI182" s="457"/>
      <c r="DJ182" s="457"/>
      <c r="DK182" s="457"/>
      <c r="DL182" s="457"/>
      <c r="DM182" s="457"/>
      <c r="DN182" s="457"/>
      <c r="DO182" s="457"/>
      <c r="DP182" s="457"/>
      <c r="DQ182" s="457"/>
      <c r="DR182" s="457"/>
      <c r="DS182" s="457"/>
      <c r="DT182" s="457"/>
      <c r="DU182" s="457"/>
      <c r="DV182" s="457"/>
      <c r="DW182" s="457"/>
      <c r="DX182" s="457"/>
      <c r="DY182" s="457"/>
      <c r="DZ182" s="457"/>
      <c r="EA182" s="457"/>
      <c r="EB182" s="457"/>
      <c r="EC182" s="457"/>
      <c r="ED182" s="457"/>
      <c r="EE182" s="457"/>
      <c r="EF182" s="457"/>
      <c r="EG182" s="457"/>
      <c r="EH182" s="457"/>
      <c r="EI182" s="457"/>
      <c r="EJ182" s="457"/>
      <c r="EK182" s="457"/>
      <c r="EL182" s="457"/>
      <c r="EM182" s="457"/>
      <c r="EN182" s="457"/>
      <c r="EO182" s="457"/>
      <c r="EP182" s="457"/>
      <c r="EQ182" s="457"/>
      <c r="ER182" s="457"/>
      <c r="ES182" s="457"/>
      <c r="ET182" s="457"/>
      <c r="EU182" s="457"/>
      <c r="EV182" s="457"/>
      <c r="EW182" s="457"/>
      <c r="EX182" s="457"/>
      <c r="EY182" s="457"/>
      <c r="EZ182" s="457"/>
      <c r="FA182" s="457"/>
      <c r="FB182" s="457"/>
      <c r="FC182" s="457"/>
      <c r="FD182" s="457"/>
      <c r="FE182" s="457"/>
      <c r="FF182" s="457"/>
      <c r="FG182" s="457"/>
      <c r="FH182" s="457"/>
      <c r="FI182" s="457"/>
      <c r="FJ182" s="457"/>
      <c r="FK182" s="457"/>
      <c r="FL182" s="457"/>
      <c r="FM182" s="457"/>
      <c r="FN182" s="457"/>
      <c r="FO182" s="457"/>
      <c r="FP182" s="457"/>
      <c r="FQ182" s="457"/>
      <c r="FR182" s="457"/>
      <c r="FS182" s="457"/>
      <c r="FT182" s="457"/>
      <c r="FU182" s="457"/>
      <c r="FV182" s="457"/>
      <c r="FW182" s="457"/>
      <c r="FX182" s="457"/>
      <c r="FY182" s="457"/>
      <c r="FZ182" s="457"/>
      <c r="GA182" s="457"/>
      <c r="GB182" s="457"/>
      <c r="GC182" s="457"/>
      <c r="GD182" s="457"/>
      <c r="GE182" s="457"/>
      <c r="GF182" s="457"/>
      <c r="GG182" s="457"/>
      <c r="GH182" s="457"/>
      <c r="GI182" s="457"/>
      <c r="GJ182" s="457"/>
      <c r="GK182" s="457"/>
      <c r="GL182" s="457"/>
      <c r="GM182" s="457"/>
      <c r="GN182" s="457"/>
      <c r="GO182" s="457"/>
      <c r="GP182" s="457"/>
      <c r="GQ182" s="457"/>
      <c r="GR182" s="457"/>
      <c r="GS182" s="457"/>
      <c r="GT182" s="457"/>
      <c r="GU182" s="457"/>
      <c r="GV182" s="457"/>
      <c r="GW182" s="457"/>
      <c r="GX182" s="457"/>
      <c r="GY182" s="457"/>
      <c r="GZ182" s="457"/>
      <c r="HA182" s="457"/>
      <c r="HB182" s="457"/>
      <c r="HC182" s="457"/>
      <c r="HD182" s="457"/>
      <c r="HE182" s="457"/>
      <c r="HF182" s="457"/>
      <c r="HG182" s="457"/>
      <c r="HH182" s="457"/>
      <c r="HI182" s="457"/>
      <c r="HJ182" s="457"/>
      <c r="HK182" s="457"/>
      <c r="HL182" s="457"/>
      <c r="HM182" s="457"/>
      <c r="HN182" s="457"/>
      <c r="HO182" s="457"/>
      <c r="HP182" s="457"/>
      <c r="HQ182" s="457"/>
      <c r="HR182" s="457"/>
      <c r="HS182" s="457"/>
      <c r="HT182" s="457"/>
      <c r="HU182" s="457"/>
      <c r="HV182" s="457"/>
      <c r="HW182" s="457"/>
      <c r="HX182" s="457"/>
      <c r="HY182" s="457"/>
      <c r="HZ182" s="457"/>
      <c r="IA182" s="457"/>
      <c r="IB182" s="457"/>
      <c r="IC182" s="457"/>
      <c r="ID182" s="457"/>
      <c r="IE182" s="457"/>
      <c r="IF182" s="457"/>
      <c r="IG182" s="457"/>
      <c r="IH182" s="457"/>
      <c r="II182" s="457"/>
      <c r="IJ182" s="457"/>
      <c r="IK182" s="457"/>
      <c r="IL182" s="457"/>
      <c r="IM182" s="457"/>
      <c r="IN182" s="457"/>
      <c r="IO182" s="457"/>
      <c r="IP182" s="457"/>
      <c r="IQ182" s="457"/>
      <c r="IR182" s="457"/>
      <c r="IS182" s="457"/>
      <c r="IT182" s="457"/>
      <c r="IU182" s="457"/>
      <c r="IV182" s="457"/>
      <c r="IW182" s="457"/>
      <c r="IX182" s="457"/>
      <c r="IY182" s="457"/>
      <c r="IZ182" s="457"/>
      <c r="JA182" s="457"/>
      <c r="JB182" s="457"/>
      <c r="JC182" s="457"/>
      <c r="JD182" s="457"/>
      <c r="JE182" s="457"/>
    </row>
    <row r="183" spans="1:265" ht="60" customHeight="1" x14ac:dyDescent="0.25">
      <c r="A183" s="448" t="s">
        <v>217</v>
      </c>
      <c r="B183" s="144" t="str">
        <f>IF(Recto!$C$3="","",IF(OR(Recto!$C$3=C183,Calculs!$I$8&gt;0),CONCATENATE(A183),""))</f>
        <v/>
      </c>
      <c r="C183" s="164" t="s">
        <v>177</v>
      </c>
      <c r="D183" s="144" t="s">
        <v>169</v>
      </c>
      <c r="E183" s="141">
        <v>5.5</v>
      </c>
      <c r="F183" s="142" t="str">
        <f t="shared" si="52"/>
        <v>---</v>
      </c>
      <c r="G183" s="142" t="str">
        <f t="shared" si="53"/>
        <v>---</v>
      </c>
      <c r="H183" s="141" t="s">
        <v>2049</v>
      </c>
      <c r="I183" s="141" t="s">
        <v>2086</v>
      </c>
      <c r="J183" s="448" t="s">
        <v>3</v>
      </c>
      <c r="K183" s="144">
        <v>126</v>
      </c>
      <c r="L183" s="449" t="s">
        <v>348</v>
      </c>
      <c r="M183" s="450">
        <f t="shared" si="54"/>
        <v>2</v>
      </c>
      <c r="N183" s="449" t="s">
        <v>2537</v>
      </c>
      <c r="O183" s="449" t="s">
        <v>2229</v>
      </c>
      <c r="P183" s="451">
        <v>5</v>
      </c>
      <c r="Q183" s="451">
        <v>0</v>
      </c>
      <c r="R183" s="451">
        <v>0</v>
      </c>
      <c r="S183" s="187" t="s">
        <v>1284</v>
      </c>
      <c r="T183" s="196" t="str">
        <f t="shared" si="44"/>
        <v/>
      </c>
      <c r="U183" s="196" t="str">
        <f t="shared" si="45"/>
        <v/>
      </c>
      <c r="V183" s="578" t="str">
        <f t="shared" si="46"/>
        <v/>
      </c>
    </row>
    <row r="184" spans="1:265" ht="60" customHeight="1" x14ac:dyDescent="0.25">
      <c r="A184" s="448" t="s">
        <v>423</v>
      </c>
      <c r="B184" s="144" t="str">
        <f>IF(Recto!$C$3="","",IF(OR(Recto!$C$3=C184,Calculs!$I$8&gt;0),CONCATENATE(A184),""))</f>
        <v/>
      </c>
      <c r="C184" s="164" t="s">
        <v>177</v>
      </c>
      <c r="D184" s="139" t="s">
        <v>2078</v>
      </c>
      <c r="E184" s="140" t="s">
        <v>2078</v>
      </c>
      <c r="F184" s="142" t="s">
        <v>2078</v>
      </c>
      <c r="G184" s="142" t="s">
        <v>2078</v>
      </c>
      <c r="H184" s="141" t="s">
        <v>2048</v>
      </c>
      <c r="I184" s="141" t="s">
        <v>2085</v>
      </c>
      <c r="J184" s="448" t="s">
        <v>3</v>
      </c>
      <c r="K184" s="144">
        <v>249</v>
      </c>
      <c r="L184" s="449" t="s">
        <v>2330</v>
      </c>
      <c r="M184" s="450">
        <f t="shared" si="54"/>
        <v>0</v>
      </c>
      <c r="N184" s="452" t="s">
        <v>2078</v>
      </c>
      <c r="O184" s="449" t="s">
        <v>253</v>
      </c>
      <c r="P184" s="451">
        <v>0</v>
      </c>
      <c r="Q184" s="451">
        <v>0</v>
      </c>
      <c r="R184" s="451">
        <v>0</v>
      </c>
      <c r="S184" s="187" t="s">
        <v>1284</v>
      </c>
      <c r="T184" s="196" t="str">
        <f t="shared" si="44"/>
        <v/>
      </c>
      <c r="U184" s="196" t="str">
        <f t="shared" si="45"/>
        <v/>
      </c>
      <c r="V184" s="578" t="str">
        <f t="shared" si="46"/>
        <v/>
      </c>
    </row>
    <row r="185" spans="1:265" ht="60" customHeight="1" x14ac:dyDescent="0.25">
      <c r="A185" s="448" t="s">
        <v>214</v>
      </c>
      <c r="B185" s="144" t="str">
        <f>IF(Recto!$C$3="","",IF(OR(Recto!$C$3=C185,Calculs!$I$8&gt;0),CONCATENATE(A185),""))</f>
        <v/>
      </c>
      <c r="C185" s="164" t="s">
        <v>177</v>
      </c>
      <c r="D185" s="144" t="s">
        <v>174</v>
      </c>
      <c r="E185" s="141">
        <v>5.5</v>
      </c>
      <c r="F185" s="142" t="str">
        <f>IF(H185="S","","---")</f>
        <v>---</v>
      </c>
      <c r="G185" s="142" t="str">
        <f>IF(F185="---","---","")</f>
        <v>---</v>
      </c>
      <c r="H185" s="141" t="s">
        <v>2050</v>
      </c>
      <c r="I185" s="141" t="s">
        <v>2086</v>
      </c>
      <c r="J185" s="448" t="s">
        <v>6061</v>
      </c>
      <c r="K185" s="144">
        <v>230</v>
      </c>
      <c r="L185" s="449" t="s">
        <v>2893</v>
      </c>
      <c r="M185" s="450">
        <f t="shared" si="54"/>
        <v>7</v>
      </c>
      <c r="N185" s="449" t="s">
        <v>2886</v>
      </c>
      <c r="O185" s="449" t="s">
        <v>2354</v>
      </c>
      <c r="P185" s="451">
        <v>5</v>
      </c>
      <c r="Q185" s="451">
        <v>0</v>
      </c>
      <c r="R185" s="451">
        <v>0</v>
      </c>
      <c r="S185" s="187" t="s">
        <v>1284</v>
      </c>
      <c r="T185" s="196" t="str">
        <f t="shared" si="44"/>
        <v/>
      </c>
      <c r="U185" s="196" t="str">
        <f t="shared" si="45"/>
        <v/>
      </c>
      <c r="V185" s="578" t="str">
        <f t="shared" si="46"/>
        <v/>
      </c>
    </row>
    <row r="186" spans="1:265" ht="60" customHeight="1" x14ac:dyDescent="0.25">
      <c r="A186" s="448" t="s">
        <v>2894</v>
      </c>
      <c r="B186" s="144" t="str">
        <f>IF(Recto!$C$3="","",IF(OR(Recto!$C$3=C186,Calculs!$I$8&gt;0),CONCATENATE(A186),""))</f>
        <v/>
      </c>
      <c r="C186" s="164" t="s">
        <v>177</v>
      </c>
      <c r="D186" s="139" t="s">
        <v>2078</v>
      </c>
      <c r="E186" s="140" t="s">
        <v>2078</v>
      </c>
      <c r="F186" s="142" t="str">
        <f>IF(H186="S","","---")</f>
        <v>---</v>
      </c>
      <c r="G186" s="142" t="str">
        <f>IF(F186="---","---","")</f>
        <v>---</v>
      </c>
      <c r="H186" s="141" t="s">
        <v>2050</v>
      </c>
      <c r="I186" s="141" t="s">
        <v>2085</v>
      </c>
      <c r="J186" s="448" t="s">
        <v>6061</v>
      </c>
      <c r="K186" s="455">
        <v>231</v>
      </c>
      <c r="L186" s="449" t="s">
        <v>2898</v>
      </c>
      <c r="M186" s="450">
        <f t="shared" si="54"/>
        <v>0</v>
      </c>
      <c r="N186" s="452" t="s">
        <v>2078</v>
      </c>
      <c r="O186" s="449" t="s">
        <v>253</v>
      </c>
      <c r="P186" s="451">
        <v>0</v>
      </c>
      <c r="Q186" s="451">
        <v>0</v>
      </c>
      <c r="R186" s="451">
        <v>0</v>
      </c>
      <c r="S186" s="187" t="s">
        <v>1284</v>
      </c>
      <c r="T186" s="196" t="str">
        <f t="shared" si="44"/>
        <v/>
      </c>
      <c r="U186" s="196" t="str">
        <f t="shared" si="45"/>
        <v/>
      </c>
      <c r="V186" s="578" t="str">
        <f t="shared" si="46"/>
        <v/>
      </c>
    </row>
    <row r="187" spans="1:265" ht="60" customHeight="1" x14ac:dyDescent="0.25">
      <c r="A187" s="448" t="s">
        <v>215</v>
      </c>
      <c r="B187" s="144" t="str">
        <f>IF(Recto!$C$3="","",IF(OR(Recto!$C$3=C187,Calculs!$I$8&gt;0),CONCATENATE(A187),""))</f>
        <v/>
      </c>
      <c r="C187" s="164" t="s">
        <v>177</v>
      </c>
      <c r="D187" s="144" t="s">
        <v>6</v>
      </c>
      <c r="E187" s="141">
        <v>6.5</v>
      </c>
      <c r="F187" s="142" t="str">
        <f>IF(H187="S","","---")</f>
        <v>---</v>
      </c>
      <c r="G187" s="142" t="str">
        <f>IF(F187="---","---","")</f>
        <v>---</v>
      </c>
      <c r="H187" s="141" t="s">
        <v>2052</v>
      </c>
      <c r="I187" s="141" t="s">
        <v>2086</v>
      </c>
      <c r="J187" s="448" t="s">
        <v>3</v>
      </c>
      <c r="K187" s="144">
        <v>124</v>
      </c>
      <c r="L187" s="449" t="s">
        <v>357</v>
      </c>
      <c r="M187" s="450">
        <f t="shared" si="54"/>
        <v>3</v>
      </c>
      <c r="N187" s="449" t="s">
        <v>2539</v>
      </c>
      <c r="O187" s="449" t="s">
        <v>2230</v>
      </c>
      <c r="P187" s="451">
        <v>5</v>
      </c>
      <c r="Q187" s="451">
        <v>0</v>
      </c>
      <c r="R187" s="451">
        <v>0</v>
      </c>
      <c r="S187" s="187" t="s">
        <v>1284</v>
      </c>
      <c r="T187" s="196" t="str">
        <f t="shared" si="44"/>
        <v/>
      </c>
      <c r="U187" s="196" t="str">
        <f t="shared" si="45"/>
        <v/>
      </c>
      <c r="V187" s="578" t="str">
        <f t="shared" si="46"/>
        <v/>
      </c>
    </row>
    <row r="188" spans="1:265" ht="60" customHeight="1" x14ac:dyDescent="0.25">
      <c r="A188" s="448" t="s">
        <v>213</v>
      </c>
      <c r="B188" s="144" t="str">
        <f>IF(Recto!$C$3="","",IF(OR(Recto!$C$3=C188,Calculs!$I$8&gt;0),CONCATENATE(A188),""))</f>
        <v/>
      </c>
      <c r="C188" s="164" t="s">
        <v>177</v>
      </c>
      <c r="D188" s="144" t="s">
        <v>6</v>
      </c>
      <c r="E188" s="141">
        <v>4.5</v>
      </c>
      <c r="F188" s="142" t="s">
        <v>579</v>
      </c>
      <c r="G188" s="142" t="s">
        <v>578</v>
      </c>
      <c r="H188" s="141" t="s">
        <v>2048</v>
      </c>
      <c r="I188" s="141" t="s">
        <v>2086</v>
      </c>
      <c r="J188" s="448" t="s">
        <v>3</v>
      </c>
      <c r="K188" s="144">
        <v>125</v>
      </c>
      <c r="L188" s="449" t="s">
        <v>358</v>
      </c>
      <c r="M188" s="450">
        <f t="shared" si="54"/>
        <v>3</v>
      </c>
      <c r="N188" s="449" t="s">
        <v>2542</v>
      </c>
      <c r="O188" s="449" t="s">
        <v>2234</v>
      </c>
      <c r="P188" s="451">
        <v>5</v>
      </c>
      <c r="Q188" s="451">
        <v>0</v>
      </c>
      <c r="R188" s="451">
        <v>0</v>
      </c>
      <c r="S188" s="187" t="s">
        <v>1284</v>
      </c>
      <c r="T188" s="196" t="str">
        <f t="shared" si="44"/>
        <v/>
      </c>
      <c r="U188" s="196" t="str">
        <f t="shared" si="45"/>
        <v/>
      </c>
      <c r="V188" s="578" t="str">
        <f t="shared" si="46"/>
        <v/>
      </c>
    </row>
    <row r="189" spans="1:265" ht="60" customHeight="1" x14ac:dyDescent="0.25">
      <c r="A189" s="448" t="s">
        <v>216</v>
      </c>
      <c r="B189" s="144" t="str">
        <f>IF(Recto!$C$3="","",IF(OR(Recto!$C$3=C189,Calculs!$I$8&gt;0),CONCATENATE(A189),""))</f>
        <v/>
      </c>
      <c r="C189" s="164" t="s">
        <v>177</v>
      </c>
      <c r="D189" s="144" t="s">
        <v>6</v>
      </c>
      <c r="E189" s="141">
        <v>4.5</v>
      </c>
      <c r="F189" s="142" t="s">
        <v>2078</v>
      </c>
      <c r="G189" s="142" t="s">
        <v>1284</v>
      </c>
      <c r="H189" s="141" t="s">
        <v>2048</v>
      </c>
      <c r="I189" s="141" t="s">
        <v>2086</v>
      </c>
      <c r="J189" s="448" t="s">
        <v>3</v>
      </c>
      <c r="K189" s="144">
        <v>127</v>
      </c>
      <c r="L189" s="449" t="s">
        <v>356</v>
      </c>
      <c r="M189" s="450">
        <f t="shared" si="54"/>
        <v>3</v>
      </c>
      <c r="N189" s="449" t="s">
        <v>2538</v>
      </c>
      <c r="O189" s="449" t="s">
        <v>2234</v>
      </c>
      <c r="P189" s="451">
        <v>5</v>
      </c>
      <c r="Q189" s="451">
        <v>0</v>
      </c>
      <c r="R189" s="451">
        <v>0</v>
      </c>
      <c r="S189" s="187" t="s">
        <v>1284</v>
      </c>
      <c r="T189" s="196" t="str">
        <f t="shared" si="44"/>
        <v/>
      </c>
      <c r="U189" s="196" t="str">
        <f t="shared" si="45"/>
        <v/>
      </c>
      <c r="V189" s="578" t="str">
        <f t="shared" si="46"/>
        <v/>
      </c>
    </row>
    <row r="190" spans="1:265" ht="60" customHeight="1" x14ac:dyDescent="0.25">
      <c r="A190" s="448" t="s">
        <v>6894</v>
      </c>
      <c r="B190" s="144" t="str">
        <f>IF(Recto!$C$3="","",IF(OR(Recto!$C$3=C190,Calculs!$I$8&gt;0),CONCATENATE(A190),""))</f>
        <v/>
      </c>
      <c r="C190" s="447" t="s">
        <v>6777</v>
      </c>
      <c r="D190" s="144" t="s">
        <v>171</v>
      </c>
      <c r="E190" s="140">
        <v>2.5</v>
      </c>
      <c r="F190" s="142" t="str">
        <f>IF(H190="S","","---")</f>
        <v>---</v>
      </c>
      <c r="G190" s="142" t="str">
        <f>IF(F190="---","---","")</f>
        <v>---</v>
      </c>
      <c r="H190" s="141" t="s">
        <v>2057</v>
      </c>
      <c r="I190" s="141" t="s">
        <v>2086</v>
      </c>
      <c r="J190" s="448" t="s">
        <v>6811</v>
      </c>
      <c r="K190" s="144">
        <v>82</v>
      </c>
      <c r="L190" s="449" t="s">
        <v>1280</v>
      </c>
      <c r="M190" s="450">
        <f t="shared" si="54"/>
        <v>9</v>
      </c>
      <c r="N190" s="452" t="s">
        <v>6895</v>
      </c>
      <c r="O190" s="449" t="s">
        <v>6896</v>
      </c>
      <c r="P190" s="451">
        <v>5</v>
      </c>
      <c r="Q190" s="451">
        <v>0</v>
      </c>
      <c r="R190" s="451">
        <v>0</v>
      </c>
      <c r="S190" s="187" t="s">
        <v>1284</v>
      </c>
      <c r="T190" s="196" t="str">
        <f t="shared" si="44"/>
        <v/>
      </c>
      <c r="U190" s="196" t="str">
        <f t="shared" si="45"/>
        <v/>
      </c>
      <c r="V190" s="578" t="str">
        <f t="shared" si="46"/>
        <v/>
      </c>
    </row>
    <row r="191" spans="1:265" ht="60" customHeight="1" x14ac:dyDescent="0.25">
      <c r="A191" s="448" t="s">
        <v>6947</v>
      </c>
      <c r="B191" s="144" t="str">
        <f>IF(Recto!$C$3="","",IF(OR(Recto!$C$3=C191,Calculs!$I$8&gt;0),CONCATENATE(A191),""))</f>
        <v/>
      </c>
      <c r="C191" s="447" t="s">
        <v>6781</v>
      </c>
      <c r="D191" s="144" t="s">
        <v>9</v>
      </c>
      <c r="E191" s="141">
        <v>3</v>
      </c>
      <c r="F191" s="142" t="str">
        <f>IF(H191="S","","---")</f>
        <v>---</v>
      </c>
      <c r="G191" s="142" t="str">
        <f>IF(F191="---","---","")</f>
        <v>---</v>
      </c>
      <c r="H191" s="141" t="s">
        <v>2052</v>
      </c>
      <c r="I191" s="141" t="s">
        <v>2086</v>
      </c>
      <c r="J191" s="448" t="s">
        <v>6811</v>
      </c>
      <c r="K191" s="144">
        <v>87</v>
      </c>
      <c r="L191" s="449" t="s">
        <v>6949</v>
      </c>
      <c r="M191" s="450">
        <f t="shared" si="54"/>
        <v>4</v>
      </c>
      <c r="N191" s="449" t="s">
        <v>6950</v>
      </c>
      <c r="O191" s="449" t="s">
        <v>6951</v>
      </c>
      <c r="P191" s="451">
        <v>2</v>
      </c>
      <c r="Q191" s="451">
        <v>0</v>
      </c>
      <c r="R191" s="451">
        <v>0</v>
      </c>
      <c r="S191" s="187" t="s">
        <v>1284</v>
      </c>
      <c r="T191" s="196" t="str">
        <f t="shared" si="44"/>
        <v/>
      </c>
      <c r="U191" s="196" t="str">
        <f t="shared" si="45"/>
        <v/>
      </c>
      <c r="V191" s="578" t="str">
        <f t="shared" si="46"/>
        <v/>
      </c>
    </row>
    <row r="192" spans="1:265" ht="60" customHeight="1" x14ac:dyDescent="0.25">
      <c r="A192" s="448" t="s">
        <v>414</v>
      </c>
      <c r="B192" s="144" t="str">
        <f>IF(Recto!$C$3="","",IF(OR(Recto!$C$3=C192,Calculs!$I$8&gt;0),CONCATENATE(A192),""))</f>
        <v/>
      </c>
      <c r="C192" s="164" t="s">
        <v>178</v>
      </c>
      <c r="D192" s="144" t="s">
        <v>174</v>
      </c>
      <c r="E192" s="141">
        <v>4.5</v>
      </c>
      <c r="F192" s="142" t="s">
        <v>577</v>
      </c>
      <c r="G192" s="142" t="s">
        <v>100</v>
      </c>
      <c r="H192" s="141" t="s">
        <v>2048</v>
      </c>
      <c r="I192" s="141" t="s">
        <v>2086</v>
      </c>
      <c r="J192" s="448" t="s">
        <v>3</v>
      </c>
      <c r="K192" s="144">
        <v>219</v>
      </c>
      <c r="L192" s="449" t="s">
        <v>371</v>
      </c>
      <c r="M192" s="450">
        <f t="shared" ref="M192" si="55">IF(D192="+1 Force",1,IF(D192="+1 Agilité",2,IF(D192="+1 Intelligence",3,IF(D192="+1 Perception",4,IF(D192="+1 Constitution",5,IF(D192="+1 Vide",6,IF(D192="+1 Volonté",7,IF(D192="+1 Reflexes",8,IF(D192="+1 Intuition",9,0)))))))))</f>
        <v>7</v>
      </c>
      <c r="N192" s="449" t="s">
        <v>2181</v>
      </c>
      <c r="O192" s="449" t="s">
        <v>2232</v>
      </c>
      <c r="P192" s="451">
        <v>3</v>
      </c>
      <c r="Q192" s="451">
        <v>0</v>
      </c>
      <c r="R192" s="451">
        <v>0</v>
      </c>
      <c r="S192" s="187" t="s">
        <v>1284</v>
      </c>
      <c r="T192" s="196" t="str">
        <f t="shared" si="44"/>
        <v/>
      </c>
      <c r="U192" s="196" t="str">
        <f t="shared" si="45"/>
        <v/>
      </c>
      <c r="V192" s="578" t="str">
        <f t="shared" si="46"/>
        <v/>
      </c>
    </row>
    <row r="193" spans="1:22" ht="60" customHeight="1" x14ac:dyDescent="0.25">
      <c r="A193" s="448" t="s">
        <v>414</v>
      </c>
      <c r="B193" s="144" t="str">
        <f>IF(Recto!$C$3="","",IF(OR(Recto!$C$3=C193,Calculs!$I$8&gt;0),CONCATENATE(A193),""))</f>
        <v/>
      </c>
      <c r="C193" s="164" t="s">
        <v>182</v>
      </c>
      <c r="D193" s="144" t="s">
        <v>174</v>
      </c>
      <c r="E193" s="141">
        <v>4.5</v>
      </c>
      <c r="F193" s="142" t="s">
        <v>577</v>
      </c>
      <c r="G193" s="142" t="s">
        <v>100</v>
      </c>
      <c r="H193" s="141" t="s">
        <v>2048</v>
      </c>
      <c r="I193" s="141" t="s">
        <v>2086</v>
      </c>
      <c r="J193" s="448" t="s">
        <v>3</v>
      </c>
      <c r="K193" s="144">
        <v>219</v>
      </c>
      <c r="L193" s="449" t="s">
        <v>371</v>
      </c>
      <c r="M193" s="450">
        <f t="shared" si="54"/>
        <v>7</v>
      </c>
      <c r="N193" s="449" t="s">
        <v>2181</v>
      </c>
      <c r="O193" s="449" t="s">
        <v>2232</v>
      </c>
      <c r="P193" s="451">
        <v>3</v>
      </c>
      <c r="Q193" s="451">
        <v>0</v>
      </c>
      <c r="R193" s="451">
        <v>0</v>
      </c>
      <c r="S193" s="187" t="s">
        <v>1284</v>
      </c>
      <c r="T193" s="196" t="str">
        <f t="shared" si="44"/>
        <v/>
      </c>
      <c r="U193" s="196" t="str">
        <f t="shared" si="45"/>
        <v/>
      </c>
      <c r="V193" s="578" t="str">
        <f t="shared" si="46"/>
        <v/>
      </c>
    </row>
    <row r="194" spans="1:22" ht="60" customHeight="1" x14ac:dyDescent="0.25">
      <c r="A194" s="448" t="s">
        <v>7083</v>
      </c>
      <c r="B194" s="144" t="str">
        <f>IF(Recto!$C$3="","",IF(OR(Recto!$C$3=C194,Calculs!$I$8&gt;0),CONCATENATE(A194),""))</f>
        <v/>
      </c>
      <c r="C194" s="164" t="s">
        <v>6799</v>
      </c>
      <c r="D194" s="144" t="s">
        <v>19</v>
      </c>
      <c r="E194" s="141">
        <v>2.5</v>
      </c>
      <c r="F194" s="142" t="str">
        <f>IF(H194="S","","---")</f>
        <v>---</v>
      </c>
      <c r="G194" s="142" t="str">
        <f>IF(F194="---","---","")</f>
        <v>---</v>
      </c>
      <c r="H194" s="141" t="s">
        <v>2049</v>
      </c>
      <c r="I194" s="141" t="s">
        <v>2086</v>
      </c>
      <c r="J194" s="448" t="s">
        <v>6811</v>
      </c>
      <c r="K194" s="144">
        <v>128</v>
      </c>
      <c r="L194" s="449" t="s">
        <v>7084</v>
      </c>
      <c r="M194" s="450">
        <f t="shared" si="54"/>
        <v>8</v>
      </c>
      <c r="N194" s="449" t="s">
        <v>7085</v>
      </c>
      <c r="O194" s="449" t="s">
        <v>7086</v>
      </c>
      <c r="P194" s="451">
        <v>2</v>
      </c>
      <c r="Q194" s="451">
        <v>0</v>
      </c>
      <c r="R194" s="451">
        <v>0</v>
      </c>
      <c r="S194" s="187" t="s">
        <v>1284</v>
      </c>
      <c r="T194" s="196" t="str">
        <f t="shared" si="44"/>
        <v/>
      </c>
      <c r="U194" s="196" t="str">
        <f t="shared" si="45"/>
        <v/>
      </c>
      <c r="V194" s="578" t="str">
        <f t="shared" si="46"/>
        <v/>
      </c>
    </row>
    <row r="195" spans="1:22" ht="60" customHeight="1" x14ac:dyDescent="0.25">
      <c r="A195" s="448" t="s">
        <v>286</v>
      </c>
      <c r="B195" s="144" t="str">
        <f>IF(Recto!$C$3="","",IF(OR(Recto!$C$3=C195,Calculs!$I$8&gt;0),CONCATENATE(A195),""))</f>
        <v/>
      </c>
      <c r="C195" s="164" t="s">
        <v>61</v>
      </c>
      <c r="D195" s="144" t="s">
        <v>169</v>
      </c>
      <c r="E195" s="141">
        <v>4.5</v>
      </c>
      <c r="F195" s="142" t="str">
        <f>IF(H195="S","","---")</f>
        <v>---</v>
      </c>
      <c r="G195" s="142" t="str">
        <f>IF(F195="---","---","")</f>
        <v>---</v>
      </c>
      <c r="H195" s="141" t="s">
        <v>2049</v>
      </c>
      <c r="I195" s="141" t="s">
        <v>2086</v>
      </c>
      <c r="J195" s="448" t="s">
        <v>3</v>
      </c>
      <c r="K195" s="144">
        <v>235</v>
      </c>
      <c r="L195" s="449" t="s">
        <v>2412</v>
      </c>
      <c r="M195" s="450">
        <f t="shared" ref="M195:M200" si="56">IF(D195="+1 Force",1,IF(D195="+1 Agilité",2,IF(D195="+1 Intelligence",3,IF(D195="+1 Perception",4,IF(D195="+1 Constitution",5,IF(D195="+1 Vide",6,IF(D195="+1 Volonté",7,IF(D195="+1 Reflexes",8,IF(D195="+1 Intuition",9,0)))))))))</f>
        <v>2</v>
      </c>
      <c r="N195" s="449" t="s">
        <v>2410</v>
      </c>
      <c r="O195" s="449" t="s">
        <v>2229</v>
      </c>
      <c r="P195" s="451">
        <v>1</v>
      </c>
      <c r="Q195" s="451">
        <v>0</v>
      </c>
      <c r="R195" s="451">
        <v>0</v>
      </c>
      <c r="S195" s="187" t="s">
        <v>1284</v>
      </c>
      <c r="T195" s="196" t="str">
        <f t="shared" ref="T195:T241" si="57">IF(B195="","",ROW())</f>
        <v/>
      </c>
      <c r="U195" s="196" t="str">
        <f t="shared" ref="U195:U241" si="58">IFERROR(SMALL(T:T,ROW()-1),"")</f>
        <v/>
      </c>
      <c r="V195" s="578" t="str">
        <f t="shared" ref="V195:V241" si="59">IFERROR(INDEX(B:B,U195),"")</f>
        <v/>
      </c>
    </row>
    <row r="196" spans="1:22" ht="60" customHeight="1" x14ac:dyDescent="0.25">
      <c r="A196" s="448" t="s">
        <v>274</v>
      </c>
      <c r="B196" s="144" t="str">
        <f>IF(Recto!$C$3="","",IF(OR(Recto!$C$3=C196,Calculs!$I$8&gt;0),CONCATENATE(A196),""))</f>
        <v/>
      </c>
      <c r="C196" s="164" t="s">
        <v>61</v>
      </c>
      <c r="D196" s="144" t="s">
        <v>6</v>
      </c>
      <c r="E196" s="141">
        <v>4</v>
      </c>
      <c r="F196" s="143" t="s">
        <v>7326</v>
      </c>
      <c r="G196" s="142" t="str">
        <f>IF(F196="Choix affinité?","Choix affinité?",IF(F196="Air","Terre",IF(F196="Feu","Eau",IF(F196="Eau","Feu",IF(F196="Terre","Air","")))))</f>
        <v>Choix affinité?</v>
      </c>
      <c r="H196" s="141" t="s">
        <v>2048</v>
      </c>
      <c r="I196" s="141" t="s">
        <v>2086</v>
      </c>
      <c r="J196" s="448" t="s">
        <v>2075</v>
      </c>
      <c r="K196" s="144">
        <v>207</v>
      </c>
      <c r="L196" s="449" t="s">
        <v>2435</v>
      </c>
      <c r="M196" s="450">
        <f t="shared" si="56"/>
        <v>3</v>
      </c>
      <c r="N196" s="449" t="s">
        <v>2438</v>
      </c>
      <c r="O196" s="449" t="s">
        <v>2431</v>
      </c>
      <c r="P196" s="451">
        <v>0.5</v>
      </c>
      <c r="Q196" s="451">
        <v>0</v>
      </c>
      <c r="R196" s="451">
        <v>0</v>
      </c>
      <c r="S196" s="187" t="s">
        <v>1284</v>
      </c>
      <c r="T196" s="196" t="str">
        <f t="shared" si="57"/>
        <v/>
      </c>
      <c r="U196" s="196" t="str">
        <f t="shared" si="58"/>
        <v/>
      </c>
      <c r="V196" s="578" t="str">
        <f t="shared" si="59"/>
        <v/>
      </c>
    </row>
    <row r="197" spans="1:22" ht="60" customHeight="1" x14ac:dyDescent="0.25">
      <c r="A197" s="448" t="s">
        <v>2441</v>
      </c>
      <c r="B197" s="144" t="str">
        <f>IF(Recto!$C$3="","",IF(OR(Recto!$C$3=C197,Calculs!$I$8&gt;0),CONCATENATE(A197),""))</f>
        <v/>
      </c>
      <c r="C197" s="164" t="s">
        <v>61</v>
      </c>
      <c r="D197" s="139" t="s">
        <v>2078</v>
      </c>
      <c r="E197" s="140" t="s">
        <v>2078</v>
      </c>
      <c r="F197" s="142" t="str">
        <f>IF(H197="S","","---")</f>
        <v>---</v>
      </c>
      <c r="G197" s="142" t="str">
        <f>IF(F197="---","---","")</f>
        <v>---</v>
      </c>
      <c r="H197" s="140" t="str">
        <f>IF(I197="S","","---")</f>
        <v>---</v>
      </c>
      <c r="I197" s="141" t="s">
        <v>2085</v>
      </c>
      <c r="J197" s="448" t="s">
        <v>2080</v>
      </c>
      <c r="K197" s="144">
        <v>234</v>
      </c>
      <c r="L197" s="449" t="s">
        <v>1316</v>
      </c>
      <c r="M197" s="450">
        <f t="shared" si="56"/>
        <v>0</v>
      </c>
      <c r="N197" s="452" t="s">
        <v>2078</v>
      </c>
      <c r="O197" s="449" t="s">
        <v>253</v>
      </c>
      <c r="P197" s="451">
        <v>0</v>
      </c>
      <c r="Q197" s="451">
        <v>0</v>
      </c>
      <c r="R197" s="451">
        <v>0</v>
      </c>
      <c r="S197" s="187" t="s">
        <v>1284</v>
      </c>
      <c r="T197" s="196" t="str">
        <f t="shared" si="57"/>
        <v/>
      </c>
      <c r="U197" s="196" t="str">
        <f t="shared" si="58"/>
        <v/>
      </c>
      <c r="V197" s="578" t="str">
        <f t="shared" si="59"/>
        <v/>
      </c>
    </row>
    <row r="198" spans="1:22" ht="60" customHeight="1" x14ac:dyDescent="0.25">
      <c r="A198" s="448" t="s">
        <v>254</v>
      </c>
      <c r="B198" s="144" t="str">
        <f>IF(Recto!$C$3="","",IF(OR(Recto!$C$3=C198,Calculs!$I$8&gt;0),CONCATENATE(A198),""))</f>
        <v/>
      </c>
      <c r="C198" s="164" t="s">
        <v>61</v>
      </c>
      <c r="D198" s="144" t="s">
        <v>19</v>
      </c>
      <c r="E198" s="141">
        <v>4.5</v>
      </c>
      <c r="F198" s="142" t="str">
        <f>IF(H198="S","","---")</f>
        <v>---</v>
      </c>
      <c r="G198" s="142" t="str">
        <f>IF(F198="---","---","")</f>
        <v>---</v>
      </c>
      <c r="H198" s="141" t="s">
        <v>2049</v>
      </c>
      <c r="I198" s="141" t="s">
        <v>2086</v>
      </c>
      <c r="J198" s="448" t="s">
        <v>3</v>
      </c>
      <c r="K198" s="144">
        <v>234</v>
      </c>
      <c r="L198" s="449" t="s">
        <v>2420</v>
      </c>
      <c r="M198" s="450">
        <f t="shared" si="56"/>
        <v>8</v>
      </c>
      <c r="N198" s="449" t="s">
        <v>2419</v>
      </c>
      <c r="O198" s="449" t="s">
        <v>2229</v>
      </c>
      <c r="P198" s="451">
        <v>0</v>
      </c>
      <c r="Q198" s="451">
        <v>0</v>
      </c>
      <c r="R198" s="451">
        <v>0</v>
      </c>
      <c r="S198" s="187" t="s">
        <v>1284</v>
      </c>
      <c r="T198" s="196" t="str">
        <f t="shared" si="57"/>
        <v/>
      </c>
      <c r="U198" s="196" t="str">
        <f t="shared" si="58"/>
        <v/>
      </c>
      <c r="V198" s="578" t="str">
        <f t="shared" si="59"/>
        <v/>
      </c>
    </row>
    <row r="199" spans="1:22" ht="60" customHeight="1" x14ac:dyDescent="0.25">
      <c r="A199" s="448" t="s">
        <v>287</v>
      </c>
      <c r="B199" s="144" t="str">
        <f>IF(Recto!$C$3="","",IF(OR(Recto!$C$3=C199,Calculs!$I$8&gt;0),CONCATENATE(A199),""))</f>
        <v/>
      </c>
      <c r="C199" s="164" t="s">
        <v>61</v>
      </c>
      <c r="D199" s="144" t="s">
        <v>170</v>
      </c>
      <c r="E199" s="141">
        <v>4.5</v>
      </c>
      <c r="F199" s="142" t="str">
        <f>IF(H199="S","","---")</f>
        <v>---</v>
      </c>
      <c r="G199" s="142" t="str">
        <f>IF(F199="---","---","")</f>
        <v>---</v>
      </c>
      <c r="H199" s="141" t="s">
        <v>2049</v>
      </c>
      <c r="I199" s="141" t="s">
        <v>2086</v>
      </c>
      <c r="J199" s="448" t="s">
        <v>3</v>
      </c>
      <c r="K199" s="144">
        <v>235</v>
      </c>
      <c r="L199" s="449" t="s">
        <v>2422</v>
      </c>
      <c r="M199" s="450">
        <f t="shared" si="56"/>
        <v>1</v>
      </c>
      <c r="N199" s="449" t="s">
        <v>2423</v>
      </c>
      <c r="O199" s="449" t="s">
        <v>2421</v>
      </c>
      <c r="P199" s="451">
        <v>0</v>
      </c>
      <c r="Q199" s="451">
        <v>0</v>
      </c>
      <c r="R199" s="451">
        <v>0</v>
      </c>
      <c r="S199" s="187" t="s">
        <v>1284</v>
      </c>
      <c r="T199" s="196" t="str">
        <f t="shared" si="57"/>
        <v/>
      </c>
      <c r="U199" s="196" t="str">
        <f t="shared" si="58"/>
        <v/>
      </c>
      <c r="V199" s="578" t="str">
        <f t="shared" si="59"/>
        <v/>
      </c>
    </row>
    <row r="200" spans="1:22" ht="60" customHeight="1" x14ac:dyDescent="0.25">
      <c r="A200" s="448" t="s">
        <v>428</v>
      </c>
      <c r="B200" s="144" t="str">
        <f>IF(Recto!$C$3="","",IF(OR(Recto!$C$3=C200,Calculs!$I$8&gt;0),CONCATENATE(A200),""))</f>
        <v/>
      </c>
      <c r="C200" s="164" t="s">
        <v>61</v>
      </c>
      <c r="D200" s="139" t="s">
        <v>2078</v>
      </c>
      <c r="E200" s="140" t="s">
        <v>2078</v>
      </c>
      <c r="F200" s="142" t="str">
        <f>IF(H200="S","","---")</f>
        <v>---</v>
      </c>
      <c r="G200" s="142" t="str">
        <f>IF(F200="---","---","")</f>
        <v>---</v>
      </c>
      <c r="H200" s="140" t="str">
        <f>IF(I200="S","","---")</f>
        <v>---</v>
      </c>
      <c r="I200" s="141" t="s">
        <v>2085</v>
      </c>
      <c r="J200" s="448" t="s">
        <v>2080</v>
      </c>
      <c r="K200" s="144">
        <v>233</v>
      </c>
      <c r="L200" s="449" t="s">
        <v>2793</v>
      </c>
      <c r="M200" s="450">
        <f t="shared" si="56"/>
        <v>0</v>
      </c>
      <c r="N200" s="452" t="s">
        <v>2078</v>
      </c>
      <c r="O200" s="449" t="s">
        <v>253</v>
      </c>
      <c r="P200" s="451">
        <v>0</v>
      </c>
      <c r="Q200" s="451">
        <v>0</v>
      </c>
      <c r="R200" s="451">
        <v>0</v>
      </c>
      <c r="S200" s="187" t="s">
        <v>1284</v>
      </c>
      <c r="T200" s="196" t="str">
        <f t="shared" si="57"/>
        <v/>
      </c>
      <c r="U200" s="196" t="str">
        <f t="shared" si="58"/>
        <v/>
      </c>
      <c r="V200" s="578" t="str">
        <f t="shared" si="59"/>
        <v/>
      </c>
    </row>
    <row r="201" spans="1:22" ht="60" customHeight="1" x14ac:dyDescent="0.25">
      <c r="A201" s="448" t="s">
        <v>6210</v>
      </c>
      <c r="B201" s="144"/>
      <c r="C201" s="164" t="s">
        <v>61</v>
      </c>
      <c r="D201" s="144" t="s">
        <v>174</v>
      </c>
      <c r="E201" s="141">
        <v>3.5</v>
      </c>
      <c r="F201" s="142" t="s">
        <v>2078</v>
      </c>
      <c r="G201" s="142" t="str">
        <f>IF(F201="---","---","")</f>
        <v>---</v>
      </c>
      <c r="H201" s="141" t="s">
        <v>2048</v>
      </c>
      <c r="I201" s="141" t="s">
        <v>2086</v>
      </c>
      <c r="J201" s="448" t="s">
        <v>6192</v>
      </c>
      <c r="K201" s="144">
        <v>184</v>
      </c>
      <c r="L201" s="449" t="s">
        <v>6211</v>
      </c>
      <c r="M201" s="450">
        <f t="shared" ref="M201:M208" si="60">IF(D201="+1 Force",1,IF(D201="+1 Agilité",2,IF(D201="+1 Intelligence",3,IF(D201="+1 Perception",4,IF(D201="+1 Constitution",5,IF(D201="+1 Vide",6,IF(D201="+1 Volonté",7,IF(D201="+1 Reflexes",8,IF(D201="+1 Intuition",9,0)))))))))</f>
        <v>7</v>
      </c>
      <c r="N201" s="449" t="s">
        <v>6212</v>
      </c>
      <c r="O201" s="449" t="s">
        <v>6213</v>
      </c>
      <c r="P201" s="451">
        <v>0</v>
      </c>
      <c r="Q201" s="451">
        <v>5</v>
      </c>
      <c r="R201" s="451">
        <v>0</v>
      </c>
      <c r="S201" s="187" t="s">
        <v>1284</v>
      </c>
      <c r="T201" s="196" t="str">
        <f t="shared" si="57"/>
        <v/>
      </c>
      <c r="U201" s="196" t="str">
        <f t="shared" si="58"/>
        <v/>
      </c>
      <c r="V201" s="578" t="str">
        <f t="shared" si="59"/>
        <v/>
      </c>
    </row>
    <row r="202" spans="1:22" ht="60" customHeight="1" x14ac:dyDescent="0.25">
      <c r="A202" s="448" t="s">
        <v>281</v>
      </c>
      <c r="B202" s="144" t="str">
        <f>IF(Recto!$C$3="","",IF(OR(Recto!$C$3=C202,Calculs!$I$8&gt;0),CONCATENATE(A202),""))</f>
        <v/>
      </c>
      <c r="C202" s="164" t="s">
        <v>61</v>
      </c>
      <c r="D202" s="144" t="s">
        <v>171</v>
      </c>
      <c r="E202" s="141">
        <v>5</v>
      </c>
      <c r="F202" s="142" t="s">
        <v>100</v>
      </c>
      <c r="G202" s="142" t="s">
        <v>577</v>
      </c>
      <c r="H202" s="141" t="s">
        <v>2048</v>
      </c>
      <c r="I202" s="141" t="s">
        <v>2086</v>
      </c>
      <c r="J202" s="448" t="s">
        <v>2075</v>
      </c>
      <c r="K202" s="144">
        <v>207</v>
      </c>
      <c r="L202" s="449" t="s">
        <v>2436</v>
      </c>
      <c r="M202" s="450">
        <f t="shared" si="60"/>
        <v>9</v>
      </c>
      <c r="N202" s="449" t="s">
        <v>2430</v>
      </c>
      <c r="O202" s="449" t="s">
        <v>2439</v>
      </c>
      <c r="P202" s="451">
        <v>0.5</v>
      </c>
      <c r="Q202" s="451">
        <v>0</v>
      </c>
      <c r="R202" s="451">
        <v>0</v>
      </c>
      <c r="S202" s="187" t="s">
        <v>1284</v>
      </c>
      <c r="T202" s="196" t="str">
        <f t="shared" si="57"/>
        <v/>
      </c>
      <c r="U202" s="196" t="str">
        <f t="shared" si="58"/>
        <v/>
      </c>
      <c r="V202" s="578" t="str">
        <f t="shared" si="59"/>
        <v/>
      </c>
    </row>
    <row r="203" spans="1:22" ht="60" customHeight="1" x14ac:dyDescent="0.25">
      <c r="A203" s="448" t="s">
        <v>277</v>
      </c>
      <c r="B203" s="144" t="str">
        <f>IF(Recto!$C$3="","",IF(OR(Recto!$C$3=C203,Calculs!$I$8&gt;0),CONCATENATE(A203),""))</f>
        <v/>
      </c>
      <c r="C203" s="164" t="s">
        <v>61</v>
      </c>
      <c r="D203" s="139" t="s">
        <v>169</v>
      </c>
      <c r="E203" s="141">
        <v>4.5</v>
      </c>
      <c r="F203" s="142" t="str">
        <f>IF(H203="S","","---")</f>
        <v>---</v>
      </c>
      <c r="G203" s="142" t="str">
        <f>IF(F203="---","---","")</f>
        <v>---</v>
      </c>
      <c r="H203" s="141" t="s">
        <v>2049</v>
      </c>
      <c r="I203" s="141" t="s">
        <v>2086</v>
      </c>
      <c r="J203" s="448" t="s">
        <v>2080</v>
      </c>
      <c r="K203" s="455">
        <v>236</v>
      </c>
      <c r="L203" s="449" t="s">
        <v>277</v>
      </c>
      <c r="M203" s="450">
        <f t="shared" si="60"/>
        <v>2</v>
      </c>
      <c r="N203" s="449" t="s">
        <v>2801</v>
      </c>
      <c r="O203" s="449" t="s">
        <v>2229</v>
      </c>
      <c r="P203" s="451">
        <v>1</v>
      </c>
      <c r="Q203" s="451">
        <v>0</v>
      </c>
      <c r="R203" s="451">
        <v>0</v>
      </c>
      <c r="S203" s="187" t="s">
        <v>1284</v>
      </c>
      <c r="T203" s="196" t="str">
        <f t="shared" si="57"/>
        <v/>
      </c>
      <c r="U203" s="196" t="str">
        <f t="shared" si="58"/>
        <v/>
      </c>
      <c r="V203" s="578" t="str">
        <f t="shared" si="59"/>
        <v/>
      </c>
    </row>
    <row r="204" spans="1:22" ht="60" customHeight="1" x14ac:dyDescent="0.25">
      <c r="A204" s="448" t="s">
        <v>282</v>
      </c>
      <c r="B204" s="144" t="str">
        <f>IF(Recto!$C$3="","",IF(OR(Recto!$C$3=C204,Calculs!$I$8&gt;0),CONCATENATE(A204),""))</f>
        <v/>
      </c>
      <c r="C204" s="164" t="s">
        <v>61</v>
      </c>
      <c r="D204" s="144" t="s">
        <v>174</v>
      </c>
      <c r="E204" s="141">
        <v>4</v>
      </c>
      <c r="F204" s="477" t="s">
        <v>7325</v>
      </c>
      <c r="G204" s="142" t="str">
        <f>IF(F204="Voir ennemis p.207","Choix affinité?",IF(F204="Air","Terre",IF(F204="Feu","Eau",IF(F204="Eau","Feu",IF(F204="Terre","Air","")))))</f>
        <v>Choix affinité?</v>
      </c>
      <c r="H204" s="141" t="s">
        <v>2048</v>
      </c>
      <c r="I204" s="141" t="s">
        <v>2086</v>
      </c>
      <c r="J204" s="448" t="s">
        <v>2075</v>
      </c>
      <c r="K204" s="144">
        <v>207</v>
      </c>
      <c r="L204" s="449" t="s">
        <v>2437</v>
      </c>
      <c r="M204" s="450">
        <f t="shared" si="60"/>
        <v>7</v>
      </c>
      <c r="N204" s="449" t="s">
        <v>2440</v>
      </c>
      <c r="O204" s="449" t="s">
        <v>2431</v>
      </c>
      <c r="P204" s="451">
        <v>0.5</v>
      </c>
      <c r="Q204" s="451">
        <v>0</v>
      </c>
      <c r="R204" s="451">
        <v>0</v>
      </c>
      <c r="S204" s="187" t="s">
        <v>1284</v>
      </c>
      <c r="T204" s="196" t="str">
        <f t="shared" si="57"/>
        <v/>
      </c>
      <c r="U204" s="196" t="str">
        <f t="shared" si="58"/>
        <v/>
      </c>
      <c r="V204" s="578" t="str">
        <f t="shared" si="59"/>
        <v/>
      </c>
    </row>
    <row r="205" spans="1:22" ht="60" customHeight="1" x14ac:dyDescent="0.25">
      <c r="A205" s="448" t="s">
        <v>291</v>
      </c>
      <c r="B205" s="144" t="str">
        <f>IF(Recto!$C$3="","",IF(OR(Recto!$C$3=C205,Calculs!$I$8&gt;0),CONCATENATE(A205),""))</f>
        <v/>
      </c>
      <c r="C205" s="164" t="s">
        <v>61</v>
      </c>
      <c r="D205" s="144" t="s">
        <v>172</v>
      </c>
      <c r="E205" s="141">
        <v>3.5</v>
      </c>
      <c r="F205" s="142" t="str">
        <f>IF(H205="S","","---")</f>
        <v>---</v>
      </c>
      <c r="G205" s="142" t="str">
        <f>IF(F205="---","---","")</f>
        <v>---</v>
      </c>
      <c r="H205" s="141" t="s">
        <v>2049</v>
      </c>
      <c r="I205" s="141" t="s">
        <v>2086</v>
      </c>
      <c r="J205" s="448" t="s">
        <v>3</v>
      </c>
      <c r="K205" s="144">
        <v>234</v>
      </c>
      <c r="L205" s="449" t="s">
        <v>291</v>
      </c>
      <c r="M205" s="450">
        <f t="shared" si="60"/>
        <v>5</v>
      </c>
      <c r="N205" s="449" t="s">
        <v>2426</v>
      </c>
      <c r="O205" s="449" t="s">
        <v>2229</v>
      </c>
      <c r="P205" s="451">
        <v>2</v>
      </c>
      <c r="Q205" s="451">
        <v>0</v>
      </c>
      <c r="R205" s="451">
        <v>0</v>
      </c>
      <c r="S205" s="187" t="s">
        <v>1284</v>
      </c>
      <c r="T205" s="196" t="str">
        <f t="shared" si="57"/>
        <v/>
      </c>
      <c r="U205" s="196" t="str">
        <f t="shared" si="58"/>
        <v/>
      </c>
      <c r="V205" s="578" t="str">
        <f t="shared" si="59"/>
        <v/>
      </c>
    </row>
    <row r="206" spans="1:22" ht="60" customHeight="1" x14ac:dyDescent="0.25">
      <c r="A206" s="448" t="s">
        <v>276</v>
      </c>
      <c r="B206" s="144" t="str">
        <f>IF(Recto!$C$3="","",IF(OR(Recto!$C$3=C206,Calculs!$I$8&gt;0),CONCATENATE(A206),""))</f>
        <v/>
      </c>
      <c r="C206" s="164" t="s">
        <v>61</v>
      </c>
      <c r="D206" s="144" t="s">
        <v>169</v>
      </c>
      <c r="E206" s="141">
        <v>1.5</v>
      </c>
      <c r="F206" s="142" t="str">
        <f>IF(H206="S","","---")</f>
        <v>---</v>
      </c>
      <c r="G206" s="142" t="str">
        <f>IF(F206="---","---","")</f>
        <v>---</v>
      </c>
      <c r="H206" s="141" t="s">
        <v>2049</v>
      </c>
      <c r="I206" s="141" t="s">
        <v>2086</v>
      </c>
      <c r="J206" s="448" t="s">
        <v>3</v>
      </c>
      <c r="K206" s="144">
        <v>235</v>
      </c>
      <c r="L206" s="449" t="s">
        <v>3396</v>
      </c>
      <c r="M206" s="450">
        <f t="shared" si="60"/>
        <v>2</v>
      </c>
      <c r="N206" s="449" t="s">
        <v>2424</v>
      </c>
      <c r="O206" s="449" t="s">
        <v>2425</v>
      </c>
      <c r="P206" s="451">
        <v>1</v>
      </c>
      <c r="Q206" s="451">
        <v>0</v>
      </c>
      <c r="R206" s="451">
        <v>0</v>
      </c>
      <c r="S206" s="187" t="s">
        <v>1284</v>
      </c>
      <c r="T206" s="196" t="str">
        <f t="shared" si="57"/>
        <v/>
      </c>
      <c r="U206" s="196" t="str">
        <f t="shared" si="58"/>
        <v/>
      </c>
      <c r="V206" s="578" t="str">
        <f t="shared" si="59"/>
        <v/>
      </c>
    </row>
    <row r="207" spans="1:22" ht="60" customHeight="1" x14ac:dyDescent="0.25">
      <c r="A207" s="448" t="s">
        <v>7316</v>
      </c>
      <c r="B207" s="144" t="str">
        <f>IF(Recto!$C$3="","",IF(OR(Recto!$C$3=C207,Calculs!$I$8&gt;0),CONCATENATE(A207),""))</f>
        <v/>
      </c>
      <c r="C207" s="164" t="s">
        <v>7299</v>
      </c>
      <c r="D207" s="144" t="s">
        <v>19</v>
      </c>
      <c r="E207" s="141">
        <v>4.5</v>
      </c>
      <c r="F207" s="142" t="str">
        <f>IF(H207="S","","---")</f>
        <v>---</v>
      </c>
      <c r="G207" s="142" t="str">
        <f>IF(F207="---","---","")</f>
        <v>---</v>
      </c>
      <c r="H207" s="141" t="s">
        <v>2049</v>
      </c>
      <c r="I207" s="141" t="s">
        <v>2086</v>
      </c>
      <c r="J207" s="448" t="s">
        <v>6811</v>
      </c>
      <c r="K207" s="144">
        <v>74</v>
      </c>
      <c r="L207" s="463" t="s">
        <v>7319</v>
      </c>
      <c r="M207" s="450">
        <f t="shared" si="60"/>
        <v>8</v>
      </c>
      <c r="N207" s="449" t="s">
        <v>7318</v>
      </c>
      <c r="O207" s="449" t="s">
        <v>2425</v>
      </c>
      <c r="P207" s="451">
        <v>3</v>
      </c>
      <c r="Q207" s="451">
        <v>0</v>
      </c>
      <c r="R207" s="451">
        <v>0</v>
      </c>
      <c r="S207" s="187" t="s">
        <v>1284</v>
      </c>
      <c r="T207" s="196" t="str">
        <f t="shared" si="57"/>
        <v/>
      </c>
      <c r="U207" s="196" t="str">
        <f t="shared" si="58"/>
        <v/>
      </c>
      <c r="V207" s="578" t="str">
        <f t="shared" si="59"/>
        <v/>
      </c>
    </row>
    <row r="208" spans="1:22" ht="60" customHeight="1" x14ac:dyDescent="0.25">
      <c r="A208" s="448" t="s">
        <v>7317</v>
      </c>
      <c r="B208" s="144" t="str">
        <f>IF(Recto!$C$3="","",IF(OR(Recto!$C$3=C208,Calculs!$I$8&gt;0),CONCATENATE(A208),""))</f>
        <v/>
      </c>
      <c r="C208" s="164" t="s">
        <v>7299</v>
      </c>
      <c r="D208" s="448" t="s">
        <v>7327</v>
      </c>
      <c r="E208" s="141">
        <v>4.5</v>
      </c>
      <c r="F208" s="458" t="s">
        <v>7320</v>
      </c>
      <c r="G208" s="458" t="s">
        <v>7320</v>
      </c>
      <c r="H208" s="141" t="s">
        <v>2048</v>
      </c>
      <c r="I208" s="141" t="s">
        <v>2086</v>
      </c>
      <c r="J208" s="448" t="s">
        <v>6811</v>
      </c>
      <c r="K208" s="144">
        <v>75</v>
      </c>
      <c r="L208" s="449" t="s">
        <v>7323</v>
      </c>
      <c r="M208" s="450">
        <f t="shared" si="60"/>
        <v>0</v>
      </c>
      <c r="N208" s="449" t="s">
        <v>7322</v>
      </c>
      <c r="O208" s="449" t="s">
        <v>7321</v>
      </c>
      <c r="P208" s="451">
        <v>1</v>
      </c>
      <c r="Q208" s="451">
        <v>0</v>
      </c>
      <c r="R208" s="451">
        <v>0</v>
      </c>
      <c r="S208" s="187" t="s">
        <v>1284</v>
      </c>
      <c r="T208" s="196" t="str">
        <f t="shared" si="57"/>
        <v/>
      </c>
      <c r="U208" s="196" t="str">
        <f t="shared" si="58"/>
        <v/>
      </c>
      <c r="V208" s="578" t="str">
        <f t="shared" si="59"/>
        <v/>
      </c>
    </row>
    <row r="209" spans="1:22" ht="60" customHeight="1" x14ac:dyDescent="0.25">
      <c r="A209" s="448" t="s">
        <v>306</v>
      </c>
      <c r="B209" s="144" t="str">
        <f>IF(Recto!$C$3="","",IF(OR(Recto!$C$3=C209,Calculs!$I$8&gt;0),CONCATENATE(A209),""))</f>
        <v/>
      </c>
      <c r="C209" s="164" t="s">
        <v>310</v>
      </c>
      <c r="D209" s="144" t="s">
        <v>173</v>
      </c>
      <c r="E209" s="141">
        <v>6</v>
      </c>
      <c r="F209" s="142" t="str">
        <f>IF(H209="S","","---")</f>
        <v>---</v>
      </c>
      <c r="G209" s="142" t="str">
        <f>IF(F209="---","---","")</f>
        <v>---</v>
      </c>
      <c r="H209" s="141" t="s">
        <v>2061</v>
      </c>
      <c r="I209" s="141" t="s">
        <v>2086</v>
      </c>
      <c r="J209" s="448" t="s">
        <v>2090</v>
      </c>
      <c r="K209" s="144">
        <v>104</v>
      </c>
      <c r="L209" s="449" t="s">
        <v>328</v>
      </c>
      <c r="M209" s="450">
        <f>IF(D209="+1 Force",1,IF(D209="+1 Agilité",2,IF(D209="+1 Intelligence",3,IF(D209="+1 Perception",4,IF(D209="+1 Constitution",5,IF(D209="+1 Vide",6,IF(D209="+1 Volonté",7,IF(D209="+1 Reflexes",8,IF(D209="+1 Intuition",9,0)))))))))</f>
        <v>6</v>
      </c>
      <c r="N209" s="449" t="s">
        <v>3604</v>
      </c>
      <c r="O209" s="449" t="s">
        <v>3603</v>
      </c>
      <c r="P209" s="451">
        <v>0</v>
      </c>
      <c r="Q209" s="451">
        <v>0</v>
      </c>
      <c r="R209" s="451">
        <v>0</v>
      </c>
      <c r="S209" s="187" t="s">
        <v>1284</v>
      </c>
      <c r="T209" s="196" t="str">
        <f t="shared" si="57"/>
        <v/>
      </c>
      <c r="U209" s="196" t="str">
        <f t="shared" si="58"/>
        <v/>
      </c>
      <c r="V209" s="578" t="str">
        <f t="shared" si="59"/>
        <v/>
      </c>
    </row>
    <row r="210" spans="1:22" ht="60" customHeight="1" x14ac:dyDescent="0.25">
      <c r="A210" s="448" t="s">
        <v>305</v>
      </c>
      <c r="B210" s="144" t="str">
        <f>IF(Recto!$C$3="","",IF(OR(Recto!$C$3=C210,Calculs!$I$8&gt;0),CONCATENATE(A210),""))</f>
        <v/>
      </c>
      <c r="C210" s="164" t="s">
        <v>310</v>
      </c>
      <c r="D210" s="139" t="s">
        <v>169</v>
      </c>
      <c r="E210" s="141">
        <v>5</v>
      </c>
      <c r="F210" s="142" t="str">
        <f>IF(H210="S","","---")</f>
        <v>---</v>
      </c>
      <c r="G210" s="142" t="str">
        <f>IF(F210="---","---","")</f>
        <v>---</v>
      </c>
      <c r="H210" s="141" t="s">
        <v>2049</v>
      </c>
      <c r="I210" s="141" t="s">
        <v>2086</v>
      </c>
      <c r="J210" s="448" t="s">
        <v>2090</v>
      </c>
      <c r="K210" s="144">
        <v>104</v>
      </c>
      <c r="L210" s="449" t="s">
        <v>2938</v>
      </c>
      <c r="M210" s="450">
        <f>IF(D210="+1 Force",1,IF(D210="+1 Agilité",2,IF(D210="+1 Intelligence",3,IF(D210="+1 Perception",4,IF(D210="+1 Constitution",5,IF(D210="+1 Vide",6,IF(D210="+1 Volonté",7,IF(D210="+1 Reflexes",8,IF(D210="+1 Intuition",9,0)))))))))</f>
        <v>2</v>
      </c>
      <c r="N210" s="449" t="s">
        <v>2919</v>
      </c>
      <c r="O210" s="449" t="s">
        <v>2920</v>
      </c>
      <c r="P210" s="451">
        <v>10</v>
      </c>
      <c r="Q210" s="451">
        <v>0</v>
      </c>
      <c r="R210" s="451">
        <v>0</v>
      </c>
      <c r="S210" s="187" t="s">
        <v>1284</v>
      </c>
      <c r="T210" s="196" t="str">
        <f t="shared" si="57"/>
        <v/>
      </c>
      <c r="U210" s="196" t="str">
        <f t="shared" si="58"/>
        <v/>
      </c>
      <c r="V210" s="578" t="str">
        <f t="shared" si="59"/>
        <v/>
      </c>
    </row>
    <row r="211" spans="1:22" ht="60" customHeight="1" x14ac:dyDescent="0.25">
      <c r="A211" s="448" t="s">
        <v>7087</v>
      </c>
      <c r="B211" s="144" t="str">
        <f>IF(Recto!$C$3="","",IF(OR(Recto!$C$3=C211,Calculs!$I$8&gt;0),CONCATENATE(A211),""))</f>
        <v/>
      </c>
      <c r="C211" s="164" t="s">
        <v>6801</v>
      </c>
      <c r="D211" s="144" t="s">
        <v>9</v>
      </c>
      <c r="E211" s="141">
        <v>5.5</v>
      </c>
      <c r="F211" s="142" t="str">
        <f>IF(H211="S","","---")</f>
        <v/>
      </c>
      <c r="G211" s="142" t="str">
        <f>IF(F211="---","---","")</f>
        <v/>
      </c>
      <c r="H211" s="141" t="s">
        <v>2048</v>
      </c>
      <c r="I211" s="141" t="s">
        <v>2086</v>
      </c>
      <c r="J211" s="448" t="s">
        <v>6811</v>
      </c>
      <c r="K211" s="144">
        <v>129</v>
      </c>
      <c r="L211" s="449" t="s">
        <v>7088</v>
      </c>
      <c r="M211" s="450">
        <f>IF(D211="+1 Force",1,IF(D211="+1 Agilité",2,IF(D211="+1 Intelligence",3,IF(D211="+1 Perception",4,IF(D211="+1 Constitution",5,IF(D211="+1 Vide",6,IF(D211="+1 Volonté",7,IF(D211="+1 Reflexes",8,IF(D211="+1 Intuition",9,0)))))))))</f>
        <v>4</v>
      </c>
      <c r="N211" s="449" t="s">
        <v>7089</v>
      </c>
      <c r="O211" s="449" t="s">
        <v>7090</v>
      </c>
      <c r="P211" s="451">
        <v>3</v>
      </c>
      <c r="Q211" s="451">
        <v>0</v>
      </c>
      <c r="R211" s="451">
        <v>0</v>
      </c>
      <c r="S211" s="187" t="s">
        <v>1284</v>
      </c>
      <c r="T211" s="196" t="str">
        <f t="shared" si="57"/>
        <v/>
      </c>
      <c r="U211" s="196" t="str">
        <f t="shared" si="58"/>
        <v/>
      </c>
      <c r="V211" s="578" t="str">
        <f t="shared" si="59"/>
        <v/>
      </c>
    </row>
    <row r="212" spans="1:22" ht="60" customHeight="1" x14ac:dyDescent="0.25">
      <c r="A212" s="448" t="s">
        <v>402</v>
      </c>
      <c r="B212" s="144" t="str">
        <f>IF(Recto!$C$3="","",IF(OR(Recto!$C$3=C212,Calculs!$I$8&gt;0),CONCATENATE(A212),""))</f>
        <v/>
      </c>
      <c r="C212" s="164" t="s">
        <v>336</v>
      </c>
      <c r="D212" s="144" t="s">
        <v>174</v>
      </c>
      <c r="E212" s="141">
        <v>3</v>
      </c>
      <c r="F212" s="142" t="str">
        <f t="shared" ref="F212:F222" si="61">IF(H212="S","","---")</f>
        <v>---</v>
      </c>
      <c r="G212" s="142" t="str">
        <f t="shared" ref="G212:G222" si="62">IF(F212="---","---","")</f>
        <v>---</v>
      </c>
      <c r="H212" s="141" t="s">
        <v>2049</v>
      </c>
      <c r="I212" s="141" t="s">
        <v>2086</v>
      </c>
      <c r="J212" s="448" t="s">
        <v>3</v>
      </c>
      <c r="K212" s="144">
        <v>217</v>
      </c>
      <c r="L212" s="449" t="s">
        <v>372</v>
      </c>
      <c r="M212" s="450">
        <f t="shared" ref="M212:M236" si="63">IF(D212="+1 Force",1,IF(D212="+1 Agilité",2,IF(D212="+1 Intelligence",3,IF(D212="+1 Perception",4,IF(D212="+1 Constitution",5,IF(D212="+1 Vide",6,IF(D212="+1 Volonté",7,IF(D212="+1 Reflexes",8,IF(D212="+1 Intuition",9,0)))))))))</f>
        <v>7</v>
      </c>
      <c r="N212" s="449" t="s">
        <v>2187</v>
      </c>
      <c r="O212" s="449" t="s">
        <v>2239</v>
      </c>
      <c r="P212" s="451">
        <v>3</v>
      </c>
      <c r="Q212" s="451">
        <v>0</v>
      </c>
      <c r="R212" s="451">
        <v>0</v>
      </c>
      <c r="S212" s="187" t="s">
        <v>1284</v>
      </c>
      <c r="T212" s="196" t="str">
        <f t="shared" si="57"/>
        <v/>
      </c>
      <c r="U212" s="196" t="str">
        <f t="shared" si="58"/>
        <v/>
      </c>
      <c r="V212" s="578" t="str">
        <f t="shared" si="59"/>
        <v/>
      </c>
    </row>
    <row r="213" spans="1:22" ht="60" customHeight="1" x14ac:dyDescent="0.25">
      <c r="A213" s="448" t="s">
        <v>6956</v>
      </c>
      <c r="B213" s="144" t="str">
        <f>IF(Recto!$C$3="","",IF(OR(Recto!$C$3=C213,Calculs!$I$8&gt;0),CONCATENATE(A213),""))</f>
        <v/>
      </c>
      <c r="C213" s="447" t="s">
        <v>6785</v>
      </c>
      <c r="D213" s="144" t="s">
        <v>170</v>
      </c>
      <c r="E213" s="141">
        <v>3.5</v>
      </c>
      <c r="F213" s="142" t="str">
        <f t="shared" si="61"/>
        <v>---</v>
      </c>
      <c r="G213" s="142" t="str">
        <f t="shared" si="62"/>
        <v>---</v>
      </c>
      <c r="H213" s="141" t="s">
        <v>2049</v>
      </c>
      <c r="I213" s="141" t="s">
        <v>2086</v>
      </c>
      <c r="J213" s="448" t="s">
        <v>6811</v>
      </c>
      <c r="K213" s="144">
        <v>94</v>
      </c>
      <c r="L213" s="449" t="s">
        <v>6957</v>
      </c>
      <c r="M213" s="450">
        <f t="shared" si="63"/>
        <v>1</v>
      </c>
      <c r="N213" s="449" t="s">
        <v>6958</v>
      </c>
      <c r="O213" s="449" t="s">
        <v>6959</v>
      </c>
      <c r="P213" s="451">
        <v>6</v>
      </c>
      <c r="Q213" s="451">
        <v>0</v>
      </c>
      <c r="R213" s="451">
        <v>0</v>
      </c>
      <c r="S213" s="187" t="s">
        <v>1284</v>
      </c>
      <c r="T213" s="196" t="str">
        <f t="shared" si="57"/>
        <v/>
      </c>
      <c r="U213" s="196" t="str">
        <f t="shared" si="58"/>
        <v/>
      </c>
      <c r="V213" s="578" t="str">
        <f t="shared" si="59"/>
        <v/>
      </c>
    </row>
    <row r="214" spans="1:22" ht="60" customHeight="1" x14ac:dyDescent="0.25">
      <c r="A214" s="448" t="s">
        <v>6879</v>
      </c>
      <c r="B214" s="144" t="str">
        <f>IF(Recto!$C$3="","",IF(OR(Recto!$C$3=C214,Calculs!$I$8&gt;0),CONCATENATE(A214),""))</f>
        <v/>
      </c>
      <c r="C214" s="447" t="s">
        <v>6768</v>
      </c>
      <c r="D214" s="144" t="s">
        <v>9</v>
      </c>
      <c r="E214" s="141">
        <v>5</v>
      </c>
      <c r="F214" s="142" t="str">
        <f t="shared" si="61"/>
        <v>---</v>
      </c>
      <c r="G214" s="142" t="str">
        <f t="shared" si="62"/>
        <v>---</v>
      </c>
      <c r="H214" s="141" t="s">
        <v>2049</v>
      </c>
      <c r="I214" s="141" t="s">
        <v>2086</v>
      </c>
      <c r="J214" s="448" t="s">
        <v>6811</v>
      </c>
      <c r="K214" s="144">
        <v>45</v>
      </c>
      <c r="L214" s="449" t="s">
        <v>7017</v>
      </c>
      <c r="M214" s="450">
        <f t="shared" si="63"/>
        <v>4</v>
      </c>
      <c r="N214" s="449" t="s">
        <v>6880</v>
      </c>
      <c r="O214" s="449" t="s">
        <v>6881</v>
      </c>
      <c r="P214" s="451">
        <v>5</v>
      </c>
      <c r="Q214" s="451">
        <v>0</v>
      </c>
      <c r="R214" s="451">
        <v>0</v>
      </c>
      <c r="S214" s="187" t="s">
        <v>1284</v>
      </c>
      <c r="T214" s="196" t="str">
        <f t="shared" si="57"/>
        <v/>
      </c>
      <c r="U214" s="196" t="str">
        <f t="shared" si="58"/>
        <v/>
      </c>
      <c r="V214" s="578" t="str">
        <f t="shared" si="59"/>
        <v/>
      </c>
    </row>
    <row r="215" spans="1:22" ht="60" customHeight="1" x14ac:dyDescent="0.25">
      <c r="A215" s="448" t="s">
        <v>6960</v>
      </c>
      <c r="B215" s="144" t="str">
        <f>IF(Recto!$C$3="","",IF(OR(Recto!$C$3=C215,Calculs!$I$8&gt;0),CONCATENATE(A215),""))</f>
        <v/>
      </c>
      <c r="C215" s="164" t="s">
        <v>6810</v>
      </c>
      <c r="D215" s="144" t="s">
        <v>174</v>
      </c>
      <c r="E215" s="141">
        <v>3.5</v>
      </c>
      <c r="F215" s="142" t="str">
        <f t="shared" si="61"/>
        <v>---</v>
      </c>
      <c r="G215" s="142" t="str">
        <f t="shared" si="62"/>
        <v>---</v>
      </c>
      <c r="H215" s="141" t="s">
        <v>2050</v>
      </c>
      <c r="I215" s="141" t="s">
        <v>2086</v>
      </c>
      <c r="J215" s="448" t="s">
        <v>6811</v>
      </c>
      <c r="K215" s="144">
        <v>92</v>
      </c>
      <c r="L215" s="449" t="s">
        <v>6961</v>
      </c>
      <c r="M215" s="450">
        <f t="shared" si="63"/>
        <v>7</v>
      </c>
      <c r="N215" s="449" t="s">
        <v>6962</v>
      </c>
      <c r="O215" s="449" t="s">
        <v>2354</v>
      </c>
      <c r="P215" s="451">
        <v>0</v>
      </c>
      <c r="Q215" s="451">
        <v>0</v>
      </c>
      <c r="R215" s="451">
        <v>2</v>
      </c>
      <c r="S215" s="187" t="s">
        <v>2088</v>
      </c>
      <c r="T215" s="196" t="str">
        <f t="shared" si="57"/>
        <v/>
      </c>
      <c r="U215" s="196" t="str">
        <f t="shared" si="58"/>
        <v/>
      </c>
      <c r="V215" s="578" t="str">
        <f t="shared" si="59"/>
        <v/>
      </c>
    </row>
    <row r="216" spans="1:22" ht="60" customHeight="1" x14ac:dyDescent="0.25">
      <c r="A216" s="448" t="s">
        <v>218</v>
      </c>
      <c r="B216" s="144" t="str">
        <f>IF(Recto!$C$3="","",IF(OR(Recto!$C$3=C216,Calculs!$I$8&gt;0),CONCATENATE(A216),""))</f>
        <v/>
      </c>
      <c r="C216" s="164" t="s">
        <v>33</v>
      </c>
      <c r="D216" s="144" t="s">
        <v>6</v>
      </c>
      <c r="E216" s="141">
        <v>2.5</v>
      </c>
      <c r="F216" s="142" t="str">
        <f t="shared" si="61"/>
        <v>---</v>
      </c>
      <c r="G216" s="142" t="str">
        <f t="shared" si="62"/>
        <v>---</v>
      </c>
      <c r="H216" s="141" t="s">
        <v>2049</v>
      </c>
      <c r="I216" s="141" t="s">
        <v>2086</v>
      </c>
      <c r="J216" s="448" t="s">
        <v>3</v>
      </c>
      <c r="K216" s="144">
        <v>129</v>
      </c>
      <c r="L216" s="449" t="s">
        <v>359</v>
      </c>
      <c r="M216" s="450">
        <f t="shared" si="63"/>
        <v>3</v>
      </c>
      <c r="N216" s="449" t="s">
        <v>2544</v>
      </c>
      <c r="O216" s="449" t="s">
        <v>2229</v>
      </c>
      <c r="P216" s="451">
        <v>5</v>
      </c>
      <c r="Q216" s="451">
        <v>0</v>
      </c>
      <c r="R216" s="451">
        <v>0</v>
      </c>
      <c r="S216" s="187" t="s">
        <v>1284</v>
      </c>
      <c r="T216" s="196" t="str">
        <f t="shared" si="57"/>
        <v/>
      </c>
      <c r="U216" s="196" t="str">
        <f t="shared" si="58"/>
        <v/>
      </c>
      <c r="V216" s="578" t="str">
        <f t="shared" si="59"/>
        <v/>
      </c>
    </row>
    <row r="217" spans="1:22" ht="60" customHeight="1" x14ac:dyDescent="0.25">
      <c r="A217" s="448" t="s">
        <v>6107</v>
      </c>
      <c r="B217" s="144" t="str">
        <f>IF(Recto!$C$3="","",IF(OR(Recto!$C$3=C217,Calculs!$I$8&gt;0),CONCATENATE(A217),""))</f>
        <v/>
      </c>
      <c r="C217" s="164" t="s">
        <v>33</v>
      </c>
      <c r="D217" s="144" t="s">
        <v>171</v>
      </c>
      <c r="E217" s="141">
        <v>1.5</v>
      </c>
      <c r="F217" s="142" t="str">
        <f t="shared" si="61"/>
        <v>---</v>
      </c>
      <c r="G217" s="142" t="str">
        <f t="shared" si="62"/>
        <v>---</v>
      </c>
      <c r="H217" s="141" t="s">
        <v>2060</v>
      </c>
      <c r="I217" s="141" t="s">
        <v>2086</v>
      </c>
      <c r="J217" s="448" t="s">
        <v>6061</v>
      </c>
      <c r="K217" s="144">
        <v>256</v>
      </c>
      <c r="L217" s="449" t="s">
        <v>2905</v>
      </c>
      <c r="M217" s="450">
        <f t="shared" si="63"/>
        <v>9</v>
      </c>
      <c r="N217" s="449" t="s">
        <v>2900</v>
      </c>
      <c r="O217" s="449" t="s">
        <v>2901</v>
      </c>
      <c r="P217" s="451">
        <v>10</v>
      </c>
      <c r="Q217" s="451">
        <v>0</v>
      </c>
      <c r="R217" s="451">
        <v>0</v>
      </c>
      <c r="S217" s="187" t="s">
        <v>1284</v>
      </c>
      <c r="T217" s="196" t="str">
        <f t="shared" si="57"/>
        <v/>
      </c>
      <c r="U217" s="196" t="str">
        <f t="shared" si="58"/>
        <v/>
      </c>
      <c r="V217" s="578" t="str">
        <f t="shared" si="59"/>
        <v/>
      </c>
    </row>
    <row r="218" spans="1:22" ht="60" customHeight="1" x14ac:dyDescent="0.25">
      <c r="A218" s="448" t="s">
        <v>219</v>
      </c>
      <c r="B218" s="144" t="str">
        <f>IF(Recto!$C$3="","",IF(OR(Recto!$C$3=C218,Calculs!$I$8&gt;0),CONCATENATE(A218),""))</f>
        <v/>
      </c>
      <c r="C218" s="164" t="s">
        <v>33</v>
      </c>
      <c r="D218" s="144" t="s">
        <v>171</v>
      </c>
      <c r="E218" s="141">
        <v>2.5</v>
      </c>
      <c r="F218" s="142" t="str">
        <f t="shared" si="61"/>
        <v>---</v>
      </c>
      <c r="G218" s="142" t="str">
        <f t="shared" si="62"/>
        <v>---</v>
      </c>
      <c r="H218" s="141" t="s">
        <v>2052</v>
      </c>
      <c r="I218" s="141" t="s">
        <v>2086</v>
      </c>
      <c r="J218" s="448" t="s">
        <v>3</v>
      </c>
      <c r="K218" s="144">
        <v>130</v>
      </c>
      <c r="L218" s="449" t="s">
        <v>361</v>
      </c>
      <c r="M218" s="450">
        <f t="shared" si="63"/>
        <v>9</v>
      </c>
      <c r="N218" s="449" t="s">
        <v>2546</v>
      </c>
      <c r="O218" s="449" t="s">
        <v>2356</v>
      </c>
      <c r="P218" s="451">
        <v>5</v>
      </c>
      <c r="Q218" s="451">
        <v>0</v>
      </c>
      <c r="R218" s="451">
        <v>0</v>
      </c>
      <c r="S218" s="187" t="s">
        <v>1284</v>
      </c>
      <c r="T218" s="196" t="str">
        <f t="shared" si="57"/>
        <v/>
      </c>
      <c r="U218" s="196" t="str">
        <f t="shared" si="58"/>
        <v/>
      </c>
      <c r="V218" s="578" t="str">
        <f t="shared" si="59"/>
        <v/>
      </c>
    </row>
    <row r="219" spans="1:22" ht="60" customHeight="1" x14ac:dyDescent="0.25">
      <c r="A219" s="448" t="s">
        <v>222</v>
      </c>
      <c r="B219" s="144" t="str">
        <f>IF(Recto!$C$3="","",IF(OR(Recto!$C$3=C219,Calculs!$I$8&gt;0),CONCATENATE(A219),""))</f>
        <v/>
      </c>
      <c r="C219" s="164" t="s">
        <v>33</v>
      </c>
      <c r="D219" s="144" t="s">
        <v>19</v>
      </c>
      <c r="E219" s="141">
        <v>1.5</v>
      </c>
      <c r="F219" s="142" t="str">
        <f t="shared" si="61"/>
        <v>---</v>
      </c>
      <c r="G219" s="142" t="str">
        <f t="shared" si="62"/>
        <v>---</v>
      </c>
      <c r="H219" s="141" t="s">
        <v>2060</v>
      </c>
      <c r="I219" s="141" t="s">
        <v>2086</v>
      </c>
      <c r="J219" s="448" t="s">
        <v>3</v>
      </c>
      <c r="K219" s="144">
        <v>131</v>
      </c>
      <c r="L219" s="449" t="s">
        <v>362</v>
      </c>
      <c r="M219" s="450">
        <f t="shared" si="63"/>
        <v>8</v>
      </c>
      <c r="N219" s="449" t="s">
        <v>2547</v>
      </c>
      <c r="O219" s="449" t="s">
        <v>2548</v>
      </c>
      <c r="P219" s="451">
        <v>5</v>
      </c>
      <c r="Q219" s="451">
        <v>0</v>
      </c>
      <c r="R219" s="451">
        <v>0</v>
      </c>
      <c r="S219" s="187" t="s">
        <v>1284</v>
      </c>
      <c r="T219" s="196" t="str">
        <f t="shared" si="57"/>
        <v/>
      </c>
      <c r="U219" s="196" t="str">
        <f t="shared" si="58"/>
        <v/>
      </c>
      <c r="V219" s="578" t="str">
        <f t="shared" si="59"/>
        <v/>
      </c>
    </row>
    <row r="220" spans="1:22" ht="60" customHeight="1" x14ac:dyDescent="0.25">
      <c r="A220" s="448" t="s">
        <v>424</v>
      </c>
      <c r="B220" s="144" t="str">
        <f>IF(Recto!$C$3="","",IF(OR(Recto!$C$3=C220,Calculs!$I$8&gt;0),CONCATENATE(A220),""))</f>
        <v/>
      </c>
      <c r="C220" s="164" t="s">
        <v>33</v>
      </c>
      <c r="D220" s="139" t="s">
        <v>2078</v>
      </c>
      <c r="E220" s="140" t="s">
        <v>2078</v>
      </c>
      <c r="F220" s="142" t="str">
        <f t="shared" si="61"/>
        <v>---</v>
      </c>
      <c r="G220" s="142" t="str">
        <f t="shared" si="62"/>
        <v>---</v>
      </c>
      <c r="H220" s="141" t="s">
        <v>2052</v>
      </c>
      <c r="I220" s="141" t="s">
        <v>2085</v>
      </c>
      <c r="J220" s="448" t="s">
        <v>3</v>
      </c>
      <c r="K220" s="144">
        <v>250</v>
      </c>
      <c r="L220" s="449" t="s">
        <v>2604</v>
      </c>
      <c r="M220" s="450">
        <f t="shared" si="63"/>
        <v>0</v>
      </c>
      <c r="N220" s="452" t="s">
        <v>2078</v>
      </c>
      <c r="O220" s="449" t="s">
        <v>253</v>
      </c>
      <c r="P220" s="451">
        <v>0</v>
      </c>
      <c r="Q220" s="451">
        <v>0</v>
      </c>
      <c r="R220" s="451">
        <v>0</v>
      </c>
      <c r="S220" s="187" t="s">
        <v>1284</v>
      </c>
      <c r="T220" s="196" t="str">
        <f t="shared" si="57"/>
        <v/>
      </c>
      <c r="U220" s="196" t="str">
        <f t="shared" si="58"/>
        <v/>
      </c>
      <c r="V220" s="578" t="str">
        <f t="shared" si="59"/>
        <v/>
      </c>
    </row>
    <row r="221" spans="1:22" ht="60" customHeight="1" x14ac:dyDescent="0.25">
      <c r="A221" s="448" t="s">
        <v>8392</v>
      </c>
      <c r="B221" s="144" t="str">
        <f>IF(Recto!$C$3="","",IF(OR(Recto!$C$3=C221,Calculs!$I$8&gt;0),CONCATENATE(A221),""))</f>
        <v/>
      </c>
      <c r="C221" s="164" t="s">
        <v>33</v>
      </c>
      <c r="D221" s="144" t="s">
        <v>6</v>
      </c>
      <c r="E221" s="140">
        <v>2.5</v>
      </c>
      <c r="F221" s="142" t="str">
        <f t="shared" ref="F221" si="64">IF(H221="S","","---")</f>
        <v>---</v>
      </c>
      <c r="G221" s="142" t="str">
        <f t="shared" ref="G221" si="65">IF(F221="---","---","")</f>
        <v>---</v>
      </c>
      <c r="H221" s="141" t="s">
        <v>2052</v>
      </c>
      <c r="I221" s="141" t="s">
        <v>2086</v>
      </c>
      <c r="J221" s="448" t="s">
        <v>7759</v>
      </c>
      <c r="K221" s="144">
        <v>17</v>
      </c>
      <c r="L221" s="449" t="s">
        <v>8393</v>
      </c>
      <c r="M221" s="450">
        <f t="shared" si="63"/>
        <v>3</v>
      </c>
      <c r="N221" s="452" t="s">
        <v>8394</v>
      </c>
      <c r="O221" s="449" t="s">
        <v>8395</v>
      </c>
      <c r="P221" s="451">
        <v>12</v>
      </c>
      <c r="Q221" s="451">
        <v>0</v>
      </c>
      <c r="R221" s="451">
        <v>0</v>
      </c>
      <c r="S221" s="187" t="s">
        <v>1284</v>
      </c>
      <c r="T221" s="196" t="str">
        <f t="shared" si="57"/>
        <v/>
      </c>
      <c r="U221" s="196" t="str">
        <f t="shared" si="58"/>
        <v/>
      </c>
      <c r="V221" s="578" t="str">
        <f t="shared" si="59"/>
        <v/>
      </c>
    </row>
    <row r="222" spans="1:22" ht="60" customHeight="1" x14ac:dyDescent="0.25">
      <c r="A222" s="448" t="s">
        <v>220</v>
      </c>
      <c r="B222" s="144" t="str">
        <f>IF(Recto!$C$3="","",IF(OR(Recto!$C$3=C222,Calculs!$I$8&gt;0),CONCATENATE(A222),""))</f>
        <v/>
      </c>
      <c r="C222" s="164" t="s">
        <v>33</v>
      </c>
      <c r="D222" s="144" t="s">
        <v>169</v>
      </c>
      <c r="E222" s="141">
        <v>2.5</v>
      </c>
      <c r="F222" s="142" t="str">
        <f t="shared" si="61"/>
        <v>---</v>
      </c>
      <c r="G222" s="142" t="str">
        <f t="shared" si="62"/>
        <v>---</v>
      </c>
      <c r="H222" s="141" t="s">
        <v>2049</v>
      </c>
      <c r="I222" s="141" t="s">
        <v>2086</v>
      </c>
      <c r="J222" s="448" t="s">
        <v>4808</v>
      </c>
      <c r="K222" s="144">
        <v>171</v>
      </c>
      <c r="L222" s="449" t="s">
        <v>2704</v>
      </c>
      <c r="M222" s="450">
        <f t="shared" si="63"/>
        <v>2</v>
      </c>
      <c r="N222" s="449" t="s">
        <v>2700</v>
      </c>
      <c r="O222" s="449" t="s">
        <v>2229</v>
      </c>
      <c r="P222" s="451">
        <v>5</v>
      </c>
      <c r="Q222" s="451">
        <v>0</v>
      </c>
      <c r="R222" s="451">
        <v>0</v>
      </c>
      <c r="S222" s="187" t="s">
        <v>1284</v>
      </c>
      <c r="T222" s="196" t="str">
        <f t="shared" si="57"/>
        <v/>
      </c>
      <c r="U222" s="196" t="str">
        <f t="shared" si="58"/>
        <v/>
      </c>
      <c r="V222" s="578" t="str">
        <f t="shared" si="59"/>
        <v/>
      </c>
    </row>
    <row r="223" spans="1:22" ht="60" customHeight="1" x14ac:dyDescent="0.25">
      <c r="A223" s="448" t="s">
        <v>417</v>
      </c>
      <c r="B223" s="144" t="str">
        <f>IF(Recto!$C$3="","",IF(OR(Recto!$C$3=C223,Calculs!$I$8&gt;0),CONCATENATE(A223),""))</f>
        <v/>
      </c>
      <c r="C223" s="164" t="s">
        <v>33</v>
      </c>
      <c r="D223" s="144" t="s">
        <v>6</v>
      </c>
      <c r="E223" s="141">
        <v>1.5</v>
      </c>
      <c r="F223" s="142" t="s">
        <v>223</v>
      </c>
      <c r="G223" s="143" t="s">
        <v>3350</v>
      </c>
      <c r="H223" s="141" t="s">
        <v>2048</v>
      </c>
      <c r="I223" s="141" t="s">
        <v>2086</v>
      </c>
      <c r="J223" s="448" t="s">
        <v>6061</v>
      </c>
      <c r="K223" s="144">
        <v>258</v>
      </c>
      <c r="L223" s="449" t="s">
        <v>2906</v>
      </c>
      <c r="M223" s="450">
        <f t="shared" si="63"/>
        <v>3</v>
      </c>
      <c r="N223" s="449" t="s">
        <v>2904</v>
      </c>
      <c r="O223" s="449" t="s">
        <v>2907</v>
      </c>
      <c r="P223" s="451">
        <v>3</v>
      </c>
      <c r="Q223" s="451">
        <v>0</v>
      </c>
      <c r="R223" s="451">
        <v>0</v>
      </c>
      <c r="S223" s="187" t="s">
        <v>1284</v>
      </c>
      <c r="T223" s="196" t="str">
        <f t="shared" si="57"/>
        <v/>
      </c>
      <c r="U223" s="196" t="str">
        <f t="shared" si="58"/>
        <v/>
      </c>
      <c r="V223" s="578" t="str">
        <f t="shared" si="59"/>
        <v/>
      </c>
    </row>
    <row r="224" spans="1:22" ht="60" customHeight="1" x14ac:dyDescent="0.25">
      <c r="A224" s="448" t="s">
        <v>425</v>
      </c>
      <c r="B224" s="144" t="str">
        <f>IF(Recto!$C$3="","",IF(OR(Recto!$C$3=C224,Calculs!$I$8&gt;0),CONCATENATE(A224),""))</f>
        <v/>
      </c>
      <c r="C224" s="164" t="s">
        <v>33</v>
      </c>
      <c r="D224" s="139" t="s">
        <v>2078</v>
      </c>
      <c r="E224" s="140" t="s">
        <v>2078</v>
      </c>
      <c r="F224" s="142" t="str">
        <f>IF(H224="S","","---")</f>
        <v>---</v>
      </c>
      <c r="G224" s="142" t="str">
        <f>IF(F224="---","---","")</f>
        <v>---</v>
      </c>
      <c r="H224" s="141" t="s">
        <v>2060</v>
      </c>
      <c r="I224" s="141" t="s">
        <v>2085</v>
      </c>
      <c r="J224" s="448" t="s">
        <v>2077</v>
      </c>
      <c r="K224" s="144">
        <v>179</v>
      </c>
      <c r="L224" s="449" t="s">
        <v>2977</v>
      </c>
      <c r="M224" s="450">
        <f t="shared" si="63"/>
        <v>0</v>
      </c>
      <c r="N224" s="452" t="s">
        <v>2078</v>
      </c>
      <c r="O224" s="449" t="s">
        <v>253</v>
      </c>
      <c r="P224" s="451">
        <v>0</v>
      </c>
      <c r="Q224" s="451">
        <v>0</v>
      </c>
      <c r="R224" s="451">
        <v>0</v>
      </c>
      <c r="S224" s="187" t="s">
        <v>1284</v>
      </c>
      <c r="T224" s="196" t="str">
        <f t="shared" si="57"/>
        <v/>
      </c>
      <c r="U224" s="196" t="str">
        <f t="shared" si="58"/>
        <v/>
      </c>
      <c r="V224" s="578" t="str">
        <f t="shared" si="59"/>
        <v/>
      </c>
    </row>
    <row r="225" spans="1:22" ht="60" customHeight="1" x14ac:dyDescent="0.25">
      <c r="A225" s="448" t="s">
        <v>221</v>
      </c>
      <c r="B225" s="144" t="str">
        <f>IF(Recto!$C$3="","",IF(OR(Recto!$C$3=C225,Calculs!$I$8&gt;0),CONCATENATE(A225),""))</f>
        <v/>
      </c>
      <c r="C225" s="164" t="s">
        <v>33</v>
      </c>
      <c r="D225" s="144" t="s">
        <v>171</v>
      </c>
      <c r="E225" s="141">
        <v>2.5</v>
      </c>
      <c r="F225" s="142" t="s">
        <v>100</v>
      </c>
      <c r="G225" s="142" t="s">
        <v>577</v>
      </c>
      <c r="H225" s="141" t="s">
        <v>2048</v>
      </c>
      <c r="I225" s="141" t="s">
        <v>2086</v>
      </c>
      <c r="J225" s="448" t="s">
        <v>3</v>
      </c>
      <c r="K225" s="144">
        <v>130</v>
      </c>
      <c r="L225" s="449" t="s">
        <v>360</v>
      </c>
      <c r="M225" s="450">
        <f t="shared" si="63"/>
        <v>9</v>
      </c>
      <c r="N225" s="449" t="s">
        <v>2545</v>
      </c>
      <c r="O225" s="449" t="s">
        <v>2232</v>
      </c>
      <c r="P225" s="451">
        <v>5</v>
      </c>
      <c r="Q225" s="451">
        <v>0</v>
      </c>
      <c r="R225" s="451">
        <v>0</v>
      </c>
      <c r="S225" s="187" t="s">
        <v>1284</v>
      </c>
      <c r="T225" s="196" t="str">
        <f t="shared" si="57"/>
        <v/>
      </c>
      <c r="U225" s="196" t="str">
        <f t="shared" si="58"/>
        <v/>
      </c>
      <c r="V225" s="578" t="str">
        <f t="shared" si="59"/>
        <v/>
      </c>
    </row>
    <row r="226" spans="1:22" ht="60" customHeight="1" x14ac:dyDescent="0.25">
      <c r="A226" s="448" t="s">
        <v>7801</v>
      </c>
      <c r="B226" s="144" t="str">
        <f>IF(Recto!$C$3="","",IF(Contexte_jeu&lt;&gt;"L'Empire Stellaire d'Emeraude","",IF(OR(Recto!$C$3=C226,Calculs!$I$8&gt;0),CONCATENATE(A226),"")))</f>
        <v/>
      </c>
      <c r="C226" s="164" t="s">
        <v>33</v>
      </c>
      <c r="D226" s="144" t="s">
        <v>172</v>
      </c>
      <c r="E226" s="141">
        <v>0.5</v>
      </c>
      <c r="F226" s="142" t="str">
        <f>IF(H226="S","","---")</f>
        <v>---</v>
      </c>
      <c r="G226" s="142" t="str">
        <f>IF(F226="---","---","")</f>
        <v>---</v>
      </c>
      <c r="H226" s="141" t="s">
        <v>2049</v>
      </c>
      <c r="I226" s="141" t="s">
        <v>2086</v>
      </c>
      <c r="J226" s="448" t="s">
        <v>7226</v>
      </c>
      <c r="K226" s="144">
        <v>65</v>
      </c>
      <c r="L226" s="449" t="s">
        <v>377</v>
      </c>
      <c r="M226" s="450">
        <f t="shared" si="63"/>
        <v>5</v>
      </c>
      <c r="N226" s="449" t="s">
        <v>7802</v>
      </c>
      <c r="O226" s="449" t="s">
        <v>7810</v>
      </c>
      <c r="P226" s="451">
        <v>2</v>
      </c>
      <c r="Q226" s="451">
        <v>0</v>
      </c>
      <c r="R226" s="451">
        <v>0</v>
      </c>
      <c r="S226" s="187" t="s">
        <v>1284</v>
      </c>
      <c r="T226" s="196" t="str">
        <f t="shared" si="57"/>
        <v/>
      </c>
      <c r="U226" s="196" t="str">
        <f t="shared" si="58"/>
        <v/>
      </c>
      <c r="V226" s="578" t="str">
        <f t="shared" si="59"/>
        <v/>
      </c>
    </row>
    <row r="227" spans="1:22" ht="60" customHeight="1" x14ac:dyDescent="0.25">
      <c r="A227" s="448" t="s">
        <v>245</v>
      </c>
      <c r="B227" s="144" t="str">
        <f>IF(Recto!$C$3="","",IF(OR(Recto!$C$3=C227,Calculs!$I$8&gt;0),CONCATENATE(A227),""))</f>
        <v/>
      </c>
      <c r="C227" s="164" t="s">
        <v>390</v>
      </c>
      <c r="D227" s="144" t="s">
        <v>174</v>
      </c>
      <c r="E227" s="141">
        <v>4.5</v>
      </c>
      <c r="F227" s="142" t="s">
        <v>577</v>
      </c>
      <c r="G227" s="142" t="s">
        <v>100</v>
      </c>
      <c r="H227" s="141" t="s">
        <v>2048</v>
      </c>
      <c r="I227" s="141" t="s">
        <v>2086</v>
      </c>
      <c r="J227" s="448" t="s">
        <v>3</v>
      </c>
      <c r="K227" s="144">
        <v>224</v>
      </c>
      <c r="L227" s="449" t="s">
        <v>374</v>
      </c>
      <c r="M227" s="450">
        <f t="shared" si="63"/>
        <v>7</v>
      </c>
      <c r="N227" s="449" t="s">
        <v>2191</v>
      </c>
      <c r="O227" s="449" t="s">
        <v>2232</v>
      </c>
      <c r="P227" s="451">
        <v>3</v>
      </c>
      <c r="Q227" s="451">
        <v>0</v>
      </c>
      <c r="R227" s="451">
        <v>0</v>
      </c>
      <c r="S227" s="187" t="s">
        <v>1284</v>
      </c>
      <c r="T227" s="196" t="str">
        <f t="shared" si="57"/>
        <v/>
      </c>
      <c r="U227" s="196" t="str">
        <f t="shared" si="58"/>
        <v/>
      </c>
      <c r="V227" s="578" t="str">
        <f t="shared" si="59"/>
        <v/>
      </c>
    </row>
    <row r="228" spans="1:22" ht="60" customHeight="1" x14ac:dyDescent="0.25">
      <c r="A228" s="448" t="s">
        <v>406</v>
      </c>
      <c r="B228" s="144" t="str">
        <f>IF(Recto!$C$3="","",IF(OR(Recto!$C$3=C228,Calculs!$I$8&gt;0),CONCATENATE(A228),""))</f>
        <v/>
      </c>
      <c r="C228" s="164" t="s">
        <v>185</v>
      </c>
      <c r="D228" s="144" t="s">
        <v>174</v>
      </c>
      <c r="E228" s="141">
        <v>5.5</v>
      </c>
      <c r="F228" s="142" t="str">
        <f>IF(H228="S","","---")</f>
        <v>---</v>
      </c>
      <c r="G228" s="142" t="str">
        <f>IF(F228="---","---","")</f>
        <v>---</v>
      </c>
      <c r="H228" s="141" t="s">
        <v>2049</v>
      </c>
      <c r="I228" s="141" t="s">
        <v>2086</v>
      </c>
      <c r="J228" s="448" t="s">
        <v>3</v>
      </c>
      <c r="K228" s="144">
        <v>221</v>
      </c>
      <c r="L228" s="449" t="s">
        <v>373</v>
      </c>
      <c r="M228" s="450">
        <f t="shared" si="63"/>
        <v>7</v>
      </c>
      <c r="N228" s="449" t="s">
        <v>2193</v>
      </c>
      <c r="O228" s="449" t="s">
        <v>2229</v>
      </c>
      <c r="P228" s="451">
        <v>3</v>
      </c>
      <c r="Q228" s="451">
        <v>0</v>
      </c>
      <c r="R228" s="451">
        <v>0</v>
      </c>
      <c r="S228" s="187" t="s">
        <v>1284</v>
      </c>
      <c r="T228" s="196" t="str">
        <f t="shared" si="57"/>
        <v/>
      </c>
      <c r="U228" s="196" t="str">
        <f t="shared" si="58"/>
        <v/>
      </c>
      <c r="V228" s="578" t="str">
        <f t="shared" si="59"/>
        <v/>
      </c>
    </row>
    <row r="229" spans="1:22" ht="60" customHeight="1" x14ac:dyDescent="0.25">
      <c r="A229" s="448" t="s">
        <v>7803</v>
      </c>
      <c r="B229" s="144" t="str">
        <f>IF(Recto!$C$3="","",IF(Contexte_jeu&lt;&gt;"L'Empire Stellaire d'Emeraude","",IF(OR(Recto!$C$3=C229,Calculs!$I$8&gt;0),CONCATENATE(A229),"")))</f>
        <v/>
      </c>
      <c r="C229" s="164" t="s">
        <v>185</v>
      </c>
      <c r="D229" s="144" t="s">
        <v>172</v>
      </c>
      <c r="E229" s="141">
        <v>2.5</v>
      </c>
      <c r="F229" s="142" t="str">
        <f>IF(H229="S","","---")</f>
        <v>---</v>
      </c>
      <c r="G229" s="142" t="str">
        <f>IF(F229="---","---","")</f>
        <v>---</v>
      </c>
      <c r="H229" s="141" t="s">
        <v>2049</v>
      </c>
      <c r="I229" s="141" t="s">
        <v>2086</v>
      </c>
      <c r="J229" s="448" t="s">
        <v>7226</v>
      </c>
      <c r="K229" s="144">
        <v>65</v>
      </c>
      <c r="L229" s="449" t="s">
        <v>7804</v>
      </c>
      <c r="M229" s="450">
        <f t="shared" si="63"/>
        <v>5</v>
      </c>
      <c r="N229" s="449" t="s">
        <v>7805</v>
      </c>
      <c r="O229" s="449" t="s">
        <v>7811</v>
      </c>
      <c r="P229" s="451">
        <v>2</v>
      </c>
      <c r="Q229" s="451">
        <v>0</v>
      </c>
      <c r="R229" s="451">
        <v>0</v>
      </c>
      <c r="S229" s="187" t="s">
        <v>1284</v>
      </c>
      <c r="T229" s="196" t="str">
        <f t="shared" si="57"/>
        <v/>
      </c>
      <c r="U229" s="196" t="str">
        <f t="shared" si="58"/>
        <v/>
      </c>
      <c r="V229" s="578" t="str">
        <f t="shared" si="59"/>
        <v/>
      </c>
    </row>
    <row r="230" spans="1:22" ht="60" customHeight="1" x14ac:dyDescent="0.25">
      <c r="A230" s="448" t="s">
        <v>413</v>
      </c>
      <c r="B230" s="144" t="str">
        <f>IF(Recto!$C$3="","",IF(OR(Recto!$C$3=C230,Calculs!$I$8&gt;0),CONCATENATE(A230),""))</f>
        <v/>
      </c>
      <c r="C230" s="164" t="s">
        <v>185</v>
      </c>
      <c r="D230" s="144" t="s">
        <v>9</v>
      </c>
      <c r="E230" s="141">
        <v>5.5</v>
      </c>
      <c r="F230" s="142" t="s">
        <v>577</v>
      </c>
      <c r="G230" s="142" t="s">
        <v>579</v>
      </c>
      <c r="H230" s="141" t="s">
        <v>2048</v>
      </c>
      <c r="I230" s="141" t="s">
        <v>2086</v>
      </c>
      <c r="J230" s="448" t="s">
        <v>2080</v>
      </c>
      <c r="K230" s="144">
        <v>238</v>
      </c>
      <c r="L230" s="449" t="s">
        <v>2813</v>
      </c>
      <c r="M230" s="450">
        <f t="shared" si="63"/>
        <v>4</v>
      </c>
      <c r="N230" s="449" t="s">
        <v>2810</v>
      </c>
      <c r="O230" s="449" t="s">
        <v>2232</v>
      </c>
      <c r="P230" s="451">
        <v>2</v>
      </c>
      <c r="Q230" s="451">
        <v>0</v>
      </c>
      <c r="R230" s="451">
        <v>0</v>
      </c>
      <c r="S230" s="187" t="s">
        <v>1284</v>
      </c>
      <c r="T230" s="196" t="str">
        <f t="shared" si="57"/>
        <v/>
      </c>
      <c r="U230" s="196" t="str">
        <f t="shared" si="58"/>
        <v/>
      </c>
      <c r="V230" s="578" t="str">
        <f t="shared" si="59"/>
        <v/>
      </c>
    </row>
    <row r="231" spans="1:22" ht="60" customHeight="1" x14ac:dyDescent="0.25">
      <c r="A231" s="448" t="s">
        <v>8424</v>
      </c>
      <c r="B231" s="144" t="str">
        <f>A231</f>
        <v>Shinrai Jotomon</v>
      </c>
      <c r="C231" s="164" t="s">
        <v>627</v>
      </c>
      <c r="D231" s="139" t="s">
        <v>2078</v>
      </c>
      <c r="E231" s="140" t="s">
        <v>2078</v>
      </c>
      <c r="F231" s="142" t="str">
        <f t="shared" ref="F231" si="66">IF(H231="S","","---")</f>
        <v>---</v>
      </c>
      <c r="G231" s="142" t="str">
        <f t="shared" ref="G231" si="67">IF(F231="---","---","")</f>
        <v>---</v>
      </c>
      <c r="H231" s="141" t="s">
        <v>2049</v>
      </c>
      <c r="I231" s="141" t="s">
        <v>2085</v>
      </c>
      <c r="J231" s="448" t="s">
        <v>7759</v>
      </c>
      <c r="K231" s="144">
        <v>31</v>
      </c>
      <c r="L231" s="449" t="s">
        <v>7092</v>
      </c>
      <c r="M231" s="450">
        <f t="shared" si="63"/>
        <v>0</v>
      </c>
      <c r="N231" s="452" t="s">
        <v>2078</v>
      </c>
      <c r="O231" s="449" t="s">
        <v>253</v>
      </c>
      <c r="P231" s="451">
        <v>0</v>
      </c>
      <c r="Q231" s="451">
        <v>0</v>
      </c>
      <c r="R231" s="451">
        <v>0</v>
      </c>
      <c r="S231" s="187" t="s">
        <v>1284</v>
      </c>
      <c r="T231" s="196">
        <f t="shared" si="57"/>
        <v>231</v>
      </c>
      <c r="U231" s="196" t="str">
        <f t="shared" si="58"/>
        <v/>
      </c>
      <c r="V231" s="578" t="str">
        <f t="shared" si="59"/>
        <v/>
      </c>
    </row>
    <row r="232" spans="1:22" ht="60" customHeight="1" x14ac:dyDescent="0.25">
      <c r="A232" s="448" t="s">
        <v>8426</v>
      </c>
      <c r="B232" s="144" t="str">
        <f>A232</f>
        <v>Maître des Elements</v>
      </c>
      <c r="C232" s="164" t="s">
        <v>627</v>
      </c>
      <c r="D232" s="139" t="s">
        <v>2078</v>
      </c>
      <c r="E232" s="140" t="s">
        <v>2078</v>
      </c>
      <c r="F232" s="71" t="str">
        <f t="shared" ref="F232:F235" si="68">IF(H232="S","","---")</f>
        <v/>
      </c>
      <c r="G232" s="142" t="s">
        <v>1284</v>
      </c>
      <c r="H232" s="141" t="s">
        <v>2048</v>
      </c>
      <c r="I232" s="141" t="s">
        <v>2085</v>
      </c>
      <c r="J232" s="448" t="s">
        <v>7759</v>
      </c>
      <c r="K232" s="144">
        <v>31</v>
      </c>
      <c r="L232" s="449" t="s">
        <v>8425</v>
      </c>
      <c r="M232" s="450">
        <f t="shared" si="63"/>
        <v>0</v>
      </c>
      <c r="N232" s="452" t="s">
        <v>2078</v>
      </c>
      <c r="O232" s="449" t="s">
        <v>253</v>
      </c>
      <c r="P232" s="451">
        <v>0</v>
      </c>
      <c r="Q232" s="451">
        <v>0</v>
      </c>
      <c r="R232" s="451">
        <v>0</v>
      </c>
      <c r="S232" s="187" t="s">
        <v>1284</v>
      </c>
      <c r="T232" s="196">
        <f t="shared" si="57"/>
        <v>232</v>
      </c>
      <c r="U232" s="196" t="str">
        <f t="shared" si="58"/>
        <v/>
      </c>
      <c r="V232" s="578" t="str">
        <f t="shared" si="59"/>
        <v/>
      </c>
    </row>
    <row r="233" spans="1:22" ht="60" customHeight="1" x14ac:dyDescent="0.25">
      <c r="A233" s="448" t="s">
        <v>8457</v>
      </c>
      <c r="B233" s="448" t="s">
        <v>8457</v>
      </c>
      <c r="C233" s="164" t="s">
        <v>627</v>
      </c>
      <c r="D233" s="144" t="s">
        <v>171</v>
      </c>
      <c r="E233" s="140">
        <v>0</v>
      </c>
      <c r="F233" s="142" t="str">
        <f t="shared" si="68"/>
        <v>---</v>
      </c>
      <c r="G233" s="142" t="str">
        <f t="shared" ref="G233:G235" si="69">IF(F233="---","---","")</f>
        <v>---</v>
      </c>
      <c r="H233" s="141" t="s">
        <v>2052</v>
      </c>
      <c r="I233" s="141" t="s">
        <v>2086</v>
      </c>
      <c r="J233" s="448" t="s">
        <v>7759</v>
      </c>
      <c r="K233" s="144">
        <v>30</v>
      </c>
      <c r="L233" s="449" t="s">
        <v>1339</v>
      </c>
      <c r="M233" s="450">
        <f t="shared" si="63"/>
        <v>9</v>
      </c>
      <c r="N233" s="452" t="s">
        <v>8460</v>
      </c>
      <c r="O233" s="449" t="s">
        <v>8461</v>
      </c>
      <c r="P233" s="451">
        <v>0</v>
      </c>
      <c r="Q233" s="451">
        <v>0</v>
      </c>
      <c r="R233" s="451">
        <v>0</v>
      </c>
      <c r="S233" s="187" t="s">
        <v>1284</v>
      </c>
      <c r="T233" s="196">
        <f t="shared" si="57"/>
        <v>233</v>
      </c>
      <c r="U233" s="196" t="str">
        <f t="shared" si="58"/>
        <v/>
      </c>
      <c r="V233" s="578" t="str">
        <f t="shared" si="59"/>
        <v/>
      </c>
    </row>
    <row r="234" spans="1:22" ht="60" customHeight="1" x14ac:dyDescent="0.25">
      <c r="A234" s="448" t="s">
        <v>8458</v>
      </c>
      <c r="B234" s="448" t="s">
        <v>8458</v>
      </c>
      <c r="C234" s="164" t="s">
        <v>627</v>
      </c>
      <c r="D234" s="139" t="s">
        <v>169</v>
      </c>
      <c r="E234" s="140">
        <v>0.5</v>
      </c>
      <c r="F234" s="142" t="str">
        <f t="shared" si="68"/>
        <v>---</v>
      </c>
      <c r="G234" s="142" t="str">
        <f t="shared" si="69"/>
        <v>---</v>
      </c>
      <c r="H234" s="141" t="s">
        <v>2049</v>
      </c>
      <c r="I234" s="141" t="s">
        <v>2086</v>
      </c>
      <c r="J234" s="448" t="s">
        <v>7759</v>
      </c>
      <c r="K234" s="144">
        <v>30</v>
      </c>
      <c r="L234" s="449" t="s">
        <v>3188</v>
      </c>
      <c r="M234" s="450">
        <f t="shared" si="63"/>
        <v>2</v>
      </c>
      <c r="N234" s="463" t="s">
        <v>8463</v>
      </c>
      <c r="O234" s="452" t="s">
        <v>8462</v>
      </c>
      <c r="P234" s="451">
        <v>0</v>
      </c>
      <c r="Q234" s="451">
        <v>1</v>
      </c>
      <c r="R234" s="451">
        <v>0</v>
      </c>
      <c r="S234" s="187" t="s">
        <v>1284</v>
      </c>
      <c r="T234" s="196">
        <f t="shared" si="57"/>
        <v>234</v>
      </c>
      <c r="U234" s="196" t="str">
        <f t="shared" si="58"/>
        <v/>
      </c>
      <c r="V234" s="578" t="str">
        <f t="shared" si="59"/>
        <v/>
      </c>
    </row>
    <row r="235" spans="1:22" ht="60" customHeight="1" x14ac:dyDescent="0.25">
      <c r="A235" s="448" t="s">
        <v>8459</v>
      </c>
      <c r="B235" s="448" t="s">
        <v>8459</v>
      </c>
      <c r="C235" s="164" t="s">
        <v>627</v>
      </c>
      <c r="D235" s="144" t="s">
        <v>171</v>
      </c>
      <c r="E235" s="140">
        <v>1</v>
      </c>
      <c r="F235" s="142" t="str">
        <f t="shared" si="68"/>
        <v>---</v>
      </c>
      <c r="G235" s="142" t="str">
        <f t="shared" si="69"/>
        <v>---</v>
      </c>
      <c r="H235" s="141" t="s">
        <v>2057</v>
      </c>
      <c r="I235" s="141" t="s">
        <v>2086</v>
      </c>
      <c r="J235" s="448" t="s">
        <v>7759</v>
      </c>
      <c r="K235" s="144">
        <v>30</v>
      </c>
      <c r="L235" s="449" t="s">
        <v>8459</v>
      </c>
      <c r="M235" s="450">
        <f t="shared" si="63"/>
        <v>9</v>
      </c>
      <c r="N235" s="452" t="s">
        <v>8464</v>
      </c>
      <c r="O235" s="449" t="s">
        <v>8465</v>
      </c>
      <c r="P235" s="451">
        <v>0</v>
      </c>
      <c r="Q235" s="451">
        <v>1</v>
      </c>
      <c r="R235" s="451">
        <v>0</v>
      </c>
      <c r="S235" s="187" t="s">
        <v>1284</v>
      </c>
      <c r="T235" s="196">
        <f t="shared" si="57"/>
        <v>235</v>
      </c>
      <c r="U235" s="196" t="str">
        <f t="shared" si="58"/>
        <v/>
      </c>
      <c r="V235" s="578" t="str">
        <f t="shared" si="59"/>
        <v/>
      </c>
    </row>
    <row r="236" spans="1:22" ht="60" customHeight="1" x14ac:dyDescent="0.25">
      <c r="A236" s="448" t="s">
        <v>7289</v>
      </c>
      <c r="B236" s="144" t="str">
        <f>IF(Recto!$C$3="","",IF(OR(Recto!$C$3=C236,Calculs!$I$8&gt;0),CONCATENATE(A236),""))</f>
        <v/>
      </c>
      <c r="C236" s="164" t="s">
        <v>7287</v>
      </c>
      <c r="D236" s="144" t="s">
        <v>9</v>
      </c>
      <c r="E236" s="141">
        <v>4</v>
      </c>
      <c r="F236" s="142" t="s">
        <v>6247</v>
      </c>
      <c r="G236" s="142" t="s">
        <v>6243</v>
      </c>
      <c r="H236" s="141" t="s">
        <v>2048</v>
      </c>
      <c r="I236" s="141" t="s">
        <v>2086</v>
      </c>
      <c r="J236" s="448" t="s">
        <v>6811</v>
      </c>
      <c r="K236" s="144">
        <v>114</v>
      </c>
      <c r="L236" s="449" t="s">
        <v>7290</v>
      </c>
      <c r="M236" s="450">
        <f t="shared" si="63"/>
        <v>4</v>
      </c>
      <c r="N236" s="463" t="s">
        <v>7291</v>
      </c>
      <c r="O236" s="449" t="s">
        <v>7292</v>
      </c>
      <c r="P236" s="464">
        <v>1</v>
      </c>
      <c r="Q236" s="451">
        <v>0</v>
      </c>
      <c r="R236" s="451">
        <v>0</v>
      </c>
      <c r="S236" s="187" t="s">
        <v>1284</v>
      </c>
      <c r="T236" s="196" t="str">
        <f t="shared" si="57"/>
        <v/>
      </c>
      <c r="U236" s="196" t="str">
        <f t="shared" si="58"/>
        <v/>
      </c>
      <c r="V236" s="578" t="str">
        <f t="shared" si="59"/>
        <v/>
      </c>
    </row>
    <row r="237" spans="1:22" ht="60" customHeight="1" x14ac:dyDescent="0.25">
      <c r="A237" s="448" t="s">
        <v>7095</v>
      </c>
      <c r="B237" s="144" t="str">
        <f>IF(Recto!$C$3="","",IF(OR(Recto!$C$3=C237,Calculs!$I$8&gt;0),CONCATENATE(A237),""))</f>
        <v/>
      </c>
      <c r="C237" s="164" t="s">
        <v>6804</v>
      </c>
      <c r="D237" s="139" t="s">
        <v>169</v>
      </c>
      <c r="E237" s="141">
        <v>4.5</v>
      </c>
      <c r="F237" s="142" t="str">
        <f>IF(H237="S","","---")</f>
        <v>---</v>
      </c>
      <c r="G237" s="142" t="str">
        <f>IF(F237="---","---","")</f>
        <v>---</v>
      </c>
      <c r="H237" s="141" t="s">
        <v>2049</v>
      </c>
      <c r="I237" s="141" t="s">
        <v>2086</v>
      </c>
      <c r="J237" s="448" t="s">
        <v>6811</v>
      </c>
      <c r="K237" s="144">
        <v>132</v>
      </c>
      <c r="L237" s="449" t="s">
        <v>7096</v>
      </c>
      <c r="M237" s="450">
        <f>IF(D237="+1 Force",1,IF(D237="+1 Agilité",2,IF(D237="+1 Intelligence",3,IF(D237="+1 Perception",4,IF(D237="+1 Constitution",5,IF(D237="+1 Vide",6,IF(D237="+1 Volonté",7,IF(D237="+1 Reflexes",8,IF(D237="+1 Intuition",9,0)))))))))</f>
        <v>2</v>
      </c>
      <c r="N237" s="449" t="s">
        <v>7098</v>
      </c>
      <c r="O237" s="449" t="s">
        <v>7206</v>
      </c>
      <c r="P237" s="451">
        <v>1</v>
      </c>
      <c r="Q237" s="451">
        <v>0</v>
      </c>
      <c r="R237" s="451">
        <v>0</v>
      </c>
      <c r="S237" s="187" t="s">
        <v>1284</v>
      </c>
      <c r="T237" s="196" t="str">
        <f t="shared" si="57"/>
        <v/>
      </c>
      <c r="U237" s="196" t="str">
        <f t="shared" si="58"/>
        <v/>
      </c>
      <c r="V237" s="578" t="str">
        <f t="shared" si="59"/>
        <v/>
      </c>
    </row>
    <row r="238" spans="1:22" ht="60" customHeight="1" x14ac:dyDescent="0.25">
      <c r="A238" s="448" t="s">
        <v>409</v>
      </c>
      <c r="B238" s="144" t="str">
        <f>IF(Recto!$C$3="","",IF(OR(Recto!$C$3=C238,Calculs!$I$8&gt;0),CONCATENATE(A238),""))</f>
        <v/>
      </c>
      <c r="C238" s="164" t="s">
        <v>393</v>
      </c>
      <c r="D238" s="139" t="s">
        <v>169</v>
      </c>
      <c r="E238" s="141">
        <v>5.5</v>
      </c>
      <c r="F238" s="142" t="str">
        <f>IF(H238="S","","---")</f>
        <v>---</v>
      </c>
      <c r="G238" s="142" t="str">
        <f>IF(F238="---","---","")</f>
        <v>---</v>
      </c>
      <c r="H238" s="141" t="s">
        <v>2049</v>
      </c>
      <c r="I238" s="141" t="s">
        <v>2086</v>
      </c>
      <c r="J238" s="448" t="s">
        <v>2077</v>
      </c>
      <c r="K238" s="144">
        <v>276</v>
      </c>
      <c r="L238" s="449" t="s">
        <v>2986</v>
      </c>
      <c r="M238" s="450">
        <f>IF(D238="+1 Force",1,IF(D238="+1 Agilité",2,IF(D238="+1 Intelligence",3,IF(D238="+1 Perception",4,IF(D238="+1 Constitution",5,IF(D238="+1 Vide",6,IF(D238="+1 Volonté",7,IF(D238="+1 Reflexes",8,IF(D238="+1 Intuition",9,0)))))))))</f>
        <v>2</v>
      </c>
      <c r="N238" s="449" t="s">
        <v>2978</v>
      </c>
      <c r="O238" s="449" t="s">
        <v>2979</v>
      </c>
      <c r="P238" s="451">
        <v>4</v>
      </c>
      <c r="Q238" s="451">
        <v>0</v>
      </c>
      <c r="R238" s="451">
        <v>0</v>
      </c>
      <c r="S238" s="187" t="s">
        <v>1284</v>
      </c>
      <c r="T238" s="196" t="str">
        <f t="shared" si="57"/>
        <v/>
      </c>
      <c r="U238" s="196" t="str">
        <f t="shared" si="58"/>
        <v/>
      </c>
      <c r="V238" s="578" t="str">
        <f t="shared" si="59"/>
        <v/>
      </c>
    </row>
    <row r="239" spans="1:22" ht="60" customHeight="1" x14ac:dyDescent="0.25">
      <c r="A239" s="448" t="s">
        <v>410</v>
      </c>
      <c r="B239" s="144" t="str">
        <f>IF(Recto!$C$3="","",IF(OR(Recto!$C$3=C239,Calculs!$I$8&gt;0),CONCATENATE(A239),""))</f>
        <v/>
      </c>
      <c r="C239" s="164" t="s">
        <v>340</v>
      </c>
      <c r="D239" s="144" t="s">
        <v>171</v>
      </c>
      <c r="E239" s="141">
        <v>2</v>
      </c>
      <c r="F239" s="142" t="str">
        <f>IF(H239="S","","---")</f>
        <v>---</v>
      </c>
      <c r="G239" s="142" t="str">
        <f>IF(F239="---","---","")</f>
        <v>---</v>
      </c>
      <c r="H239" s="141" t="s">
        <v>2052</v>
      </c>
      <c r="I239" s="141" t="s">
        <v>2086</v>
      </c>
      <c r="J239" s="448" t="s">
        <v>3</v>
      </c>
      <c r="K239" s="144">
        <v>225</v>
      </c>
      <c r="L239" s="449" t="s">
        <v>375</v>
      </c>
      <c r="M239" s="450">
        <f>IF(D239="+1 Force",1,IF(D239="+1 Agilité",2,IF(D239="+1 Intelligence",3,IF(D239="+1 Perception",4,IF(D239="+1 Constitution",5,IF(D239="+1 Vide",6,IF(D239="+1 Volonté",7,IF(D239="+1 Reflexes",8,IF(D239="+1 Intuition",9,0)))))))))</f>
        <v>9</v>
      </c>
      <c r="N239" s="449" t="s">
        <v>2201</v>
      </c>
      <c r="O239" s="449" t="s">
        <v>2240</v>
      </c>
      <c r="P239" s="451">
        <v>5</v>
      </c>
      <c r="Q239" s="451">
        <v>0</v>
      </c>
      <c r="R239" s="451">
        <v>0</v>
      </c>
      <c r="S239" s="187" t="s">
        <v>1284</v>
      </c>
      <c r="T239" s="196" t="str">
        <f t="shared" si="57"/>
        <v/>
      </c>
      <c r="U239" s="196" t="str">
        <f t="shared" si="58"/>
        <v/>
      </c>
      <c r="V239" s="578" t="str">
        <f t="shared" si="59"/>
        <v/>
      </c>
    </row>
    <row r="240" spans="1:22" ht="60" customHeight="1" x14ac:dyDescent="0.25">
      <c r="A240" s="448" t="s">
        <v>586</v>
      </c>
      <c r="B240" s="144" t="str">
        <f>IF(Recto!$C$3="","",IF(OR(Recto!$C$3=C240,Calculs!$I$8&gt;0),CONCATENATE(A240),""))</f>
        <v/>
      </c>
      <c r="C240" s="164" t="s">
        <v>1941</v>
      </c>
      <c r="D240" s="144" t="s">
        <v>253</v>
      </c>
      <c r="E240" s="141">
        <v>3.5</v>
      </c>
      <c r="F240" s="458" t="s">
        <v>3351</v>
      </c>
      <c r="G240" s="458" t="str">
        <f>IF(F240="Voir Ennemis p.190","Choix affinité?",IF(F240="Air","Terre",IF(F240="Feu","Eau",IF(F240="Eau","Feu",IF(F240="Terre","Air","")))))</f>
        <v>Choix affinité?</v>
      </c>
      <c r="H240" s="141" t="s">
        <v>2048</v>
      </c>
      <c r="I240" s="141" t="s">
        <v>2086</v>
      </c>
      <c r="J240" s="448" t="s">
        <v>2075</v>
      </c>
      <c r="K240" s="144">
        <v>190</v>
      </c>
      <c r="L240" s="449" t="s">
        <v>3079</v>
      </c>
      <c r="M240" s="450">
        <f>IF(D240="+1 Force",1,IF(D240="+1 Agilité",2,IF(D240="+1 Intelligence",3,IF(D240="+1 Perception",4,IF(D240="+1 Constitution",5,IF(D240="+1 Vide",6,IF(D240="+1 Volonté",7,IF(D240="+1 Reflexes",8,IF(D240="+1 Intuition",9,0)))))))))</f>
        <v>0</v>
      </c>
      <c r="N240" s="449" t="s">
        <v>3077</v>
      </c>
      <c r="O240" s="449" t="s">
        <v>3078</v>
      </c>
      <c r="P240" s="451">
        <v>0</v>
      </c>
      <c r="Q240" s="451">
        <v>0</v>
      </c>
      <c r="R240" s="451">
        <v>0</v>
      </c>
      <c r="S240" s="187" t="s">
        <v>1284</v>
      </c>
      <c r="T240" s="196" t="str">
        <f t="shared" si="57"/>
        <v/>
      </c>
      <c r="U240" s="196" t="str">
        <f t="shared" si="58"/>
        <v/>
      </c>
      <c r="V240" s="578" t="str">
        <f t="shared" si="59"/>
        <v/>
      </c>
    </row>
    <row r="241" spans="1:22" ht="60" customHeight="1" x14ac:dyDescent="0.25">
      <c r="A241" s="448" t="s">
        <v>301</v>
      </c>
      <c r="B241" s="144" t="str">
        <f>IF(Recto!$C$3="","",IF(OR(Recto!$C$3=C241,Calculs!$I$8&gt;0),CONCATENATE(A241),""))</f>
        <v/>
      </c>
      <c r="C241" s="164" t="s">
        <v>1941</v>
      </c>
      <c r="D241" s="144" t="s">
        <v>253</v>
      </c>
      <c r="E241" s="141">
        <v>4.5</v>
      </c>
      <c r="F241" s="142" t="str">
        <f>IF(H241="S","","---")</f>
        <v>---</v>
      </c>
      <c r="G241" s="142" t="str">
        <f>IF(F241="---","---","")</f>
        <v>---</v>
      </c>
      <c r="H241" s="141" t="s">
        <v>2049</v>
      </c>
      <c r="I241" s="141" t="s">
        <v>2086</v>
      </c>
      <c r="J241" s="448" t="s">
        <v>2075</v>
      </c>
      <c r="K241" s="144">
        <v>189</v>
      </c>
      <c r="L241" s="449" t="s">
        <v>3080</v>
      </c>
      <c r="M241" s="450">
        <f>IF(D241="+1 Force",1,IF(D241="+1 Agilité",2,IF(D241="+1 Intelligence",3,IF(D241="+1 Perception",4,IF(D241="+1 Constitution",5,IF(D241="+1 Vide",6,IF(D241="+1 Volonté",7,IF(D241="+1 Reflexes",8,IF(D241="+1 Intuition",9,0)))))))))</f>
        <v>0</v>
      </c>
      <c r="N241" s="449" t="s">
        <v>3070</v>
      </c>
      <c r="O241" s="449" t="s">
        <v>3071</v>
      </c>
      <c r="P241" s="451">
        <v>0</v>
      </c>
      <c r="Q241" s="451">
        <v>0</v>
      </c>
      <c r="R241" s="451">
        <v>0</v>
      </c>
      <c r="S241" s="187" t="s">
        <v>1284</v>
      </c>
      <c r="T241" s="196" t="str">
        <f t="shared" si="57"/>
        <v/>
      </c>
      <c r="U241" s="196" t="str">
        <f t="shared" si="58"/>
        <v/>
      </c>
      <c r="V241" s="578" t="str">
        <f t="shared" si="59"/>
        <v/>
      </c>
    </row>
    <row r="242" spans="1:22" ht="60" customHeight="1" x14ac:dyDescent="0.25">
      <c r="F242" s="461"/>
      <c r="G242" s="461"/>
      <c r="S242" s="188"/>
    </row>
    <row r="243" spans="1:22" ht="60" customHeight="1" x14ac:dyDescent="0.25">
      <c r="F243" s="461"/>
      <c r="G243" s="461"/>
      <c r="S243" s="188"/>
    </row>
    <row r="244" spans="1:22" ht="60" customHeight="1" x14ac:dyDescent="0.25">
      <c r="F244" s="461"/>
      <c r="G244" s="461"/>
      <c r="S244" s="188"/>
    </row>
    <row r="245" spans="1:22" ht="60" customHeight="1" x14ac:dyDescent="0.25">
      <c r="F245" s="461"/>
      <c r="G245" s="461"/>
      <c r="S245" s="188"/>
    </row>
    <row r="246" spans="1:22" ht="60" customHeight="1" x14ac:dyDescent="0.25">
      <c r="F246" s="461"/>
      <c r="G246" s="461"/>
      <c r="S246" s="188"/>
    </row>
    <row r="247" spans="1:22" ht="60" customHeight="1" x14ac:dyDescent="0.25">
      <c r="F247" s="461"/>
      <c r="G247" s="461"/>
      <c r="S247" s="188"/>
    </row>
    <row r="248" spans="1:22" ht="60" customHeight="1" x14ac:dyDescent="0.25">
      <c r="F248" s="461"/>
      <c r="G248" s="461"/>
      <c r="S248" s="188"/>
    </row>
    <row r="249" spans="1:22" ht="60" customHeight="1" x14ac:dyDescent="0.25">
      <c r="F249" s="461"/>
      <c r="G249" s="461"/>
      <c r="S249" s="188"/>
    </row>
    <row r="250" spans="1:22" ht="60" customHeight="1" x14ac:dyDescent="0.25">
      <c r="F250" s="461"/>
      <c r="G250" s="461"/>
      <c r="S250" s="188"/>
    </row>
    <row r="251" spans="1:22" ht="60" customHeight="1" x14ac:dyDescent="0.25">
      <c r="F251" s="461"/>
      <c r="G251" s="461"/>
      <c r="S251" s="188"/>
    </row>
    <row r="252" spans="1:22" ht="60" customHeight="1" x14ac:dyDescent="0.25">
      <c r="F252" s="461"/>
      <c r="G252" s="461"/>
      <c r="S252" s="188"/>
    </row>
    <row r="253" spans="1:22" ht="60" customHeight="1" x14ac:dyDescent="0.25">
      <c r="F253" s="461"/>
      <c r="G253" s="461"/>
      <c r="S253" s="188"/>
    </row>
    <row r="254" spans="1:22" ht="60" customHeight="1" x14ac:dyDescent="0.25">
      <c r="F254" s="461"/>
      <c r="G254" s="461"/>
      <c r="S254" s="188"/>
    </row>
    <row r="255" spans="1:22" ht="60" customHeight="1" x14ac:dyDescent="0.25">
      <c r="S255" s="188"/>
    </row>
    <row r="256" spans="1:22" ht="60" customHeight="1" x14ac:dyDescent="0.25">
      <c r="S256" s="188"/>
    </row>
    <row r="257" spans="19:19" ht="60" customHeight="1" x14ac:dyDescent="0.25">
      <c r="S257" s="188"/>
    </row>
    <row r="258" spans="19:19" ht="60" customHeight="1" x14ac:dyDescent="0.25">
      <c r="S258" s="188"/>
    </row>
    <row r="259" spans="19:19" ht="60" customHeight="1" x14ac:dyDescent="0.25">
      <c r="S259" s="188"/>
    </row>
    <row r="260" spans="19:19" ht="60" customHeight="1" x14ac:dyDescent="0.25">
      <c r="S260" s="188"/>
    </row>
    <row r="261" spans="19:19" ht="60" customHeight="1" x14ac:dyDescent="0.25">
      <c r="S261" s="188"/>
    </row>
    <row r="262" spans="19:19" ht="60" customHeight="1" x14ac:dyDescent="0.25">
      <c r="S262" s="188"/>
    </row>
    <row r="263" spans="19:19" ht="60" customHeight="1" x14ac:dyDescent="0.25">
      <c r="S263" s="188"/>
    </row>
    <row r="264" spans="19:19" ht="60" customHeight="1" x14ac:dyDescent="0.25">
      <c r="S264" s="188"/>
    </row>
    <row r="265" spans="19:19" ht="60" customHeight="1" x14ac:dyDescent="0.25">
      <c r="S265" s="188"/>
    </row>
    <row r="266" spans="19:19" ht="60" customHeight="1" x14ac:dyDescent="0.25">
      <c r="S266" s="188"/>
    </row>
    <row r="267" spans="19:19" ht="60" customHeight="1" x14ac:dyDescent="0.25">
      <c r="S267" s="188"/>
    </row>
    <row r="268" spans="19:19" ht="60" customHeight="1" x14ac:dyDescent="0.25">
      <c r="S268" s="188"/>
    </row>
    <row r="269" spans="19:19" ht="60" customHeight="1" x14ac:dyDescent="0.25">
      <c r="S269" s="188"/>
    </row>
    <row r="270" spans="19:19" ht="60" customHeight="1" x14ac:dyDescent="0.25">
      <c r="S270" s="188"/>
    </row>
    <row r="271" spans="19:19" ht="60" customHeight="1" x14ac:dyDescent="0.25">
      <c r="S271" s="188"/>
    </row>
    <row r="272" spans="19:19" ht="60" customHeight="1" x14ac:dyDescent="0.25">
      <c r="S272" s="188"/>
    </row>
    <row r="273" spans="19:19" ht="60" customHeight="1" x14ac:dyDescent="0.25">
      <c r="S273" s="188"/>
    </row>
    <row r="274" spans="19:19" ht="60" customHeight="1" x14ac:dyDescent="0.25">
      <c r="S274" s="188"/>
    </row>
    <row r="275" spans="19:19" ht="60" customHeight="1" x14ac:dyDescent="0.25">
      <c r="S275" s="188"/>
    </row>
    <row r="276" spans="19:19" ht="60" customHeight="1" x14ac:dyDescent="0.25">
      <c r="S276" s="188"/>
    </row>
    <row r="277" spans="19:19" ht="60" customHeight="1" x14ac:dyDescent="0.25">
      <c r="S277" s="188"/>
    </row>
    <row r="278" spans="19:19" ht="60" customHeight="1" x14ac:dyDescent="0.25">
      <c r="S278" s="188"/>
    </row>
    <row r="279" spans="19:19" ht="60" customHeight="1" x14ac:dyDescent="0.25">
      <c r="S279" s="188"/>
    </row>
    <row r="280" spans="19:19" ht="60" customHeight="1" x14ac:dyDescent="0.25">
      <c r="S280" s="188"/>
    </row>
    <row r="281" spans="19:19" ht="60" customHeight="1" x14ac:dyDescent="0.25">
      <c r="S281" s="188"/>
    </row>
    <row r="282" spans="19:19" ht="60" customHeight="1" x14ac:dyDescent="0.25">
      <c r="S282" s="188"/>
    </row>
    <row r="283" spans="19:19" ht="60" customHeight="1" x14ac:dyDescent="0.25">
      <c r="S283" s="188"/>
    </row>
    <row r="284" spans="19:19" ht="60" customHeight="1" x14ac:dyDescent="0.25">
      <c r="S284" s="188"/>
    </row>
    <row r="285" spans="19:19" ht="60" customHeight="1" x14ac:dyDescent="0.25">
      <c r="S285" s="188"/>
    </row>
    <row r="286" spans="19:19" ht="60" customHeight="1" x14ac:dyDescent="0.25">
      <c r="S286" s="188"/>
    </row>
    <row r="287" spans="19:19" ht="60" customHeight="1" x14ac:dyDescent="0.25">
      <c r="S287" s="188"/>
    </row>
    <row r="288" spans="19:19" ht="60" customHeight="1" x14ac:dyDescent="0.25">
      <c r="S288" s="188"/>
    </row>
    <row r="289" spans="19:19" ht="60" customHeight="1" x14ac:dyDescent="0.25">
      <c r="S289" s="188"/>
    </row>
    <row r="290" spans="19:19" ht="60" customHeight="1" x14ac:dyDescent="0.25">
      <c r="S290" s="188"/>
    </row>
    <row r="291" spans="19:19" ht="60" customHeight="1" x14ac:dyDescent="0.25">
      <c r="S291" s="188"/>
    </row>
    <row r="292" spans="19:19" ht="60" customHeight="1" x14ac:dyDescent="0.25">
      <c r="S292" s="188"/>
    </row>
    <row r="293" spans="19:19" ht="60" customHeight="1" x14ac:dyDescent="0.25">
      <c r="S293" s="188"/>
    </row>
    <row r="294" spans="19:19" ht="60" customHeight="1" x14ac:dyDescent="0.25">
      <c r="S294" s="188"/>
    </row>
    <row r="295" spans="19:19" ht="60" customHeight="1" x14ac:dyDescent="0.25">
      <c r="S295" s="188"/>
    </row>
    <row r="296" spans="19:19" ht="60" customHeight="1" x14ac:dyDescent="0.25">
      <c r="S296" s="188"/>
    </row>
    <row r="297" spans="19:19" ht="60" customHeight="1" x14ac:dyDescent="0.25">
      <c r="S297" s="188"/>
    </row>
    <row r="298" spans="19:19" ht="60" customHeight="1" x14ac:dyDescent="0.25">
      <c r="S298" s="188"/>
    </row>
    <row r="299" spans="19:19" ht="60" customHeight="1" x14ac:dyDescent="0.25">
      <c r="S299" s="188"/>
    </row>
    <row r="300" spans="19:19" ht="60" customHeight="1" x14ac:dyDescent="0.25">
      <c r="S300" s="188"/>
    </row>
    <row r="301" spans="19:19" ht="60" customHeight="1" x14ac:dyDescent="0.25">
      <c r="S301" s="188"/>
    </row>
    <row r="302" spans="19:19" ht="60" customHeight="1" x14ac:dyDescent="0.25">
      <c r="S302" s="188"/>
    </row>
    <row r="303" spans="19:19" ht="60" customHeight="1" x14ac:dyDescent="0.25">
      <c r="S303" s="188"/>
    </row>
    <row r="304" spans="19:19" ht="60" customHeight="1" x14ac:dyDescent="0.25">
      <c r="S304" s="188"/>
    </row>
    <row r="305" spans="19:19" ht="60" customHeight="1" x14ac:dyDescent="0.25">
      <c r="S305" s="188"/>
    </row>
    <row r="306" spans="19:19" ht="60" customHeight="1" x14ac:dyDescent="0.25">
      <c r="S306" s="188"/>
    </row>
    <row r="307" spans="19:19" ht="60" customHeight="1" x14ac:dyDescent="0.25">
      <c r="S307" s="188"/>
    </row>
    <row r="308" spans="19:19" ht="60" customHeight="1" x14ac:dyDescent="0.25">
      <c r="S308" s="188"/>
    </row>
    <row r="309" spans="19:19" ht="60" customHeight="1" x14ac:dyDescent="0.25">
      <c r="S309" s="188"/>
    </row>
    <row r="310" spans="19:19" ht="60" customHeight="1" x14ac:dyDescent="0.25">
      <c r="S310" s="188"/>
    </row>
    <row r="311" spans="19:19" ht="60" customHeight="1" x14ac:dyDescent="0.25">
      <c r="S311" s="188"/>
    </row>
    <row r="312" spans="19:19" ht="60" customHeight="1" x14ac:dyDescent="0.25">
      <c r="S312" s="188"/>
    </row>
    <row r="313" spans="19:19" ht="60" customHeight="1" x14ac:dyDescent="0.25">
      <c r="S313" s="188"/>
    </row>
    <row r="314" spans="19:19" ht="60" customHeight="1" x14ac:dyDescent="0.25">
      <c r="S314" s="188"/>
    </row>
    <row r="315" spans="19:19" ht="60" customHeight="1" x14ac:dyDescent="0.25">
      <c r="S315" s="188"/>
    </row>
    <row r="316" spans="19:19" ht="60" customHeight="1" x14ac:dyDescent="0.25">
      <c r="S316" s="188"/>
    </row>
    <row r="317" spans="19:19" ht="60" customHeight="1" x14ac:dyDescent="0.25">
      <c r="S317" s="188"/>
    </row>
    <row r="318" spans="19:19" ht="60" customHeight="1" x14ac:dyDescent="0.25">
      <c r="S318" s="188"/>
    </row>
    <row r="319" spans="19:19" ht="60" customHeight="1" x14ac:dyDescent="0.25">
      <c r="S319" s="188"/>
    </row>
    <row r="320" spans="19:19" ht="60" customHeight="1" x14ac:dyDescent="0.25">
      <c r="S320" s="188"/>
    </row>
    <row r="321" spans="19:19" ht="60" customHeight="1" x14ac:dyDescent="0.25">
      <c r="S321" s="188"/>
    </row>
    <row r="322" spans="19:19" ht="60" customHeight="1" x14ac:dyDescent="0.25">
      <c r="S322" s="188"/>
    </row>
    <row r="323" spans="19:19" ht="60" customHeight="1" x14ac:dyDescent="0.25">
      <c r="S323" s="188"/>
    </row>
    <row r="324" spans="19:19" ht="60" customHeight="1" x14ac:dyDescent="0.25">
      <c r="S324" s="188"/>
    </row>
    <row r="325" spans="19:19" ht="60" customHeight="1" x14ac:dyDescent="0.25">
      <c r="S325" s="188"/>
    </row>
    <row r="326" spans="19:19" ht="60" customHeight="1" x14ac:dyDescent="0.25">
      <c r="S326" s="188"/>
    </row>
    <row r="327" spans="19:19" ht="60" customHeight="1" x14ac:dyDescent="0.25">
      <c r="S327" s="188"/>
    </row>
    <row r="328" spans="19:19" ht="60" customHeight="1" x14ac:dyDescent="0.25">
      <c r="S328" s="188"/>
    </row>
    <row r="329" spans="19:19" ht="60" customHeight="1" x14ac:dyDescent="0.25">
      <c r="S329" s="188"/>
    </row>
    <row r="330" spans="19:19" ht="60" customHeight="1" x14ac:dyDescent="0.25">
      <c r="S330" s="188"/>
    </row>
    <row r="331" spans="19:19" ht="60" customHeight="1" x14ac:dyDescent="0.25">
      <c r="S331" s="188"/>
    </row>
    <row r="332" spans="19:19" ht="60" customHeight="1" x14ac:dyDescent="0.25">
      <c r="S332" s="188"/>
    </row>
    <row r="333" spans="19:19" ht="60" customHeight="1" x14ac:dyDescent="0.25">
      <c r="S333" s="188"/>
    </row>
    <row r="334" spans="19:19" ht="60" customHeight="1" x14ac:dyDescent="0.25">
      <c r="S334" s="188"/>
    </row>
    <row r="335" spans="19:19" ht="60" customHeight="1" x14ac:dyDescent="0.25">
      <c r="S335" s="188"/>
    </row>
    <row r="336" spans="19:19" ht="60" customHeight="1" x14ac:dyDescent="0.25">
      <c r="S336" s="188"/>
    </row>
    <row r="337" spans="19:19" ht="60" customHeight="1" x14ac:dyDescent="0.25">
      <c r="S337" s="188"/>
    </row>
    <row r="338" spans="19:19" ht="60" customHeight="1" x14ac:dyDescent="0.25">
      <c r="S338" s="188"/>
    </row>
    <row r="339" spans="19:19" ht="60" customHeight="1" x14ac:dyDescent="0.25">
      <c r="S339" s="188"/>
    </row>
    <row r="340" spans="19:19" ht="60" customHeight="1" x14ac:dyDescent="0.25">
      <c r="S340" s="188"/>
    </row>
    <row r="341" spans="19:19" ht="60" customHeight="1" x14ac:dyDescent="0.25">
      <c r="S341" s="188"/>
    </row>
    <row r="342" spans="19:19" ht="60" customHeight="1" x14ac:dyDescent="0.25">
      <c r="S342" s="188"/>
    </row>
    <row r="343" spans="19:19" ht="60" customHeight="1" x14ac:dyDescent="0.25">
      <c r="S343" s="188"/>
    </row>
    <row r="344" spans="19:19" ht="60" customHeight="1" x14ac:dyDescent="0.25">
      <c r="S344" s="188"/>
    </row>
    <row r="345" spans="19:19" ht="60" customHeight="1" x14ac:dyDescent="0.25">
      <c r="S345" s="188"/>
    </row>
    <row r="346" spans="19:19" ht="60" customHeight="1" x14ac:dyDescent="0.25">
      <c r="S346" s="188"/>
    </row>
    <row r="347" spans="19:19" ht="60" customHeight="1" x14ac:dyDescent="0.25">
      <c r="S347" s="188"/>
    </row>
    <row r="348" spans="19:19" ht="60" customHeight="1" x14ac:dyDescent="0.25">
      <c r="S348" s="188"/>
    </row>
    <row r="349" spans="19:19" ht="60" customHeight="1" x14ac:dyDescent="0.25">
      <c r="S349" s="188"/>
    </row>
    <row r="350" spans="19:19" ht="60" customHeight="1" x14ac:dyDescent="0.25">
      <c r="S350" s="188"/>
    </row>
    <row r="351" spans="19:19" ht="60" customHeight="1" x14ac:dyDescent="0.25">
      <c r="S351" s="188"/>
    </row>
    <row r="352" spans="19:19" ht="60" customHeight="1" x14ac:dyDescent="0.25">
      <c r="S352" s="188"/>
    </row>
    <row r="353" spans="19:19" ht="60" customHeight="1" x14ac:dyDescent="0.25">
      <c r="S353" s="188"/>
    </row>
    <row r="354" spans="19:19" ht="60" customHeight="1" x14ac:dyDescent="0.25">
      <c r="S354" s="188"/>
    </row>
    <row r="355" spans="19:19" ht="60" customHeight="1" x14ac:dyDescent="0.25">
      <c r="S355" s="188"/>
    </row>
    <row r="356" spans="19:19" ht="60" customHeight="1" x14ac:dyDescent="0.25">
      <c r="S356" s="188"/>
    </row>
    <row r="357" spans="19:19" ht="60" customHeight="1" x14ac:dyDescent="0.25">
      <c r="S357" s="188"/>
    </row>
    <row r="358" spans="19:19" ht="60" customHeight="1" x14ac:dyDescent="0.25">
      <c r="S358" s="188"/>
    </row>
    <row r="359" spans="19:19" ht="60" customHeight="1" x14ac:dyDescent="0.25">
      <c r="S359" s="188"/>
    </row>
    <row r="360" spans="19:19" ht="60" customHeight="1" x14ac:dyDescent="0.25">
      <c r="S360" s="188"/>
    </row>
    <row r="361" spans="19:19" ht="60" customHeight="1" x14ac:dyDescent="0.25">
      <c r="S361" s="188"/>
    </row>
    <row r="362" spans="19:19" ht="60" customHeight="1" x14ac:dyDescent="0.25">
      <c r="S362" s="188"/>
    </row>
    <row r="363" spans="19:19" ht="60" customHeight="1" x14ac:dyDescent="0.25">
      <c r="S363" s="188"/>
    </row>
    <row r="364" spans="19:19" ht="60" customHeight="1" x14ac:dyDescent="0.25">
      <c r="S364" s="188"/>
    </row>
    <row r="365" spans="19:19" ht="60" customHeight="1" x14ac:dyDescent="0.25">
      <c r="S365" s="188"/>
    </row>
    <row r="366" spans="19:19" ht="60" customHeight="1" x14ac:dyDescent="0.25">
      <c r="S366" s="188"/>
    </row>
    <row r="367" spans="19:19" ht="60" customHeight="1" x14ac:dyDescent="0.25">
      <c r="S367" s="188"/>
    </row>
    <row r="368" spans="19:19" ht="60" customHeight="1" x14ac:dyDescent="0.25">
      <c r="S368" s="188"/>
    </row>
    <row r="369" spans="19:19" ht="60" customHeight="1" x14ac:dyDescent="0.25">
      <c r="S369" s="188"/>
    </row>
    <row r="370" spans="19:19" ht="60" customHeight="1" x14ac:dyDescent="0.25">
      <c r="S370" s="188"/>
    </row>
    <row r="371" spans="19:19" ht="60" customHeight="1" x14ac:dyDescent="0.25">
      <c r="S371" s="188"/>
    </row>
    <row r="372" spans="19:19" ht="60" customHeight="1" x14ac:dyDescent="0.25">
      <c r="S372" s="188"/>
    </row>
    <row r="373" spans="19:19" ht="60" customHeight="1" x14ac:dyDescent="0.25">
      <c r="S373" s="188"/>
    </row>
    <row r="374" spans="19:19" ht="60" customHeight="1" x14ac:dyDescent="0.25">
      <c r="S374" s="188"/>
    </row>
    <row r="375" spans="19:19" ht="60" customHeight="1" x14ac:dyDescent="0.25">
      <c r="S375" s="188"/>
    </row>
    <row r="376" spans="19:19" ht="60" customHeight="1" x14ac:dyDescent="0.25">
      <c r="S376" s="188"/>
    </row>
    <row r="377" spans="19:19" ht="60" customHeight="1" x14ac:dyDescent="0.25">
      <c r="S377" s="188"/>
    </row>
    <row r="378" spans="19:19" ht="60" customHeight="1" x14ac:dyDescent="0.25">
      <c r="S378" s="188"/>
    </row>
    <row r="379" spans="19:19" ht="60" customHeight="1" x14ac:dyDescent="0.25">
      <c r="S379" s="188"/>
    </row>
    <row r="380" spans="19:19" ht="60" customHeight="1" x14ac:dyDescent="0.25">
      <c r="S380" s="188"/>
    </row>
    <row r="381" spans="19:19" ht="60" customHeight="1" x14ac:dyDescent="0.25">
      <c r="S381" s="188"/>
    </row>
    <row r="382" spans="19:19" ht="60" customHeight="1" x14ac:dyDescent="0.25">
      <c r="S382" s="188"/>
    </row>
    <row r="383" spans="19:19" ht="60" customHeight="1" x14ac:dyDescent="0.25">
      <c r="S383" s="188"/>
    </row>
    <row r="384" spans="19:19" ht="60" customHeight="1" x14ac:dyDescent="0.25">
      <c r="S384" s="188"/>
    </row>
    <row r="385" spans="19:19" ht="60" customHeight="1" x14ac:dyDescent="0.25">
      <c r="S385" s="188"/>
    </row>
    <row r="386" spans="19:19" ht="60" customHeight="1" x14ac:dyDescent="0.25">
      <c r="S386" s="188"/>
    </row>
    <row r="387" spans="19:19" ht="60" customHeight="1" x14ac:dyDescent="0.25">
      <c r="S387" s="188"/>
    </row>
    <row r="388" spans="19:19" ht="60" customHeight="1" x14ac:dyDescent="0.25">
      <c r="S388" s="188"/>
    </row>
    <row r="389" spans="19:19" ht="60" customHeight="1" x14ac:dyDescent="0.25">
      <c r="S389" s="188"/>
    </row>
    <row r="390" spans="19:19" ht="60" customHeight="1" x14ac:dyDescent="0.25">
      <c r="S390" s="188"/>
    </row>
    <row r="391" spans="19:19" ht="60" customHeight="1" x14ac:dyDescent="0.25">
      <c r="S391" s="188"/>
    </row>
    <row r="392" spans="19:19" ht="60" customHeight="1" x14ac:dyDescent="0.25">
      <c r="S392" s="188"/>
    </row>
    <row r="393" spans="19:19" ht="60" customHeight="1" x14ac:dyDescent="0.25">
      <c r="S393" s="188"/>
    </row>
    <row r="394" spans="19:19" ht="60" customHeight="1" x14ac:dyDescent="0.25">
      <c r="S394" s="188"/>
    </row>
    <row r="395" spans="19:19" ht="60" customHeight="1" x14ac:dyDescent="0.25">
      <c r="S395" s="188"/>
    </row>
    <row r="396" spans="19:19" ht="60" customHeight="1" x14ac:dyDescent="0.25">
      <c r="S396" s="188"/>
    </row>
    <row r="397" spans="19:19" ht="60" customHeight="1" x14ac:dyDescent="0.25">
      <c r="S397" s="188"/>
    </row>
    <row r="398" spans="19:19" ht="60" customHeight="1" x14ac:dyDescent="0.25">
      <c r="S398" s="188"/>
    </row>
    <row r="399" spans="19:19" ht="60" customHeight="1" x14ac:dyDescent="0.25">
      <c r="S399" s="188"/>
    </row>
    <row r="400" spans="19:19" ht="60" customHeight="1" x14ac:dyDescent="0.25">
      <c r="S400" s="188"/>
    </row>
    <row r="401" spans="19:19" ht="60" customHeight="1" x14ac:dyDescent="0.25">
      <c r="S401" s="188"/>
    </row>
    <row r="402" spans="19:19" ht="60" customHeight="1" x14ac:dyDescent="0.25">
      <c r="S402" s="188"/>
    </row>
    <row r="403" spans="19:19" ht="60" customHeight="1" x14ac:dyDescent="0.25">
      <c r="S403" s="188"/>
    </row>
    <row r="404" spans="19:19" ht="60" customHeight="1" x14ac:dyDescent="0.25">
      <c r="S404" s="188"/>
    </row>
    <row r="405" spans="19:19" ht="60" customHeight="1" x14ac:dyDescent="0.25">
      <c r="S405" s="188"/>
    </row>
    <row r="406" spans="19:19" ht="60" customHeight="1" x14ac:dyDescent="0.25">
      <c r="S406" s="188"/>
    </row>
    <row r="407" spans="19:19" ht="60" customHeight="1" x14ac:dyDescent="0.25">
      <c r="S407" s="188"/>
    </row>
    <row r="408" spans="19:19" ht="60" customHeight="1" x14ac:dyDescent="0.25">
      <c r="S408" s="188"/>
    </row>
    <row r="409" spans="19:19" ht="60" customHeight="1" x14ac:dyDescent="0.25">
      <c r="S409" s="188"/>
    </row>
    <row r="410" spans="19:19" ht="60" customHeight="1" x14ac:dyDescent="0.25">
      <c r="S410" s="188"/>
    </row>
    <row r="411" spans="19:19" ht="60" customHeight="1" x14ac:dyDescent="0.25">
      <c r="S411" s="188"/>
    </row>
    <row r="412" spans="19:19" ht="60" customHeight="1" x14ac:dyDescent="0.25">
      <c r="S412" s="188"/>
    </row>
    <row r="413" spans="19:19" ht="60" customHeight="1" x14ac:dyDescent="0.25">
      <c r="S413" s="188"/>
    </row>
    <row r="414" spans="19:19" ht="60" customHeight="1" x14ac:dyDescent="0.25">
      <c r="S414" s="188"/>
    </row>
    <row r="415" spans="19:19" ht="60" customHeight="1" x14ac:dyDescent="0.25">
      <c r="S415" s="188"/>
    </row>
    <row r="416" spans="19:19" ht="60" customHeight="1" x14ac:dyDescent="0.25">
      <c r="S416" s="188"/>
    </row>
    <row r="417" spans="19:19" ht="60" customHeight="1" x14ac:dyDescent="0.25">
      <c r="S417" s="188"/>
    </row>
    <row r="418" spans="19:19" ht="60" customHeight="1" x14ac:dyDescent="0.25">
      <c r="S418" s="188"/>
    </row>
    <row r="419" spans="19:19" ht="60" customHeight="1" x14ac:dyDescent="0.25">
      <c r="S419" s="188"/>
    </row>
    <row r="420" spans="19:19" ht="60" customHeight="1" x14ac:dyDescent="0.25">
      <c r="S420" s="188"/>
    </row>
    <row r="421" spans="19:19" ht="60" customHeight="1" x14ac:dyDescent="0.25">
      <c r="S421" s="188"/>
    </row>
    <row r="422" spans="19:19" ht="60" customHeight="1" x14ac:dyDescent="0.25">
      <c r="S422" s="188"/>
    </row>
    <row r="423" spans="19:19" ht="60" customHeight="1" x14ac:dyDescent="0.25">
      <c r="S423" s="188"/>
    </row>
    <row r="424" spans="19:19" ht="60" customHeight="1" x14ac:dyDescent="0.25">
      <c r="S424" s="188"/>
    </row>
    <row r="425" spans="19:19" ht="60" customHeight="1" x14ac:dyDescent="0.25">
      <c r="S425" s="188"/>
    </row>
    <row r="426" spans="19:19" ht="60" customHeight="1" x14ac:dyDescent="0.25">
      <c r="S426" s="188"/>
    </row>
    <row r="427" spans="19:19" ht="60" customHeight="1" x14ac:dyDescent="0.25">
      <c r="S427" s="188"/>
    </row>
    <row r="428" spans="19:19" ht="60" customHeight="1" x14ac:dyDescent="0.25">
      <c r="S428" s="188"/>
    </row>
    <row r="429" spans="19:19" ht="60" customHeight="1" x14ac:dyDescent="0.25">
      <c r="S429" s="188"/>
    </row>
    <row r="430" spans="19:19" ht="60" customHeight="1" x14ac:dyDescent="0.25">
      <c r="S430" s="188"/>
    </row>
    <row r="431" spans="19:19" ht="60" customHeight="1" x14ac:dyDescent="0.25">
      <c r="S431" s="188"/>
    </row>
    <row r="432" spans="19:19" ht="60" customHeight="1" x14ac:dyDescent="0.25">
      <c r="S432" s="188"/>
    </row>
    <row r="433" spans="19:19" ht="60" customHeight="1" x14ac:dyDescent="0.25">
      <c r="S433" s="188"/>
    </row>
    <row r="434" spans="19:19" ht="60" customHeight="1" x14ac:dyDescent="0.25">
      <c r="S434" s="188"/>
    </row>
    <row r="435" spans="19:19" ht="60" customHeight="1" x14ac:dyDescent="0.25">
      <c r="S435" s="188"/>
    </row>
    <row r="436" spans="19:19" ht="60" customHeight="1" x14ac:dyDescent="0.25">
      <c r="S436" s="188"/>
    </row>
    <row r="437" spans="19:19" ht="60" customHeight="1" x14ac:dyDescent="0.25">
      <c r="S437" s="188"/>
    </row>
    <row r="438" spans="19:19" ht="60" customHeight="1" x14ac:dyDescent="0.25">
      <c r="S438" s="188"/>
    </row>
    <row r="439" spans="19:19" ht="60" customHeight="1" x14ac:dyDescent="0.25">
      <c r="S439" s="188"/>
    </row>
    <row r="440" spans="19:19" ht="60" customHeight="1" x14ac:dyDescent="0.25">
      <c r="S440" s="188"/>
    </row>
    <row r="441" spans="19:19" ht="60" customHeight="1" x14ac:dyDescent="0.25">
      <c r="S441" s="188"/>
    </row>
    <row r="442" spans="19:19" ht="60" customHeight="1" x14ac:dyDescent="0.25">
      <c r="S442" s="188"/>
    </row>
    <row r="443" spans="19:19" ht="60" customHeight="1" x14ac:dyDescent="0.25">
      <c r="S443" s="188"/>
    </row>
    <row r="444" spans="19:19" ht="60" customHeight="1" x14ac:dyDescent="0.25">
      <c r="S444" s="188"/>
    </row>
    <row r="445" spans="19:19" ht="60" customHeight="1" x14ac:dyDescent="0.25">
      <c r="S445" s="188"/>
    </row>
    <row r="446" spans="19:19" ht="60" customHeight="1" x14ac:dyDescent="0.25">
      <c r="S446" s="188"/>
    </row>
    <row r="447" spans="19:19" ht="60" customHeight="1" x14ac:dyDescent="0.25">
      <c r="S447" s="188"/>
    </row>
    <row r="448" spans="19:19" ht="60" customHeight="1" x14ac:dyDescent="0.25">
      <c r="S448" s="188"/>
    </row>
    <row r="449" spans="19:19" ht="60" customHeight="1" x14ac:dyDescent="0.25">
      <c r="S449" s="188"/>
    </row>
    <row r="450" spans="19:19" ht="60" customHeight="1" x14ac:dyDescent="0.25">
      <c r="S450" s="188"/>
    </row>
    <row r="451" spans="19:19" ht="60" customHeight="1" x14ac:dyDescent="0.25">
      <c r="S451" s="188"/>
    </row>
    <row r="452" spans="19:19" ht="60" customHeight="1" x14ac:dyDescent="0.25">
      <c r="S452" s="188"/>
    </row>
    <row r="453" spans="19:19" ht="60" customHeight="1" x14ac:dyDescent="0.25">
      <c r="S453" s="188"/>
    </row>
    <row r="454" spans="19:19" ht="60" customHeight="1" x14ac:dyDescent="0.25">
      <c r="S454" s="188"/>
    </row>
    <row r="455" spans="19:19" ht="60" customHeight="1" x14ac:dyDescent="0.25">
      <c r="S455" s="188"/>
    </row>
    <row r="456" spans="19:19" ht="60" customHeight="1" x14ac:dyDescent="0.25">
      <c r="S456" s="188"/>
    </row>
    <row r="457" spans="19:19" ht="60" customHeight="1" x14ac:dyDescent="0.25">
      <c r="S457" s="188"/>
    </row>
    <row r="458" spans="19:19" ht="60" customHeight="1" x14ac:dyDescent="0.25">
      <c r="S458" s="188"/>
    </row>
    <row r="459" spans="19:19" ht="60" customHeight="1" x14ac:dyDescent="0.25">
      <c r="S459" s="188"/>
    </row>
    <row r="460" spans="19:19" ht="60" customHeight="1" x14ac:dyDescent="0.25">
      <c r="S460" s="188"/>
    </row>
    <row r="461" spans="19:19" ht="60" customHeight="1" x14ac:dyDescent="0.25">
      <c r="S461" s="188"/>
    </row>
    <row r="462" spans="19:19" ht="60" customHeight="1" x14ac:dyDescent="0.25">
      <c r="S462" s="188"/>
    </row>
    <row r="463" spans="19:19" ht="60" customHeight="1" x14ac:dyDescent="0.25">
      <c r="S463" s="188"/>
    </row>
    <row r="464" spans="19:19" ht="60" customHeight="1" x14ac:dyDescent="0.25">
      <c r="S464" s="188"/>
    </row>
    <row r="465" spans="19:19" ht="60" customHeight="1" x14ac:dyDescent="0.25">
      <c r="S465" s="188"/>
    </row>
    <row r="466" spans="19:19" ht="60" customHeight="1" x14ac:dyDescent="0.25">
      <c r="S466" s="188"/>
    </row>
    <row r="467" spans="19:19" ht="60" customHeight="1" x14ac:dyDescent="0.25">
      <c r="S467" s="188"/>
    </row>
    <row r="468" spans="19:19" ht="60" customHeight="1" x14ac:dyDescent="0.25">
      <c r="S468" s="188"/>
    </row>
    <row r="469" spans="19:19" ht="60" customHeight="1" x14ac:dyDescent="0.25">
      <c r="S469" s="188"/>
    </row>
    <row r="470" spans="19:19" ht="60" customHeight="1" x14ac:dyDescent="0.25">
      <c r="S470" s="188"/>
    </row>
    <row r="471" spans="19:19" ht="60" customHeight="1" x14ac:dyDescent="0.25">
      <c r="S471" s="188"/>
    </row>
    <row r="472" spans="19:19" ht="60" customHeight="1" x14ac:dyDescent="0.25">
      <c r="S472" s="188"/>
    </row>
    <row r="473" spans="19:19" ht="60" customHeight="1" x14ac:dyDescent="0.25">
      <c r="S473" s="188"/>
    </row>
    <row r="474" spans="19:19" ht="60" customHeight="1" x14ac:dyDescent="0.25">
      <c r="S474" s="188"/>
    </row>
    <row r="475" spans="19:19" ht="60" customHeight="1" x14ac:dyDescent="0.25">
      <c r="S475" s="188"/>
    </row>
    <row r="476" spans="19:19" ht="60" customHeight="1" x14ac:dyDescent="0.25">
      <c r="S476" s="188"/>
    </row>
    <row r="477" spans="19:19" ht="60" customHeight="1" x14ac:dyDescent="0.25">
      <c r="S477" s="188"/>
    </row>
    <row r="478" spans="19:19" ht="60" customHeight="1" x14ac:dyDescent="0.25">
      <c r="S478" s="188"/>
    </row>
    <row r="479" spans="19:19" ht="60" customHeight="1" x14ac:dyDescent="0.25">
      <c r="S479" s="188"/>
    </row>
    <row r="480" spans="19:19" ht="60" customHeight="1" x14ac:dyDescent="0.25">
      <c r="S480" s="188"/>
    </row>
    <row r="481" spans="19:19" ht="60" customHeight="1" x14ac:dyDescent="0.25">
      <c r="S481" s="188"/>
    </row>
    <row r="482" spans="19:19" ht="60" customHeight="1" x14ac:dyDescent="0.25">
      <c r="S482" s="188"/>
    </row>
    <row r="483" spans="19:19" ht="60" customHeight="1" x14ac:dyDescent="0.25">
      <c r="S483" s="188"/>
    </row>
    <row r="484" spans="19:19" ht="60" customHeight="1" x14ac:dyDescent="0.25">
      <c r="S484" s="188"/>
    </row>
    <row r="485" spans="19:19" ht="60" customHeight="1" x14ac:dyDescent="0.25">
      <c r="S485" s="188"/>
    </row>
    <row r="486" spans="19:19" ht="60" customHeight="1" x14ac:dyDescent="0.25">
      <c r="S486" s="188"/>
    </row>
    <row r="487" spans="19:19" ht="60" customHeight="1" x14ac:dyDescent="0.25">
      <c r="S487" s="188"/>
    </row>
    <row r="488" spans="19:19" ht="60" customHeight="1" x14ac:dyDescent="0.25">
      <c r="S488" s="188"/>
    </row>
    <row r="489" spans="19:19" ht="60" customHeight="1" x14ac:dyDescent="0.25">
      <c r="S489" s="188"/>
    </row>
    <row r="490" spans="19:19" ht="60" customHeight="1" x14ac:dyDescent="0.25">
      <c r="S490" s="188"/>
    </row>
    <row r="491" spans="19:19" ht="60" customHeight="1" x14ac:dyDescent="0.25">
      <c r="S491" s="188"/>
    </row>
    <row r="492" spans="19:19" ht="60" customHeight="1" x14ac:dyDescent="0.25">
      <c r="S492" s="188"/>
    </row>
    <row r="493" spans="19:19" ht="60" customHeight="1" x14ac:dyDescent="0.25">
      <c r="S493" s="188"/>
    </row>
    <row r="494" spans="19:19" ht="60" customHeight="1" x14ac:dyDescent="0.25">
      <c r="S494" s="188"/>
    </row>
    <row r="495" spans="19:19" ht="60" customHeight="1" x14ac:dyDescent="0.25">
      <c r="S495" s="188"/>
    </row>
    <row r="496" spans="19:19" ht="60" customHeight="1" x14ac:dyDescent="0.25">
      <c r="S496" s="188"/>
    </row>
    <row r="497" spans="19:19" ht="60" customHeight="1" x14ac:dyDescent="0.25">
      <c r="S497" s="188"/>
    </row>
    <row r="498" spans="19:19" ht="60" customHeight="1" x14ac:dyDescent="0.25">
      <c r="S498" s="188"/>
    </row>
    <row r="499" spans="19:19" ht="60" customHeight="1" x14ac:dyDescent="0.25">
      <c r="S499" s="188"/>
    </row>
    <row r="500" spans="19:19" ht="60" customHeight="1" x14ac:dyDescent="0.25">
      <c r="S500" s="188"/>
    </row>
    <row r="501" spans="19:19" ht="60" customHeight="1" x14ac:dyDescent="0.25">
      <c r="S501" s="188"/>
    </row>
    <row r="502" spans="19:19" ht="60" customHeight="1" x14ac:dyDescent="0.25">
      <c r="S502" s="188"/>
    </row>
    <row r="503" spans="19:19" ht="60" customHeight="1" x14ac:dyDescent="0.25">
      <c r="S503" s="188"/>
    </row>
    <row r="504" spans="19:19" ht="60" customHeight="1" x14ac:dyDescent="0.25">
      <c r="S504" s="188"/>
    </row>
    <row r="505" spans="19:19" ht="60" customHeight="1" x14ac:dyDescent="0.25">
      <c r="S505" s="188"/>
    </row>
    <row r="506" spans="19:19" ht="60" customHeight="1" x14ac:dyDescent="0.25">
      <c r="S506" s="188"/>
    </row>
    <row r="507" spans="19:19" ht="60" customHeight="1" x14ac:dyDescent="0.25">
      <c r="S507" s="188"/>
    </row>
    <row r="508" spans="19:19" ht="60" customHeight="1" x14ac:dyDescent="0.25">
      <c r="S508" s="188"/>
    </row>
    <row r="509" spans="19:19" ht="60" customHeight="1" x14ac:dyDescent="0.25">
      <c r="S509" s="188"/>
    </row>
    <row r="510" spans="19:19" ht="60" customHeight="1" x14ac:dyDescent="0.25">
      <c r="S510" s="188"/>
    </row>
    <row r="511" spans="19:19" ht="60" customHeight="1" x14ac:dyDescent="0.25">
      <c r="S511" s="188"/>
    </row>
    <row r="512" spans="19:19" ht="60" customHeight="1" x14ac:dyDescent="0.25">
      <c r="S512" s="188"/>
    </row>
    <row r="513" spans="19:19" ht="60" customHeight="1" x14ac:dyDescent="0.25">
      <c r="S513" s="188"/>
    </row>
    <row r="514" spans="19:19" ht="60" customHeight="1" x14ac:dyDescent="0.25">
      <c r="S514" s="188"/>
    </row>
    <row r="515" spans="19:19" ht="60" customHeight="1" x14ac:dyDescent="0.25">
      <c r="S515" s="188"/>
    </row>
    <row r="516" spans="19:19" ht="60" customHeight="1" x14ac:dyDescent="0.25">
      <c r="S516" s="188"/>
    </row>
    <row r="517" spans="19:19" ht="60" customHeight="1" x14ac:dyDescent="0.25">
      <c r="S517" s="188"/>
    </row>
    <row r="518" spans="19:19" ht="60" customHeight="1" x14ac:dyDescent="0.25">
      <c r="S518" s="188"/>
    </row>
    <row r="519" spans="19:19" ht="60" customHeight="1" x14ac:dyDescent="0.25">
      <c r="S519" s="188"/>
    </row>
    <row r="520" spans="19:19" ht="60" customHeight="1" x14ac:dyDescent="0.25">
      <c r="S520" s="188"/>
    </row>
    <row r="521" spans="19:19" ht="60" customHeight="1" x14ac:dyDescent="0.25">
      <c r="S521" s="188"/>
    </row>
    <row r="522" spans="19:19" ht="60" customHeight="1" x14ac:dyDescent="0.25">
      <c r="S522" s="188"/>
    </row>
    <row r="523" spans="19:19" ht="60" customHeight="1" x14ac:dyDescent="0.25">
      <c r="S523" s="188"/>
    </row>
    <row r="524" spans="19:19" ht="60" customHeight="1" x14ac:dyDescent="0.25">
      <c r="S524" s="188"/>
    </row>
    <row r="525" spans="19:19" ht="60" customHeight="1" x14ac:dyDescent="0.25">
      <c r="S525" s="188"/>
    </row>
    <row r="526" spans="19:19" ht="60" customHeight="1" x14ac:dyDescent="0.25">
      <c r="S526" s="188"/>
    </row>
    <row r="527" spans="19:19" ht="60" customHeight="1" x14ac:dyDescent="0.25">
      <c r="S527" s="188"/>
    </row>
    <row r="528" spans="19:19" ht="60" customHeight="1" x14ac:dyDescent="0.25">
      <c r="S528" s="188"/>
    </row>
    <row r="529" spans="19:19" ht="60" customHeight="1" x14ac:dyDescent="0.25">
      <c r="S529" s="188"/>
    </row>
    <row r="530" spans="19:19" ht="60" customHeight="1" x14ac:dyDescent="0.25">
      <c r="S530" s="188"/>
    </row>
    <row r="531" spans="19:19" ht="60" customHeight="1" x14ac:dyDescent="0.25">
      <c r="S531" s="188"/>
    </row>
    <row r="532" spans="19:19" ht="60" customHeight="1" x14ac:dyDescent="0.25">
      <c r="S532" s="188"/>
    </row>
    <row r="533" spans="19:19" ht="60" customHeight="1" x14ac:dyDescent="0.25">
      <c r="S533" s="188"/>
    </row>
    <row r="534" spans="19:19" ht="60" customHeight="1" x14ac:dyDescent="0.25">
      <c r="S534" s="188"/>
    </row>
    <row r="535" spans="19:19" ht="60" customHeight="1" x14ac:dyDescent="0.25">
      <c r="S535" s="188"/>
    </row>
    <row r="536" spans="19:19" ht="60" customHeight="1" x14ac:dyDescent="0.25">
      <c r="S536" s="188"/>
    </row>
    <row r="537" spans="19:19" ht="60" customHeight="1" x14ac:dyDescent="0.25">
      <c r="S537" s="188"/>
    </row>
    <row r="538" spans="19:19" ht="60" customHeight="1" x14ac:dyDescent="0.25">
      <c r="S538" s="188"/>
    </row>
    <row r="539" spans="19:19" ht="60" customHeight="1" x14ac:dyDescent="0.25">
      <c r="S539" s="188"/>
    </row>
    <row r="540" spans="19:19" ht="60" customHeight="1" x14ac:dyDescent="0.25">
      <c r="S540" s="188"/>
    </row>
    <row r="541" spans="19:19" ht="60" customHeight="1" x14ac:dyDescent="0.25">
      <c r="S541" s="188"/>
    </row>
    <row r="542" spans="19:19" ht="60" customHeight="1" x14ac:dyDescent="0.25">
      <c r="S542" s="188"/>
    </row>
    <row r="543" spans="19:19" ht="60" customHeight="1" x14ac:dyDescent="0.25">
      <c r="S543" s="188"/>
    </row>
    <row r="544" spans="19:19" ht="60" customHeight="1" x14ac:dyDescent="0.25">
      <c r="S544" s="188"/>
    </row>
    <row r="545" spans="19:19" ht="60" customHeight="1" x14ac:dyDescent="0.25">
      <c r="S545" s="188"/>
    </row>
    <row r="546" spans="19:19" ht="60" customHeight="1" x14ac:dyDescent="0.25">
      <c r="S546" s="188"/>
    </row>
    <row r="547" spans="19:19" ht="60" customHeight="1" x14ac:dyDescent="0.25">
      <c r="S547" s="188"/>
    </row>
    <row r="548" spans="19:19" ht="60" customHeight="1" x14ac:dyDescent="0.25">
      <c r="S548" s="188"/>
    </row>
    <row r="549" spans="19:19" ht="60" customHeight="1" x14ac:dyDescent="0.25">
      <c r="S549" s="188"/>
    </row>
    <row r="550" spans="19:19" ht="60" customHeight="1" x14ac:dyDescent="0.25">
      <c r="S550" s="188"/>
    </row>
    <row r="551" spans="19:19" ht="60" customHeight="1" x14ac:dyDescent="0.25">
      <c r="S551" s="188"/>
    </row>
    <row r="552" spans="19:19" ht="60" customHeight="1" x14ac:dyDescent="0.25">
      <c r="S552" s="188"/>
    </row>
    <row r="553" spans="19:19" ht="60" customHeight="1" x14ac:dyDescent="0.25">
      <c r="S553" s="188"/>
    </row>
    <row r="554" spans="19:19" ht="60" customHeight="1" x14ac:dyDescent="0.25">
      <c r="S554" s="188"/>
    </row>
    <row r="555" spans="19:19" ht="60" customHeight="1" x14ac:dyDescent="0.25">
      <c r="S555" s="188"/>
    </row>
    <row r="556" spans="19:19" ht="60" customHeight="1" x14ac:dyDescent="0.25">
      <c r="S556" s="188"/>
    </row>
    <row r="557" spans="19:19" ht="60" customHeight="1" x14ac:dyDescent="0.25">
      <c r="S557" s="188"/>
    </row>
    <row r="558" spans="19:19" ht="60" customHeight="1" x14ac:dyDescent="0.25">
      <c r="S558" s="188"/>
    </row>
    <row r="559" spans="19:19" ht="60" customHeight="1" x14ac:dyDescent="0.25">
      <c r="S559" s="188"/>
    </row>
    <row r="560" spans="19:19" ht="60" customHeight="1" x14ac:dyDescent="0.25">
      <c r="S560" s="188"/>
    </row>
    <row r="561" spans="19:19" ht="60" customHeight="1" x14ac:dyDescent="0.25">
      <c r="S561" s="188"/>
    </row>
    <row r="562" spans="19:19" ht="60" customHeight="1" x14ac:dyDescent="0.25">
      <c r="S562" s="188"/>
    </row>
    <row r="563" spans="19:19" ht="60" customHeight="1" x14ac:dyDescent="0.25">
      <c r="S563" s="188"/>
    </row>
    <row r="564" spans="19:19" ht="60" customHeight="1" x14ac:dyDescent="0.25">
      <c r="S564" s="188"/>
    </row>
    <row r="565" spans="19:19" ht="60" customHeight="1" x14ac:dyDescent="0.25">
      <c r="S565" s="188"/>
    </row>
    <row r="566" spans="19:19" ht="60" customHeight="1" x14ac:dyDescent="0.25">
      <c r="S566" s="188"/>
    </row>
    <row r="567" spans="19:19" ht="60" customHeight="1" x14ac:dyDescent="0.25">
      <c r="S567" s="188"/>
    </row>
    <row r="568" spans="19:19" ht="60" customHeight="1" x14ac:dyDescent="0.25">
      <c r="S568" s="188"/>
    </row>
    <row r="569" spans="19:19" ht="60" customHeight="1" x14ac:dyDescent="0.25">
      <c r="S569" s="188"/>
    </row>
    <row r="570" spans="19:19" ht="60" customHeight="1" x14ac:dyDescent="0.25">
      <c r="S570" s="188"/>
    </row>
    <row r="571" spans="19:19" ht="60" customHeight="1" x14ac:dyDescent="0.25">
      <c r="S571" s="188"/>
    </row>
    <row r="572" spans="19:19" ht="60" customHeight="1" x14ac:dyDescent="0.25">
      <c r="S572" s="188"/>
    </row>
    <row r="573" spans="19:19" ht="60" customHeight="1" x14ac:dyDescent="0.25">
      <c r="S573" s="188"/>
    </row>
    <row r="574" spans="19:19" ht="60" customHeight="1" x14ac:dyDescent="0.25">
      <c r="S574" s="188"/>
    </row>
    <row r="575" spans="19:19" ht="60" customHeight="1" x14ac:dyDescent="0.25">
      <c r="S575" s="188"/>
    </row>
    <row r="576" spans="19:19" ht="60" customHeight="1" x14ac:dyDescent="0.25">
      <c r="S576" s="188"/>
    </row>
    <row r="577" spans="19:19" ht="60" customHeight="1" x14ac:dyDescent="0.25">
      <c r="S577" s="188"/>
    </row>
    <row r="578" spans="19:19" ht="60" customHeight="1" x14ac:dyDescent="0.25">
      <c r="S578" s="188"/>
    </row>
    <row r="579" spans="19:19" ht="60" customHeight="1" x14ac:dyDescent="0.25">
      <c r="S579" s="188"/>
    </row>
    <row r="580" spans="19:19" ht="60" customHeight="1" x14ac:dyDescent="0.25">
      <c r="S580" s="188"/>
    </row>
    <row r="581" spans="19:19" ht="60" customHeight="1" x14ac:dyDescent="0.25">
      <c r="S581" s="188"/>
    </row>
    <row r="582" spans="19:19" ht="60" customHeight="1" x14ac:dyDescent="0.25">
      <c r="S582" s="188"/>
    </row>
    <row r="583" spans="19:19" ht="60" customHeight="1" x14ac:dyDescent="0.25">
      <c r="S583" s="188"/>
    </row>
    <row r="584" spans="19:19" ht="60" customHeight="1" x14ac:dyDescent="0.25">
      <c r="S584" s="188"/>
    </row>
    <row r="585" spans="19:19" ht="60" customHeight="1" x14ac:dyDescent="0.25">
      <c r="S585" s="188"/>
    </row>
    <row r="586" spans="19:19" ht="60" customHeight="1" x14ac:dyDescent="0.25">
      <c r="S586" s="188"/>
    </row>
    <row r="587" spans="19:19" ht="60" customHeight="1" x14ac:dyDescent="0.25">
      <c r="S587" s="188"/>
    </row>
    <row r="588" spans="19:19" ht="60" customHeight="1" x14ac:dyDescent="0.25">
      <c r="S588" s="188"/>
    </row>
    <row r="589" spans="19:19" ht="60" customHeight="1" x14ac:dyDescent="0.25">
      <c r="S589" s="188"/>
    </row>
    <row r="590" spans="19:19" ht="60" customHeight="1" x14ac:dyDescent="0.25">
      <c r="S590" s="188"/>
    </row>
    <row r="591" spans="19:19" ht="60" customHeight="1" x14ac:dyDescent="0.25">
      <c r="S591" s="188"/>
    </row>
    <row r="592" spans="19:19" ht="60" customHeight="1" x14ac:dyDescent="0.25">
      <c r="S592" s="188"/>
    </row>
    <row r="593" spans="19:19" ht="60" customHeight="1" x14ac:dyDescent="0.25">
      <c r="S593" s="188"/>
    </row>
    <row r="594" spans="19:19" ht="60" customHeight="1" x14ac:dyDescent="0.25">
      <c r="S594" s="188"/>
    </row>
    <row r="595" spans="19:19" ht="60" customHeight="1" x14ac:dyDescent="0.25">
      <c r="S595" s="188"/>
    </row>
    <row r="596" spans="19:19" ht="60" customHeight="1" x14ac:dyDescent="0.25">
      <c r="S596" s="188"/>
    </row>
    <row r="597" spans="19:19" ht="60" customHeight="1" x14ac:dyDescent="0.25">
      <c r="S597" s="188"/>
    </row>
    <row r="598" spans="19:19" ht="60" customHeight="1" x14ac:dyDescent="0.25">
      <c r="S598" s="188"/>
    </row>
    <row r="599" spans="19:19" ht="60" customHeight="1" x14ac:dyDescent="0.25">
      <c r="S599" s="188"/>
    </row>
    <row r="600" spans="19:19" ht="60" customHeight="1" x14ac:dyDescent="0.25">
      <c r="S600" s="188"/>
    </row>
    <row r="601" spans="19:19" ht="60" customHeight="1" x14ac:dyDescent="0.25">
      <c r="S601" s="188"/>
    </row>
    <row r="602" spans="19:19" ht="60" customHeight="1" x14ac:dyDescent="0.25">
      <c r="S602" s="188"/>
    </row>
    <row r="603" spans="19:19" ht="60" customHeight="1" x14ac:dyDescent="0.25">
      <c r="S603" s="188"/>
    </row>
    <row r="604" spans="19:19" ht="60" customHeight="1" x14ac:dyDescent="0.25">
      <c r="S604" s="188"/>
    </row>
    <row r="605" spans="19:19" ht="60" customHeight="1" x14ac:dyDescent="0.25">
      <c r="S605" s="188"/>
    </row>
    <row r="606" spans="19:19" ht="60" customHeight="1" x14ac:dyDescent="0.25">
      <c r="S606" s="188"/>
    </row>
    <row r="607" spans="19:19" ht="60" customHeight="1" x14ac:dyDescent="0.25">
      <c r="S607" s="188"/>
    </row>
    <row r="608" spans="19:19" ht="60" customHeight="1" x14ac:dyDescent="0.25">
      <c r="S608" s="188"/>
    </row>
    <row r="609" spans="19:19" ht="60" customHeight="1" x14ac:dyDescent="0.25">
      <c r="S609" s="188"/>
    </row>
    <row r="610" spans="19:19" ht="60" customHeight="1" x14ac:dyDescent="0.25">
      <c r="S610" s="188"/>
    </row>
    <row r="611" spans="19:19" ht="60" customHeight="1" x14ac:dyDescent="0.25">
      <c r="S611" s="188"/>
    </row>
    <row r="612" spans="19:19" ht="60" customHeight="1" x14ac:dyDescent="0.25">
      <c r="S612" s="188"/>
    </row>
    <row r="613" spans="19:19" ht="60" customHeight="1" x14ac:dyDescent="0.25">
      <c r="S613" s="188"/>
    </row>
    <row r="614" spans="19:19" ht="60" customHeight="1" x14ac:dyDescent="0.25">
      <c r="S614" s="188"/>
    </row>
    <row r="615" spans="19:19" ht="60" customHeight="1" x14ac:dyDescent="0.25">
      <c r="S615" s="188"/>
    </row>
    <row r="616" spans="19:19" ht="60" customHeight="1" x14ac:dyDescent="0.25">
      <c r="S616" s="188"/>
    </row>
    <row r="617" spans="19:19" ht="60" customHeight="1" x14ac:dyDescent="0.25">
      <c r="S617" s="188"/>
    </row>
    <row r="618" spans="19:19" ht="60" customHeight="1" x14ac:dyDescent="0.25">
      <c r="S618" s="188"/>
    </row>
    <row r="619" spans="19:19" ht="60" customHeight="1" x14ac:dyDescent="0.25">
      <c r="S619" s="188"/>
    </row>
    <row r="620" spans="19:19" ht="60" customHeight="1" x14ac:dyDescent="0.25">
      <c r="S620" s="188"/>
    </row>
    <row r="621" spans="19:19" ht="60" customHeight="1" x14ac:dyDescent="0.25">
      <c r="S621" s="188"/>
    </row>
    <row r="622" spans="19:19" ht="60" customHeight="1" x14ac:dyDescent="0.25">
      <c r="S622" s="188"/>
    </row>
    <row r="623" spans="19:19" ht="60" customHeight="1" x14ac:dyDescent="0.25">
      <c r="S623" s="188"/>
    </row>
    <row r="624" spans="19:19" ht="60" customHeight="1" x14ac:dyDescent="0.25">
      <c r="S624" s="188"/>
    </row>
    <row r="625" spans="19:19" ht="60" customHeight="1" x14ac:dyDescent="0.25">
      <c r="S625" s="188"/>
    </row>
    <row r="626" spans="19:19" ht="60" customHeight="1" x14ac:dyDescent="0.25">
      <c r="S626" s="188"/>
    </row>
    <row r="627" spans="19:19" ht="60" customHeight="1" x14ac:dyDescent="0.25">
      <c r="S627" s="188"/>
    </row>
    <row r="628" spans="19:19" ht="60" customHeight="1" x14ac:dyDescent="0.25">
      <c r="S628" s="188"/>
    </row>
    <row r="629" spans="19:19" ht="60" customHeight="1" x14ac:dyDescent="0.25">
      <c r="S629" s="188"/>
    </row>
    <row r="630" spans="19:19" ht="60" customHeight="1" x14ac:dyDescent="0.25">
      <c r="S630" s="188"/>
    </row>
    <row r="631" spans="19:19" ht="60" customHeight="1" x14ac:dyDescent="0.25">
      <c r="S631" s="188"/>
    </row>
    <row r="632" spans="19:19" ht="60" customHeight="1" x14ac:dyDescent="0.25">
      <c r="S632" s="188"/>
    </row>
    <row r="633" spans="19:19" ht="60" customHeight="1" x14ac:dyDescent="0.25">
      <c r="S633" s="188"/>
    </row>
    <row r="634" spans="19:19" ht="60" customHeight="1" x14ac:dyDescent="0.25">
      <c r="S634" s="188"/>
    </row>
    <row r="635" spans="19:19" ht="60" customHeight="1" x14ac:dyDescent="0.25">
      <c r="S635" s="188"/>
    </row>
    <row r="636" spans="19:19" ht="60" customHeight="1" x14ac:dyDescent="0.25">
      <c r="S636" s="188"/>
    </row>
    <row r="637" spans="19:19" ht="60" customHeight="1" x14ac:dyDescent="0.25">
      <c r="S637" s="188"/>
    </row>
    <row r="638" spans="19:19" ht="60" customHeight="1" x14ac:dyDescent="0.25">
      <c r="S638" s="188"/>
    </row>
    <row r="639" spans="19:19" ht="60" customHeight="1" x14ac:dyDescent="0.25">
      <c r="S639" s="188"/>
    </row>
    <row r="640" spans="19:19" ht="60" customHeight="1" x14ac:dyDescent="0.25">
      <c r="S640" s="188"/>
    </row>
    <row r="641" spans="19:19" ht="60" customHeight="1" x14ac:dyDescent="0.25">
      <c r="S641" s="188"/>
    </row>
    <row r="642" spans="19:19" ht="60" customHeight="1" x14ac:dyDescent="0.25">
      <c r="S642" s="188"/>
    </row>
    <row r="643" spans="19:19" ht="60" customHeight="1" x14ac:dyDescent="0.25">
      <c r="S643" s="188"/>
    </row>
    <row r="644" spans="19:19" ht="60" customHeight="1" x14ac:dyDescent="0.25">
      <c r="S644" s="188"/>
    </row>
    <row r="645" spans="19:19" ht="60" customHeight="1" x14ac:dyDescent="0.25">
      <c r="S645" s="188"/>
    </row>
    <row r="646" spans="19:19" ht="60" customHeight="1" x14ac:dyDescent="0.25">
      <c r="S646" s="188"/>
    </row>
    <row r="647" spans="19:19" ht="60" customHeight="1" x14ac:dyDescent="0.25">
      <c r="S647" s="188"/>
    </row>
    <row r="648" spans="19:19" ht="60" customHeight="1" x14ac:dyDescent="0.25">
      <c r="S648" s="188"/>
    </row>
    <row r="649" spans="19:19" ht="60" customHeight="1" x14ac:dyDescent="0.25">
      <c r="S649" s="188"/>
    </row>
    <row r="650" spans="19:19" ht="60" customHeight="1" x14ac:dyDescent="0.25">
      <c r="S650" s="188"/>
    </row>
    <row r="651" spans="19:19" ht="60" customHeight="1" x14ac:dyDescent="0.25">
      <c r="S651" s="188"/>
    </row>
    <row r="652" spans="19:19" ht="60" customHeight="1" x14ac:dyDescent="0.25">
      <c r="S652" s="188"/>
    </row>
    <row r="653" spans="19:19" ht="60" customHeight="1" x14ac:dyDescent="0.25">
      <c r="S653" s="188"/>
    </row>
    <row r="654" spans="19:19" ht="60" customHeight="1" x14ac:dyDescent="0.25">
      <c r="S654" s="188"/>
    </row>
    <row r="655" spans="19:19" ht="60" customHeight="1" x14ac:dyDescent="0.25">
      <c r="S655" s="188"/>
    </row>
    <row r="656" spans="19:19" ht="60" customHeight="1" x14ac:dyDescent="0.25">
      <c r="S656" s="188"/>
    </row>
    <row r="657" spans="19:19" ht="60" customHeight="1" x14ac:dyDescent="0.25">
      <c r="S657" s="188"/>
    </row>
    <row r="658" spans="19:19" ht="60" customHeight="1" x14ac:dyDescent="0.25">
      <c r="S658" s="188"/>
    </row>
    <row r="659" spans="19:19" ht="60" customHeight="1" x14ac:dyDescent="0.25">
      <c r="S659" s="188"/>
    </row>
    <row r="660" spans="19:19" ht="60" customHeight="1" x14ac:dyDescent="0.25">
      <c r="S660" s="188"/>
    </row>
    <row r="661" spans="19:19" ht="60" customHeight="1" x14ac:dyDescent="0.25">
      <c r="S661" s="188"/>
    </row>
    <row r="662" spans="19:19" ht="60" customHeight="1" x14ac:dyDescent="0.25">
      <c r="S662" s="188"/>
    </row>
    <row r="663" spans="19:19" ht="60" customHeight="1" x14ac:dyDescent="0.25">
      <c r="S663" s="188"/>
    </row>
    <row r="664" spans="19:19" ht="60" customHeight="1" x14ac:dyDescent="0.25">
      <c r="S664" s="188"/>
    </row>
    <row r="665" spans="19:19" ht="60" customHeight="1" x14ac:dyDescent="0.25">
      <c r="S665" s="188"/>
    </row>
    <row r="666" spans="19:19" ht="60" customHeight="1" x14ac:dyDescent="0.25">
      <c r="S666" s="188"/>
    </row>
    <row r="667" spans="19:19" ht="60" customHeight="1" x14ac:dyDescent="0.25">
      <c r="S667" s="188"/>
    </row>
    <row r="668" spans="19:19" ht="60" customHeight="1" x14ac:dyDescent="0.25">
      <c r="S668" s="188"/>
    </row>
    <row r="669" spans="19:19" ht="60" customHeight="1" x14ac:dyDescent="0.25">
      <c r="S669" s="188"/>
    </row>
    <row r="670" spans="19:19" ht="60" customHeight="1" x14ac:dyDescent="0.25">
      <c r="S670" s="188"/>
    </row>
    <row r="671" spans="19:19" ht="60" customHeight="1" x14ac:dyDescent="0.25">
      <c r="S671" s="188"/>
    </row>
    <row r="672" spans="19:19" ht="60" customHeight="1" x14ac:dyDescent="0.25">
      <c r="S672" s="188"/>
    </row>
    <row r="673" spans="19:19" ht="60" customHeight="1" x14ac:dyDescent="0.25">
      <c r="S673" s="188"/>
    </row>
    <row r="674" spans="19:19" ht="60" customHeight="1" x14ac:dyDescent="0.25">
      <c r="S674" s="188"/>
    </row>
    <row r="675" spans="19:19" ht="60" customHeight="1" x14ac:dyDescent="0.25">
      <c r="S675" s="188"/>
    </row>
    <row r="676" spans="19:19" ht="60" customHeight="1" x14ac:dyDescent="0.25">
      <c r="S676" s="188"/>
    </row>
    <row r="677" spans="19:19" ht="60" customHeight="1" x14ac:dyDescent="0.25">
      <c r="S677" s="188"/>
    </row>
    <row r="678" spans="19:19" ht="60" customHeight="1" x14ac:dyDescent="0.25">
      <c r="S678" s="188"/>
    </row>
    <row r="679" spans="19:19" ht="60" customHeight="1" x14ac:dyDescent="0.25">
      <c r="S679" s="188"/>
    </row>
    <row r="680" spans="19:19" ht="60" customHeight="1" x14ac:dyDescent="0.25">
      <c r="S680" s="188"/>
    </row>
    <row r="681" spans="19:19" ht="60" customHeight="1" x14ac:dyDescent="0.25">
      <c r="S681" s="188"/>
    </row>
    <row r="682" spans="19:19" ht="60" customHeight="1" x14ac:dyDescent="0.25">
      <c r="S682" s="188"/>
    </row>
    <row r="683" spans="19:19" ht="60" customHeight="1" x14ac:dyDescent="0.25">
      <c r="S683" s="188"/>
    </row>
    <row r="684" spans="19:19" ht="60" customHeight="1" x14ac:dyDescent="0.25">
      <c r="S684" s="188"/>
    </row>
    <row r="685" spans="19:19" ht="60" customHeight="1" x14ac:dyDescent="0.25">
      <c r="S685" s="188"/>
    </row>
    <row r="686" spans="19:19" ht="60" customHeight="1" x14ac:dyDescent="0.25">
      <c r="S686" s="188"/>
    </row>
    <row r="687" spans="19:19" ht="60" customHeight="1" x14ac:dyDescent="0.25">
      <c r="S687" s="188"/>
    </row>
    <row r="688" spans="19:19" ht="60" customHeight="1" x14ac:dyDescent="0.25">
      <c r="S688" s="188"/>
    </row>
    <row r="689" spans="19:19" ht="60" customHeight="1" x14ac:dyDescent="0.25">
      <c r="S689" s="188"/>
    </row>
    <row r="690" spans="19:19" ht="60" customHeight="1" x14ac:dyDescent="0.25">
      <c r="S690" s="188"/>
    </row>
    <row r="691" spans="19:19" ht="60" customHeight="1" x14ac:dyDescent="0.25">
      <c r="S691" s="188"/>
    </row>
    <row r="692" spans="19:19" ht="60" customHeight="1" x14ac:dyDescent="0.25">
      <c r="S692" s="188"/>
    </row>
    <row r="693" spans="19:19" ht="60" customHeight="1" x14ac:dyDescent="0.25">
      <c r="S693" s="188"/>
    </row>
    <row r="694" spans="19:19" ht="60" customHeight="1" x14ac:dyDescent="0.25">
      <c r="S694" s="188"/>
    </row>
    <row r="695" spans="19:19" ht="60" customHeight="1" x14ac:dyDescent="0.25">
      <c r="S695" s="188"/>
    </row>
    <row r="696" spans="19:19" ht="60" customHeight="1" x14ac:dyDescent="0.25">
      <c r="S696" s="188"/>
    </row>
    <row r="697" spans="19:19" ht="60" customHeight="1" x14ac:dyDescent="0.25">
      <c r="S697" s="188"/>
    </row>
    <row r="698" spans="19:19" ht="60" customHeight="1" x14ac:dyDescent="0.25">
      <c r="S698" s="188"/>
    </row>
    <row r="699" spans="19:19" ht="60" customHeight="1" x14ac:dyDescent="0.25">
      <c r="S699" s="188"/>
    </row>
    <row r="700" spans="19:19" ht="60" customHeight="1" x14ac:dyDescent="0.25">
      <c r="S700" s="188"/>
    </row>
    <row r="701" spans="19:19" ht="60" customHeight="1" x14ac:dyDescent="0.25">
      <c r="S701" s="188"/>
    </row>
    <row r="702" spans="19:19" ht="60" customHeight="1" x14ac:dyDescent="0.25">
      <c r="S702" s="188"/>
    </row>
    <row r="703" spans="19:19" ht="60" customHeight="1" x14ac:dyDescent="0.25">
      <c r="S703" s="188"/>
    </row>
    <row r="704" spans="19:19" ht="60" customHeight="1" x14ac:dyDescent="0.25">
      <c r="S704" s="188"/>
    </row>
    <row r="705" spans="19:19" ht="60" customHeight="1" x14ac:dyDescent="0.25">
      <c r="S705" s="188"/>
    </row>
    <row r="706" spans="19:19" ht="60" customHeight="1" x14ac:dyDescent="0.25">
      <c r="S706" s="188"/>
    </row>
    <row r="707" spans="19:19" ht="60" customHeight="1" x14ac:dyDescent="0.25">
      <c r="S707" s="188"/>
    </row>
    <row r="708" spans="19:19" ht="60" customHeight="1" x14ac:dyDescent="0.25">
      <c r="S708" s="188"/>
    </row>
    <row r="709" spans="19:19" ht="60" customHeight="1" x14ac:dyDescent="0.25">
      <c r="S709" s="188"/>
    </row>
    <row r="710" spans="19:19" ht="60" customHeight="1" x14ac:dyDescent="0.25">
      <c r="S710" s="188"/>
    </row>
    <row r="711" spans="19:19" ht="60" customHeight="1" x14ac:dyDescent="0.25">
      <c r="S711" s="188"/>
    </row>
    <row r="712" spans="19:19" ht="60" customHeight="1" x14ac:dyDescent="0.25">
      <c r="S712" s="188"/>
    </row>
    <row r="713" spans="19:19" ht="60" customHeight="1" x14ac:dyDescent="0.25">
      <c r="S713" s="188"/>
    </row>
    <row r="714" spans="19:19" ht="60" customHeight="1" x14ac:dyDescent="0.25">
      <c r="S714" s="188"/>
    </row>
    <row r="715" spans="19:19" ht="60" customHeight="1" x14ac:dyDescent="0.25">
      <c r="S715" s="188"/>
    </row>
    <row r="716" spans="19:19" ht="60" customHeight="1" x14ac:dyDescent="0.25">
      <c r="S716" s="188"/>
    </row>
    <row r="717" spans="19:19" ht="60" customHeight="1" x14ac:dyDescent="0.25">
      <c r="S717" s="188"/>
    </row>
    <row r="718" spans="19:19" ht="60" customHeight="1" x14ac:dyDescent="0.25">
      <c r="S718" s="188"/>
    </row>
    <row r="719" spans="19:19" ht="60" customHeight="1" x14ac:dyDescent="0.25">
      <c r="S719" s="188"/>
    </row>
    <row r="720" spans="19:19" ht="60" customHeight="1" x14ac:dyDescent="0.25">
      <c r="S720" s="188"/>
    </row>
    <row r="721" spans="19:19" ht="60" customHeight="1" x14ac:dyDescent="0.25">
      <c r="S721" s="188"/>
    </row>
    <row r="722" spans="19:19" ht="60" customHeight="1" x14ac:dyDescent="0.25">
      <c r="S722" s="188"/>
    </row>
    <row r="723" spans="19:19" ht="60" customHeight="1" x14ac:dyDescent="0.25">
      <c r="S723" s="188"/>
    </row>
    <row r="724" spans="19:19" ht="60" customHeight="1" x14ac:dyDescent="0.25">
      <c r="S724" s="188"/>
    </row>
    <row r="725" spans="19:19" ht="60" customHeight="1" x14ac:dyDescent="0.25">
      <c r="S725" s="188"/>
    </row>
    <row r="726" spans="19:19" ht="60" customHeight="1" x14ac:dyDescent="0.25">
      <c r="S726" s="188"/>
    </row>
    <row r="727" spans="19:19" ht="60" customHeight="1" x14ac:dyDescent="0.25">
      <c r="S727" s="188"/>
    </row>
    <row r="728" spans="19:19" ht="60" customHeight="1" x14ac:dyDescent="0.25">
      <c r="S728" s="188"/>
    </row>
    <row r="729" spans="19:19" ht="60" customHeight="1" x14ac:dyDescent="0.25">
      <c r="S729" s="188"/>
    </row>
    <row r="730" spans="19:19" ht="60" customHeight="1" x14ac:dyDescent="0.25">
      <c r="S730" s="188"/>
    </row>
    <row r="731" spans="19:19" ht="60" customHeight="1" x14ac:dyDescent="0.25">
      <c r="S731" s="188"/>
    </row>
    <row r="732" spans="19:19" ht="60" customHeight="1" x14ac:dyDescent="0.25">
      <c r="S732" s="188"/>
    </row>
    <row r="733" spans="19:19" ht="60" customHeight="1" x14ac:dyDescent="0.25">
      <c r="S733" s="188"/>
    </row>
    <row r="734" spans="19:19" ht="60" customHeight="1" x14ac:dyDescent="0.25">
      <c r="S734" s="188"/>
    </row>
    <row r="735" spans="19:19" ht="60" customHeight="1" x14ac:dyDescent="0.25">
      <c r="S735" s="188"/>
    </row>
    <row r="736" spans="19:19" ht="60" customHeight="1" x14ac:dyDescent="0.25">
      <c r="S736" s="188"/>
    </row>
    <row r="737" spans="19:19" ht="60" customHeight="1" x14ac:dyDescent="0.25">
      <c r="S737" s="188"/>
    </row>
    <row r="738" spans="19:19" ht="60" customHeight="1" x14ac:dyDescent="0.25">
      <c r="S738" s="188"/>
    </row>
    <row r="739" spans="19:19" ht="60" customHeight="1" x14ac:dyDescent="0.25">
      <c r="S739" s="188"/>
    </row>
    <row r="740" spans="19:19" ht="60" customHeight="1" x14ac:dyDescent="0.25">
      <c r="S740" s="188"/>
    </row>
    <row r="741" spans="19:19" ht="60" customHeight="1" x14ac:dyDescent="0.25">
      <c r="S741" s="188"/>
    </row>
    <row r="742" spans="19:19" ht="60" customHeight="1" x14ac:dyDescent="0.25">
      <c r="S742" s="188"/>
    </row>
    <row r="743" spans="19:19" ht="60" customHeight="1" x14ac:dyDescent="0.25">
      <c r="S743" s="188"/>
    </row>
    <row r="744" spans="19:19" ht="60" customHeight="1" x14ac:dyDescent="0.25">
      <c r="S744" s="188"/>
    </row>
    <row r="745" spans="19:19" ht="60" customHeight="1" x14ac:dyDescent="0.25">
      <c r="S745" s="188"/>
    </row>
    <row r="746" spans="19:19" ht="60" customHeight="1" x14ac:dyDescent="0.25">
      <c r="S746" s="188"/>
    </row>
    <row r="747" spans="19:19" ht="60" customHeight="1" x14ac:dyDescent="0.25">
      <c r="S747" s="188"/>
    </row>
    <row r="748" spans="19:19" ht="60" customHeight="1" x14ac:dyDescent="0.25">
      <c r="S748" s="188"/>
    </row>
    <row r="749" spans="19:19" ht="60" customHeight="1" x14ac:dyDescent="0.25">
      <c r="S749" s="188"/>
    </row>
    <row r="750" spans="19:19" ht="60" customHeight="1" x14ac:dyDescent="0.25">
      <c r="S750" s="188"/>
    </row>
    <row r="751" spans="19:19" ht="60" customHeight="1" x14ac:dyDescent="0.25">
      <c r="S751" s="188"/>
    </row>
    <row r="752" spans="19:19" ht="60" customHeight="1" x14ac:dyDescent="0.25">
      <c r="S752" s="188"/>
    </row>
    <row r="753" spans="19:19" ht="60" customHeight="1" x14ac:dyDescent="0.25">
      <c r="S753" s="188"/>
    </row>
    <row r="754" spans="19:19" ht="60" customHeight="1" x14ac:dyDescent="0.25">
      <c r="S754" s="188"/>
    </row>
    <row r="755" spans="19:19" ht="60" customHeight="1" x14ac:dyDescent="0.25">
      <c r="S755" s="188"/>
    </row>
    <row r="756" spans="19:19" ht="60" customHeight="1" x14ac:dyDescent="0.25">
      <c r="S756" s="188"/>
    </row>
    <row r="757" spans="19:19" ht="60" customHeight="1" x14ac:dyDescent="0.25">
      <c r="S757" s="188"/>
    </row>
    <row r="758" spans="19:19" ht="60" customHeight="1" x14ac:dyDescent="0.25">
      <c r="S758" s="188"/>
    </row>
    <row r="759" spans="19:19" ht="60" customHeight="1" x14ac:dyDescent="0.25">
      <c r="S759" s="188"/>
    </row>
    <row r="760" spans="19:19" ht="60" customHeight="1" x14ac:dyDescent="0.25">
      <c r="S760" s="188"/>
    </row>
    <row r="761" spans="19:19" ht="60" customHeight="1" x14ac:dyDescent="0.25">
      <c r="S761" s="188"/>
    </row>
    <row r="762" spans="19:19" ht="60" customHeight="1" x14ac:dyDescent="0.25">
      <c r="S762" s="188"/>
    </row>
    <row r="763" spans="19:19" ht="60" customHeight="1" x14ac:dyDescent="0.25">
      <c r="S763" s="188"/>
    </row>
    <row r="764" spans="19:19" ht="60" customHeight="1" x14ac:dyDescent="0.25">
      <c r="S764" s="188"/>
    </row>
    <row r="765" spans="19:19" ht="60" customHeight="1" x14ac:dyDescent="0.25">
      <c r="S765" s="188"/>
    </row>
    <row r="766" spans="19:19" ht="60" customHeight="1" x14ac:dyDescent="0.25">
      <c r="S766" s="188"/>
    </row>
    <row r="767" spans="19:19" ht="60" customHeight="1" x14ac:dyDescent="0.25">
      <c r="S767" s="188"/>
    </row>
    <row r="768" spans="19:19" ht="60" customHeight="1" x14ac:dyDescent="0.25">
      <c r="S768" s="188"/>
    </row>
    <row r="769" spans="19:19" ht="60" customHeight="1" x14ac:dyDescent="0.25">
      <c r="S769" s="188"/>
    </row>
    <row r="770" spans="19:19" ht="60" customHeight="1" x14ac:dyDescent="0.25">
      <c r="S770" s="188"/>
    </row>
    <row r="771" spans="19:19" ht="60" customHeight="1" x14ac:dyDescent="0.25">
      <c r="S771" s="188"/>
    </row>
    <row r="772" spans="19:19" ht="60" customHeight="1" x14ac:dyDescent="0.25">
      <c r="S772" s="188"/>
    </row>
    <row r="773" spans="19:19" ht="60" customHeight="1" x14ac:dyDescent="0.25">
      <c r="S773" s="188"/>
    </row>
    <row r="774" spans="19:19" ht="60" customHeight="1" x14ac:dyDescent="0.25">
      <c r="S774" s="188"/>
    </row>
    <row r="775" spans="19:19" ht="60" customHeight="1" x14ac:dyDescent="0.25">
      <c r="S775" s="188"/>
    </row>
    <row r="776" spans="19:19" ht="60" customHeight="1" x14ac:dyDescent="0.25">
      <c r="S776" s="188"/>
    </row>
    <row r="777" spans="19:19" ht="60" customHeight="1" x14ac:dyDescent="0.25">
      <c r="S777" s="188"/>
    </row>
    <row r="778" spans="19:19" ht="60" customHeight="1" x14ac:dyDescent="0.25">
      <c r="S778" s="188"/>
    </row>
    <row r="779" spans="19:19" ht="60" customHeight="1" x14ac:dyDescent="0.25">
      <c r="S779" s="188"/>
    </row>
    <row r="780" spans="19:19" ht="60" customHeight="1" x14ac:dyDescent="0.25">
      <c r="S780" s="188"/>
    </row>
    <row r="781" spans="19:19" ht="60" customHeight="1" x14ac:dyDescent="0.25">
      <c r="S781" s="188"/>
    </row>
    <row r="782" spans="19:19" ht="60" customHeight="1" x14ac:dyDescent="0.25">
      <c r="S782" s="188"/>
    </row>
    <row r="783" spans="19:19" ht="60" customHeight="1" x14ac:dyDescent="0.25">
      <c r="S783" s="188"/>
    </row>
    <row r="784" spans="19:19" ht="60" customHeight="1" x14ac:dyDescent="0.25">
      <c r="S784" s="188"/>
    </row>
    <row r="785" spans="19:19" ht="60" customHeight="1" x14ac:dyDescent="0.25">
      <c r="S785" s="188"/>
    </row>
    <row r="786" spans="19:19" ht="60" customHeight="1" x14ac:dyDescent="0.25">
      <c r="S786" s="188"/>
    </row>
    <row r="787" spans="19:19" ht="60" customHeight="1" x14ac:dyDescent="0.25">
      <c r="S787" s="188"/>
    </row>
    <row r="788" spans="19:19" ht="60" customHeight="1" x14ac:dyDescent="0.25">
      <c r="S788" s="188"/>
    </row>
    <row r="789" spans="19:19" ht="60" customHeight="1" x14ac:dyDescent="0.25">
      <c r="S789" s="188"/>
    </row>
    <row r="790" spans="19:19" ht="60" customHeight="1" x14ac:dyDescent="0.25">
      <c r="S790" s="188"/>
    </row>
    <row r="791" spans="19:19" ht="60" customHeight="1" x14ac:dyDescent="0.25">
      <c r="S791" s="188"/>
    </row>
    <row r="792" spans="19:19" ht="60" customHeight="1" x14ac:dyDescent="0.25">
      <c r="S792" s="188"/>
    </row>
    <row r="793" spans="19:19" ht="60" customHeight="1" x14ac:dyDescent="0.25">
      <c r="S793" s="188"/>
    </row>
    <row r="794" spans="19:19" ht="60" customHeight="1" x14ac:dyDescent="0.25">
      <c r="S794" s="188"/>
    </row>
    <row r="795" spans="19:19" ht="60" customHeight="1" x14ac:dyDescent="0.25">
      <c r="S795" s="188"/>
    </row>
    <row r="796" spans="19:19" ht="60" customHeight="1" x14ac:dyDescent="0.25">
      <c r="S796" s="188"/>
    </row>
    <row r="797" spans="19:19" ht="60" customHeight="1" x14ac:dyDescent="0.25">
      <c r="S797" s="188"/>
    </row>
    <row r="798" spans="19:19" ht="60" customHeight="1" x14ac:dyDescent="0.25">
      <c r="S798" s="188"/>
    </row>
    <row r="799" spans="19:19" ht="60" customHeight="1" x14ac:dyDescent="0.25">
      <c r="S799" s="188"/>
    </row>
    <row r="800" spans="19:19" ht="60" customHeight="1" x14ac:dyDescent="0.25">
      <c r="S800" s="188"/>
    </row>
    <row r="801" spans="19:19" ht="60" customHeight="1" x14ac:dyDescent="0.25">
      <c r="S801" s="188"/>
    </row>
    <row r="802" spans="19:19" ht="60" customHeight="1" x14ac:dyDescent="0.25">
      <c r="S802" s="188"/>
    </row>
    <row r="803" spans="19:19" ht="60" customHeight="1" x14ac:dyDescent="0.25">
      <c r="S803" s="188"/>
    </row>
    <row r="804" spans="19:19" ht="60" customHeight="1" x14ac:dyDescent="0.25">
      <c r="S804" s="188"/>
    </row>
    <row r="805" spans="19:19" ht="60" customHeight="1" x14ac:dyDescent="0.25">
      <c r="S805" s="188"/>
    </row>
    <row r="806" spans="19:19" ht="60" customHeight="1" x14ac:dyDescent="0.25">
      <c r="S806" s="188"/>
    </row>
    <row r="807" spans="19:19" ht="60" customHeight="1" x14ac:dyDescent="0.25">
      <c r="S807" s="188"/>
    </row>
    <row r="808" spans="19:19" ht="60" customHeight="1" x14ac:dyDescent="0.25">
      <c r="S808" s="188"/>
    </row>
    <row r="809" spans="19:19" ht="60" customHeight="1" x14ac:dyDescent="0.25">
      <c r="S809" s="188"/>
    </row>
    <row r="810" spans="19:19" ht="60" customHeight="1" x14ac:dyDescent="0.25">
      <c r="S810" s="188"/>
    </row>
    <row r="811" spans="19:19" ht="60" customHeight="1" x14ac:dyDescent="0.25">
      <c r="S811" s="188"/>
    </row>
    <row r="812" spans="19:19" ht="60" customHeight="1" x14ac:dyDescent="0.25">
      <c r="S812" s="188"/>
    </row>
    <row r="813" spans="19:19" ht="60" customHeight="1" x14ac:dyDescent="0.25">
      <c r="S813" s="188"/>
    </row>
    <row r="814" spans="19:19" ht="60" customHeight="1" x14ac:dyDescent="0.25">
      <c r="S814" s="188"/>
    </row>
    <row r="815" spans="19:19" ht="60" customHeight="1" x14ac:dyDescent="0.25">
      <c r="S815" s="188"/>
    </row>
    <row r="816" spans="19:19" ht="60" customHeight="1" x14ac:dyDescent="0.25">
      <c r="S816" s="188"/>
    </row>
    <row r="817" spans="19:19" ht="60" customHeight="1" x14ac:dyDescent="0.25">
      <c r="S817" s="188"/>
    </row>
    <row r="818" spans="19:19" ht="60" customHeight="1" x14ac:dyDescent="0.25">
      <c r="S818" s="188"/>
    </row>
    <row r="819" spans="19:19" ht="60" customHeight="1" x14ac:dyDescent="0.25">
      <c r="S819" s="188"/>
    </row>
    <row r="820" spans="19:19" ht="60" customHeight="1" x14ac:dyDescent="0.25">
      <c r="S820" s="188"/>
    </row>
    <row r="821" spans="19:19" ht="60" customHeight="1" x14ac:dyDescent="0.25">
      <c r="S821" s="188"/>
    </row>
    <row r="822" spans="19:19" ht="60" customHeight="1" x14ac:dyDescent="0.25">
      <c r="S822" s="188"/>
    </row>
    <row r="823" spans="19:19" ht="60" customHeight="1" x14ac:dyDescent="0.25">
      <c r="S823" s="188"/>
    </row>
    <row r="824" spans="19:19" ht="60" customHeight="1" x14ac:dyDescent="0.25">
      <c r="S824" s="188"/>
    </row>
    <row r="825" spans="19:19" ht="60" customHeight="1" x14ac:dyDescent="0.25">
      <c r="S825" s="188"/>
    </row>
    <row r="826" spans="19:19" ht="60" customHeight="1" x14ac:dyDescent="0.25">
      <c r="S826" s="188"/>
    </row>
    <row r="827" spans="19:19" ht="60" customHeight="1" x14ac:dyDescent="0.25">
      <c r="S827" s="188"/>
    </row>
    <row r="828" spans="19:19" ht="60" customHeight="1" x14ac:dyDescent="0.25">
      <c r="S828" s="188"/>
    </row>
    <row r="829" spans="19:19" ht="60" customHeight="1" x14ac:dyDescent="0.25">
      <c r="S829" s="188"/>
    </row>
    <row r="830" spans="19:19" ht="60" customHeight="1" x14ac:dyDescent="0.25">
      <c r="S830" s="188"/>
    </row>
    <row r="831" spans="19:19" ht="60" customHeight="1" x14ac:dyDescent="0.25">
      <c r="S831" s="188"/>
    </row>
    <row r="832" spans="19:19" ht="60" customHeight="1" x14ac:dyDescent="0.25">
      <c r="S832" s="188"/>
    </row>
    <row r="833" spans="19:19" ht="60" customHeight="1" x14ac:dyDescent="0.25">
      <c r="S833" s="188"/>
    </row>
    <row r="834" spans="19:19" ht="60" customHeight="1" x14ac:dyDescent="0.25">
      <c r="S834" s="188"/>
    </row>
    <row r="835" spans="19:19" ht="60" customHeight="1" x14ac:dyDescent="0.25">
      <c r="S835" s="188"/>
    </row>
    <row r="836" spans="19:19" ht="60" customHeight="1" x14ac:dyDescent="0.25">
      <c r="S836" s="188"/>
    </row>
    <row r="837" spans="19:19" ht="60" customHeight="1" x14ac:dyDescent="0.25">
      <c r="S837" s="188"/>
    </row>
    <row r="838" spans="19:19" ht="60" customHeight="1" x14ac:dyDescent="0.25">
      <c r="S838" s="188"/>
    </row>
    <row r="839" spans="19:19" ht="60" customHeight="1" x14ac:dyDescent="0.25">
      <c r="S839" s="188"/>
    </row>
    <row r="840" spans="19:19" ht="60" customHeight="1" x14ac:dyDescent="0.25">
      <c r="S840" s="188"/>
    </row>
    <row r="841" spans="19:19" ht="60" customHeight="1" x14ac:dyDescent="0.25">
      <c r="S841" s="188"/>
    </row>
    <row r="842" spans="19:19" ht="60" customHeight="1" x14ac:dyDescent="0.25">
      <c r="S842" s="188"/>
    </row>
    <row r="843" spans="19:19" ht="60" customHeight="1" x14ac:dyDescent="0.25">
      <c r="S843" s="188"/>
    </row>
    <row r="844" spans="19:19" ht="60" customHeight="1" x14ac:dyDescent="0.25">
      <c r="S844" s="188"/>
    </row>
    <row r="845" spans="19:19" ht="60" customHeight="1" x14ac:dyDescent="0.25">
      <c r="S845" s="188"/>
    </row>
    <row r="846" spans="19:19" ht="60" customHeight="1" x14ac:dyDescent="0.25">
      <c r="S846" s="188"/>
    </row>
    <row r="847" spans="19:19" ht="60" customHeight="1" x14ac:dyDescent="0.25">
      <c r="S847" s="188"/>
    </row>
    <row r="848" spans="19:19" ht="60" customHeight="1" x14ac:dyDescent="0.25">
      <c r="S848" s="188"/>
    </row>
    <row r="849" spans="19:19" ht="60" customHeight="1" x14ac:dyDescent="0.25">
      <c r="S849" s="188"/>
    </row>
    <row r="850" spans="19:19" ht="60" customHeight="1" x14ac:dyDescent="0.25">
      <c r="S850" s="188"/>
    </row>
    <row r="851" spans="19:19" ht="60" customHeight="1" x14ac:dyDescent="0.25">
      <c r="S851" s="188"/>
    </row>
    <row r="852" spans="19:19" ht="60" customHeight="1" x14ac:dyDescent="0.25">
      <c r="S852" s="188"/>
    </row>
    <row r="853" spans="19:19" ht="60" customHeight="1" x14ac:dyDescent="0.25">
      <c r="S853" s="188"/>
    </row>
    <row r="854" spans="19:19" ht="60" customHeight="1" x14ac:dyDescent="0.25">
      <c r="S854" s="188"/>
    </row>
    <row r="855" spans="19:19" ht="60" customHeight="1" x14ac:dyDescent="0.25">
      <c r="S855" s="188"/>
    </row>
    <row r="856" spans="19:19" ht="60" customHeight="1" x14ac:dyDescent="0.25">
      <c r="S856" s="188"/>
    </row>
    <row r="857" spans="19:19" ht="60" customHeight="1" x14ac:dyDescent="0.25">
      <c r="S857" s="188"/>
    </row>
    <row r="858" spans="19:19" ht="60" customHeight="1" x14ac:dyDescent="0.25">
      <c r="S858" s="188"/>
    </row>
    <row r="859" spans="19:19" ht="60" customHeight="1" x14ac:dyDescent="0.25">
      <c r="S859" s="188"/>
    </row>
    <row r="860" spans="19:19" ht="60" customHeight="1" x14ac:dyDescent="0.25">
      <c r="S860" s="188"/>
    </row>
    <row r="861" spans="19:19" ht="60" customHeight="1" x14ac:dyDescent="0.25">
      <c r="S861" s="188"/>
    </row>
    <row r="862" spans="19:19" ht="60" customHeight="1" x14ac:dyDescent="0.25">
      <c r="S862" s="188"/>
    </row>
    <row r="863" spans="19:19" ht="60" customHeight="1" x14ac:dyDescent="0.25">
      <c r="S863" s="188"/>
    </row>
    <row r="864" spans="19:19" ht="60" customHeight="1" x14ac:dyDescent="0.25">
      <c r="S864" s="188"/>
    </row>
    <row r="865" spans="19:19" ht="60" customHeight="1" x14ac:dyDescent="0.25">
      <c r="S865" s="188"/>
    </row>
    <row r="866" spans="19:19" ht="60" customHeight="1" x14ac:dyDescent="0.25">
      <c r="S866" s="188"/>
    </row>
    <row r="867" spans="19:19" ht="60" customHeight="1" x14ac:dyDescent="0.25">
      <c r="S867" s="188"/>
    </row>
    <row r="868" spans="19:19" ht="60" customHeight="1" x14ac:dyDescent="0.25">
      <c r="S868" s="188"/>
    </row>
    <row r="869" spans="19:19" ht="60" customHeight="1" x14ac:dyDescent="0.25">
      <c r="S869" s="188"/>
    </row>
    <row r="870" spans="19:19" ht="60" customHeight="1" x14ac:dyDescent="0.25">
      <c r="S870" s="188"/>
    </row>
    <row r="871" spans="19:19" ht="60" customHeight="1" x14ac:dyDescent="0.25">
      <c r="S871" s="188"/>
    </row>
    <row r="872" spans="19:19" ht="60" customHeight="1" x14ac:dyDescent="0.25">
      <c r="S872" s="188"/>
    </row>
    <row r="873" spans="19:19" ht="60" customHeight="1" x14ac:dyDescent="0.25">
      <c r="S873" s="188"/>
    </row>
    <row r="874" spans="19:19" ht="60" customHeight="1" x14ac:dyDescent="0.25">
      <c r="S874" s="188"/>
    </row>
    <row r="875" spans="19:19" ht="60" customHeight="1" x14ac:dyDescent="0.25">
      <c r="S875" s="188"/>
    </row>
    <row r="876" spans="19:19" ht="60" customHeight="1" x14ac:dyDescent="0.25">
      <c r="S876" s="188"/>
    </row>
    <row r="877" spans="19:19" ht="60" customHeight="1" x14ac:dyDescent="0.25">
      <c r="S877" s="188"/>
    </row>
    <row r="878" spans="19:19" ht="60" customHeight="1" x14ac:dyDescent="0.25">
      <c r="S878" s="188"/>
    </row>
    <row r="879" spans="19:19" ht="60" customHeight="1" x14ac:dyDescent="0.25">
      <c r="S879" s="188"/>
    </row>
    <row r="880" spans="19:19" ht="60" customHeight="1" x14ac:dyDescent="0.25">
      <c r="S880" s="188"/>
    </row>
    <row r="881" spans="19:19" ht="60" customHeight="1" x14ac:dyDescent="0.25">
      <c r="S881" s="188"/>
    </row>
    <row r="882" spans="19:19" ht="60" customHeight="1" x14ac:dyDescent="0.25">
      <c r="S882" s="188"/>
    </row>
    <row r="883" spans="19:19" ht="60" customHeight="1" x14ac:dyDescent="0.25">
      <c r="S883" s="188"/>
    </row>
    <row r="884" spans="19:19" ht="60" customHeight="1" x14ac:dyDescent="0.25">
      <c r="S884" s="188"/>
    </row>
    <row r="885" spans="19:19" ht="60" customHeight="1" x14ac:dyDescent="0.25">
      <c r="S885" s="188"/>
    </row>
    <row r="886" spans="19:19" ht="60" customHeight="1" x14ac:dyDescent="0.25">
      <c r="S886" s="188"/>
    </row>
    <row r="887" spans="19:19" ht="60" customHeight="1" x14ac:dyDescent="0.25">
      <c r="S887" s="188"/>
    </row>
    <row r="888" spans="19:19" ht="60" customHeight="1" x14ac:dyDescent="0.25">
      <c r="S888" s="188"/>
    </row>
    <row r="889" spans="19:19" ht="60" customHeight="1" x14ac:dyDescent="0.25">
      <c r="S889" s="188"/>
    </row>
    <row r="890" spans="19:19" ht="60" customHeight="1" x14ac:dyDescent="0.25">
      <c r="S890" s="188"/>
    </row>
    <row r="891" spans="19:19" ht="60" customHeight="1" x14ac:dyDescent="0.25">
      <c r="S891" s="188"/>
    </row>
    <row r="892" spans="19:19" ht="60" customHeight="1" x14ac:dyDescent="0.25">
      <c r="S892" s="188"/>
    </row>
    <row r="893" spans="19:19" ht="60" customHeight="1" x14ac:dyDescent="0.25">
      <c r="S893" s="188"/>
    </row>
    <row r="894" spans="19:19" ht="60" customHeight="1" x14ac:dyDescent="0.25">
      <c r="S894" s="188"/>
    </row>
    <row r="895" spans="19:19" ht="60" customHeight="1" x14ac:dyDescent="0.25">
      <c r="S895" s="188"/>
    </row>
    <row r="896" spans="19:19" ht="60" customHeight="1" x14ac:dyDescent="0.25">
      <c r="S896" s="188"/>
    </row>
    <row r="897" spans="19:19" ht="60" customHeight="1" x14ac:dyDescent="0.25">
      <c r="S897" s="188"/>
    </row>
    <row r="898" spans="19:19" ht="60" customHeight="1" x14ac:dyDescent="0.25">
      <c r="S898" s="188"/>
    </row>
    <row r="899" spans="19:19" ht="60" customHeight="1" x14ac:dyDescent="0.25">
      <c r="S899" s="188"/>
    </row>
    <row r="900" spans="19:19" ht="60" customHeight="1" x14ac:dyDescent="0.25">
      <c r="S900" s="188"/>
    </row>
    <row r="901" spans="19:19" ht="60" customHeight="1" x14ac:dyDescent="0.25">
      <c r="S901" s="188"/>
    </row>
    <row r="902" spans="19:19" ht="60" customHeight="1" x14ac:dyDescent="0.25">
      <c r="S902" s="188"/>
    </row>
    <row r="903" spans="19:19" ht="60" customHeight="1" x14ac:dyDescent="0.25">
      <c r="S903" s="188"/>
    </row>
    <row r="904" spans="19:19" ht="60" customHeight="1" x14ac:dyDescent="0.25">
      <c r="S904" s="188"/>
    </row>
    <row r="905" spans="19:19" ht="60" customHeight="1" x14ac:dyDescent="0.25">
      <c r="S905" s="188"/>
    </row>
    <row r="906" spans="19:19" ht="60" customHeight="1" x14ac:dyDescent="0.25">
      <c r="S906" s="188"/>
    </row>
    <row r="907" spans="19:19" ht="60" customHeight="1" x14ac:dyDescent="0.25">
      <c r="S907" s="188"/>
    </row>
    <row r="908" spans="19:19" ht="60" customHeight="1" x14ac:dyDescent="0.25">
      <c r="S908" s="188"/>
    </row>
    <row r="909" spans="19:19" ht="60" customHeight="1" x14ac:dyDescent="0.25">
      <c r="S909" s="188"/>
    </row>
    <row r="910" spans="19:19" ht="60" customHeight="1" x14ac:dyDescent="0.25">
      <c r="S910" s="188"/>
    </row>
    <row r="911" spans="19:19" ht="60" customHeight="1" x14ac:dyDescent="0.25">
      <c r="S911" s="188"/>
    </row>
    <row r="912" spans="19:19" ht="60" customHeight="1" x14ac:dyDescent="0.25">
      <c r="S912" s="188"/>
    </row>
    <row r="913" spans="19:19" ht="60" customHeight="1" x14ac:dyDescent="0.25">
      <c r="S913" s="188"/>
    </row>
    <row r="914" spans="19:19" ht="60" customHeight="1" x14ac:dyDescent="0.25">
      <c r="S914" s="188"/>
    </row>
    <row r="915" spans="19:19" ht="60" customHeight="1" x14ac:dyDescent="0.25">
      <c r="S915" s="188"/>
    </row>
    <row r="916" spans="19:19" ht="60" customHeight="1" x14ac:dyDescent="0.25">
      <c r="S916" s="188"/>
    </row>
    <row r="917" spans="19:19" ht="60" customHeight="1" x14ac:dyDescent="0.25">
      <c r="S917" s="188"/>
    </row>
    <row r="918" spans="19:19" ht="60" customHeight="1" x14ac:dyDescent="0.25">
      <c r="S918" s="188"/>
    </row>
    <row r="919" spans="19:19" ht="60" customHeight="1" x14ac:dyDescent="0.25">
      <c r="S919" s="188"/>
    </row>
    <row r="920" spans="19:19" ht="60" customHeight="1" x14ac:dyDescent="0.25">
      <c r="S920" s="188"/>
    </row>
    <row r="921" spans="19:19" ht="60" customHeight="1" x14ac:dyDescent="0.25">
      <c r="S921" s="188"/>
    </row>
    <row r="922" spans="19:19" ht="60" customHeight="1" x14ac:dyDescent="0.25">
      <c r="S922" s="188"/>
    </row>
    <row r="923" spans="19:19" ht="60" customHeight="1" x14ac:dyDescent="0.25">
      <c r="S923" s="188"/>
    </row>
    <row r="924" spans="19:19" ht="60" customHeight="1" x14ac:dyDescent="0.25">
      <c r="S924" s="188"/>
    </row>
    <row r="925" spans="19:19" ht="60" customHeight="1" x14ac:dyDescent="0.25">
      <c r="S925" s="188"/>
    </row>
    <row r="926" spans="19:19" ht="60" customHeight="1" x14ac:dyDescent="0.25">
      <c r="S926" s="188"/>
    </row>
    <row r="927" spans="19:19" ht="60" customHeight="1" x14ac:dyDescent="0.25">
      <c r="S927" s="188"/>
    </row>
    <row r="928" spans="19:19" ht="60" customHeight="1" x14ac:dyDescent="0.25">
      <c r="S928" s="188"/>
    </row>
    <row r="929" spans="19:19" ht="60" customHeight="1" x14ac:dyDescent="0.25">
      <c r="S929" s="188"/>
    </row>
    <row r="930" spans="19:19" ht="60" customHeight="1" x14ac:dyDescent="0.25">
      <c r="S930" s="188"/>
    </row>
    <row r="931" spans="19:19" ht="60" customHeight="1" x14ac:dyDescent="0.25">
      <c r="S931" s="188"/>
    </row>
    <row r="932" spans="19:19" ht="60" customHeight="1" x14ac:dyDescent="0.25">
      <c r="S932" s="188"/>
    </row>
    <row r="933" spans="19:19" ht="60" customHeight="1" x14ac:dyDescent="0.25">
      <c r="S933" s="188"/>
    </row>
    <row r="934" spans="19:19" ht="60" customHeight="1" x14ac:dyDescent="0.25">
      <c r="S934" s="188"/>
    </row>
    <row r="935" spans="19:19" ht="60" customHeight="1" x14ac:dyDescent="0.25">
      <c r="S935" s="188"/>
    </row>
    <row r="936" spans="19:19" ht="60" customHeight="1" x14ac:dyDescent="0.25">
      <c r="S936" s="188"/>
    </row>
    <row r="937" spans="19:19" ht="60" customHeight="1" x14ac:dyDescent="0.25">
      <c r="S937" s="188"/>
    </row>
    <row r="938" spans="19:19" ht="60" customHeight="1" x14ac:dyDescent="0.25">
      <c r="S938" s="188"/>
    </row>
    <row r="939" spans="19:19" ht="60" customHeight="1" x14ac:dyDescent="0.25">
      <c r="S939" s="188"/>
    </row>
    <row r="940" spans="19:19" ht="60" customHeight="1" x14ac:dyDescent="0.25">
      <c r="S940" s="188"/>
    </row>
    <row r="941" spans="19:19" ht="60" customHeight="1" x14ac:dyDescent="0.25">
      <c r="S941" s="188"/>
    </row>
    <row r="942" spans="19:19" ht="60" customHeight="1" x14ac:dyDescent="0.25">
      <c r="S942" s="188"/>
    </row>
    <row r="943" spans="19:19" ht="60" customHeight="1" x14ac:dyDescent="0.25">
      <c r="S943" s="188"/>
    </row>
    <row r="944" spans="19:19" ht="60" customHeight="1" x14ac:dyDescent="0.25">
      <c r="S944" s="188"/>
    </row>
    <row r="945" spans="19:19" ht="60" customHeight="1" x14ac:dyDescent="0.25">
      <c r="S945" s="188"/>
    </row>
    <row r="946" spans="19:19" ht="60" customHeight="1" x14ac:dyDescent="0.25">
      <c r="S946" s="188"/>
    </row>
    <row r="947" spans="19:19" ht="60" customHeight="1" x14ac:dyDescent="0.25">
      <c r="S947" s="188"/>
    </row>
    <row r="948" spans="19:19" ht="60" customHeight="1" x14ac:dyDescent="0.25">
      <c r="S948" s="188"/>
    </row>
    <row r="949" spans="19:19" ht="60" customHeight="1" x14ac:dyDescent="0.25">
      <c r="S949" s="188"/>
    </row>
    <row r="950" spans="19:19" ht="60" customHeight="1" x14ac:dyDescent="0.25">
      <c r="S950" s="188"/>
    </row>
    <row r="951" spans="19:19" ht="60" customHeight="1" x14ac:dyDescent="0.25">
      <c r="S951" s="188"/>
    </row>
    <row r="952" spans="19:19" ht="60" customHeight="1" x14ac:dyDescent="0.25">
      <c r="S952" s="188"/>
    </row>
    <row r="953" spans="19:19" ht="60" customHeight="1" x14ac:dyDescent="0.25">
      <c r="S953" s="188"/>
    </row>
    <row r="954" spans="19:19" ht="60" customHeight="1" x14ac:dyDescent="0.25">
      <c r="S954" s="188"/>
    </row>
    <row r="955" spans="19:19" ht="60" customHeight="1" x14ac:dyDescent="0.25">
      <c r="S955" s="188"/>
    </row>
    <row r="956" spans="19:19" ht="60" customHeight="1" x14ac:dyDescent="0.25">
      <c r="S956" s="188"/>
    </row>
    <row r="957" spans="19:19" ht="60" customHeight="1" x14ac:dyDescent="0.25">
      <c r="S957" s="188"/>
    </row>
    <row r="958" spans="19:19" ht="60" customHeight="1" x14ac:dyDescent="0.25">
      <c r="S958" s="188"/>
    </row>
    <row r="959" spans="19:19" ht="60" customHeight="1" x14ac:dyDescent="0.25">
      <c r="S959" s="188"/>
    </row>
    <row r="960" spans="19:19" ht="60" customHeight="1" x14ac:dyDescent="0.25">
      <c r="S960" s="188"/>
    </row>
    <row r="961" spans="19:19" ht="60" customHeight="1" x14ac:dyDescent="0.25">
      <c r="S961" s="188"/>
    </row>
    <row r="962" spans="19:19" ht="60" customHeight="1" x14ac:dyDescent="0.25">
      <c r="S962" s="188"/>
    </row>
    <row r="963" spans="19:19" ht="60" customHeight="1" x14ac:dyDescent="0.25">
      <c r="S963" s="188"/>
    </row>
    <row r="964" spans="19:19" ht="60" customHeight="1" x14ac:dyDescent="0.25">
      <c r="S964" s="188"/>
    </row>
    <row r="965" spans="19:19" ht="60" customHeight="1" x14ac:dyDescent="0.25">
      <c r="S965" s="188"/>
    </row>
    <row r="966" spans="19:19" ht="60" customHeight="1" x14ac:dyDescent="0.25">
      <c r="S966" s="188"/>
    </row>
    <row r="967" spans="19:19" ht="60" customHeight="1" x14ac:dyDescent="0.25">
      <c r="S967" s="188"/>
    </row>
    <row r="968" spans="19:19" ht="60" customHeight="1" x14ac:dyDescent="0.25">
      <c r="S968" s="188"/>
    </row>
    <row r="969" spans="19:19" ht="60" customHeight="1" x14ac:dyDescent="0.25">
      <c r="S969" s="188"/>
    </row>
    <row r="970" spans="19:19" ht="60" customHeight="1" x14ac:dyDescent="0.25">
      <c r="S970" s="188"/>
    </row>
    <row r="971" spans="19:19" ht="60" customHeight="1" x14ac:dyDescent="0.25">
      <c r="S971" s="188"/>
    </row>
    <row r="972" spans="19:19" ht="60" customHeight="1" x14ac:dyDescent="0.25">
      <c r="S972" s="188"/>
    </row>
    <row r="973" spans="19:19" ht="60" customHeight="1" x14ac:dyDescent="0.25">
      <c r="S973" s="188"/>
    </row>
    <row r="974" spans="19:19" ht="60" customHeight="1" x14ac:dyDescent="0.25">
      <c r="S974" s="188"/>
    </row>
    <row r="975" spans="19:19" ht="60" customHeight="1" x14ac:dyDescent="0.25">
      <c r="S975" s="188"/>
    </row>
    <row r="976" spans="19:19" ht="60" customHeight="1" x14ac:dyDescent="0.25">
      <c r="S976" s="188"/>
    </row>
    <row r="977" spans="19:19" ht="60" customHeight="1" x14ac:dyDescent="0.25">
      <c r="S977" s="188"/>
    </row>
    <row r="978" spans="19:19" ht="60" customHeight="1" x14ac:dyDescent="0.25">
      <c r="S978" s="188"/>
    </row>
    <row r="979" spans="19:19" ht="60" customHeight="1" x14ac:dyDescent="0.25">
      <c r="S979" s="188"/>
    </row>
    <row r="980" spans="19:19" ht="60" customHeight="1" x14ac:dyDescent="0.25">
      <c r="S980" s="188"/>
    </row>
    <row r="981" spans="19:19" ht="60" customHeight="1" x14ac:dyDescent="0.25">
      <c r="S981" s="188"/>
    </row>
    <row r="982" spans="19:19" ht="60" customHeight="1" x14ac:dyDescent="0.25">
      <c r="S982" s="188"/>
    </row>
    <row r="983" spans="19:19" ht="60" customHeight="1" x14ac:dyDescent="0.25">
      <c r="S983" s="188"/>
    </row>
    <row r="984" spans="19:19" ht="60" customHeight="1" x14ac:dyDescent="0.25">
      <c r="S984" s="188"/>
    </row>
    <row r="985" spans="19:19" ht="60" customHeight="1" x14ac:dyDescent="0.25">
      <c r="S985" s="188"/>
    </row>
    <row r="986" spans="19:19" ht="60" customHeight="1" x14ac:dyDescent="0.25">
      <c r="S986" s="188"/>
    </row>
    <row r="987" spans="19:19" ht="60" customHeight="1" x14ac:dyDescent="0.25">
      <c r="S987" s="188"/>
    </row>
    <row r="988" spans="19:19" ht="60" customHeight="1" x14ac:dyDescent="0.25">
      <c r="S988" s="188"/>
    </row>
    <row r="989" spans="19:19" ht="60" customHeight="1" x14ac:dyDescent="0.25">
      <c r="S989" s="188"/>
    </row>
    <row r="990" spans="19:19" ht="60" customHeight="1" x14ac:dyDescent="0.25">
      <c r="S990" s="188"/>
    </row>
    <row r="991" spans="19:19" ht="60" customHeight="1" x14ac:dyDescent="0.25">
      <c r="S991" s="188"/>
    </row>
    <row r="992" spans="19:19" ht="60" customHeight="1" x14ac:dyDescent="0.25">
      <c r="S992" s="188"/>
    </row>
    <row r="993" spans="19:19" ht="60" customHeight="1" x14ac:dyDescent="0.25">
      <c r="S993" s="188"/>
    </row>
    <row r="994" spans="19:19" ht="60" customHeight="1" x14ac:dyDescent="0.25">
      <c r="S994" s="188"/>
    </row>
    <row r="995" spans="19:19" ht="60" customHeight="1" x14ac:dyDescent="0.25">
      <c r="S995" s="188"/>
    </row>
    <row r="996" spans="19:19" ht="60" customHeight="1" x14ac:dyDescent="0.25">
      <c r="S996" s="188"/>
    </row>
    <row r="997" spans="19:19" ht="60" customHeight="1" x14ac:dyDescent="0.25">
      <c r="S997" s="188"/>
    </row>
    <row r="998" spans="19:19" ht="60" customHeight="1" x14ac:dyDescent="0.25">
      <c r="S998" s="188"/>
    </row>
    <row r="999" spans="19:19" ht="60" customHeight="1" x14ac:dyDescent="0.25">
      <c r="S999" s="188"/>
    </row>
    <row r="1000" spans="19:19" ht="60" customHeight="1" x14ac:dyDescent="0.25">
      <c r="S1000" s="188"/>
    </row>
    <row r="1001" spans="19:19" ht="60" customHeight="1" x14ac:dyDescent="0.25">
      <c r="S1001" s="188"/>
    </row>
    <row r="1002" spans="19:19" ht="60" customHeight="1" x14ac:dyDescent="0.25">
      <c r="S1002" s="188"/>
    </row>
    <row r="1003" spans="19:19" ht="60" customHeight="1" x14ac:dyDescent="0.25">
      <c r="S1003" s="188"/>
    </row>
    <row r="1004" spans="19:19" ht="60" customHeight="1" x14ac:dyDescent="0.25">
      <c r="S1004" s="188"/>
    </row>
    <row r="1005" spans="19:19" ht="60" customHeight="1" x14ac:dyDescent="0.25">
      <c r="S1005" s="188"/>
    </row>
    <row r="1006" spans="19:19" ht="60" customHeight="1" x14ac:dyDescent="0.25">
      <c r="S1006" s="188"/>
    </row>
    <row r="1007" spans="19:19" ht="60" customHeight="1" x14ac:dyDescent="0.25">
      <c r="S1007" s="188"/>
    </row>
    <row r="1008" spans="19:19" ht="60" customHeight="1" x14ac:dyDescent="0.25">
      <c r="S1008" s="188"/>
    </row>
    <row r="1009" spans="19:19" ht="60" customHeight="1" x14ac:dyDescent="0.25">
      <c r="S1009" s="188"/>
    </row>
    <row r="1010" spans="19:19" ht="60" customHeight="1" x14ac:dyDescent="0.25">
      <c r="S1010" s="188"/>
    </row>
    <row r="1011" spans="19:19" ht="60" customHeight="1" x14ac:dyDescent="0.25">
      <c r="S1011" s="188"/>
    </row>
    <row r="1012" spans="19:19" ht="60" customHeight="1" x14ac:dyDescent="0.25">
      <c r="S1012" s="188"/>
    </row>
    <row r="1013" spans="19:19" ht="60" customHeight="1" x14ac:dyDescent="0.25">
      <c r="S1013" s="188"/>
    </row>
    <row r="1014" spans="19:19" ht="60" customHeight="1" x14ac:dyDescent="0.25">
      <c r="S1014" s="188"/>
    </row>
    <row r="1015" spans="19:19" ht="60" customHeight="1" x14ac:dyDescent="0.25">
      <c r="S1015" s="188"/>
    </row>
    <row r="1016" spans="19:19" ht="60" customHeight="1" x14ac:dyDescent="0.25">
      <c r="S1016" s="188"/>
    </row>
    <row r="1017" spans="19:19" ht="60" customHeight="1" x14ac:dyDescent="0.25">
      <c r="S1017" s="188"/>
    </row>
    <row r="1018" spans="19:19" ht="60" customHeight="1" x14ac:dyDescent="0.25">
      <c r="S1018" s="188"/>
    </row>
    <row r="1019" spans="19:19" ht="60" customHeight="1" x14ac:dyDescent="0.25">
      <c r="S1019" s="188"/>
    </row>
    <row r="1020" spans="19:19" ht="60" customHeight="1" x14ac:dyDescent="0.25">
      <c r="S1020" s="188"/>
    </row>
    <row r="1021" spans="19:19" ht="60" customHeight="1" x14ac:dyDescent="0.25">
      <c r="S1021" s="188"/>
    </row>
    <row r="1022" spans="19:19" ht="60" customHeight="1" x14ac:dyDescent="0.25">
      <c r="S1022" s="188"/>
    </row>
    <row r="1023" spans="19:19" ht="60" customHeight="1" x14ac:dyDescent="0.25">
      <c r="S1023" s="188"/>
    </row>
    <row r="1024" spans="19:19" ht="60" customHeight="1" x14ac:dyDescent="0.25">
      <c r="S1024" s="188"/>
    </row>
    <row r="1025" spans="19:19" ht="60" customHeight="1" x14ac:dyDescent="0.25">
      <c r="S1025" s="188"/>
    </row>
    <row r="1026" spans="19:19" ht="60" customHeight="1" x14ac:dyDescent="0.25">
      <c r="S1026" s="188"/>
    </row>
    <row r="1027" spans="19:19" ht="60" customHeight="1" x14ac:dyDescent="0.25">
      <c r="S1027" s="188"/>
    </row>
    <row r="1028" spans="19:19" ht="60" customHeight="1" x14ac:dyDescent="0.25">
      <c r="S1028" s="188"/>
    </row>
    <row r="1029" spans="19:19" ht="60" customHeight="1" x14ac:dyDescent="0.25">
      <c r="S1029" s="188"/>
    </row>
    <row r="1030" spans="19:19" ht="60" customHeight="1" x14ac:dyDescent="0.25">
      <c r="S1030" s="188"/>
    </row>
    <row r="1031" spans="19:19" ht="60" customHeight="1" x14ac:dyDescent="0.25">
      <c r="S1031" s="188"/>
    </row>
    <row r="1032" spans="19:19" ht="60" customHeight="1" x14ac:dyDescent="0.25">
      <c r="S1032" s="188"/>
    </row>
    <row r="1033" spans="19:19" ht="60" customHeight="1" x14ac:dyDescent="0.25">
      <c r="S1033" s="188"/>
    </row>
    <row r="1034" spans="19:19" ht="60" customHeight="1" x14ac:dyDescent="0.25">
      <c r="S1034" s="188"/>
    </row>
    <row r="1035" spans="19:19" ht="60" customHeight="1" x14ac:dyDescent="0.25">
      <c r="S1035" s="188"/>
    </row>
    <row r="1036" spans="19:19" ht="60" customHeight="1" x14ac:dyDescent="0.25">
      <c r="S1036" s="188"/>
    </row>
    <row r="1037" spans="19:19" ht="60" customHeight="1" x14ac:dyDescent="0.25">
      <c r="S1037" s="188"/>
    </row>
    <row r="1038" spans="19:19" ht="60" customHeight="1" x14ac:dyDescent="0.25">
      <c r="S1038" s="188"/>
    </row>
    <row r="1039" spans="19:19" ht="60" customHeight="1" x14ac:dyDescent="0.25">
      <c r="S1039" s="188"/>
    </row>
    <row r="1040" spans="19:19" ht="60" customHeight="1" x14ac:dyDescent="0.25">
      <c r="S1040" s="188"/>
    </row>
    <row r="1041" spans="19:19" ht="60" customHeight="1" x14ac:dyDescent="0.25">
      <c r="S1041" s="188"/>
    </row>
    <row r="1042" spans="19:19" ht="60" customHeight="1" x14ac:dyDescent="0.25">
      <c r="S1042" s="188"/>
    </row>
    <row r="1043" spans="19:19" ht="60" customHeight="1" x14ac:dyDescent="0.25">
      <c r="S1043" s="188"/>
    </row>
    <row r="1044" spans="19:19" ht="60" customHeight="1" x14ac:dyDescent="0.25">
      <c r="S1044" s="188"/>
    </row>
    <row r="1045" spans="19:19" ht="60" customHeight="1" x14ac:dyDescent="0.25">
      <c r="S1045" s="188"/>
    </row>
    <row r="1046" spans="19:19" ht="60" customHeight="1" x14ac:dyDescent="0.25">
      <c r="S1046" s="188"/>
    </row>
    <row r="1047" spans="19:19" ht="60" customHeight="1" x14ac:dyDescent="0.25">
      <c r="S1047" s="188"/>
    </row>
    <row r="1048" spans="19:19" ht="60" customHeight="1" x14ac:dyDescent="0.25">
      <c r="S1048" s="188"/>
    </row>
    <row r="1049" spans="19:19" ht="60" customHeight="1" x14ac:dyDescent="0.25">
      <c r="S1049" s="188"/>
    </row>
    <row r="1050" spans="19:19" ht="60" customHeight="1" x14ac:dyDescent="0.25">
      <c r="S1050" s="188"/>
    </row>
    <row r="1051" spans="19:19" ht="60" customHeight="1" x14ac:dyDescent="0.25">
      <c r="S1051" s="188"/>
    </row>
    <row r="1052" spans="19:19" ht="60" customHeight="1" x14ac:dyDescent="0.25">
      <c r="S1052" s="188"/>
    </row>
    <row r="1053" spans="19:19" ht="60" customHeight="1" x14ac:dyDescent="0.25">
      <c r="S1053" s="188"/>
    </row>
    <row r="1054" spans="19:19" ht="60" customHeight="1" x14ac:dyDescent="0.25">
      <c r="S1054" s="188"/>
    </row>
    <row r="1055" spans="19:19" ht="60" customHeight="1" x14ac:dyDescent="0.25">
      <c r="S1055" s="188"/>
    </row>
    <row r="1056" spans="19:19" ht="60" customHeight="1" x14ac:dyDescent="0.25">
      <c r="S1056" s="188"/>
    </row>
    <row r="1057" spans="19:19" ht="60" customHeight="1" x14ac:dyDescent="0.25">
      <c r="S1057" s="188"/>
    </row>
    <row r="1058" spans="19:19" ht="60" customHeight="1" x14ac:dyDescent="0.25">
      <c r="S1058" s="188"/>
    </row>
    <row r="1059" spans="19:19" ht="60" customHeight="1" x14ac:dyDescent="0.25">
      <c r="S1059" s="188"/>
    </row>
    <row r="1060" spans="19:19" ht="60" customHeight="1" x14ac:dyDescent="0.25">
      <c r="S1060" s="188"/>
    </row>
    <row r="1061" spans="19:19" ht="60" customHeight="1" x14ac:dyDescent="0.25">
      <c r="S1061" s="188"/>
    </row>
    <row r="1062" spans="19:19" ht="60" customHeight="1" x14ac:dyDescent="0.25">
      <c r="S1062" s="188"/>
    </row>
    <row r="1063" spans="19:19" ht="60" customHeight="1" x14ac:dyDescent="0.25">
      <c r="S1063" s="188"/>
    </row>
    <row r="1064" spans="19:19" ht="60" customHeight="1" x14ac:dyDescent="0.25">
      <c r="S1064" s="188"/>
    </row>
    <row r="1065" spans="19:19" ht="60" customHeight="1" x14ac:dyDescent="0.25">
      <c r="S1065" s="188"/>
    </row>
    <row r="1066" spans="19:19" ht="60" customHeight="1" x14ac:dyDescent="0.25">
      <c r="S1066" s="188"/>
    </row>
    <row r="1067" spans="19:19" ht="60" customHeight="1" x14ac:dyDescent="0.25">
      <c r="S1067" s="188"/>
    </row>
    <row r="1068" spans="19:19" ht="60" customHeight="1" x14ac:dyDescent="0.25">
      <c r="S1068" s="188"/>
    </row>
    <row r="1069" spans="19:19" ht="60" customHeight="1" x14ac:dyDescent="0.25">
      <c r="S1069" s="188"/>
    </row>
    <row r="1070" spans="19:19" ht="60" customHeight="1" x14ac:dyDescent="0.25">
      <c r="S1070" s="188"/>
    </row>
    <row r="1071" spans="19:19" ht="60" customHeight="1" x14ac:dyDescent="0.25">
      <c r="S1071" s="188"/>
    </row>
    <row r="1072" spans="19:19" ht="60" customHeight="1" x14ac:dyDescent="0.25">
      <c r="S1072" s="188"/>
    </row>
    <row r="1073" spans="19:19" ht="60" customHeight="1" x14ac:dyDescent="0.25">
      <c r="S1073" s="188"/>
    </row>
    <row r="1074" spans="19:19" ht="60" customHeight="1" x14ac:dyDescent="0.25">
      <c r="S1074" s="188"/>
    </row>
    <row r="1075" spans="19:19" ht="60" customHeight="1" x14ac:dyDescent="0.25">
      <c r="S1075" s="188"/>
    </row>
    <row r="1076" spans="19:19" ht="60" customHeight="1" x14ac:dyDescent="0.25">
      <c r="S1076" s="188"/>
    </row>
    <row r="1077" spans="19:19" ht="60" customHeight="1" x14ac:dyDescent="0.25">
      <c r="S1077" s="188"/>
    </row>
    <row r="1078" spans="19:19" ht="60" customHeight="1" x14ac:dyDescent="0.25">
      <c r="S1078" s="188"/>
    </row>
    <row r="1079" spans="19:19" ht="60" customHeight="1" x14ac:dyDescent="0.25">
      <c r="S1079" s="188"/>
    </row>
    <row r="1080" spans="19:19" ht="60" customHeight="1" x14ac:dyDescent="0.25">
      <c r="S1080" s="188"/>
    </row>
    <row r="1081" spans="19:19" ht="60" customHeight="1" x14ac:dyDescent="0.25">
      <c r="S1081" s="188"/>
    </row>
    <row r="1082" spans="19:19" ht="60" customHeight="1" x14ac:dyDescent="0.25">
      <c r="S1082" s="188"/>
    </row>
    <row r="1083" spans="19:19" ht="60" customHeight="1" x14ac:dyDescent="0.25">
      <c r="S1083" s="188"/>
    </row>
    <row r="1084" spans="19:19" ht="60" customHeight="1" x14ac:dyDescent="0.25">
      <c r="S1084" s="188"/>
    </row>
    <row r="1085" spans="19:19" ht="60" customHeight="1" x14ac:dyDescent="0.25">
      <c r="S1085" s="188"/>
    </row>
    <row r="1086" spans="19:19" ht="60" customHeight="1" x14ac:dyDescent="0.25">
      <c r="S1086" s="188"/>
    </row>
    <row r="1087" spans="19:19" ht="60" customHeight="1" x14ac:dyDescent="0.25">
      <c r="S1087" s="188"/>
    </row>
    <row r="1088" spans="19:19" ht="60" customHeight="1" x14ac:dyDescent="0.25">
      <c r="S1088" s="188"/>
    </row>
    <row r="1089" spans="19:19" ht="60" customHeight="1" x14ac:dyDescent="0.25">
      <c r="S1089" s="188"/>
    </row>
    <row r="1090" spans="19:19" ht="60" customHeight="1" x14ac:dyDescent="0.25">
      <c r="S1090" s="188"/>
    </row>
    <row r="1091" spans="19:19" ht="60" customHeight="1" x14ac:dyDescent="0.25">
      <c r="S1091" s="188"/>
    </row>
    <row r="1092" spans="19:19" ht="60" customHeight="1" x14ac:dyDescent="0.25">
      <c r="S1092" s="188"/>
    </row>
    <row r="1093" spans="19:19" ht="60" customHeight="1" x14ac:dyDescent="0.25">
      <c r="S1093" s="188"/>
    </row>
    <row r="1094" spans="19:19" ht="60" customHeight="1" x14ac:dyDescent="0.25">
      <c r="S1094" s="188"/>
    </row>
    <row r="1095" spans="19:19" ht="60" customHeight="1" x14ac:dyDescent="0.25">
      <c r="S1095" s="188"/>
    </row>
    <row r="1096" spans="19:19" ht="60" customHeight="1" x14ac:dyDescent="0.25">
      <c r="S1096" s="188"/>
    </row>
    <row r="1097" spans="19:19" ht="60" customHeight="1" x14ac:dyDescent="0.25">
      <c r="S1097" s="188"/>
    </row>
    <row r="1098" spans="19:19" ht="60" customHeight="1" x14ac:dyDescent="0.25">
      <c r="S1098" s="188"/>
    </row>
    <row r="1099" spans="19:19" ht="60" customHeight="1" x14ac:dyDescent="0.25">
      <c r="S1099" s="188"/>
    </row>
    <row r="1100" spans="19:19" ht="60" customHeight="1" x14ac:dyDescent="0.25">
      <c r="S1100" s="188"/>
    </row>
    <row r="1101" spans="19:19" ht="60" customHeight="1" x14ac:dyDescent="0.25">
      <c r="S1101" s="188"/>
    </row>
    <row r="1102" spans="19:19" ht="60" customHeight="1" x14ac:dyDescent="0.25">
      <c r="S1102" s="188"/>
    </row>
    <row r="1103" spans="19:19" ht="60" customHeight="1" x14ac:dyDescent="0.25">
      <c r="S1103" s="188"/>
    </row>
    <row r="1104" spans="19:19" ht="60" customHeight="1" x14ac:dyDescent="0.25">
      <c r="S1104" s="188"/>
    </row>
    <row r="1105" spans="19:19" ht="60" customHeight="1" x14ac:dyDescent="0.25">
      <c r="S1105" s="188"/>
    </row>
    <row r="1106" spans="19:19" ht="60" customHeight="1" x14ac:dyDescent="0.25">
      <c r="S1106" s="188"/>
    </row>
    <row r="1107" spans="19:19" ht="60" customHeight="1" x14ac:dyDescent="0.25">
      <c r="S1107" s="188"/>
    </row>
    <row r="1108" spans="19:19" ht="60" customHeight="1" x14ac:dyDescent="0.25">
      <c r="S1108" s="188"/>
    </row>
    <row r="1109" spans="19:19" ht="60" customHeight="1" x14ac:dyDescent="0.25">
      <c r="S1109" s="188"/>
    </row>
    <row r="1110" spans="19:19" ht="60" customHeight="1" x14ac:dyDescent="0.25">
      <c r="S1110" s="188"/>
    </row>
    <row r="1111" spans="19:19" ht="60" customHeight="1" x14ac:dyDescent="0.25">
      <c r="S1111" s="188"/>
    </row>
    <row r="1112" spans="19:19" ht="60" customHeight="1" x14ac:dyDescent="0.25">
      <c r="S1112" s="188"/>
    </row>
    <row r="1113" spans="19:19" ht="60" customHeight="1" x14ac:dyDescent="0.25">
      <c r="S1113" s="188"/>
    </row>
    <row r="1114" spans="19:19" ht="60" customHeight="1" x14ac:dyDescent="0.25">
      <c r="S1114" s="188"/>
    </row>
    <row r="1115" spans="19:19" ht="60" customHeight="1" x14ac:dyDescent="0.25">
      <c r="S1115" s="188"/>
    </row>
    <row r="1116" spans="19:19" ht="60" customHeight="1" x14ac:dyDescent="0.25">
      <c r="S1116" s="188"/>
    </row>
    <row r="1117" spans="19:19" ht="60" customHeight="1" x14ac:dyDescent="0.25">
      <c r="S1117" s="188"/>
    </row>
    <row r="1118" spans="19:19" ht="60" customHeight="1" x14ac:dyDescent="0.25">
      <c r="S1118" s="188"/>
    </row>
    <row r="1119" spans="19:19" ht="60" customHeight="1" x14ac:dyDescent="0.25">
      <c r="S1119" s="188"/>
    </row>
    <row r="1120" spans="19:19" ht="60" customHeight="1" x14ac:dyDescent="0.25">
      <c r="S1120" s="188"/>
    </row>
    <row r="1121" spans="19:19" ht="60" customHeight="1" x14ac:dyDescent="0.25">
      <c r="S1121" s="188"/>
    </row>
    <row r="1122" spans="19:19" ht="60" customHeight="1" x14ac:dyDescent="0.25">
      <c r="S1122" s="188"/>
    </row>
    <row r="1123" spans="19:19" ht="60" customHeight="1" x14ac:dyDescent="0.25">
      <c r="S1123" s="188"/>
    </row>
    <row r="1124" spans="19:19" ht="60" customHeight="1" x14ac:dyDescent="0.25">
      <c r="S1124" s="188"/>
    </row>
    <row r="1125" spans="19:19" ht="60" customHeight="1" x14ac:dyDescent="0.25">
      <c r="S1125" s="188"/>
    </row>
    <row r="1126" spans="19:19" ht="60" customHeight="1" x14ac:dyDescent="0.25">
      <c r="S1126" s="188"/>
    </row>
    <row r="1127" spans="19:19" ht="60" customHeight="1" x14ac:dyDescent="0.25">
      <c r="S1127" s="188"/>
    </row>
    <row r="1128" spans="19:19" ht="60" customHeight="1" x14ac:dyDescent="0.25">
      <c r="S1128" s="188"/>
    </row>
    <row r="1129" spans="19:19" ht="60" customHeight="1" x14ac:dyDescent="0.25">
      <c r="S1129" s="188"/>
    </row>
    <row r="1130" spans="19:19" ht="60" customHeight="1" x14ac:dyDescent="0.25">
      <c r="S1130" s="188"/>
    </row>
    <row r="1131" spans="19:19" ht="60" customHeight="1" x14ac:dyDescent="0.25">
      <c r="S1131" s="188"/>
    </row>
    <row r="1132" spans="19:19" ht="60" customHeight="1" x14ac:dyDescent="0.25">
      <c r="S1132" s="188"/>
    </row>
    <row r="1133" spans="19:19" ht="60" customHeight="1" x14ac:dyDescent="0.25">
      <c r="S1133" s="188"/>
    </row>
    <row r="1134" spans="19:19" ht="60" customHeight="1" x14ac:dyDescent="0.25">
      <c r="S1134" s="188"/>
    </row>
    <row r="1135" spans="19:19" ht="60" customHeight="1" x14ac:dyDescent="0.25">
      <c r="S1135" s="188"/>
    </row>
    <row r="1136" spans="19:19" ht="60" customHeight="1" x14ac:dyDescent="0.25">
      <c r="S1136" s="188"/>
    </row>
    <row r="1137" spans="19:19" ht="60" customHeight="1" x14ac:dyDescent="0.25">
      <c r="S1137" s="188"/>
    </row>
    <row r="1138" spans="19:19" ht="60" customHeight="1" x14ac:dyDescent="0.25">
      <c r="S1138" s="188"/>
    </row>
    <row r="1139" spans="19:19" ht="60" customHeight="1" x14ac:dyDescent="0.25">
      <c r="S1139" s="188"/>
    </row>
    <row r="1140" spans="19:19" ht="60" customHeight="1" x14ac:dyDescent="0.25">
      <c r="S1140" s="188"/>
    </row>
    <row r="1141" spans="19:19" ht="60" customHeight="1" x14ac:dyDescent="0.25">
      <c r="S1141" s="188"/>
    </row>
    <row r="1142" spans="19:19" ht="60" customHeight="1" x14ac:dyDescent="0.25">
      <c r="S1142" s="188"/>
    </row>
    <row r="1143" spans="19:19" ht="60" customHeight="1" x14ac:dyDescent="0.25">
      <c r="S1143" s="188"/>
    </row>
    <row r="1144" spans="19:19" ht="60" customHeight="1" x14ac:dyDescent="0.25">
      <c r="S1144" s="188"/>
    </row>
    <row r="1145" spans="19:19" ht="60" customHeight="1" x14ac:dyDescent="0.25">
      <c r="S1145" s="188"/>
    </row>
    <row r="1146" spans="19:19" ht="60" customHeight="1" x14ac:dyDescent="0.25">
      <c r="S1146" s="188"/>
    </row>
    <row r="1147" spans="19:19" ht="60" customHeight="1" x14ac:dyDescent="0.25">
      <c r="S1147" s="188"/>
    </row>
    <row r="1148" spans="19:19" ht="60" customHeight="1" x14ac:dyDescent="0.25">
      <c r="S1148" s="188"/>
    </row>
    <row r="1149" spans="19:19" ht="60" customHeight="1" x14ac:dyDescent="0.25">
      <c r="S1149" s="188"/>
    </row>
    <row r="1150" spans="19:19" ht="60" customHeight="1" x14ac:dyDescent="0.25">
      <c r="S1150" s="188"/>
    </row>
    <row r="1151" spans="19:19" ht="60" customHeight="1" x14ac:dyDescent="0.25">
      <c r="S1151" s="188"/>
    </row>
    <row r="1152" spans="19:19" ht="60" customHeight="1" x14ac:dyDescent="0.25">
      <c r="S1152" s="188"/>
    </row>
    <row r="1153" spans="19:19" ht="60" customHeight="1" x14ac:dyDescent="0.25">
      <c r="S1153" s="188"/>
    </row>
    <row r="1154" spans="19:19" ht="60" customHeight="1" x14ac:dyDescent="0.25">
      <c r="S1154" s="188"/>
    </row>
    <row r="1155" spans="19:19" ht="60" customHeight="1" x14ac:dyDescent="0.25">
      <c r="S1155" s="188"/>
    </row>
    <row r="1156" spans="19:19" ht="60" customHeight="1" x14ac:dyDescent="0.25">
      <c r="S1156" s="188"/>
    </row>
    <row r="1157" spans="19:19" ht="60" customHeight="1" x14ac:dyDescent="0.25">
      <c r="S1157" s="188"/>
    </row>
    <row r="1158" spans="19:19" ht="60" customHeight="1" x14ac:dyDescent="0.25">
      <c r="S1158" s="188"/>
    </row>
    <row r="1159" spans="19:19" ht="60" customHeight="1" x14ac:dyDescent="0.25">
      <c r="S1159" s="188"/>
    </row>
    <row r="1160" spans="19:19" ht="60" customHeight="1" x14ac:dyDescent="0.25">
      <c r="S1160" s="188"/>
    </row>
    <row r="1161" spans="19:19" ht="60" customHeight="1" x14ac:dyDescent="0.25">
      <c r="S1161" s="188"/>
    </row>
    <row r="1162" spans="19:19" ht="60" customHeight="1" x14ac:dyDescent="0.25">
      <c r="S1162" s="188"/>
    </row>
    <row r="1163" spans="19:19" ht="60" customHeight="1" x14ac:dyDescent="0.25">
      <c r="S1163" s="188"/>
    </row>
    <row r="1164" spans="19:19" ht="60" customHeight="1" x14ac:dyDescent="0.25">
      <c r="S1164" s="188"/>
    </row>
    <row r="1165" spans="19:19" ht="60" customHeight="1" x14ac:dyDescent="0.25">
      <c r="S1165" s="188"/>
    </row>
    <row r="1166" spans="19:19" ht="60" customHeight="1" x14ac:dyDescent="0.25">
      <c r="S1166" s="188"/>
    </row>
    <row r="1167" spans="19:19" ht="60" customHeight="1" x14ac:dyDescent="0.25">
      <c r="S1167" s="188"/>
    </row>
    <row r="1168" spans="19:19" ht="60" customHeight="1" x14ac:dyDescent="0.25">
      <c r="S1168" s="188"/>
    </row>
    <row r="1169" spans="19:19" ht="60" customHeight="1" x14ac:dyDescent="0.25">
      <c r="S1169" s="188"/>
    </row>
    <row r="1170" spans="19:19" ht="60" customHeight="1" x14ac:dyDescent="0.25">
      <c r="S1170" s="188"/>
    </row>
    <row r="1171" spans="19:19" ht="60" customHeight="1" x14ac:dyDescent="0.25">
      <c r="S1171" s="188"/>
    </row>
    <row r="1172" spans="19:19" ht="60" customHeight="1" x14ac:dyDescent="0.25">
      <c r="S1172" s="188"/>
    </row>
    <row r="1173" spans="19:19" ht="60" customHeight="1" x14ac:dyDescent="0.25">
      <c r="S1173" s="188"/>
    </row>
    <row r="1174" spans="19:19" ht="60" customHeight="1" x14ac:dyDescent="0.25">
      <c r="S1174" s="188"/>
    </row>
    <row r="1175" spans="19:19" ht="60" customHeight="1" x14ac:dyDescent="0.25">
      <c r="S1175" s="188"/>
    </row>
    <row r="1176" spans="19:19" ht="60" customHeight="1" x14ac:dyDescent="0.25">
      <c r="S1176" s="188"/>
    </row>
    <row r="1177" spans="19:19" ht="60" customHeight="1" x14ac:dyDescent="0.25">
      <c r="S1177" s="188"/>
    </row>
    <row r="1178" spans="19:19" ht="60" customHeight="1" x14ac:dyDescent="0.25">
      <c r="S1178" s="188"/>
    </row>
    <row r="1179" spans="19:19" ht="60" customHeight="1" x14ac:dyDescent="0.25">
      <c r="S1179" s="188"/>
    </row>
    <row r="1180" spans="19:19" ht="60" customHeight="1" x14ac:dyDescent="0.25">
      <c r="S1180" s="188"/>
    </row>
    <row r="1181" spans="19:19" ht="60" customHeight="1" x14ac:dyDescent="0.25">
      <c r="S1181" s="188"/>
    </row>
    <row r="1182" spans="19:19" ht="60" customHeight="1" x14ac:dyDescent="0.25">
      <c r="S1182" s="188"/>
    </row>
    <row r="1183" spans="19:19" ht="60" customHeight="1" x14ac:dyDescent="0.25">
      <c r="S1183" s="188"/>
    </row>
    <row r="1184" spans="19:19" ht="60" customHeight="1" x14ac:dyDescent="0.25">
      <c r="S1184" s="188"/>
    </row>
    <row r="1185" spans="19:19" ht="60" customHeight="1" x14ac:dyDescent="0.25">
      <c r="S1185" s="188"/>
    </row>
    <row r="1186" spans="19:19" ht="60" customHeight="1" x14ac:dyDescent="0.25">
      <c r="S1186" s="188"/>
    </row>
    <row r="1187" spans="19:19" ht="60" customHeight="1" x14ac:dyDescent="0.25">
      <c r="S1187" s="188"/>
    </row>
    <row r="1188" spans="19:19" ht="60" customHeight="1" x14ac:dyDescent="0.25">
      <c r="S1188" s="188"/>
    </row>
    <row r="1189" spans="19:19" ht="60" customHeight="1" x14ac:dyDescent="0.25">
      <c r="S1189" s="188"/>
    </row>
    <row r="1190" spans="19:19" ht="60" customHeight="1" x14ac:dyDescent="0.25">
      <c r="S1190" s="188"/>
    </row>
    <row r="1191" spans="19:19" ht="60" customHeight="1" x14ac:dyDescent="0.25">
      <c r="S1191" s="188"/>
    </row>
    <row r="1192" spans="19:19" ht="60" customHeight="1" x14ac:dyDescent="0.25">
      <c r="S1192" s="188"/>
    </row>
    <row r="1193" spans="19:19" ht="60" customHeight="1" x14ac:dyDescent="0.25">
      <c r="S1193" s="188"/>
    </row>
    <row r="1194" spans="19:19" ht="60" customHeight="1" x14ac:dyDescent="0.25">
      <c r="S1194" s="188"/>
    </row>
    <row r="1195" spans="19:19" ht="60" customHeight="1" x14ac:dyDescent="0.25">
      <c r="S1195" s="188"/>
    </row>
    <row r="1196" spans="19:19" ht="60" customHeight="1" x14ac:dyDescent="0.25">
      <c r="S1196" s="188"/>
    </row>
    <row r="1197" spans="19:19" ht="60" customHeight="1" x14ac:dyDescent="0.25">
      <c r="S1197" s="188"/>
    </row>
    <row r="1198" spans="19:19" ht="60" customHeight="1" x14ac:dyDescent="0.25">
      <c r="S1198" s="188"/>
    </row>
    <row r="1199" spans="19:19" ht="60" customHeight="1" x14ac:dyDescent="0.25">
      <c r="S1199" s="188"/>
    </row>
    <row r="1200" spans="19:19" ht="60" customHeight="1" x14ac:dyDescent="0.25">
      <c r="S1200" s="188"/>
    </row>
    <row r="1201" spans="19:19" ht="60" customHeight="1" x14ac:dyDescent="0.25">
      <c r="S1201" s="188"/>
    </row>
    <row r="1202" spans="19:19" ht="60" customHeight="1" x14ac:dyDescent="0.25">
      <c r="S1202" s="188"/>
    </row>
    <row r="1203" spans="19:19" ht="60" customHeight="1" x14ac:dyDescent="0.25">
      <c r="S1203" s="188"/>
    </row>
    <row r="1204" spans="19:19" ht="60" customHeight="1" x14ac:dyDescent="0.25">
      <c r="S1204" s="188"/>
    </row>
    <row r="1205" spans="19:19" ht="60" customHeight="1" x14ac:dyDescent="0.25">
      <c r="S1205" s="188"/>
    </row>
    <row r="1206" spans="19:19" ht="60" customHeight="1" x14ac:dyDescent="0.25">
      <c r="S1206" s="188"/>
    </row>
    <row r="1207" spans="19:19" ht="60" customHeight="1" x14ac:dyDescent="0.25">
      <c r="S1207" s="188"/>
    </row>
    <row r="1208" spans="19:19" ht="60" customHeight="1" x14ac:dyDescent="0.25">
      <c r="S1208" s="188"/>
    </row>
    <row r="1209" spans="19:19" ht="60" customHeight="1" x14ac:dyDescent="0.25">
      <c r="S1209" s="188"/>
    </row>
    <row r="1210" spans="19:19" ht="60" customHeight="1" x14ac:dyDescent="0.25">
      <c r="S1210" s="188"/>
    </row>
    <row r="1211" spans="19:19" ht="60" customHeight="1" x14ac:dyDescent="0.25">
      <c r="S1211" s="188"/>
    </row>
    <row r="1212" spans="19:19" ht="60" customHeight="1" x14ac:dyDescent="0.25">
      <c r="S1212" s="188"/>
    </row>
    <row r="1213" spans="19:19" ht="60" customHeight="1" x14ac:dyDescent="0.25">
      <c r="S1213" s="188"/>
    </row>
    <row r="1214" spans="19:19" ht="60" customHeight="1" x14ac:dyDescent="0.25">
      <c r="S1214" s="188"/>
    </row>
    <row r="1215" spans="19:19" ht="60" customHeight="1" x14ac:dyDescent="0.25">
      <c r="S1215" s="188"/>
    </row>
    <row r="1216" spans="19:19" ht="60" customHeight="1" x14ac:dyDescent="0.25">
      <c r="S1216" s="188"/>
    </row>
    <row r="1217" spans="19:19" ht="60" customHeight="1" x14ac:dyDescent="0.25">
      <c r="S1217" s="188"/>
    </row>
    <row r="1218" spans="19:19" ht="60" customHeight="1" x14ac:dyDescent="0.25">
      <c r="S1218" s="188"/>
    </row>
    <row r="1219" spans="19:19" ht="60" customHeight="1" x14ac:dyDescent="0.25">
      <c r="S1219" s="188"/>
    </row>
    <row r="1220" spans="19:19" ht="60" customHeight="1" x14ac:dyDescent="0.25">
      <c r="S1220" s="188"/>
    </row>
    <row r="1221" spans="19:19" ht="60" customHeight="1" x14ac:dyDescent="0.25">
      <c r="S1221" s="188"/>
    </row>
    <row r="1222" spans="19:19" ht="60" customHeight="1" x14ac:dyDescent="0.25">
      <c r="S1222" s="188"/>
    </row>
    <row r="1223" spans="19:19" ht="60" customHeight="1" x14ac:dyDescent="0.25">
      <c r="S1223" s="188"/>
    </row>
    <row r="1224" spans="19:19" ht="60" customHeight="1" x14ac:dyDescent="0.25">
      <c r="S1224" s="188"/>
    </row>
    <row r="1225" spans="19:19" ht="60" customHeight="1" x14ac:dyDescent="0.25">
      <c r="S1225" s="188"/>
    </row>
    <row r="1226" spans="19:19" ht="60" customHeight="1" x14ac:dyDescent="0.25">
      <c r="S1226" s="188"/>
    </row>
    <row r="1227" spans="19:19" ht="60" customHeight="1" x14ac:dyDescent="0.25">
      <c r="S1227" s="188"/>
    </row>
    <row r="1228" spans="19:19" ht="60" customHeight="1" x14ac:dyDescent="0.25">
      <c r="S1228" s="188"/>
    </row>
    <row r="1229" spans="19:19" ht="60" customHeight="1" x14ac:dyDescent="0.25">
      <c r="S1229" s="188"/>
    </row>
    <row r="1230" spans="19:19" ht="60" customHeight="1" x14ac:dyDescent="0.25">
      <c r="S1230" s="188"/>
    </row>
    <row r="1231" spans="19:19" ht="60" customHeight="1" x14ac:dyDescent="0.25">
      <c r="S1231" s="188"/>
    </row>
    <row r="1232" spans="19:19" ht="60" customHeight="1" x14ac:dyDescent="0.25">
      <c r="S1232" s="188"/>
    </row>
    <row r="1233" spans="19:19" ht="60" customHeight="1" x14ac:dyDescent="0.25">
      <c r="S1233" s="188"/>
    </row>
    <row r="1234" spans="19:19" ht="60" customHeight="1" x14ac:dyDescent="0.25">
      <c r="S1234" s="188"/>
    </row>
    <row r="1235" spans="19:19" ht="60" customHeight="1" x14ac:dyDescent="0.25">
      <c r="S1235" s="188"/>
    </row>
    <row r="1236" spans="19:19" ht="60" customHeight="1" x14ac:dyDescent="0.25">
      <c r="S1236" s="188"/>
    </row>
    <row r="1237" spans="19:19" ht="60" customHeight="1" x14ac:dyDescent="0.25">
      <c r="S1237" s="188"/>
    </row>
    <row r="1238" spans="19:19" ht="60" customHeight="1" x14ac:dyDescent="0.25">
      <c r="S1238" s="188"/>
    </row>
    <row r="1239" spans="19:19" ht="60" customHeight="1" x14ac:dyDescent="0.25">
      <c r="S1239" s="188"/>
    </row>
    <row r="1240" spans="19:19" ht="60" customHeight="1" x14ac:dyDescent="0.25">
      <c r="S1240" s="188"/>
    </row>
    <row r="1241" spans="19:19" ht="60" customHeight="1" x14ac:dyDescent="0.25">
      <c r="S1241" s="188"/>
    </row>
    <row r="1242" spans="19:19" ht="60" customHeight="1" x14ac:dyDescent="0.25">
      <c r="S1242" s="188"/>
    </row>
    <row r="1243" spans="19:19" ht="60" customHeight="1" x14ac:dyDescent="0.25">
      <c r="S1243" s="188"/>
    </row>
    <row r="1244" spans="19:19" ht="60" customHeight="1" x14ac:dyDescent="0.25">
      <c r="S1244" s="188"/>
    </row>
    <row r="1245" spans="19:19" ht="60" customHeight="1" x14ac:dyDescent="0.25">
      <c r="S1245" s="188"/>
    </row>
    <row r="1246" spans="19:19" ht="60" customHeight="1" x14ac:dyDescent="0.25">
      <c r="S1246" s="188"/>
    </row>
    <row r="1247" spans="19:19" ht="60" customHeight="1" x14ac:dyDescent="0.25">
      <c r="S1247" s="188"/>
    </row>
    <row r="1248" spans="19:19" ht="60" customHeight="1" x14ac:dyDescent="0.25">
      <c r="S1248" s="188"/>
    </row>
    <row r="1249" spans="19:19" ht="60" customHeight="1" x14ac:dyDescent="0.25">
      <c r="S1249" s="188"/>
    </row>
    <row r="1250" spans="19:19" ht="60" customHeight="1" x14ac:dyDescent="0.25">
      <c r="S1250" s="188"/>
    </row>
    <row r="1251" spans="19:19" ht="60" customHeight="1" x14ac:dyDescent="0.25">
      <c r="S1251" s="188"/>
    </row>
    <row r="1252" spans="19:19" ht="60" customHeight="1" x14ac:dyDescent="0.25">
      <c r="S1252" s="188"/>
    </row>
    <row r="1253" spans="19:19" ht="60" customHeight="1" x14ac:dyDescent="0.25">
      <c r="S1253" s="188"/>
    </row>
    <row r="1254" spans="19:19" ht="60" customHeight="1" x14ac:dyDescent="0.25">
      <c r="S1254" s="188"/>
    </row>
    <row r="1255" spans="19:19" ht="60" customHeight="1" x14ac:dyDescent="0.25">
      <c r="S1255" s="188"/>
    </row>
    <row r="1256" spans="19:19" ht="60" customHeight="1" x14ac:dyDescent="0.25">
      <c r="S1256" s="188"/>
    </row>
    <row r="1257" spans="19:19" ht="60" customHeight="1" x14ac:dyDescent="0.25">
      <c r="S1257" s="188"/>
    </row>
    <row r="1258" spans="19:19" ht="60" customHeight="1" x14ac:dyDescent="0.25">
      <c r="S1258" s="188"/>
    </row>
    <row r="1259" spans="19:19" ht="60" customHeight="1" x14ac:dyDescent="0.25">
      <c r="S1259" s="188"/>
    </row>
    <row r="1260" spans="19:19" ht="60" customHeight="1" x14ac:dyDescent="0.25">
      <c r="S1260" s="188"/>
    </row>
    <row r="1261" spans="19:19" ht="60" customHeight="1" x14ac:dyDescent="0.25">
      <c r="S1261" s="188"/>
    </row>
    <row r="1262" spans="19:19" ht="60" customHeight="1" x14ac:dyDescent="0.25">
      <c r="S1262" s="188"/>
    </row>
    <row r="1263" spans="19:19" ht="60" customHeight="1" x14ac:dyDescent="0.25">
      <c r="S1263" s="188"/>
    </row>
    <row r="1264" spans="19:19" ht="60" customHeight="1" x14ac:dyDescent="0.25">
      <c r="S1264" s="188"/>
    </row>
    <row r="1265" spans="19:19" ht="60" customHeight="1" x14ac:dyDescent="0.25">
      <c r="S1265" s="188"/>
    </row>
    <row r="1266" spans="19:19" ht="60" customHeight="1" x14ac:dyDescent="0.25">
      <c r="S1266" s="188"/>
    </row>
    <row r="1267" spans="19:19" ht="60" customHeight="1" x14ac:dyDescent="0.25">
      <c r="S1267" s="188"/>
    </row>
    <row r="1268" spans="19:19" ht="60" customHeight="1" x14ac:dyDescent="0.25">
      <c r="S1268" s="188"/>
    </row>
    <row r="1269" spans="19:19" ht="60" customHeight="1" x14ac:dyDescent="0.25">
      <c r="S1269" s="188"/>
    </row>
    <row r="1270" spans="19:19" ht="60" customHeight="1" x14ac:dyDescent="0.25">
      <c r="S1270" s="188"/>
    </row>
    <row r="1271" spans="19:19" ht="60" customHeight="1" x14ac:dyDescent="0.25">
      <c r="S1271" s="188"/>
    </row>
    <row r="1272" spans="19:19" ht="60" customHeight="1" x14ac:dyDescent="0.25">
      <c r="S1272" s="188"/>
    </row>
    <row r="1273" spans="19:19" ht="60" customHeight="1" x14ac:dyDescent="0.25">
      <c r="S1273" s="188"/>
    </row>
    <row r="1274" spans="19:19" ht="60" customHeight="1" x14ac:dyDescent="0.25">
      <c r="S1274" s="188"/>
    </row>
    <row r="1275" spans="19:19" ht="60" customHeight="1" x14ac:dyDescent="0.25">
      <c r="S1275" s="188"/>
    </row>
    <row r="1276" spans="19:19" ht="60" customHeight="1" x14ac:dyDescent="0.25">
      <c r="S1276" s="188"/>
    </row>
    <row r="1277" spans="19:19" ht="60" customHeight="1" x14ac:dyDescent="0.25">
      <c r="S1277" s="188"/>
    </row>
    <row r="1278" spans="19:19" ht="60" customHeight="1" x14ac:dyDescent="0.25">
      <c r="S1278" s="188"/>
    </row>
    <row r="1279" spans="19:19" ht="60" customHeight="1" x14ac:dyDescent="0.25">
      <c r="S1279" s="188"/>
    </row>
    <row r="1280" spans="19:19" ht="60" customHeight="1" x14ac:dyDescent="0.25">
      <c r="S1280" s="188"/>
    </row>
    <row r="1281" spans="19:19" ht="60" customHeight="1" x14ac:dyDescent="0.25">
      <c r="S1281" s="188"/>
    </row>
    <row r="1282" spans="19:19" ht="60" customHeight="1" x14ac:dyDescent="0.25">
      <c r="S1282" s="188"/>
    </row>
    <row r="1283" spans="19:19" ht="60" customHeight="1" x14ac:dyDescent="0.25">
      <c r="S1283" s="188"/>
    </row>
    <row r="1284" spans="19:19" ht="60" customHeight="1" x14ac:dyDescent="0.25">
      <c r="S1284" s="188"/>
    </row>
    <row r="1285" spans="19:19" ht="60" customHeight="1" x14ac:dyDescent="0.25">
      <c r="S1285" s="188"/>
    </row>
    <row r="1286" spans="19:19" ht="60" customHeight="1" x14ac:dyDescent="0.25">
      <c r="S1286" s="188"/>
    </row>
    <row r="1287" spans="19:19" ht="60" customHeight="1" x14ac:dyDescent="0.25">
      <c r="S1287" s="188"/>
    </row>
    <row r="1288" spans="19:19" ht="60" customHeight="1" x14ac:dyDescent="0.25">
      <c r="S1288" s="188"/>
    </row>
    <row r="1289" spans="19:19" ht="60" customHeight="1" x14ac:dyDescent="0.25">
      <c r="S1289" s="188"/>
    </row>
    <row r="1290" spans="19:19" ht="60" customHeight="1" x14ac:dyDescent="0.25">
      <c r="S1290" s="188"/>
    </row>
    <row r="1291" spans="19:19" ht="60" customHeight="1" x14ac:dyDescent="0.25">
      <c r="S1291" s="188"/>
    </row>
    <row r="1292" spans="19:19" ht="60" customHeight="1" x14ac:dyDescent="0.25">
      <c r="S1292" s="188"/>
    </row>
    <row r="1293" spans="19:19" ht="60" customHeight="1" x14ac:dyDescent="0.25">
      <c r="S1293" s="188"/>
    </row>
    <row r="1294" spans="19:19" ht="60" customHeight="1" x14ac:dyDescent="0.25">
      <c r="S1294" s="188"/>
    </row>
    <row r="1295" spans="19:19" ht="60" customHeight="1" x14ac:dyDescent="0.25">
      <c r="S1295" s="188"/>
    </row>
    <row r="1296" spans="19:19" ht="60" customHeight="1" x14ac:dyDescent="0.25">
      <c r="S1296" s="188"/>
    </row>
    <row r="1297" spans="19:19" ht="60" customHeight="1" x14ac:dyDescent="0.25">
      <c r="S1297" s="188"/>
    </row>
    <row r="1298" spans="19:19" ht="60" customHeight="1" x14ac:dyDescent="0.25">
      <c r="S1298" s="188"/>
    </row>
    <row r="1299" spans="19:19" ht="60" customHeight="1" x14ac:dyDescent="0.25">
      <c r="S1299" s="188"/>
    </row>
    <row r="1300" spans="19:19" ht="60" customHeight="1" x14ac:dyDescent="0.25">
      <c r="S1300" s="188"/>
    </row>
    <row r="1301" spans="19:19" ht="60" customHeight="1" x14ac:dyDescent="0.25">
      <c r="S1301" s="188"/>
    </row>
    <row r="1302" spans="19:19" ht="60" customHeight="1" x14ac:dyDescent="0.25">
      <c r="S1302" s="188"/>
    </row>
    <row r="1303" spans="19:19" ht="60" customHeight="1" x14ac:dyDescent="0.25">
      <c r="S1303" s="188"/>
    </row>
    <row r="1304" spans="19:19" ht="60" customHeight="1" x14ac:dyDescent="0.25">
      <c r="S1304" s="188"/>
    </row>
    <row r="1305" spans="19:19" ht="60" customHeight="1" x14ac:dyDescent="0.25">
      <c r="S1305" s="188"/>
    </row>
    <row r="1306" spans="19:19" ht="60" customHeight="1" x14ac:dyDescent="0.25">
      <c r="S1306" s="188"/>
    </row>
    <row r="1307" spans="19:19" ht="60" customHeight="1" x14ac:dyDescent="0.25">
      <c r="S1307" s="188"/>
    </row>
    <row r="1308" spans="19:19" ht="60" customHeight="1" x14ac:dyDescent="0.25">
      <c r="S1308" s="188"/>
    </row>
    <row r="1309" spans="19:19" ht="60" customHeight="1" x14ac:dyDescent="0.25">
      <c r="S1309" s="188"/>
    </row>
    <row r="1310" spans="19:19" ht="60" customHeight="1" x14ac:dyDescent="0.25">
      <c r="S1310" s="188"/>
    </row>
    <row r="1311" spans="19:19" ht="60" customHeight="1" x14ac:dyDescent="0.25">
      <c r="S1311" s="188"/>
    </row>
    <row r="1312" spans="19:19" ht="60" customHeight="1" x14ac:dyDescent="0.25">
      <c r="S1312" s="188"/>
    </row>
    <row r="1313" spans="19:19" ht="60" customHeight="1" x14ac:dyDescent="0.25">
      <c r="S1313" s="188"/>
    </row>
    <row r="1314" spans="19:19" ht="60" customHeight="1" x14ac:dyDescent="0.25">
      <c r="S1314" s="188"/>
    </row>
    <row r="1315" spans="19:19" ht="60" customHeight="1" x14ac:dyDescent="0.25">
      <c r="S1315" s="188"/>
    </row>
    <row r="1316" spans="19:19" ht="60" customHeight="1" x14ac:dyDescent="0.25">
      <c r="S1316" s="188"/>
    </row>
    <row r="1317" spans="19:19" ht="60" customHeight="1" x14ac:dyDescent="0.25">
      <c r="S1317" s="188"/>
    </row>
    <row r="1318" spans="19:19" ht="60" customHeight="1" x14ac:dyDescent="0.25">
      <c r="S1318" s="188"/>
    </row>
    <row r="1319" spans="19:19" ht="60" customHeight="1" x14ac:dyDescent="0.25">
      <c r="S1319" s="188"/>
    </row>
    <row r="1320" spans="19:19" ht="60" customHeight="1" x14ac:dyDescent="0.25">
      <c r="S1320" s="188"/>
    </row>
    <row r="1321" spans="19:19" ht="60" customHeight="1" x14ac:dyDescent="0.25">
      <c r="S1321" s="188"/>
    </row>
    <row r="1322" spans="19:19" ht="60" customHeight="1" x14ac:dyDescent="0.25">
      <c r="S1322" s="188"/>
    </row>
    <row r="1323" spans="19:19" ht="60" customHeight="1" x14ac:dyDescent="0.25">
      <c r="S1323" s="188"/>
    </row>
    <row r="1324" spans="19:19" ht="60" customHeight="1" x14ac:dyDescent="0.25">
      <c r="S1324" s="188"/>
    </row>
    <row r="1325" spans="19:19" ht="60" customHeight="1" x14ac:dyDescent="0.25">
      <c r="S1325" s="188"/>
    </row>
    <row r="1326" spans="19:19" ht="60" customHeight="1" x14ac:dyDescent="0.25">
      <c r="S1326" s="188"/>
    </row>
    <row r="1327" spans="19:19" ht="60" customHeight="1" x14ac:dyDescent="0.25">
      <c r="S1327" s="188"/>
    </row>
    <row r="1328" spans="19:19" ht="60" customHeight="1" x14ac:dyDescent="0.25">
      <c r="S1328" s="188"/>
    </row>
    <row r="1329" spans="19:19" ht="60" customHeight="1" x14ac:dyDescent="0.25">
      <c r="S1329" s="188"/>
    </row>
    <row r="1330" spans="19:19" ht="60" customHeight="1" x14ac:dyDescent="0.25">
      <c r="S1330" s="188"/>
    </row>
    <row r="1331" spans="19:19" ht="60" customHeight="1" x14ac:dyDescent="0.25">
      <c r="S1331" s="188"/>
    </row>
    <row r="1332" spans="19:19" ht="60" customHeight="1" x14ac:dyDescent="0.25">
      <c r="S1332" s="188"/>
    </row>
    <row r="1333" spans="19:19" ht="60" customHeight="1" x14ac:dyDescent="0.25">
      <c r="S1333" s="188"/>
    </row>
    <row r="1334" spans="19:19" ht="60" customHeight="1" x14ac:dyDescent="0.25">
      <c r="S1334" s="188"/>
    </row>
    <row r="1335" spans="19:19" ht="60" customHeight="1" x14ac:dyDescent="0.25">
      <c r="S1335" s="188"/>
    </row>
    <row r="1336" spans="19:19" ht="60" customHeight="1" x14ac:dyDescent="0.25">
      <c r="S1336" s="188"/>
    </row>
    <row r="1337" spans="19:19" ht="60" customHeight="1" x14ac:dyDescent="0.25">
      <c r="S1337" s="188"/>
    </row>
    <row r="1338" spans="19:19" ht="60" customHeight="1" x14ac:dyDescent="0.25">
      <c r="S1338" s="188"/>
    </row>
    <row r="1339" spans="19:19" ht="60" customHeight="1" x14ac:dyDescent="0.25">
      <c r="S1339" s="188"/>
    </row>
    <row r="1340" spans="19:19" ht="60" customHeight="1" x14ac:dyDescent="0.25">
      <c r="S1340" s="188"/>
    </row>
    <row r="1341" spans="19:19" ht="60" customHeight="1" x14ac:dyDescent="0.25">
      <c r="S1341" s="188"/>
    </row>
    <row r="1342" spans="19:19" ht="60" customHeight="1" x14ac:dyDescent="0.25">
      <c r="S1342" s="188"/>
    </row>
    <row r="1343" spans="19:19" ht="60" customHeight="1" x14ac:dyDescent="0.25">
      <c r="S1343" s="188"/>
    </row>
    <row r="1344" spans="19:19" ht="60" customHeight="1" x14ac:dyDescent="0.25">
      <c r="S1344" s="188"/>
    </row>
    <row r="1345" spans="19:19" ht="60" customHeight="1" x14ac:dyDescent="0.25">
      <c r="S1345" s="188"/>
    </row>
    <row r="1346" spans="19:19" ht="60" customHeight="1" x14ac:dyDescent="0.25">
      <c r="S1346" s="188"/>
    </row>
    <row r="1347" spans="19:19" ht="60" customHeight="1" x14ac:dyDescent="0.25">
      <c r="S1347" s="188"/>
    </row>
    <row r="1348" spans="19:19" ht="60" customHeight="1" x14ac:dyDescent="0.25">
      <c r="S1348" s="188"/>
    </row>
    <row r="1349" spans="19:19" ht="60" customHeight="1" x14ac:dyDescent="0.25">
      <c r="S1349" s="188"/>
    </row>
    <row r="1350" spans="19:19" ht="60" customHeight="1" x14ac:dyDescent="0.25">
      <c r="S1350" s="188"/>
    </row>
    <row r="1351" spans="19:19" ht="60" customHeight="1" x14ac:dyDescent="0.25">
      <c r="S1351" s="188"/>
    </row>
    <row r="1352" spans="19:19" ht="60" customHeight="1" x14ac:dyDescent="0.25">
      <c r="S1352" s="188"/>
    </row>
    <row r="1353" spans="19:19" ht="60" customHeight="1" x14ac:dyDescent="0.25">
      <c r="S1353" s="188"/>
    </row>
    <row r="1354" spans="19:19" ht="60" customHeight="1" x14ac:dyDescent="0.25">
      <c r="S1354" s="188"/>
    </row>
    <row r="1355" spans="19:19" ht="60" customHeight="1" x14ac:dyDescent="0.25">
      <c r="S1355" s="188"/>
    </row>
    <row r="1356" spans="19:19" ht="60" customHeight="1" x14ac:dyDescent="0.25">
      <c r="S1356" s="188"/>
    </row>
    <row r="1357" spans="19:19" ht="60" customHeight="1" x14ac:dyDescent="0.25">
      <c r="S1357" s="188"/>
    </row>
    <row r="1358" spans="19:19" ht="60" customHeight="1" x14ac:dyDescent="0.25">
      <c r="S1358" s="188"/>
    </row>
    <row r="1359" spans="19:19" ht="60" customHeight="1" x14ac:dyDescent="0.25">
      <c r="S1359" s="188"/>
    </row>
    <row r="1360" spans="19:19" ht="60" customHeight="1" x14ac:dyDescent="0.25">
      <c r="S1360" s="188"/>
    </row>
    <row r="1361" spans="19:19" ht="60" customHeight="1" x14ac:dyDescent="0.25">
      <c r="S1361" s="188"/>
    </row>
    <row r="1362" spans="19:19" ht="60" customHeight="1" x14ac:dyDescent="0.25">
      <c r="S1362" s="188"/>
    </row>
    <row r="1363" spans="19:19" ht="60" customHeight="1" x14ac:dyDescent="0.25">
      <c r="S1363" s="188"/>
    </row>
    <row r="1364" spans="19:19" ht="60" customHeight="1" x14ac:dyDescent="0.25">
      <c r="S1364" s="188"/>
    </row>
    <row r="1365" spans="19:19" ht="60" customHeight="1" x14ac:dyDescent="0.25">
      <c r="S1365" s="188"/>
    </row>
    <row r="1366" spans="19:19" ht="60" customHeight="1" x14ac:dyDescent="0.25">
      <c r="S1366" s="188"/>
    </row>
    <row r="1367" spans="19:19" ht="60" customHeight="1" x14ac:dyDescent="0.25">
      <c r="S1367" s="188"/>
    </row>
    <row r="1368" spans="19:19" ht="60" customHeight="1" x14ac:dyDescent="0.25">
      <c r="S1368" s="188"/>
    </row>
    <row r="1369" spans="19:19" ht="60" customHeight="1" x14ac:dyDescent="0.25">
      <c r="S1369" s="188"/>
    </row>
    <row r="1370" spans="19:19" ht="60" customHeight="1" x14ac:dyDescent="0.25">
      <c r="S1370" s="188"/>
    </row>
    <row r="1371" spans="19:19" ht="60" customHeight="1" x14ac:dyDescent="0.25">
      <c r="S1371" s="188"/>
    </row>
    <row r="1372" spans="19:19" ht="60" customHeight="1" x14ac:dyDescent="0.25">
      <c r="S1372" s="188"/>
    </row>
    <row r="1373" spans="19:19" ht="60" customHeight="1" x14ac:dyDescent="0.25">
      <c r="S1373" s="188"/>
    </row>
    <row r="1374" spans="19:19" ht="60" customHeight="1" x14ac:dyDescent="0.25">
      <c r="S1374" s="188"/>
    </row>
    <row r="1375" spans="19:19" ht="60" customHeight="1" x14ac:dyDescent="0.25">
      <c r="S1375" s="188"/>
    </row>
    <row r="1376" spans="19:19" ht="60" customHeight="1" x14ac:dyDescent="0.25">
      <c r="S1376" s="188"/>
    </row>
    <row r="1377" spans="19:19" ht="60" customHeight="1" x14ac:dyDescent="0.25">
      <c r="S1377" s="188"/>
    </row>
    <row r="1378" spans="19:19" ht="60" customHeight="1" x14ac:dyDescent="0.25">
      <c r="S1378" s="188"/>
    </row>
    <row r="1379" spans="19:19" ht="60" customHeight="1" x14ac:dyDescent="0.25">
      <c r="S1379" s="188"/>
    </row>
    <row r="1380" spans="19:19" ht="60" customHeight="1" x14ac:dyDescent="0.25">
      <c r="S1380" s="188"/>
    </row>
    <row r="1381" spans="19:19" ht="60" customHeight="1" x14ac:dyDescent="0.25">
      <c r="S1381" s="188"/>
    </row>
    <row r="1382" spans="19:19" ht="60" customHeight="1" x14ac:dyDescent="0.25">
      <c r="S1382" s="188"/>
    </row>
    <row r="1383" spans="19:19" ht="60" customHeight="1" x14ac:dyDescent="0.25">
      <c r="S1383" s="188"/>
    </row>
    <row r="1384" spans="19:19" ht="60" customHeight="1" x14ac:dyDescent="0.25">
      <c r="S1384" s="188"/>
    </row>
    <row r="1385" spans="19:19" ht="60" customHeight="1" x14ac:dyDescent="0.25">
      <c r="S1385" s="188"/>
    </row>
    <row r="1386" spans="19:19" ht="60" customHeight="1" x14ac:dyDescent="0.25">
      <c r="S1386" s="188"/>
    </row>
    <row r="1387" spans="19:19" ht="60" customHeight="1" x14ac:dyDescent="0.25">
      <c r="S1387" s="188"/>
    </row>
    <row r="1388" spans="19:19" ht="60" customHeight="1" x14ac:dyDescent="0.25">
      <c r="S1388" s="188"/>
    </row>
    <row r="1389" spans="19:19" ht="60" customHeight="1" x14ac:dyDescent="0.25">
      <c r="S1389" s="188"/>
    </row>
    <row r="1390" spans="19:19" ht="60" customHeight="1" x14ac:dyDescent="0.25">
      <c r="S1390" s="188"/>
    </row>
    <row r="1391" spans="19:19" ht="60" customHeight="1" x14ac:dyDescent="0.25">
      <c r="S1391" s="188"/>
    </row>
    <row r="1392" spans="19:19" ht="60" customHeight="1" x14ac:dyDescent="0.25">
      <c r="S1392" s="188"/>
    </row>
    <row r="1393" spans="19:19" ht="60" customHeight="1" x14ac:dyDescent="0.25">
      <c r="S1393" s="188"/>
    </row>
    <row r="1394" spans="19:19" ht="60" customHeight="1" x14ac:dyDescent="0.25">
      <c r="S1394" s="188"/>
    </row>
    <row r="1395" spans="19:19" ht="60" customHeight="1" x14ac:dyDescent="0.25">
      <c r="S1395" s="188"/>
    </row>
    <row r="1396" spans="19:19" ht="60" customHeight="1" x14ac:dyDescent="0.25">
      <c r="S1396" s="188"/>
    </row>
    <row r="1397" spans="19:19" ht="60" customHeight="1" x14ac:dyDescent="0.25">
      <c r="S1397" s="188"/>
    </row>
    <row r="1398" spans="19:19" ht="60" customHeight="1" x14ac:dyDescent="0.25">
      <c r="S1398" s="188"/>
    </row>
    <row r="1399" spans="19:19" ht="60" customHeight="1" x14ac:dyDescent="0.25">
      <c r="S1399" s="188"/>
    </row>
    <row r="1400" spans="19:19" ht="60" customHeight="1" x14ac:dyDescent="0.25">
      <c r="S1400" s="188"/>
    </row>
    <row r="1401" spans="19:19" ht="60" customHeight="1" x14ac:dyDescent="0.25">
      <c r="S1401" s="188"/>
    </row>
    <row r="1402" spans="19:19" ht="60" customHeight="1" x14ac:dyDescent="0.25">
      <c r="S1402" s="188"/>
    </row>
    <row r="1403" spans="19:19" ht="60" customHeight="1" x14ac:dyDescent="0.25">
      <c r="S1403" s="188"/>
    </row>
    <row r="1404" spans="19:19" ht="60" customHeight="1" x14ac:dyDescent="0.25">
      <c r="S1404" s="188"/>
    </row>
    <row r="1405" spans="19:19" ht="60" customHeight="1" x14ac:dyDescent="0.25">
      <c r="S1405" s="188"/>
    </row>
    <row r="1406" spans="19:19" ht="60" customHeight="1" x14ac:dyDescent="0.25">
      <c r="S1406" s="188"/>
    </row>
    <row r="1407" spans="19:19" ht="60" customHeight="1" x14ac:dyDescent="0.25">
      <c r="S1407" s="188"/>
    </row>
    <row r="1408" spans="19:19" ht="60" customHeight="1" x14ac:dyDescent="0.25">
      <c r="S1408" s="188"/>
    </row>
    <row r="1409" spans="19:19" ht="60" customHeight="1" x14ac:dyDescent="0.25">
      <c r="S1409" s="188"/>
    </row>
    <row r="1410" spans="19:19" ht="60" customHeight="1" x14ac:dyDescent="0.25">
      <c r="S1410" s="188"/>
    </row>
    <row r="1411" spans="19:19" ht="60" customHeight="1" x14ac:dyDescent="0.25">
      <c r="S1411" s="188"/>
    </row>
    <row r="1412" spans="19:19" ht="60" customHeight="1" x14ac:dyDescent="0.25">
      <c r="S1412" s="188"/>
    </row>
    <row r="1413" spans="19:19" ht="60" customHeight="1" x14ac:dyDescent="0.25">
      <c r="S1413" s="188"/>
    </row>
    <row r="1414" spans="19:19" ht="60" customHeight="1" x14ac:dyDescent="0.25">
      <c r="S1414" s="188"/>
    </row>
    <row r="1415" spans="19:19" ht="60" customHeight="1" x14ac:dyDescent="0.25">
      <c r="S1415" s="188"/>
    </row>
    <row r="1416" spans="19:19" ht="60" customHeight="1" x14ac:dyDescent="0.25">
      <c r="S1416" s="188"/>
    </row>
    <row r="1417" spans="19:19" ht="60" customHeight="1" x14ac:dyDescent="0.25">
      <c r="S1417" s="188"/>
    </row>
    <row r="1418" spans="19:19" ht="60" customHeight="1" x14ac:dyDescent="0.25">
      <c r="S1418" s="188"/>
    </row>
    <row r="1419" spans="19:19" ht="60" customHeight="1" x14ac:dyDescent="0.25">
      <c r="S1419" s="188"/>
    </row>
    <row r="1420" spans="19:19" ht="60" customHeight="1" x14ac:dyDescent="0.25">
      <c r="S1420" s="188"/>
    </row>
    <row r="1421" spans="19:19" ht="60" customHeight="1" x14ac:dyDescent="0.25">
      <c r="S1421" s="188"/>
    </row>
    <row r="1422" spans="19:19" ht="60" customHeight="1" x14ac:dyDescent="0.25">
      <c r="S1422" s="188"/>
    </row>
    <row r="1423" spans="19:19" ht="60" customHeight="1" x14ac:dyDescent="0.25">
      <c r="S1423" s="188"/>
    </row>
    <row r="1424" spans="19:19" ht="60" customHeight="1" x14ac:dyDescent="0.25">
      <c r="S1424" s="188"/>
    </row>
    <row r="1425" spans="19:19" ht="60" customHeight="1" x14ac:dyDescent="0.25">
      <c r="S1425" s="188"/>
    </row>
    <row r="1426" spans="19:19" ht="60" customHeight="1" x14ac:dyDescent="0.25">
      <c r="S1426" s="188"/>
    </row>
    <row r="1427" spans="19:19" ht="60" customHeight="1" x14ac:dyDescent="0.25">
      <c r="S1427" s="188"/>
    </row>
    <row r="1428" spans="19:19" ht="60" customHeight="1" x14ac:dyDescent="0.25">
      <c r="S1428" s="188"/>
    </row>
    <row r="1429" spans="19:19" ht="60" customHeight="1" x14ac:dyDescent="0.25">
      <c r="S1429" s="188"/>
    </row>
    <row r="1430" spans="19:19" ht="60" customHeight="1" x14ac:dyDescent="0.25">
      <c r="S1430" s="188"/>
    </row>
    <row r="1431" spans="19:19" ht="60" customHeight="1" x14ac:dyDescent="0.25">
      <c r="S1431" s="188"/>
    </row>
    <row r="1432" spans="19:19" ht="60" customHeight="1" x14ac:dyDescent="0.25">
      <c r="S1432" s="188"/>
    </row>
    <row r="1433" spans="19:19" ht="60" customHeight="1" x14ac:dyDescent="0.25">
      <c r="S1433" s="188"/>
    </row>
    <row r="1434" spans="19:19" ht="60" customHeight="1" x14ac:dyDescent="0.25">
      <c r="S1434" s="188"/>
    </row>
    <row r="1435" spans="19:19" ht="60" customHeight="1" x14ac:dyDescent="0.25">
      <c r="S1435" s="188"/>
    </row>
    <row r="1436" spans="19:19" ht="60" customHeight="1" x14ac:dyDescent="0.25">
      <c r="S1436" s="188"/>
    </row>
    <row r="1437" spans="19:19" ht="60" customHeight="1" x14ac:dyDescent="0.25">
      <c r="S1437" s="188"/>
    </row>
    <row r="1438" spans="19:19" ht="60" customHeight="1" x14ac:dyDescent="0.25">
      <c r="S1438" s="188"/>
    </row>
    <row r="1439" spans="19:19" ht="60" customHeight="1" x14ac:dyDescent="0.25">
      <c r="S1439" s="188"/>
    </row>
    <row r="1440" spans="19:19" ht="60" customHeight="1" x14ac:dyDescent="0.25">
      <c r="S1440" s="188"/>
    </row>
    <row r="1441" spans="19:19" ht="60" customHeight="1" x14ac:dyDescent="0.25">
      <c r="S1441" s="188"/>
    </row>
    <row r="1442" spans="19:19" ht="60" customHeight="1" x14ac:dyDescent="0.25">
      <c r="S1442" s="188"/>
    </row>
    <row r="1443" spans="19:19" ht="60" customHeight="1" x14ac:dyDescent="0.25">
      <c r="S1443" s="188"/>
    </row>
    <row r="1444" spans="19:19" ht="60" customHeight="1" x14ac:dyDescent="0.25">
      <c r="S1444" s="188"/>
    </row>
    <row r="1445" spans="19:19" ht="60" customHeight="1" x14ac:dyDescent="0.25">
      <c r="S1445" s="188"/>
    </row>
    <row r="1446" spans="19:19" ht="60" customHeight="1" x14ac:dyDescent="0.25">
      <c r="S1446" s="188"/>
    </row>
    <row r="1447" spans="19:19" ht="60" customHeight="1" x14ac:dyDescent="0.25">
      <c r="S1447" s="188"/>
    </row>
    <row r="1448" spans="19:19" ht="60" customHeight="1" x14ac:dyDescent="0.25">
      <c r="S1448" s="188"/>
    </row>
    <row r="1449" spans="19:19" ht="60" customHeight="1" x14ac:dyDescent="0.25">
      <c r="S1449" s="188"/>
    </row>
    <row r="1450" spans="19:19" ht="60" customHeight="1" x14ac:dyDescent="0.25">
      <c r="S1450" s="188"/>
    </row>
    <row r="1451" spans="19:19" ht="60" customHeight="1" x14ac:dyDescent="0.25">
      <c r="S1451" s="188"/>
    </row>
    <row r="1452" spans="19:19" ht="60" customHeight="1" x14ac:dyDescent="0.25">
      <c r="S1452" s="188"/>
    </row>
    <row r="1453" spans="19:19" ht="60" customHeight="1" x14ac:dyDescent="0.25">
      <c r="S1453" s="188"/>
    </row>
    <row r="1454" spans="19:19" ht="60" customHeight="1" x14ac:dyDescent="0.25">
      <c r="S1454" s="188"/>
    </row>
    <row r="1455" spans="19:19" ht="60" customHeight="1" x14ac:dyDescent="0.25">
      <c r="S1455" s="188"/>
    </row>
    <row r="1456" spans="19:19" ht="60" customHeight="1" x14ac:dyDescent="0.25">
      <c r="S1456" s="188"/>
    </row>
    <row r="1457" spans="19:19" ht="60" customHeight="1" x14ac:dyDescent="0.25">
      <c r="S1457" s="188"/>
    </row>
    <row r="1458" spans="19:19" ht="60" customHeight="1" x14ac:dyDescent="0.25">
      <c r="S1458" s="188"/>
    </row>
    <row r="1459" spans="19:19" ht="60" customHeight="1" x14ac:dyDescent="0.25">
      <c r="S1459" s="188"/>
    </row>
    <row r="1460" spans="19:19" ht="60" customHeight="1" x14ac:dyDescent="0.25">
      <c r="S1460" s="188"/>
    </row>
    <row r="1461" spans="19:19" ht="60" customHeight="1" x14ac:dyDescent="0.25">
      <c r="S1461" s="188"/>
    </row>
    <row r="1462" spans="19:19" ht="60" customHeight="1" x14ac:dyDescent="0.25">
      <c r="S1462" s="188"/>
    </row>
    <row r="1463" spans="19:19" ht="60" customHeight="1" x14ac:dyDescent="0.25">
      <c r="S1463" s="188"/>
    </row>
    <row r="1464" spans="19:19" ht="60" customHeight="1" x14ac:dyDescent="0.25">
      <c r="S1464" s="188"/>
    </row>
    <row r="1465" spans="19:19" ht="60" customHeight="1" x14ac:dyDescent="0.25">
      <c r="S1465" s="188"/>
    </row>
    <row r="1466" spans="19:19" ht="60" customHeight="1" x14ac:dyDescent="0.25">
      <c r="S1466" s="188"/>
    </row>
    <row r="1467" spans="19:19" ht="60" customHeight="1" x14ac:dyDescent="0.25">
      <c r="S1467" s="188"/>
    </row>
    <row r="1468" spans="19:19" ht="60" customHeight="1" x14ac:dyDescent="0.25">
      <c r="S1468" s="188"/>
    </row>
    <row r="1469" spans="19:19" ht="60" customHeight="1" x14ac:dyDescent="0.25">
      <c r="S1469" s="188"/>
    </row>
    <row r="1470" spans="19:19" ht="60" customHeight="1" x14ac:dyDescent="0.25">
      <c r="S1470" s="188"/>
    </row>
    <row r="1471" spans="19:19" ht="60" customHeight="1" x14ac:dyDescent="0.25">
      <c r="S1471" s="188"/>
    </row>
    <row r="1472" spans="19:19" ht="60" customHeight="1" x14ac:dyDescent="0.25">
      <c r="S1472" s="188"/>
    </row>
    <row r="1473" spans="19:19" ht="60" customHeight="1" x14ac:dyDescent="0.25">
      <c r="S1473" s="188"/>
    </row>
    <row r="1474" spans="19:19" ht="60" customHeight="1" x14ac:dyDescent="0.25">
      <c r="S1474" s="188"/>
    </row>
    <row r="1475" spans="19:19" ht="60" customHeight="1" x14ac:dyDescent="0.25">
      <c r="S1475" s="188"/>
    </row>
    <row r="1476" spans="19:19" ht="60" customHeight="1" x14ac:dyDescent="0.25">
      <c r="S1476" s="188"/>
    </row>
    <row r="1477" spans="19:19" ht="60" customHeight="1" x14ac:dyDescent="0.25">
      <c r="S1477" s="188"/>
    </row>
    <row r="1478" spans="19:19" ht="60" customHeight="1" x14ac:dyDescent="0.25">
      <c r="S1478" s="188"/>
    </row>
    <row r="1479" spans="19:19" ht="60" customHeight="1" x14ac:dyDescent="0.25">
      <c r="S1479" s="188"/>
    </row>
    <row r="1480" spans="19:19" ht="60" customHeight="1" x14ac:dyDescent="0.25">
      <c r="S1480" s="188"/>
    </row>
    <row r="1481" spans="19:19" ht="60" customHeight="1" x14ac:dyDescent="0.25">
      <c r="S1481" s="188"/>
    </row>
    <row r="1482" spans="19:19" ht="60" customHeight="1" x14ac:dyDescent="0.25">
      <c r="S1482" s="188"/>
    </row>
    <row r="1483" spans="19:19" ht="60" customHeight="1" x14ac:dyDescent="0.25">
      <c r="S1483" s="188"/>
    </row>
    <row r="1484" spans="19:19" ht="60" customHeight="1" x14ac:dyDescent="0.25">
      <c r="S1484" s="188"/>
    </row>
    <row r="1485" spans="19:19" ht="60" customHeight="1" x14ac:dyDescent="0.25">
      <c r="S1485" s="188"/>
    </row>
    <row r="1486" spans="19:19" ht="60" customHeight="1" x14ac:dyDescent="0.25">
      <c r="S1486" s="188"/>
    </row>
    <row r="1487" spans="19:19" ht="60" customHeight="1" x14ac:dyDescent="0.25">
      <c r="S1487" s="188"/>
    </row>
    <row r="1488" spans="19:19" ht="60" customHeight="1" x14ac:dyDescent="0.25">
      <c r="S1488" s="188"/>
    </row>
    <row r="1489" spans="19:19" ht="60" customHeight="1" x14ac:dyDescent="0.25">
      <c r="S1489" s="188"/>
    </row>
    <row r="1490" spans="19:19" ht="60" customHeight="1" x14ac:dyDescent="0.25">
      <c r="S1490" s="188"/>
    </row>
    <row r="1491" spans="19:19" ht="60" customHeight="1" x14ac:dyDescent="0.25">
      <c r="S1491" s="188"/>
    </row>
    <row r="1492" spans="19:19" ht="60" customHeight="1" x14ac:dyDescent="0.25">
      <c r="S1492" s="188"/>
    </row>
    <row r="1493" spans="19:19" ht="60" customHeight="1" x14ac:dyDescent="0.25">
      <c r="S1493" s="188"/>
    </row>
    <row r="1494" spans="19:19" ht="60" customHeight="1" x14ac:dyDescent="0.25">
      <c r="S1494" s="188"/>
    </row>
    <row r="1495" spans="19:19" ht="60" customHeight="1" x14ac:dyDescent="0.25">
      <c r="S1495" s="188"/>
    </row>
    <row r="1496" spans="19:19" ht="60" customHeight="1" x14ac:dyDescent="0.25">
      <c r="S1496" s="188"/>
    </row>
    <row r="1497" spans="19:19" ht="60" customHeight="1" x14ac:dyDescent="0.25">
      <c r="S1497" s="188"/>
    </row>
    <row r="1498" spans="19:19" ht="60" customHeight="1" x14ac:dyDescent="0.25">
      <c r="S1498" s="188"/>
    </row>
    <row r="1499" spans="19:19" ht="60" customHeight="1" x14ac:dyDescent="0.25">
      <c r="S1499" s="188"/>
    </row>
    <row r="1500" spans="19:19" ht="60" customHeight="1" x14ac:dyDescent="0.25">
      <c r="S1500" s="188"/>
    </row>
    <row r="1501" spans="19:19" ht="60" customHeight="1" x14ac:dyDescent="0.25">
      <c r="S1501" s="188"/>
    </row>
    <row r="1502" spans="19:19" ht="60" customHeight="1" x14ac:dyDescent="0.25">
      <c r="S1502" s="188"/>
    </row>
    <row r="1503" spans="19:19" ht="60" customHeight="1" x14ac:dyDescent="0.25">
      <c r="S1503" s="188"/>
    </row>
    <row r="1504" spans="19:19" ht="60" customHeight="1" x14ac:dyDescent="0.25">
      <c r="S1504" s="188"/>
    </row>
    <row r="1505" spans="19:19" ht="60" customHeight="1" x14ac:dyDescent="0.25">
      <c r="S1505" s="188"/>
    </row>
    <row r="1506" spans="19:19" ht="60" customHeight="1" x14ac:dyDescent="0.25">
      <c r="S1506" s="188"/>
    </row>
    <row r="1507" spans="19:19" ht="60" customHeight="1" x14ac:dyDescent="0.25">
      <c r="S1507" s="188"/>
    </row>
    <row r="1508" spans="19:19" ht="60" customHeight="1" x14ac:dyDescent="0.25">
      <c r="S1508" s="188"/>
    </row>
    <row r="1509" spans="19:19" ht="60" customHeight="1" x14ac:dyDescent="0.25">
      <c r="S1509" s="188"/>
    </row>
    <row r="1510" spans="19:19" ht="60" customHeight="1" x14ac:dyDescent="0.25">
      <c r="S1510" s="188"/>
    </row>
    <row r="1511" spans="19:19" ht="60" customHeight="1" x14ac:dyDescent="0.25">
      <c r="S1511" s="188"/>
    </row>
    <row r="1512" spans="19:19" ht="60" customHeight="1" x14ac:dyDescent="0.25">
      <c r="S1512" s="188"/>
    </row>
    <row r="1513" spans="19:19" ht="60" customHeight="1" x14ac:dyDescent="0.25">
      <c r="S1513" s="188"/>
    </row>
    <row r="1514" spans="19:19" ht="60" customHeight="1" x14ac:dyDescent="0.25">
      <c r="S1514" s="188"/>
    </row>
    <row r="1515" spans="19:19" ht="60" customHeight="1" x14ac:dyDescent="0.25">
      <c r="S1515" s="188"/>
    </row>
    <row r="1516" spans="19:19" ht="60" customHeight="1" x14ac:dyDescent="0.25">
      <c r="S1516" s="188"/>
    </row>
    <row r="1517" spans="19:19" ht="60" customHeight="1" x14ac:dyDescent="0.25">
      <c r="S1517" s="188"/>
    </row>
    <row r="1518" spans="19:19" ht="60" customHeight="1" x14ac:dyDescent="0.25">
      <c r="S1518" s="188"/>
    </row>
    <row r="1519" spans="19:19" ht="60" customHeight="1" x14ac:dyDescent="0.25">
      <c r="S1519" s="188"/>
    </row>
    <row r="1520" spans="19:19" ht="60" customHeight="1" x14ac:dyDescent="0.25">
      <c r="S1520" s="188"/>
    </row>
    <row r="1521" spans="19:19" ht="60" customHeight="1" x14ac:dyDescent="0.25">
      <c r="S1521" s="188"/>
    </row>
    <row r="1522" spans="19:19" ht="60" customHeight="1" x14ac:dyDescent="0.25">
      <c r="S1522" s="188"/>
    </row>
    <row r="1523" spans="19:19" ht="60" customHeight="1" x14ac:dyDescent="0.25">
      <c r="S1523" s="188"/>
    </row>
    <row r="1524" spans="19:19" ht="60" customHeight="1" x14ac:dyDescent="0.25">
      <c r="S1524" s="188"/>
    </row>
    <row r="1525" spans="19:19" ht="60" customHeight="1" x14ac:dyDescent="0.25">
      <c r="S1525" s="188"/>
    </row>
    <row r="1526" spans="19:19" ht="60" customHeight="1" x14ac:dyDescent="0.25">
      <c r="S1526" s="188"/>
    </row>
    <row r="1527" spans="19:19" ht="60" customHeight="1" x14ac:dyDescent="0.25">
      <c r="S1527" s="188"/>
    </row>
    <row r="1528" spans="19:19" ht="60" customHeight="1" x14ac:dyDescent="0.25">
      <c r="S1528" s="188"/>
    </row>
    <row r="1529" spans="19:19" ht="60" customHeight="1" x14ac:dyDescent="0.25">
      <c r="S1529" s="188"/>
    </row>
    <row r="1530" spans="19:19" ht="60" customHeight="1" x14ac:dyDescent="0.25">
      <c r="S1530" s="188"/>
    </row>
    <row r="1531" spans="19:19" ht="60" customHeight="1" x14ac:dyDescent="0.25">
      <c r="S1531" s="188"/>
    </row>
    <row r="1532" spans="19:19" ht="60" customHeight="1" x14ac:dyDescent="0.25">
      <c r="S1532" s="188"/>
    </row>
    <row r="1533" spans="19:19" ht="60" customHeight="1" x14ac:dyDescent="0.25">
      <c r="S1533" s="188"/>
    </row>
    <row r="1534" spans="19:19" ht="60" customHeight="1" x14ac:dyDescent="0.25">
      <c r="S1534" s="188"/>
    </row>
    <row r="1535" spans="19:19" ht="60" customHeight="1" x14ac:dyDescent="0.25">
      <c r="S1535" s="188"/>
    </row>
    <row r="1536" spans="19:19" ht="60" customHeight="1" x14ac:dyDescent="0.25">
      <c r="S1536" s="188"/>
    </row>
    <row r="1537" spans="19:19" ht="60" customHeight="1" x14ac:dyDescent="0.25">
      <c r="S1537" s="188"/>
    </row>
    <row r="1538" spans="19:19" ht="60" customHeight="1" x14ac:dyDescent="0.25">
      <c r="S1538" s="188"/>
    </row>
    <row r="1539" spans="19:19" ht="60" customHeight="1" x14ac:dyDescent="0.25">
      <c r="S1539" s="188"/>
    </row>
    <row r="1540" spans="19:19" ht="60" customHeight="1" x14ac:dyDescent="0.25">
      <c r="S1540" s="188"/>
    </row>
    <row r="1541" spans="19:19" ht="60" customHeight="1" x14ac:dyDescent="0.25">
      <c r="S1541" s="188"/>
    </row>
    <row r="1542" spans="19:19" ht="60" customHeight="1" x14ac:dyDescent="0.25">
      <c r="S1542" s="188"/>
    </row>
    <row r="1543" spans="19:19" ht="60" customHeight="1" x14ac:dyDescent="0.25">
      <c r="S1543" s="188"/>
    </row>
    <row r="1544" spans="19:19" ht="60" customHeight="1" x14ac:dyDescent="0.25">
      <c r="S1544" s="188"/>
    </row>
    <row r="1545" spans="19:19" ht="60" customHeight="1" x14ac:dyDescent="0.25">
      <c r="S1545" s="188"/>
    </row>
    <row r="1546" spans="19:19" ht="60" customHeight="1" x14ac:dyDescent="0.25">
      <c r="S1546" s="188"/>
    </row>
    <row r="1547" spans="19:19" ht="60" customHeight="1" x14ac:dyDescent="0.25">
      <c r="S1547" s="188"/>
    </row>
    <row r="1548" spans="19:19" ht="60" customHeight="1" x14ac:dyDescent="0.25">
      <c r="S1548" s="188"/>
    </row>
    <row r="1549" spans="19:19" ht="60" customHeight="1" x14ac:dyDescent="0.25">
      <c r="S1549" s="188"/>
    </row>
    <row r="1550" spans="19:19" ht="60" customHeight="1" x14ac:dyDescent="0.25">
      <c r="S1550" s="188"/>
    </row>
    <row r="1551" spans="19:19" ht="60" customHeight="1" x14ac:dyDescent="0.25">
      <c r="S1551" s="188"/>
    </row>
    <row r="1552" spans="19:19" ht="60" customHeight="1" x14ac:dyDescent="0.25">
      <c r="S1552" s="188"/>
    </row>
    <row r="1553" spans="19:19" ht="60" customHeight="1" x14ac:dyDescent="0.25">
      <c r="S1553" s="188"/>
    </row>
    <row r="1554" spans="19:19" ht="60" customHeight="1" x14ac:dyDescent="0.25">
      <c r="S1554" s="188"/>
    </row>
    <row r="1555" spans="19:19" ht="60" customHeight="1" x14ac:dyDescent="0.25">
      <c r="S1555" s="188"/>
    </row>
    <row r="1556" spans="19:19" ht="60" customHeight="1" x14ac:dyDescent="0.25">
      <c r="S1556" s="188"/>
    </row>
    <row r="1557" spans="19:19" ht="60" customHeight="1" x14ac:dyDescent="0.25">
      <c r="S1557" s="188"/>
    </row>
    <row r="1558" spans="19:19" ht="60" customHeight="1" x14ac:dyDescent="0.25">
      <c r="S1558" s="188"/>
    </row>
    <row r="1559" spans="19:19" ht="60" customHeight="1" x14ac:dyDescent="0.25">
      <c r="S1559" s="188"/>
    </row>
    <row r="1560" spans="19:19" ht="60" customHeight="1" x14ac:dyDescent="0.25">
      <c r="S1560" s="188"/>
    </row>
    <row r="1561" spans="19:19" ht="60" customHeight="1" x14ac:dyDescent="0.25">
      <c r="S1561" s="188"/>
    </row>
    <row r="1562" spans="19:19" ht="60" customHeight="1" x14ac:dyDescent="0.25">
      <c r="S1562" s="188"/>
    </row>
    <row r="1563" spans="19:19" ht="60" customHeight="1" x14ac:dyDescent="0.25">
      <c r="S1563" s="188"/>
    </row>
    <row r="1564" spans="19:19" ht="60" customHeight="1" x14ac:dyDescent="0.25">
      <c r="S1564" s="188"/>
    </row>
    <row r="1565" spans="19:19" ht="60" customHeight="1" x14ac:dyDescent="0.25">
      <c r="S1565" s="188"/>
    </row>
    <row r="1566" spans="19:19" ht="60" customHeight="1" x14ac:dyDescent="0.25">
      <c r="S1566" s="188"/>
    </row>
    <row r="1567" spans="19:19" ht="60" customHeight="1" x14ac:dyDescent="0.25">
      <c r="S1567" s="188"/>
    </row>
    <row r="1568" spans="19:19" ht="60" customHeight="1" x14ac:dyDescent="0.25">
      <c r="S1568" s="188"/>
    </row>
    <row r="1569" spans="19:19" ht="60" customHeight="1" x14ac:dyDescent="0.25">
      <c r="S1569" s="188"/>
    </row>
    <row r="1570" spans="19:19" ht="60" customHeight="1" x14ac:dyDescent="0.25">
      <c r="S1570" s="188"/>
    </row>
    <row r="1571" spans="19:19" ht="60" customHeight="1" x14ac:dyDescent="0.25">
      <c r="S1571" s="188"/>
    </row>
    <row r="1572" spans="19:19" ht="60" customHeight="1" x14ac:dyDescent="0.25">
      <c r="S1572" s="188"/>
    </row>
    <row r="1573" spans="19:19" ht="60" customHeight="1" x14ac:dyDescent="0.25">
      <c r="S1573" s="188"/>
    </row>
    <row r="1574" spans="19:19" ht="60" customHeight="1" x14ac:dyDescent="0.25">
      <c r="S1574" s="188"/>
    </row>
    <row r="1575" spans="19:19" ht="60" customHeight="1" x14ac:dyDescent="0.25">
      <c r="S1575" s="188"/>
    </row>
    <row r="1576" spans="19:19" ht="60" customHeight="1" x14ac:dyDescent="0.25">
      <c r="S1576" s="188"/>
    </row>
    <row r="1577" spans="19:19" ht="60" customHeight="1" x14ac:dyDescent="0.25">
      <c r="S1577" s="188"/>
    </row>
    <row r="1578" spans="19:19" ht="60" customHeight="1" x14ac:dyDescent="0.25">
      <c r="S1578" s="188"/>
    </row>
    <row r="1579" spans="19:19" ht="60" customHeight="1" x14ac:dyDescent="0.25">
      <c r="S1579" s="188"/>
    </row>
    <row r="1580" spans="19:19" ht="60" customHeight="1" x14ac:dyDescent="0.25">
      <c r="S1580" s="188"/>
    </row>
    <row r="1581" spans="19:19" ht="60" customHeight="1" x14ac:dyDescent="0.25">
      <c r="S1581" s="188"/>
    </row>
    <row r="1582" spans="19:19" ht="60" customHeight="1" x14ac:dyDescent="0.25">
      <c r="S1582" s="188"/>
    </row>
    <row r="1583" spans="19:19" ht="60" customHeight="1" x14ac:dyDescent="0.25">
      <c r="S1583" s="188"/>
    </row>
    <row r="1584" spans="19:19" ht="60" customHeight="1" x14ac:dyDescent="0.25">
      <c r="S1584" s="188"/>
    </row>
    <row r="1585" spans="19:19" ht="60" customHeight="1" x14ac:dyDescent="0.25">
      <c r="S1585" s="188"/>
    </row>
    <row r="1586" spans="19:19" ht="60" customHeight="1" x14ac:dyDescent="0.25">
      <c r="S1586" s="188"/>
    </row>
    <row r="1587" spans="19:19" ht="60" customHeight="1" x14ac:dyDescent="0.25">
      <c r="S1587" s="188"/>
    </row>
    <row r="1588" spans="19:19" ht="60" customHeight="1" x14ac:dyDescent="0.25">
      <c r="S1588" s="188"/>
    </row>
    <row r="1589" spans="19:19" ht="60" customHeight="1" x14ac:dyDescent="0.25">
      <c r="S1589" s="188"/>
    </row>
    <row r="1590" spans="19:19" ht="60" customHeight="1" x14ac:dyDescent="0.25">
      <c r="S1590" s="188"/>
    </row>
    <row r="1591" spans="19:19" ht="60" customHeight="1" x14ac:dyDescent="0.25">
      <c r="S1591" s="188"/>
    </row>
    <row r="1592" spans="19:19" ht="60" customHeight="1" x14ac:dyDescent="0.25">
      <c r="S1592" s="188"/>
    </row>
    <row r="1593" spans="19:19" ht="60" customHeight="1" x14ac:dyDescent="0.25">
      <c r="S1593" s="188"/>
    </row>
    <row r="1594" spans="19:19" ht="60" customHeight="1" x14ac:dyDescent="0.25">
      <c r="S1594" s="188"/>
    </row>
    <row r="1595" spans="19:19" ht="60" customHeight="1" x14ac:dyDescent="0.25">
      <c r="S1595" s="188"/>
    </row>
    <row r="1596" spans="19:19" ht="60" customHeight="1" x14ac:dyDescent="0.25">
      <c r="S1596" s="188"/>
    </row>
    <row r="1597" spans="19:19" ht="60" customHeight="1" x14ac:dyDescent="0.25">
      <c r="S1597" s="188"/>
    </row>
    <row r="1598" spans="19:19" ht="60" customHeight="1" x14ac:dyDescent="0.25">
      <c r="S1598" s="188"/>
    </row>
    <row r="1599" spans="19:19" ht="60" customHeight="1" x14ac:dyDescent="0.25">
      <c r="S1599" s="188"/>
    </row>
    <row r="1600" spans="19:19" ht="60" customHeight="1" x14ac:dyDescent="0.25">
      <c r="S1600" s="188"/>
    </row>
    <row r="1601" spans="19:19" ht="60" customHeight="1" x14ac:dyDescent="0.25">
      <c r="S1601" s="188"/>
    </row>
    <row r="1602" spans="19:19" ht="60" customHeight="1" x14ac:dyDescent="0.25">
      <c r="S1602" s="188"/>
    </row>
    <row r="1603" spans="19:19" ht="60" customHeight="1" x14ac:dyDescent="0.25">
      <c r="S1603" s="188"/>
    </row>
    <row r="1604" spans="19:19" ht="60" customHeight="1" x14ac:dyDescent="0.25">
      <c r="S1604" s="188"/>
    </row>
    <row r="1605" spans="19:19" ht="60" customHeight="1" x14ac:dyDescent="0.25">
      <c r="S1605" s="188"/>
    </row>
    <row r="1606" spans="19:19" ht="60" customHeight="1" x14ac:dyDescent="0.25">
      <c r="S1606" s="188"/>
    </row>
    <row r="1607" spans="19:19" ht="60" customHeight="1" x14ac:dyDescent="0.25">
      <c r="S1607" s="188"/>
    </row>
    <row r="1608" spans="19:19" ht="60" customHeight="1" x14ac:dyDescent="0.25">
      <c r="S1608" s="188"/>
    </row>
    <row r="1609" spans="19:19" ht="60" customHeight="1" x14ac:dyDescent="0.25">
      <c r="S1609" s="188"/>
    </row>
    <row r="1610" spans="19:19" ht="60" customHeight="1" x14ac:dyDescent="0.25">
      <c r="S1610" s="188"/>
    </row>
    <row r="1611" spans="19:19" ht="60" customHeight="1" x14ac:dyDescent="0.25">
      <c r="S1611" s="188"/>
    </row>
    <row r="1612" spans="19:19" ht="60" customHeight="1" x14ac:dyDescent="0.25">
      <c r="S1612" s="188"/>
    </row>
    <row r="1613" spans="19:19" ht="60" customHeight="1" x14ac:dyDescent="0.25">
      <c r="S1613" s="188"/>
    </row>
    <row r="1614" spans="19:19" ht="60" customHeight="1" x14ac:dyDescent="0.25">
      <c r="S1614" s="188"/>
    </row>
    <row r="1615" spans="19:19" ht="60" customHeight="1" x14ac:dyDescent="0.25">
      <c r="S1615" s="188"/>
    </row>
    <row r="1616" spans="19:19" ht="60" customHeight="1" x14ac:dyDescent="0.25">
      <c r="S1616" s="188"/>
    </row>
    <row r="1617" spans="19:19" ht="60" customHeight="1" x14ac:dyDescent="0.25">
      <c r="S1617" s="188"/>
    </row>
    <row r="1618" spans="19:19" ht="60" customHeight="1" x14ac:dyDescent="0.25">
      <c r="S1618" s="188"/>
    </row>
    <row r="1619" spans="19:19" ht="60" customHeight="1" x14ac:dyDescent="0.25">
      <c r="S1619" s="188"/>
    </row>
    <row r="1620" spans="19:19" ht="60" customHeight="1" x14ac:dyDescent="0.25">
      <c r="S1620" s="188"/>
    </row>
    <row r="1621" spans="19:19" ht="60" customHeight="1" x14ac:dyDescent="0.25">
      <c r="S1621" s="188"/>
    </row>
    <row r="1622" spans="19:19" ht="60" customHeight="1" x14ac:dyDescent="0.25">
      <c r="S1622" s="188"/>
    </row>
    <row r="1623" spans="19:19" ht="60" customHeight="1" x14ac:dyDescent="0.25">
      <c r="S1623" s="188"/>
    </row>
    <row r="1624" spans="19:19" ht="60" customHeight="1" x14ac:dyDescent="0.25">
      <c r="S1624" s="188"/>
    </row>
    <row r="1625" spans="19:19" ht="60" customHeight="1" x14ac:dyDescent="0.25">
      <c r="S1625" s="188"/>
    </row>
    <row r="1626" spans="19:19" ht="60" customHeight="1" x14ac:dyDescent="0.25">
      <c r="S1626" s="188"/>
    </row>
    <row r="1627" spans="19:19" ht="60" customHeight="1" x14ac:dyDescent="0.25">
      <c r="S1627" s="188"/>
    </row>
    <row r="1628" spans="19:19" ht="60" customHeight="1" x14ac:dyDescent="0.25">
      <c r="S1628" s="188"/>
    </row>
    <row r="1629" spans="19:19" ht="60" customHeight="1" x14ac:dyDescent="0.25">
      <c r="S1629" s="188"/>
    </row>
    <row r="1630" spans="19:19" ht="60" customHeight="1" x14ac:dyDescent="0.25">
      <c r="S1630" s="188"/>
    </row>
    <row r="1631" spans="19:19" ht="60" customHeight="1" x14ac:dyDescent="0.25">
      <c r="S1631" s="188"/>
    </row>
    <row r="1632" spans="19:19" ht="60" customHeight="1" x14ac:dyDescent="0.25">
      <c r="S1632" s="188"/>
    </row>
    <row r="1633" spans="19:19" ht="60" customHeight="1" x14ac:dyDescent="0.25">
      <c r="S1633" s="188"/>
    </row>
    <row r="1634" spans="19:19" ht="60" customHeight="1" x14ac:dyDescent="0.25">
      <c r="S1634" s="188"/>
    </row>
    <row r="1635" spans="19:19" ht="60" customHeight="1" x14ac:dyDescent="0.25">
      <c r="S1635" s="188"/>
    </row>
    <row r="1636" spans="19:19" ht="60" customHeight="1" x14ac:dyDescent="0.25">
      <c r="S1636" s="188"/>
    </row>
    <row r="1637" spans="19:19" ht="60" customHeight="1" x14ac:dyDescent="0.25">
      <c r="S1637" s="188"/>
    </row>
    <row r="1638" spans="19:19" ht="60" customHeight="1" x14ac:dyDescent="0.25">
      <c r="S1638" s="188"/>
    </row>
    <row r="1639" spans="19:19" ht="60" customHeight="1" x14ac:dyDescent="0.25">
      <c r="S1639" s="188"/>
    </row>
    <row r="1640" spans="19:19" ht="60" customHeight="1" x14ac:dyDescent="0.25">
      <c r="S1640" s="188"/>
    </row>
    <row r="1641" spans="19:19" ht="60" customHeight="1" x14ac:dyDescent="0.25">
      <c r="S1641" s="188"/>
    </row>
    <row r="1642" spans="19:19" ht="60" customHeight="1" x14ac:dyDescent="0.25">
      <c r="S1642" s="188"/>
    </row>
    <row r="1643" spans="19:19" ht="60" customHeight="1" x14ac:dyDescent="0.25">
      <c r="S1643" s="188"/>
    </row>
    <row r="1644" spans="19:19" ht="60" customHeight="1" x14ac:dyDescent="0.25">
      <c r="S1644" s="188"/>
    </row>
    <row r="1645" spans="19:19" ht="60" customHeight="1" x14ac:dyDescent="0.25">
      <c r="S1645" s="188"/>
    </row>
    <row r="1646" spans="19:19" ht="60" customHeight="1" x14ac:dyDescent="0.25">
      <c r="S1646" s="188"/>
    </row>
    <row r="1647" spans="19:19" ht="60" customHeight="1" x14ac:dyDescent="0.25">
      <c r="S1647" s="188"/>
    </row>
    <row r="1648" spans="19:19" ht="60" customHeight="1" x14ac:dyDescent="0.25">
      <c r="S1648" s="188"/>
    </row>
    <row r="1649" spans="19:19" ht="60" customHeight="1" x14ac:dyDescent="0.25">
      <c r="S1649" s="188"/>
    </row>
    <row r="1650" spans="19:19" ht="60" customHeight="1" x14ac:dyDescent="0.25">
      <c r="S1650" s="188"/>
    </row>
    <row r="1651" spans="19:19" ht="60" customHeight="1" x14ac:dyDescent="0.25">
      <c r="S1651" s="188"/>
    </row>
    <row r="1652" spans="19:19" ht="60" customHeight="1" x14ac:dyDescent="0.25">
      <c r="S1652" s="188"/>
    </row>
    <row r="1653" spans="19:19" ht="60" customHeight="1" x14ac:dyDescent="0.25">
      <c r="S1653" s="188"/>
    </row>
    <row r="1654" spans="19:19" ht="60" customHeight="1" x14ac:dyDescent="0.25">
      <c r="S1654" s="188"/>
    </row>
    <row r="1655" spans="19:19" ht="60" customHeight="1" x14ac:dyDescent="0.25">
      <c r="S1655" s="188"/>
    </row>
    <row r="1656" spans="19:19" ht="60" customHeight="1" x14ac:dyDescent="0.25">
      <c r="S1656" s="188"/>
    </row>
    <row r="1657" spans="19:19" ht="60" customHeight="1" x14ac:dyDescent="0.25">
      <c r="S1657" s="188"/>
    </row>
    <row r="1658" spans="19:19" ht="60" customHeight="1" x14ac:dyDescent="0.25">
      <c r="S1658" s="188"/>
    </row>
    <row r="1659" spans="19:19" ht="60" customHeight="1" x14ac:dyDescent="0.25">
      <c r="S1659" s="188"/>
    </row>
    <row r="1660" spans="19:19" ht="60" customHeight="1" x14ac:dyDescent="0.25">
      <c r="S1660" s="188"/>
    </row>
    <row r="1661" spans="19:19" ht="60" customHeight="1" x14ac:dyDescent="0.25">
      <c r="S1661" s="188"/>
    </row>
    <row r="1662" spans="19:19" ht="60" customHeight="1" x14ac:dyDescent="0.25">
      <c r="S1662" s="188"/>
    </row>
    <row r="1663" spans="19:19" ht="60" customHeight="1" x14ac:dyDescent="0.25">
      <c r="S1663" s="188"/>
    </row>
    <row r="1664" spans="19:19" ht="60" customHeight="1" x14ac:dyDescent="0.25">
      <c r="S1664" s="188"/>
    </row>
    <row r="1665" spans="19:19" ht="60" customHeight="1" x14ac:dyDescent="0.25">
      <c r="S1665" s="188"/>
    </row>
    <row r="1666" spans="19:19" ht="60" customHeight="1" x14ac:dyDescent="0.25">
      <c r="S1666" s="188"/>
    </row>
    <row r="1667" spans="19:19" ht="60" customHeight="1" x14ac:dyDescent="0.25">
      <c r="S1667" s="188"/>
    </row>
    <row r="1668" spans="19:19" ht="60" customHeight="1" x14ac:dyDescent="0.25">
      <c r="S1668" s="188"/>
    </row>
    <row r="1669" spans="19:19" ht="60" customHeight="1" x14ac:dyDescent="0.25">
      <c r="S1669" s="188"/>
    </row>
    <row r="1670" spans="19:19" ht="60" customHeight="1" x14ac:dyDescent="0.25">
      <c r="S1670" s="188"/>
    </row>
    <row r="1671" spans="19:19" ht="60" customHeight="1" x14ac:dyDescent="0.25">
      <c r="S1671" s="188"/>
    </row>
    <row r="1672" spans="19:19" ht="60" customHeight="1" x14ac:dyDescent="0.25">
      <c r="S1672" s="188"/>
    </row>
    <row r="1673" spans="19:19" ht="60" customHeight="1" x14ac:dyDescent="0.25">
      <c r="S1673" s="188"/>
    </row>
    <row r="1674" spans="19:19" ht="60" customHeight="1" x14ac:dyDescent="0.25">
      <c r="S1674" s="188"/>
    </row>
    <row r="1675" spans="19:19" ht="60" customHeight="1" x14ac:dyDescent="0.25">
      <c r="S1675" s="188"/>
    </row>
    <row r="1676" spans="19:19" ht="60" customHeight="1" x14ac:dyDescent="0.25">
      <c r="S1676" s="188"/>
    </row>
    <row r="1677" spans="19:19" ht="60" customHeight="1" x14ac:dyDescent="0.25">
      <c r="S1677" s="188"/>
    </row>
    <row r="1678" spans="19:19" ht="60" customHeight="1" x14ac:dyDescent="0.25">
      <c r="S1678" s="188"/>
    </row>
    <row r="1679" spans="19:19" ht="60" customHeight="1" x14ac:dyDescent="0.25">
      <c r="S1679" s="188"/>
    </row>
    <row r="1680" spans="19:19" ht="60" customHeight="1" x14ac:dyDescent="0.25">
      <c r="S1680" s="188"/>
    </row>
    <row r="1681" spans="19:19" ht="60" customHeight="1" x14ac:dyDescent="0.25">
      <c r="S1681" s="188"/>
    </row>
    <row r="1682" spans="19:19" ht="60" customHeight="1" x14ac:dyDescent="0.25">
      <c r="S1682" s="188"/>
    </row>
    <row r="1683" spans="19:19" ht="60" customHeight="1" x14ac:dyDescent="0.25">
      <c r="S1683" s="188"/>
    </row>
    <row r="1684" spans="19:19" ht="60" customHeight="1" x14ac:dyDescent="0.25">
      <c r="S1684" s="188"/>
    </row>
    <row r="1685" spans="19:19" ht="60" customHeight="1" x14ac:dyDescent="0.25">
      <c r="S1685" s="188"/>
    </row>
    <row r="1686" spans="19:19" ht="60" customHeight="1" x14ac:dyDescent="0.25">
      <c r="S1686" s="188"/>
    </row>
    <row r="1687" spans="19:19" ht="60" customHeight="1" x14ac:dyDescent="0.25">
      <c r="S1687" s="188"/>
    </row>
    <row r="1688" spans="19:19" ht="60" customHeight="1" x14ac:dyDescent="0.25">
      <c r="S1688" s="188"/>
    </row>
    <row r="1689" spans="19:19" ht="60" customHeight="1" x14ac:dyDescent="0.25">
      <c r="S1689" s="188"/>
    </row>
    <row r="1690" spans="19:19" ht="60" customHeight="1" x14ac:dyDescent="0.25">
      <c r="S1690" s="188"/>
    </row>
    <row r="1691" spans="19:19" ht="60" customHeight="1" x14ac:dyDescent="0.25">
      <c r="S1691" s="188"/>
    </row>
    <row r="1692" spans="19:19" ht="60" customHeight="1" x14ac:dyDescent="0.25">
      <c r="S1692" s="188"/>
    </row>
    <row r="1693" spans="19:19" ht="60" customHeight="1" x14ac:dyDescent="0.25">
      <c r="S1693" s="188"/>
    </row>
    <row r="1694" spans="19:19" ht="60" customHeight="1" x14ac:dyDescent="0.25">
      <c r="S1694" s="188"/>
    </row>
    <row r="1695" spans="19:19" ht="60" customHeight="1" x14ac:dyDescent="0.25">
      <c r="S1695" s="188"/>
    </row>
    <row r="1696" spans="19:19" ht="60" customHeight="1" x14ac:dyDescent="0.25">
      <c r="S1696" s="188"/>
    </row>
    <row r="1697" spans="19:19" ht="60" customHeight="1" x14ac:dyDescent="0.25">
      <c r="S1697" s="188"/>
    </row>
    <row r="1698" spans="19:19" ht="60" customHeight="1" x14ac:dyDescent="0.25">
      <c r="S1698" s="188"/>
    </row>
    <row r="1699" spans="19:19" ht="60" customHeight="1" x14ac:dyDescent="0.25">
      <c r="S1699" s="188"/>
    </row>
    <row r="1700" spans="19:19" ht="60" customHeight="1" x14ac:dyDescent="0.25">
      <c r="S1700" s="188"/>
    </row>
    <row r="1701" spans="19:19" ht="60" customHeight="1" x14ac:dyDescent="0.25">
      <c r="S1701" s="188"/>
    </row>
    <row r="1702" spans="19:19" ht="60" customHeight="1" x14ac:dyDescent="0.25">
      <c r="S1702" s="188"/>
    </row>
    <row r="1703" spans="19:19" ht="60" customHeight="1" x14ac:dyDescent="0.25">
      <c r="S1703" s="188"/>
    </row>
    <row r="1704" spans="19:19" ht="60" customHeight="1" x14ac:dyDescent="0.25">
      <c r="S1704" s="188"/>
    </row>
    <row r="1705" spans="19:19" ht="60" customHeight="1" x14ac:dyDescent="0.25">
      <c r="S1705" s="188"/>
    </row>
    <row r="1706" spans="19:19" ht="60" customHeight="1" x14ac:dyDescent="0.25">
      <c r="S1706" s="188"/>
    </row>
    <row r="1707" spans="19:19" ht="60" customHeight="1" x14ac:dyDescent="0.25">
      <c r="S1707" s="188"/>
    </row>
    <row r="1708" spans="19:19" ht="60" customHeight="1" x14ac:dyDescent="0.25">
      <c r="S1708" s="188"/>
    </row>
    <row r="1709" spans="19:19" ht="60" customHeight="1" x14ac:dyDescent="0.25">
      <c r="S1709" s="188"/>
    </row>
    <row r="1710" spans="19:19" ht="60" customHeight="1" x14ac:dyDescent="0.25">
      <c r="S1710" s="188"/>
    </row>
    <row r="1711" spans="19:19" ht="60" customHeight="1" x14ac:dyDescent="0.25">
      <c r="S1711" s="188"/>
    </row>
    <row r="1712" spans="19:19" ht="60" customHeight="1" x14ac:dyDescent="0.25">
      <c r="S1712" s="188"/>
    </row>
    <row r="1713" spans="19:19" ht="60" customHeight="1" x14ac:dyDescent="0.25">
      <c r="S1713" s="188"/>
    </row>
    <row r="1714" spans="19:19" ht="60" customHeight="1" x14ac:dyDescent="0.25">
      <c r="S1714" s="188"/>
    </row>
    <row r="1715" spans="19:19" ht="60" customHeight="1" x14ac:dyDescent="0.25">
      <c r="S1715" s="188"/>
    </row>
    <row r="1716" spans="19:19" ht="60" customHeight="1" x14ac:dyDescent="0.25">
      <c r="S1716" s="188"/>
    </row>
    <row r="1717" spans="19:19" ht="60" customHeight="1" x14ac:dyDescent="0.25">
      <c r="S1717" s="188"/>
    </row>
    <row r="1718" spans="19:19" ht="60" customHeight="1" x14ac:dyDescent="0.25">
      <c r="S1718" s="188"/>
    </row>
    <row r="1719" spans="19:19" ht="60" customHeight="1" x14ac:dyDescent="0.25">
      <c r="S1719" s="188"/>
    </row>
    <row r="1720" spans="19:19" ht="60" customHeight="1" x14ac:dyDescent="0.25">
      <c r="S1720" s="188"/>
    </row>
    <row r="1721" spans="19:19" ht="60" customHeight="1" x14ac:dyDescent="0.25">
      <c r="S1721" s="188"/>
    </row>
    <row r="1722" spans="19:19" ht="60" customHeight="1" x14ac:dyDescent="0.25">
      <c r="S1722" s="188"/>
    </row>
    <row r="1723" spans="19:19" ht="60" customHeight="1" x14ac:dyDescent="0.25">
      <c r="S1723" s="188"/>
    </row>
    <row r="1724" spans="19:19" ht="60" customHeight="1" x14ac:dyDescent="0.25">
      <c r="S1724" s="188"/>
    </row>
    <row r="1725" spans="19:19" ht="60" customHeight="1" x14ac:dyDescent="0.25">
      <c r="S1725" s="188"/>
    </row>
    <row r="1726" spans="19:19" ht="60" customHeight="1" x14ac:dyDescent="0.25">
      <c r="S1726" s="188"/>
    </row>
    <row r="1727" spans="19:19" ht="60" customHeight="1" x14ac:dyDescent="0.25">
      <c r="S1727" s="188"/>
    </row>
    <row r="1728" spans="19:19" ht="60" customHeight="1" x14ac:dyDescent="0.25">
      <c r="S1728" s="188"/>
    </row>
    <row r="1729" spans="19:19" ht="60" customHeight="1" x14ac:dyDescent="0.25">
      <c r="S1729" s="188"/>
    </row>
    <row r="1730" spans="19:19" ht="60" customHeight="1" x14ac:dyDescent="0.25">
      <c r="S1730" s="188"/>
    </row>
    <row r="1731" spans="19:19" ht="60" customHeight="1" x14ac:dyDescent="0.25">
      <c r="S1731" s="188"/>
    </row>
    <row r="1732" spans="19:19" ht="60" customHeight="1" x14ac:dyDescent="0.25">
      <c r="S1732" s="188"/>
    </row>
    <row r="1733" spans="19:19" ht="60" customHeight="1" x14ac:dyDescent="0.25">
      <c r="S1733" s="188"/>
    </row>
    <row r="1734" spans="19:19" ht="60" customHeight="1" x14ac:dyDescent="0.25">
      <c r="S1734" s="188"/>
    </row>
    <row r="1735" spans="19:19" ht="60" customHeight="1" x14ac:dyDescent="0.25">
      <c r="S1735" s="188"/>
    </row>
    <row r="1736" spans="19:19" ht="60" customHeight="1" x14ac:dyDescent="0.25">
      <c r="S1736" s="188"/>
    </row>
    <row r="1737" spans="19:19" ht="60" customHeight="1" x14ac:dyDescent="0.25">
      <c r="S1737" s="188"/>
    </row>
    <row r="1738" spans="19:19" ht="60" customHeight="1" x14ac:dyDescent="0.25">
      <c r="S1738" s="188"/>
    </row>
    <row r="1739" spans="19:19" ht="60" customHeight="1" x14ac:dyDescent="0.25">
      <c r="S1739" s="188"/>
    </row>
    <row r="1740" spans="19:19" ht="60" customHeight="1" x14ac:dyDescent="0.25">
      <c r="S1740" s="188"/>
    </row>
    <row r="1741" spans="19:19" ht="60" customHeight="1" x14ac:dyDescent="0.25">
      <c r="S1741" s="188"/>
    </row>
    <row r="1742" spans="19:19" ht="60" customHeight="1" x14ac:dyDescent="0.25">
      <c r="S1742" s="188"/>
    </row>
    <row r="1743" spans="19:19" ht="60" customHeight="1" x14ac:dyDescent="0.25">
      <c r="S1743" s="188"/>
    </row>
    <row r="1744" spans="19:19" ht="60" customHeight="1" x14ac:dyDescent="0.25">
      <c r="S1744" s="188"/>
    </row>
    <row r="1745" spans="19:19" ht="60" customHeight="1" x14ac:dyDescent="0.25">
      <c r="S1745" s="188"/>
    </row>
    <row r="1746" spans="19:19" ht="60" customHeight="1" x14ac:dyDescent="0.25">
      <c r="S1746" s="188"/>
    </row>
    <row r="1747" spans="19:19" ht="60" customHeight="1" x14ac:dyDescent="0.25">
      <c r="S1747" s="188"/>
    </row>
    <row r="1748" spans="19:19" ht="60" customHeight="1" x14ac:dyDescent="0.25">
      <c r="S1748" s="188"/>
    </row>
    <row r="1749" spans="19:19" ht="60" customHeight="1" x14ac:dyDescent="0.25">
      <c r="S1749" s="188"/>
    </row>
    <row r="1750" spans="19:19" ht="60" customHeight="1" x14ac:dyDescent="0.25">
      <c r="S1750" s="188"/>
    </row>
    <row r="1751" spans="19:19" ht="60" customHeight="1" x14ac:dyDescent="0.25">
      <c r="S1751" s="188"/>
    </row>
    <row r="1752" spans="19:19" ht="60" customHeight="1" x14ac:dyDescent="0.25">
      <c r="S1752" s="188"/>
    </row>
    <row r="1753" spans="19:19" ht="60" customHeight="1" x14ac:dyDescent="0.25">
      <c r="S1753" s="188"/>
    </row>
    <row r="1754" spans="19:19" ht="60" customHeight="1" x14ac:dyDescent="0.25">
      <c r="S1754" s="188"/>
    </row>
    <row r="1755" spans="19:19" ht="60" customHeight="1" x14ac:dyDescent="0.25">
      <c r="S1755" s="188"/>
    </row>
    <row r="1756" spans="19:19" ht="60" customHeight="1" x14ac:dyDescent="0.25">
      <c r="S1756" s="188"/>
    </row>
    <row r="1757" spans="19:19" ht="60" customHeight="1" x14ac:dyDescent="0.25">
      <c r="S1757" s="188"/>
    </row>
    <row r="1758" spans="19:19" ht="60" customHeight="1" x14ac:dyDescent="0.25">
      <c r="S1758" s="188"/>
    </row>
    <row r="1759" spans="19:19" ht="60" customHeight="1" x14ac:dyDescent="0.25">
      <c r="S1759" s="188"/>
    </row>
    <row r="1760" spans="19:19" ht="60" customHeight="1" x14ac:dyDescent="0.25">
      <c r="S1760" s="188"/>
    </row>
    <row r="1761" spans="19:19" ht="60" customHeight="1" x14ac:dyDescent="0.25">
      <c r="S1761" s="188"/>
    </row>
    <row r="1762" spans="19:19" ht="60" customHeight="1" x14ac:dyDescent="0.25">
      <c r="S1762" s="188"/>
    </row>
    <row r="1763" spans="19:19" ht="60" customHeight="1" x14ac:dyDescent="0.25">
      <c r="S1763" s="188"/>
    </row>
    <row r="1764" spans="19:19" ht="60" customHeight="1" x14ac:dyDescent="0.25">
      <c r="S1764" s="188"/>
    </row>
    <row r="1765" spans="19:19" ht="60" customHeight="1" x14ac:dyDescent="0.25">
      <c r="S1765" s="188"/>
    </row>
    <row r="1766" spans="19:19" ht="60" customHeight="1" x14ac:dyDescent="0.25">
      <c r="S1766" s="188"/>
    </row>
    <row r="1767" spans="19:19" ht="60" customHeight="1" x14ac:dyDescent="0.25">
      <c r="S1767" s="188"/>
    </row>
    <row r="1768" spans="19:19" ht="60" customHeight="1" x14ac:dyDescent="0.25">
      <c r="S1768" s="188"/>
    </row>
    <row r="1769" spans="19:19" ht="60" customHeight="1" x14ac:dyDescent="0.25">
      <c r="S1769" s="188"/>
    </row>
    <row r="1770" spans="19:19" ht="60" customHeight="1" x14ac:dyDescent="0.25">
      <c r="S1770" s="188"/>
    </row>
    <row r="1771" spans="19:19" ht="60" customHeight="1" x14ac:dyDescent="0.25">
      <c r="S1771" s="188"/>
    </row>
    <row r="1772" spans="19:19" ht="60" customHeight="1" x14ac:dyDescent="0.25">
      <c r="S1772" s="188"/>
    </row>
    <row r="1773" spans="19:19" ht="60" customHeight="1" x14ac:dyDescent="0.25">
      <c r="S1773" s="188"/>
    </row>
    <row r="1774" spans="19:19" ht="60" customHeight="1" x14ac:dyDescent="0.25">
      <c r="S1774" s="188"/>
    </row>
    <row r="1775" spans="19:19" ht="60" customHeight="1" x14ac:dyDescent="0.25">
      <c r="S1775" s="188"/>
    </row>
    <row r="1776" spans="19:19" ht="60" customHeight="1" x14ac:dyDescent="0.25">
      <c r="S1776" s="188"/>
    </row>
    <row r="1777" spans="19:19" ht="60" customHeight="1" x14ac:dyDescent="0.25">
      <c r="S1777" s="188"/>
    </row>
    <row r="1778" spans="19:19" ht="60" customHeight="1" x14ac:dyDescent="0.25">
      <c r="S1778" s="188"/>
    </row>
    <row r="1779" spans="19:19" ht="60" customHeight="1" x14ac:dyDescent="0.25">
      <c r="S1779" s="188"/>
    </row>
    <row r="1780" spans="19:19" ht="60" customHeight="1" x14ac:dyDescent="0.25">
      <c r="S1780" s="188"/>
    </row>
    <row r="1781" spans="19:19" ht="60" customHeight="1" x14ac:dyDescent="0.25">
      <c r="S1781" s="188"/>
    </row>
    <row r="1782" spans="19:19" ht="60" customHeight="1" x14ac:dyDescent="0.25">
      <c r="S1782" s="188"/>
    </row>
    <row r="1783" spans="19:19" ht="60" customHeight="1" x14ac:dyDescent="0.25">
      <c r="S1783" s="188"/>
    </row>
    <row r="1784" spans="19:19" ht="60" customHeight="1" x14ac:dyDescent="0.25">
      <c r="S1784" s="188"/>
    </row>
    <row r="1785" spans="19:19" ht="60" customHeight="1" x14ac:dyDescent="0.25">
      <c r="S1785" s="188"/>
    </row>
    <row r="1786" spans="19:19" ht="60" customHeight="1" x14ac:dyDescent="0.25">
      <c r="S1786" s="188"/>
    </row>
    <row r="1787" spans="19:19" ht="60" customHeight="1" x14ac:dyDescent="0.25">
      <c r="S1787" s="188"/>
    </row>
    <row r="1788" spans="19:19" ht="60" customHeight="1" x14ac:dyDescent="0.25">
      <c r="S1788" s="188"/>
    </row>
    <row r="1789" spans="19:19" ht="60" customHeight="1" x14ac:dyDescent="0.25">
      <c r="S1789" s="188"/>
    </row>
    <row r="1790" spans="19:19" ht="60" customHeight="1" x14ac:dyDescent="0.25">
      <c r="S1790" s="188"/>
    </row>
    <row r="1791" spans="19:19" ht="60" customHeight="1" x14ac:dyDescent="0.25">
      <c r="S1791" s="188"/>
    </row>
    <row r="1792" spans="19:19" ht="60" customHeight="1" x14ac:dyDescent="0.25">
      <c r="S1792" s="188"/>
    </row>
    <row r="1793" spans="19:19" ht="60" customHeight="1" x14ac:dyDescent="0.25">
      <c r="S1793" s="188"/>
    </row>
    <row r="1794" spans="19:19" ht="60" customHeight="1" x14ac:dyDescent="0.25">
      <c r="S1794" s="188"/>
    </row>
    <row r="1795" spans="19:19" ht="60" customHeight="1" x14ac:dyDescent="0.25">
      <c r="S1795" s="188"/>
    </row>
    <row r="1796" spans="19:19" ht="60" customHeight="1" x14ac:dyDescent="0.25">
      <c r="S1796" s="188"/>
    </row>
    <row r="1797" spans="19:19" ht="60" customHeight="1" x14ac:dyDescent="0.25">
      <c r="S1797" s="188"/>
    </row>
    <row r="1798" spans="19:19" ht="60" customHeight="1" x14ac:dyDescent="0.25">
      <c r="S1798" s="188"/>
    </row>
    <row r="1799" spans="19:19" ht="60" customHeight="1" x14ac:dyDescent="0.25">
      <c r="S1799" s="188"/>
    </row>
    <row r="1800" spans="19:19" ht="60" customHeight="1" x14ac:dyDescent="0.25">
      <c r="S1800" s="188"/>
    </row>
    <row r="1801" spans="19:19" ht="60" customHeight="1" x14ac:dyDescent="0.25">
      <c r="S1801" s="188"/>
    </row>
    <row r="1802" spans="19:19" ht="60" customHeight="1" x14ac:dyDescent="0.25">
      <c r="S1802" s="188"/>
    </row>
    <row r="1803" spans="19:19" ht="60" customHeight="1" x14ac:dyDescent="0.25">
      <c r="S1803" s="188"/>
    </row>
    <row r="1804" spans="19:19" ht="60" customHeight="1" x14ac:dyDescent="0.25">
      <c r="S1804" s="188"/>
    </row>
    <row r="1805" spans="19:19" ht="60" customHeight="1" x14ac:dyDescent="0.25">
      <c r="S1805" s="188"/>
    </row>
    <row r="1806" spans="19:19" ht="60" customHeight="1" x14ac:dyDescent="0.25">
      <c r="S1806" s="188"/>
    </row>
    <row r="1807" spans="19:19" ht="60" customHeight="1" x14ac:dyDescent="0.25">
      <c r="S1807" s="188"/>
    </row>
    <row r="1808" spans="19:19" ht="60" customHeight="1" x14ac:dyDescent="0.25">
      <c r="S1808" s="188"/>
    </row>
    <row r="1809" spans="19:19" ht="60" customHeight="1" x14ac:dyDescent="0.25">
      <c r="S1809" s="188"/>
    </row>
    <row r="1810" spans="19:19" ht="60" customHeight="1" x14ac:dyDescent="0.25">
      <c r="S1810" s="188"/>
    </row>
    <row r="1811" spans="19:19" ht="60" customHeight="1" x14ac:dyDescent="0.25">
      <c r="S1811" s="188"/>
    </row>
    <row r="1812" spans="19:19" ht="60" customHeight="1" x14ac:dyDescent="0.25">
      <c r="S1812" s="188"/>
    </row>
    <row r="1813" spans="19:19" ht="60" customHeight="1" x14ac:dyDescent="0.25">
      <c r="S1813" s="188"/>
    </row>
    <row r="1814" spans="19:19" ht="60" customHeight="1" x14ac:dyDescent="0.25">
      <c r="S1814" s="188"/>
    </row>
    <row r="1815" spans="19:19" ht="60" customHeight="1" x14ac:dyDescent="0.25">
      <c r="S1815" s="188"/>
    </row>
    <row r="1816" spans="19:19" ht="60" customHeight="1" x14ac:dyDescent="0.25">
      <c r="S1816" s="188"/>
    </row>
    <row r="1817" spans="19:19" ht="60" customHeight="1" x14ac:dyDescent="0.25">
      <c r="S1817" s="188"/>
    </row>
    <row r="1818" spans="19:19" ht="60" customHeight="1" x14ac:dyDescent="0.25">
      <c r="S1818" s="188"/>
    </row>
    <row r="1819" spans="19:19" ht="60" customHeight="1" x14ac:dyDescent="0.25">
      <c r="S1819" s="188"/>
    </row>
    <row r="1820" spans="19:19" ht="60" customHeight="1" x14ac:dyDescent="0.25">
      <c r="S1820" s="188"/>
    </row>
    <row r="1821" spans="19:19" ht="60" customHeight="1" x14ac:dyDescent="0.25">
      <c r="S1821" s="188"/>
    </row>
    <row r="1822" spans="19:19" ht="60" customHeight="1" x14ac:dyDescent="0.25">
      <c r="S1822" s="188"/>
    </row>
    <row r="1823" spans="19:19" ht="60" customHeight="1" x14ac:dyDescent="0.25">
      <c r="S1823" s="188"/>
    </row>
    <row r="1824" spans="19:19" ht="60" customHeight="1" x14ac:dyDescent="0.25">
      <c r="S1824" s="188"/>
    </row>
    <row r="1825" spans="19:19" ht="60" customHeight="1" x14ac:dyDescent="0.25">
      <c r="S1825" s="188"/>
    </row>
    <row r="1826" spans="19:19" ht="60" customHeight="1" x14ac:dyDescent="0.25">
      <c r="S1826" s="188"/>
    </row>
    <row r="1827" spans="19:19" ht="60" customHeight="1" x14ac:dyDescent="0.25">
      <c r="S1827" s="188"/>
    </row>
    <row r="1828" spans="19:19" ht="60" customHeight="1" x14ac:dyDescent="0.25">
      <c r="S1828" s="188"/>
    </row>
    <row r="1829" spans="19:19" ht="60" customHeight="1" x14ac:dyDescent="0.25">
      <c r="S1829" s="188"/>
    </row>
    <row r="1830" spans="19:19" ht="60" customHeight="1" x14ac:dyDescent="0.25">
      <c r="S1830" s="188"/>
    </row>
    <row r="1831" spans="19:19" ht="60" customHeight="1" x14ac:dyDescent="0.25">
      <c r="S1831" s="188"/>
    </row>
    <row r="1832" spans="19:19" ht="60" customHeight="1" x14ac:dyDescent="0.25">
      <c r="S1832" s="188"/>
    </row>
    <row r="1833" spans="19:19" ht="60" customHeight="1" x14ac:dyDescent="0.25">
      <c r="S1833" s="188"/>
    </row>
    <row r="1834" spans="19:19" ht="60" customHeight="1" x14ac:dyDescent="0.25">
      <c r="S1834" s="188"/>
    </row>
    <row r="1835" spans="19:19" ht="60" customHeight="1" x14ac:dyDescent="0.25">
      <c r="S1835" s="188"/>
    </row>
    <row r="1836" spans="19:19" ht="60" customHeight="1" x14ac:dyDescent="0.25">
      <c r="S1836" s="188"/>
    </row>
    <row r="1837" spans="19:19" ht="60" customHeight="1" x14ac:dyDescent="0.25">
      <c r="S1837" s="188"/>
    </row>
    <row r="1838" spans="19:19" ht="60" customHeight="1" x14ac:dyDescent="0.25">
      <c r="S1838" s="188"/>
    </row>
    <row r="1839" spans="19:19" ht="60" customHeight="1" x14ac:dyDescent="0.25">
      <c r="S1839" s="188"/>
    </row>
    <row r="1840" spans="19:19" ht="60" customHeight="1" x14ac:dyDescent="0.25">
      <c r="S1840" s="188"/>
    </row>
    <row r="1841" spans="19:19" ht="60" customHeight="1" x14ac:dyDescent="0.25">
      <c r="S1841" s="188"/>
    </row>
    <row r="1842" spans="19:19" ht="60" customHeight="1" x14ac:dyDescent="0.25">
      <c r="S1842" s="188"/>
    </row>
    <row r="1843" spans="19:19" ht="60" customHeight="1" x14ac:dyDescent="0.25">
      <c r="S1843" s="188"/>
    </row>
    <row r="1844" spans="19:19" ht="60" customHeight="1" x14ac:dyDescent="0.25">
      <c r="S1844" s="188"/>
    </row>
    <row r="1845" spans="19:19" ht="60" customHeight="1" x14ac:dyDescent="0.25">
      <c r="S1845" s="188"/>
    </row>
    <row r="1846" spans="19:19" ht="60" customHeight="1" x14ac:dyDescent="0.25">
      <c r="S1846" s="188"/>
    </row>
    <row r="1847" spans="19:19" ht="60" customHeight="1" x14ac:dyDescent="0.25">
      <c r="S1847" s="188"/>
    </row>
    <row r="1848" spans="19:19" ht="60" customHeight="1" x14ac:dyDescent="0.25">
      <c r="S1848" s="188"/>
    </row>
    <row r="1849" spans="19:19" ht="60" customHeight="1" x14ac:dyDescent="0.25">
      <c r="S1849" s="188"/>
    </row>
    <row r="1850" spans="19:19" ht="60" customHeight="1" x14ac:dyDescent="0.25">
      <c r="S1850" s="188"/>
    </row>
    <row r="1851" spans="19:19" ht="60" customHeight="1" x14ac:dyDescent="0.25">
      <c r="S1851" s="188"/>
    </row>
    <row r="1852" spans="19:19" ht="60" customHeight="1" x14ac:dyDescent="0.25">
      <c r="S1852" s="188"/>
    </row>
    <row r="1853" spans="19:19" ht="60" customHeight="1" x14ac:dyDescent="0.25">
      <c r="S1853" s="188"/>
    </row>
    <row r="1854" spans="19:19" ht="60" customHeight="1" x14ac:dyDescent="0.25">
      <c r="S1854" s="188"/>
    </row>
    <row r="1855" spans="19:19" ht="60" customHeight="1" x14ac:dyDescent="0.25">
      <c r="S1855" s="188"/>
    </row>
    <row r="1856" spans="19:19" ht="60" customHeight="1" x14ac:dyDescent="0.25">
      <c r="S1856" s="188"/>
    </row>
    <row r="1857" spans="19:19" ht="60" customHeight="1" x14ac:dyDescent="0.25">
      <c r="S1857" s="188"/>
    </row>
    <row r="1858" spans="19:19" ht="60" customHeight="1" x14ac:dyDescent="0.25">
      <c r="S1858" s="188"/>
    </row>
    <row r="1859" spans="19:19" ht="60" customHeight="1" x14ac:dyDescent="0.25">
      <c r="S1859" s="188"/>
    </row>
    <row r="1860" spans="19:19" ht="60" customHeight="1" x14ac:dyDescent="0.25">
      <c r="S1860" s="188"/>
    </row>
    <row r="1861" spans="19:19" ht="60" customHeight="1" x14ac:dyDescent="0.25">
      <c r="S1861" s="188"/>
    </row>
    <row r="1862" spans="19:19" ht="60" customHeight="1" x14ac:dyDescent="0.25">
      <c r="S1862" s="188"/>
    </row>
    <row r="1863" spans="19:19" ht="60" customHeight="1" x14ac:dyDescent="0.25">
      <c r="S1863" s="188"/>
    </row>
    <row r="1864" spans="19:19" ht="60" customHeight="1" x14ac:dyDescent="0.25">
      <c r="S1864" s="188"/>
    </row>
    <row r="1865" spans="19:19" ht="60" customHeight="1" x14ac:dyDescent="0.25">
      <c r="S1865" s="188"/>
    </row>
    <row r="1866" spans="19:19" ht="60" customHeight="1" x14ac:dyDescent="0.25">
      <c r="S1866" s="188"/>
    </row>
    <row r="1867" spans="19:19" ht="60" customHeight="1" x14ac:dyDescent="0.25">
      <c r="S1867" s="188"/>
    </row>
    <row r="1868" spans="19:19" ht="60" customHeight="1" x14ac:dyDescent="0.25">
      <c r="S1868" s="188"/>
    </row>
    <row r="1869" spans="19:19" ht="60" customHeight="1" x14ac:dyDescent="0.25">
      <c r="S1869" s="188"/>
    </row>
    <row r="1870" spans="19:19" ht="60" customHeight="1" x14ac:dyDescent="0.25">
      <c r="S1870" s="188"/>
    </row>
    <row r="1871" spans="19:19" ht="60" customHeight="1" x14ac:dyDescent="0.25">
      <c r="S1871" s="188"/>
    </row>
    <row r="1872" spans="19:19" ht="60" customHeight="1" x14ac:dyDescent="0.25">
      <c r="S1872" s="188"/>
    </row>
    <row r="1873" spans="19:19" ht="60" customHeight="1" x14ac:dyDescent="0.25">
      <c r="S1873" s="188"/>
    </row>
    <row r="1874" spans="19:19" ht="60" customHeight="1" x14ac:dyDescent="0.25">
      <c r="S1874" s="188"/>
    </row>
    <row r="1875" spans="19:19" ht="60" customHeight="1" x14ac:dyDescent="0.25">
      <c r="S1875" s="188"/>
    </row>
    <row r="1876" spans="19:19" ht="60" customHeight="1" x14ac:dyDescent="0.25">
      <c r="S1876" s="188"/>
    </row>
    <row r="1877" spans="19:19" ht="60" customHeight="1" x14ac:dyDescent="0.25">
      <c r="S1877" s="188"/>
    </row>
    <row r="1878" spans="19:19" ht="60" customHeight="1" x14ac:dyDescent="0.25">
      <c r="S1878" s="188"/>
    </row>
    <row r="1879" spans="19:19" ht="60" customHeight="1" x14ac:dyDescent="0.25">
      <c r="S1879" s="188"/>
    </row>
    <row r="1880" spans="19:19" ht="60" customHeight="1" x14ac:dyDescent="0.25">
      <c r="S1880" s="188"/>
    </row>
    <row r="1881" spans="19:19" ht="60" customHeight="1" x14ac:dyDescent="0.25">
      <c r="S1881" s="188"/>
    </row>
    <row r="1882" spans="19:19" ht="60" customHeight="1" x14ac:dyDescent="0.25">
      <c r="S1882" s="188"/>
    </row>
    <row r="1883" spans="19:19" ht="60" customHeight="1" x14ac:dyDescent="0.25">
      <c r="S1883" s="188"/>
    </row>
    <row r="1884" spans="19:19" ht="60" customHeight="1" x14ac:dyDescent="0.25">
      <c r="S1884" s="188"/>
    </row>
    <row r="1885" spans="19:19" ht="60" customHeight="1" x14ac:dyDescent="0.25">
      <c r="S1885" s="188"/>
    </row>
    <row r="1886" spans="19:19" ht="60" customHeight="1" x14ac:dyDescent="0.25">
      <c r="S1886" s="188"/>
    </row>
    <row r="1887" spans="19:19" ht="60" customHeight="1" x14ac:dyDescent="0.25">
      <c r="S1887" s="188"/>
    </row>
    <row r="1888" spans="19:19" ht="60" customHeight="1" x14ac:dyDescent="0.25">
      <c r="S1888" s="188"/>
    </row>
    <row r="1889" spans="19:19" ht="60" customHeight="1" x14ac:dyDescent="0.25">
      <c r="S1889" s="188"/>
    </row>
    <row r="1890" spans="19:19" ht="60" customHeight="1" x14ac:dyDescent="0.25">
      <c r="S1890" s="188"/>
    </row>
    <row r="1891" spans="19:19" ht="60" customHeight="1" x14ac:dyDescent="0.25">
      <c r="S1891" s="188"/>
    </row>
    <row r="1892" spans="19:19" ht="60" customHeight="1" x14ac:dyDescent="0.25">
      <c r="S1892" s="188"/>
    </row>
    <row r="1893" spans="19:19" ht="60" customHeight="1" x14ac:dyDescent="0.25">
      <c r="S1893" s="188"/>
    </row>
    <row r="1894" spans="19:19" ht="60" customHeight="1" x14ac:dyDescent="0.25">
      <c r="S1894" s="188"/>
    </row>
    <row r="1895" spans="19:19" ht="60" customHeight="1" x14ac:dyDescent="0.25">
      <c r="S1895" s="188"/>
    </row>
    <row r="1896" spans="19:19" ht="60" customHeight="1" x14ac:dyDescent="0.25">
      <c r="S1896" s="188"/>
    </row>
    <row r="1897" spans="19:19" ht="60" customHeight="1" x14ac:dyDescent="0.25">
      <c r="S1897" s="188"/>
    </row>
    <row r="1898" spans="19:19" ht="60" customHeight="1" x14ac:dyDescent="0.25">
      <c r="S1898" s="188"/>
    </row>
    <row r="1899" spans="19:19" ht="60" customHeight="1" x14ac:dyDescent="0.25">
      <c r="S1899" s="188"/>
    </row>
    <row r="1900" spans="19:19" ht="60" customHeight="1" x14ac:dyDescent="0.25">
      <c r="S1900" s="188"/>
    </row>
    <row r="1901" spans="19:19" ht="60" customHeight="1" x14ac:dyDescent="0.25">
      <c r="S1901" s="188"/>
    </row>
    <row r="1902" spans="19:19" ht="60" customHeight="1" x14ac:dyDescent="0.25">
      <c r="S1902" s="188"/>
    </row>
    <row r="1903" spans="19:19" ht="60" customHeight="1" x14ac:dyDescent="0.25">
      <c r="S1903" s="188"/>
    </row>
    <row r="1904" spans="19:19" ht="60" customHeight="1" x14ac:dyDescent="0.25">
      <c r="S1904" s="188"/>
    </row>
    <row r="1905" spans="19:19" ht="60" customHeight="1" x14ac:dyDescent="0.25">
      <c r="S1905" s="188"/>
    </row>
    <row r="1906" spans="19:19" ht="60" customHeight="1" x14ac:dyDescent="0.25">
      <c r="S1906" s="188"/>
    </row>
    <row r="1907" spans="19:19" ht="60" customHeight="1" x14ac:dyDescent="0.25">
      <c r="S1907" s="188"/>
    </row>
    <row r="1908" spans="19:19" ht="60" customHeight="1" x14ac:dyDescent="0.25">
      <c r="S1908" s="188"/>
    </row>
    <row r="1909" spans="19:19" ht="60" customHeight="1" x14ac:dyDescent="0.25">
      <c r="S1909" s="188"/>
    </row>
    <row r="1910" spans="19:19" ht="60" customHeight="1" x14ac:dyDescent="0.25">
      <c r="S1910" s="188"/>
    </row>
    <row r="1911" spans="19:19" ht="60" customHeight="1" x14ac:dyDescent="0.25">
      <c r="S1911" s="188"/>
    </row>
    <row r="1912" spans="19:19" ht="60" customHeight="1" x14ac:dyDescent="0.25">
      <c r="S1912" s="188"/>
    </row>
    <row r="1913" spans="19:19" ht="60" customHeight="1" x14ac:dyDescent="0.25">
      <c r="S1913" s="188"/>
    </row>
    <row r="1914" spans="19:19" ht="60" customHeight="1" x14ac:dyDescent="0.25">
      <c r="S1914" s="188"/>
    </row>
    <row r="1915" spans="19:19" ht="60" customHeight="1" x14ac:dyDescent="0.25">
      <c r="S1915" s="188"/>
    </row>
    <row r="1916" spans="19:19" ht="60" customHeight="1" x14ac:dyDescent="0.25">
      <c r="S1916" s="188"/>
    </row>
    <row r="1917" spans="19:19" ht="60" customHeight="1" x14ac:dyDescent="0.25">
      <c r="S1917" s="188"/>
    </row>
    <row r="1918" spans="19:19" ht="60" customHeight="1" x14ac:dyDescent="0.25">
      <c r="S1918" s="188"/>
    </row>
    <row r="1919" spans="19:19" ht="60" customHeight="1" x14ac:dyDescent="0.25">
      <c r="S1919" s="188"/>
    </row>
    <row r="1920" spans="19:19" ht="60" customHeight="1" x14ac:dyDescent="0.25">
      <c r="S1920" s="188"/>
    </row>
    <row r="1921" spans="19:19" ht="60" customHeight="1" x14ac:dyDescent="0.25">
      <c r="S1921" s="188"/>
    </row>
    <row r="1922" spans="19:19" ht="60" customHeight="1" x14ac:dyDescent="0.25">
      <c r="S1922" s="188"/>
    </row>
    <row r="1923" spans="19:19" ht="60" customHeight="1" x14ac:dyDescent="0.25">
      <c r="S1923" s="188"/>
    </row>
    <row r="1924" spans="19:19" ht="60" customHeight="1" x14ac:dyDescent="0.25">
      <c r="S1924" s="188"/>
    </row>
    <row r="1925" spans="19:19" ht="60" customHeight="1" x14ac:dyDescent="0.25">
      <c r="S1925" s="188"/>
    </row>
    <row r="1926" spans="19:19" ht="60" customHeight="1" x14ac:dyDescent="0.25">
      <c r="S1926" s="188"/>
    </row>
    <row r="1927" spans="19:19" ht="60" customHeight="1" x14ac:dyDescent="0.25">
      <c r="S1927" s="188"/>
    </row>
    <row r="1928" spans="19:19" ht="60" customHeight="1" x14ac:dyDescent="0.25">
      <c r="S1928" s="188"/>
    </row>
    <row r="1929" spans="19:19" ht="60" customHeight="1" x14ac:dyDescent="0.25">
      <c r="S1929" s="188"/>
    </row>
    <row r="1930" spans="19:19" ht="60" customHeight="1" x14ac:dyDescent="0.25">
      <c r="S1930" s="188"/>
    </row>
    <row r="1931" spans="19:19" ht="60" customHeight="1" x14ac:dyDescent="0.25">
      <c r="S1931" s="188"/>
    </row>
    <row r="1932" spans="19:19" ht="60" customHeight="1" x14ac:dyDescent="0.25">
      <c r="S1932" s="188"/>
    </row>
    <row r="1933" spans="19:19" ht="60" customHeight="1" x14ac:dyDescent="0.25">
      <c r="S1933" s="188"/>
    </row>
    <row r="1934" spans="19:19" ht="60" customHeight="1" x14ac:dyDescent="0.25">
      <c r="S1934" s="188"/>
    </row>
    <row r="1935" spans="19:19" ht="60" customHeight="1" x14ac:dyDescent="0.25">
      <c r="S1935" s="188"/>
    </row>
    <row r="1936" spans="19:19" ht="60" customHeight="1" x14ac:dyDescent="0.25">
      <c r="S1936" s="188"/>
    </row>
    <row r="1937" spans="19:19" ht="60" customHeight="1" x14ac:dyDescent="0.25">
      <c r="S1937" s="188"/>
    </row>
    <row r="1938" spans="19:19" ht="60" customHeight="1" x14ac:dyDescent="0.25">
      <c r="S1938" s="188"/>
    </row>
    <row r="1939" spans="19:19" ht="60" customHeight="1" x14ac:dyDescent="0.25">
      <c r="S1939" s="188"/>
    </row>
    <row r="1940" spans="19:19" ht="60" customHeight="1" x14ac:dyDescent="0.25">
      <c r="S1940" s="188"/>
    </row>
    <row r="1941" spans="19:19" ht="60" customHeight="1" x14ac:dyDescent="0.25">
      <c r="S1941" s="188"/>
    </row>
    <row r="1942" spans="19:19" ht="60" customHeight="1" x14ac:dyDescent="0.25">
      <c r="S1942" s="188"/>
    </row>
    <row r="1943" spans="19:19" ht="60" customHeight="1" x14ac:dyDescent="0.25">
      <c r="S1943" s="188"/>
    </row>
    <row r="1944" spans="19:19" ht="60" customHeight="1" x14ac:dyDescent="0.25">
      <c r="S1944" s="188"/>
    </row>
    <row r="1945" spans="19:19" ht="60" customHeight="1" x14ac:dyDescent="0.25">
      <c r="S1945" s="188"/>
    </row>
    <row r="1946" spans="19:19" ht="60" customHeight="1" x14ac:dyDescent="0.25">
      <c r="S1946" s="188"/>
    </row>
    <row r="1947" spans="19:19" ht="60" customHeight="1" x14ac:dyDescent="0.25">
      <c r="S1947" s="188"/>
    </row>
    <row r="1948" spans="19:19" ht="60" customHeight="1" x14ac:dyDescent="0.25">
      <c r="S1948" s="188"/>
    </row>
    <row r="1949" spans="19:19" ht="60" customHeight="1" x14ac:dyDescent="0.25">
      <c r="S1949" s="188"/>
    </row>
    <row r="1950" spans="19:19" ht="60" customHeight="1" x14ac:dyDescent="0.25">
      <c r="S1950" s="188"/>
    </row>
    <row r="1951" spans="19:19" ht="60" customHeight="1" x14ac:dyDescent="0.25">
      <c r="S1951" s="188"/>
    </row>
    <row r="1952" spans="19:19" ht="60" customHeight="1" x14ac:dyDescent="0.25">
      <c r="S1952" s="188"/>
    </row>
    <row r="1953" spans="19:19" ht="60" customHeight="1" x14ac:dyDescent="0.25">
      <c r="S1953" s="188"/>
    </row>
    <row r="1954" spans="19:19" ht="60" customHeight="1" x14ac:dyDescent="0.25">
      <c r="S1954" s="188"/>
    </row>
    <row r="1955" spans="19:19" ht="60" customHeight="1" x14ac:dyDescent="0.25">
      <c r="S1955" s="188"/>
    </row>
    <row r="1956" spans="19:19" ht="60" customHeight="1" x14ac:dyDescent="0.25">
      <c r="S1956" s="188"/>
    </row>
    <row r="1957" spans="19:19" ht="60" customHeight="1" x14ac:dyDescent="0.25">
      <c r="S1957" s="188"/>
    </row>
    <row r="1958" spans="19:19" ht="60" customHeight="1" x14ac:dyDescent="0.25">
      <c r="S1958" s="188"/>
    </row>
    <row r="1959" spans="19:19" ht="60" customHeight="1" x14ac:dyDescent="0.25">
      <c r="S1959" s="188"/>
    </row>
    <row r="1960" spans="19:19" ht="60" customHeight="1" x14ac:dyDescent="0.25">
      <c r="S1960" s="188"/>
    </row>
    <row r="1961" spans="19:19" ht="60" customHeight="1" x14ac:dyDescent="0.25">
      <c r="S1961" s="188"/>
    </row>
    <row r="1962" spans="19:19" ht="60" customHeight="1" x14ac:dyDescent="0.25">
      <c r="S1962" s="188"/>
    </row>
    <row r="1963" spans="19:19" ht="60" customHeight="1" x14ac:dyDescent="0.25">
      <c r="S1963" s="188"/>
    </row>
    <row r="1964" spans="19:19" ht="60" customHeight="1" x14ac:dyDescent="0.25">
      <c r="S1964" s="188"/>
    </row>
    <row r="1965" spans="19:19" ht="60" customHeight="1" x14ac:dyDescent="0.25">
      <c r="S1965" s="188"/>
    </row>
    <row r="1966" spans="19:19" ht="60" customHeight="1" x14ac:dyDescent="0.25">
      <c r="S1966" s="188"/>
    </row>
    <row r="1967" spans="19:19" ht="60" customHeight="1" x14ac:dyDescent="0.25">
      <c r="S1967" s="188"/>
    </row>
    <row r="1968" spans="19:19" ht="60" customHeight="1" x14ac:dyDescent="0.25">
      <c r="S1968" s="188"/>
    </row>
    <row r="1969" spans="19:19" ht="60" customHeight="1" x14ac:dyDescent="0.25">
      <c r="S1969" s="188"/>
    </row>
    <row r="1970" spans="19:19" ht="60" customHeight="1" x14ac:dyDescent="0.25">
      <c r="S1970" s="188"/>
    </row>
    <row r="1971" spans="19:19" ht="60" customHeight="1" x14ac:dyDescent="0.25">
      <c r="S1971" s="188"/>
    </row>
    <row r="1972" spans="19:19" ht="60" customHeight="1" x14ac:dyDescent="0.25">
      <c r="S1972" s="188"/>
    </row>
    <row r="1973" spans="19:19" ht="60" customHeight="1" x14ac:dyDescent="0.25">
      <c r="S1973" s="188"/>
    </row>
    <row r="1974" spans="19:19" ht="60" customHeight="1" x14ac:dyDescent="0.25">
      <c r="S1974" s="188"/>
    </row>
    <row r="1975" spans="19:19" ht="60" customHeight="1" x14ac:dyDescent="0.25">
      <c r="S1975" s="188"/>
    </row>
    <row r="1976" spans="19:19" ht="60" customHeight="1" x14ac:dyDescent="0.25">
      <c r="S1976" s="188"/>
    </row>
    <row r="1977" spans="19:19" ht="60" customHeight="1" x14ac:dyDescent="0.25">
      <c r="S1977" s="188"/>
    </row>
    <row r="1978" spans="19:19" ht="60" customHeight="1" x14ac:dyDescent="0.25">
      <c r="S1978" s="188"/>
    </row>
    <row r="1979" spans="19:19" ht="60" customHeight="1" x14ac:dyDescent="0.25">
      <c r="S1979" s="188"/>
    </row>
    <row r="1980" spans="19:19" ht="60" customHeight="1" x14ac:dyDescent="0.25">
      <c r="S1980" s="188"/>
    </row>
    <row r="1981" spans="19:19" ht="60" customHeight="1" x14ac:dyDescent="0.25">
      <c r="S1981" s="188"/>
    </row>
    <row r="1982" spans="19:19" ht="60" customHeight="1" x14ac:dyDescent="0.25">
      <c r="S1982" s="188"/>
    </row>
    <row r="1983" spans="19:19" ht="60" customHeight="1" x14ac:dyDescent="0.25">
      <c r="S1983" s="188"/>
    </row>
    <row r="1984" spans="19:19" ht="60" customHeight="1" x14ac:dyDescent="0.25">
      <c r="S1984" s="188"/>
    </row>
    <row r="1985" spans="19:19" ht="60" customHeight="1" x14ac:dyDescent="0.25">
      <c r="S1985" s="188"/>
    </row>
    <row r="1986" spans="19:19" ht="60" customHeight="1" x14ac:dyDescent="0.25">
      <c r="S1986" s="188"/>
    </row>
    <row r="1987" spans="19:19" ht="60" customHeight="1" x14ac:dyDescent="0.25">
      <c r="S1987" s="188"/>
    </row>
    <row r="1988" spans="19:19" ht="60" customHeight="1" x14ac:dyDescent="0.25">
      <c r="S1988" s="188"/>
    </row>
    <row r="1989" spans="19:19" ht="60" customHeight="1" x14ac:dyDescent="0.25">
      <c r="S1989" s="188"/>
    </row>
    <row r="1990" spans="19:19" ht="60" customHeight="1" x14ac:dyDescent="0.25">
      <c r="S1990" s="188"/>
    </row>
    <row r="1991" spans="19:19" ht="60" customHeight="1" x14ac:dyDescent="0.25">
      <c r="S1991" s="188"/>
    </row>
    <row r="1992" spans="19:19" ht="60" customHeight="1" x14ac:dyDescent="0.25">
      <c r="S1992" s="188"/>
    </row>
    <row r="1993" spans="19:19" ht="60" customHeight="1" x14ac:dyDescent="0.25">
      <c r="S1993" s="188"/>
    </row>
    <row r="1994" spans="19:19" ht="60" customHeight="1" x14ac:dyDescent="0.25">
      <c r="S1994" s="188"/>
    </row>
    <row r="1995" spans="19:19" ht="60" customHeight="1" x14ac:dyDescent="0.25">
      <c r="S1995" s="188"/>
    </row>
    <row r="1996" spans="19:19" ht="60" customHeight="1" x14ac:dyDescent="0.25">
      <c r="S1996" s="188"/>
    </row>
    <row r="1997" spans="19:19" ht="60" customHeight="1" x14ac:dyDescent="0.25">
      <c r="S1997" s="188"/>
    </row>
    <row r="1998" spans="19:19" ht="60" customHeight="1" x14ac:dyDescent="0.25">
      <c r="S1998" s="188"/>
    </row>
    <row r="1999" spans="19:19" ht="60" customHeight="1" x14ac:dyDescent="0.25">
      <c r="S1999" s="188"/>
    </row>
    <row r="2000" spans="19:19" ht="60" customHeight="1" x14ac:dyDescent="0.25">
      <c r="S2000" s="188"/>
    </row>
    <row r="2001" spans="19:19" ht="60" customHeight="1" x14ac:dyDescent="0.25">
      <c r="S2001" s="188"/>
    </row>
    <row r="2002" spans="19:19" ht="60" customHeight="1" x14ac:dyDescent="0.25">
      <c r="S2002" s="188"/>
    </row>
    <row r="2003" spans="19:19" ht="60" customHeight="1" x14ac:dyDescent="0.25">
      <c r="S2003" s="188"/>
    </row>
    <row r="2004" spans="19:19" ht="60" customHeight="1" x14ac:dyDescent="0.25">
      <c r="S2004" s="188"/>
    </row>
    <row r="2005" spans="19:19" ht="60" customHeight="1" x14ac:dyDescent="0.25">
      <c r="S2005" s="188"/>
    </row>
    <row r="2006" spans="19:19" ht="60" customHeight="1" x14ac:dyDescent="0.25">
      <c r="S2006" s="188"/>
    </row>
    <row r="2007" spans="19:19" ht="60" customHeight="1" x14ac:dyDescent="0.25">
      <c r="S2007" s="188"/>
    </row>
    <row r="2008" spans="19:19" ht="60" customHeight="1" x14ac:dyDescent="0.25">
      <c r="S2008" s="188"/>
    </row>
    <row r="2009" spans="19:19" ht="60" customHeight="1" x14ac:dyDescent="0.25">
      <c r="S2009" s="188"/>
    </row>
    <row r="2010" spans="19:19" ht="60" customHeight="1" x14ac:dyDescent="0.25">
      <c r="S2010" s="188"/>
    </row>
    <row r="2011" spans="19:19" ht="60" customHeight="1" x14ac:dyDescent="0.25">
      <c r="S2011" s="188"/>
    </row>
    <row r="2012" spans="19:19" ht="60" customHeight="1" x14ac:dyDescent="0.25">
      <c r="S2012" s="188"/>
    </row>
    <row r="2013" spans="19:19" ht="60" customHeight="1" x14ac:dyDescent="0.25">
      <c r="S2013" s="188"/>
    </row>
    <row r="2014" spans="19:19" ht="60" customHeight="1" x14ac:dyDescent="0.25">
      <c r="S2014" s="188"/>
    </row>
    <row r="2015" spans="19:19" ht="60" customHeight="1" x14ac:dyDescent="0.25">
      <c r="S2015" s="188"/>
    </row>
    <row r="2016" spans="19:19" ht="60" customHeight="1" x14ac:dyDescent="0.25">
      <c r="S2016" s="188"/>
    </row>
    <row r="2017" spans="19:19" ht="60" customHeight="1" x14ac:dyDescent="0.25">
      <c r="S2017" s="188"/>
    </row>
    <row r="2018" spans="19:19" ht="60" customHeight="1" x14ac:dyDescent="0.25">
      <c r="S2018" s="188"/>
    </row>
    <row r="2019" spans="19:19" ht="60" customHeight="1" x14ac:dyDescent="0.25">
      <c r="S2019" s="188"/>
    </row>
    <row r="2020" spans="19:19" ht="60" customHeight="1" x14ac:dyDescent="0.25">
      <c r="S2020" s="188"/>
    </row>
    <row r="2021" spans="19:19" ht="60" customHeight="1" x14ac:dyDescent="0.25">
      <c r="S2021" s="188"/>
    </row>
    <row r="2022" spans="19:19" ht="60" customHeight="1" x14ac:dyDescent="0.25">
      <c r="S2022" s="188"/>
    </row>
    <row r="2023" spans="19:19" ht="60" customHeight="1" x14ac:dyDescent="0.25">
      <c r="S2023" s="188"/>
    </row>
    <row r="2024" spans="19:19" ht="60" customHeight="1" x14ac:dyDescent="0.25">
      <c r="S2024" s="188"/>
    </row>
    <row r="2025" spans="19:19" ht="60" customHeight="1" x14ac:dyDescent="0.25">
      <c r="S2025" s="188"/>
    </row>
    <row r="2026" spans="19:19" ht="60" customHeight="1" x14ac:dyDescent="0.25">
      <c r="S2026" s="188"/>
    </row>
    <row r="2027" spans="19:19" ht="60" customHeight="1" x14ac:dyDescent="0.25">
      <c r="S2027" s="188"/>
    </row>
    <row r="2028" spans="19:19" ht="60" customHeight="1" x14ac:dyDescent="0.25">
      <c r="S2028" s="188"/>
    </row>
    <row r="2029" spans="19:19" ht="60" customHeight="1" x14ac:dyDescent="0.25">
      <c r="S2029" s="188"/>
    </row>
    <row r="2030" spans="19:19" ht="60" customHeight="1" x14ac:dyDescent="0.25">
      <c r="S2030" s="188"/>
    </row>
    <row r="2031" spans="19:19" ht="60" customHeight="1" x14ac:dyDescent="0.25">
      <c r="S2031" s="188"/>
    </row>
    <row r="2032" spans="19:19" ht="60" customHeight="1" x14ac:dyDescent="0.25">
      <c r="S2032" s="188"/>
    </row>
    <row r="2033" spans="19:19" ht="60" customHeight="1" x14ac:dyDescent="0.25">
      <c r="S2033" s="188"/>
    </row>
    <row r="2034" spans="19:19" ht="60" customHeight="1" x14ac:dyDescent="0.25">
      <c r="S2034" s="188"/>
    </row>
    <row r="2035" spans="19:19" ht="60" customHeight="1" x14ac:dyDescent="0.25">
      <c r="S2035" s="188"/>
    </row>
    <row r="2036" spans="19:19" ht="60" customHeight="1" x14ac:dyDescent="0.25">
      <c r="S2036" s="188"/>
    </row>
    <row r="2037" spans="19:19" ht="60" customHeight="1" x14ac:dyDescent="0.25">
      <c r="S2037" s="188"/>
    </row>
    <row r="2038" spans="19:19" ht="60" customHeight="1" x14ac:dyDescent="0.25">
      <c r="S2038" s="188"/>
    </row>
    <row r="2039" spans="19:19" ht="60" customHeight="1" x14ac:dyDescent="0.25">
      <c r="S2039" s="188"/>
    </row>
    <row r="2040" spans="19:19" ht="60" customHeight="1" x14ac:dyDescent="0.25">
      <c r="S2040" s="188"/>
    </row>
    <row r="2041" spans="19:19" ht="60" customHeight="1" x14ac:dyDescent="0.25">
      <c r="S2041" s="188"/>
    </row>
    <row r="2042" spans="19:19" ht="60" customHeight="1" x14ac:dyDescent="0.25">
      <c r="S2042" s="188"/>
    </row>
    <row r="2043" spans="19:19" ht="60" customHeight="1" x14ac:dyDescent="0.25">
      <c r="S2043" s="188"/>
    </row>
    <row r="2044" spans="19:19" ht="60" customHeight="1" x14ac:dyDescent="0.25">
      <c r="S2044" s="188"/>
    </row>
    <row r="2045" spans="19:19" ht="60" customHeight="1" x14ac:dyDescent="0.25">
      <c r="S2045" s="188"/>
    </row>
    <row r="2046" spans="19:19" ht="60" customHeight="1" x14ac:dyDescent="0.25">
      <c r="S2046" s="188"/>
    </row>
    <row r="2047" spans="19:19" ht="60" customHeight="1" x14ac:dyDescent="0.25">
      <c r="S2047" s="188"/>
    </row>
    <row r="2048" spans="19:19" ht="60" customHeight="1" x14ac:dyDescent="0.25">
      <c r="S2048" s="188"/>
    </row>
    <row r="2049" spans="19:19" ht="60" customHeight="1" x14ac:dyDescent="0.25">
      <c r="S2049" s="188"/>
    </row>
    <row r="2050" spans="19:19" ht="60" customHeight="1" x14ac:dyDescent="0.25">
      <c r="S2050" s="188"/>
    </row>
    <row r="2051" spans="19:19" ht="60" customHeight="1" x14ac:dyDescent="0.25">
      <c r="S2051" s="188"/>
    </row>
    <row r="2052" spans="19:19" ht="60" customHeight="1" x14ac:dyDescent="0.25">
      <c r="S2052" s="188"/>
    </row>
    <row r="2053" spans="19:19" ht="60" customHeight="1" x14ac:dyDescent="0.25">
      <c r="S2053" s="188"/>
    </row>
    <row r="2054" spans="19:19" ht="60" customHeight="1" x14ac:dyDescent="0.25">
      <c r="S2054" s="188"/>
    </row>
    <row r="2055" spans="19:19" ht="60" customHeight="1" x14ac:dyDescent="0.25">
      <c r="S2055" s="188"/>
    </row>
    <row r="2056" spans="19:19" ht="60" customHeight="1" x14ac:dyDescent="0.25">
      <c r="S2056" s="188"/>
    </row>
    <row r="2057" spans="19:19" ht="60" customHeight="1" x14ac:dyDescent="0.25">
      <c r="S2057" s="188"/>
    </row>
    <row r="2058" spans="19:19" ht="60" customHeight="1" x14ac:dyDescent="0.25">
      <c r="S2058" s="188"/>
    </row>
    <row r="2059" spans="19:19" ht="60" customHeight="1" x14ac:dyDescent="0.25">
      <c r="S2059" s="188"/>
    </row>
    <row r="2060" spans="19:19" ht="60" customHeight="1" x14ac:dyDescent="0.25">
      <c r="S2060" s="188"/>
    </row>
    <row r="2061" spans="19:19" ht="60" customHeight="1" x14ac:dyDescent="0.25">
      <c r="S2061" s="188"/>
    </row>
    <row r="2062" spans="19:19" ht="60" customHeight="1" x14ac:dyDescent="0.25">
      <c r="S2062" s="188"/>
    </row>
    <row r="2063" spans="19:19" ht="60" customHeight="1" x14ac:dyDescent="0.25">
      <c r="S2063" s="188"/>
    </row>
    <row r="2064" spans="19:19" ht="60" customHeight="1" x14ac:dyDescent="0.25">
      <c r="S2064" s="188"/>
    </row>
    <row r="2065" spans="19:19" ht="60" customHeight="1" x14ac:dyDescent="0.25">
      <c r="S2065" s="188"/>
    </row>
    <row r="2066" spans="19:19" ht="60" customHeight="1" x14ac:dyDescent="0.25">
      <c r="S2066" s="188"/>
    </row>
    <row r="2067" spans="19:19" ht="60" customHeight="1" x14ac:dyDescent="0.25">
      <c r="S2067" s="188"/>
    </row>
    <row r="2068" spans="19:19" ht="60" customHeight="1" x14ac:dyDescent="0.25">
      <c r="S2068" s="188"/>
    </row>
    <row r="2069" spans="19:19" ht="60" customHeight="1" x14ac:dyDescent="0.25">
      <c r="S2069" s="188"/>
    </row>
    <row r="2070" spans="19:19" ht="60" customHeight="1" x14ac:dyDescent="0.25">
      <c r="S2070" s="188"/>
    </row>
    <row r="2071" spans="19:19" ht="60" customHeight="1" x14ac:dyDescent="0.25">
      <c r="S2071" s="188"/>
    </row>
    <row r="2072" spans="19:19" ht="60" customHeight="1" x14ac:dyDescent="0.25">
      <c r="S2072" s="188"/>
    </row>
    <row r="2073" spans="19:19" ht="60" customHeight="1" x14ac:dyDescent="0.25">
      <c r="S2073" s="188"/>
    </row>
    <row r="2074" spans="19:19" ht="60" customHeight="1" x14ac:dyDescent="0.25">
      <c r="S2074" s="188"/>
    </row>
    <row r="2075" spans="19:19" ht="60" customHeight="1" x14ac:dyDescent="0.25">
      <c r="S2075" s="188"/>
    </row>
    <row r="2076" spans="19:19" ht="60" customHeight="1" x14ac:dyDescent="0.25">
      <c r="S2076" s="188"/>
    </row>
    <row r="2077" spans="19:19" ht="60" customHeight="1" x14ac:dyDescent="0.25">
      <c r="S2077" s="188"/>
    </row>
    <row r="2078" spans="19:19" ht="60" customHeight="1" x14ac:dyDescent="0.25">
      <c r="S2078" s="188"/>
    </row>
    <row r="2079" spans="19:19" ht="60" customHeight="1" x14ac:dyDescent="0.25">
      <c r="S2079" s="188"/>
    </row>
    <row r="2080" spans="19:19" ht="60" customHeight="1" x14ac:dyDescent="0.25">
      <c r="S2080" s="188"/>
    </row>
    <row r="2081" spans="19:19" ht="60" customHeight="1" x14ac:dyDescent="0.25">
      <c r="S2081" s="188"/>
    </row>
    <row r="2082" spans="19:19" ht="60" customHeight="1" x14ac:dyDescent="0.25">
      <c r="S2082" s="188"/>
    </row>
    <row r="2083" spans="19:19" ht="60" customHeight="1" x14ac:dyDescent="0.25">
      <c r="S2083" s="188"/>
    </row>
    <row r="2084" spans="19:19" ht="60" customHeight="1" x14ac:dyDescent="0.25">
      <c r="S2084" s="188"/>
    </row>
    <row r="2085" spans="19:19" ht="60" customHeight="1" x14ac:dyDescent="0.25">
      <c r="S2085" s="188"/>
    </row>
    <row r="2086" spans="19:19" ht="60" customHeight="1" x14ac:dyDescent="0.25">
      <c r="S2086" s="188"/>
    </row>
    <row r="2087" spans="19:19" ht="60" customHeight="1" x14ac:dyDescent="0.25">
      <c r="S2087" s="188"/>
    </row>
    <row r="2088" spans="19:19" ht="60" customHeight="1" x14ac:dyDescent="0.25">
      <c r="S2088" s="188"/>
    </row>
    <row r="2089" spans="19:19" ht="60" customHeight="1" x14ac:dyDescent="0.25">
      <c r="S2089" s="188"/>
    </row>
    <row r="2090" spans="19:19" ht="60" customHeight="1" x14ac:dyDescent="0.25">
      <c r="S2090" s="188"/>
    </row>
    <row r="2091" spans="19:19" ht="60" customHeight="1" x14ac:dyDescent="0.25">
      <c r="S2091" s="188"/>
    </row>
    <row r="2092" spans="19:19" ht="60" customHeight="1" x14ac:dyDescent="0.25">
      <c r="S2092" s="188"/>
    </row>
    <row r="2093" spans="19:19" ht="60" customHeight="1" x14ac:dyDescent="0.25">
      <c r="S2093" s="188"/>
    </row>
    <row r="2094" spans="19:19" ht="60" customHeight="1" x14ac:dyDescent="0.25">
      <c r="S2094" s="188"/>
    </row>
    <row r="2095" spans="19:19" ht="60" customHeight="1" x14ac:dyDescent="0.25">
      <c r="S2095" s="188"/>
    </row>
    <row r="2096" spans="19:19" ht="60" customHeight="1" x14ac:dyDescent="0.25">
      <c r="S2096" s="188"/>
    </row>
    <row r="2097" spans="19:19" ht="60" customHeight="1" x14ac:dyDescent="0.25">
      <c r="S2097" s="188"/>
    </row>
    <row r="2098" spans="19:19" ht="60" customHeight="1" x14ac:dyDescent="0.25">
      <c r="S2098" s="188"/>
    </row>
    <row r="2099" spans="19:19" ht="60" customHeight="1" x14ac:dyDescent="0.25">
      <c r="S2099" s="188"/>
    </row>
    <row r="2100" spans="19:19" ht="60" customHeight="1" x14ac:dyDescent="0.25">
      <c r="S2100" s="188"/>
    </row>
    <row r="2101" spans="19:19" ht="60" customHeight="1" x14ac:dyDescent="0.25">
      <c r="S2101" s="188"/>
    </row>
    <row r="2102" spans="19:19" ht="60" customHeight="1" x14ac:dyDescent="0.25">
      <c r="S2102" s="188"/>
    </row>
    <row r="2103" spans="19:19" ht="60" customHeight="1" x14ac:dyDescent="0.25">
      <c r="S2103" s="188"/>
    </row>
    <row r="2104" spans="19:19" ht="60" customHeight="1" x14ac:dyDescent="0.25">
      <c r="S2104" s="188"/>
    </row>
    <row r="2105" spans="19:19" ht="60" customHeight="1" x14ac:dyDescent="0.25">
      <c r="S2105" s="188"/>
    </row>
    <row r="2106" spans="19:19" ht="60" customHeight="1" x14ac:dyDescent="0.25">
      <c r="S2106" s="188"/>
    </row>
    <row r="2107" spans="19:19" ht="60" customHeight="1" x14ac:dyDescent="0.25">
      <c r="S2107" s="188"/>
    </row>
    <row r="2108" spans="19:19" ht="60" customHeight="1" x14ac:dyDescent="0.25">
      <c r="S2108" s="188"/>
    </row>
    <row r="2109" spans="19:19" ht="60" customHeight="1" x14ac:dyDescent="0.25">
      <c r="S2109" s="188"/>
    </row>
    <row r="2110" spans="19:19" ht="60" customHeight="1" x14ac:dyDescent="0.25">
      <c r="S2110" s="188"/>
    </row>
    <row r="2111" spans="19:19" ht="60" customHeight="1" x14ac:dyDescent="0.25">
      <c r="S2111" s="188"/>
    </row>
    <row r="2112" spans="19:19" ht="60" customHeight="1" x14ac:dyDescent="0.25">
      <c r="S2112" s="188"/>
    </row>
    <row r="2113" spans="19:19" ht="60" customHeight="1" x14ac:dyDescent="0.25">
      <c r="S2113" s="188"/>
    </row>
    <row r="2114" spans="19:19" ht="60" customHeight="1" x14ac:dyDescent="0.25">
      <c r="S2114" s="188"/>
    </row>
    <row r="2115" spans="19:19" ht="60" customHeight="1" x14ac:dyDescent="0.25">
      <c r="S2115" s="188"/>
    </row>
    <row r="2116" spans="19:19" ht="60" customHeight="1" x14ac:dyDescent="0.25">
      <c r="S2116" s="188"/>
    </row>
    <row r="2117" spans="19:19" ht="60" customHeight="1" x14ac:dyDescent="0.25">
      <c r="S2117" s="188"/>
    </row>
    <row r="2118" spans="19:19" ht="60" customHeight="1" x14ac:dyDescent="0.25">
      <c r="S2118" s="188"/>
    </row>
    <row r="2119" spans="19:19" ht="60" customHeight="1" x14ac:dyDescent="0.25">
      <c r="S2119" s="188"/>
    </row>
    <row r="2120" spans="19:19" ht="60" customHeight="1" x14ac:dyDescent="0.25">
      <c r="S2120" s="188"/>
    </row>
    <row r="2121" spans="19:19" ht="60" customHeight="1" x14ac:dyDescent="0.25">
      <c r="S2121" s="188"/>
    </row>
    <row r="2122" spans="19:19" ht="60" customHeight="1" x14ac:dyDescent="0.25">
      <c r="S2122" s="188"/>
    </row>
    <row r="2123" spans="19:19" ht="60" customHeight="1" x14ac:dyDescent="0.25">
      <c r="S2123" s="188"/>
    </row>
    <row r="2124" spans="19:19" ht="60" customHeight="1" x14ac:dyDescent="0.25">
      <c r="S2124" s="188"/>
    </row>
    <row r="2125" spans="19:19" ht="60" customHeight="1" x14ac:dyDescent="0.25">
      <c r="S2125" s="188"/>
    </row>
    <row r="2126" spans="19:19" ht="60" customHeight="1" x14ac:dyDescent="0.25">
      <c r="S2126" s="188"/>
    </row>
    <row r="2127" spans="19:19" ht="60" customHeight="1" x14ac:dyDescent="0.25">
      <c r="S2127" s="188"/>
    </row>
    <row r="2128" spans="19:19" ht="60" customHeight="1" x14ac:dyDescent="0.25">
      <c r="S2128" s="188"/>
    </row>
    <row r="2129" spans="19:19" ht="60" customHeight="1" x14ac:dyDescent="0.25">
      <c r="S2129" s="188"/>
    </row>
    <row r="2130" spans="19:19" ht="60" customHeight="1" x14ac:dyDescent="0.25">
      <c r="S2130" s="188"/>
    </row>
    <row r="2131" spans="19:19" ht="60" customHeight="1" x14ac:dyDescent="0.25">
      <c r="S2131" s="188"/>
    </row>
    <row r="2132" spans="19:19" ht="60" customHeight="1" x14ac:dyDescent="0.25">
      <c r="S2132" s="188"/>
    </row>
    <row r="2133" spans="19:19" ht="60" customHeight="1" x14ac:dyDescent="0.25">
      <c r="S2133" s="188"/>
    </row>
    <row r="2134" spans="19:19" ht="60" customHeight="1" x14ac:dyDescent="0.25">
      <c r="S2134" s="188"/>
    </row>
    <row r="2135" spans="19:19" ht="60" customHeight="1" x14ac:dyDescent="0.25">
      <c r="S2135" s="188"/>
    </row>
    <row r="2136" spans="19:19" ht="60" customHeight="1" x14ac:dyDescent="0.25">
      <c r="S2136" s="188"/>
    </row>
    <row r="2137" spans="19:19" ht="60" customHeight="1" x14ac:dyDescent="0.25">
      <c r="S2137" s="188"/>
    </row>
    <row r="2138" spans="19:19" ht="60" customHeight="1" x14ac:dyDescent="0.25">
      <c r="S2138" s="188"/>
    </row>
    <row r="2139" spans="19:19" ht="60" customHeight="1" x14ac:dyDescent="0.25">
      <c r="S2139" s="188"/>
    </row>
    <row r="2140" spans="19:19" ht="60" customHeight="1" x14ac:dyDescent="0.25">
      <c r="S2140" s="188"/>
    </row>
    <row r="2141" spans="19:19" ht="60" customHeight="1" x14ac:dyDescent="0.25">
      <c r="S2141" s="188"/>
    </row>
    <row r="2142" spans="19:19" ht="60" customHeight="1" x14ac:dyDescent="0.25">
      <c r="S2142" s="188"/>
    </row>
    <row r="2143" spans="19:19" ht="60" customHeight="1" x14ac:dyDescent="0.25">
      <c r="S2143" s="188"/>
    </row>
    <row r="2144" spans="19:19" ht="60" customHeight="1" x14ac:dyDescent="0.25">
      <c r="S2144" s="188"/>
    </row>
    <row r="2145" spans="19:19" ht="60" customHeight="1" x14ac:dyDescent="0.25">
      <c r="S2145" s="188"/>
    </row>
    <row r="2146" spans="19:19" ht="60" customHeight="1" x14ac:dyDescent="0.25">
      <c r="S2146" s="188"/>
    </row>
    <row r="2147" spans="19:19" ht="60" customHeight="1" x14ac:dyDescent="0.25">
      <c r="S2147" s="188"/>
    </row>
    <row r="2148" spans="19:19" ht="60" customHeight="1" x14ac:dyDescent="0.25">
      <c r="S2148" s="188"/>
    </row>
    <row r="2149" spans="19:19" ht="60" customHeight="1" x14ac:dyDescent="0.25">
      <c r="S2149" s="188"/>
    </row>
    <row r="2150" spans="19:19" ht="60" customHeight="1" x14ac:dyDescent="0.25">
      <c r="S2150" s="188"/>
    </row>
    <row r="2151" spans="19:19" ht="60" customHeight="1" x14ac:dyDescent="0.25">
      <c r="S2151" s="188"/>
    </row>
    <row r="2152" spans="19:19" ht="60" customHeight="1" x14ac:dyDescent="0.25">
      <c r="S2152" s="188"/>
    </row>
    <row r="2153" spans="19:19" ht="60" customHeight="1" x14ac:dyDescent="0.25">
      <c r="S2153" s="188"/>
    </row>
    <row r="2154" spans="19:19" ht="60" customHeight="1" x14ac:dyDescent="0.25">
      <c r="S2154" s="188"/>
    </row>
    <row r="2155" spans="19:19" ht="60" customHeight="1" x14ac:dyDescent="0.25">
      <c r="S2155" s="188"/>
    </row>
    <row r="2156" spans="19:19" ht="60" customHeight="1" x14ac:dyDescent="0.25">
      <c r="S2156" s="188"/>
    </row>
    <row r="2157" spans="19:19" ht="60" customHeight="1" x14ac:dyDescent="0.25">
      <c r="S2157" s="188"/>
    </row>
    <row r="2158" spans="19:19" ht="60" customHeight="1" x14ac:dyDescent="0.25">
      <c r="S2158" s="188"/>
    </row>
    <row r="2159" spans="19:19" ht="60" customHeight="1" x14ac:dyDescent="0.25">
      <c r="S2159" s="188"/>
    </row>
    <row r="2160" spans="19:19" ht="60" customHeight="1" x14ac:dyDescent="0.25">
      <c r="S2160" s="188"/>
    </row>
    <row r="2161" spans="19:19" ht="60" customHeight="1" x14ac:dyDescent="0.25">
      <c r="S2161" s="188"/>
    </row>
    <row r="2162" spans="19:19" ht="60" customHeight="1" x14ac:dyDescent="0.25">
      <c r="S2162" s="188"/>
    </row>
    <row r="2163" spans="19:19" ht="60" customHeight="1" x14ac:dyDescent="0.25">
      <c r="S2163" s="188"/>
    </row>
    <row r="2164" spans="19:19" ht="60" customHeight="1" x14ac:dyDescent="0.25">
      <c r="S2164" s="188"/>
    </row>
    <row r="2165" spans="19:19" ht="60" customHeight="1" x14ac:dyDescent="0.25">
      <c r="S2165" s="188"/>
    </row>
    <row r="2166" spans="19:19" ht="60" customHeight="1" x14ac:dyDescent="0.25">
      <c r="S2166" s="188"/>
    </row>
    <row r="2167" spans="19:19" ht="60" customHeight="1" x14ac:dyDescent="0.25">
      <c r="S2167" s="188"/>
    </row>
    <row r="2168" spans="19:19" ht="60" customHeight="1" x14ac:dyDescent="0.25">
      <c r="S2168" s="188"/>
    </row>
    <row r="2169" spans="19:19" ht="60" customHeight="1" x14ac:dyDescent="0.25">
      <c r="S2169" s="188"/>
    </row>
    <row r="2170" spans="19:19" ht="60" customHeight="1" x14ac:dyDescent="0.25">
      <c r="S2170" s="188"/>
    </row>
    <row r="2171" spans="19:19" ht="60" customHeight="1" x14ac:dyDescent="0.25">
      <c r="S2171" s="188"/>
    </row>
    <row r="2172" spans="19:19" ht="60" customHeight="1" x14ac:dyDescent="0.25">
      <c r="S2172" s="188"/>
    </row>
    <row r="2173" spans="19:19" ht="60" customHeight="1" x14ac:dyDescent="0.25">
      <c r="S2173" s="188"/>
    </row>
    <row r="2174" spans="19:19" ht="60" customHeight="1" x14ac:dyDescent="0.25">
      <c r="S2174" s="188"/>
    </row>
    <row r="2175" spans="19:19" ht="60" customHeight="1" x14ac:dyDescent="0.25">
      <c r="S2175" s="188"/>
    </row>
    <row r="2176" spans="19:19" ht="60" customHeight="1" x14ac:dyDescent="0.25">
      <c r="S2176" s="188"/>
    </row>
    <row r="2177" spans="19:19" ht="60" customHeight="1" x14ac:dyDescent="0.25">
      <c r="S2177" s="188"/>
    </row>
    <row r="2178" spans="19:19" ht="60" customHeight="1" x14ac:dyDescent="0.25">
      <c r="S2178" s="188"/>
    </row>
    <row r="2179" spans="19:19" ht="60" customHeight="1" x14ac:dyDescent="0.25">
      <c r="S2179" s="188"/>
    </row>
    <row r="2180" spans="19:19" ht="60" customHeight="1" x14ac:dyDescent="0.25">
      <c r="S2180" s="188"/>
    </row>
    <row r="2181" spans="19:19" ht="60" customHeight="1" x14ac:dyDescent="0.25">
      <c r="S2181" s="188"/>
    </row>
    <row r="2182" spans="19:19" ht="60" customHeight="1" x14ac:dyDescent="0.25">
      <c r="S2182" s="188"/>
    </row>
    <row r="2183" spans="19:19" ht="60" customHeight="1" x14ac:dyDescent="0.25">
      <c r="S2183" s="188"/>
    </row>
    <row r="2184" spans="19:19" ht="60" customHeight="1" x14ac:dyDescent="0.25">
      <c r="S2184" s="188"/>
    </row>
    <row r="2185" spans="19:19" ht="60" customHeight="1" x14ac:dyDescent="0.25">
      <c r="S2185" s="188"/>
    </row>
    <row r="2186" spans="19:19" ht="60" customHeight="1" x14ac:dyDescent="0.25">
      <c r="S2186" s="188"/>
    </row>
    <row r="2187" spans="19:19" ht="60" customHeight="1" x14ac:dyDescent="0.25">
      <c r="S2187" s="188"/>
    </row>
    <row r="2188" spans="19:19" ht="60" customHeight="1" x14ac:dyDescent="0.25">
      <c r="S2188" s="188"/>
    </row>
    <row r="2189" spans="19:19" ht="60" customHeight="1" x14ac:dyDescent="0.25">
      <c r="S2189" s="188"/>
    </row>
    <row r="2190" spans="19:19" ht="60" customHeight="1" x14ac:dyDescent="0.25">
      <c r="S2190" s="188"/>
    </row>
    <row r="2191" spans="19:19" ht="60" customHeight="1" x14ac:dyDescent="0.25">
      <c r="S2191" s="188"/>
    </row>
    <row r="2192" spans="19:19" ht="60" customHeight="1" x14ac:dyDescent="0.25">
      <c r="S2192" s="188"/>
    </row>
    <row r="2193" spans="19:19" ht="60" customHeight="1" x14ac:dyDescent="0.25">
      <c r="S2193" s="188"/>
    </row>
    <row r="2194" spans="19:19" ht="60" customHeight="1" x14ac:dyDescent="0.25">
      <c r="S2194" s="188"/>
    </row>
    <row r="2195" spans="19:19" ht="60" customHeight="1" x14ac:dyDescent="0.25">
      <c r="S2195" s="188"/>
    </row>
    <row r="2196" spans="19:19" ht="60" customHeight="1" x14ac:dyDescent="0.25">
      <c r="S2196" s="188"/>
    </row>
    <row r="2197" spans="19:19" ht="60" customHeight="1" x14ac:dyDescent="0.25">
      <c r="S2197" s="188"/>
    </row>
    <row r="2198" spans="19:19" ht="60" customHeight="1" x14ac:dyDescent="0.25">
      <c r="S2198" s="188"/>
    </row>
    <row r="2199" spans="19:19" ht="60" customHeight="1" x14ac:dyDescent="0.25">
      <c r="S2199" s="188"/>
    </row>
    <row r="2200" spans="19:19" ht="60" customHeight="1" x14ac:dyDescent="0.25">
      <c r="S2200" s="188"/>
    </row>
    <row r="2201" spans="19:19" ht="60" customHeight="1" x14ac:dyDescent="0.25">
      <c r="S2201" s="188"/>
    </row>
    <row r="2202" spans="19:19" ht="60" customHeight="1" x14ac:dyDescent="0.25">
      <c r="S2202" s="188"/>
    </row>
    <row r="2203" spans="19:19" ht="60" customHeight="1" x14ac:dyDescent="0.25">
      <c r="S2203" s="188"/>
    </row>
    <row r="2204" spans="19:19" ht="60" customHeight="1" x14ac:dyDescent="0.25">
      <c r="S2204" s="188"/>
    </row>
    <row r="2205" spans="19:19" ht="60" customHeight="1" x14ac:dyDescent="0.25">
      <c r="S2205" s="188"/>
    </row>
    <row r="2206" spans="19:19" ht="60" customHeight="1" x14ac:dyDescent="0.25">
      <c r="S2206" s="188"/>
    </row>
    <row r="2207" spans="19:19" ht="60" customHeight="1" x14ac:dyDescent="0.25">
      <c r="S2207" s="188"/>
    </row>
    <row r="2208" spans="19:19" ht="60" customHeight="1" x14ac:dyDescent="0.25">
      <c r="S2208" s="188"/>
    </row>
    <row r="2209" spans="19:19" ht="60" customHeight="1" x14ac:dyDescent="0.25">
      <c r="S2209" s="188"/>
    </row>
    <row r="2210" spans="19:19" ht="60" customHeight="1" x14ac:dyDescent="0.25">
      <c r="S2210" s="188"/>
    </row>
    <row r="2211" spans="19:19" ht="60" customHeight="1" x14ac:dyDescent="0.25">
      <c r="S2211" s="188"/>
    </row>
    <row r="2212" spans="19:19" ht="60" customHeight="1" x14ac:dyDescent="0.25">
      <c r="S2212" s="188"/>
    </row>
    <row r="2213" spans="19:19" ht="60" customHeight="1" x14ac:dyDescent="0.25">
      <c r="S2213" s="188"/>
    </row>
    <row r="2214" spans="19:19" ht="60" customHeight="1" x14ac:dyDescent="0.25">
      <c r="S2214" s="188"/>
    </row>
    <row r="2215" spans="19:19" ht="60" customHeight="1" x14ac:dyDescent="0.25">
      <c r="S2215" s="188"/>
    </row>
    <row r="2216" spans="19:19" ht="60" customHeight="1" x14ac:dyDescent="0.25">
      <c r="S2216" s="188"/>
    </row>
    <row r="2217" spans="19:19" ht="60" customHeight="1" x14ac:dyDescent="0.25">
      <c r="S2217" s="188"/>
    </row>
    <row r="2218" spans="19:19" ht="60" customHeight="1" x14ac:dyDescent="0.25">
      <c r="S2218" s="188"/>
    </row>
    <row r="2219" spans="19:19" ht="60" customHeight="1" x14ac:dyDescent="0.25">
      <c r="S2219" s="188"/>
    </row>
    <row r="2220" spans="19:19" ht="60" customHeight="1" x14ac:dyDescent="0.25">
      <c r="S2220" s="188"/>
    </row>
    <row r="2221" spans="19:19" ht="60" customHeight="1" x14ac:dyDescent="0.25">
      <c r="S2221" s="188"/>
    </row>
    <row r="2222" spans="19:19" ht="60" customHeight="1" x14ac:dyDescent="0.25">
      <c r="S2222" s="188"/>
    </row>
    <row r="2223" spans="19:19" ht="60" customHeight="1" x14ac:dyDescent="0.25">
      <c r="S2223" s="188"/>
    </row>
    <row r="2224" spans="19:19" ht="60" customHeight="1" x14ac:dyDescent="0.25">
      <c r="S2224" s="188"/>
    </row>
    <row r="2225" spans="19:19" ht="60" customHeight="1" x14ac:dyDescent="0.25">
      <c r="S2225" s="188"/>
    </row>
    <row r="2226" spans="19:19" ht="60" customHeight="1" x14ac:dyDescent="0.25">
      <c r="S2226" s="188"/>
    </row>
    <row r="2227" spans="19:19" ht="60" customHeight="1" x14ac:dyDescent="0.25">
      <c r="S2227" s="188"/>
    </row>
    <row r="2228" spans="19:19" ht="60" customHeight="1" x14ac:dyDescent="0.25">
      <c r="S2228" s="188"/>
    </row>
    <row r="2229" spans="19:19" ht="60" customHeight="1" x14ac:dyDescent="0.25">
      <c r="S2229" s="188"/>
    </row>
    <row r="2230" spans="19:19" ht="60" customHeight="1" x14ac:dyDescent="0.25">
      <c r="S2230" s="188"/>
    </row>
    <row r="2231" spans="19:19" ht="60" customHeight="1" x14ac:dyDescent="0.25">
      <c r="S2231" s="188"/>
    </row>
    <row r="2232" spans="19:19" ht="60" customHeight="1" x14ac:dyDescent="0.25">
      <c r="S2232" s="188"/>
    </row>
    <row r="2233" spans="19:19" ht="60" customHeight="1" x14ac:dyDescent="0.25">
      <c r="S2233" s="188"/>
    </row>
    <row r="2234" spans="19:19" ht="60" customHeight="1" x14ac:dyDescent="0.25">
      <c r="S2234" s="188"/>
    </row>
    <row r="2235" spans="19:19" ht="60" customHeight="1" x14ac:dyDescent="0.25">
      <c r="S2235" s="188"/>
    </row>
    <row r="2236" spans="19:19" ht="60" customHeight="1" x14ac:dyDescent="0.25">
      <c r="S2236" s="188"/>
    </row>
    <row r="2237" spans="19:19" ht="60" customHeight="1" x14ac:dyDescent="0.25">
      <c r="S2237" s="188"/>
    </row>
    <row r="2238" spans="19:19" ht="60" customHeight="1" x14ac:dyDescent="0.25">
      <c r="S2238" s="188"/>
    </row>
    <row r="2239" spans="19:19" ht="60" customHeight="1" x14ac:dyDescent="0.25">
      <c r="S2239" s="188"/>
    </row>
    <row r="2240" spans="19:19" ht="60" customHeight="1" x14ac:dyDescent="0.25">
      <c r="S2240" s="188"/>
    </row>
    <row r="2241" spans="19:19" ht="60" customHeight="1" x14ac:dyDescent="0.25">
      <c r="S2241" s="188"/>
    </row>
    <row r="2242" spans="19:19" ht="60" customHeight="1" x14ac:dyDescent="0.25">
      <c r="S2242" s="188"/>
    </row>
    <row r="2243" spans="19:19" ht="60" customHeight="1" x14ac:dyDescent="0.25">
      <c r="S2243" s="188"/>
    </row>
    <row r="2244" spans="19:19" ht="60" customHeight="1" x14ac:dyDescent="0.25">
      <c r="S2244" s="188"/>
    </row>
    <row r="2245" spans="19:19" ht="60" customHeight="1" x14ac:dyDescent="0.25">
      <c r="S2245" s="188"/>
    </row>
    <row r="2246" spans="19:19" ht="60" customHeight="1" x14ac:dyDescent="0.25">
      <c r="S2246" s="188"/>
    </row>
    <row r="2247" spans="19:19" ht="60" customHeight="1" x14ac:dyDescent="0.25">
      <c r="S2247" s="188"/>
    </row>
    <row r="2248" spans="19:19" ht="60" customHeight="1" x14ac:dyDescent="0.25">
      <c r="S2248" s="188"/>
    </row>
    <row r="2249" spans="19:19" ht="60" customHeight="1" x14ac:dyDescent="0.25">
      <c r="S2249" s="188"/>
    </row>
    <row r="2250" spans="19:19" ht="60" customHeight="1" x14ac:dyDescent="0.25">
      <c r="S2250" s="188"/>
    </row>
    <row r="2251" spans="19:19" ht="60" customHeight="1" x14ac:dyDescent="0.25">
      <c r="S2251" s="188"/>
    </row>
    <row r="2252" spans="19:19" ht="60" customHeight="1" x14ac:dyDescent="0.25">
      <c r="S2252" s="188"/>
    </row>
    <row r="2253" spans="19:19" ht="60" customHeight="1" x14ac:dyDescent="0.25">
      <c r="S2253" s="188"/>
    </row>
    <row r="2254" spans="19:19" ht="60" customHeight="1" x14ac:dyDescent="0.25">
      <c r="S2254" s="188"/>
    </row>
    <row r="2255" spans="19:19" ht="60" customHeight="1" x14ac:dyDescent="0.25">
      <c r="S2255" s="188"/>
    </row>
    <row r="2256" spans="19:19" ht="60" customHeight="1" x14ac:dyDescent="0.25">
      <c r="S2256" s="188"/>
    </row>
    <row r="2257" spans="19:19" ht="60" customHeight="1" x14ac:dyDescent="0.25">
      <c r="S2257" s="188"/>
    </row>
    <row r="2258" spans="19:19" ht="60" customHeight="1" x14ac:dyDescent="0.25">
      <c r="S2258" s="188"/>
    </row>
    <row r="2259" spans="19:19" ht="60" customHeight="1" x14ac:dyDescent="0.25">
      <c r="S2259" s="188"/>
    </row>
    <row r="2260" spans="19:19" ht="60" customHeight="1" x14ac:dyDescent="0.25">
      <c r="S2260" s="188"/>
    </row>
    <row r="2261" spans="19:19" ht="60" customHeight="1" x14ac:dyDescent="0.25">
      <c r="S2261" s="188"/>
    </row>
    <row r="2262" spans="19:19" ht="60" customHeight="1" x14ac:dyDescent="0.25">
      <c r="S2262" s="188"/>
    </row>
    <row r="2263" spans="19:19" ht="60" customHeight="1" x14ac:dyDescent="0.25">
      <c r="S2263" s="188"/>
    </row>
    <row r="2264" spans="19:19" ht="60" customHeight="1" x14ac:dyDescent="0.25">
      <c r="S2264" s="188"/>
    </row>
    <row r="2265" spans="19:19" ht="60" customHeight="1" x14ac:dyDescent="0.25">
      <c r="S2265" s="188"/>
    </row>
    <row r="2266" spans="19:19" ht="60" customHeight="1" x14ac:dyDescent="0.25">
      <c r="S2266" s="188"/>
    </row>
    <row r="2267" spans="19:19" ht="60" customHeight="1" x14ac:dyDescent="0.25">
      <c r="S2267" s="188"/>
    </row>
    <row r="2268" spans="19:19" ht="60" customHeight="1" x14ac:dyDescent="0.25">
      <c r="S2268" s="188"/>
    </row>
    <row r="2269" spans="19:19" ht="60" customHeight="1" x14ac:dyDescent="0.25">
      <c r="S2269" s="188"/>
    </row>
    <row r="2270" spans="19:19" ht="60" customHeight="1" x14ac:dyDescent="0.25">
      <c r="S2270" s="188"/>
    </row>
    <row r="2271" spans="19:19" ht="60" customHeight="1" x14ac:dyDescent="0.25">
      <c r="S2271" s="188"/>
    </row>
    <row r="2272" spans="19:19" ht="60" customHeight="1" x14ac:dyDescent="0.25">
      <c r="S2272" s="188"/>
    </row>
    <row r="2273" spans="19:19" ht="60" customHeight="1" x14ac:dyDescent="0.25">
      <c r="S2273" s="188"/>
    </row>
    <row r="2274" spans="19:19" ht="60" customHeight="1" x14ac:dyDescent="0.25">
      <c r="S2274" s="188"/>
    </row>
    <row r="2275" spans="19:19" ht="60" customHeight="1" x14ac:dyDescent="0.25">
      <c r="S2275" s="188"/>
    </row>
    <row r="2276" spans="19:19" ht="60" customHeight="1" x14ac:dyDescent="0.25">
      <c r="S2276" s="188"/>
    </row>
    <row r="2277" spans="19:19" ht="60" customHeight="1" x14ac:dyDescent="0.25">
      <c r="S2277" s="188"/>
    </row>
    <row r="2278" spans="19:19" ht="60" customHeight="1" x14ac:dyDescent="0.25">
      <c r="S2278" s="188"/>
    </row>
    <row r="2279" spans="19:19" ht="60" customHeight="1" x14ac:dyDescent="0.25">
      <c r="S2279" s="188"/>
    </row>
    <row r="2280" spans="19:19" ht="60" customHeight="1" x14ac:dyDescent="0.25">
      <c r="S2280" s="188"/>
    </row>
    <row r="2281" spans="19:19" ht="60" customHeight="1" x14ac:dyDescent="0.25">
      <c r="S2281" s="188"/>
    </row>
    <row r="2282" spans="19:19" ht="60" customHeight="1" x14ac:dyDescent="0.25">
      <c r="S2282" s="188"/>
    </row>
    <row r="2283" spans="19:19" ht="60" customHeight="1" x14ac:dyDescent="0.25">
      <c r="S2283" s="188"/>
    </row>
    <row r="2284" spans="19:19" ht="60" customHeight="1" x14ac:dyDescent="0.25">
      <c r="S2284" s="188"/>
    </row>
    <row r="2285" spans="19:19" ht="60" customHeight="1" x14ac:dyDescent="0.25">
      <c r="S2285" s="188"/>
    </row>
    <row r="2286" spans="19:19" ht="60" customHeight="1" x14ac:dyDescent="0.25">
      <c r="S2286" s="188"/>
    </row>
    <row r="2287" spans="19:19" ht="60" customHeight="1" x14ac:dyDescent="0.25">
      <c r="S2287" s="188"/>
    </row>
    <row r="2288" spans="19:19" ht="60" customHeight="1" x14ac:dyDescent="0.25">
      <c r="S2288" s="188"/>
    </row>
    <row r="2289" spans="19:19" ht="60" customHeight="1" x14ac:dyDescent="0.25">
      <c r="S2289" s="188"/>
    </row>
    <row r="2290" spans="19:19" ht="60" customHeight="1" x14ac:dyDescent="0.25">
      <c r="S2290" s="188"/>
    </row>
    <row r="2291" spans="19:19" ht="60" customHeight="1" x14ac:dyDescent="0.25">
      <c r="S2291" s="188"/>
    </row>
    <row r="2292" spans="19:19" ht="60" customHeight="1" x14ac:dyDescent="0.25">
      <c r="S2292" s="188"/>
    </row>
    <row r="2293" spans="19:19" ht="60" customHeight="1" x14ac:dyDescent="0.25">
      <c r="S2293" s="188"/>
    </row>
    <row r="2294" spans="19:19" ht="60" customHeight="1" x14ac:dyDescent="0.25">
      <c r="S2294" s="188"/>
    </row>
    <row r="2295" spans="19:19" ht="60" customHeight="1" x14ac:dyDescent="0.25">
      <c r="S2295" s="188"/>
    </row>
    <row r="2296" spans="19:19" ht="60" customHeight="1" x14ac:dyDescent="0.25">
      <c r="S2296" s="188"/>
    </row>
    <row r="2297" spans="19:19" ht="60" customHeight="1" x14ac:dyDescent="0.25">
      <c r="S2297" s="188"/>
    </row>
    <row r="2298" spans="19:19" ht="60" customHeight="1" x14ac:dyDescent="0.25">
      <c r="S2298" s="188"/>
    </row>
    <row r="2299" spans="19:19" ht="60" customHeight="1" x14ac:dyDescent="0.25">
      <c r="S2299" s="188"/>
    </row>
    <row r="2300" spans="19:19" ht="60" customHeight="1" x14ac:dyDescent="0.25">
      <c r="S2300" s="188"/>
    </row>
    <row r="2301" spans="19:19" ht="60" customHeight="1" x14ac:dyDescent="0.25">
      <c r="S2301" s="188"/>
    </row>
    <row r="2302" spans="19:19" ht="60" customHeight="1" x14ac:dyDescent="0.25">
      <c r="S2302" s="188"/>
    </row>
    <row r="2303" spans="19:19" ht="60" customHeight="1" x14ac:dyDescent="0.25">
      <c r="S2303" s="188"/>
    </row>
    <row r="2304" spans="19:19" ht="60" customHeight="1" x14ac:dyDescent="0.25">
      <c r="S2304" s="188"/>
    </row>
    <row r="2305" spans="19:19" ht="60" customHeight="1" x14ac:dyDescent="0.25">
      <c r="S2305" s="188"/>
    </row>
    <row r="2306" spans="19:19" ht="60" customHeight="1" x14ac:dyDescent="0.25">
      <c r="S2306" s="188"/>
    </row>
    <row r="2307" spans="19:19" ht="60" customHeight="1" x14ac:dyDescent="0.25">
      <c r="S2307" s="188"/>
    </row>
    <row r="2308" spans="19:19" ht="60" customHeight="1" x14ac:dyDescent="0.25">
      <c r="S2308" s="188"/>
    </row>
    <row r="2309" spans="19:19" ht="60" customHeight="1" x14ac:dyDescent="0.25">
      <c r="S2309" s="188"/>
    </row>
    <row r="2310" spans="19:19" ht="60" customHeight="1" x14ac:dyDescent="0.25">
      <c r="S2310" s="188"/>
    </row>
    <row r="2311" spans="19:19" ht="60" customHeight="1" x14ac:dyDescent="0.25">
      <c r="S2311" s="188"/>
    </row>
    <row r="2312" spans="19:19" ht="60" customHeight="1" x14ac:dyDescent="0.25">
      <c r="S2312" s="188"/>
    </row>
    <row r="2313" spans="19:19" ht="60" customHeight="1" x14ac:dyDescent="0.25">
      <c r="S2313" s="188"/>
    </row>
    <row r="2314" spans="19:19" ht="60" customHeight="1" x14ac:dyDescent="0.25">
      <c r="S2314" s="188"/>
    </row>
    <row r="2315" spans="19:19" ht="60" customHeight="1" x14ac:dyDescent="0.25">
      <c r="S2315" s="188"/>
    </row>
    <row r="2316" spans="19:19" ht="60" customHeight="1" x14ac:dyDescent="0.25">
      <c r="S2316" s="188"/>
    </row>
    <row r="2317" spans="19:19" ht="60" customHeight="1" x14ac:dyDescent="0.25">
      <c r="S2317" s="188"/>
    </row>
    <row r="2318" spans="19:19" ht="60" customHeight="1" x14ac:dyDescent="0.25">
      <c r="S2318" s="188"/>
    </row>
    <row r="2319" spans="19:19" ht="60" customHeight="1" x14ac:dyDescent="0.25">
      <c r="S2319" s="188"/>
    </row>
    <row r="2320" spans="19:19" ht="60" customHeight="1" x14ac:dyDescent="0.25">
      <c r="S2320" s="188"/>
    </row>
    <row r="2321" spans="19:19" ht="60" customHeight="1" x14ac:dyDescent="0.25">
      <c r="S2321" s="188"/>
    </row>
    <row r="2322" spans="19:19" ht="60" customHeight="1" x14ac:dyDescent="0.25">
      <c r="S2322" s="188"/>
    </row>
    <row r="2323" spans="19:19" ht="60" customHeight="1" x14ac:dyDescent="0.25">
      <c r="S2323" s="188"/>
    </row>
    <row r="2324" spans="19:19" ht="60" customHeight="1" x14ac:dyDescent="0.25">
      <c r="S2324" s="188"/>
    </row>
    <row r="2325" spans="19:19" ht="60" customHeight="1" x14ac:dyDescent="0.25">
      <c r="S2325" s="188"/>
    </row>
    <row r="2326" spans="19:19" ht="60" customHeight="1" x14ac:dyDescent="0.25">
      <c r="S2326" s="188"/>
    </row>
    <row r="2327" spans="19:19" ht="60" customHeight="1" x14ac:dyDescent="0.25">
      <c r="S2327" s="188"/>
    </row>
    <row r="2328" spans="19:19" ht="60" customHeight="1" x14ac:dyDescent="0.25">
      <c r="S2328" s="188"/>
    </row>
    <row r="2329" spans="19:19" ht="60" customHeight="1" x14ac:dyDescent="0.25">
      <c r="S2329" s="188"/>
    </row>
    <row r="2330" spans="19:19" ht="60" customHeight="1" x14ac:dyDescent="0.25">
      <c r="S2330" s="188"/>
    </row>
    <row r="2331" spans="19:19" ht="60" customHeight="1" x14ac:dyDescent="0.25">
      <c r="S2331" s="188"/>
    </row>
    <row r="2332" spans="19:19" ht="60" customHeight="1" x14ac:dyDescent="0.25">
      <c r="S2332" s="188"/>
    </row>
    <row r="2333" spans="19:19" ht="60" customHeight="1" x14ac:dyDescent="0.25">
      <c r="S2333" s="188"/>
    </row>
    <row r="2334" spans="19:19" ht="60" customHeight="1" x14ac:dyDescent="0.25">
      <c r="S2334" s="188"/>
    </row>
    <row r="2335" spans="19:19" ht="60" customHeight="1" x14ac:dyDescent="0.25">
      <c r="S2335" s="188"/>
    </row>
    <row r="2336" spans="19:19" ht="60" customHeight="1" x14ac:dyDescent="0.25">
      <c r="S2336" s="188"/>
    </row>
    <row r="2337" spans="19:19" ht="60" customHeight="1" x14ac:dyDescent="0.25">
      <c r="S2337" s="188"/>
    </row>
    <row r="2338" spans="19:19" ht="60" customHeight="1" x14ac:dyDescent="0.25">
      <c r="S2338" s="188"/>
    </row>
    <row r="2339" spans="19:19" ht="60" customHeight="1" x14ac:dyDescent="0.25">
      <c r="S2339" s="188"/>
    </row>
    <row r="2340" spans="19:19" ht="60" customHeight="1" x14ac:dyDescent="0.25">
      <c r="S2340" s="188"/>
    </row>
    <row r="2341" spans="19:19" ht="60" customHeight="1" x14ac:dyDescent="0.25">
      <c r="S2341" s="188"/>
    </row>
    <row r="2342" spans="19:19" ht="60" customHeight="1" x14ac:dyDescent="0.25">
      <c r="S2342" s="188"/>
    </row>
    <row r="2343" spans="19:19" ht="60" customHeight="1" x14ac:dyDescent="0.25">
      <c r="S2343" s="188"/>
    </row>
    <row r="2344" spans="19:19" ht="60" customHeight="1" x14ac:dyDescent="0.25">
      <c r="S2344" s="188"/>
    </row>
    <row r="2345" spans="19:19" ht="60" customHeight="1" x14ac:dyDescent="0.25">
      <c r="S2345" s="188"/>
    </row>
    <row r="2346" spans="19:19" ht="60" customHeight="1" x14ac:dyDescent="0.25">
      <c r="S2346" s="188"/>
    </row>
    <row r="2347" spans="19:19" ht="60" customHeight="1" x14ac:dyDescent="0.25">
      <c r="S2347" s="188"/>
    </row>
    <row r="2348" spans="19:19" ht="60" customHeight="1" x14ac:dyDescent="0.25">
      <c r="S2348" s="188"/>
    </row>
    <row r="2349" spans="19:19" ht="60" customHeight="1" x14ac:dyDescent="0.25">
      <c r="S2349" s="188"/>
    </row>
    <row r="2350" spans="19:19" ht="60" customHeight="1" x14ac:dyDescent="0.25">
      <c r="S2350" s="188"/>
    </row>
    <row r="2351" spans="19:19" ht="60" customHeight="1" x14ac:dyDescent="0.25">
      <c r="S2351" s="188"/>
    </row>
    <row r="2352" spans="19:19" ht="60" customHeight="1" x14ac:dyDescent="0.25">
      <c r="S2352" s="188"/>
    </row>
    <row r="2353" spans="19:19" ht="60" customHeight="1" x14ac:dyDescent="0.25">
      <c r="S2353" s="188"/>
    </row>
    <row r="2354" spans="19:19" ht="60" customHeight="1" x14ac:dyDescent="0.25">
      <c r="S2354" s="188"/>
    </row>
    <row r="2355" spans="19:19" ht="60" customHeight="1" x14ac:dyDescent="0.25">
      <c r="S2355" s="188"/>
    </row>
    <row r="2356" spans="19:19" ht="60" customHeight="1" x14ac:dyDescent="0.25">
      <c r="S2356" s="188"/>
    </row>
    <row r="2357" spans="19:19" ht="60" customHeight="1" x14ac:dyDescent="0.25">
      <c r="S2357" s="188"/>
    </row>
    <row r="2358" spans="19:19" ht="60" customHeight="1" x14ac:dyDescent="0.25">
      <c r="S2358" s="188"/>
    </row>
    <row r="2359" spans="19:19" ht="60" customHeight="1" x14ac:dyDescent="0.25">
      <c r="S2359" s="188"/>
    </row>
    <row r="2360" spans="19:19" ht="60" customHeight="1" x14ac:dyDescent="0.25">
      <c r="S2360" s="188"/>
    </row>
    <row r="2361" spans="19:19" ht="60" customHeight="1" x14ac:dyDescent="0.25">
      <c r="S2361" s="188"/>
    </row>
    <row r="2362" spans="19:19" ht="60" customHeight="1" x14ac:dyDescent="0.25">
      <c r="S2362" s="188"/>
    </row>
    <row r="2363" spans="19:19" ht="60" customHeight="1" x14ac:dyDescent="0.25">
      <c r="S2363" s="188"/>
    </row>
    <row r="2364" spans="19:19" ht="60" customHeight="1" x14ac:dyDescent="0.25">
      <c r="S2364" s="188"/>
    </row>
    <row r="2365" spans="19:19" ht="60" customHeight="1" x14ac:dyDescent="0.25">
      <c r="S2365" s="188"/>
    </row>
    <row r="2366" spans="19:19" ht="60" customHeight="1" x14ac:dyDescent="0.25">
      <c r="S2366" s="188"/>
    </row>
    <row r="2367" spans="19:19" ht="60" customHeight="1" x14ac:dyDescent="0.25">
      <c r="S2367" s="188"/>
    </row>
    <row r="2368" spans="19:19" ht="60" customHeight="1" x14ac:dyDescent="0.25">
      <c r="S2368" s="188"/>
    </row>
    <row r="2369" spans="19:19" ht="60" customHeight="1" x14ac:dyDescent="0.25">
      <c r="S2369" s="188"/>
    </row>
    <row r="2370" spans="19:19" ht="60" customHeight="1" x14ac:dyDescent="0.25">
      <c r="S2370" s="188"/>
    </row>
    <row r="2371" spans="19:19" ht="60" customHeight="1" x14ac:dyDescent="0.25">
      <c r="S2371" s="188"/>
    </row>
    <row r="2372" spans="19:19" ht="60" customHeight="1" x14ac:dyDescent="0.25">
      <c r="S2372" s="188"/>
    </row>
    <row r="2373" spans="19:19" ht="60" customHeight="1" x14ac:dyDescent="0.25">
      <c r="S2373" s="188"/>
    </row>
    <row r="2374" spans="19:19" ht="60" customHeight="1" x14ac:dyDescent="0.25">
      <c r="S2374" s="188"/>
    </row>
    <row r="2375" spans="19:19" ht="60" customHeight="1" x14ac:dyDescent="0.25">
      <c r="S2375" s="188"/>
    </row>
    <row r="2376" spans="19:19" ht="60" customHeight="1" x14ac:dyDescent="0.25">
      <c r="S2376" s="188"/>
    </row>
    <row r="2377" spans="19:19" ht="60" customHeight="1" x14ac:dyDescent="0.25">
      <c r="S2377" s="188"/>
    </row>
    <row r="2378" spans="19:19" ht="60" customHeight="1" x14ac:dyDescent="0.25">
      <c r="S2378" s="188"/>
    </row>
    <row r="2379" spans="19:19" ht="60" customHeight="1" x14ac:dyDescent="0.25">
      <c r="S2379" s="188"/>
    </row>
    <row r="2380" spans="19:19" ht="60" customHeight="1" x14ac:dyDescent="0.25">
      <c r="S2380" s="188"/>
    </row>
    <row r="2381" spans="19:19" ht="60" customHeight="1" x14ac:dyDescent="0.25">
      <c r="S2381" s="188"/>
    </row>
    <row r="2382" spans="19:19" ht="60" customHeight="1" x14ac:dyDescent="0.25">
      <c r="S2382" s="188"/>
    </row>
    <row r="2383" spans="19:19" ht="60" customHeight="1" x14ac:dyDescent="0.25">
      <c r="S2383" s="188"/>
    </row>
    <row r="2384" spans="19:19" ht="60" customHeight="1" x14ac:dyDescent="0.25">
      <c r="S2384" s="188"/>
    </row>
    <row r="2385" spans="19:19" ht="60" customHeight="1" x14ac:dyDescent="0.25">
      <c r="S2385" s="188"/>
    </row>
    <row r="2386" spans="19:19" ht="60" customHeight="1" x14ac:dyDescent="0.25">
      <c r="S2386" s="188"/>
    </row>
    <row r="2387" spans="19:19" ht="60" customHeight="1" x14ac:dyDescent="0.25">
      <c r="S2387" s="188"/>
    </row>
    <row r="2388" spans="19:19" ht="60" customHeight="1" x14ac:dyDescent="0.25">
      <c r="S2388" s="188"/>
    </row>
    <row r="2389" spans="19:19" ht="60" customHeight="1" x14ac:dyDescent="0.25">
      <c r="S2389" s="188"/>
    </row>
    <row r="2390" spans="19:19" ht="60" customHeight="1" x14ac:dyDescent="0.25">
      <c r="S2390" s="188"/>
    </row>
    <row r="2391" spans="19:19" ht="60" customHeight="1" x14ac:dyDescent="0.25">
      <c r="S2391" s="188"/>
    </row>
    <row r="2392" spans="19:19" ht="60" customHeight="1" x14ac:dyDescent="0.25">
      <c r="S2392" s="188"/>
    </row>
    <row r="2393" spans="19:19" ht="60" customHeight="1" x14ac:dyDescent="0.25">
      <c r="S2393" s="188"/>
    </row>
    <row r="2394" spans="19:19" ht="60" customHeight="1" x14ac:dyDescent="0.25">
      <c r="S2394" s="188"/>
    </row>
    <row r="2395" spans="19:19" ht="60" customHeight="1" x14ac:dyDescent="0.25">
      <c r="S2395" s="188"/>
    </row>
    <row r="2396" spans="19:19" ht="60" customHeight="1" x14ac:dyDescent="0.25">
      <c r="S2396" s="188"/>
    </row>
    <row r="2397" spans="19:19" ht="60" customHeight="1" x14ac:dyDescent="0.25">
      <c r="S2397" s="188"/>
    </row>
    <row r="2398" spans="19:19" ht="60" customHeight="1" x14ac:dyDescent="0.25">
      <c r="S2398" s="188"/>
    </row>
    <row r="2399" spans="19:19" ht="60" customHeight="1" x14ac:dyDescent="0.25">
      <c r="S2399" s="188"/>
    </row>
    <row r="2400" spans="19:19" ht="60" customHeight="1" x14ac:dyDescent="0.25">
      <c r="S2400" s="188"/>
    </row>
    <row r="2401" spans="19:19" ht="60" customHeight="1" x14ac:dyDescent="0.25">
      <c r="S2401" s="188"/>
    </row>
    <row r="2402" spans="19:19" ht="60" customHeight="1" x14ac:dyDescent="0.25">
      <c r="S2402" s="188"/>
    </row>
    <row r="2403" spans="19:19" ht="60" customHeight="1" x14ac:dyDescent="0.25">
      <c r="S2403" s="188"/>
    </row>
    <row r="2404" spans="19:19" ht="60" customHeight="1" x14ac:dyDescent="0.25">
      <c r="S2404" s="188"/>
    </row>
    <row r="2405" spans="19:19" ht="60" customHeight="1" x14ac:dyDescent="0.25">
      <c r="S2405" s="188"/>
    </row>
    <row r="2406" spans="19:19" ht="60" customHeight="1" x14ac:dyDescent="0.25">
      <c r="S2406" s="188"/>
    </row>
    <row r="2407" spans="19:19" ht="60" customHeight="1" x14ac:dyDescent="0.25">
      <c r="S2407" s="188"/>
    </row>
    <row r="2408" spans="19:19" ht="60" customHeight="1" x14ac:dyDescent="0.25">
      <c r="S2408" s="188"/>
    </row>
    <row r="2409" spans="19:19" ht="60" customHeight="1" x14ac:dyDescent="0.25">
      <c r="S2409" s="188"/>
    </row>
    <row r="2410" spans="19:19" ht="60" customHeight="1" x14ac:dyDescent="0.25">
      <c r="S2410" s="188"/>
    </row>
    <row r="2411" spans="19:19" ht="60" customHeight="1" x14ac:dyDescent="0.25">
      <c r="S2411" s="188"/>
    </row>
    <row r="2412" spans="19:19" ht="60" customHeight="1" x14ac:dyDescent="0.25">
      <c r="S2412" s="188"/>
    </row>
    <row r="2413" spans="19:19" ht="60" customHeight="1" x14ac:dyDescent="0.25">
      <c r="S2413" s="188"/>
    </row>
    <row r="2414" spans="19:19" ht="60" customHeight="1" x14ac:dyDescent="0.25">
      <c r="S2414" s="188"/>
    </row>
    <row r="2415" spans="19:19" ht="60" customHeight="1" x14ac:dyDescent="0.25">
      <c r="S2415" s="188"/>
    </row>
    <row r="2416" spans="19:19" ht="60" customHeight="1" x14ac:dyDescent="0.25">
      <c r="S2416" s="188"/>
    </row>
    <row r="2417" spans="19:19" ht="60" customHeight="1" x14ac:dyDescent="0.25">
      <c r="S2417" s="188"/>
    </row>
    <row r="2418" spans="19:19" ht="60" customHeight="1" x14ac:dyDescent="0.25">
      <c r="S2418" s="188"/>
    </row>
    <row r="2419" spans="19:19" ht="60" customHeight="1" x14ac:dyDescent="0.25">
      <c r="S2419" s="188"/>
    </row>
    <row r="2420" spans="19:19" ht="60" customHeight="1" x14ac:dyDescent="0.25">
      <c r="S2420" s="188"/>
    </row>
    <row r="2421" spans="19:19" ht="60" customHeight="1" x14ac:dyDescent="0.25">
      <c r="S2421" s="188"/>
    </row>
    <row r="2422" spans="19:19" ht="60" customHeight="1" x14ac:dyDescent="0.25">
      <c r="S2422" s="188"/>
    </row>
    <row r="2423" spans="19:19" ht="60" customHeight="1" x14ac:dyDescent="0.25">
      <c r="S2423" s="188"/>
    </row>
    <row r="2424" spans="19:19" ht="60" customHeight="1" x14ac:dyDescent="0.25">
      <c r="S2424" s="188"/>
    </row>
    <row r="2425" spans="19:19" ht="60" customHeight="1" x14ac:dyDescent="0.25">
      <c r="S2425" s="188"/>
    </row>
    <row r="2426" spans="19:19" ht="60" customHeight="1" x14ac:dyDescent="0.25">
      <c r="S2426" s="188"/>
    </row>
    <row r="2427" spans="19:19" ht="60" customHeight="1" x14ac:dyDescent="0.25">
      <c r="S2427" s="188"/>
    </row>
    <row r="2428" spans="19:19" ht="60" customHeight="1" x14ac:dyDescent="0.25">
      <c r="S2428" s="188"/>
    </row>
    <row r="2429" spans="19:19" ht="60" customHeight="1" x14ac:dyDescent="0.25">
      <c r="S2429" s="188"/>
    </row>
    <row r="2430" spans="19:19" ht="60" customHeight="1" x14ac:dyDescent="0.25">
      <c r="S2430" s="188"/>
    </row>
    <row r="2431" spans="19:19" ht="60" customHeight="1" x14ac:dyDescent="0.25">
      <c r="S2431" s="188"/>
    </row>
    <row r="2432" spans="19:19" ht="60" customHeight="1" x14ac:dyDescent="0.25">
      <c r="S2432" s="188"/>
    </row>
    <row r="2433" spans="19:19" ht="60" customHeight="1" x14ac:dyDescent="0.25">
      <c r="S2433" s="188"/>
    </row>
    <row r="2434" spans="19:19" ht="60" customHeight="1" x14ac:dyDescent="0.25">
      <c r="S2434" s="188"/>
    </row>
    <row r="2435" spans="19:19" ht="60" customHeight="1" x14ac:dyDescent="0.25">
      <c r="S2435" s="188"/>
    </row>
    <row r="2436" spans="19:19" ht="60" customHeight="1" x14ac:dyDescent="0.25">
      <c r="S2436" s="188"/>
    </row>
    <row r="2437" spans="19:19" ht="60" customHeight="1" x14ac:dyDescent="0.25">
      <c r="S2437" s="188"/>
    </row>
    <row r="2438" spans="19:19" ht="60" customHeight="1" x14ac:dyDescent="0.25">
      <c r="S2438" s="188"/>
    </row>
    <row r="2439" spans="19:19" ht="60" customHeight="1" x14ac:dyDescent="0.25">
      <c r="S2439" s="188"/>
    </row>
    <row r="2440" spans="19:19" ht="60" customHeight="1" x14ac:dyDescent="0.25">
      <c r="S2440" s="188"/>
    </row>
    <row r="2441" spans="19:19" ht="60" customHeight="1" x14ac:dyDescent="0.25">
      <c r="S2441" s="188"/>
    </row>
    <row r="2442" spans="19:19" ht="60" customHeight="1" x14ac:dyDescent="0.25">
      <c r="S2442" s="188"/>
    </row>
    <row r="2443" spans="19:19" ht="60" customHeight="1" x14ac:dyDescent="0.25">
      <c r="S2443" s="188"/>
    </row>
    <row r="2444" spans="19:19" ht="60" customHeight="1" x14ac:dyDescent="0.25">
      <c r="S2444" s="188"/>
    </row>
    <row r="2445" spans="19:19" ht="60" customHeight="1" x14ac:dyDescent="0.25">
      <c r="S2445" s="188"/>
    </row>
    <row r="2446" spans="19:19" ht="60" customHeight="1" x14ac:dyDescent="0.25">
      <c r="S2446" s="188"/>
    </row>
    <row r="2447" spans="19:19" ht="60" customHeight="1" x14ac:dyDescent="0.25">
      <c r="S2447" s="188"/>
    </row>
    <row r="2448" spans="19:19" ht="60" customHeight="1" x14ac:dyDescent="0.25">
      <c r="S2448" s="188"/>
    </row>
    <row r="2449" spans="19:19" ht="60" customHeight="1" x14ac:dyDescent="0.25">
      <c r="S2449" s="188"/>
    </row>
    <row r="2450" spans="19:19" ht="60" customHeight="1" x14ac:dyDescent="0.25">
      <c r="S2450" s="188"/>
    </row>
    <row r="2451" spans="19:19" ht="60" customHeight="1" x14ac:dyDescent="0.25">
      <c r="S2451" s="188"/>
    </row>
    <row r="2452" spans="19:19" ht="60" customHeight="1" x14ac:dyDescent="0.25">
      <c r="S2452" s="188"/>
    </row>
    <row r="2453" spans="19:19" ht="60" customHeight="1" x14ac:dyDescent="0.25">
      <c r="S2453" s="188"/>
    </row>
    <row r="2454" spans="19:19" ht="60" customHeight="1" x14ac:dyDescent="0.25">
      <c r="S2454" s="188"/>
    </row>
    <row r="2455" spans="19:19" ht="60" customHeight="1" x14ac:dyDescent="0.25">
      <c r="S2455" s="188"/>
    </row>
    <row r="2456" spans="19:19" ht="60" customHeight="1" x14ac:dyDescent="0.25">
      <c r="S2456" s="188"/>
    </row>
    <row r="2457" spans="19:19" ht="60" customHeight="1" x14ac:dyDescent="0.25">
      <c r="S2457" s="188"/>
    </row>
    <row r="2458" spans="19:19" ht="60" customHeight="1" x14ac:dyDescent="0.25">
      <c r="S2458" s="188"/>
    </row>
    <row r="2459" spans="19:19" ht="60" customHeight="1" x14ac:dyDescent="0.25">
      <c r="S2459" s="188"/>
    </row>
    <row r="2460" spans="19:19" ht="60" customHeight="1" x14ac:dyDescent="0.25">
      <c r="S2460" s="188"/>
    </row>
    <row r="2461" spans="19:19" ht="60" customHeight="1" x14ac:dyDescent="0.25">
      <c r="S2461" s="188"/>
    </row>
    <row r="2462" spans="19:19" ht="60" customHeight="1" x14ac:dyDescent="0.25">
      <c r="S2462" s="188"/>
    </row>
    <row r="2463" spans="19:19" ht="60" customHeight="1" x14ac:dyDescent="0.25">
      <c r="S2463" s="188"/>
    </row>
    <row r="2464" spans="19:19" ht="60" customHeight="1" x14ac:dyDescent="0.25">
      <c r="S2464" s="188"/>
    </row>
    <row r="2465" spans="19:19" ht="60" customHeight="1" x14ac:dyDescent="0.25">
      <c r="S2465" s="188"/>
    </row>
    <row r="2466" spans="19:19" ht="60" customHeight="1" x14ac:dyDescent="0.25">
      <c r="S2466" s="188"/>
    </row>
    <row r="2467" spans="19:19" ht="60" customHeight="1" x14ac:dyDescent="0.25">
      <c r="S2467" s="188"/>
    </row>
    <row r="2468" spans="19:19" ht="60" customHeight="1" x14ac:dyDescent="0.25">
      <c r="S2468" s="188"/>
    </row>
    <row r="2469" spans="19:19" ht="60" customHeight="1" x14ac:dyDescent="0.25">
      <c r="S2469" s="188"/>
    </row>
    <row r="2470" spans="19:19" ht="60" customHeight="1" x14ac:dyDescent="0.25">
      <c r="S2470" s="188"/>
    </row>
    <row r="2471" spans="19:19" ht="60" customHeight="1" x14ac:dyDescent="0.25">
      <c r="S2471" s="188"/>
    </row>
    <row r="2472" spans="19:19" ht="60" customHeight="1" x14ac:dyDescent="0.25">
      <c r="S2472" s="188"/>
    </row>
    <row r="2473" spans="19:19" ht="60" customHeight="1" x14ac:dyDescent="0.25">
      <c r="S2473" s="188"/>
    </row>
    <row r="2474" spans="19:19" ht="60" customHeight="1" x14ac:dyDescent="0.25">
      <c r="S2474" s="188"/>
    </row>
    <row r="2475" spans="19:19" ht="60" customHeight="1" x14ac:dyDescent="0.25">
      <c r="S2475" s="188"/>
    </row>
    <row r="2476" spans="19:19" ht="60" customHeight="1" x14ac:dyDescent="0.25">
      <c r="S2476" s="188"/>
    </row>
    <row r="2477" spans="19:19" ht="60" customHeight="1" x14ac:dyDescent="0.25">
      <c r="S2477" s="188"/>
    </row>
    <row r="2478" spans="19:19" ht="60" customHeight="1" x14ac:dyDescent="0.25">
      <c r="S2478" s="188"/>
    </row>
    <row r="2479" spans="19:19" ht="60" customHeight="1" x14ac:dyDescent="0.25">
      <c r="S2479" s="188"/>
    </row>
    <row r="2480" spans="19:19" ht="60" customHeight="1" x14ac:dyDescent="0.25">
      <c r="S2480" s="188"/>
    </row>
    <row r="2481" spans="19:19" ht="60" customHeight="1" x14ac:dyDescent="0.25">
      <c r="S2481" s="188"/>
    </row>
    <row r="2482" spans="19:19" ht="60" customHeight="1" x14ac:dyDescent="0.25">
      <c r="S2482" s="188"/>
    </row>
    <row r="2483" spans="19:19" ht="60" customHeight="1" x14ac:dyDescent="0.25">
      <c r="S2483" s="188"/>
    </row>
    <row r="2484" spans="19:19" ht="60" customHeight="1" x14ac:dyDescent="0.25">
      <c r="S2484" s="188"/>
    </row>
    <row r="2485" spans="19:19" ht="60" customHeight="1" x14ac:dyDescent="0.25">
      <c r="S2485" s="188"/>
    </row>
    <row r="2486" spans="19:19" ht="60" customHeight="1" x14ac:dyDescent="0.25">
      <c r="S2486" s="188"/>
    </row>
    <row r="2487" spans="19:19" ht="60" customHeight="1" x14ac:dyDescent="0.25">
      <c r="S2487" s="188"/>
    </row>
    <row r="2488" spans="19:19" ht="60" customHeight="1" x14ac:dyDescent="0.25">
      <c r="S2488" s="188"/>
    </row>
    <row r="2489" spans="19:19" ht="60" customHeight="1" x14ac:dyDescent="0.25">
      <c r="S2489" s="188"/>
    </row>
    <row r="2490" spans="19:19" ht="60" customHeight="1" x14ac:dyDescent="0.25">
      <c r="S2490" s="188"/>
    </row>
    <row r="2491" spans="19:19" ht="60" customHeight="1" x14ac:dyDescent="0.25">
      <c r="S2491" s="188"/>
    </row>
    <row r="2492" spans="19:19" ht="60" customHeight="1" x14ac:dyDescent="0.25">
      <c r="S2492" s="188"/>
    </row>
    <row r="2493" spans="19:19" ht="60" customHeight="1" x14ac:dyDescent="0.25">
      <c r="S2493" s="188"/>
    </row>
    <row r="2494" spans="19:19" ht="60" customHeight="1" x14ac:dyDescent="0.25">
      <c r="S2494" s="188"/>
    </row>
    <row r="2495" spans="19:19" ht="60" customHeight="1" x14ac:dyDescent="0.25">
      <c r="S2495" s="188"/>
    </row>
    <row r="2496" spans="19:19" ht="60" customHeight="1" x14ac:dyDescent="0.25">
      <c r="S2496" s="188"/>
    </row>
    <row r="2497" spans="19:19" ht="60" customHeight="1" x14ac:dyDescent="0.25">
      <c r="S2497" s="188"/>
    </row>
    <row r="2498" spans="19:19" ht="60" customHeight="1" x14ac:dyDescent="0.25">
      <c r="S2498" s="188"/>
    </row>
    <row r="2499" spans="19:19" ht="60" customHeight="1" x14ac:dyDescent="0.25">
      <c r="S2499" s="188"/>
    </row>
    <row r="2500" spans="19:19" ht="60" customHeight="1" x14ac:dyDescent="0.25">
      <c r="S2500" s="188"/>
    </row>
    <row r="2501" spans="19:19" ht="60" customHeight="1" x14ac:dyDescent="0.25">
      <c r="S2501" s="188"/>
    </row>
    <row r="2502" spans="19:19" ht="60" customHeight="1" x14ac:dyDescent="0.25">
      <c r="S2502" s="188"/>
    </row>
    <row r="2503" spans="19:19" ht="60" customHeight="1" x14ac:dyDescent="0.25">
      <c r="S2503" s="188"/>
    </row>
    <row r="2504" spans="19:19" ht="60" customHeight="1" x14ac:dyDescent="0.25">
      <c r="S2504" s="188"/>
    </row>
    <row r="2505" spans="19:19" ht="60" customHeight="1" x14ac:dyDescent="0.25">
      <c r="S2505" s="188"/>
    </row>
    <row r="2506" spans="19:19" ht="60" customHeight="1" x14ac:dyDescent="0.25">
      <c r="S2506" s="188"/>
    </row>
    <row r="2507" spans="19:19" ht="60" customHeight="1" x14ac:dyDescent="0.25">
      <c r="S2507" s="188"/>
    </row>
    <row r="2508" spans="19:19" ht="60" customHeight="1" x14ac:dyDescent="0.25">
      <c r="S2508" s="188"/>
    </row>
    <row r="2509" spans="19:19" ht="60" customHeight="1" x14ac:dyDescent="0.25">
      <c r="S2509" s="188"/>
    </row>
    <row r="2510" spans="19:19" ht="60" customHeight="1" x14ac:dyDescent="0.25">
      <c r="S2510" s="188"/>
    </row>
    <row r="2511" spans="19:19" ht="60" customHeight="1" x14ac:dyDescent="0.25">
      <c r="S2511" s="188"/>
    </row>
    <row r="2512" spans="19:19" ht="60" customHeight="1" x14ac:dyDescent="0.25">
      <c r="S2512" s="188"/>
    </row>
    <row r="2513" spans="19:19" ht="60" customHeight="1" x14ac:dyDescent="0.25">
      <c r="S2513" s="188"/>
    </row>
    <row r="2514" spans="19:19" ht="60" customHeight="1" x14ac:dyDescent="0.25">
      <c r="S2514" s="188"/>
    </row>
    <row r="2515" spans="19:19" ht="60" customHeight="1" x14ac:dyDescent="0.25">
      <c r="S2515" s="188"/>
    </row>
    <row r="2516" spans="19:19" ht="60" customHeight="1" x14ac:dyDescent="0.25">
      <c r="S2516" s="188"/>
    </row>
    <row r="2517" spans="19:19" ht="60" customHeight="1" x14ac:dyDescent="0.25">
      <c r="S2517" s="188"/>
    </row>
    <row r="2518" spans="19:19" ht="60" customHeight="1" x14ac:dyDescent="0.25">
      <c r="S2518" s="188"/>
    </row>
    <row r="2519" spans="19:19" ht="60" customHeight="1" x14ac:dyDescent="0.25">
      <c r="S2519" s="188"/>
    </row>
    <row r="2520" spans="19:19" ht="60" customHeight="1" x14ac:dyDescent="0.25">
      <c r="S2520" s="188"/>
    </row>
    <row r="2521" spans="19:19" ht="60" customHeight="1" x14ac:dyDescent="0.25">
      <c r="S2521" s="188"/>
    </row>
    <row r="2522" spans="19:19" ht="60" customHeight="1" x14ac:dyDescent="0.25">
      <c r="S2522" s="188"/>
    </row>
    <row r="2523" spans="19:19" ht="60" customHeight="1" x14ac:dyDescent="0.25">
      <c r="S2523" s="188"/>
    </row>
    <row r="2524" spans="19:19" ht="60" customHeight="1" x14ac:dyDescent="0.25">
      <c r="S2524" s="188"/>
    </row>
    <row r="2525" spans="19:19" ht="60" customHeight="1" x14ac:dyDescent="0.25">
      <c r="S2525" s="188"/>
    </row>
    <row r="2526" spans="19:19" ht="60" customHeight="1" x14ac:dyDescent="0.25">
      <c r="S2526" s="188"/>
    </row>
    <row r="2527" spans="19:19" ht="60" customHeight="1" x14ac:dyDescent="0.25">
      <c r="S2527" s="188"/>
    </row>
    <row r="2528" spans="19:19" ht="60" customHeight="1" x14ac:dyDescent="0.25">
      <c r="S2528" s="188"/>
    </row>
    <row r="2529" spans="19:19" ht="60" customHeight="1" x14ac:dyDescent="0.25">
      <c r="S2529" s="188"/>
    </row>
    <row r="2530" spans="19:19" ht="60" customHeight="1" x14ac:dyDescent="0.25">
      <c r="S2530" s="188"/>
    </row>
    <row r="2531" spans="19:19" ht="60" customHeight="1" x14ac:dyDescent="0.25">
      <c r="S2531" s="188"/>
    </row>
    <row r="2532" spans="19:19" ht="60" customHeight="1" x14ac:dyDescent="0.25">
      <c r="S2532" s="188"/>
    </row>
    <row r="2533" spans="19:19" ht="60" customHeight="1" x14ac:dyDescent="0.25">
      <c r="S2533" s="188"/>
    </row>
    <row r="2534" spans="19:19" ht="60" customHeight="1" x14ac:dyDescent="0.25">
      <c r="S2534" s="188"/>
    </row>
    <row r="2535" spans="19:19" ht="60" customHeight="1" x14ac:dyDescent="0.25">
      <c r="S2535" s="188"/>
    </row>
    <row r="2536" spans="19:19" ht="60" customHeight="1" x14ac:dyDescent="0.25">
      <c r="S2536" s="188"/>
    </row>
    <row r="2537" spans="19:19" ht="60" customHeight="1" x14ac:dyDescent="0.25">
      <c r="S2537" s="188"/>
    </row>
    <row r="2538" spans="19:19" ht="60" customHeight="1" x14ac:dyDescent="0.25">
      <c r="S2538" s="188"/>
    </row>
    <row r="2539" spans="19:19" ht="60" customHeight="1" x14ac:dyDescent="0.25">
      <c r="S2539" s="188"/>
    </row>
    <row r="2540" spans="19:19" ht="60" customHeight="1" x14ac:dyDescent="0.25">
      <c r="S2540" s="188"/>
    </row>
    <row r="2541" spans="19:19" ht="60" customHeight="1" x14ac:dyDescent="0.25">
      <c r="S2541" s="188"/>
    </row>
    <row r="2542" spans="19:19" ht="60" customHeight="1" x14ac:dyDescent="0.25">
      <c r="S2542" s="188"/>
    </row>
    <row r="2543" spans="19:19" ht="60" customHeight="1" x14ac:dyDescent="0.25">
      <c r="S2543" s="188"/>
    </row>
    <row r="2544" spans="19:19" ht="60" customHeight="1" x14ac:dyDescent="0.25">
      <c r="S2544" s="188"/>
    </row>
    <row r="2545" spans="19:19" ht="60" customHeight="1" x14ac:dyDescent="0.25">
      <c r="S2545" s="188"/>
    </row>
    <row r="2546" spans="19:19" ht="60" customHeight="1" x14ac:dyDescent="0.25">
      <c r="S2546" s="188"/>
    </row>
    <row r="2547" spans="19:19" ht="60" customHeight="1" x14ac:dyDescent="0.25">
      <c r="S2547" s="188"/>
    </row>
    <row r="2548" spans="19:19" ht="60" customHeight="1" x14ac:dyDescent="0.25">
      <c r="S2548" s="188"/>
    </row>
    <row r="2549" spans="19:19" ht="60" customHeight="1" x14ac:dyDescent="0.25">
      <c r="S2549" s="188"/>
    </row>
    <row r="2550" spans="19:19" ht="60" customHeight="1" x14ac:dyDescent="0.25">
      <c r="S2550" s="188"/>
    </row>
    <row r="2551" spans="19:19" ht="60" customHeight="1" x14ac:dyDescent="0.25">
      <c r="S2551" s="188"/>
    </row>
    <row r="2552" spans="19:19" ht="60" customHeight="1" x14ac:dyDescent="0.25">
      <c r="S2552" s="188"/>
    </row>
    <row r="2553" spans="19:19" ht="60" customHeight="1" x14ac:dyDescent="0.25">
      <c r="S2553" s="188"/>
    </row>
    <row r="2554" spans="19:19" ht="60" customHeight="1" x14ac:dyDescent="0.25">
      <c r="S2554" s="188"/>
    </row>
    <row r="2555" spans="19:19" ht="60" customHeight="1" x14ac:dyDescent="0.25">
      <c r="S2555" s="188"/>
    </row>
    <row r="2556" spans="19:19" ht="60" customHeight="1" x14ac:dyDescent="0.25">
      <c r="S2556" s="188"/>
    </row>
    <row r="2557" spans="19:19" ht="60" customHeight="1" x14ac:dyDescent="0.25">
      <c r="S2557" s="188"/>
    </row>
    <row r="2558" spans="19:19" ht="60" customHeight="1" x14ac:dyDescent="0.25">
      <c r="S2558" s="188"/>
    </row>
    <row r="2559" spans="19:19" ht="60" customHeight="1" x14ac:dyDescent="0.25">
      <c r="S2559" s="188"/>
    </row>
    <row r="2560" spans="19:19" ht="60" customHeight="1" x14ac:dyDescent="0.25">
      <c r="S2560" s="188"/>
    </row>
    <row r="2561" spans="19:19" ht="60" customHeight="1" x14ac:dyDescent="0.25">
      <c r="S2561" s="188"/>
    </row>
    <row r="2562" spans="19:19" ht="60" customHeight="1" x14ac:dyDescent="0.25">
      <c r="S2562" s="188"/>
    </row>
    <row r="2563" spans="19:19" ht="60" customHeight="1" x14ac:dyDescent="0.25">
      <c r="S2563" s="188"/>
    </row>
    <row r="2564" spans="19:19" ht="60" customHeight="1" x14ac:dyDescent="0.25">
      <c r="S2564" s="188"/>
    </row>
    <row r="2565" spans="19:19" ht="60" customHeight="1" x14ac:dyDescent="0.25">
      <c r="S2565" s="188"/>
    </row>
    <row r="2566" spans="19:19" ht="60" customHeight="1" x14ac:dyDescent="0.25">
      <c r="S2566" s="188"/>
    </row>
    <row r="2567" spans="19:19" ht="60" customHeight="1" x14ac:dyDescent="0.25">
      <c r="S2567" s="188"/>
    </row>
    <row r="2568" spans="19:19" ht="60" customHeight="1" x14ac:dyDescent="0.25">
      <c r="S2568" s="188"/>
    </row>
    <row r="2569" spans="19:19" ht="60" customHeight="1" x14ac:dyDescent="0.25">
      <c r="S2569" s="188"/>
    </row>
    <row r="2570" spans="19:19" ht="60" customHeight="1" x14ac:dyDescent="0.25">
      <c r="S2570" s="188"/>
    </row>
    <row r="2571" spans="19:19" ht="60" customHeight="1" x14ac:dyDescent="0.25">
      <c r="S2571" s="188"/>
    </row>
    <row r="2572" spans="19:19" ht="60" customHeight="1" x14ac:dyDescent="0.25">
      <c r="S2572" s="188"/>
    </row>
    <row r="2573" spans="19:19" ht="60" customHeight="1" x14ac:dyDescent="0.25">
      <c r="S2573" s="188"/>
    </row>
    <row r="2574" spans="19:19" ht="60" customHeight="1" x14ac:dyDescent="0.25">
      <c r="S2574" s="188"/>
    </row>
    <row r="2575" spans="19:19" ht="60" customHeight="1" x14ac:dyDescent="0.25">
      <c r="S2575" s="188"/>
    </row>
    <row r="2576" spans="19:19" ht="60" customHeight="1" x14ac:dyDescent="0.25">
      <c r="S2576" s="188"/>
    </row>
    <row r="2577" spans="19:19" ht="60" customHeight="1" x14ac:dyDescent="0.25">
      <c r="S2577" s="188"/>
    </row>
    <row r="2578" spans="19:19" ht="60" customHeight="1" x14ac:dyDescent="0.25">
      <c r="S2578" s="188"/>
    </row>
    <row r="2579" spans="19:19" ht="60" customHeight="1" x14ac:dyDescent="0.25">
      <c r="S2579" s="188"/>
    </row>
    <row r="2580" spans="19:19" ht="60" customHeight="1" x14ac:dyDescent="0.25">
      <c r="S2580" s="188"/>
    </row>
    <row r="2581" spans="19:19" ht="60" customHeight="1" x14ac:dyDescent="0.25">
      <c r="S2581" s="188"/>
    </row>
    <row r="2582" spans="19:19" ht="60" customHeight="1" x14ac:dyDescent="0.25">
      <c r="S2582" s="188"/>
    </row>
    <row r="2583" spans="19:19" ht="60" customHeight="1" x14ac:dyDescent="0.25">
      <c r="S2583" s="188"/>
    </row>
    <row r="2584" spans="19:19" ht="60" customHeight="1" x14ac:dyDescent="0.25">
      <c r="S2584" s="188"/>
    </row>
    <row r="2585" spans="19:19" ht="60" customHeight="1" x14ac:dyDescent="0.25">
      <c r="S2585" s="188"/>
    </row>
    <row r="2586" spans="19:19" ht="60" customHeight="1" x14ac:dyDescent="0.25">
      <c r="S2586" s="188"/>
    </row>
    <row r="2587" spans="19:19" ht="60" customHeight="1" x14ac:dyDescent="0.25">
      <c r="S2587" s="188"/>
    </row>
    <row r="2588" spans="19:19" ht="60" customHeight="1" x14ac:dyDescent="0.25">
      <c r="S2588" s="188"/>
    </row>
    <row r="2589" spans="19:19" ht="60" customHeight="1" x14ac:dyDescent="0.25">
      <c r="S2589" s="188"/>
    </row>
    <row r="2590" spans="19:19" ht="60" customHeight="1" x14ac:dyDescent="0.25">
      <c r="S2590" s="188"/>
    </row>
    <row r="2591" spans="19:19" ht="60" customHeight="1" x14ac:dyDescent="0.25">
      <c r="S2591" s="188"/>
    </row>
    <row r="2592" spans="19:19" ht="60" customHeight="1" x14ac:dyDescent="0.25">
      <c r="S2592" s="188"/>
    </row>
    <row r="2593" spans="19:19" ht="60" customHeight="1" x14ac:dyDescent="0.25">
      <c r="S2593" s="188"/>
    </row>
    <row r="2594" spans="19:19" ht="60" customHeight="1" x14ac:dyDescent="0.25">
      <c r="S2594" s="188"/>
    </row>
    <row r="2595" spans="19:19" ht="60" customHeight="1" x14ac:dyDescent="0.25">
      <c r="S2595" s="188"/>
    </row>
    <row r="2596" spans="19:19" ht="60" customHeight="1" x14ac:dyDescent="0.25">
      <c r="S2596" s="188"/>
    </row>
    <row r="2597" spans="19:19" ht="60" customHeight="1" x14ac:dyDescent="0.25">
      <c r="S2597" s="188"/>
    </row>
    <row r="2598" spans="19:19" ht="60" customHeight="1" x14ac:dyDescent="0.25">
      <c r="S2598" s="188"/>
    </row>
    <row r="2599" spans="19:19" ht="60" customHeight="1" x14ac:dyDescent="0.25">
      <c r="S2599" s="188"/>
    </row>
    <row r="2600" spans="19:19" ht="60" customHeight="1" x14ac:dyDescent="0.25">
      <c r="S2600" s="188"/>
    </row>
    <row r="2601" spans="19:19" ht="60" customHeight="1" x14ac:dyDescent="0.25">
      <c r="S2601" s="188"/>
    </row>
    <row r="2602" spans="19:19" ht="60" customHeight="1" x14ac:dyDescent="0.25">
      <c r="S2602" s="188"/>
    </row>
    <row r="2603" spans="19:19" ht="60" customHeight="1" x14ac:dyDescent="0.25">
      <c r="S2603" s="188"/>
    </row>
    <row r="2604" spans="19:19" ht="60" customHeight="1" x14ac:dyDescent="0.25">
      <c r="S2604" s="188"/>
    </row>
    <row r="2605" spans="19:19" ht="60" customHeight="1" x14ac:dyDescent="0.25">
      <c r="S2605" s="188"/>
    </row>
    <row r="2606" spans="19:19" ht="60" customHeight="1" x14ac:dyDescent="0.25">
      <c r="S2606" s="188"/>
    </row>
    <row r="2607" spans="19:19" ht="60" customHeight="1" x14ac:dyDescent="0.25">
      <c r="S2607" s="188"/>
    </row>
    <row r="2608" spans="19:19" ht="60" customHeight="1" x14ac:dyDescent="0.25">
      <c r="S2608" s="188"/>
    </row>
    <row r="2609" spans="19:19" ht="60" customHeight="1" x14ac:dyDescent="0.25">
      <c r="S2609" s="188"/>
    </row>
    <row r="2610" spans="19:19" ht="60" customHeight="1" x14ac:dyDescent="0.25">
      <c r="S2610" s="188"/>
    </row>
    <row r="2611" spans="19:19" ht="60" customHeight="1" x14ac:dyDescent="0.25">
      <c r="S2611" s="188"/>
    </row>
    <row r="2612" spans="19:19" ht="60" customHeight="1" x14ac:dyDescent="0.25">
      <c r="S2612" s="188"/>
    </row>
    <row r="2613" spans="19:19" ht="60" customHeight="1" x14ac:dyDescent="0.25">
      <c r="S2613" s="188"/>
    </row>
    <row r="2614" spans="19:19" ht="60" customHeight="1" x14ac:dyDescent="0.25">
      <c r="S2614" s="188"/>
    </row>
    <row r="2615" spans="19:19" ht="60" customHeight="1" x14ac:dyDescent="0.25">
      <c r="S2615" s="188"/>
    </row>
    <row r="2616" spans="19:19" ht="60" customHeight="1" x14ac:dyDescent="0.25">
      <c r="S2616" s="188"/>
    </row>
    <row r="2617" spans="19:19" ht="60" customHeight="1" x14ac:dyDescent="0.25">
      <c r="S2617" s="188"/>
    </row>
    <row r="2618" spans="19:19" ht="60" customHeight="1" x14ac:dyDescent="0.25">
      <c r="S2618" s="188"/>
    </row>
    <row r="2619" spans="19:19" ht="60" customHeight="1" x14ac:dyDescent="0.25">
      <c r="S2619" s="188"/>
    </row>
    <row r="2620" spans="19:19" ht="60" customHeight="1" x14ac:dyDescent="0.25">
      <c r="S2620" s="188"/>
    </row>
    <row r="2621" spans="19:19" ht="60" customHeight="1" x14ac:dyDescent="0.25">
      <c r="S2621" s="188"/>
    </row>
    <row r="2622" spans="19:19" ht="60" customHeight="1" x14ac:dyDescent="0.25">
      <c r="S2622" s="188"/>
    </row>
    <row r="2623" spans="19:19" ht="60" customHeight="1" x14ac:dyDescent="0.25">
      <c r="S2623" s="188"/>
    </row>
    <row r="2624" spans="19:19" ht="60" customHeight="1" x14ac:dyDescent="0.25">
      <c r="S2624" s="188"/>
    </row>
    <row r="2625" spans="19:19" ht="60" customHeight="1" x14ac:dyDescent="0.25">
      <c r="S2625" s="188"/>
    </row>
    <row r="2626" spans="19:19" ht="60" customHeight="1" x14ac:dyDescent="0.25">
      <c r="S2626" s="188"/>
    </row>
    <row r="2627" spans="19:19" ht="60" customHeight="1" x14ac:dyDescent="0.25">
      <c r="S2627" s="188"/>
    </row>
    <row r="2628" spans="19:19" ht="60" customHeight="1" x14ac:dyDescent="0.25">
      <c r="S2628" s="188"/>
    </row>
    <row r="2629" spans="19:19" ht="60" customHeight="1" x14ac:dyDescent="0.25">
      <c r="S2629" s="188"/>
    </row>
    <row r="2630" spans="19:19" ht="60" customHeight="1" x14ac:dyDescent="0.25">
      <c r="S2630" s="188"/>
    </row>
    <row r="2631" spans="19:19" ht="60" customHeight="1" x14ac:dyDescent="0.25">
      <c r="S2631" s="188"/>
    </row>
    <row r="2632" spans="19:19" ht="60" customHeight="1" x14ac:dyDescent="0.25">
      <c r="S2632" s="188"/>
    </row>
    <row r="2633" spans="19:19" ht="60" customHeight="1" x14ac:dyDescent="0.25">
      <c r="S2633" s="188"/>
    </row>
    <row r="2634" spans="19:19" ht="60" customHeight="1" x14ac:dyDescent="0.25">
      <c r="S2634" s="188"/>
    </row>
    <row r="2635" spans="19:19" ht="60" customHeight="1" x14ac:dyDescent="0.25">
      <c r="S2635" s="188"/>
    </row>
    <row r="2636" spans="19:19" ht="60" customHeight="1" x14ac:dyDescent="0.25">
      <c r="S2636" s="188"/>
    </row>
    <row r="2637" spans="19:19" ht="60" customHeight="1" x14ac:dyDescent="0.25">
      <c r="S2637" s="188"/>
    </row>
    <row r="2638" spans="19:19" ht="60" customHeight="1" x14ac:dyDescent="0.25">
      <c r="S2638" s="188"/>
    </row>
    <row r="2639" spans="19:19" ht="60" customHeight="1" x14ac:dyDescent="0.25">
      <c r="S2639" s="188"/>
    </row>
    <row r="2640" spans="19:19" ht="60" customHeight="1" x14ac:dyDescent="0.25">
      <c r="S2640" s="188"/>
    </row>
    <row r="2641" spans="19:19" ht="60" customHeight="1" x14ac:dyDescent="0.25">
      <c r="S2641" s="188"/>
    </row>
    <row r="2642" spans="19:19" ht="60" customHeight="1" x14ac:dyDescent="0.25">
      <c r="S2642" s="188"/>
    </row>
    <row r="2643" spans="19:19" ht="60" customHeight="1" x14ac:dyDescent="0.25">
      <c r="S2643" s="188"/>
    </row>
    <row r="2644" spans="19:19" ht="60" customHeight="1" x14ac:dyDescent="0.25">
      <c r="S2644" s="188"/>
    </row>
    <row r="2645" spans="19:19" ht="60" customHeight="1" x14ac:dyDescent="0.25">
      <c r="S2645" s="188"/>
    </row>
    <row r="2646" spans="19:19" ht="60" customHeight="1" x14ac:dyDescent="0.25">
      <c r="S2646" s="188"/>
    </row>
    <row r="2647" spans="19:19" ht="60" customHeight="1" x14ac:dyDescent="0.25">
      <c r="S2647" s="188"/>
    </row>
    <row r="2648" spans="19:19" ht="60" customHeight="1" x14ac:dyDescent="0.25">
      <c r="S2648" s="188"/>
    </row>
    <row r="2649" spans="19:19" ht="60" customHeight="1" x14ac:dyDescent="0.25">
      <c r="S2649" s="188"/>
    </row>
    <row r="2650" spans="19:19" ht="60" customHeight="1" x14ac:dyDescent="0.25">
      <c r="S2650" s="188"/>
    </row>
    <row r="2651" spans="19:19" ht="60" customHeight="1" x14ac:dyDescent="0.25">
      <c r="S2651" s="188"/>
    </row>
    <row r="2652" spans="19:19" ht="60" customHeight="1" x14ac:dyDescent="0.25">
      <c r="S2652" s="188"/>
    </row>
    <row r="2653" spans="19:19" ht="60" customHeight="1" x14ac:dyDescent="0.25">
      <c r="S2653" s="188"/>
    </row>
    <row r="2654" spans="19:19" ht="60" customHeight="1" x14ac:dyDescent="0.25">
      <c r="S2654" s="188"/>
    </row>
    <row r="2655" spans="19:19" ht="60" customHeight="1" x14ac:dyDescent="0.25">
      <c r="S2655" s="188"/>
    </row>
    <row r="2656" spans="19:19" ht="60" customHeight="1" x14ac:dyDescent="0.25">
      <c r="S2656" s="188"/>
    </row>
    <row r="2657" spans="19:19" ht="60" customHeight="1" x14ac:dyDescent="0.25">
      <c r="S2657" s="188"/>
    </row>
    <row r="2658" spans="19:19" ht="60" customHeight="1" x14ac:dyDescent="0.25">
      <c r="S2658" s="188"/>
    </row>
    <row r="2659" spans="19:19" ht="60" customHeight="1" x14ac:dyDescent="0.25">
      <c r="S2659" s="188"/>
    </row>
    <row r="2660" spans="19:19" ht="60" customHeight="1" x14ac:dyDescent="0.25">
      <c r="S2660" s="188"/>
    </row>
    <row r="2661" spans="19:19" ht="60" customHeight="1" x14ac:dyDescent="0.25">
      <c r="S2661" s="188"/>
    </row>
    <row r="2662" spans="19:19" ht="60" customHeight="1" x14ac:dyDescent="0.25">
      <c r="S2662" s="188"/>
    </row>
    <row r="2663" spans="19:19" ht="60" customHeight="1" x14ac:dyDescent="0.25">
      <c r="S2663" s="188"/>
    </row>
    <row r="2664" spans="19:19" ht="60" customHeight="1" x14ac:dyDescent="0.25">
      <c r="S2664" s="188"/>
    </row>
    <row r="2665" spans="19:19" ht="60" customHeight="1" x14ac:dyDescent="0.25">
      <c r="S2665" s="188"/>
    </row>
    <row r="2666" spans="19:19" ht="60" customHeight="1" x14ac:dyDescent="0.25">
      <c r="S2666" s="188"/>
    </row>
    <row r="2667" spans="19:19" ht="60" customHeight="1" x14ac:dyDescent="0.25">
      <c r="S2667" s="188"/>
    </row>
    <row r="2668" spans="19:19" ht="60" customHeight="1" x14ac:dyDescent="0.25">
      <c r="S2668" s="188"/>
    </row>
    <row r="2669" spans="19:19" ht="60" customHeight="1" x14ac:dyDescent="0.25">
      <c r="S2669" s="188"/>
    </row>
    <row r="2670" spans="19:19" ht="60" customHeight="1" x14ac:dyDescent="0.25">
      <c r="S2670" s="188"/>
    </row>
    <row r="2671" spans="19:19" ht="60" customHeight="1" x14ac:dyDescent="0.25">
      <c r="S2671" s="188"/>
    </row>
    <row r="2672" spans="19:19" ht="60" customHeight="1" x14ac:dyDescent="0.25">
      <c r="S2672" s="188"/>
    </row>
    <row r="2673" spans="19:19" ht="60" customHeight="1" x14ac:dyDescent="0.25">
      <c r="S2673" s="188"/>
    </row>
    <row r="2674" spans="19:19" ht="60" customHeight="1" x14ac:dyDescent="0.25">
      <c r="S2674" s="188"/>
    </row>
    <row r="2675" spans="19:19" ht="60" customHeight="1" x14ac:dyDescent="0.25">
      <c r="S2675" s="188"/>
    </row>
    <row r="2676" spans="19:19" ht="60" customHeight="1" x14ac:dyDescent="0.25">
      <c r="S2676" s="188"/>
    </row>
    <row r="2677" spans="19:19" ht="60" customHeight="1" x14ac:dyDescent="0.25">
      <c r="S2677" s="188"/>
    </row>
    <row r="2678" spans="19:19" ht="60" customHeight="1" x14ac:dyDescent="0.25">
      <c r="S2678" s="188"/>
    </row>
    <row r="2679" spans="19:19" ht="60" customHeight="1" x14ac:dyDescent="0.25">
      <c r="S2679" s="188"/>
    </row>
    <row r="2680" spans="19:19" ht="60" customHeight="1" x14ac:dyDescent="0.25">
      <c r="S2680" s="188"/>
    </row>
    <row r="2681" spans="19:19" ht="60" customHeight="1" x14ac:dyDescent="0.25">
      <c r="S2681" s="188"/>
    </row>
    <row r="2682" spans="19:19" ht="60" customHeight="1" x14ac:dyDescent="0.25">
      <c r="S2682" s="188"/>
    </row>
    <row r="2683" spans="19:19" ht="60" customHeight="1" x14ac:dyDescent="0.25">
      <c r="S2683" s="188"/>
    </row>
    <row r="2684" spans="19:19" ht="60" customHeight="1" x14ac:dyDescent="0.25">
      <c r="S2684" s="188"/>
    </row>
    <row r="2685" spans="19:19" ht="60" customHeight="1" x14ac:dyDescent="0.25">
      <c r="S2685" s="188"/>
    </row>
    <row r="2686" spans="19:19" ht="60" customHeight="1" x14ac:dyDescent="0.25">
      <c r="S2686" s="188"/>
    </row>
    <row r="2687" spans="19:19" ht="60" customHeight="1" x14ac:dyDescent="0.25">
      <c r="S2687" s="188"/>
    </row>
    <row r="2688" spans="19:19" ht="60" customHeight="1" x14ac:dyDescent="0.25">
      <c r="S2688" s="188"/>
    </row>
    <row r="2689" spans="19:19" ht="60" customHeight="1" x14ac:dyDescent="0.25">
      <c r="S2689" s="188"/>
    </row>
    <row r="2690" spans="19:19" ht="60" customHeight="1" x14ac:dyDescent="0.25">
      <c r="S2690" s="188"/>
    </row>
    <row r="2691" spans="19:19" ht="60" customHeight="1" x14ac:dyDescent="0.25">
      <c r="S2691" s="188"/>
    </row>
    <row r="2692" spans="19:19" ht="60" customHeight="1" x14ac:dyDescent="0.25">
      <c r="S2692" s="188"/>
    </row>
    <row r="2693" spans="19:19" ht="60" customHeight="1" x14ac:dyDescent="0.25">
      <c r="S2693" s="188"/>
    </row>
    <row r="2694" spans="19:19" ht="60" customHeight="1" x14ac:dyDescent="0.25">
      <c r="S2694" s="188"/>
    </row>
    <row r="2695" spans="19:19" ht="60" customHeight="1" x14ac:dyDescent="0.25">
      <c r="S2695" s="188"/>
    </row>
    <row r="2696" spans="19:19" ht="60" customHeight="1" x14ac:dyDescent="0.25">
      <c r="S2696" s="188"/>
    </row>
    <row r="2697" spans="19:19" ht="60" customHeight="1" x14ac:dyDescent="0.25">
      <c r="S2697" s="188"/>
    </row>
    <row r="2698" spans="19:19" ht="60" customHeight="1" x14ac:dyDescent="0.25">
      <c r="S2698" s="188"/>
    </row>
    <row r="2699" spans="19:19" ht="60" customHeight="1" x14ac:dyDescent="0.25">
      <c r="S2699" s="188"/>
    </row>
    <row r="2700" spans="19:19" ht="60" customHeight="1" x14ac:dyDescent="0.25">
      <c r="S2700" s="188"/>
    </row>
    <row r="2701" spans="19:19" ht="60" customHeight="1" x14ac:dyDescent="0.25">
      <c r="S2701" s="188"/>
    </row>
    <row r="2702" spans="19:19" ht="60" customHeight="1" x14ac:dyDescent="0.25">
      <c r="S2702" s="188"/>
    </row>
    <row r="2703" spans="19:19" ht="60" customHeight="1" x14ac:dyDescent="0.25">
      <c r="S2703" s="188"/>
    </row>
    <row r="2704" spans="19:19" ht="60" customHeight="1" x14ac:dyDescent="0.25">
      <c r="S2704" s="188"/>
    </row>
    <row r="2705" spans="19:19" ht="60" customHeight="1" x14ac:dyDescent="0.25">
      <c r="S2705" s="188"/>
    </row>
    <row r="2706" spans="19:19" ht="60" customHeight="1" x14ac:dyDescent="0.25">
      <c r="S2706" s="188"/>
    </row>
    <row r="2707" spans="19:19" ht="60" customHeight="1" x14ac:dyDescent="0.25">
      <c r="S2707" s="188"/>
    </row>
    <row r="2708" spans="19:19" ht="60" customHeight="1" x14ac:dyDescent="0.25">
      <c r="S2708" s="188"/>
    </row>
    <row r="2709" spans="19:19" ht="60" customHeight="1" x14ac:dyDescent="0.25">
      <c r="S2709" s="188"/>
    </row>
    <row r="2710" spans="19:19" ht="60" customHeight="1" x14ac:dyDescent="0.25">
      <c r="S2710" s="188"/>
    </row>
    <row r="2711" spans="19:19" ht="60" customHeight="1" x14ac:dyDescent="0.25">
      <c r="S2711" s="188"/>
    </row>
    <row r="2712" spans="19:19" ht="60" customHeight="1" x14ac:dyDescent="0.25">
      <c r="S2712" s="188"/>
    </row>
    <row r="2713" spans="19:19" ht="60" customHeight="1" x14ac:dyDescent="0.25">
      <c r="S2713" s="188"/>
    </row>
    <row r="2714" spans="19:19" ht="60" customHeight="1" x14ac:dyDescent="0.25">
      <c r="S2714" s="188"/>
    </row>
    <row r="2715" spans="19:19" ht="60" customHeight="1" x14ac:dyDescent="0.25">
      <c r="S2715" s="188"/>
    </row>
    <row r="2716" spans="19:19" ht="60" customHeight="1" x14ac:dyDescent="0.25">
      <c r="S2716" s="188"/>
    </row>
    <row r="2717" spans="19:19" ht="60" customHeight="1" x14ac:dyDescent="0.25">
      <c r="S2717" s="188"/>
    </row>
    <row r="2718" spans="19:19" ht="60" customHeight="1" x14ac:dyDescent="0.25">
      <c r="S2718" s="188"/>
    </row>
    <row r="2719" spans="19:19" ht="60" customHeight="1" x14ac:dyDescent="0.25">
      <c r="S2719" s="188"/>
    </row>
    <row r="2720" spans="19:19" ht="60" customHeight="1" x14ac:dyDescent="0.25">
      <c r="S2720" s="188"/>
    </row>
    <row r="2721" spans="19:19" ht="60" customHeight="1" x14ac:dyDescent="0.25">
      <c r="S2721" s="188"/>
    </row>
    <row r="2722" spans="19:19" ht="60" customHeight="1" x14ac:dyDescent="0.25">
      <c r="S2722" s="188"/>
    </row>
    <row r="2723" spans="19:19" ht="60" customHeight="1" x14ac:dyDescent="0.25">
      <c r="S2723" s="188"/>
    </row>
    <row r="2724" spans="19:19" ht="60" customHeight="1" x14ac:dyDescent="0.25">
      <c r="S2724" s="188"/>
    </row>
    <row r="2725" spans="19:19" ht="60" customHeight="1" x14ac:dyDescent="0.25">
      <c r="S2725" s="188"/>
    </row>
    <row r="2726" spans="19:19" ht="60" customHeight="1" x14ac:dyDescent="0.25">
      <c r="S2726" s="188"/>
    </row>
    <row r="2727" spans="19:19" ht="60" customHeight="1" x14ac:dyDescent="0.25">
      <c r="S2727" s="188"/>
    </row>
    <row r="2728" spans="19:19" ht="60" customHeight="1" x14ac:dyDescent="0.25">
      <c r="S2728" s="188"/>
    </row>
    <row r="2729" spans="19:19" ht="60" customHeight="1" x14ac:dyDescent="0.25">
      <c r="S2729" s="188"/>
    </row>
    <row r="2730" spans="19:19" ht="60" customHeight="1" x14ac:dyDescent="0.25">
      <c r="S2730" s="188"/>
    </row>
    <row r="2731" spans="19:19" ht="60" customHeight="1" x14ac:dyDescent="0.25">
      <c r="S2731" s="188"/>
    </row>
    <row r="2732" spans="19:19" ht="60" customHeight="1" x14ac:dyDescent="0.25">
      <c r="S2732" s="188"/>
    </row>
    <row r="2733" spans="19:19" ht="60" customHeight="1" x14ac:dyDescent="0.25">
      <c r="S2733" s="188"/>
    </row>
    <row r="2734" spans="19:19" ht="60" customHeight="1" x14ac:dyDescent="0.25">
      <c r="S2734" s="188"/>
    </row>
    <row r="2735" spans="19:19" ht="60" customHeight="1" x14ac:dyDescent="0.25">
      <c r="S2735" s="188"/>
    </row>
    <row r="2736" spans="19:19" ht="60" customHeight="1" x14ac:dyDescent="0.25">
      <c r="S2736" s="188"/>
    </row>
    <row r="2737" spans="19:19" ht="60" customHeight="1" x14ac:dyDescent="0.25">
      <c r="S2737" s="188"/>
    </row>
    <row r="2738" spans="19:19" ht="60" customHeight="1" x14ac:dyDescent="0.25">
      <c r="S2738" s="188"/>
    </row>
    <row r="2739" spans="19:19" ht="60" customHeight="1" x14ac:dyDescent="0.25">
      <c r="S2739" s="188"/>
    </row>
    <row r="2740" spans="19:19" ht="60" customHeight="1" x14ac:dyDescent="0.25">
      <c r="S2740" s="188"/>
    </row>
    <row r="2741" spans="19:19" ht="60" customHeight="1" x14ac:dyDescent="0.25">
      <c r="S2741" s="188"/>
    </row>
    <row r="2742" spans="19:19" ht="60" customHeight="1" x14ac:dyDescent="0.25">
      <c r="S2742" s="188"/>
    </row>
    <row r="2743" spans="19:19" ht="60" customHeight="1" x14ac:dyDescent="0.25">
      <c r="S2743" s="188"/>
    </row>
    <row r="2744" spans="19:19" ht="60" customHeight="1" x14ac:dyDescent="0.25">
      <c r="S2744" s="188"/>
    </row>
    <row r="2745" spans="19:19" ht="60" customHeight="1" x14ac:dyDescent="0.25">
      <c r="S2745" s="188"/>
    </row>
    <row r="2746" spans="19:19" ht="60" customHeight="1" x14ac:dyDescent="0.25">
      <c r="S2746" s="188"/>
    </row>
    <row r="2747" spans="19:19" ht="60" customHeight="1" x14ac:dyDescent="0.25">
      <c r="S2747" s="188"/>
    </row>
    <row r="2748" spans="19:19" ht="60" customHeight="1" x14ac:dyDescent="0.25">
      <c r="S2748" s="188"/>
    </row>
    <row r="2749" spans="19:19" ht="60" customHeight="1" x14ac:dyDescent="0.25">
      <c r="S2749" s="188"/>
    </row>
    <row r="2750" spans="19:19" ht="60" customHeight="1" x14ac:dyDescent="0.25">
      <c r="S2750" s="188"/>
    </row>
    <row r="2751" spans="19:19" ht="60" customHeight="1" x14ac:dyDescent="0.25">
      <c r="S2751" s="188"/>
    </row>
    <row r="2752" spans="19:19" ht="60" customHeight="1" x14ac:dyDescent="0.25">
      <c r="S2752" s="188"/>
    </row>
    <row r="2753" spans="19:19" ht="60" customHeight="1" x14ac:dyDescent="0.25">
      <c r="S2753" s="188"/>
    </row>
    <row r="2754" spans="19:19" ht="60" customHeight="1" x14ac:dyDescent="0.25">
      <c r="S2754" s="188"/>
    </row>
    <row r="2755" spans="19:19" ht="60" customHeight="1" x14ac:dyDescent="0.25">
      <c r="S2755" s="188"/>
    </row>
    <row r="2756" spans="19:19" ht="60" customHeight="1" x14ac:dyDescent="0.25">
      <c r="S2756" s="188"/>
    </row>
    <row r="2757" spans="19:19" ht="60" customHeight="1" x14ac:dyDescent="0.25">
      <c r="S2757" s="188"/>
    </row>
    <row r="2758" spans="19:19" ht="60" customHeight="1" x14ac:dyDescent="0.25">
      <c r="S2758" s="188"/>
    </row>
    <row r="2759" spans="19:19" ht="60" customHeight="1" x14ac:dyDescent="0.25">
      <c r="S2759" s="188"/>
    </row>
    <row r="2760" spans="19:19" ht="60" customHeight="1" x14ac:dyDescent="0.25">
      <c r="S2760" s="188"/>
    </row>
    <row r="2761" spans="19:19" ht="60" customHeight="1" x14ac:dyDescent="0.25">
      <c r="S2761" s="188"/>
    </row>
    <row r="2762" spans="19:19" ht="60" customHeight="1" x14ac:dyDescent="0.25">
      <c r="S2762" s="188"/>
    </row>
    <row r="2763" spans="19:19" ht="60" customHeight="1" x14ac:dyDescent="0.25">
      <c r="S2763" s="188"/>
    </row>
    <row r="2764" spans="19:19" ht="60" customHeight="1" x14ac:dyDescent="0.25">
      <c r="S2764" s="188"/>
    </row>
    <row r="2765" spans="19:19" ht="60" customHeight="1" x14ac:dyDescent="0.25">
      <c r="S2765" s="188"/>
    </row>
    <row r="2766" spans="19:19" ht="60" customHeight="1" x14ac:dyDescent="0.25">
      <c r="S2766" s="188"/>
    </row>
    <row r="2767" spans="19:19" ht="60" customHeight="1" x14ac:dyDescent="0.25">
      <c r="S2767" s="188"/>
    </row>
    <row r="2768" spans="19:19" ht="60" customHeight="1" x14ac:dyDescent="0.25">
      <c r="S2768" s="188"/>
    </row>
    <row r="2769" spans="19:19" ht="60" customHeight="1" x14ac:dyDescent="0.25">
      <c r="S2769" s="188"/>
    </row>
    <row r="2770" spans="19:19" ht="60" customHeight="1" x14ac:dyDescent="0.25">
      <c r="S2770" s="188"/>
    </row>
    <row r="2771" spans="19:19" ht="60" customHeight="1" x14ac:dyDescent="0.25">
      <c r="S2771" s="188"/>
    </row>
    <row r="2772" spans="19:19" ht="60" customHeight="1" x14ac:dyDescent="0.25">
      <c r="S2772" s="188"/>
    </row>
    <row r="2773" spans="19:19" ht="60" customHeight="1" x14ac:dyDescent="0.25">
      <c r="S2773" s="188"/>
    </row>
    <row r="2774" spans="19:19" ht="60" customHeight="1" x14ac:dyDescent="0.25">
      <c r="S2774" s="188"/>
    </row>
    <row r="2775" spans="19:19" ht="60" customHeight="1" x14ac:dyDescent="0.25">
      <c r="S2775" s="188"/>
    </row>
    <row r="2776" spans="19:19" ht="60" customHeight="1" x14ac:dyDescent="0.25">
      <c r="S2776" s="188"/>
    </row>
    <row r="2777" spans="19:19" ht="60" customHeight="1" x14ac:dyDescent="0.25">
      <c r="S2777" s="188"/>
    </row>
    <row r="2778" spans="19:19" ht="60" customHeight="1" x14ac:dyDescent="0.25">
      <c r="S2778" s="188"/>
    </row>
    <row r="2779" spans="19:19" ht="60" customHeight="1" x14ac:dyDescent="0.25">
      <c r="S2779" s="188"/>
    </row>
    <row r="2780" spans="19:19" ht="60" customHeight="1" x14ac:dyDescent="0.25">
      <c r="S2780" s="188"/>
    </row>
    <row r="2781" spans="19:19" ht="60" customHeight="1" x14ac:dyDescent="0.25">
      <c r="S2781" s="188"/>
    </row>
    <row r="2782" spans="19:19" ht="60" customHeight="1" x14ac:dyDescent="0.25">
      <c r="S2782" s="188"/>
    </row>
    <row r="2783" spans="19:19" ht="60" customHeight="1" x14ac:dyDescent="0.25">
      <c r="S2783" s="188"/>
    </row>
    <row r="2784" spans="19:19" ht="60" customHeight="1" x14ac:dyDescent="0.25">
      <c r="S2784" s="188"/>
    </row>
    <row r="2785" spans="19:19" ht="60" customHeight="1" x14ac:dyDescent="0.25">
      <c r="S2785" s="188"/>
    </row>
    <row r="2786" spans="19:19" ht="60" customHeight="1" x14ac:dyDescent="0.25">
      <c r="S2786" s="188"/>
    </row>
    <row r="2787" spans="19:19" ht="60" customHeight="1" x14ac:dyDescent="0.25">
      <c r="S2787" s="188"/>
    </row>
    <row r="2788" spans="19:19" ht="60" customHeight="1" x14ac:dyDescent="0.25">
      <c r="S2788" s="188"/>
    </row>
    <row r="2789" spans="19:19" ht="60" customHeight="1" x14ac:dyDescent="0.25">
      <c r="S2789" s="188"/>
    </row>
    <row r="2790" spans="19:19" ht="60" customHeight="1" x14ac:dyDescent="0.25">
      <c r="S2790" s="188"/>
    </row>
    <row r="2791" spans="19:19" ht="60" customHeight="1" x14ac:dyDescent="0.25">
      <c r="S2791" s="188"/>
    </row>
    <row r="2792" spans="19:19" ht="60" customHeight="1" x14ac:dyDescent="0.25">
      <c r="S2792" s="188"/>
    </row>
    <row r="2793" spans="19:19" ht="60" customHeight="1" x14ac:dyDescent="0.25">
      <c r="S2793" s="188"/>
    </row>
    <row r="2794" spans="19:19" ht="60" customHeight="1" x14ac:dyDescent="0.25">
      <c r="S2794" s="188"/>
    </row>
    <row r="2795" spans="19:19" ht="60" customHeight="1" x14ac:dyDescent="0.25">
      <c r="S2795" s="188"/>
    </row>
    <row r="2796" spans="19:19" ht="60" customHeight="1" x14ac:dyDescent="0.25">
      <c r="S2796" s="188"/>
    </row>
    <row r="2797" spans="19:19" ht="60" customHeight="1" x14ac:dyDescent="0.25">
      <c r="S2797" s="188"/>
    </row>
    <row r="2798" spans="19:19" ht="60" customHeight="1" x14ac:dyDescent="0.25">
      <c r="S2798" s="188"/>
    </row>
    <row r="2799" spans="19:19" ht="60" customHeight="1" x14ac:dyDescent="0.25">
      <c r="S2799" s="188"/>
    </row>
    <row r="2800" spans="19:19" ht="60" customHeight="1" x14ac:dyDescent="0.25">
      <c r="S2800" s="188"/>
    </row>
    <row r="2801" spans="19:19" ht="60" customHeight="1" x14ac:dyDescent="0.25">
      <c r="S2801" s="188"/>
    </row>
    <row r="2802" spans="19:19" ht="60" customHeight="1" x14ac:dyDescent="0.25">
      <c r="S2802" s="188"/>
    </row>
    <row r="2803" spans="19:19" ht="60" customHeight="1" x14ac:dyDescent="0.25">
      <c r="S2803" s="188"/>
    </row>
    <row r="2804" spans="19:19" ht="60" customHeight="1" x14ac:dyDescent="0.25">
      <c r="S2804" s="188"/>
    </row>
    <row r="2805" spans="19:19" ht="60" customHeight="1" x14ac:dyDescent="0.25">
      <c r="S2805" s="188"/>
    </row>
    <row r="2806" spans="19:19" ht="60" customHeight="1" x14ac:dyDescent="0.25">
      <c r="S2806" s="188"/>
    </row>
    <row r="2807" spans="19:19" ht="60" customHeight="1" x14ac:dyDescent="0.25">
      <c r="S2807" s="188"/>
    </row>
    <row r="2808" spans="19:19" ht="60" customHeight="1" x14ac:dyDescent="0.25">
      <c r="S2808" s="188"/>
    </row>
    <row r="2809" spans="19:19" ht="60" customHeight="1" x14ac:dyDescent="0.25">
      <c r="S2809" s="188"/>
    </row>
    <row r="2810" spans="19:19" ht="60" customHeight="1" x14ac:dyDescent="0.25">
      <c r="S2810" s="188"/>
    </row>
    <row r="2811" spans="19:19" ht="60" customHeight="1" x14ac:dyDescent="0.25">
      <c r="S2811" s="188"/>
    </row>
    <row r="2812" spans="19:19" ht="60" customHeight="1" x14ac:dyDescent="0.25">
      <c r="S2812" s="188"/>
    </row>
    <row r="2813" spans="19:19" ht="60" customHeight="1" x14ac:dyDescent="0.25">
      <c r="S2813" s="188"/>
    </row>
    <row r="2814" spans="19:19" ht="60" customHeight="1" x14ac:dyDescent="0.25">
      <c r="S2814" s="188"/>
    </row>
    <row r="2815" spans="19:19" ht="60" customHeight="1" x14ac:dyDescent="0.25">
      <c r="S2815" s="188"/>
    </row>
    <row r="2816" spans="19:19" ht="60" customHeight="1" x14ac:dyDescent="0.25">
      <c r="S2816" s="188"/>
    </row>
    <row r="2817" spans="19:19" ht="60" customHeight="1" x14ac:dyDescent="0.25">
      <c r="S2817" s="188"/>
    </row>
    <row r="2818" spans="19:19" ht="60" customHeight="1" x14ac:dyDescent="0.25">
      <c r="S2818" s="188"/>
    </row>
    <row r="2819" spans="19:19" ht="60" customHeight="1" x14ac:dyDescent="0.25">
      <c r="S2819" s="188"/>
    </row>
    <row r="2820" spans="19:19" ht="60" customHeight="1" x14ac:dyDescent="0.25">
      <c r="S2820" s="188"/>
    </row>
    <row r="2821" spans="19:19" ht="60" customHeight="1" x14ac:dyDescent="0.25">
      <c r="S2821" s="188"/>
    </row>
    <row r="2822" spans="19:19" ht="60" customHeight="1" x14ac:dyDescent="0.25">
      <c r="S2822" s="188"/>
    </row>
    <row r="2823" spans="19:19" ht="60" customHeight="1" x14ac:dyDescent="0.25">
      <c r="S2823" s="188"/>
    </row>
    <row r="2824" spans="19:19" ht="60" customHeight="1" x14ac:dyDescent="0.25">
      <c r="S2824" s="188"/>
    </row>
    <row r="2825" spans="19:19" ht="60" customHeight="1" x14ac:dyDescent="0.25">
      <c r="S2825" s="188"/>
    </row>
    <row r="2826" spans="19:19" ht="60" customHeight="1" x14ac:dyDescent="0.25">
      <c r="S2826" s="188"/>
    </row>
    <row r="2827" spans="19:19" ht="60" customHeight="1" x14ac:dyDescent="0.25">
      <c r="S2827" s="188"/>
    </row>
    <row r="2828" spans="19:19" ht="60" customHeight="1" x14ac:dyDescent="0.25">
      <c r="S2828" s="188"/>
    </row>
    <row r="2829" spans="19:19" ht="60" customHeight="1" x14ac:dyDescent="0.25">
      <c r="S2829" s="188"/>
    </row>
    <row r="2830" spans="19:19" ht="60" customHeight="1" x14ac:dyDescent="0.25">
      <c r="S2830" s="188"/>
    </row>
    <row r="2831" spans="19:19" ht="60" customHeight="1" x14ac:dyDescent="0.25">
      <c r="S2831" s="188"/>
    </row>
    <row r="2832" spans="19:19" ht="60" customHeight="1" x14ac:dyDescent="0.25">
      <c r="S2832" s="188"/>
    </row>
    <row r="2833" spans="19:19" ht="60" customHeight="1" x14ac:dyDescent="0.25">
      <c r="S2833" s="188"/>
    </row>
    <row r="2834" spans="19:19" ht="60" customHeight="1" x14ac:dyDescent="0.25">
      <c r="S2834" s="188"/>
    </row>
    <row r="2835" spans="19:19" ht="60" customHeight="1" x14ac:dyDescent="0.25">
      <c r="S2835" s="188"/>
    </row>
    <row r="2836" spans="19:19" ht="60" customHeight="1" x14ac:dyDescent="0.25">
      <c r="S2836" s="188"/>
    </row>
    <row r="2837" spans="19:19" ht="60" customHeight="1" x14ac:dyDescent="0.25">
      <c r="S2837" s="188"/>
    </row>
    <row r="2838" spans="19:19" ht="60" customHeight="1" x14ac:dyDescent="0.25">
      <c r="S2838" s="188"/>
    </row>
    <row r="2839" spans="19:19" ht="60" customHeight="1" x14ac:dyDescent="0.25">
      <c r="S2839" s="188"/>
    </row>
    <row r="2840" spans="19:19" ht="60" customHeight="1" x14ac:dyDescent="0.25">
      <c r="S2840" s="188"/>
    </row>
    <row r="2841" spans="19:19" ht="60" customHeight="1" x14ac:dyDescent="0.25">
      <c r="S2841" s="188"/>
    </row>
    <row r="2842" spans="19:19" ht="60" customHeight="1" x14ac:dyDescent="0.25">
      <c r="S2842" s="188"/>
    </row>
    <row r="2843" spans="19:19" ht="60" customHeight="1" x14ac:dyDescent="0.25">
      <c r="S2843" s="188"/>
    </row>
    <row r="2844" spans="19:19" ht="60" customHeight="1" x14ac:dyDescent="0.25">
      <c r="S2844" s="188"/>
    </row>
    <row r="2845" spans="19:19" ht="60" customHeight="1" x14ac:dyDescent="0.25">
      <c r="S2845" s="188"/>
    </row>
    <row r="2846" spans="19:19" ht="60" customHeight="1" x14ac:dyDescent="0.25">
      <c r="S2846" s="188"/>
    </row>
    <row r="2847" spans="19:19" ht="60" customHeight="1" x14ac:dyDescent="0.25">
      <c r="S2847" s="188"/>
    </row>
    <row r="2848" spans="19:19" ht="60" customHeight="1" x14ac:dyDescent="0.25">
      <c r="S2848" s="188"/>
    </row>
    <row r="2849" spans="19:19" ht="60" customHeight="1" x14ac:dyDescent="0.25">
      <c r="S2849" s="188"/>
    </row>
    <row r="2850" spans="19:19" ht="60" customHeight="1" x14ac:dyDescent="0.25">
      <c r="S2850" s="188"/>
    </row>
    <row r="2851" spans="19:19" ht="60" customHeight="1" x14ac:dyDescent="0.25">
      <c r="S2851" s="188"/>
    </row>
    <row r="2852" spans="19:19" ht="60" customHeight="1" x14ac:dyDescent="0.25">
      <c r="S2852" s="188"/>
    </row>
    <row r="2853" spans="19:19" ht="60" customHeight="1" x14ac:dyDescent="0.25">
      <c r="S2853" s="188"/>
    </row>
    <row r="2854" spans="19:19" ht="60" customHeight="1" x14ac:dyDescent="0.25">
      <c r="S2854" s="188"/>
    </row>
    <row r="2855" spans="19:19" ht="60" customHeight="1" x14ac:dyDescent="0.25">
      <c r="S2855" s="188"/>
    </row>
    <row r="2856" spans="19:19" ht="60" customHeight="1" x14ac:dyDescent="0.25">
      <c r="S2856" s="188"/>
    </row>
    <row r="2857" spans="19:19" ht="60" customHeight="1" x14ac:dyDescent="0.25">
      <c r="S2857" s="188"/>
    </row>
    <row r="2858" spans="19:19" ht="60" customHeight="1" x14ac:dyDescent="0.25">
      <c r="S2858" s="188"/>
    </row>
    <row r="2859" spans="19:19" ht="60" customHeight="1" x14ac:dyDescent="0.25">
      <c r="S2859" s="188"/>
    </row>
    <row r="2860" spans="19:19" ht="60" customHeight="1" x14ac:dyDescent="0.25">
      <c r="S2860" s="188"/>
    </row>
    <row r="2861" spans="19:19" ht="60" customHeight="1" x14ac:dyDescent="0.25">
      <c r="S2861" s="188"/>
    </row>
    <row r="2862" spans="19:19" ht="60" customHeight="1" x14ac:dyDescent="0.25">
      <c r="S2862" s="188"/>
    </row>
    <row r="2863" spans="19:19" ht="60" customHeight="1" x14ac:dyDescent="0.25">
      <c r="S2863" s="188"/>
    </row>
    <row r="2864" spans="19:19" ht="60" customHeight="1" x14ac:dyDescent="0.25">
      <c r="S2864" s="188"/>
    </row>
    <row r="2865" spans="19:19" ht="60" customHeight="1" x14ac:dyDescent="0.25">
      <c r="S2865" s="188"/>
    </row>
    <row r="2866" spans="19:19" ht="60" customHeight="1" x14ac:dyDescent="0.25">
      <c r="S2866" s="188"/>
    </row>
    <row r="2867" spans="19:19" ht="60" customHeight="1" x14ac:dyDescent="0.25">
      <c r="S2867" s="188"/>
    </row>
    <row r="2868" spans="19:19" ht="60" customHeight="1" x14ac:dyDescent="0.25">
      <c r="S2868" s="188"/>
    </row>
    <row r="2869" spans="19:19" ht="60" customHeight="1" x14ac:dyDescent="0.25">
      <c r="S2869" s="188"/>
    </row>
    <row r="2870" spans="19:19" ht="60" customHeight="1" x14ac:dyDescent="0.25">
      <c r="S2870" s="188"/>
    </row>
    <row r="2871" spans="19:19" ht="60" customHeight="1" x14ac:dyDescent="0.25">
      <c r="S2871" s="188"/>
    </row>
    <row r="2872" spans="19:19" ht="60" customHeight="1" x14ac:dyDescent="0.25">
      <c r="S2872" s="188"/>
    </row>
    <row r="2873" spans="19:19" ht="60" customHeight="1" x14ac:dyDescent="0.25">
      <c r="S2873" s="188"/>
    </row>
    <row r="2874" spans="19:19" ht="60" customHeight="1" x14ac:dyDescent="0.25">
      <c r="S2874" s="188"/>
    </row>
    <row r="2875" spans="19:19" ht="60" customHeight="1" x14ac:dyDescent="0.25">
      <c r="S2875" s="188"/>
    </row>
    <row r="2876" spans="19:19" ht="60" customHeight="1" x14ac:dyDescent="0.25">
      <c r="S2876" s="188"/>
    </row>
    <row r="2877" spans="19:19" ht="60" customHeight="1" x14ac:dyDescent="0.25">
      <c r="S2877" s="188"/>
    </row>
    <row r="2878" spans="19:19" ht="60" customHeight="1" x14ac:dyDescent="0.25">
      <c r="S2878" s="188"/>
    </row>
    <row r="2879" spans="19:19" ht="60" customHeight="1" x14ac:dyDescent="0.25">
      <c r="S2879" s="188"/>
    </row>
    <row r="2880" spans="19:19" ht="60" customHeight="1" x14ac:dyDescent="0.25">
      <c r="S2880" s="188"/>
    </row>
    <row r="2881" spans="19:19" ht="60" customHeight="1" x14ac:dyDescent="0.25">
      <c r="S2881" s="188"/>
    </row>
    <row r="2882" spans="19:19" ht="60" customHeight="1" x14ac:dyDescent="0.25">
      <c r="S2882" s="188"/>
    </row>
    <row r="2883" spans="19:19" ht="60" customHeight="1" x14ac:dyDescent="0.25">
      <c r="S2883" s="188"/>
    </row>
    <row r="2884" spans="19:19" ht="60" customHeight="1" x14ac:dyDescent="0.25">
      <c r="S2884" s="188"/>
    </row>
    <row r="2885" spans="19:19" ht="60" customHeight="1" x14ac:dyDescent="0.25">
      <c r="S2885" s="188"/>
    </row>
    <row r="2886" spans="19:19" ht="60" customHeight="1" x14ac:dyDescent="0.25">
      <c r="S2886" s="188"/>
    </row>
    <row r="2887" spans="19:19" ht="60" customHeight="1" x14ac:dyDescent="0.25">
      <c r="S2887" s="188"/>
    </row>
    <row r="2888" spans="19:19" ht="60" customHeight="1" x14ac:dyDescent="0.25">
      <c r="S2888" s="188"/>
    </row>
    <row r="2889" spans="19:19" ht="60" customHeight="1" x14ac:dyDescent="0.25">
      <c r="S2889" s="188"/>
    </row>
    <row r="2890" spans="19:19" ht="60" customHeight="1" x14ac:dyDescent="0.25">
      <c r="S2890" s="188"/>
    </row>
    <row r="2891" spans="19:19" ht="60" customHeight="1" x14ac:dyDescent="0.25">
      <c r="S2891" s="188"/>
    </row>
    <row r="2892" spans="19:19" ht="60" customHeight="1" x14ac:dyDescent="0.25">
      <c r="S2892" s="188"/>
    </row>
    <row r="2893" spans="19:19" ht="60" customHeight="1" x14ac:dyDescent="0.25">
      <c r="S2893" s="188"/>
    </row>
    <row r="2894" spans="19:19" ht="60" customHeight="1" x14ac:dyDescent="0.25">
      <c r="S2894" s="188"/>
    </row>
    <row r="2895" spans="19:19" ht="60" customHeight="1" x14ac:dyDescent="0.25">
      <c r="S2895" s="188"/>
    </row>
    <row r="2896" spans="19:19" ht="60" customHeight="1" x14ac:dyDescent="0.25">
      <c r="S2896" s="188"/>
    </row>
    <row r="2897" spans="19:19" ht="60" customHeight="1" x14ac:dyDescent="0.25">
      <c r="S2897" s="188"/>
    </row>
    <row r="2898" spans="19:19" ht="60" customHeight="1" x14ac:dyDescent="0.25">
      <c r="S2898" s="188"/>
    </row>
    <row r="2899" spans="19:19" ht="60" customHeight="1" x14ac:dyDescent="0.25">
      <c r="S2899" s="188"/>
    </row>
    <row r="2900" spans="19:19" ht="60" customHeight="1" x14ac:dyDescent="0.25">
      <c r="S2900" s="188"/>
    </row>
    <row r="2901" spans="19:19" ht="60" customHeight="1" x14ac:dyDescent="0.25">
      <c r="S2901" s="188"/>
    </row>
    <row r="2902" spans="19:19" ht="60" customHeight="1" x14ac:dyDescent="0.25">
      <c r="S2902" s="188"/>
    </row>
    <row r="2903" spans="19:19" ht="60" customHeight="1" x14ac:dyDescent="0.25">
      <c r="S2903" s="188"/>
    </row>
    <row r="2904" spans="19:19" ht="60" customHeight="1" x14ac:dyDescent="0.25">
      <c r="S2904" s="188"/>
    </row>
    <row r="2905" spans="19:19" ht="60" customHeight="1" x14ac:dyDescent="0.25">
      <c r="S2905" s="188"/>
    </row>
    <row r="2906" spans="19:19" ht="60" customHeight="1" x14ac:dyDescent="0.25">
      <c r="S2906" s="188"/>
    </row>
    <row r="2907" spans="19:19" ht="60" customHeight="1" x14ac:dyDescent="0.25">
      <c r="S2907" s="188"/>
    </row>
    <row r="2908" spans="19:19" ht="60" customHeight="1" x14ac:dyDescent="0.25">
      <c r="S2908" s="188"/>
    </row>
    <row r="2909" spans="19:19" ht="60" customHeight="1" x14ac:dyDescent="0.25">
      <c r="S2909" s="188"/>
    </row>
    <row r="2910" spans="19:19" ht="60" customHeight="1" x14ac:dyDescent="0.25">
      <c r="S2910" s="188"/>
    </row>
    <row r="2911" spans="19:19" ht="60" customHeight="1" x14ac:dyDescent="0.25">
      <c r="S2911" s="188"/>
    </row>
    <row r="2912" spans="19:19" ht="60" customHeight="1" x14ac:dyDescent="0.25">
      <c r="S2912" s="188"/>
    </row>
    <row r="2913" spans="19:19" ht="60" customHeight="1" x14ac:dyDescent="0.25">
      <c r="S2913" s="188"/>
    </row>
    <row r="2914" spans="19:19" ht="60" customHeight="1" x14ac:dyDescent="0.25">
      <c r="S2914" s="188"/>
    </row>
    <row r="2915" spans="19:19" ht="60" customHeight="1" x14ac:dyDescent="0.25">
      <c r="S2915" s="188"/>
    </row>
    <row r="2916" spans="19:19" ht="60" customHeight="1" x14ac:dyDescent="0.25">
      <c r="S2916" s="188"/>
    </row>
    <row r="2917" spans="19:19" ht="60" customHeight="1" x14ac:dyDescent="0.25">
      <c r="S2917" s="188"/>
    </row>
    <row r="2918" spans="19:19" ht="60" customHeight="1" x14ac:dyDescent="0.25">
      <c r="S2918" s="188"/>
    </row>
    <row r="2919" spans="19:19" ht="60" customHeight="1" x14ac:dyDescent="0.25">
      <c r="S2919" s="188"/>
    </row>
    <row r="2920" spans="19:19" ht="60" customHeight="1" x14ac:dyDescent="0.25">
      <c r="S2920" s="188"/>
    </row>
    <row r="2921" spans="19:19" ht="60" customHeight="1" x14ac:dyDescent="0.25">
      <c r="S2921" s="188"/>
    </row>
    <row r="2922" spans="19:19" ht="60" customHeight="1" x14ac:dyDescent="0.25">
      <c r="S2922" s="188"/>
    </row>
    <row r="2923" spans="19:19" ht="60" customHeight="1" x14ac:dyDescent="0.25">
      <c r="S2923" s="188"/>
    </row>
    <row r="2924" spans="19:19" ht="60" customHeight="1" x14ac:dyDescent="0.25">
      <c r="S2924" s="188"/>
    </row>
    <row r="2925" spans="19:19" ht="60" customHeight="1" x14ac:dyDescent="0.25">
      <c r="S2925" s="188"/>
    </row>
    <row r="2926" spans="19:19" ht="60" customHeight="1" x14ac:dyDescent="0.25">
      <c r="S2926" s="188"/>
    </row>
    <row r="2927" spans="19:19" ht="60" customHeight="1" x14ac:dyDescent="0.25">
      <c r="S2927" s="188"/>
    </row>
    <row r="2928" spans="19:19" ht="60" customHeight="1" x14ac:dyDescent="0.25">
      <c r="S2928" s="188"/>
    </row>
    <row r="2929" spans="19:19" ht="60" customHeight="1" x14ac:dyDescent="0.25">
      <c r="S2929" s="188"/>
    </row>
    <row r="2930" spans="19:19" ht="60" customHeight="1" x14ac:dyDescent="0.25">
      <c r="S2930" s="188"/>
    </row>
    <row r="2931" spans="19:19" ht="60" customHeight="1" x14ac:dyDescent="0.25">
      <c r="S2931" s="188"/>
    </row>
    <row r="2932" spans="19:19" ht="60" customHeight="1" x14ac:dyDescent="0.25">
      <c r="S2932" s="188"/>
    </row>
    <row r="2933" spans="19:19" ht="60" customHeight="1" x14ac:dyDescent="0.25">
      <c r="S2933" s="188"/>
    </row>
    <row r="2934" spans="19:19" ht="60" customHeight="1" x14ac:dyDescent="0.25">
      <c r="S2934" s="188"/>
    </row>
    <row r="2935" spans="19:19" ht="60" customHeight="1" x14ac:dyDescent="0.25">
      <c r="S2935" s="188"/>
    </row>
    <row r="2936" spans="19:19" ht="60" customHeight="1" x14ac:dyDescent="0.25">
      <c r="S2936" s="188"/>
    </row>
    <row r="2937" spans="19:19" ht="60" customHeight="1" x14ac:dyDescent="0.25">
      <c r="S2937" s="188"/>
    </row>
    <row r="2938" spans="19:19" ht="60" customHeight="1" x14ac:dyDescent="0.25">
      <c r="S2938" s="188"/>
    </row>
    <row r="2939" spans="19:19" ht="60" customHeight="1" x14ac:dyDescent="0.25">
      <c r="S2939" s="188"/>
    </row>
    <row r="2940" spans="19:19" ht="60" customHeight="1" x14ac:dyDescent="0.25">
      <c r="S2940" s="188"/>
    </row>
    <row r="2941" spans="19:19" ht="60" customHeight="1" x14ac:dyDescent="0.25">
      <c r="S2941" s="188"/>
    </row>
    <row r="2942" spans="19:19" ht="60" customHeight="1" x14ac:dyDescent="0.25">
      <c r="S2942" s="188"/>
    </row>
    <row r="2943" spans="19:19" ht="60" customHeight="1" x14ac:dyDescent="0.25">
      <c r="S2943" s="188"/>
    </row>
    <row r="2944" spans="19:19" ht="60" customHeight="1" x14ac:dyDescent="0.25">
      <c r="S2944" s="188"/>
    </row>
    <row r="2945" spans="19:19" ht="60" customHeight="1" x14ac:dyDescent="0.25">
      <c r="S2945" s="188"/>
    </row>
    <row r="2946" spans="19:19" ht="60" customHeight="1" x14ac:dyDescent="0.25">
      <c r="S2946" s="188"/>
    </row>
    <row r="2947" spans="19:19" ht="60" customHeight="1" x14ac:dyDescent="0.25">
      <c r="S2947" s="188"/>
    </row>
    <row r="2948" spans="19:19" ht="60" customHeight="1" x14ac:dyDescent="0.25">
      <c r="S2948" s="188"/>
    </row>
    <row r="2949" spans="19:19" ht="60" customHeight="1" x14ac:dyDescent="0.25">
      <c r="S2949" s="188"/>
    </row>
    <row r="2950" spans="19:19" ht="60" customHeight="1" x14ac:dyDescent="0.25">
      <c r="S2950" s="188"/>
    </row>
    <row r="2951" spans="19:19" ht="60" customHeight="1" x14ac:dyDescent="0.25">
      <c r="S2951" s="188"/>
    </row>
    <row r="2952" spans="19:19" ht="60" customHeight="1" x14ac:dyDescent="0.25">
      <c r="S2952" s="188"/>
    </row>
    <row r="2953" spans="19:19" ht="60" customHeight="1" x14ac:dyDescent="0.25">
      <c r="S2953" s="188"/>
    </row>
    <row r="2954" spans="19:19" ht="60" customHeight="1" x14ac:dyDescent="0.25">
      <c r="S2954" s="188"/>
    </row>
    <row r="2955" spans="19:19" ht="60" customHeight="1" x14ac:dyDescent="0.25">
      <c r="S2955" s="188"/>
    </row>
    <row r="2956" spans="19:19" ht="60" customHeight="1" x14ac:dyDescent="0.25">
      <c r="S2956" s="188"/>
    </row>
    <row r="2957" spans="19:19" ht="60" customHeight="1" x14ac:dyDescent="0.25">
      <c r="S2957" s="188"/>
    </row>
    <row r="2958" spans="19:19" ht="60" customHeight="1" x14ac:dyDescent="0.25">
      <c r="S2958" s="188"/>
    </row>
    <row r="2959" spans="19:19" ht="60" customHeight="1" x14ac:dyDescent="0.25">
      <c r="S2959" s="188"/>
    </row>
    <row r="2960" spans="19:19" ht="60" customHeight="1" x14ac:dyDescent="0.25">
      <c r="S2960" s="188"/>
    </row>
    <row r="2961" spans="19:19" ht="60" customHeight="1" x14ac:dyDescent="0.25">
      <c r="S2961" s="188"/>
    </row>
    <row r="2962" spans="19:19" ht="60" customHeight="1" x14ac:dyDescent="0.25">
      <c r="S2962" s="188"/>
    </row>
    <row r="2963" spans="19:19" ht="60" customHeight="1" x14ac:dyDescent="0.25">
      <c r="S2963" s="188"/>
    </row>
    <row r="2964" spans="19:19" ht="60" customHeight="1" x14ac:dyDescent="0.25">
      <c r="S2964" s="188"/>
    </row>
    <row r="2965" spans="19:19" ht="60" customHeight="1" x14ac:dyDescent="0.25">
      <c r="S2965" s="188"/>
    </row>
    <row r="2966" spans="19:19" ht="60" customHeight="1" x14ac:dyDescent="0.25">
      <c r="S2966" s="188"/>
    </row>
    <row r="2967" spans="19:19" ht="60" customHeight="1" x14ac:dyDescent="0.25">
      <c r="S2967" s="188"/>
    </row>
    <row r="2968" spans="19:19" ht="60" customHeight="1" x14ac:dyDescent="0.25">
      <c r="S2968" s="188"/>
    </row>
    <row r="2969" spans="19:19" ht="60" customHeight="1" x14ac:dyDescent="0.25">
      <c r="S2969" s="188"/>
    </row>
    <row r="2970" spans="19:19" ht="60" customHeight="1" x14ac:dyDescent="0.25">
      <c r="S2970" s="188"/>
    </row>
    <row r="2971" spans="19:19" ht="60" customHeight="1" x14ac:dyDescent="0.25">
      <c r="S2971" s="188"/>
    </row>
    <row r="2972" spans="19:19" ht="60" customHeight="1" x14ac:dyDescent="0.25">
      <c r="S2972" s="188"/>
    </row>
    <row r="2973" spans="19:19" ht="60" customHeight="1" x14ac:dyDescent="0.25">
      <c r="S2973" s="188"/>
    </row>
    <row r="2974" spans="19:19" ht="60" customHeight="1" x14ac:dyDescent="0.25">
      <c r="S2974" s="188"/>
    </row>
    <row r="2975" spans="19:19" ht="60" customHeight="1" x14ac:dyDescent="0.25">
      <c r="S2975" s="188"/>
    </row>
    <row r="2976" spans="19:19" ht="60" customHeight="1" x14ac:dyDescent="0.25">
      <c r="S2976" s="188"/>
    </row>
    <row r="2977" spans="19:19" ht="60" customHeight="1" x14ac:dyDescent="0.25">
      <c r="S2977" s="188"/>
    </row>
    <row r="2978" spans="19:19" ht="60" customHeight="1" x14ac:dyDescent="0.25">
      <c r="S2978" s="188"/>
    </row>
    <row r="2979" spans="19:19" ht="60" customHeight="1" x14ac:dyDescent="0.25">
      <c r="S2979" s="188"/>
    </row>
    <row r="2980" spans="19:19" ht="60" customHeight="1" x14ac:dyDescent="0.25">
      <c r="S2980" s="188"/>
    </row>
    <row r="2981" spans="19:19" ht="60" customHeight="1" x14ac:dyDescent="0.25">
      <c r="S2981" s="188"/>
    </row>
    <row r="2982" spans="19:19" ht="60" customHeight="1" x14ac:dyDescent="0.25">
      <c r="S2982" s="188"/>
    </row>
    <row r="2983" spans="19:19" ht="60" customHeight="1" x14ac:dyDescent="0.25">
      <c r="S2983" s="188"/>
    </row>
    <row r="2984" spans="19:19" ht="60" customHeight="1" x14ac:dyDescent="0.25">
      <c r="S2984" s="188"/>
    </row>
    <row r="2985" spans="19:19" ht="60" customHeight="1" x14ac:dyDescent="0.25">
      <c r="S2985" s="188"/>
    </row>
    <row r="2986" spans="19:19" ht="60" customHeight="1" x14ac:dyDescent="0.25">
      <c r="S2986" s="188"/>
    </row>
    <row r="2987" spans="19:19" ht="60" customHeight="1" x14ac:dyDescent="0.25">
      <c r="S2987" s="188"/>
    </row>
    <row r="2988" spans="19:19" ht="60" customHeight="1" x14ac:dyDescent="0.25">
      <c r="S2988" s="188"/>
    </row>
    <row r="2989" spans="19:19" ht="60" customHeight="1" x14ac:dyDescent="0.25">
      <c r="S2989" s="188"/>
    </row>
    <row r="2990" spans="19:19" ht="60" customHeight="1" x14ac:dyDescent="0.25">
      <c r="S2990" s="188"/>
    </row>
    <row r="2991" spans="19:19" ht="60" customHeight="1" x14ac:dyDescent="0.25">
      <c r="S2991" s="188"/>
    </row>
    <row r="2992" spans="19:19" ht="60" customHeight="1" x14ac:dyDescent="0.25">
      <c r="S2992" s="188"/>
    </row>
    <row r="2993" spans="19:19" ht="60" customHeight="1" x14ac:dyDescent="0.25">
      <c r="S2993" s="188"/>
    </row>
    <row r="2994" spans="19:19" ht="60" customHeight="1" x14ac:dyDescent="0.25">
      <c r="S2994" s="188"/>
    </row>
    <row r="2995" spans="19:19" ht="60" customHeight="1" x14ac:dyDescent="0.25">
      <c r="S2995" s="188"/>
    </row>
    <row r="2996" spans="19:19" ht="60" customHeight="1" x14ac:dyDescent="0.25">
      <c r="S2996" s="188"/>
    </row>
    <row r="2997" spans="19:19" ht="60" customHeight="1" x14ac:dyDescent="0.25">
      <c r="S2997" s="188"/>
    </row>
    <row r="2998" spans="19:19" ht="60" customHeight="1" x14ac:dyDescent="0.25">
      <c r="S2998" s="188"/>
    </row>
    <row r="2999" spans="19:19" ht="60" customHeight="1" x14ac:dyDescent="0.25">
      <c r="S2999" s="188"/>
    </row>
    <row r="3000" spans="19:19" ht="60" customHeight="1" x14ac:dyDescent="0.25">
      <c r="S3000" s="188"/>
    </row>
    <row r="3001" spans="19:19" ht="60" customHeight="1" x14ac:dyDescent="0.25">
      <c r="S3001" s="188"/>
    </row>
    <row r="3002" spans="19:19" ht="60" customHeight="1" x14ac:dyDescent="0.25">
      <c r="S3002" s="188"/>
    </row>
    <row r="3003" spans="19:19" ht="60" customHeight="1" x14ac:dyDescent="0.25">
      <c r="S3003" s="188"/>
    </row>
    <row r="3004" spans="19:19" ht="60" customHeight="1" x14ac:dyDescent="0.25">
      <c r="S3004" s="188"/>
    </row>
    <row r="3005" spans="19:19" ht="60" customHeight="1" x14ac:dyDescent="0.25">
      <c r="S3005" s="188"/>
    </row>
    <row r="3006" spans="19:19" ht="60" customHeight="1" x14ac:dyDescent="0.25">
      <c r="S3006" s="188"/>
    </row>
    <row r="3007" spans="19:19" ht="60" customHeight="1" x14ac:dyDescent="0.25">
      <c r="S3007" s="188"/>
    </row>
    <row r="3008" spans="19:19" ht="60" customHeight="1" x14ac:dyDescent="0.25">
      <c r="S3008" s="188"/>
    </row>
    <row r="3009" spans="19:19" ht="60" customHeight="1" x14ac:dyDescent="0.25">
      <c r="S3009" s="188"/>
    </row>
    <row r="3010" spans="19:19" ht="60" customHeight="1" x14ac:dyDescent="0.25">
      <c r="S3010" s="188"/>
    </row>
    <row r="3011" spans="19:19" ht="60" customHeight="1" x14ac:dyDescent="0.25">
      <c r="S3011" s="188"/>
    </row>
    <row r="3012" spans="19:19" ht="60" customHeight="1" x14ac:dyDescent="0.25">
      <c r="S3012" s="188"/>
    </row>
    <row r="3013" spans="19:19" ht="60" customHeight="1" x14ac:dyDescent="0.25">
      <c r="S3013" s="188"/>
    </row>
    <row r="3014" spans="19:19" ht="60" customHeight="1" x14ac:dyDescent="0.25">
      <c r="S3014" s="188"/>
    </row>
    <row r="3015" spans="19:19" ht="60" customHeight="1" x14ac:dyDescent="0.25">
      <c r="S3015" s="188"/>
    </row>
    <row r="3016" spans="19:19" ht="60" customHeight="1" x14ac:dyDescent="0.25">
      <c r="S3016" s="188"/>
    </row>
    <row r="3017" spans="19:19" ht="60" customHeight="1" x14ac:dyDescent="0.25">
      <c r="S3017" s="188"/>
    </row>
    <row r="3018" spans="19:19" ht="60" customHeight="1" x14ac:dyDescent="0.25">
      <c r="S3018" s="188"/>
    </row>
    <row r="3019" spans="19:19" ht="60" customHeight="1" x14ac:dyDescent="0.25">
      <c r="S3019" s="188"/>
    </row>
    <row r="3020" spans="19:19" ht="60" customHeight="1" x14ac:dyDescent="0.25">
      <c r="S3020" s="188"/>
    </row>
    <row r="3021" spans="19:19" ht="60" customHeight="1" x14ac:dyDescent="0.25">
      <c r="S3021" s="188"/>
    </row>
    <row r="3022" spans="19:19" ht="60" customHeight="1" x14ac:dyDescent="0.25">
      <c r="S3022" s="188"/>
    </row>
    <row r="3023" spans="19:19" ht="60" customHeight="1" x14ac:dyDescent="0.25">
      <c r="S3023" s="188"/>
    </row>
    <row r="3024" spans="19:19" ht="60" customHeight="1" x14ac:dyDescent="0.25">
      <c r="S3024" s="188"/>
    </row>
    <row r="3025" spans="19:19" ht="60" customHeight="1" x14ac:dyDescent="0.25">
      <c r="S3025" s="188"/>
    </row>
    <row r="3026" spans="19:19" ht="60" customHeight="1" x14ac:dyDescent="0.25">
      <c r="S3026" s="188"/>
    </row>
    <row r="3027" spans="19:19" ht="60" customHeight="1" x14ac:dyDescent="0.25">
      <c r="S3027" s="188"/>
    </row>
    <row r="3028" spans="19:19" ht="60" customHeight="1" x14ac:dyDescent="0.25">
      <c r="S3028" s="188"/>
    </row>
    <row r="3029" spans="19:19" ht="60" customHeight="1" x14ac:dyDescent="0.25">
      <c r="S3029" s="188"/>
    </row>
    <row r="3030" spans="19:19" ht="60" customHeight="1" x14ac:dyDescent="0.25">
      <c r="S3030" s="188"/>
    </row>
    <row r="3031" spans="19:19" ht="60" customHeight="1" x14ac:dyDescent="0.25">
      <c r="S3031" s="188"/>
    </row>
    <row r="3032" spans="19:19" ht="60" customHeight="1" x14ac:dyDescent="0.25">
      <c r="S3032" s="188"/>
    </row>
    <row r="3033" spans="19:19" ht="60" customHeight="1" x14ac:dyDescent="0.25">
      <c r="S3033" s="188"/>
    </row>
    <row r="3034" spans="19:19" ht="60" customHeight="1" x14ac:dyDescent="0.25">
      <c r="S3034" s="188"/>
    </row>
    <row r="3035" spans="19:19" ht="60" customHeight="1" x14ac:dyDescent="0.25">
      <c r="S3035" s="188"/>
    </row>
    <row r="3036" spans="19:19" ht="60" customHeight="1" x14ac:dyDescent="0.25">
      <c r="S3036" s="188"/>
    </row>
    <row r="3037" spans="19:19" ht="60" customHeight="1" x14ac:dyDescent="0.25">
      <c r="S3037" s="188"/>
    </row>
    <row r="3038" spans="19:19" ht="60" customHeight="1" x14ac:dyDescent="0.25">
      <c r="S3038" s="188"/>
    </row>
    <row r="3039" spans="19:19" ht="60" customHeight="1" x14ac:dyDescent="0.25">
      <c r="S3039" s="188"/>
    </row>
    <row r="3040" spans="19:19" ht="60" customHeight="1" x14ac:dyDescent="0.25">
      <c r="S3040" s="188"/>
    </row>
    <row r="3041" spans="19:19" ht="60" customHeight="1" x14ac:dyDescent="0.25">
      <c r="S3041" s="188"/>
    </row>
    <row r="3042" spans="19:19" ht="60" customHeight="1" x14ac:dyDescent="0.25">
      <c r="S3042" s="188"/>
    </row>
    <row r="3043" spans="19:19" ht="60" customHeight="1" x14ac:dyDescent="0.25">
      <c r="S3043" s="188"/>
    </row>
    <row r="3044" spans="19:19" ht="60" customHeight="1" x14ac:dyDescent="0.25">
      <c r="S3044" s="188"/>
    </row>
    <row r="3045" spans="19:19" ht="60" customHeight="1" x14ac:dyDescent="0.25">
      <c r="S3045" s="188"/>
    </row>
    <row r="3046" spans="19:19" ht="60" customHeight="1" x14ac:dyDescent="0.25">
      <c r="S3046" s="188"/>
    </row>
    <row r="3047" spans="19:19" ht="60" customHeight="1" x14ac:dyDescent="0.25">
      <c r="S3047" s="188"/>
    </row>
    <row r="3048" spans="19:19" ht="60" customHeight="1" x14ac:dyDescent="0.25">
      <c r="S3048" s="188"/>
    </row>
    <row r="3049" spans="19:19" ht="60" customHeight="1" x14ac:dyDescent="0.25">
      <c r="S3049" s="188"/>
    </row>
    <row r="3050" spans="19:19" ht="60" customHeight="1" x14ac:dyDescent="0.25">
      <c r="S3050" s="188"/>
    </row>
    <row r="3051" spans="19:19" ht="60" customHeight="1" x14ac:dyDescent="0.25">
      <c r="S3051" s="188"/>
    </row>
    <row r="3052" spans="19:19" ht="60" customHeight="1" x14ac:dyDescent="0.25">
      <c r="S3052" s="188"/>
    </row>
    <row r="3053" spans="19:19" ht="60" customHeight="1" x14ac:dyDescent="0.25">
      <c r="S3053" s="188"/>
    </row>
    <row r="3054" spans="19:19" ht="60" customHeight="1" x14ac:dyDescent="0.25">
      <c r="S3054" s="188"/>
    </row>
    <row r="3055" spans="19:19" ht="60" customHeight="1" x14ac:dyDescent="0.25">
      <c r="S3055" s="188"/>
    </row>
    <row r="3056" spans="19:19" ht="60" customHeight="1" x14ac:dyDescent="0.25">
      <c r="S3056" s="188"/>
    </row>
    <row r="3057" spans="19:19" ht="60" customHeight="1" x14ac:dyDescent="0.25">
      <c r="S3057" s="188"/>
    </row>
    <row r="3058" spans="19:19" ht="60" customHeight="1" x14ac:dyDescent="0.25">
      <c r="S3058" s="188"/>
    </row>
    <row r="3059" spans="19:19" ht="60" customHeight="1" x14ac:dyDescent="0.25">
      <c r="S3059" s="188"/>
    </row>
    <row r="3060" spans="19:19" ht="60" customHeight="1" x14ac:dyDescent="0.25">
      <c r="S3060" s="188"/>
    </row>
    <row r="3061" spans="19:19" ht="60" customHeight="1" x14ac:dyDescent="0.25">
      <c r="S3061" s="188"/>
    </row>
    <row r="3062" spans="19:19" ht="60" customHeight="1" x14ac:dyDescent="0.25">
      <c r="S3062" s="188"/>
    </row>
    <row r="3063" spans="19:19" ht="60" customHeight="1" x14ac:dyDescent="0.25">
      <c r="S3063" s="188"/>
    </row>
    <row r="3064" spans="19:19" ht="60" customHeight="1" x14ac:dyDescent="0.25">
      <c r="S3064" s="188"/>
    </row>
    <row r="3065" spans="19:19" ht="60" customHeight="1" x14ac:dyDescent="0.25">
      <c r="S3065" s="188"/>
    </row>
    <row r="3066" spans="19:19" ht="60" customHeight="1" x14ac:dyDescent="0.25">
      <c r="S3066" s="188"/>
    </row>
    <row r="3067" spans="19:19" ht="60" customHeight="1" x14ac:dyDescent="0.25">
      <c r="S3067" s="188"/>
    </row>
    <row r="3068" spans="19:19" ht="60" customHeight="1" x14ac:dyDescent="0.25">
      <c r="S3068" s="188"/>
    </row>
    <row r="3069" spans="19:19" ht="60" customHeight="1" x14ac:dyDescent="0.25">
      <c r="S3069" s="188"/>
    </row>
    <row r="3070" spans="19:19" ht="60" customHeight="1" x14ac:dyDescent="0.25">
      <c r="S3070" s="188"/>
    </row>
    <row r="3071" spans="19:19" ht="60" customHeight="1" x14ac:dyDescent="0.25">
      <c r="S3071" s="188"/>
    </row>
    <row r="3072" spans="19:19" ht="60" customHeight="1" x14ac:dyDescent="0.25">
      <c r="S3072" s="188"/>
    </row>
    <row r="3073" spans="19:19" ht="60" customHeight="1" x14ac:dyDescent="0.25">
      <c r="S3073" s="188"/>
    </row>
    <row r="3074" spans="19:19" ht="60" customHeight="1" x14ac:dyDescent="0.25">
      <c r="S3074" s="188"/>
    </row>
    <row r="3075" spans="19:19" ht="60" customHeight="1" x14ac:dyDescent="0.25">
      <c r="S3075" s="188"/>
    </row>
    <row r="3076" spans="19:19" ht="60" customHeight="1" x14ac:dyDescent="0.25">
      <c r="S3076" s="188"/>
    </row>
    <row r="3077" spans="19:19" ht="60" customHeight="1" x14ac:dyDescent="0.25">
      <c r="S3077" s="188"/>
    </row>
    <row r="3078" spans="19:19" ht="60" customHeight="1" x14ac:dyDescent="0.25">
      <c r="S3078" s="188"/>
    </row>
    <row r="3079" spans="19:19" ht="60" customHeight="1" x14ac:dyDescent="0.25">
      <c r="S3079" s="188"/>
    </row>
    <row r="3080" spans="19:19" ht="60" customHeight="1" x14ac:dyDescent="0.25">
      <c r="S3080" s="188"/>
    </row>
    <row r="3081" spans="19:19" ht="60" customHeight="1" x14ac:dyDescent="0.25">
      <c r="S3081" s="188"/>
    </row>
    <row r="3082" spans="19:19" ht="60" customHeight="1" x14ac:dyDescent="0.25">
      <c r="S3082" s="188"/>
    </row>
    <row r="3083" spans="19:19" ht="60" customHeight="1" x14ac:dyDescent="0.25">
      <c r="S3083" s="188"/>
    </row>
    <row r="3084" spans="19:19" ht="60" customHeight="1" x14ac:dyDescent="0.25">
      <c r="S3084" s="188"/>
    </row>
    <row r="3085" spans="19:19" ht="60" customHeight="1" x14ac:dyDescent="0.25">
      <c r="S3085" s="188"/>
    </row>
    <row r="3086" spans="19:19" ht="60" customHeight="1" x14ac:dyDescent="0.25">
      <c r="S3086" s="188"/>
    </row>
    <row r="3087" spans="19:19" ht="60" customHeight="1" x14ac:dyDescent="0.25">
      <c r="S3087" s="188"/>
    </row>
    <row r="3088" spans="19:19" ht="60" customHeight="1" x14ac:dyDescent="0.25">
      <c r="S3088" s="188"/>
    </row>
    <row r="3089" spans="19:19" ht="60" customHeight="1" x14ac:dyDescent="0.25">
      <c r="S3089" s="188"/>
    </row>
    <row r="3090" spans="19:19" ht="60" customHeight="1" x14ac:dyDescent="0.25">
      <c r="S3090" s="188"/>
    </row>
    <row r="3091" spans="19:19" ht="60" customHeight="1" x14ac:dyDescent="0.25">
      <c r="S3091" s="188"/>
    </row>
    <row r="3092" spans="19:19" ht="60" customHeight="1" x14ac:dyDescent="0.25">
      <c r="S3092" s="188"/>
    </row>
    <row r="3093" spans="19:19" ht="60" customHeight="1" x14ac:dyDescent="0.25">
      <c r="S3093" s="188"/>
    </row>
    <row r="3094" spans="19:19" ht="60" customHeight="1" x14ac:dyDescent="0.25">
      <c r="S3094" s="188"/>
    </row>
    <row r="3095" spans="19:19" ht="60" customHeight="1" x14ac:dyDescent="0.25">
      <c r="S3095" s="188"/>
    </row>
    <row r="3096" spans="19:19" ht="60" customHeight="1" x14ac:dyDescent="0.25">
      <c r="S3096" s="188"/>
    </row>
    <row r="3097" spans="19:19" ht="60" customHeight="1" x14ac:dyDescent="0.25">
      <c r="S3097" s="188"/>
    </row>
    <row r="3098" spans="19:19" ht="60" customHeight="1" x14ac:dyDescent="0.25">
      <c r="S3098" s="188"/>
    </row>
    <row r="3099" spans="19:19" ht="60" customHeight="1" x14ac:dyDescent="0.25">
      <c r="S3099" s="188"/>
    </row>
    <row r="3100" spans="19:19" ht="60" customHeight="1" x14ac:dyDescent="0.25">
      <c r="S3100" s="188"/>
    </row>
    <row r="3101" spans="19:19" ht="60" customHeight="1" x14ac:dyDescent="0.25">
      <c r="S3101" s="188"/>
    </row>
    <row r="3102" spans="19:19" ht="60" customHeight="1" x14ac:dyDescent="0.25">
      <c r="S3102" s="188"/>
    </row>
    <row r="3103" spans="19:19" ht="60" customHeight="1" x14ac:dyDescent="0.25">
      <c r="S3103" s="188"/>
    </row>
    <row r="3104" spans="19:19" ht="60" customHeight="1" x14ac:dyDescent="0.25">
      <c r="S3104" s="188"/>
    </row>
    <row r="3105" spans="19:19" ht="60" customHeight="1" x14ac:dyDescent="0.25">
      <c r="S3105" s="188"/>
    </row>
    <row r="3106" spans="19:19" ht="60" customHeight="1" x14ac:dyDescent="0.25">
      <c r="S3106" s="188"/>
    </row>
    <row r="3107" spans="19:19" ht="60" customHeight="1" x14ac:dyDescent="0.25">
      <c r="S3107" s="188"/>
    </row>
    <row r="3108" spans="19:19" ht="60" customHeight="1" x14ac:dyDescent="0.25">
      <c r="S3108" s="188"/>
    </row>
    <row r="3109" spans="19:19" ht="60" customHeight="1" x14ac:dyDescent="0.25">
      <c r="S3109" s="188"/>
    </row>
    <row r="3110" spans="19:19" ht="60" customHeight="1" x14ac:dyDescent="0.25">
      <c r="S3110" s="188"/>
    </row>
    <row r="3111" spans="19:19" ht="60" customHeight="1" x14ac:dyDescent="0.25">
      <c r="S3111" s="188"/>
    </row>
    <row r="3112" spans="19:19" ht="60" customHeight="1" x14ac:dyDescent="0.25">
      <c r="S3112" s="188"/>
    </row>
    <row r="3113" spans="19:19" ht="60" customHeight="1" x14ac:dyDescent="0.25">
      <c r="S3113" s="188"/>
    </row>
    <row r="3114" spans="19:19" ht="60" customHeight="1" x14ac:dyDescent="0.25">
      <c r="S3114" s="188"/>
    </row>
    <row r="3115" spans="19:19" ht="60" customHeight="1" x14ac:dyDescent="0.25">
      <c r="S3115" s="188"/>
    </row>
    <row r="3116" spans="19:19" ht="60" customHeight="1" x14ac:dyDescent="0.25">
      <c r="S3116" s="188"/>
    </row>
    <row r="3117" spans="19:19" ht="60" customHeight="1" x14ac:dyDescent="0.25">
      <c r="S3117" s="188"/>
    </row>
    <row r="3118" spans="19:19" ht="60" customHeight="1" x14ac:dyDescent="0.25">
      <c r="S3118" s="188"/>
    </row>
    <row r="3119" spans="19:19" ht="60" customHeight="1" x14ac:dyDescent="0.25">
      <c r="S3119" s="188"/>
    </row>
    <row r="3120" spans="19:19" ht="60" customHeight="1" x14ac:dyDescent="0.25">
      <c r="S3120" s="188"/>
    </row>
    <row r="3121" spans="19:19" ht="60" customHeight="1" x14ac:dyDescent="0.25">
      <c r="S3121" s="188"/>
    </row>
    <row r="3122" spans="19:19" ht="60" customHeight="1" x14ac:dyDescent="0.25">
      <c r="S3122" s="188"/>
    </row>
    <row r="3123" spans="19:19" ht="60" customHeight="1" x14ac:dyDescent="0.25">
      <c r="S3123" s="188"/>
    </row>
    <row r="3124" spans="19:19" ht="60" customHeight="1" x14ac:dyDescent="0.25">
      <c r="S3124" s="188"/>
    </row>
    <row r="3125" spans="19:19" ht="60" customHeight="1" x14ac:dyDescent="0.25">
      <c r="S3125" s="188"/>
    </row>
    <row r="3126" spans="19:19" ht="60" customHeight="1" x14ac:dyDescent="0.25">
      <c r="S3126" s="188"/>
    </row>
    <row r="3127" spans="19:19" ht="60" customHeight="1" x14ac:dyDescent="0.25">
      <c r="S3127" s="188"/>
    </row>
    <row r="3128" spans="19:19" ht="60" customHeight="1" x14ac:dyDescent="0.25">
      <c r="S3128" s="188"/>
    </row>
    <row r="3129" spans="19:19" ht="60" customHeight="1" x14ac:dyDescent="0.25">
      <c r="S3129" s="188"/>
    </row>
    <row r="3130" spans="19:19" ht="60" customHeight="1" x14ac:dyDescent="0.25">
      <c r="S3130" s="188"/>
    </row>
    <row r="3131" spans="19:19" ht="60" customHeight="1" x14ac:dyDescent="0.25">
      <c r="S3131" s="188"/>
    </row>
    <row r="3132" spans="19:19" ht="60" customHeight="1" x14ac:dyDescent="0.25">
      <c r="S3132" s="188"/>
    </row>
    <row r="3133" spans="19:19" ht="60" customHeight="1" x14ac:dyDescent="0.25">
      <c r="S3133" s="188"/>
    </row>
    <row r="3134" spans="19:19" ht="60" customHeight="1" x14ac:dyDescent="0.25">
      <c r="S3134" s="188"/>
    </row>
    <row r="3135" spans="19:19" ht="60" customHeight="1" x14ac:dyDescent="0.25">
      <c r="S3135" s="188"/>
    </row>
    <row r="3136" spans="19:19" ht="60" customHeight="1" x14ac:dyDescent="0.25">
      <c r="S3136" s="188"/>
    </row>
    <row r="3137" spans="19:19" ht="60" customHeight="1" x14ac:dyDescent="0.25">
      <c r="S3137" s="188"/>
    </row>
    <row r="3138" spans="19:19" ht="60" customHeight="1" x14ac:dyDescent="0.25">
      <c r="S3138" s="188"/>
    </row>
    <row r="3139" spans="19:19" ht="60" customHeight="1" x14ac:dyDescent="0.25">
      <c r="S3139" s="188"/>
    </row>
    <row r="3140" spans="19:19" ht="60" customHeight="1" x14ac:dyDescent="0.25">
      <c r="S3140" s="188"/>
    </row>
    <row r="3141" spans="19:19" ht="60" customHeight="1" x14ac:dyDescent="0.25">
      <c r="S3141" s="188"/>
    </row>
    <row r="3142" spans="19:19" ht="60" customHeight="1" x14ac:dyDescent="0.25">
      <c r="S3142" s="188"/>
    </row>
    <row r="3143" spans="19:19" ht="60" customHeight="1" x14ac:dyDescent="0.25">
      <c r="S3143" s="188"/>
    </row>
    <row r="3144" spans="19:19" ht="60" customHeight="1" x14ac:dyDescent="0.25">
      <c r="S3144" s="188"/>
    </row>
    <row r="3145" spans="19:19" ht="60" customHeight="1" x14ac:dyDescent="0.25">
      <c r="S3145" s="188"/>
    </row>
    <row r="3146" spans="19:19" ht="60" customHeight="1" x14ac:dyDescent="0.25">
      <c r="S3146" s="188"/>
    </row>
    <row r="3147" spans="19:19" ht="60" customHeight="1" x14ac:dyDescent="0.25">
      <c r="S3147" s="188"/>
    </row>
    <row r="3148" spans="19:19" ht="60" customHeight="1" x14ac:dyDescent="0.25">
      <c r="S3148" s="188"/>
    </row>
    <row r="3149" spans="19:19" ht="60" customHeight="1" x14ac:dyDescent="0.25">
      <c r="S3149" s="188"/>
    </row>
    <row r="3150" spans="19:19" ht="60" customHeight="1" x14ac:dyDescent="0.25">
      <c r="S3150" s="188"/>
    </row>
    <row r="3151" spans="19:19" ht="60" customHeight="1" x14ac:dyDescent="0.25">
      <c r="S3151" s="188"/>
    </row>
    <row r="3152" spans="19:19" ht="60" customHeight="1" x14ac:dyDescent="0.25">
      <c r="S3152" s="188"/>
    </row>
    <row r="3153" spans="19:19" ht="60" customHeight="1" x14ac:dyDescent="0.25">
      <c r="S3153" s="188"/>
    </row>
    <row r="3154" spans="19:19" ht="60" customHeight="1" x14ac:dyDescent="0.25">
      <c r="S3154" s="188"/>
    </row>
    <row r="3155" spans="19:19" ht="60" customHeight="1" x14ac:dyDescent="0.25">
      <c r="S3155" s="188"/>
    </row>
    <row r="3156" spans="19:19" ht="60" customHeight="1" x14ac:dyDescent="0.25">
      <c r="S3156" s="188"/>
    </row>
    <row r="3157" spans="19:19" ht="60" customHeight="1" x14ac:dyDescent="0.25">
      <c r="S3157" s="188"/>
    </row>
    <row r="3158" spans="19:19" ht="60" customHeight="1" x14ac:dyDescent="0.25">
      <c r="S3158" s="188"/>
    </row>
    <row r="3159" spans="19:19" ht="60" customHeight="1" x14ac:dyDescent="0.25">
      <c r="S3159" s="188"/>
    </row>
    <row r="3160" spans="19:19" ht="60" customHeight="1" x14ac:dyDescent="0.25">
      <c r="S3160" s="188"/>
    </row>
    <row r="3161" spans="19:19" ht="60" customHeight="1" x14ac:dyDescent="0.25">
      <c r="S3161" s="188"/>
    </row>
    <row r="3162" spans="19:19" ht="60" customHeight="1" x14ac:dyDescent="0.25">
      <c r="S3162" s="188"/>
    </row>
    <row r="3163" spans="19:19" ht="60" customHeight="1" x14ac:dyDescent="0.25">
      <c r="S3163" s="188"/>
    </row>
    <row r="3164" spans="19:19" ht="60" customHeight="1" x14ac:dyDescent="0.25">
      <c r="S3164" s="188"/>
    </row>
    <row r="3165" spans="19:19" ht="60" customHeight="1" x14ac:dyDescent="0.25">
      <c r="S3165" s="188"/>
    </row>
    <row r="3166" spans="19:19" ht="60" customHeight="1" x14ac:dyDescent="0.25">
      <c r="S3166" s="188"/>
    </row>
    <row r="3167" spans="19:19" ht="60" customHeight="1" x14ac:dyDescent="0.25">
      <c r="S3167" s="188"/>
    </row>
    <row r="3168" spans="19:19" ht="60" customHeight="1" x14ac:dyDescent="0.25">
      <c r="S3168" s="188"/>
    </row>
    <row r="3169" spans="19:19" ht="60" customHeight="1" x14ac:dyDescent="0.25">
      <c r="S3169" s="188"/>
    </row>
    <row r="3170" spans="19:19" ht="60" customHeight="1" x14ac:dyDescent="0.25">
      <c r="S3170" s="188"/>
    </row>
    <row r="3171" spans="19:19" ht="60" customHeight="1" x14ac:dyDescent="0.25">
      <c r="S3171" s="188"/>
    </row>
    <row r="3172" spans="19:19" ht="60" customHeight="1" x14ac:dyDescent="0.25">
      <c r="S3172" s="188"/>
    </row>
    <row r="3173" spans="19:19" ht="60" customHeight="1" x14ac:dyDescent="0.25">
      <c r="S3173" s="188"/>
    </row>
    <row r="3174" spans="19:19" ht="60" customHeight="1" x14ac:dyDescent="0.25">
      <c r="S3174" s="188"/>
    </row>
    <row r="3175" spans="19:19" ht="60" customHeight="1" x14ac:dyDescent="0.25">
      <c r="S3175" s="188"/>
    </row>
    <row r="3176" spans="19:19" ht="60" customHeight="1" x14ac:dyDescent="0.25">
      <c r="S3176" s="188"/>
    </row>
    <row r="3177" spans="19:19" ht="60" customHeight="1" x14ac:dyDescent="0.25">
      <c r="S3177" s="188"/>
    </row>
    <row r="3178" spans="19:19" ht="60" customHeight="1" x14ac:dyDescent="0.25">
      <c r="S3178" s="188"/>
    </row>
    <row r="3179" spans="19:19" ht="60" customHeight="1" x14ac:dyDescent="0.25">
      <c r="S3179" s="188"/>
    </row>
    <row r="3180" spans="19:19" ht="60" customHeight="1" x14ac:dyDescent="0.25">
      <c r="S3180" s="188"/>
    </row>
    <row r="3181" spans="19:19" ht="60" customHeight="1" x14ac:dyDescent="0.25">
      <c r="S3181" s="188"/>
    </row>
    <row r="3182" spans="19:19" ht="60" customHeight="1" x14ac:dyDescent="0.25">
      <c r="S3182" s="188"/>
    </row>
    <row r="3183" spans="19:19" ht="60" customHeight="1" x14ac:dyDescent="0.25">
      <c r="S3183" s="188"/>
    </row>
    <row r="3184" spans="19:19" ht="60" customHeight="1" x14ac:dyDescent="0.25">
      <c r="S3184" s="188"/>
    </row>
    <row r="3185" spans="19:19" ht="60" customHeight="1" x14ac:dyDescent="0.25">
      <c r="S3185" s="188"/>
    </row>
    <row r="3186" spans="19:19" ht="60" customHeight="1" x14ac:dyDescent="0.25">
      <c r="S3186" s="188"/>
    </row>
    <row r="3187" spans="19:19" ht="60" customHeight="1" x14ac:dyDescent="0.25">
      <c r="S3187" s="188"/>
    </row>
    <row r="3188" spans="19:19" ht="60" customHeight="1" x14ac:dyDescent="0.25">
      <c r="S3188" s="188"/>
    </row>
    <row r="3189" spans="19:19" ht="60" customHeight="1" x14ac:dyDescent="0.25">
      <c r="S3189" s="188"/>
    </row>
    <row r="3190" spans="19:19" ht="60" customHeight="1" x14ac:dyDescent="0.25">
      <c r="S3190" s="188"/>
    </row>
    <row r="3191" spans="19:19" ht="60" customHeight="1" x14ac:dyDescent="0.25">
      <c r="S3191" s="188"/>
    </row>
    <row r="3192" spans="19:19" ht="60" customHeight="1" x14ac:dyDescent="0.25">
      <c r="S3192" s="188"/>
    </row>
    <row r="3193" spans="19:19" ht="60" customHeight="1" x14ac:dyDescent="0.25">
      <c r="S3193" s="188"/>
    </row>
    <row r="3194" spans="19:19" ht="60" customHeight="1" x14ac:dyDescent="0.25">
      <c r="S3194" s="188"/>
    </row>
    <row r="3195" spans="19:19" ht="60" customHeight="1" x14ac:dyDescent="0.25">
      <c r="S3195" s="188"/>
    </row>
    <row r="3196" spans="19:19" ht="60" customHeight="1" x14ac:dyDescent="0.25">
      <c r="S3196" s="188"/>
    </row>
    <row r="3197" spans="19:19" ht="60" customHeight="1" x14ac:dyDescent="0.25">
      <c r="S3197" s="188"/>
    </row>
    <row r="3198" spans="19:19" ht="60" customHeight="1" x14ac:dyDescent="0.25">
      <c r="S3198" s="188"/>
    </row>
    <row r="3199" spans="19:19" ht="60" customHeight="1" x14ac:dyDescent="0.25">
      <c r="S3199" s="188"/>
    </row>
    <row r="3200" spans="19:19" ht="60" customHeight="1" x14ac:dyDescent="0.25">
      <c r="S3200" s="188"/>
    </row>
    <row r="3201" spans="19:19" ht="60" customHeight="1" x14ac:dyDescent="0.25">
      <c r="S3201" s="188"/>
    </row>
    <row r="3202" spans="19:19" ht="60" customHeight="1" x14ac:dyDescent="0.25">
      <c r="S3202" s="188"/>
    </row>
    <row r="3203" spans="19:19" ht="60" customHeight="1" x14ac:dyDescent="0.25">
      <c r="S3203" s="188"/>
    </row>
    <row r="3204" spans="19:19" ht="60" customHeight="1" x14ac:dyDescent="0.25">
      <c r="S3204" s="188"/>
    </row>
    <row r="3205" spans="19:19" ht="60" customHeight="1" x14ac:dyDescent="0.25">
      <c r="S3205" s="188"/>
    </row>
    <row r="3206" spans="19:19" ht="60" customHeight="1" x14ac:dyDescent="0.25">
      <c r="S3206" s="188"/>
    </row>
    <row r="3207" spans="19:19" ht="60" customHeight="1" x14ac:dyDescent="0.25">
      <c r="S3207" s="188"/>
    </row>
    <row r="3208" spans="19:19" ht="60" customHeight="1" x14ac:dyDescent="0.25">
      <c r="S3208" s="188"/>
    </row>
    <row r="3209" spans="19:19" ht="60" customHeight="1" x14ac:dyDescent="0.25">
      <c r="S3209" s="188"/>
    </row>
    <row r="3210" spans="19:19" ht="60" customHeight="1" x14ac:dyDescent="0.25">
      <c r="S3210" s="188"/>
    </row>
    <row r="3211" spans="19:19" ht="60" customHeight="1" x14ac:dyDescent="0.25">
      <c r="S3211" s="188"/>
    </row>
    <row r="3212" spans="19:19" ht="60" customHeight="1" x14ac:dyDescent="0.25">
      <c r="S3212" s="188"/>
    </row>
    <row r="3213" spans="19:19" ht="60" customHeight="1" x14ac:dyDescent="0.25">
      <c r="S3213" s="188"/>
    </row>
    <row r="3214" spans="19:19" ht="60" customHeight="1" x14ac:dyDescent="0.25">
      <c r="S3214" s="188"/>
    </row>
    <row r="3215" spans="19:19" ht="60" customHeight="1" x14ac:dyDescent="0.25">
      <c r="S3215" s="188"/>
    </row>
    <row r="3216" spans="19:19" ht="60" customHeight="1" x14ac:dyDescent="0.25">
      <c r="S3216" s="188"/>
    </row>
    <row r="3217" spans="19:19" ht="60" customHeight="1" x14ac:dyDescent="0.25">
      <c r="S3217" s="188"/>
    </row>
    <row r="3218" spans="19:19" ht="60" customHeight="1" x14ac:dyDescent="0.25">
      <c r="S3218" s="188"/>
    </row>
    <row r="3219" spans="19:19" ht="60" customHeight="1" x14ac:dyDescent="0.25">
      <c r="S3219" s="188"/>
    </row>
    <row r="3220" spans="19:19" ht="60" customHeight="1" x14ac:dyDescent="0.25">
      <c r="S3220" s="188"/>
    </row>
    <row r="3221" spans="19:19" ht="60" customHeight="1" x14ac:dyDescent="0.25">
      <c r="S3221" s="188"/>
    </row>
    <row r="3222" spans="19:19" ht="60" customHeight="1" x14ac:dyDescent="0.25">
      <c r="S3222" s="188"/>
    </row>
    <row r="3223" spans="19:19" ht="60" customHeight="1" x14ac:dyDescent="0.25">
      <c r="S3223" s="188"/>
    </row>
    <row r="3224" spans="19:19" ht="60" customHeight="1" x14ac:dyDescent="0.25">
      <c r="S3224" s="188"/>
    </row>
    <row r="3225" spans="19:19" ht="60" customHeight="1" x14ac:dyDescent="0.25">
      <c r="S3225" s="188"/>
    </row>
    <row r="3226" spans="19:19" ht="60" customHeight="1" x14ac:dyDescent="0.25">
      <c r="S3226" s="188"/>
    </row>
    <row r="3227" spans="19:19" ht="60" customHeight="1" x14ac:dyDescent="0.25">
      <c r="S3227" s="188"/>
    </row>
    <row r="3228" spans="19:19" ht="60" customHeight="1" x14ac:dyDescent="0.25">
      <c r="S3228" s="188"/>
    </row>
    <row r="3229" spans="19:19" ht="60" customHeight="1" x14ac:dyDescent="0.25">
      <c r="S3229" s="188"/>
    </row>
    <row r="3230" spans="19:19" ht="60" customHeight="1" x14ac:dyDescent="0.25">
      <c r="S3230" s="188"/>
    </row>
    <row r="3231" spans="19:19" ht="60" customHeight="1" x14ac:dyDescent="0.25">
      <c r="S3231" s="188"/>
    </row>
    <row r="3232" spans="19:19" ht="60" customHeight="1" x14ac:dyDescent="0.25">
      <c r="S3232" s="188"/>
    </row>
    <row r="3233" spans="19:19" ht="60" customHeight="1" x14ac:dyDescent="0.25">
      <c r="S3233" s="188"/>
    </row>
    <row r="3234" spans="19:19" ht="60" customHeight="1" x14ac:dyDescent="0.25">
      <c r="S3234" s="188"/>
    </row>
    <row r="3235" spans="19:19" ht="60" customHeight="1" x14ac:dyDescent="0.25">
      <c r="S3235" s="188"/>
    </row>
    <row r="3236" spans="19:19" ht="60" customHeight="1" x14ac:dyDescent="0.25">
      <c r="S3236" s="188"/>
    </row>
    <row r="3237" spans="19:19" ht="60" customHeight="1" x14ac:dyDescent="0.25">
      <c r="S3237" s="188"/>
    </row>
    <row r="3238" spans="19:19" ht="60" customHeight="1" x14ac:dyDescent="0.25">
      <c r="S3238" s="188"/>
    </row>
    <row r="3239" spans="19:19" ht="60" customHeight="1" x14ac:dyDescent="0.25">
      <c r="S3239" s="188"/>
    </row>
    <row r="3240" spans="19:19" ht="60" customHeight="1" x14ac:dyDescent="0.25">
      <c r="S3240" s="188"/>
    </row>
    <row r="3241" spans="19:19" ht="60" customHeight="1" x14ac:dyDescent="0.25">
      <c r="S3241" s="188"/>
    </row>
    <row r="3242" spans="19:19" ht="60" customHeight="1" x14ac:dyDescent="0.25">
      <c r="S3242" s="188"/>
    </row>
    <row r="3243" spans="19:19" ht="60" customHeight="1" x14ac:dyDescent="0.25">
      <c r="S3243" s="188"/>
    </row>
    <row r="3244" spans="19:19" ht="60" customHeight="1" x14ac:dyDescent="0.25">
      <c r="S3244" s="188"/>
    </row>
    <row r="3245" spans="19:19" ht="60" customHeight="1" x14ac:dyDescent="0.25">
      <c r="S3245" s="188"/>
    </row>
    <row r="3246" spans="19:19" ht="60" customHeight="1" x14ac:dyDescent="0.25">
      <c r="S3246" s="188"/>
    </row>
    <row r="3247" spans="19:19" ht="60" customHeight="1" x14ac:dyDescent="0.25">
      <c r="S3247" s="188"/>
    </row>
    <row r="3248" spans="19:19" ht="60" customHeight="1" x14ac:dyDescent="0.25">
      <c r="S3248" s="188"/>
    </row>
    <row r="3249" spans="19:19" ht="60" customHeight="1" x14ac:dyDescent="0.25">
      <c r="S3249" s="188"/>
    </row>
    <row r="3250" spans="19:19" ht="60" customHeight="1" x14ac:dyDescent="0.25">
      <c r="S3250" s="188"/>
    </row>
    <row r="3251" spans="19:19" ht="60" customHeight="1" x14ac:dyDescent="0.25">
      <c r="S3251" s="188"/>
    </row>
    <row r="3252" spans="19:19" ht="60" customHeight="1" x14ac:dyDescent="0.25">
      <c r="S3252" s="188"/>
    </row>
    <row r="3253" spans="19:19" ht="60" customHeight="1" x14ac:dyDescent="0.25">
      <c r="S3253" s="188"/>
    </row>
    <row r="3254" spans="19:19" ht="60" customHeight="1" x14ac:dyDescent="0.25">
      <c r="S3254" s="188"/>
    </row>
    <row r="3255" spans="19:19" ht="60" customHeight="1" x14ac:dyDescent="0.25">
      <c r="S3255" s="188"/>
    </row>
    <row r="3256" spans="19:19" ht="60" customHeight="1" x14ac:dyDescent="0.25">
      <c r="S3256" s="188"/>
    </row>
    <row r="3257" spans="19:19" ht="60" customHeight="1" x14ac:dyDescent="0.25">
      <c r="S3257" s="188"/>
    </row>
    <row r="3258" spans="19:19" ht="60" customHeight="1" x14ac:dyDescent="0.25">
      <c r="S3258" s="188"/>
    </row>
    <row r="3259" spans="19:19" ht="60" customHeight="1" x14ac:dyDescent="0.25">
      <c r="S3259" s="188"/>
    </row>
    <row r="3260" spans="19:19" ht="60" customHeight="1" x14ac:dyDescent="0.25">
      <c r="S3260" s="188"/>
    </row>
    <row r="3261" spans="19:19" ht="60" customHeight="1" x14ac:dyDescent="0.25">
      <c r="S3261" s="188"/>
    </row>
    <row r="3262" spans="19:19" ht="60" customHeight="1" x14ac:dyDescent="0.25">
      <c r="S3262" s="188"/>
    </row>
    <row r="3263" spans="19:19" ht="60" customHeight="1" x14ac:dyDescent="0.25">
      <c r="S3263" s="188"/>
    </row>
    <row r="3264" spans="19:19" ht="60" customHeight="1" x14ac:dyDescent="0.25">
      <c r="S3264" s="188"/>
    </row>
    <row r="3265" spans="19:19" ht="60" customHeight="1" x14ac:dyDescent="0.25">
      <c r="S3265" s="188"/>
    </row>
    <row r="3266" spans="19:19" ht="60" customHeight="1" x14ac:dyDescent="0.25">
      <c r="S3266" s="188"/>
    </row>
    <row r="3267" spans="19:19" ht="60" customHeight="1" x14ac:dyDescent="0.25">
      <c r="S3267" s="188"/>
    </row>
    <row r="3268" spans="19:19" ht="60" customHeight="1" x14ac:dyDescent="0.25">
      <c r="S3268" s="188"/>
    </row>
    <row r="3269" spans="19:19" ht="60" customHeight="1" x14ac:dyDescent="0.25">
      <c r="S3269" s="188"/>
    </row>
    <row r="3270" spans="19:19" ht="60" customHeight="1" x14ac:dyDescent="0.25">
      <c r="S3270" s="188"/>
    </row>
    <row r="3271" spans="19:19" ht="60" customHeight="1" x14ac:dyDescent="0.25">
      <c r="S3271" s="188"/>
    </row>
    <row r="3272" spans="19:19" ht="60" customHeight="1" x14ac:dyDescent="0.25">
      <c r="S3272" s="188"/>
    </row>
    <row r="3273" spans="19:19" ht="60" customHeight="1" x14ac:dyDescent="0.25">
      <c r="S3273" s="188"/>
    </row>
    <row r="3274" spans="19:19" ht="60" customHeight="1" x14ac:dyDescent="0.25">
      <c r="S3274" s="188"/>
    </row>
    <row r="3275" spans="19:19" ht="60" customHeight="1" x14ac:dyDescent="0.25">
      <c r="S3275" s="188"/>
    </row>
    <row r="3276" spans="19:19" ht="60" customHeight="1" x14ac:dyDescent="0.25">
      <c r="S3276" s="188"/>
    </row>
    <row r="3277" spans="19:19" ht="60" customHeight="1" x14ac:dyDescent="0.25">
      <c r="S3277" s="188"/>
    </row>
    <row r="3278" spans="19:19" ht="60" customHeight="1" x14ac:dyDescent="0.25">
      <c r="S3278" s="188"/>
    </row>
    <row r="3279" spans="19:19" ht="60" customHeight="1" x14ac:dyDescent="0.25">
      <c r="S3279" s="188"/>
    </row>
    <row r="3280" spans="19:19" ht="60" customHeight="1" x14ac:dyDescent="0.25">
      <c r="S3280" s="188"/>
    </row>
    <row r="3281" spans="19:19" ht="60" customHeight="1" x14ac:dyDescent="0.25">
      <c r="S3281" s="188"/>
    </row>
    <row r="3282" spans="19:19" ht="60" customHeight="1" x14ac:dyDescent="0.25">
      <c r="S3282" s="188"/>
    </row>
    <row r="3283" spans="19:19" ht="60" customHeight="1" x14ac:dyDescent="0.25">
      <c r="S3283" s="188"/>
    </row>
    <row r="3284" spans="19:19" ht="60" customHeight="1" x14ac:dyDescent="0.25">
      <c r="S3284" s="188"/>
    </row>
    <row r="3285" spans="19:19" ht="60" customHeight="1" x14ac:dyDescent="0.25">
      <c r="S3285" s="188"/>
    </row>
    <row r="3286" spans="19:19" ht="60" customHeight="1" x14ac:dyDescent="0.25">
      <c r="S3286" s="188"/>
    </row>
    <row r="3287" spans="19:19" ht="60" customHeight="1" x14ac:dyDescent="0.25">
      <c r="S3287" s="188"/>
    </row>
    <row r="3288" spans="19:19" ht="60" customHeight="1" x14ac:dyDescent="0.25">
      <c r="S3288" s="188"/>
    </row>
    <row r="3289" spans="19:19" ht="60" customHeight="1" x14ac:dyDescent="0.25">
      <c r="S3289" s="188"/>
    </row>
    <row r="3290" spans="19:19" ht="60" customHeight="1" x14ac:dyDescent="0.25">
      <c r="S3290" s="188"/>
    </row>
    <row r="3291" spans="19:19" ht="60" customHeight="1" x14ac:dyDescent="0.25">
      <c r="S3291" s="188"/>
    </row>
    <row r="3292" spans="19:19" ht="60" customHeight="1" x14ac:dyDescent="0.25">
      <c r="S3292" s="188"/>
    </row>
    <row r="3293" spans="19:19" ht="60" customHeight="1" x14ac:dyDescent="0.25">
      <c r="S3293" s="188"/>
    </row>
    <row r="3294" spans="19:19" ht="60" customHeight="1" x14ac:dyDescent="0.25">
      <c r="S3294" s="188"/>
    </row>
    <row r="3295" spans="19:19" ht="60" customHeight="1" x14ac:dyDescent="0.25">
      <c r="S3295" s="188"/>
    </row>
    <row r="3296" spans="19:19" ht="60" customHeight="1" x14ac:dyDescent="0.25">
      <c r="S3296" s="188"/>
    </row>
    <row r="3297" spans="19:19" ht="60" customHeight="1" x14ac:dyDescent="0.25">
      <c r="S3297" s="188"/>
    </row>
    <row r="3298" spans="19:19" ht="60" customHeight="1" x14ac:dyDescent="0.25">
      <c r="S3298" s="188"/>
    </row>
    <row r="3299" spans="19:19" ht="60" customHeight="1" x14ac:dyDescent="0.25">
      <c r="S3299" s="188"/>
    </row>
    <row r="3300" spans="19:19" ht="60" customHeight="1" x14ac:dyDescent="0.25">
      <c r="S3300" s="188"/>
    </row>
    <row r="3301" spans="19:19" ht="60" customHeight="1" x14ac:dyDescent="0.25">
      <c r="S3301" s="188"/>
    </row>
    <row r="3302" spans="19:19" ht="60" customHeight="1" x14ac:dyDescent="0.25">
      <c r="S3302" s="188"/>
    </row>
    <row r="3303" spans="19:19" ht="60" customHeight="1" x14ac:dyDescent="0.25">
      <c r="S3303" s="188"/>
    </row>
    <row r="3304" spans="19:19" ht="60" customHeight="1" x14ac:dyDescent="0.25">
      <c r="S3304" s="188"/>
    </row>
    <row r="3305" spans="19:19" ht="60" customHeight="1" x14ac:dyDescent="0.25">
      <c r="S3305" s="188"/>
    </row>
    <row r="3306" spans="19:19" ht="60" customHeight="1" x14ac:dyDescent="0.25">
      <c r="S3306" s="188"/>
    </row>
    <row r="3307" spans="19:19" ht="60" customHeight="1" x14ac:dyDescent="0.25">
      <c r="S3307" s="188"/>
    </row>
    <row r="3308" spans="19:19" ht="60" customHeight="1" x14ac:dyDescent="0.25">
      <c r="S3308" s="188"/>
    </row>
    <row r="3309" spans="19:19" ht="60" customHeight="1" x14ac:dyDescent="0.25">
      <c r="S3309" s="188"/>
    </row>
    <row r="3310" spans="19:19" ht="60" customHeight="1" x14ac:dyDescent="0.25">
      <c r="S3310" s="188"/>
    </row>
    <row r="3311" spans="19:19" ht="60" customHeight="1" x14ac:dyDescent="0.25">
      <c r="S3311" s="188"/>
    </row>
    <row r="3312" spans="19:19" ht="60" customHeight="1" x14ac:dyDescent="0.25">
      <c r="S3312" s="188"/>
    </row>
    <row r="3313" spans="19:19" ht="60" customHeight="1" x14ac:dyDescent="0.25">
      <c r="S3313" s="188"/>
    </row>
    <row r="3314" spans="19:19" ht="60" customHeight="1" x14ac:dyDescent="0.25">
      <c r="S3314" s="188"/>
    </row>
    <row r="3315" spans="19:19" ht="60" customHeight="1" x14ac:dyDescent="0.25">
      <c r="S3315" s="188"/>
    </row>
    <row r="3316" spans="19:19" ht="60" customHeight="1" x14ac:dyDescent="0.25">
      <c r="S3316" s="188"/>
    </row>
    <row r="3317" spans="19:19" ht="60" customHeight="1" x14ac:dyDescent="0.25">
      <c r="S3317" s="188"/>
    </row>
    <row r="3318" spans="19:19" ht="60" customHeight="1" x14ac:dyDescent="0.25">
      <c r="S3318" s="188"/>
    </row>
    <row r="3319" spans="19:19" ht="60" customHeight="1" x14ac:dyDescent="0.25">
      <c r="S3319" s="188"/>
    </row>
    <row r="3320" spans="19:19" ht="60" customHeight="1" x14ac:dyDescent="0.25">
      <c r="S3320" s="188"/>
    </row>
    <row r="3321" spans="19:19" ht="60" customHeight="1" x14ac:dyDescent="0.25">
      <c r="S3321" s="188"/>
    </row>
    <row r="3322" spans="19:19" ht="60" customHeight="1" x14ac:dyDescent="0.25">
      <c r="S3322" s="188"/>
    </row>
    <row r="3323" spans="19:19" ht="60" customHeight="1" x14ac:dyDescent="0.25">
      <c r="S3323" s="188"/>
    </row>
    <row r="3324" spans="19:19" ht="60" customHeight="1" x14ac:dyDescent="0.25">
      <c r="S3324" s="188"/>
    </row>
    <row r="3325" spans="19:19" ht="60" customHeight="1" x14ac:dyDescent="0.25">
      <c r="S3325" s="188"/>
    </row>
    <row r="3326" spans="19:19" ht="60" customHeight="1" x14ac:dyDescent="0.25">
      <c r="S3326" s="188"/>
    </row>
    <row r="3327" spans="19:19" ht="60" customHeight="1" x14ac:dyDescent="0.25">
      <c r="S3327" s="188"/>
    </row>
    <row r="3328" spans="19:19" ht="60" customHeight="1" x14ac:dyDescent="0.25">
      <c r="S3328" s="188"/>
    </row>
    <row r="3329" spans="19:19" ht="60" customHeight="1" x14ac:dyDescent="0.25">
      <c r="S3329" s="188"/>
    </row>
    <row r="3330" spans="19:19" ht="60" customHeight="1" x14ac:dyDescent="0.25">
      <c r="S3330" s="188"/>
    </row>
    <row r="3331" spans="19:19" ht="60" customHeight="1" x14ac:dyDescent="0.25">
      <c r="S3331" s="188"/>
    </row>
    <row r="3332" spans="19:19" ht="60" customHeight="1" x14ac:dyDescent="0.25">
      <c r="S3332" s="188"/>
    </row>
    <row r="3333" spans="19:19" ht="60" customHeight="1" x14ac:dyDescent="0.25">
      <c r="S3333" s="188"/>
    </row>
    <row r="3334" spans="19:19" ht="60" customHeight="1" x14ac:dyDescent="0.25">
      <c r="S3334" s="188"/>
    </row>
    <row r="3335" spans="19:19" ht="60" customHeight="1" x14ac:dyDescent="0.25">
      <c r="S3335" s="188"/>
    </row>
    <row r="3336" spans="19:19" ht="60" customHeight="1" x14ac:dyDescent="0.25">
      <c r="S3336" s="188"/>
    </row>
    <row r="3337" spans="19:19" ht="60" customHeight="1" x14ac:dyDescent="0.25">
      <c r="S3337" s="188"/>
    </row>
    <row r="3338" spans="19:19" ht="60" customHeight="1" x14ac:dyDescent="0.25">
      <c r="S3338" s="188"/>
    </row>
    <row r="3339" spans="19:19" ht="60" customHeight="1" x14ac:dyDescent="0.25">
      <c r="S3339" s="188"/>
    </row>
    <row r="3340" spans="19:19" ht="60" customHeight="1" x14ac:dyDescent="0.25">
      <c r="S3340" s="188"/>
    </row>
    <row r="3341" spans="19:19" ht="60" customHeight="1" x14ac:dyDescent="0.25">
      <c r="S3341" s="188"/>
    </row>
    <row r="3342" spans="19:19" ht="60" customHeight="1" x14ac:dyDescent="0.25">
      <c r="S3342" s="188"/>
    </row>
    <row r="3343" spans="19:19" ht="60" customHeight="1" x14ac:dyDescent="0.25">
      <c r="S3343" s="188"/>
    </row>
    <row r="3344" spans="19:19" ht="60" customHeight="1" x14ac:dyDescent="0.25">
      <c r="S3344" s="188"/>
    </row>
    <row r="3345" spans="19:19" ht="60" customHeight="1" x14ac:dyDescent="0.25">
      <c r="S3345" s="188"/>
    </row>
    <row r="3346" spans="19:19" ht="60" customHeight="1" x14ac:dyDescent="0.25">
      <c r="S3346" s="188"/>
    </row>
    <row r="3347" spans="19:19" ht="60" customHeight="1" x14ac:dyDescent="0.25">
      <c r="S3347" s="188"/>
    </row>
    <row r="3348" spans="19:19" ht="60" customHeight="1" x14ac:dyDescent="0.25">
      <c r="S3348" s="188"/>
    </row>
    <row r="3349" spans="19:19" ht="60" customHeight="1" x14ac:dyDescent="0.25">
      <c r="S3349" s="188"/>
    </row>
    <row r="3350" spans="19:19" ht="60" customHeight="1" x14ac:dyDescent="0.25">
      <c r="S3350" s="188"/>
    </row>
    <row r="3351" spans="19:19" ht="60" customHeight="1" x14ac:dyDescent="0.25">
      <c r="S3351" s="188"/>
    </row>
    <row r="3352" spans="19:19" ht="60" customHeight="1" x14ac:dyDescent="0.25">
      <c r="S3352" s="188"/>
    </row>
    <row r="3353" spans="19:19" ht="60" customHeight="1" x14ac:dyDescent="0.25">
      <c r="S3353" s="188"/>
    </row>
    <row r="3354" spans="19:19" ht="60" customHeight="1" x14ac:dyDescent="0.25">
      <c r="S3354" s="188"/>
    </row>
    <row r="3355" spans="19:19" ht="60" customHeight="1" x14ac:dyDescent="0.25">
      <c r="S3355" s="188"/>
    </row>
    <row r="3356" spans="19:19" ht="60" customHeight="1" x14ac:dyDescent="0.25">
      <c r="S3356" s="188"/>
    </row>
    <row r="3357" spans="19:19" ht="60" customHeight="1" x14ac:dyDescent="0.25">
      <c r="S3357" s="188"/>
    </row>
    <row r="3358" spans="19:19" ht="60" customHeight="1" x14ac:dyDescent="0.25">
      <c r="S3358" s="188"/>
    </row>
    <row r="3359" spans="19:19" ht="60" customHeight="1" x14ac:dyDescent="0.25">
      <c r="S3359" s="188"/>
    </row>
    <row r="3360" spans="19:19" ht="60" customHeight="1" x14ac:dyDescent="0.25">
      <c r="S3360" s="188"/>
    </row>
    <row r="3361" spans="19:19" ht="60" customHeight="1" x14ac:dyDescent="0.25">
      <c r="S3361" s="188"/>
    </row>
    <row r="3362" spans="19:19" ht="60" customHeight="1" x14ac:dyDescent="0.25">
      <c r="S3362" s="188"/>
    </row>
    <row r="3363" spans="19:19" ht="60" customHeight="1" x14ac:dyDescent="0.25">
      <c r="S3363" s="188"/>
    </row>
    <row r="3364" spans="19:19" ht="60" customHeight="1" x14ac:dyDescent="0.25">
      <c r="S3364" s="188"/>
    </row>
    <row r="3365" spans="19:19" ht="60" customHeight="1" x14ac:dyDescent="0.25">
      <c r="S3365" s="188"/>
    </row>
    <row r="3366" spans="19:19" ht="60" customHeight="1" x14ac:dyDescent="0.25">
      <c r="S3366" s="188"/>
    </row>
    <row r="3367" spans="19:19" ht="60" customHeight="1" x14ac:dyDescent="0.25">
      <c r="S3367" s="188"/>
    </row>
    <row r="3368" spans="19:19" ht="60" customHeight="1" x14ac:dyDescent="0.25">
      <c r="S3368" s="188"/>
    </row>
    <row r="3369" spans="19:19" ht="60" customHeight="1" x14ac:dyDescent="0.25">
      <c r="S3369" s="188"/>
    </row>
    <row r="3370" spans="19:19" ht="60" customHeight="1" x14ac:dyDescent="0.25">
      <c r="S3370" s="188"/>
    </row>
    <row r="3371" spans="19:19" ht="60" customHeight="1" x14ac:dyDescent="0.25">
      <c r="S3371" s="188"/>
    </row>
    <row r="3372" spans="19:19" ht="60" customHeight="1" x14ac:dyDescent="0.25">
      <c r="S3372" s="188"/>
    </row>
    <row r="3373" spans="19:19" ht="60" customHeight="1" x14ac:dyDescent="0.25">
      <c r="S3373" s="188"/>
    </row>
    <row r="3374" spans="19:19" ht="60" customHeight="1" x14ac:dyDescent="0.25">
      <c r="S3374" s="188"/>
    </row>
    <row r="3375" spans="19:19" ht="60" customHeight="1" x14ac:dyDescent="0.25">
      <c r="S3375" s="188"/>
    </row>
    <row r="3376" spans="19:19" ht="60" customHeight="1" x14ac:dyDescent="0.25">
      <c r="S3376" s="188"/>
    </row>
    <row r="3377" spans="19:19" ht="60" customHeight="1" x14ac:dyDescent="0.25">
      <c r="S3377" s="188"/>
    </row>
    <row r="3378" spans="19:19" ht="60" customHeight="1" x14ac:dyDescent="0.25">
      <c r="S3378" s="188"/>
    </row>
    <row r="3379" spans="19:19" ht="60" customHeight="1" x14ac:dyDescent="0.25">
      <c r="S3379" s="188"/>
    </row>
    <row r="3380" spans="19:19" ht="60" customHeight="1" x14ac:dyDescent="0.25">
      <c r="S3380" s="188"/>
    </row>
    <row r="3381" spans="19:19" ht="60" customHeight="1" x14ac:dyDescent="0.25">
      <c r="S3381" s="188"/>
    </row>
    <row r="3382" spans="19:19" ht="60" customHeight="1" x14ac:dyDescent="0.25">
      <c r="S3382" s="188"/>
    </row>
    <row r="3383" spans="19:19" ht="60" customHeight="1" x14ac:dyDescent="0.25">
      <c r="S3383" s="188"/>
    </row>
    <row r="3384" spans="19:19" ht="60" customHeight="1" x14ac:dyDescent="0.25">
      <c r="S3384" s="188"/>
    </row>
    <row r="3385" spans="19:19" ht="60" customHeight="1" x14ac:dyDescent="0.25">
      <c r="S3385" s="188"/>
    </row>
    <row r="3386" spans="19:19" ht="60" customHeight="1" x14ac:dyDescent="0.25">
      <c r="S3386" s="188"/>
    </row>
    <row r="3387" spans="19:19" ht="60" customHeight="1" x14ac:dyDescent="0.25">
      <c r="S3387" s="188"/>
    </row>
    <row r="3388" spans="19:19" ht="60" customHeight="1" x14ac:dyDescent="0.25">
      <c r="S3388" s="188"/>
    </row>
    <row r="3389" spans="19:19" ht="60" customHeight="1" x14ac:dyDescent="0.25">
      <c r="S3389" s="188"/>
    </row>
    <row r="3390" spans="19:19" ht="60" customHeight="1" x14ac:dyDescent="0.25">
      <c r="S3390" s="188"/>
    </row>
    <row r="3391" spans="19:19" ht="60" customHeight="1" x14ac:dyDescent="0.25">
      <c r="S3391" s="188"/>
    </row>
    <row r="3392" spans="19:19" ht="60" customHeight="1" x14ac:dyDescent="0.25">
      <c r="S3392" s="188"/>
    </row>
    <row r="3393" spans="19:19" ht="60" customHeight="1" x14ac:dyDescent="0.25">
      <c r="S3393" s="188"/>
    </row>
    <row r="3394" spans="19:19" ht="60" customHeight="1" x14ac:dyDescent="0.25">
      <c r="S3394" s="188"/>
    </row>
    <row r="3395" spans="19:19" ht="60" customHeight="1" x14ac:dyDescent="0.25">
      <c r="S3395" s="188"/>
    </row>
    <row r="3396" spans="19:19" ht="60" customHeight="1" x14ac:dyDescent="0.25">
      <c r="S3396" s="188"/>
    </row>
    <row r="3397" spans="19:19" ht="60" customHeight="1" x14ac:dyDescent="0.25">
      <c r="S3397" s="188"/>
    </row>
    <row r="3398" spans="19:19" ht="60" customHeight="1" x14ac:dyDescent="0.25">
      <c r="S3398" s="188"/>
    </row>
    <row r="3399" spans="19:19" ht="60" customHeight="1" x14ac:dyDescent="0.25">
      <c r="S3399" s="188"/>
    </row>
    <row r="3400" spans="19:19" ht="60" customHeight="1" x14ac:dyDescent="0.25">
      <c r="S3400" s="188"/>
    </row>
    <row r="3401" spans="19:19" ht="60" customHeight="1" x14ac:dyDescent="0.25">
      <c r="S3401" s="188"/>
    </row>
    <row r="3402" spans="19:19" ht="60" customHeight="1" x14ac:dyDescent="0.25">
      <c r="S3402" s="188"/>
    </row>
    <row r="3403" spans="19:19" ht="60" customHeight="1" x14ac:dyDescent="0.25">
      <c r="S3403" s="188"/>
    </row>
    <row r="3404" spans="19:19" ht="60" customHeight="1" x14ac:dyDescent="0.25">
      <c r="S3404" s="188"/>
    </row>
    <row r="3405" spans="19:19" ht="60" customHeight="1" x14ac:dyDescent="0.25">
      <c r="S3405" s="188"/>
    </row>
    <row r="3406" spans="19:19" ht="60" customHeight="1" x14ac:dyDescent="0.25">
      <c r="S3406" s="188"/>
    </row>
    <row r="3407" spans="19:19" ht="60" customHeight="1" x14ac:dyDescent="0.25">
      <c r="S3407" s="188"/>
    </row>
    <row r="3408" spans="19:19" ht="60" customHeight="1" x14ac:dyDescent="0.25">
      <c r="S3408" s="188"/>
    </row>
    <row r="3409" spans="19:19" ht="60" customHeight="1" x14ac:dyDescent="0.25">
      <c r="S3409" s="188"/>
    </row>
    <row r="3410" spans="19:19" ht="60" customHeight="1" x14ac:dyDescent="0.25">
      <c r="S3410" s="188"/>
    </row>
    <row r="3411" spans="19:19" ht="60" customHeight="1" x14ac:dyDescent="0.25">
      <c r="S3411" s="188"/>
    </row>
    <row r="3412" spans="19:19" ht="60" customHeight="1" x14ac:dyDescent="0.25">
      <c r="S3412" s="188"/>
    </row>
    <row r="3413" spans="19:19" ht="60" customHeight="1" x14ac:dyDescent="0.25">
      <c r="S3413" s="188"/>
    </row>
    <row r="3414" spans="19:19" ht="60" customHeight="1" x14ac:dyDescent="0.25">
      <c r="S3414" s="188"/>
    </row>
    <row r="3415" spans="19:19" ht="60" customHeight="1" x14ac:dyDescent="0.25">
      <c r="S3415" s="188"/>
    </row>
    <row r="3416" spans="19:19" ht="60" customHeight="1" x14ac:dyDescent="0.25">
      <c r="S3416" s="188"/>
    </row>
    <row r="3417" spans="19:19" ht="60" customHeight="1" x14ac:dyDescent="0.25">
      <c r="S3417" s="188"/>
    </row>
    <row r="3418" spans="19:19" ht="60" customHeight="1" x14ac:dyDescent="0.25">
      <c r="S3418" s="188"/>
    </row>
    <row r="3419" spans="19:19" ht="60" customHeight="1" x14ac:dyDescent="0.25">
      <c r="S3419" s="188"/>
    </row>
    <row r="3420" spans="19:19" ht="60" customHeight="1" x14ac:dyDescent="0.25">
      <c r="S3420" s="188"/>
    </row>
    <row r="3421" spans="19:19" ht="60" customHeight="1" x14ac:dyDescent="0.25">
      <c r="S3421" s="188"/>
    </row>
    <row r="3422" spans="19:19" ht="60" customHeight="1" x14ac:dyDescent="0.25">
      <c r="S3422" s="188"/>
    </row>
    <row r="3423" spans="19:19" ht="60" customHeight="1" x14ac:dyDescent="0.25">
      <c r="S3423" s="188"/>
    </row>
    <row r="3424" spans="19:19" ht="60" customHeight="1" x14ac:dyDescent="0.25">
      <c r="S3424" s="188"/>
    </row>
    <row r="3425" spans="19:19" ht="60" customHeight="1" x14ac:dyDescent="0.25">
      <c r="S3425" s="188"/>
    </row>
    <row r="3426" spans="19:19" ht="60" customHeight="1" x14ac:dyDescent="0.25">
      <c r="S3426" s="188"/>
    </row>
    <row r="3427" spans="19:19" ht="60" customHeight="1" x14ac:dyDescent="0.25">
      <c r="S3427" s="188"/>
    </row>
    <row r="3428" spans="19:19" ht="60" customHeight="1" x14ac:dyDescent="0.25">
      <c r="S3428" s="188"/>
    </row>
    <row r="3429" spans="19:19" ht="60" customHeight="1" x14ac:dyDescent="0.25">
      <c r="S3429" s="188"/>
    </row>
    <row r="3430" spans="19:19" ht="60" customHeight="1" x14ac:dyDescent="0.25">
      <c r="S3430" s="188"/>
    </row>
    <row r="3431" spans="19:19" ht="60" customHeight="1" x14ac:dyDescent="0.25">
      <c r="S3431" s="188"/>
    </row>
    <row r="3432" spans="19:19" ht="60" customHeight="1" x14ac:dyDescent="0.25">
      <c r="S3432" s="188"/>
    </row>
    <row r="3433" spans="19:19" ht="60" customHeight="1" x14ac:dyDescent="0.25">
      <c r="S3433" s="188"/>
    </row>
    <row r="3434" spans="19:19" ht="60" customHeight="1" x14ac:dyDescent="0.25">
      <c r="S3434" s="188"/>
    </row>
    <row r="3435" spans="19:19" ht="60" customHeight="1" x14ac:dyDescent="0.25">
      <c r="S3435" s="188"/>
    </row>
    <row r="3436" spans="19:19" ht="60" customHeight="1" x14ac:dyDescent="0.25">
      <c r="S3436" s="188"/>
    </row>
    <row r="3437" spans="19:19" ht="60" customHeight="1" x14ac:dyDescent="0.25">
      <c r="S3437" s="188"/>
    </row>
    <row r="3438" spans="19:19" ht="60" customHeight="1" x14ac:dyDescent="0.25">
      <c r="S3438" s="188"/>
    </row>
    <row r="3439" spans="19:19" ht="60" customHeight="1" x14ac:dyDescent="0.25">
      <c r="S3439" s="188"/>
    </row>
    <row r="3440" spans="19:19" ht="60" customHeight="1" x14ac:dyDescent="0.25">
      <c r="S3440" s="188"/>
    </row>
    <row r="3441" spans="19:19" ht="60" customHeight="1" x14ac:dyDescent="0.25">
      <c r="S3441" s="188"/>
    </row>
    <row r="3442" spans="19:19" ht="60" customHeight="1" x14ac:dyDescent="0.25">
      <c r="S3442" s="188"/>
    </row>
    <row r="3443" spans="19:19" ht="60" customHeight="1" x14ac:dyDescent="0.25">
      <c r="S3443" s="188"/>
    </row>
    <row r="3444" spans="19:19" ht="60" customHeight="1" x14ac:dyDescent="0.25">
      <c r="S3444" s="188"/>
    </row>
    <row r="3445" spans="19:19" ht="60" customHeight="1" x14ac:dyDescent="0.25">
      <c r="S3445" s="188"/>
    </row>
    <row r="3446" spans="19:19" ht="60" customHeight="1" x14ac:dyDescent="0.25">
      <c r="S3446" s="188"/>
    </row>
    <row r="3447" spans="19:19" ht="60" customHeight="1" x14ac:dyDescent="0.25">
      <c r="S3447" s="188"/>
    </row>
    <row r="3448" spans="19:19" ht="60" customHeight="1" x14ac:dyDescent="0.25">
      <c r="S3448" s="188"/>
    </row>
    <row r="3449" spans="19:19" ht="60" customHeight="1" x14ac:dyDescent="0.25">
      <c r="S3449" s="188"/>
    </row>
    <row r="3450" spans="19:19" ht="60" customHeight="1" x14ac:dyDescent="0.25">
      <c r="S3450" s="188"/>
    </row>
    <row r="3451" spans="19:19" ht="60" customHeight="1" x14ac:dyDescent="0.25">
      <c r="S3451" s="188"/>
    </row>
    <row r="3452" spans="19:19" ht="60" customHeight="1" x14ac:dyDescent="0.25">
      <c r="S3452" s="188"/>
    </row>
    <row r="3453" spans="19:19" ht="60" customHeight="1" x14ac:dyDescent="0.25">
      <c r="S3453" s="188"/>
    </row>
    <row r="3454" spans="19:19" ht="60" customHeight="1" x14ac:dyDescent="0.25">
      <c r="S3454" s="188"/>
    </row>
    <row r="3455" spans="19:19" ht="60" customHeight="1" x14ac:dyDescent="0.25">
      <c r="S3455" s="188"/>
    </row>
    <row r="3456" spans="19:19" ht="60" customHeight="1" x14ac:dyDescent="0.25">
      <c r="S3456" s="188"/>
    </row>
    <row r="3457" spans="19:19" ht="60" customHeight="1" x14ac:dyDescent="0.25">
      <c r="S3457" s="188"/>
    </row>
    <row r="3458" spans="19:19" ht="60" customHeight="1" x14ac:dyDescent="0.25">
      <c r="S3458" s="188"/>
    </row>
    <row r="3459" spans="19:19" ht="60" customHeight="1" x14ac:dyDescent="0.25">
      <c r="S3459" s="188"/>
    </row>
    <row r="3460" spans="19:19" ht="60" customHeight="1" x14ac:dyDescent="0.25">
      <c r="S3460" s="188"/>
    </row>
    <row r="3461" spans="19:19" ht="60" customHeight="1" x14ac:dyDescent="0.25">
      <c r="S3461" s="188"/>
    </row>
    <row r="3462" spans="19:19" ht="60" customHeight="1" x14ac:dyDescent="0.25">
      <c r="S3462" s="188"/>
    </row>
    <row r="3463" spans="19:19" ht="60" customHeight="1" x14ac:dyDescent="0.25">
      <c r="S3463" s="188"/>
    </row>
    <row r="3464" spans="19:19" ht="60" customHeight="1" x14ac:dyDescent="0.25">
      <c r="S3464" s="188"/>
    </row>
    <row r="3465" spans="19:19" ht="60" customHeight="1" x14ac:dyDescent="0.25">
      <c r="S3465" s="188"/>
    </row>
    <row r="3466" spans="19:19" ht="60" customHeight="1" x14ac:dyDescent="0.25">
      <c r="S3466" s="188"/>
    </row>
    <row r="3467" spans="19:19" ht="60" customHeight="1" x14ac:dyDescent="0.25">
      <c r="S3467" s="188"/>
    </row>
    <row r="3468" spans="19:19" ht="60" customHeight="1" x14ac:dyDescent="0.25">
      <c r="S3468" s="188"/>
    </row>
    <row r="3469" spans="19:19" ht="60" customHeight="1" x14ac:dyDescent="0.25">
      <c r="S3469" s="188"/>
    </row>
    <row r="3470" spans="19:19" ht="60" customHeight="1" x14ac:dyDescent="0.25">
      <c r="S3470" s="188"/>
    </row>
    <row r="3471" spans="19:19" ht="60" customHeight="1" x14ac:dyDescent="0.25">
      <c r="S3471" s="188"/>
    </row>
    <row r="3472" spans="19:19" ht="60" customHeight="1" x14ac:dyDescent="0.25">
      <c r="S3472" s="188"/>
    </row>
    <row r="3473" spans="19:19" ht="60" customHeight="1" x14ac:dyDescent="0.25">
      <c r="S3473" s="188"/>
    </row>
    <row r="3474" spans="19:19" ht="60" customHeight="1" x14ac:dyDescent="0.25">
      <c r="S3474" s="188"/>
    </row>
    <row r="3475" spans="19:19" ht="60" customHeight="1" x14ac:dyDescent="0.25">
      <c r="S3475" s="188"/>
    </row>
    <row r="3476" spans="19:19" ht="60" customHeight="1" x14ac:dyDescent="0.25">
      <c r="S3476" s="188"/>
    </row>
    <row r="3477" spans="19:19" ht="60" customHeight="1" x14ac:dyDescent="0.25">
      <c r="S3477" s="188"/>
    </row>
    <row r="3478" spans="19:19" ht="60" customHeight="1" x14ac:dyDescent="0.25">
      <c r="S3478" s="188"/>
    </row>
    <row r="3479" spans="19:19" ht="60" customHeight="1" x14ac:dyDescent="0.25">
      <c r="S3479" s="188"/>
    </row>
    <row r="3480" spans="19:19" ht="60" customHeight="1" x14ac:dyDescent="0.25">
      <c r="S3480" s="188"/>
    </row>
    <row r="3481" spans="19:19" ht="60" customHeight="1" x14ac:dyDescent="0.25">
      <c r="S3481" s="188"/>
    </row>
    <row r="3482" spans="19:19" ht="60" customHeight="1" x14ac:dyDescent="0.25">
      <c r="S3482" s="188"/>
    </row>
    <row r="3483" spans="19:19" ht="60" customHeight="1" x14ac:dyDescent="0.25">
      <c r="S3483" s="188"/>
    </row>
    <row r="3484" spans="19:19" ht="60" customHeight="1" x14ac:dyDescent="0.25">
      <c r="S3484" s="188"/>
    </row>
    <row r="3485" spans="19:19" ht="60" customHeight="1" x14ac:dyDescent="0.25">
      <c r="S3485" s="188"/>
    </row>
    <row r="3486" spans="19:19" ht="60" customHeight="1" x14ac:dyDescent="0.25">
      <c r="S3486" s="188"/>
    </row>
    <row r="3487" spans="19:19" ht="60" customHeight="1" x14ac:dyDescent="0.25">
      <c r="S3487" s="188"/>
    </row>
    <row r="3488" spans="19:19" ht="60" customHeight="1" x14ac:dyDescent="0.25">
      <c r="S3488" s="188"/>
    </row>
    <row r="3489" spans="19:19" ht="60" customHeight="1" x14ac:dyDescent="0.25">
      <c r="S3489" s="188"/>
    </row>
    <row r="3490" spans="19:19" ht="60" customHeight="1" x14ac:dyDescent="0.25">
      <c r="S3490" s="188"/>
    </row>
    <row r="3491" spans="19:19" ht="60" customHeight="1" x14ac:dyDescent="0.25">
      <c r="S3491" s="188"/>
    </row>
    <row r="3492" spans="19:19" ht="60" customHeight="1" x14ac:dyDescent="0.25">
      <c r="S3492" s="188"/>
    </row>
    <row r="3493" spans="19:19" ht="60" customHeight="1" x14ac:dyDescent="0.25">
      <c r="S3493" s="188"/>
    </row>
    <row r="3494" spans="19:19" ht="60" customHeight="1" x14ac:dyDescent="0.25">
      <c r="S3494" s="188"/>
    </row>
    <row r="3495" spans="19:19" ht="60" customHeight="1" x14ac:dyDescent="0.25">
      <c r="S3495" s="188"/>
    </row>
    <row r="3496" spans="19:19" ht="60" customHeight="1" x14ac:dyDescent="0.25">
      <c r="S3496" s="188"/>
    </row>
    <row r="3497" spans="19:19" ht="60" customHeight="1" x14ac:dyDescent="0.25">
      <c r="S3497" s="188"/>
    </row>
    <row r="3498" spans="19:19" ht="60" customHeight="1" x14ac:dyDescent="0.25">
      <c r="S3498" s="188"/>
    </row>
    <row r="3499" spans="19:19" ht="60" customHeight="1" x14ac:dyDescent="0.25">
      <c r="S3499" s="188"/>
    </row>
    <row r="3500" spans="19:19" ht="60" customHeight="1" x14ac:dyDescent="0.25">
      <c r="S3500" s="188"/>
    </row>
    <row r="3501" spans="19:19" ht="60" customHeight="1" x14ac:dyDescent="0.25">
      <c r="S3501" s="188"/>
    </row>
    <row r="3502" spans="19:19" ht="60" customHeight="1" x14ac:dyDescent="0.25">
      <c r="S3502" s="188"/>
    </row>
    <row r="3503" spans="19:19" ht="60" customHeight="1" x14ac:dyDescent="0.25">
      <c r="S3503" s="188"/>
    </row>
    <row r="3504" spans="19:19" ht="60" customHeight="1" x14ac:dyDescent="0.25">
      <c r="S3504" s="188"/>
    </row>
    <row r="3505" spans="19:19" ht="60" customHeight="1" x14ac:dyDescent="0.25">
      <c r="S3505" s="188"/>
    </row>
    <row r="3506" spans="19:19" ht="60" customHeight="1" x14ac:dyDescent="0.25">
      <c r="S3506" s="188"/>
    </row>
    <row r="3507" spans="19:19" ht="60" customHeight="1" x14ac:dyDescent="0.25">
      <c r="S3507" s="188"/>
    </row>
    <row r="3508" spans="19:19" ht="60" customHeight="1" x14ac:dyDescent="0.25">
      <c r="S3508" s="188"/>
    </row>
    <row r="3509" spans="19:19" ht="60" customHeight="1" x14ac:dyDescent="0.25">
      <c r="S3509" s="188"/>
    </row>
    <row r="3510" spans="19:19" ht="60" customHeight="1" x14ac:dyDescent="0.25">
      <c r="S3510" s="188"/>
    </row>
    <row r="3511" spans="19:19" ht="60" customHeight="1" x14ac:dyDescent="0.25">
      <c r="S3511" s="188"/>
    </row>
    <row r="3512" spans="19:19" ht="60" customHeight="1" x14ac:dyDescent="0.25">
      <c r="S3512" s="188"/>
    </row>
    <row r="3513" spans="19:19" ht="60" customHeight="1" x14ac:dyDescent="0.25">
      <c r="S3513" s="188"/>
    </row>
    <row r="3514" spans="19:19" ht="60" customHeight="1" x14ac:dyDescent="0.25">
      <c r="S3514" s="188"/>
    </row>
    <row r="3515" spans="19:19" ht="60" customHeight="1" x14ac:dyDescent="0.25">
      <c r="S3515" s="188"/>
    </row>
    <row r="3516" spans="19:19" ht="60" customHeight="1" x14ac:dyDescent="0.25">
      <c r="S3516" s="188"/>
    </row>
    <row r="3517" spans="19:19" ht="60" customHeight="1" x14ac:dyDescent="0.25">
      <c r="S3517" s="188"/>
    </row>
    <row r="3518" spans="19:19" ht="60" customHeight="1" x14ac:dyDescent="0.25">
      <c r="S3518" s="188"/>
    </row>
    <row r="3519" spans="19:19" ht="60" customHeight="1" x14ac:dyDescent="0.25">
      <c r="S3519" s="188"/>
    </row>
    <row r="3520" spans="19:19" ht="60" customHeight="1" x14ac:dyDescent="0.25">
      <c r="S3520" s="188"/>
    </row>
    <row r="3521" spans="19:19" ht="60" customHeight="1" x14ac:dyDescent="0.25">
      <c r="S3521" s="188"/>
    </row>
    <row r="3522" spans="19:19" ht="60" customHeight="1" x14ac:dyDescent="0.25">
      <c r="S3522" s="188"/>
    </row>
    <row r="3523" spans="19:19" ht="60" customHeight="1" x14ac:dyDescent="0.25">
      <c r="S3523" s="188"/>
    </row>
    <row r="3524" spans="19:19" ht="60" customHeight="1" x14ac:dyDescent="0.25">
      <c r="S3524" s="188"/>
    </row>
    <row r="3525" spans="19:19" ht="60" customHeight="1" x14ac:dyDescent="0.25">
      <c r="S3525" s="188"/>
    </row>
    <row r="3526" spans="19:19" ht="60" customHeight="1" x14ac:dyDescent="0.25">
      <c r="S3526" s="188"/>
    </row>
    <row r="3527" spans="19:19" ht="60" customHeight="1" x14ac:dyDescent="0.25">
      <c r="S3527" s="188"/>
    </row>
    <row r="3528" spans="19:19" ht="60" customHeight="1" x14ac:dyDescent="0.25">
      <c r="S3528" s="188"/>
    </row>
    <row r="3529" spans="19:19" ht="60" customHeight="1" x14ac:dyDescent="0.25">
      <c r="S3529" s="188"/>
    </row>
    <row r="3530" spans="19:19" ht="60" customHeight="1" x14ac:dyDescent="0.25">
      <c r="S3530" s="188"/>
    </row>
    <row r="3531" spans="19:19" ht="60" customHeight="1" x14ac:dyDescent="0.25">
      <c r="S3531" s="188"/>
    </row>
    <row r="3532" spans="19:19" ht="60" customHeight="1" x14ac:dyDescent="0.25">
      <c r="S3532" s="188"/>
    </row>
    <row r="3533" spans="19:19" ht="60" customHeight="1" x14ac:dyDescent="0.25">
      <c r="S3533" s="188"/>
    </row>
    <row r="3534" spans="19:19" ht="60" customHeight="1" x14ac:dyDescent="0.25">
      <c r="S3534" s="188"/>
    </row>
    <row r="3535" spans="19:19" ht="60" customHeight="1" x14ac:dyDescent="0.25">
      <c r="S3535" s="188"/>
    </row>
    <row r="3536" spans="19:19" ht="60" customHeight="1" x14ac:dyDescent="0.25">
      <c r="S3536" s="188"/>
    </row>
    <row r="3537" spans="19:19" ht="60" customHeight="1" x14ac:dyDescent="0.25">
      <c r="S3537" s="188"/>
    </row>
    <row r="3538" spans="19:19" ht="60" customHeight="1" x14ac:dyDescent="0.25">
      <c r="S3538" s="188"/>
    </row>
    <row r="3539" spans="19:19" ht="60" customHeight="1" x14ac:dyDescent="0.25">
      <c r="S3539" s="188"/>
    </row>
    <row r="3540" spans="19:19" ht="60" customHeight="1" x14ac:dyDescent="0.25">
      <c r="S3540" s="188"/>
    </row>
    <row r="3541" spans="19:19" ht="60" customHeight="1" x14ac:dyDescent="0.25">
      <c r="S3541" s="188"/>
    </row>
    <row r="3542" spans="19:19" ht="60" customHeight="1" x14ac:dyDescent="0.25">
      <c r="S3542" s="188"/>
    </row>
    <row r="3543" spans="19:19" ht="60" customHeight="1" x14ac:dyDescent="0.25">
      <c r="S3543" s="188"/>
    </row>
    <row r="3544" spans="19:19" ht="60" customHeight="1" x14ac:dyDescent="0.25">
      <c r="S3544" s="188"/>
    </row>
    <row r="3545" spans="19:19" ht="60" customHeight="1" x14ac:dyDescent="0.25">
      <c r="S3545" s="188"/>
    </row>
    <row r="3546" spans="19:19" ht="60" customHeight="1" x14ac:dyDescent="0.25">
      <c r="S3546" s="188"/>
    </row>
    <row r="3547" spans="19:19" ht="60" customHeight="1" x14ac:dyDescent="0.25">
      <c r="S3547" s="188"/>
    </row>
    <row r="3548" spans="19:19" ht="60" customHeight="1" x14ac:dyDescent="0.25">
      <c r="S3548" s="188"/>
    </row>
    <row r="3549" spans="19:19" ht="60" customHeight="1" x14ac:dyDescent="0.25">
      <c r="S3549" s="188"/>
    </row>
    <row r="3550" spans="19:19" ht="60" customHeight="1" x14ac:dyDescent="0.25">
      <c r="S3550" s="188"/>
    </row>
    <row r="3551" spans="19:19" ht="60" customHeight="1" x14ac:dyDescent="0.25">
      <c r="S3551" s="188"/>
    </row>
    <row r="3552" spans="19:19" ht="60" customHeight="1" x14ac:dyDescent="0.25">
      <c r="S3552" s="188"/>
    </row>
    <row r="3553" spans="19:19" ht="60" customHeight="1" x14ac:dyDescent="0.25">
      <c r="S3553" s="188"/>
    </row>
    <row r="3554" spans="19:19" ht="60" customHeight="1" x14ac:dyDescent="0.25">
      <c r="S3554" s="188"/>
    </row>
    <row r="3555" spans="19:19" ht="60" customHeight="1" x14ac:dyDescent="0.25">
      <c r="S3555" s="188"/>
    </row>
    <row r="3556" spans="19:19" ht="60" customHeight="1" x14ac:dyDescent="0.25">
      <c r="S3556" s="188"/>
    </row>
    <row r="3557" spans="19:19" ht="60" customHeight="1" x14ac:dyDescent="0.25">
      <c r="S3557" s="188"/>
    </row>
    <row r="3558" spans="19:19" ht="60" customHeight="1" x14ac:dyDescent="0.25">
      <c r="S3558" s="188"/>
    </row>
    <row r="3559" spans="19:19" ht="60" customHeight="1" x14ac:dyDescent="0.25">
      <c r="S3559" s="188"/>
    </row>
    <row r="3560" spans="19:19" ht="60" customHeight="1" x14ac:dyDescent="0.25">
      <c r="S3560" s="188"/>
    </row>
    <row r="3561" spans="19:19" ht="60" customHeight="1" x14ac:dyDescent="0.25">
      <c r="S3561" s="188"/>
    </row>
    <row r="3562" spans="19:19" ht="60" customHeight="1" x14ac:dyDescent="0.25">
      <c r="S3562" s="188"/>
    </row>
    <row r="3563" spans="19:19" ht="60" customHeight="1" x14ac:dyDescent="0.25">
      <c r="S3563" s="188"/>
    </row>
    <row r="3564" spans="19:19" ht="60" customHeight="1" x14ac:dyDescent="0.25">
      <c r="S3564" s="188"/>
    </row>
    <row r="3565" spans="19:19" ht="60" customHeight="1" x14ac:dyDescent="0.25">
      <c r="S3565" s="188"/>
    </row>
    <row r="3566" spans="19:19" ht="60" customHeight="1" x14ac:dyDescent="0.25">
      <c r="S3566" s="188"/>
    </row>
    <row r="3567" spans="19:19" ht="60" customHeight="1" x14ac:dyDescent="0.25">
      <c r="S3567" s="188"/>
    </row>
    <row r="3568" spans="19:19" ht="60" customHeight="1" x14ac:dyDescent="0.25">
      <c r="S3568" s="188"/>
    </row>
    <row r="3569" spans="19:19" ht="60" customHeight="1" x14ac:dyDescent="0.25">
      <c r="S3569" s="188"/>
    </row>
    <row r="3570" spans="19:19" ht="60" customHeight="1" x14ac:dyDescent="0.25">
      <c r="S3570" s="188"/>
    </row>
    <row r="3571" spans="19:19" ht="60" customHeight="1" x14ac:dyDescent="0.25">
      <c r="S3571" s="188"/>
    </row>
    <row r="3572" spans="19:19" ht="60" customHeight="1" x14ac:dyDescent="0.25">
      <c r="S3572" s="188"/>
    </row>
    <row r="3573" spans="19:19" ht="60" customHeight="1" x14ac:dyDescent="0.25">
      <c r="S3573" s="188"/>
    </row>
    <row r="3574" spans="19:19" ht="60" customHeight="1" x14ac:dyDescent="0.25">
      <c r="S3574" s="188"/>
    </row>
    <row r="3575" spans="19:19" ht="60" customHeight="1" x14ac:dyDescent="0.25">
      <c r="S3575" s="188"/>
    </row>
    <row r="3576" spans="19:19" ht="60" customHeight="1" x14ac:dyDescent="0.25">
      <c r="S3576" s="188"/>
    </row>
    <row r="3577" spans="19:19" ht="60" customHeight="1" x14ac:dyDescent="0.25">
      <c r="S3577" s="188"/>
    </row>
    <row r="3578" spans="19:19" ht="60" customHeight="1" x14ac:dyDescent="0.25">
      <c r="S3578" s="188"/>
    </row>
    <row r="3579" spans="19:19" ht="60" customHeight="1" x14ac:dyDescent="0.25">
      <c r="S3579" s="188"/>
    </row>
    <row r="3580" spans="19:19" ht="60" customHeight="1" x14ac:dyDescent="0.25">
      <c r="S3580" s="188"/>
    </row>
    <row r="3581" spans="19:19" ht="60" customHeight="1" x14ac:dyDescent="0.25">
      <c r="S3581" s="188"/>
    </row>
    <row r="3582" spans="19:19" ht="60" customHeight="1" x14ac:dyDescent="0.25">
      <c r="S3582" s="188"/>
    </row>
    <row r="3583" spans="19:19" ht="60" customHeight="1" x14ac:dyDescent="0.25">
      <c r="S3583" s="188"/>
    </row>
    <row r="3584" spans="19:19" ht="60" customHeight="1" x14ac:dyDescent="0.25">
      <c r="S3584" s="188"/>
    </row>
    <row r="3585" spans="19:19" ht="60" customHeight="1" x14ac:dyDescent="0.25">
      <c r="S3585" s="188"/>
    </row>
    <row r="3586" spans="19:19" ht="60" customHeight="1" x14ac:dyDescent="0.25">
      <c r="S3586" s="188"/>
    </row>
    <row r="3587" spans="19:19" ht="60" customHeight="1" x14ac:dyDescent="0.25">
      <c r="S3587" s="188"/>
    </row>
    <row r="3588" spans="19:19" ht="60" customHeight="1" x14ac:dyDescent="0.25">
      <c r="S3588" s="188"/>
    </row>
    <row r="3589" spans="19:19" ht="60" customHeight="1" x14ac:dyDescent="0.25">
      <c r="S3589" s="188"/>
    </row>
    <row r="3590" spans="19:19" ht="60" customHeight="1" x14ac:dyDescent="0.25">
      <c r="S3590" s="188"/>
    </row>
    <row r="3591" spans="19:19" ht="60" customHeight="1" x14ac:dyDescent="0.25">
      <c r="S3591" s="188"/>
    </row>
    <row r="3592" spans="19:19" ht="60" customHeight="1" x14ac:dyDescent="0.25">
      <c r="S3592" s="188"/>
    </row>
    <row r="3593" spans="19:19" ht="60" customHeight="1" x14ac:dyDescent="0.25">
      <c r="S3593" s="188"/>
    </row>
    <row r="3594" spans="19:19" ht="60" customHeight="1" x14ac:dyDescent="0.25">
      <c r="S3594" s="188"/>
    </row>
    <row r="3595" spans="19:19" ht="60" customHeight="1" x14ac:dyDescent="0.25">
      <c r="S3595" s="188"/>
    </row>
    <row r="3596" spans="19:19" ht="60" customHeight="1" x14ac:dyDescent="0.25">
      <c r="S3596" s="188"/>
    </row>
    <row r="3597" spans="19:19" ht="60" customHeight="1" x14ac:dyDescent="0.25">
      <c r="S3597" s="188"/>
    </row>
    <row r="3598" spans="19:19" ht="60" customHeight="1" x14ac:dyDescent="0.25">
      <c r="S3598" s="188"/>
    </row>
    <row r="3599" spans="19:19" ht="60" customHeight="1" x14ac:dyDescent="0.25">
      <c r="S3599" s="188"/>
    </row>
    <row r="3600" spans="19:19" ht="60" customHeight="1" x14ac:dyDescent="0.25">
      <c r="S3600" s="188"/>
    </row>
    <row r="3601" spans="19:19" ht="60" customHeight="1" x14ac:dyDescent="0.25">
      <c r="S3601" s="188"/>
    </row>
    <row r="3602" spans="19:19" ht="60" customHeight="1" x14ac:dyDescent="0.25">
      <c r="S3602" s="188"/>
    </row>
    <row r="3603" spans="19:19" ht="60" customHeight="1" x14ac:dyDescent="0.25">
      <c r="S3603" s="188"/>
    </row>
    <row r="3604" spans="19:19" ht="60" customHeight="1" x14ac:dyDescent="0.25">
      <c r="S3604" s="188"/>
    </row>
    <row r="3605" spans="19:19" ht="60" customHeight="1" x14ac:dyDescent="0.25">
      <c r="S3605" s="188"/>
    </row>
    <row r="3606" spans="19:19" ht="60" customHeight="1" x14ac:dyDescent="0.25">
      <c r="S3606" s="188"/>
    </row>
    <row r="3607" spans="19:19" ht="60" customHeight="1" x14ac:dyDescent="0.25">
      <c r="S3607" s="188"/>
    </row>
    <row r="3608" spans="19:19" ht="60" customHeight="1" x14ac:dyDescent="0.25">
      <c r="S3608" s="188"/>
    </row>
    <row r="3609" spans="19:19" ht="60" customHeight="1" x14ac:dyDescent="0.25">
      <c r="S3609" s="188"/>
    </row>
    <row r="3610" spans="19:19" ht="60" customHeight="1" x14ac:dyDescent="0.25">
      <c r="S3610" s="188"/>
    </row>
    <row r="3611" spans="19:19" ht="60" customHeight="1" x14ac:dyDescent="0.25">
      <c r="S3611" s="188"/>
    </row>
    <row r="3612" spans="19:19" ht="60" customHeight="1" x14ac:dyDescent="0.25">
      <c r="S3612" s="188"/>
    </row>
    <row r="3613" spans="19:19" ht="60" customHeight="1" x14ac:dyDescent="0.25">
      <c r="S3613" s="188"/>
    </row>
    <row r="3614" spans="19:19" ht="60" customHeight="1" x14ac:dyDescent="0.25">
      <c r="S3614" s="188"/>
    </row>
    <row r="3615" spans="19:19" ht="60" customHeight="1" x14ac:dyDescent="0.25">
      <c r="S3615" s="188"/>
    </row>
    <row r="3616" spans="19:19" ht="60" customHeight="1" x14ac:dyDescent="0.25">
      <c r="S3616" s="188"/>
    </row>
    <row r="3617" spans="19:19" ht="60" customHeight="1" x14ac:dyDescent="0.25">
      <c r="S3617" s="188"/>
    </row>
    <row r="3618" spans="19:19" ht="60" customHeight="1" x14ac:dyDescent="0.25">
      <c r="S3618" s="188"/>
    </row>
    <row r="3619" spans="19:19" ht="60" customHeight="1" x14ac:dyDescent="0.25">
      <c r="S3619" s="188"/>
    </row>
    <row r="3620" spans="19:19" ht="60" customHeight="1" x14ac:dyDescent="0.25">
      <c r="S3620" s="188"/>
    </row>
    <row r="3621" spans="19:19" ht="60" customHeight="1" x14ac:dyDescent="0.25">
      <c r="S3621" s="188"/>
    </row>
    <row r="3622" spans="19:19" ht="60" customHeight="1" x14ac:dyDescent="0.25">
      <c r="S3622" s="188"/>
    </row>
    <row r="3623" spans="19:19" ht="60" customHeight="1" x14ac:dyDescent="0.25">
      <c r="S3623" s="188"/>
    </row>
    <row r="3624" spans="19:19" ht="60" customHeight="1" x14ac:dyDescent="0.25">
      <c r="S3624" s="188"/>
    </row>
    <row r="3625" spans="19:19" ht="60" customHeight="1" x14ac:dyDescent="0.25">
      <c r="S3625" s="188"/>
    </row>
    <row r="3626" spans="19:19" ht="60" customHeight="1" x14ac:dyDescent="0.25">
      <c r="S3626" s="188"/>
    </row>
    <row r="3627" spans="19:19" ht="60" customHeight="1" x14ac:dyDescent="0.25">
      <c r="S3627" s="188"/>
    </row>
    <row r="3628" spans="19:19" ht="60" customHeight="1" x14ac:dyDescent="0.25">
      <c r="S3628" s="188"/>
    </row>
    <row r="3629" spans="19:19" ht="60" customHeight="1" x14ac:dyDescent="0.25">
      <c r="S3629" s="188"/>
    </row>
    <row r="3630" spans="19:19" ht="60" customHeight="1" x14ac:dyDescent="0.25">
      <c r="S3630" s="188"/>
    </row>
    <row r="3631" spans="19:19" ht="60" customHeight="1" x14ac:dyDescent="0.25">
      <c r="S3631" s="188"/>
    </row>
    <row r="3632" spans="19:19" ht="60" customHeight="1" x14ac:dyDescent="0.25">
      <c r="S3632" s="188"/>
    </row>
    <row r="3633" spans="19:19" ht="60" customHeight="1" x14ac:dyDescent="0.25">
      <c r="S3633" s="188"/>
    </row>
    <row r="3634" spans="19:19" ht="60" customHeight="1" x14ac:dyDescent="0.25">
      <c r="S3634" s="188"/>
    </row>
    <row r="3635" spans="19:19" ht="60" customHeight="1" x14ac:dyDescent="0.25">
      <c r="S3635" s="188"/>
    </row>
    <row r="3636" spans="19:19" ht="60" customHeight="1" x14ac:dyDescent="0.25">
      <c r="S3636" s="188"/>
    </row>
    <row r="3637" spans="19:19" ht="60" customHeight="1" x14ac:dyDescent="0.25">
      <c r="S3637" s="188"/>
    </row>
    <row r="3638" spans="19:19" ht="60" customHeight="1" x14ac:dyDescent="0.25">
      <c r="S3638" s="188"/>
    </row>
    <row r="3639" spans="19:19" ht="60" customHeight="1" x14ac:dyDescent="0.25">
      <c r="S3639" s="188"/>
    </row>
    <row r="3640" spans="19:19" ht="60" customHeight="1" x14ac:dyDescent="0.25">
      <c r="S3640" s="188"/>
    </row>
    <row r="3641" spans="19:19" ht="60" customHeight="1" x14ac:dyDescent="0.25">
      <c r="S3641" s="188"/>
    </row>
    <row r="3642" spans="19:19" ht="60" customHeight="1" x14ac:dyDescent="0.25">
      <c r="S3642" s="188"/>
    </row>
    <row r="3643" spans="19:19" ht="60" customHeight="1" x14ac:dyDescent="0.25">
      <c r="S3643" s="188"/>
    </row>
    <row r="3644" spans="19:19" ht="60" customHeight="1" x14ac:dyDescent="0.25">
      <c r="S3644" s="188"/>
    </row>
    <row r="3645" spans="19:19" ht="60" customHeight="1" x14ac:dyDescent="0.25">
      <c r="S3645" s="188"/>
    </row>
    <row r="3646" spans="19:19" ht="60" customHeight="1" x14ac:dyDescent="0.25">
      <c r="S3646" s="188"/>
    </row>
    <row r="3647" spans="19:19" ht="60" customHeight="1" x14ac:dyDescent="0.25">
      <c r="S3647" s="188"/>
    </row>
    <row r="3648" spans="19:19" ht="60" customHeight="1" x14ac:dyDescent="0.25">
      <c r="S3648" s="188"/>
    </row>
    <row r="3649" spans="19:19" ht="60" customHeight="1" x14ac:dyDescent="0.25">
      <c r="S3649" s="188"/>
    </row>
    <row r="3650" spans="19:19" ht="60" customHeight="1" x14ac:dyDescent="0.25">
      <c r="S3650" s="188"/>
    </row>
    <row r="3651" spans="19:19" ht="60" customHeight="1" x14ac:dyDescent="0.25">
      <c r="S3651" s="188"/>
    </row>
    <row r="3652" spans="19:19" ht="60" customHeight="1" x14ac:dyDescent="0.25">
      <c r="S3652" s="188"/>
    </row>
    <row r="3653" spans="19:19" ht="60" customHeight="1" x14ac:dyDescent="0.25">
      <c r="S3653" s="188"/>
    </row>
    <row r="3654" spans="19:19" ht="60" customHeight="1" x14ac:dyDescent="0.25">
      <c r="S3654" s="188"/>
    </row>
    <row r="3655" spans="19:19" ht="60" customHeight="1" x14ac:dyDescent="0.25">
      <c r="S3655" s="188"/>
    </row>
    <row r="3656" spans="19:19" ht="60" customHeight="1" x14ac:dyDescent="0.25">
      <c r="S3656" s="188"/>
    </row>
    <row r="3657" spans="19:19" ht="60" customHeight="1" x14ac:dyDescent="0.25">
      <c r="S3657" s="188"/>
    </row>
    <row r="3658" spans="19:19" ht="60" customHeight="1" x14ac:dyDescent="0.25">
      <c r="S3658" s="188"/>
    </row>
    <row r="3659" spans="19:19" ht="60" customHeight="1" x14ac:dyDescent="0.25">
      <c r="S3659" s="188"/>
    </row>
    <row r="3660" spans="19:19" ht="60" customHeight="1" x14ac:dyDescent="0.25">
      <c r="S3660" s="188"/>
    </row>
    <row r="3661" spans="19:19" ht="60" customHeight="1" x14ac:dyDescent="0.25">
      <c r="S3661" s="188"/>
    </row>
    <row r="3662" spans="19:19" ht="60" customHeight="1" x14ac:dyDescent="0.25">
      <c r="S3662" s="188"/>
    </row>
    <row r="3663" spans="19:19" ht="60" customHeight="1" x14ac:dyDescent="0.25">
      <c r="S3663" s="188"/>
    </row>
    <row r="3664" spans="19:19" ht="60" customHeight="1" x14ac:dyDescent="0.25">
      <c r="S3664" s="188"/>
    </row>
    <row r="3665" spans="19:19" ht="60" customHeight="1" x14ac:dyDescent="0.25">
      <c r="S3665" s="188"/>
    </row>
    <row r="3666" spans="19:19" ht="60" customHeight="1" x14ac:dyDescent="0.25">
      <c r="S3666" s="188"/>
    </row>
    <row r="3667" spans="19:19" ht="60" customHeight="1" x14ac:dyDescent="0.25">
      <c r="S3667" s="188"/>
    </row>
    <row r="3668" spans="19:19" ht="60" customHeight="1" x14ac:dyDescent="0.25">
      <c r="S3668" s="188"/>
    </row>
    <row r="3669" spans="19:19" ht="60" customHeight="1" x14ac:dyDescent="0.25">
      <c r="S3669" s="188"/>
    </row>
    <row r="3670" spans="19:19" ht="60" customHeight="1" x14ac:dyDescent="0.25">
      <c r="S3670" s="188"/>
    </row>
    <row r="3671" spans="19:19" ht="60" customHeight="1" x14ac:dyDescent="0.25">
      <c r="S3671" s="188"/>
    </row>
    <row r="3672" spans="19:19" ht="60" customHeight="1" x14ac:dyDescent="0.25">
      <c r="S3672" s="188"/>
    </row>
    <row r="3673" spans="19:19" ht="60" customHeight="1" x14ac:dyDescent="0.25">
      <c r="S3673" s="188"/>
    </row>
    <row r="3674" spans="19:19" ht="60" customHeight="1" x14ac:dyDescent="0.25">
      <c r="S3674" s="188"/>
    </row>
    <row r="3675" spans="19:19" ht="60" customHeight="1" x14ac:dyDescent="0.25">
      <c r="S3675" s="188"/>
    </row>
    <row r="3676" spans="19:19" ht="60" customHeight="1" x14ac:dyDescent="0.25">
      <c r="S3676" s="188"/>
    </row>
    <row r="3677" spans="19:19" ht="60" customHeight="1" x14ac:dyDescent="0.25">
      <c r="S3677" s="188"/>
    </row>
    <row r="3678" spans="19:19" ht="60" customHeight="1" x14ac:dyDescent="0.25">
      <c r="S3678" s="188"/>
    </row>
    <row r="3679" spans="19:19" ht="60" customHeight="1" x14ac:dyDescent="0.25">
      <c r="S3679" s="188"/>
    </row>
    <row r="3680" spans="19:19" ht="60" customHeight="1" x14ac:dyDescent="0.25">
      <c r="S3680" s="188"/>
    </row>
    <row r="3681" spans="19:19" ht="60" customHeight="1" x14ac:dyDescent="0.25">
      <c r="S3681" s="188"/>
    </row>
    <row r="3682" spans="19:19" ht="60" customHeight="1" x14ac:dyDescent="0.25">
      <c r="S3682" s="188"/>
    </row>
    <row r="3683" spans="19:19" ht="60" customHeight="1" x14ac:dyDescent="0.25">
      <c r="S3683" s="188"/>
    </row>
    <row r="3684" spans="19:19" ht="60" customHeight="1" x14ac:dyDescent="0.25">
      <c r="S3684" s="188"/>
    </row>
    <row r="3685" spans="19:19" ht="60" customHeight="1" x14ac:dyDescent="0.25">
      <c r="S3685" s="188"/>
    </row>
    <row r="3686" spans="19:19" ht="60" customHeight="1" x14ac:dyDescent="0.25">
      <c r="S3686" s="188"/>
    </row>
    <row r="3687" spans="19:19" ht="60" customHeight="1" x14ac:dyDescent="0.25">
      <c r="S3687" s="188"/>
    </row>
    <row r="3688" spans="19:19" ht="60" customHeight="1" x14ac:dyDescent="0.25">
      <c r="S3688" s="188"/>
    </row>
    <row r="3689" spans="19:19" ht="60" customHeight="1" x14ac:dyDescent="0.25">
      <c r="S3689" s="188"/>
    </row>
    <row r="3690" spans="19:19" ht="60" customHeight="1" x14ac:dyDescent="0.25">
      <c r="S3690" s="188"/>
    </row>
    <row r="3691" spans="19:19" ht="60" customHeight="1" x14ac:dyDescent="0.25">
      <c r="S3691" s="188"/>
    </row>
    <row r="3692" spans="19:19" ht="60" customHeight="1" x14ac:dyDescent="0.25">
      <c r="S3692" s="188"/>
    </row>
    <row r="3693" spans="19:19" ht="60" customHeight="1" x14ac:dyDescent="0.25">
      <c r="S3693" s="188"/>
    </row>
    <row r="3694" spans="19:19" ht="60" customHeight="1" x14ac:dyDescent="0.25">
      <c r="S3694" s="188"/>
    </row>
    <row r="3695" spans="19:19" ht="60" customHeight="1" x14ac:dyDescent="0.25">
      <c r="S3695" s="188"/>
    </row>
    <row r="3696" spans="19:19" ht="60" customHeight="1" x14ac:dyDescent="0.25">
      <c r="S3696" s="188"/>
    </row>
    <row r="3697" spans="19:19" ht="60" customHeight="1" x14ac:dyDescent="0.25">
      <c r="S3697" s="188"/>
    </row>
    <row r="3698" spans="19:19" ht="60" customHeight="1" x14ac:dyDescent="0.25">
      <c r="S3698" s="188"/>
    </row>
    <row r="3699" spans="19:19" ht="60" customHeight="1" x14ac:dyDescent="0.25">
      <c r="S3699" s="188"/>
    </row>
    <row r="3700" spans="19:19" ht="60" customHeight="1" x14ac:dyDescent="0.25">
      <c r="S3700" s="188"/>
    </row>
    <row r="3701" spans="19:19" ht="60" customHeight="1" x14ac:dyDescent="0.25">
      <c r="S3701" s="188"/>
    </row>
    <row r="3702" spans="19:19" ht="60" customHeight="1" x14ac:dyDescent="0.25">
      <c r="S3702" s="188"/>
    </row>
    <row r="3703" spans="19:19" ht="60" customHeight="1" x14ac:dyDescent="0.25">
      <c r="S3703" s="188"/>
    </row>
    <row r="3704" spans="19:19" ht="60" customHeight="1" x14ac:dyDescent="0.25">
      <c r="S3704" s="188"/>
    </row>
    <row r="3705" spans="19:19" ht="60" customHeight="1" x14ac:dyDescent="0.25">
      <c r="S3705" s="188"/>
    </row>
    <row r="3706" spans="19:19" ht="60" customHeight="1" x14ac:dyDescent="0.25">
      <c r="S3706" s="188"/>
    </row>
    <row r="3707" spans="19:19" ht="60" customHeight="1" x14ac:dyDescent="0.25">
      <c r="S3707" s="188"/>
    </row>
    <row r="3708" spans="19:19" ht="60" customHeight="1" x14ac:dyDescent="0.25">
      <c r="S3708" s="188"/>
    </row>
    <row r="3709" spans="19:19" ht="60" customHeight="1" x14ac:dyDescent="0.25">
      <c r="S3709" s="188"/>
    </row>
    <row r="3710" spans="19:19" ht="60" customHeight="1" x14ac:dyDescent="0.25">
      <c r="S3710" s="188"/>
    </row>
    <row r="3711" spans="19:19" ht="60" customHeight="1" x14ac:dyDescent="0.25">
      <c r="S3711" s="188"/>
    </row>
    <row r="3712" spans="19:19" ht="60" customHeight="1" x14ac:dyDescent="0.25">
      <c r="S3712" s="188"/>
    </row>
    <row r="3713" spans="19:19" ht="60" customHeight="1" x14ac:dyDescent="0.25">
      <c r="S3713" s="188"/>
    </row>
    <row r="3714" spans="19:19" ht="60" customHeight="1" x14ac:dyDescent="0.25">
      <c r="S3714" s="188"/>
    </row>
    <row r="3715" spans="19:19" ht="60" customHeight="1" x14ac:dyDescent="0.25">
      <c r="S3715" s="188"/>
    </row>
    <row r="3716" spans="19:19" ht="60" customHeight="1" x14ac:dyDescent="0.25">
      <c r="S3716" s="188"/>
    </row>
    <row r="3717" spans="19:19" ht="60" customHeight="1" x14ac:dyDescent="0.25">
      <c r="S3717" s="188"/>
    </row>
    <row r="3718" spans="19:19" ht="60" customHeight="1" x14ac:dyDescent="0.25">
      <c r="S3718" s="188"/>
    </row>
    <row r="3719" spans="19:19" ht="60" customHeight="1" x14ac:dyDescent="0.25">
      <c r="S3719" s="188"/>
    </row>
    <row r="3720" spans="19:19" ht="60" customHeight="1" x14ac:dyDescent="0.25">
      <c r="S3720" s="188"/>
    </row>
    <row r="3721" spans="19:19" ht="60" customHeight="1" x14ac:dyDescent="0.25">
      <c r="S3721" s="188"/>
    </row>
    <row r="3722" spans="19:19" ht="60" customHeight="1" x14ac:dyDescent="0.25">
      <c r="S3722" s="188"/>
    </row>
    <row r="3723" spans="19:19" ht="60" customHeight="1" x14ac:dyDescent="0.25">
      <c r="S3723" s="188"/>
    </row>
    <row r="3724" spans="19:19" ht="60" customHeight="1" x14ac:dyDescent="0.25">
      <c r="S3724" s="188"/>
    </row>
    <row r="3725" spans="19:19" ht="60" customHeight="1" x14ac:dyDescent="0.25">
      <c r="S3725" s="188"/>
    </row>
    <row r="3726" spans="19:19" ht="60" customHeight="1" x14ac:dyDescent="0.25">
      <c r="S3726" s="188"/>
    </row>
    <row r="3727" spans="19:19" ht="60" customHeight="1" x14ac:dyDescent="0.25">
      <c r="S3727" s="188"/>
    </row>
    <row r="3728" spans="19:19" ht="60" customHeight="1" x14ac:dyDescent="0.25">
      <c r="S3728" s="188"/>
    </row>
    <row r="3729" spans="19:19" ht="60" customHeight="1" x14ac:dyDescent="0.25">
      <c r="S3729" s="188"/>
    </row>
    <row r="3730" spans="19:19" ht="60" customHeight="1" x14ac:dyDescent="0.25">
      <c r="S3730" s="188"/>
    </row>
    <row r="3731" spans="19:19" ht="60" customHeight="1" x14ac:dyDescent="0.25">
      <c r="S3731" s="188"/>
    </row>
    <row r="3732" spans="19:19" ht="60" customHeight="1" x14ac:dyDescent="0.25">
      <c r="S3732" s="188"/>
    </row>
    <row r="3733" spans="19:19" ht="60" customHeight="1" x14ac:dyDescent="0.25">
      <c r="S3733" s="188"/>
    </row>
    <row r="3734" spans="19:19" ht="60" customHeight="1" x14ac:dyDescent="0.25">
      <c r="S3734" s="188"/>
    </row>
    <row r="3735" spans="19:19" ht="60" customHeight="1" x14ac:dyDescent="0.25">
      <c r="S3735" s="188"/>
    </row>
    <row r="3736" spans="19:19" ht="60" customHeight="1" x14ac:dyDescent="0.25">
      <c r="S3736" s="188"/>
    </row>
    <row r="3737" spans="19:19" ht="60" customHeight="1" x14ac:dyDescent="0.25">
      <c r="S3737" s="188"/>
    </row>
    <row r="3738" spans="19:19" ht="60" customHeight="1" x14ac:dyDescent="0.25">
      <c r="S3738" s="188"/>
    </row>
    <row r="3739" spans="19:19" ht="60" customHeight="1" x14ac:dyDescent="0.25">
      <c r="S3739" s="188"/>
    </row>
    <row r="3740" spans="19:19" ht="60" customHeight="1" x14ac:dyDescent="0.25">
      <c r="S3740" s="188"/>
    </row>
    <row r="3741" spans="19:19" ht="60" customHeight="1" x14ac:dyDescent="0.25">
      <c r="S3741" s="188"/>
    </row>
    <row r="3742" spans="19:19" ht="60" customHeight="1" x14ac:dyDescent="0.25">
      <c r="S3742" s="188"/>
    </row>
    <row r="3743" spans="19:19" ht="60" customHeight="1" x14ac:dyDescent="0.25">
      <c r="S3743" s="188"/>
    </row>
    <row r="3744" spans="19:19" ht="60" customHeight="1" x14ac:dyDescent="0.25">
      <c r="S3744" s="188"/>
    </row>
    <row r="3745" spans="19:19" ht="60" customHeight="1" x14ac:dyDescent="0.25">
      <c r="S3745" s="188"/>
    </row>
    <row r="3746" spans="19:19" ht="60" customHeight="1" x14ac:dyDescent="0.25">
      <c r="S3746" s="188"/>
    </row>
    <row r="3747" spans="19:19" ht="60" customHeight="1" x14ac:dyDescent="0.25">
      <c r="S3747" s="188"/>
    </row>
    <row r="3748" spans="19:19" ht="60" customHeight="1" x14ac:dyDescent="0.25">
      <c r="S3748" s="188"/>
    </row>
    <row r="3749" spans="19:19" ht="60" customHeight="1" x14ac:dyDescent="0.25">
      <c r="S3749" s="188"/>
    </row>
    <row r="3750" spans="19:19" ht="60" customHeight="1" x14ac:dyDescent="0.25">
      <c r="S3750" s="188"/>
    </row>
    <row r="3751" spans="19:19" ht="60" customHeight="1" x14ac:dyDescent="0.25">
      <c r="S3751" s="188"/>
    </row>
    <row r="3752" spans="19:19" ht="60" customHeight="1" x14ac:dyDescent="0.25">
      <c r="S3752" s="188"/>
    </row>
    <row r="3753" spans="19:19" ht="60" customHeight="1" x14ac:dyDescent="0.25">
      <c r="S3753" s="188"/>
    </row>
    <row r="3754" spans="19:19" ht="60" customHeight="1" x14ac:dyDescent="0.25">
      <c r="S3754" s="188"/>
    </row>
    <row r="3755" spans="19:19" ht="60" customHeight="1" x14ac:dyDescent="0.25">
      <c r="S3755" s="188"/>
    </row>
    <row r="3756" spans="19:19" ht="60" customHeight="1" x14ac:dyDescent="0.25">
      <c r="S3756" s="188"/>
    </row>
    <row r="3757" spans="19:19" ht="60" customHeight="1" x14ac:dyDescent="0.25">
      <c r="S3757" s="188"/>
    </row>
    <row r="3758" spans="19:19" ht="60" customHeight="1" x14ac:dyDescent="0.25">
      <c r="S3758" s="188"/>
    </row>
    <row r="3759" spans="19:19" ht="60" customHeight="1" x14ac:dyDescent="0.25">
      <c r="S3759" s="188"/>
    </row>
    <row r="3760" spans="19:19" ht="60" customHeight="1" x14ac:dyDescent="0.25">
      <c r="S3760" s="188"/>
    </row>
    <row r="3761" spans="19:19" ht="60" customHeight="1" x14ac:dyDescent="0.25">
      <c r="S3761" s="188"/>
    </row>
    <row r="3762" spans="19:19" ht="60" customHeight="1" x14ac:dyDescent="0.25">
      <c r="S3762" s="188"/>
    </row>
    <row r="3763" spans="19:19" ht="60" customHeight="1" x14ac:dyDescent="0.25">
      <c r="S3763" s="188"/>
    </row>
    <row r="3764" spans="19:19" ht="60" customHeight="1" x14ac:dyDescent="0.25">
      <c r="S3764" s="188"/>
    </row>
    <row r="3765" spans="19:19" ht="60" customHeight="1" x14ac:dyDescent="0.25">
      <c r="S3765" s="188"/>
    </row>
    <row r="3766" spans="19:19" ht="60" customHeight="1" x14ac:dyDescent="0.25">
      <c r="S3766" s="188"/>
    </row>
    <row r="3767" spans="19:19" ht="60" customHeight="1" x14ac:dyDescent="0.25">
      <c r="S3767" s="188"/>
    </row>
    <row r="3768" spans="19:19" ht="60" customHeight="1" x14ac:dyDescent="0.25">
      <c r="S3768" s="188"/>
    </row>
    <row r="3769" spans="19:19" ht="60" customHeight="1" x14ac:dyDescent="0.25">
      <c r="S3769" s="188"/>
    </row>
    <row r="3770" spans="19:19" ht="60" customHeight="1" x14ac:dyDescent="0.25">
      <c r="S3770" s="188"/>
    </row>
    <row r="3771" spans="19:19" ht="60" customHeight="1" x14ac:dyDescent="0.25">
      <c r="S3771" s="188"/>
    </row>
    <row r="3772" spans="19:19" ht="60" customHeight="1" x14ac:dyDescent="0.25">
      <c r="S3772" s="188"/>
    </row>
    <row r="3773" spans="19:19" ht="60" customHeight="1" x14ac:dyDescent="0.25">
      <c r="S3773" s="188"/>
    </row>
    <row r="3774" spans="19:19" ht="60" customHeight="1" x14ac:dyDescent="0.25">
      <c r="S3774" s="188"/>
    </row>
    <row r="3775" spans="19:19" ht="60" customHeight="1" x14ac:dyDescent="0.25">
      <c r="S3775" s="188"/>
    </row>
    <row r="3776" spans="19:19" ht="60" customHeight="1" x14ac:dyDescent="0.25">
      <c r="S3776" s="188"/>
    </row>
    <row r="3777" spans="19:19" ht="60" customHeight="1" x14ac:dyDescent="0.25">
      <c r="S3777" s="188"/>
    </row>
    <row r="3778" spans="19:19" ht="60" customHeight="1" x14ac:dyDescent="0.25">
      <c r="S3778" s="188"/>
    </row>
    <row r="3779" spans="19:19" ht="60" customHeight="1" x14ac:dyDescent="0.25">
      <c r="S3779" s="188"/>
    </row>
    <row r="3780" spans="19:19" ht="60" customHeight="1" x14ac:dyDescent="0.25">
      <c r="S3780" s="188"/>
    </row>
    <row r="3781" spans="19:19" ht="60" customHeight="1" x14ac:dyDescent="0.25">
      <c r="S3781" s="188"/>
    </row>
    <row r="3782" spans="19:19" ht="60" customHeight="1" x14ac:dyDescent="0.25">
      <c r="S3782" s="188"/>
    </row>
    <row r="3783" spans="19:19" ht="60" customHeight="1" x14ac:dyDescent="0.25">
      <c r="S3783" s="188"/>
    </row>
    <row r="3784" spans="19:19" ht="60" customHeight="1" x14ac:dyDescent="0.25">
      <c r="S3784" s="188"/>
    </row>
    <row r="3785" spans="19:19" ht="60" customHeight="1" x14ac:dyDescent="0.25">
      <c r="S3785" s="188"/>
    </row>
    <row r="3786" spans="19:19" ht="60" customHeight="1" x14ac:dyDescent="0.25">
      <c r="S3786" s="188"/>
    </row>
    <row r="3787" spans="19:19" ht="60" customHeight="1" x14ac:dyDescent="0.25">
      <c r="S3787" s="188"/>
    </row>
    <row r="3788" spans="19:19" ht="60" customHeight="1" x14ac:dyDescent="0.25">
      <c r="S3788" s="188"/>
    </row>
    <row r="3789" spans="19:19" ht="60" customHeight="1" x14ac:dyDescent="0.25">
      <c r="S3789" s="188"/>
    </row>
    <row r="3790" spans="19:19" ht="60" customHeight="1" x14ac:dyDescent="0.25">
      <c r="S3790" s="188"/>
    </row>
    <row r="3791" spans="19:19" ht="60" customHeight="1" x14ac:dyDescent="0.25">
      <c r="S3791" s="188"/>
    </row>
    <row r="3792" spans="19:19" ht="60" customHeight="1" x14ac:dyDescent="0.25">
      <c r="S3792" s="188"/>
    </row>
    <row r="3793" spans="19:19" ht="60" customHeight="1" x14ac:dyDescent="0.25">
      <c r="S3793" s="188"/>
    </row>
    <row r="3794" spans="19:19" ht="60" customHeight="1" x14ac:dyDescent="0.25">
      <c r="S3794" s="188"/>
    </row>
    <row r="3795" spans="19:19" ht="60" customHeight="1" x14ac:dyDescent="0.25">
      <c r="S3795" s="188"/>
    </row>
    <row r="3796" spans="19:19" ht="60" customHeight="1" x14ac:dyDescent="0.25">
      <c r="S3796" s="188"/>
    </row>
    <row r="3797" spans="19:19" ht="60" customHeight="1" x14ac:dyDescent="0.25">
      <c r="S3797" s="188"/>
    </row>
    <row r="3798" spans="19:19" ht="60" customHeight="1" x14ac:dyDescent="0.25">
      <c r="S3798" s="188"/>
    </row>
    <row r="3799" spans="19:19" ht="60" customHeight="1" x14ac:dyDescent="0.25">
      <c r="S3799" s="188"/>
    </row>
    <row r="3800" spans="19:19" ht="60" customHeight="1" x14ac:dyDescent="0.25">
      <c r="S3800" s="188"/>
    </row>
    <row r="3801" spans="19:19" ht="60" customHeight="1" x14ac:dyDescent="0.25">
      <c r="S3801" s="188"/>
    </row>
    <row r="3802" spans="19:19" ht="60" customHeight="1" x14ac:dyDescent="0.25">
      <c r="S3802" s="188"/>
    </row>
    <row r="3803" spans="19:19" ht="60" customHeight="1" x14ac:dyDescent="0.25">
      <c r="S3803" s="188"/>
    </row>
    <row r="3804" spans="19:19" ht="60" customHeight="1" x14ac:dyDescent="0.25">
      <c r="S3804" s="188"/>
    </row>
    <row r="3805" spans="19:19" ht="60" customHeight="1" x14ac:dyDescent="0.25">
      <c r="S3805" s="188"/>
    </row>
    <row r="3806" spans="19:19" ht="60" customHeight="1" x14ac:dyDescent="0.25">
      <c r="S3806" s="188"/>
    </row>
    <row r="3807" spans="19:19" ht="60" customHeight="1" x14ac:dyDescent="0.25">
      <c r="S3807" s="188"/>
    </row>
    <row r="3808" spans="19:19" ht="60" customHeight="1" x14ac:dyDescent="0.25">
      <c r="S3808" s="188"/>
    </row>
    <row r="3809" spans="19:19" ht="60" customHeight="1" x14ac:dyDescent="0.25">
      <c r="S3809" s="188"/>
    </row>
    <row r="3810" spans="19:19" ht="60" customHeight="1" x14ac:dyDescent="0.25">
      <c r="S3810" s="188"/>
    </row>
    <row r="3811" spans="19:19" ht="60" customHeight="1" x14ac:dyDescent="0.25">
      <c r="S3811" s="188"/>
    </row>
    <row r="3812" spans="19:19" ht="60" customHeight="1" x14ac:dyDescent="0.25">
      <c r="S3812" s="188"/>
    </row>
    <row r="3813" spans="19:19" ht="60" customHeight="1" x14ac:dyDescent="0.25">
      <c r="S3813" s="188"/>
    </row>
    <row r="3814" spans="19:19" ht="60" customHeight="1" x14ac:dyDescent="0.25">
      <c r="S3814" s="188"/>
    </row>
    <row r="3815" spans="19:19" ht="60" customHeight="1" x14ac:dyDescent="0.25">
      <c r="S3815" s="188"/>
    </row>
    <row r="3816" spans="19:19" ht="60" customHeight="1" x14ac:dyDescent="0.25">
      <c r="S3816" s="188"/>
    </row>
    <row r="3817" spans="19:19" ht="60" customHeight="1" x14ac:dyDescent="0.25">
      <c r="S3817" s="188"/>
    </row>
    <row r="3818" spans="19:19" ht="60" customHeight="1" x14ac:dyDescent="0.25">
      <c r="S3818" s="188"/>
    </row>
    <row r="3819" spans="19:19" ht="60" customHeight="1" x14ac:dyDescent="0.25">
      <c r="S3819" s="188"/>
    </row>
    <row r="3820" spans="19:19" ht="60" customHeight="1" x14ac:dyDescent="0.25">
      <c r="S3820" s="188"/>
    </row>
    <row r="3821" spans="19:19" ht="60" customHeight="1" x14ac:dyDescent="0.25">
      <c r="S3821" s="188"/>
    </row>
    <row r="3822" spans="19:19" ht="60" customHeight="1" x14ac:dyDescent="0.25">
      <c r="S3822" s="188"/>
    </row>
    <row r="3823" spans="19:19" ht="60" customHeight="1" x14ac:dyDescent="0.25">
      <c r="S3823" s="188"/>
    </row>
    <row r="3824" spans="19:19" ht="60" customHeight="1" x14ac:dyDescent="0.25">
      <c r="S3824" s="188"/>
    </row>
    <row r="3825" spans="19:19" ht="60" customHeight="1" x14ac:dyDescent="0.25">
      <c r="S3825" s="188"/>
    </row>
    <row r="3826" spans="19:19" ht="60" customHeight="1" x14ac:dyDescent="0.25">
      <c r="S3826" s="188"/>
    </row>
    <row r="3827" spans="19:19" ht="60" customHeight="1" x14ac:dyDescent="0.25">
      <c r="S3827" s="188"/>
    </row>
    <row r="3828" spans="19:19" ht="60" customHeight="1" x14ac:dyDescent="0.25">
      <c r="S3828" s="188"/>
    </row>
    <row r="3829" spans="19:19" ht="60" customHeight="1" x14ac:dyDescent="0.25">
      <c r="S3829" s="188"/>
    </row>
    <row r="3830" spans="19:19" ht="60" customHeight="1" x14ac:dyDescent="0.25">
      <c r="S3830" s="188"/>
    </row>
    <row r="3831" spans="19:19" ht="60" customHeight="1" x14ac:dyDescent="0.25">
      <c r="S3831" s="188"/>
    </row>
    <row r="3832" spans="19:19" ht="60" customHeight="1" x14ac:dyDescent="0.25">
      <c r="S3832" s="188"/>
    </row>
    <row r="3833" spans="19:19" ht="60" customHeight="1" x14ac:dyDescent="0.25">
      <c r="S3833" s="188"/>
    </row>
    <row r="3834" spans="19:19" ht="60" customHeight="1" x14ac:dyDescent="0.25">
      <c r="S3834" s="188"/>
    </row>
    <row r="3835" spans="19:19" ht="60" customHeight="1" x14ac:dyDescent="0.25">
      <c r="S3835" s="188"/>
    </row>
    <row r="3836" spans="19:19" ht="60" customHeight="1" x14ac:dyDescent="0.25">
      <c r="S3836" s="188"/>
    </row>
    <row r="3837" spans="19:19" ht="60" customHeight="1" x14ac:dyDescent="0.25">
      <c r="S3837" s="188"/>
    </row>
    <row r="3838" spans="19:19" ht="60" customHeight="1" x14ac:dyDescent="0.25">
      <c r="S3838" s="188"/>
    </row>
    <row r="3839" spans="19:19" ht="60" customHeight="1" x14ac:dyDescent="0.25">
      <c r="S3839" s="188"/>
    </row>
    <row r="3840" spans="19:19" ht="60" customHeight="1" x14ac:dyDescent="0.25">
      <c r="S3840" s="188"/>
    </row>
    <row r="3841" spans="19:19" ht="60" customHeight="1" x14ac:dyDescent="0.25">
      <c r="S3841" s="188"/>
    </row>
    <row r="3842" spans="19:19" ht="60" customHeight="1" x14ac:dyDescent="0.25">
      <c r="S3842" s="188"/>
    </row>
    <row r="3843" spans="19:19" ht="60" customHeight="1" x14ac:dyDescent="0.25">
      <c r="S3843" s="188"/>
    </row>
    <row r="3844" spans="19:19" ht="60" customHeight="1" x14ac:dyDescent="0.25">
      <c r="S3844" s="188"/>
    </row>
    <row r="3845" spans="19:19" ht="60" customHeight="1" x14ac:dyDescent="0.25">
      <c r="S3845" s="188"/>
    </row>
    <row r="3846" spans="19:19" ht="60" customHeight="1" x14ac:dyDescent="0.25">
      <c r="S3846" s="188"/>
    </row>
    <row r="3847" spans="19:19" ht="60" customHeight="1" x14ac:dyDescent="0.25">
      <c r="S3847" s="188"/>
    </row>
    <row r="3848" spans="19:19" ht="60" customHeight="1" x14ac:dyDescent="0.25">
      <c r="S3848" s="188"/>
    </row>
    <row r="3849" spans="19:19" ht="60" customHeight="1" x14ac:dyDescent="0.25">
      <c r="S3849" s="188"/>
    </row>
    <row r="3850" spans="19:19" ht="60" customHeight="1" x14ac:dyDescent="0.25">
      <c r="S3850" s="188"/>
    </row>
    <row r="3851" spans="19:19" ht="60" customHeight="1" x14ac:dyDescent="0.25">
      <c r="S3851" s="188"/>
    </row>
    <row r="3852" spans="19:19" ht="60" customHeight="1" x14ac:dyDescent="0.25">
      <c r="S3852" s="188"/>
    </row>
    <row r="3853" spans="19:19" ht="60" customHeight="1" x14ac:dyDescent="0.25">
      <c r="S3853" s="188"/>
    </row>
    <row r="3854" spans="19:19" ht="60" customHeight="1" x14ac:dyDescent="0.25">
      <c r="S3854" s="188"/>
    </row>
    <row r="3855" spans="19:19" ht="60" customHeight="1" x14ac:dyDescent="0.25">
      <c r="S3855" s="188"/>
    </row>
    <row r="3856" spans="19:19" ht="60" customHeight="1" x14ac:dyDescent="0.25">
      <c r="S3856" s="188"/>
    </row>
    <row r="3857" spans="19:19" ht="60" customHeight="1" x14ac:dyDescent="0.25">
      <c r="S3857" s="188"/>
    </row>
    <row r="3858" spans="19:19" ht="60" customHeight="1" x14ac:dyDescent="0.25">
      <c r="S3858" s="188"/>
    </row>
    <row r="3859" spans="19:19" ht="60" customHeight="1" x14ac:dyDescent="0.25">
      <c r="S3859" s="188"/>
    </row>
    <row r="3860" spans="19:19" ht="60" customHeight="1" x14ac:dyDescent="0.25">
      <c r="S3860" s="188"/>
    </row>
    <row r="3861" spans="19:19" ht="60" customHeight="1" x14ac:dyDescent="0.25">
      <c r="S3861" s="188"/>
    </row>
    <row r="3862" spans="19:19" ht="60" customHeight="1" x14ac:dyDescent="0.25">
      <c r="S3862" s="188"/>
    </row>
    <row r="3863" spans="19:19" ht="60" customHeight="1" x14ac:dyDescent="0.25">
      <c r="S3863" s="188"/>
    </row>
    <row r="3864" spans="19:19" ht="60" customHeight="1" x14ac:dyDescent="0.25">
      <c r="S3864" s="188"/>
    </row>
    <row r="3865" spans="19:19" ht="60" customHeight="1" x14ac:dyDescent="0.25">
      <c r="S3865" s="188"/>
    </row>
    <row r="3866" spans="19:19" ht="60" customHeight="1" x14ac:dyDescent="0.25">
      <c r="S3866" s="188"/>
    </row>
    <row r="3867" spans="19:19" ht="60" customHeight="1" x14ac:dyDescent="0.25">
      <c r="S3867" s="188"/>
    </row>
    <row r="3868" spans="19:19" ht="60" customHeight="1" x14ac:dyDescent="0.25">
      <c r="S3868" s="188"/>
    </row>
    <row r="3869" spans="19:19" ht="60" customHeight="1" x14ac:dyDescent="0.25">
      <c r="S3869" s="188"/>
    </row>
    <row r="3870" spans="19:19" ht="60" customHeight="1" x14ac:dyDescent="0.25">
      <c r="S3870" s="188"/>
    </row>
    <row r="3871" spans="19:19" ht="60" customHeight="1" x14ac:dyDescent="0.25">
      <c r="S3871" s="188"/>
    </row>
    <row r="3872" spans="19:19" ht="60" customHeight="1" x14ac:dyDescent="0.25">
      <c r="S3872" s="188"/>
    </row>
    <row r="3873" spans="19:19" ht="60" customHeight="1" x14ac:dyDescent="0.25">
      <c r="S3873" s="188"/>
    </row>
    <row r="3874" spans="19:19" ht="60" customHeight="1" x14ac:dyDescent="0.25">
      <c r="S3874" s="188"/>
    </row>
    <row r="3875" spans="19:19" ht="60" customHeight="1" x14ac:dyDescent="0.25">
      <c r="S3875" s="188"/>
    </row>
    <row r="3876" spans="19:19" ht="60" customHeight="1" x14ac:dyDescent="0.25">
      <c r="S3876" s="188"/>
    </row>
    <row r="3877" spans="19:19" ht="60" customHeight="1" x14ac:dyDescent="0.25">
      <c r="S3877" s="188"/>
    </row>
    <row r="3878" spans="19:19" ht="60" customHeight="1" x14ac:dyDescent="0.25">
      <c r="S3878" s="188"/>
    </row>
    <row r="3879" spans="19:19" ht="60" customHeight="1" x14ac:dyDescent="0.25">
      <c r="S3879" s="188"/>
    </row>
    <row r="3880" spans="19:19" ht="60" customHeight="1" x14ac:dyDescent="0.25">
      <c r="S3880" s="188"/>
    </row>
    <row r="3881" spans="19:19" ht="60" customHeight="1" x14ac:dyDescent="0.25">
      <c r="S3881" s="188"/>
    </row>
    <row r="3882" spans="19:19" ht="60" customHeight="1" x14ac:dyDescent="0.25">
      <c r="S3882" s="188"/>
    </row>
    <row r="3883" spans="19:19" ht="60" customHeight="1" x14ac:dyDescent="0.25">
      <c r="S3883" s="188"/>
    </row>
    <row r="3884" spans="19:19" ht="60" customHeight="1" x14ac:dyDescent="0.25">
      <c r="S3884" s="188"/>
    </row>
    <row r="3885" spans="19:19" ht="60" customHeight="1" x14ac:dyDescent="0.25">
      <c r="S3885" s="188"/>
    </row>
    <row r="3886" spans="19:19" ht="60" customHeight="1" x14ac:dyDescent="0.25">
      <c r="S3886" s="188"/>
    </row>
    <row r="3887" spans="19:19" ht="60" customHeight="1" x14ac:dyDescent="0.25">
      <c r="S3887" s="188"/>
    </row>
    <row r="3888" spans="19:19" ht="60" customHeight="1" x14ac:dyDescent="0.25">
      <c r="S3888" s="188"/>
    </row>
    <row r="3889" spans="19:19" ht="60" customHeight="1" x14ac:dyDescent="0.25">
      <c r="S3889" s="188"/>
    </row>
    <row r="3890" spans="19:19" ht="60" customHeight="1" x14ac:dyDescent="0.25">
      <c r="S3890" s="188"/>
    </row>
    <row r="3891" spans="19:19" ht="60" customHeight="1" x14ac:dyDescent="0.25">
      <c r="S3891" s="188"/>
    </row>
    <row r="3892" spans="19:19" ht="60" customHeight="1" x14ac:dyDescent="0.25">
      <c r="S3892" s="188"/>
    </row>
    <row r="3893" spans="19:19" ht="60" customHeight="1" x14ac:dyDescent="0.25">
      <c r="S3893" s="188"/>
    </row>
    <row r="3894" spans="19:19" ht="60" customHeight="1" x14ac:dyDescent="0.25">
      <c r="S3894" s="188"/>
    </row>
    <row r="3895" spans="19:19" ht="60" customHeight="1" x14ac:dyDescent="0.25">
      <c r="S3895" s="188"/>
    </row>
    <row r="3896" spans="19:19" ht="60" customHeight="1" x14ac:dyDescent="0.25">
      <c r="S3896" s="188"/>
    </row>
    <row r="3897" spans="19:19" ht="60" customHeight="1" x14ac:dyDescent="0.25">
      <c r="S3897" s="188"/>
    </row>
    <row r="3898" spans="19:19" ht="60" customHeight="1" x14ac:dyDescent="0.25">
      <c r="S3898" s="188"/>
    </row>
    <row r="3899" spans="19:19" ht="60" customHeight="1" x14ac:dyDescent="0.25">
      <c r="S3899" s="188"/>
    </row>
    <row r="3900" spans="19:19" ht="60" customHeight="1" x14ac:dyDescent="0.25">
      <c r="S3900" s="188"/>
    </row>
    <row r="3901" spans="19:19" ht="60" customHeight="1" x14ac:dyDescent="0.25">
      <c r="S3901" s="188"/>
    </row>
    <row r="3902" spans="19:19" ht="60" customHeight="1" x14ac:dyDescent="0.25">
      <c r="S3902" s="188"/>
    </row>
    <row r="3903" spans="19:19" ht="60" customHeight="1" x14ac:dyDescent="0.25">
      <c r="S3903" s="188"/>
    </row>
    <row r="3904" spans="19:19" ht="60" customHeight="1" x14ac:dyDescent="0.25">
      <c r="S3904" s="188"/>
    </row>
    <row r="3905" spans="19:19" ht="60" customHeight="1" x14ac:dyDescent="0.25">
      <c r="S3905" s="188"/>
    </row>
    <row r="3906" spans="19:19" ht="60" customHeight="1" x14ac:dyDescent="0.25">
      <c r="S3906" s="188"/>
    </row>
    <row r="3907" spans="19:19" ht="60" customHeight="1" x14ac:dyDescent="0.25">
      <c r="S3907" s="188"/>
    </row>
    <row r="3908" spans="19:19" ht="60" customHeight="1" x14ac:dyDescent="0.25">
      <c r="S3908" s="188"/>
    </row>
    <row r="3909" spans="19:19" ht="60" customHeight="1" x14ac:dyDescent="0.25">
      <c r="S3909" s="188"/>
    </row>
    <row r="3910" spans="19:19" ht="60" customHeight="1" x14ac:dyDescent="0.25">
      <c r="S3910" s="188"/>
    </row>
    <row r="3911" spans="19:19" ht="60" customHeight="1" x14ac:dyDescent="0.25">
      <c r="S3911" s="188"/>
    </row>
    <row r="3912" spans="19:19" ht="60" customHeight="1" x14ac:dyDescent="0.25">
      <c r="S3912" s="188"/>
    </row>
    <row r="3913" spans="19:19" ht="60" customHeight="1" x14ac:dyDescent="0.25">
      <c r="S3913" s="188"/>
    </row>
    <row r="3914" spans="19:19" ht="60" customHeight="1" x14ac:dyDescent="0.25">
      <c r="S3914" s="188"/>
    </row>
    <row r="3915" spans="19:19" ht="60" customHeight="1" x14ac:dyDescent="0.25">
      <c r="S3915" s="188"/>
    </row>
    <row r="3916" spans="19:19" ht="60" customHeight="1" x14ac:dyDescent="0.25">
      <c r="S3916" s="188"/>
    </row>
    <row r="3917" spans="19:19" ht="60" customHeight="1" x14ac:dyDescent="0.25">
      <c r="S3917" s="188"/>
    </row>
    <row r="3918" spans="19:19" ht="60" customHeight="1" x14ac:dyDescent="0.25">
      <c r="S3918" s="188"/>
    </row>
    <row r="3919" spans="19:19" ht="60" customHeight="1" x14ac:dyDescent="0.25">
      <c r="S3919" s="188"/>
    </row>
    <row r="3920" spans="19:19" ht="60" customHeight="1" x14ac:dyDescent="0.25">
      <c r="S3920" s="188"/>
    </row>
    <row r="3921" spans="19:19" ht="60" customHeight="1" x14ac:dyDescent="0.25">
      <c r="S3921" s="188"/>
    </row>
    <row r="3922" spans="19:19" ht="60" customHeight="1" x14ac:dyDescent="0.25">
      <c r="S3922" s="188"/>
    </row>
    <row r="3923" spans="19:19" ht="60" customHeight="1" x14ac:dyDescent="0.25">
      <c r="S3923" s="188"/>
    </row>
    <row r="3924" spans="19:19" ht="60" customHeight="1" x14ac:dyDescent="0.25">
      <c r="S3924" s="188"/>
    </row>
    <row r="3925" spans="19:19" ht="60" customHeight="1" x14ac:dyDescent="0.25">
      <c r="S3925" s="188"/>
    </row>
    <row r="3926" spans="19:19" ht="60" customHeight="1" x14ac:dyDescent="0.25">
      <c r="S3926" s="188"/>
    </row>
    <row r="3927" spans="19:19" ht="60" customHeight="1" x14ac:dyDescent="0.25">
      <c r="S3927" s="188"/>
    </row>
    <row r="3928" spans="19:19" ht="60" customHeight="1" x14ac:dyDescent="0.25">
      <c r="S3928" s="188"/>
    </row>
    <row r="3929" spans="19:19" ht="60" customHeight="1" x14ac:dyDescent="0.25">
      <c r="S3929" s="188"/>
    </row>
    <row r="3930" spans="19:19" ht="60" customHeight="1" x14ac:dyDescent="0.25">
      <c r="S3930" s="188"/>
    </row>
    <row r="3931" spans="19:19" ht="60" customHeight="1" x14ac:dyDescent="0.25">
      <c r="S3931" s="188"/>
    </row>
    <row r="3932" spans="19:19" ht="60" customHeight="1" x14ac:dyDescent="0.25">
      <c r="S3932" s="188"/>
    </row>
    <row r="3933" spans="19:19" ht="60" customHeight="1" x14ac:dyDescent="0.25">
      <c r="S3933" s="188"/>
    </row>
    <row r="3934" spans="19:19" ht="60" customHeight="1" x14ac:dyDescent="0.25">
      <c r="S3934" s="188"/>
    </row>
    <row r="3935" spans="19:19" ht="60" customHeight="1" x14ac:dyDescent="0.25">
      <c r="S3935" s="188"/>
    </row>
    <row r="3936" spans="19:19" ht="60" customHeight="1" x14ac:dyDescent="0.25">
      <c r="S3936" s="188"/>
    </row>
    <row r="3937" spans="19:19" ht="60" customHeight="1" x14ac:dyDescent="0.25">
      <c r="S3937" s="188"/>
    </row>
    <row r="3938" spans="19:19" ht="60" customHeight="1" x14ac:dyDescent="0.25">
      <c r="S3938" s="188"/>
    </row>
    <row r="3939" spans="19:19" ht="60" customHeight="1" x14ac:dyDescent="0.25">
      <c r="S3939" s="188"/>
    </row>
    <row r="3940" spans="19:19" ht="60" customHeight="1" x14ac:dyDescent="0.25">
      <c r="S3940" s="188"/>
    </row>
    <row r="3941" spans="19:19" ht="60" customHeight="1" x14ac:dyDescent="0.25">
      <c r="S3941" s="188"/>
    </row>
    <row r="3942" spans="19:19" ht="60" customHeight="1" x14ac:dyDescent="0.25">
      <c r="S3942" s="188"/>
    </row>
    <row r="3943" spans="19:19" ht="60" customHeight="1" x14ac:dyDescent="0.25">
      <c r="S3943" s="188"/>
    </row>
    <row r="3944" spans="19:19" ht="60" customHeight="1" x14ac:dyDescent="0.25">
      <c r="S3944" s="188"/>
    </row>
    <row r="3945" spans="19:19" ht="60" customHeight="1" x14ac:dyDescent="0.25">
      <c r="S3945" s="188"/>
    </row>
    <row r="3946" spans="19:19" ht="60" customHeight="1" x14ac:dyDescent="0.25">
      <c r="S3946" s="188"/>
    </row>
    <row r="3947" spans="19:19" ht="60" customHeight="1" x14ac:dyDescent="0.25">
      <c r="S3947" s="188"/>
    </row>
    <row r="3948" spans="19:19" ht="60" customHeight="1" x14ac:dyDescent="0.25">
      <c r="S3948" s="188"/>
    </row>
    <row r="3949" spans="19:19" ht="60" customHeight="1" x14ac:dyDescent="0.25">
      <c r="S3949" s="188"/>
    </row>
    <row r="3950" spans="19:19" ht="60" customHeight="1" x14ac:dyDescent="0.25">
      <c r="S3950" s="188"/>
    </row>
    <row r="3951" spans="19:19" ht="60" customHeight="1" x14ac:dyDescent="0.25">
      <c r="S3951" s="188"/>
    </row>
    <row r="3952" spans="19:19" ht="60" customHeight="1" x14ac:dyDescent="0.25">
      <c r="S3952" s="188"/>
    </row>
    <row r="3953" spans="19:19" ht="60" customHeight="1" x14ac:dyDescent="0.25">
      <c r="S3953" s="188"/>
    </row>
    <row r="3954" spans="19:19" ht="60" customHeight="1" x14ac:dyDescent="0.25">
      <c r="S3954" s="188"/>
    </row>
    <row r="3955" spans="19:19" ht="60" customHeight="1" x14ac:dyDescent="0.25">
      <c r="S3955" s="188"/>
    </row>
    <row r="3956" spans="19:19" ht="60" customHeight="1" x14ac:dyDescent="0.25">
      <c r="S3956" s="188"/>
    </row>
    <row r="3957" spans="19:19" ht="60" customHeight="1" x14ac:dyDescent="0.25">
      <c r="S3957" s="188"/>
    </row>
    <row r="3958" spans="19:19" ht="60" customHeight="1" x14ac:dyDescent="0.25">
      <c r="S3958" s="188"/>
    </row>
    <row r="3959" spans="19:19" ht="60" customHeight="1" x14ac:dyDescent="0.25">
      <c r="S3959" s="188"/>
    </row>
    <row r="3960" spans="19:19" ht="60" customHeight="1" x14ac:dyDescent="0.25">
      <c r="S3960" s="188"/>
    </row>
    <row r="3961" spans="19:19" ht="60" customHeight="1" x14ac:dyDescent="0.25">
      <c r="S3961" s="188"/>
    </row>
    <row r="3962" spans="19:19" ht="60" customHeight="1" x14ac:dyDescent="0.25">
      <c r="S3962" s="188"/>
    </row>
    <row r="3963" spans="19:19" ht="60" customHeight="1" x14ac:dyDescent="0.25">
      <c r="S3963" s="188"/>
    </row>
    <row r="3964" spans="19:19" ht="60" customHeight="1" x14ac:dyDescent="0.25">
      <c r="S3964" s="188"/>
    </row>
    <row r="3965" spans="19:19" ht="60" customHeight="1" x14ac:dyDescent="0.25">
      <c r="S3965" s="188"/>
    </row>
    <row r="3966" spans="19:19" ht="60" customHeight="1" x14ac:dyDescent="0.25">
      <c r="S3966" s="188"/>
    </row>
    <row r="3967" spans="19:19" ht="60" customHeight="1" x14ac:dyDescent="0.25">
      <c r="S3967" s="188"/>
    </row>
    <row r="3968" spans="19:19" ht="60" customHeight="1" x14ac:dyDescent="0.25">
      <c r="S3968" s="188"/>
    </row>
    <row r="3969" spans="19:19" ht="60" customHeight="1" x14ac:dyDescent="0.25">
      <c r="S3969" s="188"/>
    </row>
    <row r="3970" spans="19:19" ht="60" customHeight="1" x14ac:dyDescent="0.25">
      <c r="S3970" s="188"/>
    </row>
    <row r="3971" spans="19:19" ht="60" customHeight="1" x14ac:dyDescent="0.25">
      <c r="S3971" s="188"/>
    </row>
    <row r="3972" spans="19:19" ht="60" customHeight="1" x14ac:dyDescent="0.25">
      <c r="S3972" s="188"/>
    </row>
    <row r="3973" spans="19:19" ht="60" customHeight="1" x14ac:dyDescent="0.25">
      <c r="S3973" s="188"/>
    </row>
    <row r="3974" spans="19:19" ht="60" customHeight="1" x14ac:dyDescent="0.25">
      <c r="S3974" s="188"/>
    </row>
    <row r="3975" spans="19:19" ht="60" customHeight="1" x14ac:dyDescent="0.25">
      <c r="S3975" s="188"/>
    </row>
    <row r="3976" spans="19:19" ht="60" customHeight="1" x14ac:dyDescent="0.25">
      <c r="S3976" s="188"/>
    </row>
    <row r="3977" spans="19:19" ht="60" customHeight="1" x14ac:dyDescent="0.25">
      <c r="S3977" s="188"/>
    </row>
    <row r="3978" spans="19:19" ht="60" customHeight="1" x14ac:dyDescent="0.25">
      <c r="S3978" s="188"/>
    </row>
    <row r="3979" spans="19:19" ht="60" customHeight="1" x14ac:dyDescent="0.25">
      <c r="S3979" s="188"/>
    </row>
    <row r="3980" spans="19:19" ht="60" customHeight="1" x14ac:dyDescent="0.25">
      <c r="S3980" s="188"/>
    </row>
    <row r="3981" spans="19:19" ht="60" customHeight="1" x14ac:dyDescent="0.25">
      <c r="S3981" s="188"/>
    </row>
    <row r="3982" spans="19:19" ht="60" customHeight="1" x14ac:dyDescent="0.25">
      <c r="S3982" s="188"/>
    </row>
    <row r="3983" spans="19:19" ht="60" customHeight="1" x14ac:dyDescent="0.25">
      <c r="S3983" s="188"/>
    </row>
    <row r="3984" spans="19:19" ht="60" customHeight="1" x14ac:dyDescent="0.25">
      <c r="S3984" s="188"/>
    </row>
    <row r="3985" spans="19:19" ht="60" customHeight="1" x14ac:dyDescent="0.25">
      <c r="S3985" s="188"/>
    </row>
    <row r="3986" spans="19:19" ht="60" customHeight="1" x14ac:dyDescent="0.25">
      <c r="S3986" s="188"/>
    </row>
    <row r="3987" spans="19:19" ht="60" customHeight="1" x14ac:dyDescent="0.25">
      <c r="S3987" s="188"/>
    </row>
    <row r="3988" spans="19:19" ht="60" customHeight="1" x14ac:dyDescent="0.25">
      <c r="S3988" s="188"/>
    </row>
    <row r="3989" spans="19:19" ht="60" customHeight="1" x14ac:dyDescent="0.25">
      <c r="S3989" s="188"/>
    </row>
    <row r="3990" spans="19:19" ht="60" customHeight="1" x14ac:dyDescent="0.25">
      <c r="S3990" s="188"/>
    </row>
    <row r="3991" spans="19:19" ht="60" customHeight="1" x14ac:dyDescent="0.25">
      <c r="S3991" s="188"/>
    </row>
    <row r="3992" spans="19:19" ht="60" customHeight="1" x14ac:dyDescent="0.25">
      <c r="S3992" s="188"/>
    </row>
    <row r="3993" spans="19:19" ht="60" customHeight="1" x14ac:dyDescent="0.25">
      <c r="S3993" s="188"/>
    </row>
    <row r="3994" spans="19:19" ht="60" customHeight="1" x14ac:dyDescent="0.25">
      <c r="S3994" s="188"/>
    </row>
    <row r="3995" spans="19:19" ht="60" customHeight="1" x14ac:dyDescent="0.25">
      <c r="S3995" s="188"/>
    </row>
    <row r="3996" spans="19:19" ht="60" customHeight="1" x14ac:dyDescent="0.25">
      <c r="S3996" s="188"/>
    </row>
    <row r="3997" spans="19:19" ht="60" customHeight="1" x14ac:dyDescent="0.25">
      <c r="S3997" s="188"/>
    </row>
    <row r="3998" spans="19:19" ht="60" customHeight="1" x14ac:dyDescent="0.25">
      <c r="S3998" s="188"/>
    </row>
    <row r="3999" spans="19:19" ht="60" customHeight="1" x14ac:dyDescent="0.25">
      <c r="S3999" s="188"/>
    </row>
    <row r="4000" spans="19:19" ht="60" customHeight="1" x14ac:dyDescent="0.25">
      <c r="S4000" s="188"/>
    </row>
    <row r="4001" spans="19:19" ht="60" customHeight="1" x14ac:dyDescent="0.25">
      <c r="S4001" s="188"/>
    </row>
    <row r="4002" spans="19:19" ht="60" customHeight="1" x14ac:dyDescent="0.25">
      <c r="S4002" s="188"/>
    </row>
    <row r="4003" spans="19:19" ht="60" customHeight="1" x14ac:dyDescent="0.25">
      <c r="S4003" s="188"/>
    </row>
    <row r="4004" spans="19:19" ht="60" customHeight="1" x14ac:dyDescent="0.25">
      <c r="S4004" s="188"/>
    </row>
    <row r="4005" spans="19:19" ht="60" customHeight="1" x14ac:dyDescent="0.25">
      <c r="S4005" s="188"/>
    </row>
    <row r="4006" spans="19:19" ht="60" customHeight="1" x14ac:dyDescent="0.25">
      <c r="S4006" s="188"/>
    </row>
    <row r="4007" spans="19:19" ht="60" customHeight="1" x14ac:dyDescent="0.25">
      <c r="S4007" s="188"/>
    </row>
    <row r="4008" spans="19:19" ht="60" customHeight="1" x14ac:dyDescent="0.25">
      <c r="S4008" s="188"/>
    </row>
    <row r="4009" spans="19:19" ht="60" customHeight="1" x14ac:dyDescent="0.25">
      <c r="S4009" s="188"/>
    </row>
    <row r="4010" spans="19:19" ht="60" customHeight="1" x14ac:dyDescent="0.25">
      <c r="S4010" s="188"/>
    </row>
    <row r="4011" spans="19:19" ht="60" customHeight="1" x14ac:dyDescent="0.25">
      <c r="S4011" s="188"/>
    </row>
    <row r="4012" spans="19:19" ht="60" customHeight="1" x14ac:dyDescent="0.25">
      <c r="S4012" s="188"/>
    </row>
    <row r="4013" spans="19:19" ht="60" customHeight="1" x14ac:dyDescent="0.25">
      <c r="S4013" s="188"/>
    </row>
    <row r="4014" spans="19:19" ht="60" customHeight="1" x14ac:dyDescent="0.25">
      <c r="S4014" s="188"/>
    </row>
    <row r="4015" spans="19:19" ht="60" customHeight="1" x14ac:dyDescent="0.25">
      <c r="S4015" s="188"/>
    </row>
    <row r="4016" spans="19:19" ht="60" customHeight="1" x14ac:dyDescent="0.25">
      <c r="S4016" s="188"/>
    </row>
    <row r="4017" spans="19:19" ht="60" customHeight="1" x14ac:dyDescent="0.25">
      <c r="S4017" s="188"/>
    </row>
    <row r="4018" spans="19:19" ht="60" customHeight="1" x14ac:dyDescent="0.25">
      <c r="S4018" s="188"/>
    </row>
    <row r="4019" spans="19:19" ht="60" customHeight="1" x14ac:dyDescent="0.25">
      <c r="S4019" s="188"/>
    </row>
    <row r="4020" spans="19:19" ht="60" customHeight="1" x14ac:dyDescent="0.25">
      <c r="S4020" s="188"/>
    </row>
    <row r="4021" spans="19:19" ht="60" customHeight="1" x14ac:dyDescent="0.25">
      <c r="S4021" s="188"/>
    </row>
    <row r="4022" spans="19:19" ht="60" customHeight="1" x14ac:dyDescent="0.25">
      <c r="S4022" s="188"/>
    </row>
    <row r="4023" spans="19:19" ht="60" customHeight="1" x14ac:dyDescent="0.25">
      <c r="S4023" s="188"/>
    </row>
    <row r="4024" spans="19:19" ht="60" customHeight="1" x14ac:dyDescent="0.25">
      <c r="S4024" s="188"/>
    </row>
    <row r="4025" spans="19:19" ht="60" customHeight="1" x14ac:dyDescent="0.25">
      <c r="S4025" s="188"/>
    </row>
    <row r="4026" spans="19:19" ht="60" customHeight="1" x14ac:dyDescent="0.25">
      <c r="S4026" s="188"/>
    </row>
    <row r="4027" spans="19:19" ht="60" customHeight="1" x14ac:dyDescent="0.25">
      <c r="S4027" s="188"/>
    </row>
    <row r="4028" spans="19:19" ht="60" customHeight="1" x14ac:dyDescent="0.25">
      <c r="S4028" s="188"/>
    </row>
    <row r="4029" spans="19:19" ht="60" customHeight="1" x14ac:dyDescent="0.25">
      <c r="S4029" s="188"/>
    </row>
    <row r="4030" spans="19:19" ht="60" customHeight="1" x14ac:dyDescent="0.25">
      <c r="S4030" s="188"/>
    </row>
    <row r="4031" spans="19:19" ht="60" customHeight="1" x14ac:dyDescent="0.25">
      <c r="S4031" s="188"/>
    </row>
    <row r="4032" spans="19:19" ht="60" customHeight="1" x14ac:dyDescent="0.25">
      <c r="S4032" s="188"/>
    </row>
    <row r="4033" spans="19:19" ht="60" customHeight="1" x14ac:dyDescent="0.25">
      <c r="S4033" s="188"/>
    </row>
    <row r="4034" spans="19:19" ht="60" customHeight="1" x14ac:dyDescent="0.25">
      <c r="S4034" s="188"/>
    </row>
    <row r="4035" spans="19:19" ht="60" customHeight="1" x14ac:dyDescent="0.25">
      <c r="S4035" s="188"/>
    </row>
    <row r="4036" spans="19:19" ht="60" customHeight="1" x14ac:dyDescent="0.25">
      <c r="S4036" s="188"/>
    </row>
    <row r="4037" spans="19:19" ht="60" customHeight="1" x14ac:dyDescent="0.25">
      <c r="S4037" s="188"/>
    </row>
    <row r="4038" spans="19:19" ht="60" customHeight="1" x14ac:dyDescent="0.25">
      <c r="S4038" s="188"/>
    </row>
    <row r="4039" spans="19:19" ht="60" customHeight="1" x14ac:dyDescent="0.25">
      <c r="S4039" s="188"/>
    </row>
    <row r="4040" spans="19:19" ht="60" customHeight="1" x14ac:dyDescent="0.25">
      <c r="S4040" s="188"/>
    </row>
    <row r="4041" spans="19:19" ht="60" customHeight="1" x14ac:dyDescent="0.25">
      <c r="S4041" s="188"/>
    </row>
    <row r="4042" spans="19:19" ht="60" customHeight="1" x14ac:dyDescent="0.25">
      <c r="S4042" s="188"/>
    </row>
    <row r="4043" spans="19:19" ht="60" customHeight="1" x14ac:dyDescent="0.25">
      <c r="S4043" s="188"/>
    </row>
    <row r="4044" spans="19:19" ht="60" customHeight="1" x14ac:dyDescent="0.25">
      <c r="S4044" s="188"/>
    </row>
    <row r="4045" spans="19:19" ht="60" customHeight="1" x14ac:dyDescent="0.25">
      <c r="S4045" s="188"/>
    </row>
    <row r="4046" spans="19:19" ht="60" customHeight="1" x14ac:dyDescent="0.25">
      <c r="S4046" s="188"/>
    </row>
    <row r="4047" spans="19:19" ht="60" customHeight="1" x14ac:dyDescent="0.25">
      <c r="S4047" s="188"/>
    </row>
    <row r="4048" spans="19:19" ht="60" customHeight="1" x14ac:dyDescent="0.25">
      <c r="S4048" s="188"/>
    </row>
    <row r="4049" spans="19:19" ht="60" customHeight="1" x14ac:dyDescent="0.25">
      <c r="S4049" s="188"/>
    </row>
    <row r="4050" spans="19:19" ht="60" customHeight="1" x14ac:dyDescent="0.25">
      <c r="S4050" s="188"/>
    </row>
    <row r="4051" spans="19:19" ht="60" customHeight="1" x14ac:dyDescent="0.25">
      <c r="S4051" s="188"/>
    </row>
    <row r="4052" spans="19:19" ht="60" customHeight="1" x14ac:dyDescent="0.25">
      <c r="S4052" s="188"/>
    </row>
    <row r="4053" spans="19:19" ht="60" customHeight="1" x14ac:dyDescent="0.25">
      <c r="S4053" s="188"/>
    </row>
    <row r="4054" spans="19:19" ht="60" customHeight="1" x14ac:dyDescent="0.25">
      <c r="S4054" s="188"/>
    </row>
    <row r="4055" spans="19:19" ht="60" customHeight="1" x14ac:dyDescent="0.25">
      <c r="S4055" s="188"/>
    </row>
    <row r="4056" spans="19:19" ht="60" customHeight="1" x14ac:dyDescent="0.25">
      <c r="S4056" s="188"/>
    </row>
    <row r="4057" spans="19:19" ht="60" customHeight="1" x14ac:dyDescent="0.25">
      <c r="S4057" s="188"/>
    </row>
    <row r="4058" spans="19:19" ht="60" customHeight="1" x14ac:dyDescent="0.25">
      <c r="S4058" s="188"/>
    </row>
    <row r="4059" spans="19:19" ht="60" customHeight="1" x14ac:dyDescent="0.25">
      <c r="S4059" s="188"/>
    </row>
    <row r="4060" spans="19:19" ht="60" customHeight="1" x14ac:dyDescent="0.25">
      <c r="S4060" s="188"/>
    </row>
    <row r="4061" spans="19:19" ht="60" customHeight="1" x14ac:dyDescent="0.25">
      <c r="S4061" s="188"/>
    </row>
    <row r="4062" spans="19:19" ht="60" customHeight="1" x14ac:dyDescent="0.25">
      <c r="S4062" s="188"/>
    </row>
    <row r="4063" spans="19:19" ht="60" customHeight="1" x14ac:dyDescent="0.25">
      <c r="S4063" s="188"/>
    </row>
    <row r="4064" spans="19:19" ht="60" customHeight="1" x14ac:dyDescent="0.25">
      <c r="S4064" s="188"/>
    </row>
    <row r="4065" spans="19:19" ht="60" customHeight="1" x14ac:dyDescent="0.25">
      <c r="S4065" s="188"/>
    </row>
    <row r="4066" spans="19:19" ht="60" customHeight="1" x14ac:dyDescent="0.25">
      <c r="S4066" s="188"/>
    </row>
    <row r="4067" spans="19:19" ht="60" customHeight="1" x14ac:dyDescent="0.25">
      <c r="S4067" s="188"/>
    </row>
    <row r="4068" spans="19:19" ht="60" customHeight="1" x14ac:dyDescent="0.25">
      <c r="S4068" s="188"/>
    </row>
    <row r="4069" spans="19:19" ht="60" customHeight="1" x14ac:dyDescent="0.25">
      <c r="S4069" s="188"/>
    </row>
    <row r="4070" spans="19:19" ht="60" customHeight="1" x14ac:dyDescent="0.25">
      <c r="S4070" s="188"/>
    </row>
    <row r="4071" spans="19:19" ht="60" customHeight="1" x14ac:dyDescent="0.25">
      <c r="S4071" s="188"/>
    </row>
    <row r="4072" spans="19:19" ht="60" customHeight="1" x14ac:dyDescent="0.25">
      <c r="S4072" s="188"/>
    </row>
    <row r="4073" spans="19:19" ht="60" customHeight="1" x14ac:dyDescent="0.25">
      <c r="S4073" s="188"/>
    </row>
    <row r="4074" spans="19:19" ht="60" customHeight="1" x14ac:dyDescent="0.25">
      <c r="S4074" s="188"/>
    </row>
    <row r="4075" spans="19:19" ht="60" customHeight="1" x14ac:dyDescent="0.25">
      <c r="S4075" s="188"/>
    </row>
    <row r="4076" spans="19:19" ht="60" customHeight="1" x14ac:dyDescent="0.25">
      <c r="S4076" s="188"/>
    </row>
    <row r="4077" spans="19:19" ht="60" customHeight="1" x14ac:dyDescent="0.25">
      <c r="S4077" s="188"/>
    </row>
    <row r="4078" spans="19:19" ht="60" customHeight="1" x14ac:dyDescent="0.25">
      <c r="S4078" s="188"/>
    </row>
    <row r="4079" spans="19:19" ht="60" customHeight="1" x14ac:dyDescent="0.25">
      <c r="S4079" s="188"/>
    </row>
    <row r="4080" spans="19:19" ht="60" customHeight="1" x14ac:dyDescent="0.25">
      <c r="S4080" s="188"/>
    </row>
    <row r="4081" spans="19:19" ht="60" customHeight="1" x14ac:dyDescent="0.25">
      <c r="S4081" s="188"/>
    </row>
    <row r="4082" spans="19:19" ht="60" customHeight="1" x14ac:dyDescent="0.25">
      <c r="S4082" s="188"/>
    </row>
    <row r="4083" spans="19:19" ht="60" customHeight="1" x14ac:dyDescent="0.25">
      <c r="S4083" s="188"/>
    </row>
    <row r="4084" spans="19:19" ht="60" customHeight="1" x14ac:dyDescent="0.25">
      <c r="S4084" s="188"/>
    </row>
    <row r="4085" spans="19:19" ht="60" customHeight="1" x14ac:dyDescent="0.25">
      <c r="S4085" s="188"/>
    </row>
    <row r="4086" spans="19:19" ht="60" customHeight="1" x14ac:dyDescent="0.25">
      <c r="S4086" s="188"/>
    </row>
    <row r="4087" spans="19:19" ht="60" customHeight="1" x14ac:dyDescent="0.25">
      <c r="S4087" s="188"/>
    </row>
    <row r="4088" spans="19:19" ht="60" customHeight="1" x14ac:dyDescent="0.25">
      <c r="S4088" s="188"/>
    </row>
    <row r="4089" spans="19:19" ht="60" customHeight="1" x14ac:dyDescent="0.25">
      <c r="S4089" s="188"/>
    </row>
    <row r="4090" spans="19:19" ht="60" customHeight="1" x14ac:dyDescent="0.25">
      <c r="S4090" s="188"/>
    </row>
    <row r="4091" spans="19:19" ht="60" customHeight="1" x14ac:dyDescent="0.25">
      <c r="S4091" s="188"/>
    </row>
    <row r="4092" spans="19:19" ht="60" customHeight="1" x14ac:dyDescent="0.25">
      <c r="S4092" s="188"/>
    </row>
    <row r="4093" spans="19:19" ht="60" customHeight="1" x14ac:dyDescent="0.25">
      <c r="S4093" s="188"/>
    </row>
    <row r="4094" spans="19:19" ht="60" customHeight="1" x14ac:dyDescent="0.25">
      <c r="S4094" s="188"/>
    </row>
    <row r="4095" spans="19:19" ht="60" customHeight="1" x14ac:dyDescent="0.25">
      <c r="S4095" s="188"/>
    </row>
    <row r="4096" spans="19:19" ht="60" customHeight="1" x14ac:dyDescent="0.25">
      <c r="S4096" s="188"/>
    </row>
    <row r="4097" spans="19:19" ht="60" customHeight="1" x14ac:dyDescent="0.25">
      <c r="S4097" s="188"/>
    </row>
    <row r="4098" spans="19:19" ht="60" customHeight="1" x14ac:dyDescent="0.25">
      <c r="S4098" s="188"/>
    </row>
    <row r="4099" spans="19:19" ht="60" customHeight="1" x14ac:dyDescent="0.25">
      <c r="S4099" s="188"/>
    </row>
    <row r="4100" spans="19:19" ht="60" customHeight="1" x14ac:dyDescent="0.25">
      <c r="S4100" s="188"/>
    </row>
    <row r="4101" spans="19:19" ht="60" customHeight="1" x14ac:dyDescent="0.25">
      <c r="S4101" s="188"/>
    </row>
    <row r="4102" spans="19:19" ht="60" customHeight="1" x14ac:dyDescent="0.25">
      <c r="S4102" s="188"/>
    </row>
    <row r="4103" spans="19:19" ht="60" customHeight="1" x14ac:dyDescent="0.25">
      <c r="S4103" s="188"/>
    </row>
    <row r="4104" spans="19:19" ht="60" customHeight="1" x14ac:dyDescent="0.25">
      <c r="S4104" s="188"/>
    </row>
    <row r="4105" spans="19:19" ht="60" customHeight="1" x14ac:dyDescent="0.25">
      <c r="S4105" s="188"/>
    </row>
    <row r="4106" spans="19:19" ht="60" customHeight="1" x14ac:dyDescent="0.25">
      <c r="S4106" s="188"/>
    </row>
    <row r="4107" spans="19:19" ht="60" customHeight="1" x14ac:dyDescent="0.25">
      <c r="S4107" s="188"/>
    </row>
    <row r="4108" spans="19:19" ht="60" customHeight="1" x14ac:dyDescent="0.25">
      <c r="S4108" s="188"/>
    </row>
    <row r="4109" spans="19:19" ht="60" customHeight="1" x14ac:dyDescent="0.25">
      <c r="S4109" s="188"/>
    </row>
    <row r="4110" spans="19:19" ht="60" customHeight="1" x14ac:dyDescent="0.25">
      <c r="S4110" s="188"/>
    </row>
    <row r="4111" spans="19:19" ht="60" customHeight="1" x14ac:dyDescent="0.25">
      <c r="S4111" s="188"/>
    </row>
    <row r="4112" spans="19:19" ht="60" customHeight="1" x14ac:dyDescent="0.25">
      <c r="S4112" s="188"/>
    </row>
    <row r="4113" spans="19:19" ht="60" customHeight="1" x14ac:dyDescent="0.25">
      <c r="S4113" s="188"/>
    </row>
    <row r="4114" spans="19:19" ht="60" customHeight="1" x14ac:dyDescent="0.25">
      <c r="S4114" s="188"/>
    </row>
    <row r="4115" spans="19:19" ht="60" customHeight="1" x14ac:dyDescent="0.25">
      <c r="S4115" s="188"/>
    </row>
    <row r="4116" spans="19:19" ht="60" customHeight="1" x14ac:dyDescent="0.25">
      <c r="S4116" s="188"/>
    </row>
    <row r="4117" spans="19:19" ht="60" customHeight="1" x14ac:dyDescent="0.25">
      <c r="S4117" s="188"/>
    </row>
    <row r="4118" spans="19:19" ht="60" customHeight="1" x14ac:dyDescent="0.25">
      <c r="S4118" s="188"/>
    </row>
    <row r="4119" spans="19:19" ht="60" customHeight="1" x14ac:dyDescent="0.25">
      <c r="S4119" s="188"/>
    </row>
    <row r="4120" spans="19:19" ht="60" customHeight="1" x14ac:dyDescent="0.25">
      <c r="S4120" s="188"/>
    </row>
    <row r="4121" spans="19:19" ht="60" customHeight="1" x14ac:dyDescent="0.25">
      <c r="S4121" s="188"/>
    </row>
    <row r="4122" spans="19:19" ht="60" customHeight="1" x14ac:dyDescent="0.25">
      <c r="S4122" s="188"/>
    </row>
    <row r="4123" spans="19:19" ht="60" customHeight="1" x14ac:dyDescent="0.25">
      <c r="S4123" s="188"/>
    </row>
    <row r="4124" spans="19:19" ht="60" customHeight="1" x14ac:dyDescent="0.25">
      <c r="S4124" s="188"/>
    </row>
    <row r="4125" spans="19:19" ht="60" customHeight="1" x14ac:dyDescent="0.25">
      <c r="S4125" s="188"/>
    </row>
    <row r="4126" spans="19:19" ht="60" customHeight="1" x14ac:dyDescent="0.25">
      <c r="S4126" s="188"/>
    </row>
    <row r="4127" spans="19:19" ht="60" customHeight="1" x14ac:dyDescent="0.25">
      <c r="S4127" s="188"/>
    </row>
    <row r="4128" spans="19:19" ht="60" customHeight="1" x14ac:dyDescent="0.25">
      <c r="S4128" s="188"/>
    </row>
    <row r="4129" spans="19:19" ht="60" customHeight="1" x14ac:dyDescent="0.25">
      <c r="S4129" s="188"/>
    </row>
    <row r="4130" spans="19:19" ht="60" customHeight="1" x14ac:dyDescent="0.25">
      <c r="S4130" s="188"/>
    </row>
    <row r="4131" spans="19:19" ht="60" customHeight="1" x14ac:dyDescent="0.25">
      <c r="S4131" s="188"/>
    </row>
    <row r="4132" spans="19:19" ht="60" customHeight="1" x14ac:dyDescent="0.25">
      <c r="S4132" s="188"/>
    </row>
    <row r="4133" spans="19:19" ht="60" customHeight="1" x14ac:dyDescent="0.25">
      <c r="S4133" s="188"/>
    </row>
    <row r="4134" spans="19:19" ht="60" customHeight="1" x14ac:dyDescent="0.25">
      <c r="S4134" s="188"/>
    </row>
    <row r="4135" spans="19:19" ht="60" customHeight="1" x14ac:dyDescent="0.25">
      <c r="S4135" s="188"/>
    </row>
    <row r="4136" spans="19:19" ht="60" customHeight="1" x14ac:dyDescent="0.25">
      <c r="S4136" s="188"/>
    </row>
    <row r="4137" spans="19:19" ht="60" customHeight="1" x14ac:dyDescent="0.25">
      <c r="S4137" s="188"/>
    </row>
    <row r="4138" spans="19:19" ht="60" customHeight="1" x14ac:dyDescent="0.25">
      <c r="S4138" s="188"/>
    </row>
    <row r="4139" spans="19:19" ht="60" customHeight="1" x14ac:dyDescent="0.25">
      <c r="S4139" s="188"/>
    </row>
    <row r="4140" spans="19:19" ht="60" customHeight="1" x14ac:dyDescent="0.25">
      <c r="S4140" s="188"/>
    </row>
    <row r="4141" spans="19:19" ht="60" customHeight="1" x14ac:dyDescent="0.25">
      <c r="S4141" s="188"/>
    </row>
    <row r="4142" spans="19:19" ht="60" customHeight="1" x14ac:dyDescent="0.25">
      <c r="S4142" s="188"/>
    </row>
    <row r="4143" spans="19:19" ht="60" customHeight="1" x14ac:dyDescent="0.25">
      <c r="S4143" s="188"/>
    </row>
    <row r="4144" spans="19:19" ht="60" customHeight="1" x14ac:dyDescent="0.25">
      <c r="S4144" s="188"/>
    </row>
    <row r="4145" spans="19:19" ht="60" customHeight="1" x14ac:dyDescent="0.25">
      <c r="S4145" s="188"/>
    </row>
    <row r="4146" spans="19:19" ht="60" customHeight="1" x14ac:dyDescent="0.25">
      <c r="S4146" s="188"/>
    </row>
    <row r="4147" spans="19:19" ht="60" customHeight="1" x14ac:dyDescent="0.25">
      <c r="S4147" s="188"/>
    </row>
    <row r="4148" spans="19:19" ht="60" customHeight="1" x14ac:dyDescent="0.25">
      <c r="S4148" s="188"/>
    </row>
    <row r="4149" spans="19:19" ht="60" customHeight="1" x14ac:dyDescent="0.25">
      <c r="S4149" s="188"/>
    </row>
    <row r="4150" spans="19:19" ht="60" customHeight="1" x14ac:dyDescent="0.25">
      <c r="S4150" s="188"/>
    </row>
    <row r="4151" spans="19:19" ht="60" customHeight="1" x14ac:dyDescent="0.25">
      <c r="S4151" s="188"/>
    </row>
    <row r="4152" spans="19:19" ht="60" customHeight="1" x14ac:dyDescent="0.25">
      <c r="S4152" s="188"/>
    </row>
    <row r="4153" spans="19:19" ht="60" customHeight="1" x14ac:dyDescent="0.25">
      <c r="S4153" s="188"/>
    </row>
    <row r="4154" spans="19:19" ht="60" customHeight="1" x14ac:dyDescent="0.25">
      <c r="S4154" s="188"/>
    </row>
    <row r="4155" spans="19:19" ht="60" customHeight="1" x14ac:dyDescent="0.25">
      <c r="S4155" s="188"/>
    </row>
    <row r="4156" spans="19:19" ht="60" customHeight="1" x14ac:dyDescent="0.25">
      <c r="S4156" s="188"/>
    </row>
    <row r="4157" spans="19:19" ht="60" customHeight="1" x14ac:dyDescent="0.25">
      <c r="S4157" s="188"/>
    </row>
    <row r="4158" spans="19:19" ht="60" customHeight="1" x14ac:dyDescent="0.25">
      <c r="S4158" s="188"/>
    </row>
    <row r="4159" spans="19:19" ht="60" customHeight="1" x14ac:dyDescent="0.25">
      <c r="S4159" s="188"/>
    </row>
    <row r="4160" spans="19:19" ht="60" customHeight="1" x14ac:dyDescent="0.25">
      <c r="S4160" s="188"/>
    </row>
    <row r="4161" spans="19:19" ht="60" customHeight="1" x14ac:dyDescent="0.25">
      <c r="S4161" s="188"/>
    </row>
    <row r="4162" spans="19:19" ht="60" customHeight="1" x14ac:dyDescent="0.25">
      <c r="S4162" s="188"/>
    </row>
    <row r="4163" spans="19:19" ht="60" customHeight="1" x14ac:dyDescent="0.25">
      <c r="S4163" s="188"/>
    </row>
    <row r="4164" spans="19:19" ht="60" customHeight="1" x14ac:dyDescent="0.25">
      <c r="S4164" s="188"/>
    </row>
    <row r="4165" spans="19:19" ht="60" customHeight="1" x14ac:dyDescent="0.25">
      <c r="S4165" s="188"/>
    </row>
    <row r="4166" spans="19:19" ht="60" customHeight="1" x14ac:dyDescent="0.25">
      <c r="S4166" s="188"/>
    </row>
    <row r="4167" spans="19:19" ht="60" customHeight="1" x14ac:dyDescent="0.25">
      <c r="S4167" s="188"/>
    </row>
    <row r="4168" spans="19:19" ht="60" customHeight="1" x14ac:dyDescent="0.25">
      <c r="S4168" s="188"/>
    </row>
    <row r="4169" spans="19:19" ht="60" customHeight="1" x14ac:dyDescent="0.25">
      <c r="S4169" s="188"/>
    </row>
    <row r="4170" spans="19:19" ht="60" customHeight="1" x14ac:dyDescent="0.25">
      <c r="S4170" s="188"/>
    </row>
    <row r="4171" spans="19:19" ht="60" customHeight="1" x14ac:dyDescent="0.25">
      <c r="S4171" s="188"/>
    </row>
    <row r="4172" spans="19:19" ht="60" customHeight="1" x14ac:dyDescent="0.25">
      <c r="S4172" s="188"/>
    </row>
    <row r="4173" spans="19:19" ht="60" customHeight="1" x14ac:dyDescent="0.25">
      <c r="S4173" s="188"/>
    </row>
    <row r="4174" spans="19:19" ht="60" customHeight="1" x14ac:dyDescent="0.25">
      <c r="S4174" s="188"/>
    </row>
    <row r="4175" spans="19:19" ht="60" customHeight="1" x14ac:dyDescent="0.25">
      <c r="S4175" s="188"/>
    </row>
    <row r="4176" spans="19:19" ht="60" customHeight="1" x14ac:dyDescent="0.25">
      <c r="S4176" s="188"/>
    </row>
    <row r="4177" spans="19:19" ht="60" customHeight="1" x14ac:dyDescent="0.25">
      <c r="S4177" s="188"/>
    </row>
    <row r="4178" spans="19:19" ht="60" customHeight="1" x14ac:dyDescent="0.25">
      <c r="S4178" s="188"/>
    </row>
    <row r="4179" spans="19:19" ht="60" customHeight="1" x14ac:dyDescent="0.25">
      <c r="S4179" s="188"/>
    </row>
    <row r="4180" spans="19:19" ht="60" customHeight="1" x14ac:dyDescent="0.25">
      <c r="S4180" s="188"/>
    </row>
    <row r="4181" spans="19:19" ht="60" customHeight="1" x14ac:dyDescent="0.25">
      <c r="S4181" s="188"/>
    </row>
    <row r="4182" spans="19:19" ht="60" customHeight="1" x14ac:dyDescent="0.25">
      <c r="S4182" s="188"/>
    </row>
    <row r="4183" spans="19:19" ht="60" customHeight="1" x14ac:dyDescent="0.25">
      <c r="S4183" s="188"/>
    </row>
    <row r="4184" spans="19:19" ht="60" customHeight="1" x14ac:dyDescent="0.25">
      <c r="S4184" s="188"/>
    </row>
    <row r="4185" spans="19:19" ht="60" customHeight="1" x14ac:dyDescent="0.25">
      <c r="S4185" s="188"/>
    </row>
    <row r="4186" spans="19:19" ht="60" customHeight="1" x14ac:dyDescent="0.25">
      <c r="S4186" s="188"/>
    </row>
    <row r="4187" spans="19:19" ht="60" customHeight="1" x14ac:dyDescent="0.25">
      <c r="S4187" s="188"/>
    </row>
    <row r="4188" spans="19:19" ht="60" customHeight="1" x14ac:dyDescent="0.25">
      <c r="S4188" s="188"/>
    </row>
    <row r="4189" spans="19:19" ht="60" customHeight="1" x14ac:dyDescent="0.25">
      <c r="S4189" s="188"/>
    </row>
    <row r="4190" spans="19:19" ht="60" customHeight="1" x14ac:dyDescent="0.25">
      <c r="S4190" s="188"/>
    </row>
    <row r="4191" spans="19:19" ht="60" customHeight="1" x14ac:dyDescent="0.25">
      <c r="S4191" s="188"/>
    </row>
    <row r="4192" spans="19:19" ht="60" customHeight="1" x14ac:dyDescent="0.25">
      <c r="S4192" s="188"/>
    </row>
    <row r="4193" spans="19:19" ht="60" customHeight="1" x14ac:dyDescent="0.25">
      <c r="S4193" s="188"/>
    </row>
    <row r="4194" spans="19:19" ht="60" customHeight="1" x14ac:dyDescent="0.25">
      <c r="S4194" s="188"/>
    </row>
    <row r="4195" spans="19:19" ht="60" customHeight="1" x14ac:dyDescent="0.25">
      <c r="S4195" s="188"/>
    </row>
    <row r="4196" spans="19:19" ht="60" customHeight="1" x14ac:dyDescent="0.25">
      <c r="S4196" s="188"/>
    </row>
    <row r="4197" spans="19:19" ht="60" customHeight="1" x14ac:dyDescent="0.25">
      <c r="S4197" s="188"/>
    </row>
    <row r="4198" spans="19:19" ht="60" customHeight="1" x14ac:dyDescent="0.25">
      <c r="S4198" s="188"/>
    </row>
    <row r="4199" spans="19:19" ht="60" customHeight="1" x14ac:dyDescent="0.25">
      <c r="S4199" s="188"/>
    </row>
    <row r="4200" spans="19:19" ht="60" customHeight="1" x14ac:dyDescent="0.25">
      <c r="S4200" s="188"/>
    </row>
    <row r="4201" spans="19:19" ht="60" customHeight="1" x14ac:dyDescent="0.25">
      <c r="S4201" s="188"/>
    </row>
    <row r="4202" spans="19:19" ht="60" customHeight="1" x14ac:dyDescent="0.25">
      <c r="S4202" s="188"/>
    </row>
    <row r="4203" spans="19:19" ht="60" customHeight="1" x14ac:dyDescent="0.25">
      <c r="S4203" s="188"/>
    </row>
    <row r="4204" spans="19:19" ht="60" customHeight="1" x14ac:dyDescent="0.25">
      <c r="S4204" s="188"/>
    </row>
    <row r="4205" spans="19:19" ht="60" customHeight="1" x14ac:dyDescent="0.25">
      <c r="S4205" s="188"/>
    </row>
    <row r="4206" spans="19:19" ht="60" customHeight="1" x14ac:dyDescent="0.25">
      <c r="S4206" s="188"/>
    </row>
    <row r="4207" spans="19:19" ht="60" customHeight="1" x14ac:dyDescent="0.25">
      <c r="S4207" s="188"/>
    </row>
    <row r="4208" spans="19:19" ht="60" customHeight="1" x14ac:dyDescent="0.25">
      <c r="S4208" s="188"/>
    </row>
    <row r="4209" spans="19:19" ht="60" customHeight="1" x14ac:dyDescent="0.25">
      <c r="S4209" s="188"/>
    </row>
    <row r="4210" spans="19:19" ht="60" customHeight="1" x14ac:dyDescent="0.25">
      <c r="S4210" s="188"/>
    </row>
    <row r="4211" spans="19:19" ht="60" customHeight="1" x14ac:dyDescent="0.25">
      <c r="S4211" s="188"/>
    </row>
    <row r="4212" spans="19:19" ht="60" customHeight="1" x14ac:dyDescent="0.25">
      <c r="S4212" s="188"/>
    </row>
    <row r="4213" spans="19:19" ht="60" customHeight="1" x14ac:dyDescent="0.25">
      <c r="S4213" s="188"/>
    </row>
    <row r="4214" spans="19:19" ht="60" customHeight="1" x14ac:dyDescent="0.25">
      <c r="S4214" s="188"/>
    </row>
    <row r="4215" spans="19:19" ht="60" customHeight="1" x14ac:dyDescent="0.25">
      <c r="S4215" s="188"/>
    </row>
    <row r="4216" spans="19:19" ht="60" customHeight="1" x14ac:dyDescent="0.25">
      <c r="S4216" s="188"/>
    </row>
    <row r="4217" spans="19:19" ht="60" customHeight="1" x14ac:dyDescent="0.25">
      <c r="S4217" s="188"/>
    </row>
    <row r="4218" spans="19:19" ht="60" customHeight="1" x14ac:dyDescent="0.25">
      <c r="S4218" s="188"/>
    </row>
    <row r="4219" spans="19:19" ht="60" customHeight="1" x14ac:dyDescent="0.25">
      <c r="S4219" s="188"/>
    </row>
    <row r="4220" spans="19:19" ht="60" customHeight="1" x14ac:dyDescent="0.25">
      <c r="S4220" s="188"/>
    </row>
    <row r="4221" spans="19:19" ht="60" customHeight="1" x14ac:dyDescent="0.25">
      <c r="S4221" s="188"/>
    </row>
    <row r="4222" spans="19:19" ht="60" customHeight="1" x14ac:dyDescent="0.25">
      <c r="S4222" s="188"/>
    </row>
    <row r="4223" spans="19:19" ht="60" customHeight="1" x14ac:dyDescent="0.25">
      <c r="S4223" s="188"/>
    </row>
    <row r="4224" spans="19:19" ht="60" customHeight="1" x14ac:dyDescent="0.25">
      <c r="S4224" s="188"/>
    </row>
    <row r="4225" spans="19:19" ht="60" customHeight="1" x14ac:dyDescent="0.25">
      <c r="S4225" s="188"/>
    </row>
    <row r="4226" spans="19:19" ht="60" customHeight="1" x14ac:dyDescent="0.25">
      <c r="S4226" s="188"/>
    </row>
    <row r="4227" spans="19:19" ht="60" customHeight="1" x14ac:dyDescent="0.25">
      <c r="S4227" s="188"/>
    </row>
    <row r="4228" spans="19:19" ht="60" customHeight="1" x14ac:dyDescent="0.25">
      <c r="S4228" s="188"/>
    </row>
    <row r="4229" spans="19:19" ht="60" customHeight="1" x14ac:dyDescent="0.25">
      <c r="S4229" s="188"/>
    </row>
    <row r="4230" spans="19:19" ht="60" customHeight="1" x14ac:dyDescent="0.25">
      <c r="S4230" s="188"/>
    </row>
    <row r="4231" spans="19:19" ht="60" customHeight="1" x14ac:dyDescent="0.25">
      <c r="S4231" s="188"/>
    </row>
    <row r="4232" spans="19:19" ht="60" customHeight="1" x14ac:dyDescent="0.25">
      <c r="S4232" s="188"/>
    </row>
    <row r="4233" spans="19:19" ht="60" customHeight="1" x14ac:dyDescent="0.25">
      <c r="S4233" s="188"/>
    </row>
    <row r="4234" spans="19:19" ht="60" customHeight="1" x14ac:dyDescent="0.25">
      <c r="S4234" s="188"/>
    </row>
    <row r="4235" spans="19:19" ht="60" customHeight="1" x14ac:dyDescent="0.25">
      <c r="S4235" s="188"/>
    </row>
    <row r="4236" spans="19:19" ht="60" customHeight="1" x14ac:dyDescent="0.25">
      <c r="S4236" s="188"/>
    </row>
    <row r="4237" spans="19:19" ht="60" customHeight="1" x14ac:dyDescent="0.25">
      <c r="S4237" s="188"/>
    </row>
    <row r="4238" spans="19:19" ht="60" customHeight="1" x14ac:dyDescent="0.25">
      <c r="S4238" s="188"/>
    </row>
    <row r="4239" spans="19:19" ht="60" customHeight="1" x14ac:dyDescent="0.25">
      <c r="S4239" s="188"/>
    </row>
    <row r="4240" spans="19:19" ht="60" customHeight="1" x14ac:dyDescent="0.25">
      <c r="S4240" s="188"/>
    </row>
    <row r="4241" spans="19:19" ht="60" customHeight="1" x14ac:dyDescent="0.25">
      <c r="S4241" s="188"/>
    </row>
    <row r="4242" spans="19:19" ht="60" customHeight="1" x14ac:dyDescent="0.25">
      <c r="S4242" s="188"/>
    </row>
    <row r="4243" spans="19:19" ht="60" customHeight="1" x14ac:dyDescent="0.25">
      <c r="S4243" s="188"/>
    </row>
    <row r="4244" spans="19:19" ht="60" customHeight="1" x14ac:dyDescent="0.25">
      <c r="S4244" s="188"/>
    </row>
    <row r="4245" spans="19:19" ht="60" customHeight="1" x14ac:dyDescent="0.25">
      <c r="S4245" s="188"/>
    </row>
    <row r="4246" spans="19:19" ht="60" customHeight="1" x14ac:dyDescent="0.25">
      <c r="S4246" s="188"/>
    </row>
    <row r="4247" spans="19:19" ht="60" customHeight="1" x14ac:dyDescent="0.25">
      <c r="S4247" s="188"/>
    </row>
    <row r="4248" spans="19:19" ht="60" customHeight="1" x14ac:dyDescent="0.25">
      <c r="S4248" s="188"/>
    </row>
    <row r="4249" spans="19:19" ht="60" customHeight="1" x14ac:dyDescent="0.25">
      <c r="S4249" s="188"/>
    </row>
    <row r="4250" spans="19:19" ht="60" customHeight="1" x14ac:dyDescent="0.25">
      <c r="S4250" s="188"/>
    </row>
    <row r="4251" spans="19:19" ht="60" customHeight="1" x14ac:dyDescent="0.25">
      <c r="S4251" s="188"/>
    </row>
    <row r="4252" spans="19:19" ht="60" customHeight="1" x14ac:dyDescent="0.25">
      <c r="S4252" s="188"/>
    </row>
    <row r="4253" spans="19:19" ht="60" customHeight="1" x14ac:dyDescent="0.25">
      <c r="S4253" s="188"/>
    </row>
    <row r="4254" spans="19:19" ht="60" customHeight="1" x14ac:dyDescent="0.25">
      <c r="S4254" s="188"/>
    </row>
    <row r="4255" spans="19:19" ht="60" customHeight="1" x14ac:dyDescent="0.25">
      <c r="S4255" s="188"/>
    </row>
    <row r="4256" spans="19:19" ht="60" customHeight="1" x14ac:dyDescent="0.25">
      <c r="S4256" s="188"/>
    </row>
    <row r="4257" spans="19:19" ht="60" customHeight="1" x14ac:dyDescent="0.25">
      <c r="S4257" s="188"/>
    </row>
    <row r="4258" spans="19:19" ht="60" customHeight="1" x14ac:dyDescent="0.25">
      <c r="S4258" s="188"/>
    </row>
    <row r="4259" spans="19:19" ht="60" customHeight="1" x14ac:dyDescent="0.25">
      <c r="S4259" s="188"/>
    </row>
    <row r="4260" spans="19:19" ht="60" customHeight="1" x14ac:dyDescent="0.25">
      <c r="S4260" s="188"/>
    </row>
    <row r="4261" spans="19:19" ht="60" customHeight="1" x14ac:dyDescent="0.25">
      <c r="S4261" s="188"/>
    </row>
    <row r="4262" spans="19:19" ht="60" customHeight="1" x14ac:dyDescent="0.25">
      <c r="S4262" s="188"/>
    </row>
    <row r="4263" spans="19:19" ht="60" customHeight="1" x14ac:dyDescent="0.25">
      <c r="S4263" s="188"/>
    </row>
    <row r="4264" spans="19:19" ht="60" customHeight="1" x14ac:dyDescent="0.25">
      <c r="S4264" s="188"/>
    </row>
    <row r="4265" spans="19:19" ht="60" customHeight="1" x14ac:dyDescent="0.25">
      <c r="S4265" s="188"/>
    </row>
    <row r="4266" spans="19:19" ht="60" customHeight="1" x14ac:dyDescent="0.25">
      <c r="S4266" s="188"/>
    </row>
    <row r="4267" spans="19:19" ht="60" customHeight="1" x14ac:dyDescent="0.25">
      <c r="S4267" s="188"/>
    </row>
    <row r="4268" spans="19:19" ht="60" customHeight="1" x14ac:dyDescent="0.25">
      <c r="S4268" s="188"/>
    </row>
    <row r="4269" spans="19:19" ht="60" customHeight="1" x14ac:dyDescent="0.25">
      <c r="S4269" s="188"/>
    </row>
    <row r="4270" spans="19:19" ht="60" customHeight="1" x14ac:dyDescent="0.25">
      <c r="S4270" s="188"/>
    </row>
    <row r="4271" spans="19:19" ht="60" customHeight="1" x14ac:dyDescent="0.25">
      <c r="S4271" s="188"/>
    </row>
    <row r="4272" spans="19:19" ht="60" customHeight="1" x14ac:dyDescent="0.25">
      <c r="S4272" s="188"/>
    </row>
    <row r="4273" spans="19:19" ht="60" customHeight="1" x14ac:dyDescent="0.25">
      <c r="S4273" s="188"/>
    </row>
    <row r="4274" spans="19:19" ht="60" customHeight="1" x14ac:dyDescent="0.25">
      <c r="S4274" s="188"/>
    </row>
    <row r="4275" spans="19:19" ht="60" customHeight="1" x14ac:dyDescent="0.25">
      <c r="S4275" s="188"/>
    </row>
    <row r="4276" spans="19:19" ht="60" customHeight="1" x14ac:dyDescent="0.25">
      <c r="S4276" s="188"/>
    </row>
    <row r="4277" spans="19:19" ht="60" customHeight="1" x14ac:dyDescent="0.25">
      <c r="S4277" s="188"/>
    </row>
    <row r="4278" spans="19:19" ht="60" customHeight="1" x14ac:dyDescent="0.25">
      <c r="S4278" s="188"/>
    </row>
    <row r="4279" spans="19:19" ht="60" customHeight="1" x14ac:dyDescent="0.25">
      <c r="S4279" s="188"/>
    </row>
    <row r="4280" spans="19:19" ht="60" customHeight="1" x14ac:dyDescent="0.25">
      <c r="S4280" s="188"/>
    </row>
    <row r="4281" spans="19:19" ht="60" customHeight="1" x14ac:dyDescent="0.25">
      <c r="S4281" s="188"/>
    </row>
    <row r="4282" spans="19:19" ht="60" customHeight="1" x14ac:dyDescent="0.25">
      <c r="S4282" s="188"/>
    </row>
    <row r="4283" spans="19:19" ht="60" customHeight="1" x14ac:dyDescent="0.25">
      <c r="S4283" s="188"/>
    </row>
    <row r="4284" spans="19:19" ht="60" customHeight="1" x14ac:dyDescent="0.25">
      <c r="S4284" s="188"/>
    </row>
    <row r="4285" spans="19:19" ht="60" customHeight="1" x14ac:dyDescent="0.25">
      <c r="S4285" s="188"/>
    </row>
    <row r="4286" spans="19:19" ht="60" customHeight="1" x14ac:dyDescent="0.25">
      <c r="S4286" s="188"/>
    </row>
    <row r="4287" spans="19:19" ht="60" customHeight="1" x14ac:dyDescent="0.25">
      <c r="S4287" s="188"/>
    </row>
    <row r="4288" spans="19:19" ht="60" customHeight="1" x14ac:dyDescent="0.25">
      <c r="S4288" s="188"/>
    </row>
    <row r="4289" spans="19:19" ht="60" customHeight="1" x14ac:dyDescent="0.25">
      <c r="S4289" s="188"/>
    </row>
    <row r="4290" spans="19:19" ht="60" customHeight="1" x14ac:dyDescent="0.25">
      <c r="S4290" s="188"/>
    </row>
    <row r="4291" spans="19:19" ht="60" customHeight="1" x14ac:dyDescent="0.25">
      <c r="S4291" s="188"/>
    </row>
    <row r="4292" spans="19:19" ht="60" customHeight="1" x14ac:dyDescent="0.25">
      <c r="S4292" s="188"/>
    </row>
    <row r="4293" spans="19:19" ht="60" customHeight="1" x14ac:dyDescent="0.25">
      <c r="S4293" s="188"/>
    </row>
    <row r="4294" spans="19:19" ht="60" customHeight="1" x14ac:dyDescent="0.25">
      <c r="S4294" s="188"/>
    </row>
    <row r="4295" spans="19:19" ht="60" customHeight="1" x14ac:dyDescent="0.25">
      <c r="S4295" s="188"/>
    </row>
    <row r="4296" spans="19:19" ht="60" customHeight="1" x14ac:dyDescent="0.25">
      <c r="S4296" s="188"/>
    </row>
    <row r="4297" spans="19:19" ht="60" customHeight="1" x14ac:dyDescent="0.25">
      <c r="S4297" s="188"/>
    </row>
    <row r="4298" spans="19:19" ht="60" customHeight="1" x14ac:dyDescent="0.25">
      <c r="S4298" s="188"/>
    </row>
    <row r="4299" spans="19:19" ht="60" customHeight="1" x14ac:dyDescent="0.25">
      <c r="S4299" s="188"/>
    </row>
    <row r="4300" spans="19:19" ht="60" customHeight="1" x14ac:dyDescent="0.25">
      <c r="S4300" s="188"/>
    </row>
    <row r="4301" spans="19:19" ht="60" customHeight="1" x14ac:dyDescent="0.25">
      <c r="S4301" s="188"/>
    </row>
    <row r="4302" spans="19:19" ht="60" customHeight="1" x14ac:dyDescent="0.25">
      <c r="S4302" s="188"/>
    </row>
    <row r="4303" spans="19:19" ht="60" customHeight="1" x14ac:dyDescent="0.25">
      <c r="S4303" s="188"/>
    </row>
    <row r="4304" spans="19:19" ht="60" customHeight="1" x14ac:dyDescent="0.25">
      <c r="S4304" s="188"/>
    </row>
    <row r="4305" spans="19:19" ht="60" customHeight="1" x14ac:dyDescent="0.25">
      <c r="S4305" s="188"/>
    </row>
    <row r="4306" spans="19:19" ht="60" customHeight="1" x14ac:dyDescent="0.25">
      <c r="S4306" s="188"/>
    </row>
    <row r="4307" spans="19:19" ht="60" customHeight="1" x14ac:dyDescent="0.25">
      <c r="S4307" s="188"/>
    </row>
    <row r="4308" spans="19:19" ht="60" customHeight="1" x14ac:dyDescent="0.25">
      <c r="S4308" s="188"/>
    </row>
    <row r="4309" spans="19:19" ht="60" customHeight="1" x14ac:dyDescent="0.25">
      <c r="S4309" s="188"/>
    </row>
    <row r="4310" spans="19:19" ht="60" customHeight="1" x14ac:dyDescent="0.25">
      <c r="S4310" s="188"/>
    </row>
    <row r="4311" spans="19:19" ht="60" customHeight="1" x14ac:dyDescent="0.25">
      <c r="S4311" s="188"/>
    </row>
    <row r="4312" spans="19:19" ht="60" customHeight="1" x14ac:dyDescent="0.25">
      <c r="S4312" s="188"/>
    </row>
    <row r="4313" spans="19:19" ht="60" customHeight="1" x14ac:dyDescent="0.25">
      <c r="S4313" s="188"/>
    </row>
    <row r="4314" spans="19:19" ht="60" customHeight="1" x14ac:dyDescent="0.25">
      <c r="S4314" s="188"/>
    </row>
    <row r="4315" spans="19:19" ht="60" customHeight="1" x14ac:dyDescent="0.25">
      <c r="S4315" s="188"/>
    </row>
    <row r="4316" spans="19:19" ht="60" customHeight="1" x14ac:dyDescent="0.25">
      <c r="S4316" s="188"/>
    </row>
    <row r="4317" spans="19:19" ht="60" customHeight="1" x14ac:dyDescent="0.25">
      <c r="S4317" s="188"/>
    </row>
    <row r="4318" spans="19:19" ht="60" customHeight="1" x14ac:dyDescent="0.25">
      <c r="S4318" s="188"/>
    </row>
    <row r="4319" spans="19:19" ht="60" customHeight="1" x14ac:dyDescent="0.25">
      <c r="S4319" s="188"/>
    </row>
    <row r="4320" spans="19:19" ht="60" customHeight="1" x14ac:dyDescent="0.25">
      <c r="S4320" s="188"/>
    </row>
    <row r="4321" spans="19:19" ht="60" customHeight="1" x14ac:dyDescent="0.25">
      <c r="S4321" s="188"/>
    </row>
    <row r="4322" spans="19:19" ht="60" customHeight="1" x14ac:dyDescent="0.25">
      <c r="S4322" s="188"/>
    </row>
    <row r="4323" spans="19:19" ht="60" customHeight="1" x14ac:dyDescent="0.25">
      <c r="S4323" s="188"/>
    </row>
    <row r="4324" spans="19:19" ht="60" customHeight="1" x14ac:dyDescent="0.25">
      <c r="S4324" s="188"/>
    </row>
    <row r="4325" spans="19:19" ht="60" customHeight="1" x14ac:dyDescent="0.25">
      <c r="S4325" s="188"/>
    </row>
    <row r="4326" spans="19:19" ht="60" customHeight="1" x14ac:dyDescent="0.25">
      <c r="S4326" s="188"/>
    </row>
    <row r="4327" spans="19:19" ht="60" customHeight="1" x14ac:dyDescent="0.25">
      <c r="S4327" s="188"/>
    </row>
    <row r="4328" spans="19:19" ht="60" customHeight="1" x14ac:dyDescent="0.25">
      <c r="S4328" s="188"/>
    </row>
    <row r="4329" spans="19:19" ht="60" customHeight="1" x14ac:dyDescent="0.25">
      <c r="S4329" s="188"/>
    </row>
    <row r="4330" spans="19:19" ht="60" customHeight="1" x14ac:dyDescent="0.25">
      <c r="S4330" s="188"/>
    </row>
    <row r="4331" spans="19:19" ht="60" customHeight="1" x14ac:dyDescent="0.25">
      <c r="S4331" s="188"/>
    </row>
    <row r="4332" spans="19:19" ht="60" customHeight="1" x14ac:dyDescent="0.25">
      <c r="S4332" s="188"/>
    </row>
    <row r="4333" spans="19:19" ht="60" customHeight="1" x14ac:dyDescent="0.25">
      <c r="S4333" s="188"/>
    </row>
    <row r="4334" spans="19:19" ht="60" customHeight="1" x14ac:dyDescent="0.25">
      <c r="S4334" s="188"/>
    </row>
    <row r="4335" spans="19:19" ht="60" customHeight="1" x14ac:dyDescent="0.25">
      <c r="S4335" s="188"/>
    </row>
    <row r="4336" spans="19:19" ht="60" customHeight="1" x14ac:dyDescent="0.25">
      <c r="S4336" s="188"/>
    </row>
    <row r="4337" spans="19:19" ht="60" customHeight="1" x14ac:dyDescent="0.25">
      <c r="S4337" s="188"/>
    </row>
    <row r="4338" spans="19:19" ht="60" customHeight="1" x14ac:dyDescent="0.25">
      <c r="S4338" s="188"/>
    </row>
    <row r="4339" spans="19:19" ht="60" customHeight="1" x14ac:dyDescent="0.25">
      <c r="S4339" s="188"/>
    </row>
    <row r="4340" spans="19:19" ht="60" customHeight="1" x14ac:dyDescent="0.25">
      <c r="S4340" s="188"/>
    </row>
    <row r="4341" spans="19:19" ht="60" customHeight="1" x14ac:dyDescent="0.25">
      <c r="S4341" s="188"/>
    </row>
    <row r="4342" spans="19:19" ht="60" customHeight="1" x14ac:dyDescent="0.25">
      <c r="S4342" s="188"/>
    </row>
    <row r="4343" spans="19:19" ht="60" customHeight="1" x14ac:dyDescent="0.25">
      <c r="S4343" s="188"/>
    </row>
    <row r="4344" spans="19:19" ht="60" customHeight="1" x14ac:dyDescent="0.25">
      <c r="S4344" s="188"/>
    </row>
    <row r="4345" spans="19:19" ht="60" customHeight="1" x14ac:dyDescent="0.25">
      <c r="S4345" s="188"/>
    </row>
    <row r="4346" spans="19:19" ht="60" customHeight="1" x14ac:dyDescent="0.25">
      <c r="S4346" s="188"/>
    </row>
    <row r="4347" spans="19:19" ht="60" customHeight="1" x14ac:dyDescent="0.25">
      <c r="S4347" s="188"/>
    </row>
    <row r="4348" spans="19:19" ht="60" customHeight="1" x14ac:dyDescent="0.25">
      <c r="S4348" s="188"/>
    </row>
    <row r="4349" spans="19:19" ht="60" customHeight="1" x14ac:dyDescent="0.25">
      <c r="S4349" s="188"/>
    </row>
    <row r="4350" spans="19:19" ht="60" customHeight="1" x14ac:dyDescent="0.25">
      <c r="S4350" s="188"/>
    </row>
    <row r="4351" spans="19:19" ht="60" customHeight="1" x14ac:dyDescent="0.25">
      <c r="S4351" s="188"/>
    </row>
    <row r="4352" spans="19:19" ht="60" customHeight="1" x14ac:dyDescent="0.25">
      <c r="S4352" s="188"/>
    </row>
    <row r="4353" spans="19:19" ht="60" customHeight="1" x14ac:dyDescent="0.25">
      <c r="S4353" s="188"/>
    </row>
    <row r="4354" spans="19:19" ht="60" customHeight="1" x14ac:dyDescent="0.25">
      <c r="S4354" s="188"/>
    </row>
    <row r="4355" spans="19:19" ht="60" customHeight="1" x14ac:dyDescent="0.25">
      <c r="S4355" s="188"/>
    </row>
    <row r="4356" spans="19:19" ht="60" customHeight="1" x14ac:dyDescent="0.25">
      <c r="S4356" s="188"/>
    </row>
    <row r="4357" spans="19:19" ht="60" customHeight="1" x14ac:dyDescent="0.25">
      <c r="S4357" s="188"/>
    </row>
    <row r="4358" spans="19:19" ht="60" customHeight="1" x14ac:dyDescent="0.25">
      <c r="S4358" s="188"/>
    </row>
    <row r="4359" spans="19:19" ht="60" customHeight="1" x14ac:dyDescent="0.25">
      <c r="S4359" s="188"/>
    </row>
    <row r="4360" spans="19:19" ht="60" customHeight="1" x14ac:dyDescent="0.25">
      <c r="S4360" s="188"/>
    </row>
    <row r="4361" spans="19:19" ht="60" customHeight="1" x14ac:dyDescent="0.25">
      <c r="S4361" s="188"/>
    </row>
    <row r="4362" spans="19:19" ht="60" customHeight="1" x14ac:dyDescent="0.25">
      <c r="S4362" s="188"/>
    </row>
    <row r="4363" spans="19:19" ht="60" customHeight="1" x14ac:dyDescent="0.25">
      <c r="S4363" s="188"/>
    </row>
    <row r="4364" spans="19:19" ht="60" customHeight="1" x14ac:dyDescent="0.25">
      <c r="S4364" s="188"/>
    </row>
    <row r="4365" spans="19:19" ht="60" customHeight="1" x14ac:dyDescent="0.25">
      <c r="S4365" s="188"/>
    </row>
    <row r="4366" spans="19:19" ht="60" customHeight="1" x14ac:dyDescent="0.25">
      <c r="S4366" s="188"/>
    </row>
    <row r="4367" spans="19:19" ht="60" customHeight="1" x14ac:dyDescent="0.25">
      <c r="S4367" s="188"/>
    </row>
    <row r="4368" spans="19:19" ht="60" customHeight="1" x14ac:dyDescent="0.25">
      <c r="S4368" s="188"/>
    </row>
    <row r="4369" spans="19:19" ht="60" customHeight="1" x14ac:dyDescent="0.25">
      <c r="S4369" s="188"/>
    </row>
    <row r="4370" spans="19:19" ht="60" customHeight="1" x14ac:dyDescent="0.25">
      <c r="S4370" s="188"/>
    </row>
    <row r="4371" spans="19:19" ht="60" customHeight="1" x14ac:dyDescent="0.25">
      <c r="S4371" s="188"/>
    </row>
    <row r="4372" spans="19:19" ht="60" customHeight="1" x14ac:dyDescent="0.25">
      <c r="S4372" s="188"/>
    </row>
    <row r="4373" spans="19:19" ht="60" customHeight="1" x14ac:dyDescent="0.25">
      <c r="S4373" s="188"/>
    </row>
    <row r="4374" spans="19:19" ht="60" customHeight="1" x14ac:dyDescent="0.25">
      <c r="S4374" s="188"/>
    </row>
    <row r="4375" spans="19:19" ht="60" customHeight="1" x14ac:dyDescent="0.25">
      <c r="S4375" s="188"/>
    </row>
    <row r="4376" spans="19:19" ht="60" customHeight="1" x14ac:dyDescent="0.25">
      <c r="S4376" s="188"/>
    </row>
    <row r="4377" spans="19:19" ht="60" customHeight="1" x14ac:dyDescent="0.25">
      <c r="S4377" s="188"/>
    </row>
    <row r="4378" spans="19:19" ht="60" customHeight="1" x14ac:dyDescent="0.25">
      <c r="S4378" s="188"/>
    </row>
    <row r="4379" spans="19:19" ht="60" customHeight="1" x14ac:dyDescent="0.25">
      <c r="S4379" s="188"/>
    </row>
    <row r="4380" spans="19:19" ht="60" customHeight="1" x14ac:dyDescent="0.25">
      <c r="S4380" s="188"/>
    </row>
    <row r="4381" spans="19:19" ht="60" customHeight="1" x14ac:dyDescent="0.25">
      <c r="S4381" s="188"/>
    </row>
    <row r="4382" spans="19:19" ht="60" customHeight="1" x14ac:dyDescent="0.25">
      <c r="S4382" s="188"/>
    </row>
    <row r="4383" spans="19:19" ht="60" customHeight="1" x14ac:dyDescent="0.25">
      <c r="S4383" s="188"/>
    </row>
    <row r="4384" spans="19:19" ht="60" customHeight="1" x14ac:dyDescent="0.25">
      <c r="S4384" s="188"/>
    </row>
    <row r="4385" spans="19:19" ht="60" customHeight="1" x14ac:dyDescent="0.25">
      <c r="S4385" s="188"/>
    </row>
    <row r="4386" spans="19:19" ht="60" customHeight="1" x14ac:dyDescent="0.25">
      <c r="S4386" s="188"/>
    </row>
    <row r="4387" spans="19:19" ht="60" customHeight="1" x14ac:dyDescent="0.25">
      <c r="S4387" s="188"/>
    </row>
    <row r="4388" spans="19:19" ht="60" customHeight="1" x14ac:dyDescent="0.25">
      <c r="S4388" s="188"/>
    </row>
    <row r="4389" spans="19:19" ht="60" customHeight="1" x14ac:dyDescent="0.25">
      <c r="S4389" s="188"/>
    </row>
    <row r="4390" spans="19:19" ht="60" customHeight="1" x14ac:dyDescent="0.25">
      <c r="S4390" s="188"/>
    </row>
    <row r="4391" spans="19:19" ht="60" customHeight="1" x14ac:dyDescent="0.25">
      <c r="S4391" s="188"/>
    </row>
    <row r="4392" spans="19:19" ht="60" customHeight="1" x14ac:dyDescent="0.25">
      <c r="S4392" s="188"/>
    </row>
    <row r="4393" spans="19:19" ht="60" customHeight="1" x14ac:dyDescent="0.25">
      <c r="S4393" s="188"/>
    </row>
    <row r="4394" spans="19:19" ht="60" customHeight="1" x14ac:dyDescent="0.25">
      <c r="S4394" s="188"/>
    </row>
    <row r="4395" spans="19:19" ht="60" customHeight="1" x14ac:dyDescent="0.25">
      <c r="S4395" s="188"/>
    </row>
    <row r="4396" spans="19:19" ht="60" customHeight="1" x14ac:dyDescent="0.25">
      <c r="S4396" s="188"/>
    </row>
    <row r="4397" spans="19:19" ht="60" customHeight="1" x14ac:dyDescent="0.25">
      <c r="S4397" s="188"/>
    </row>
    <row r="4398" spans="19:19" ht="60" customHeight="1" x14ac:dyDescent="0.25">
      <c r="S4398" s="188"/>
    </row>
    <row r="4399" spans="19:19" ht="60" customHeight="1" x14ac:dyDescent="0.25">
      <c r="S4399" s="188"/>
    </row>
    <row r="4400" spans="19:19" ht="60" customHeight="1" x14ac:dyDescent="0.25">
      <c r="S4400" s="188"/>
    </row>
    <row r="4401" spans="19:19" ht="60" customHeight="1" x14ac:dyDescent="0.25">
      <c r="S4401" s="188"/>
    </row>
    <row r="4402" spans="19:19" ht="60" customHeight="1" x14ac:dyDescent="0.25">
      <c r="S4402" s="188"/>
    </row>
    <row r="4403" spans="19:19" ht="60" customHeight="1" x14ac:dyDescent="0.25">
      <c r="S4403" s="188"/>
    </row>
    <row r="4404" spans="19:19" ht="60" customHeight="1" x14ac:dyDescent="0.25">
      <c r="S4404" s="188"/>
    </row>
    <row r="4405" spans="19:19" ht="60" customHeight="1" x14ac:dyDescent="0.25">
      <c r="S4405" s="188"/>
    </row>
    <row r="4406" spans="19:19" ht="60" customHeight="1" x14ac:dyDescent="0.25">
      <c r="S4406" s="188"/>
    </row>
    <row r="4407" spans="19:19" ht="60" customHeight="1" x14ac:dyDescent="0.25">
      <c r="S4407" s="188"/>
    </row>
    <row r="4408" spans="19:19" ht="60" customHeight="1" x14ac:dyDescent="0.25">
      <c r="S4408" s="188"/>
    </row>
    <row r="4409" spans="19:19" ht="60" customHeight="1" x14ac:dyDescent="0.25">
      <c r="S4409" s="188"/>
    </row>
    <row r="4410" spans="19:19" ht="60" customHeight="1" x14ac:dyDescent="0.25">
      <c r="S4410" s="188"/>
    </row>
    <row r="4411" spans="19:19" ht="60" customHeight="1" x14ac:dyDescent="0.25">
      <c r="S4411" s="188"/>
    </row>
    <row r="4412" spans="19:19" ht="60" customHeight="1" x14ac:dyDescent="0.25">
      <c r="S4412" s="188"/>
    </row>
    <row r="4413" spans="19:19" ht="60" customHeight="1" x14ac:dyDescent="0.25">
      <c r="S4413" s="188"/>
    </row>
    <row r="4414" spans="19:19" ht="60" customHeight="1" x14ac:dyDescent="0.25">
      <c r="S4414" s="188"/>
    </row>
    <row r="4415" spans="19:19" ht="60" customHeight="1" x14ac:dyDescent="0.25">
      <c r="S4415" s="188"/>
    </row>
    <row r="4416" spans="19:19" ht="60" customHeight="1" x14ac:dyDescent="0.25">
      <c r="S4416" s="188"/>
    </row>
    <row r="4417" spans="19:19" ht="60" customHeight="1" x14ac:dyDescent="0.25">
      <c r="S4417" s="188"/>
    </row>
    <row r="4418" spans="19:19" ht="60" customHeight="1" x14ac:dyDescent="0.25">
      <c r="S4418" s="188"/>
    </row>
    <row r="4419" spans="19:19" ht="60" customHeight="1" x14ac:dyDescent="0.25">
      <c r="S4419" s="188"/>
    </row>
    <row r="4420" spans="19:19" ht="60" customHeight="1" x14ac:dyDescent="0.25">
      <c r="S4420" s="188"/>
    </row>
    <row r="4421" spans="19:19" ht="60" customHeight="1" x14ac:dyDescent="0.25">
      <c r="S4421" s="188"/>
    </row>
    <row r="4422" spans="19:19" ht="60" customHeight="1" x14ac:dyDescent="0.25">
      <c r="S4422" s="188"/>
    </row>
    <row r="4423" spans="19:19" ht="60" customHeight="1" x14ac:dyDescent="0.25">
      <c r="S4423" s="188"/>
    </row>
    <row r="4424" spans="19:19" ht="60" customHeight="1" x14ac:dyDescent="0.25">
      <c r="S4424" s="188"/>
    </row>
    <row r="4425" spans="19:19" ht="60" customHeight="1" x14ac:dyDescent="0.25">
      <c r="S4425" s="188"/>
    </row>
    <row r="4426" spans="19:19" ht="60" customHeight="1" x14ac:dyDescent="0.25">
      <c r="S4426" s="188"/>
    </row>
    <row r="4427" spans="19:19" ht="60" customHeight="1" x14ac:dyDescent="0.25">
      <c r="S4427" s="188"/>
    </row>
    <row r="4428" spans="19:19" ht="60" customHeight="1" x14ac:dyDescent="0.25">
      <c r="S4428" s="188"/>
    </row>
    <row r="4429" spans="19:19" ht="60" customHeight="1" x14ac:dyDescent="0.25">
      <c r="S4429" s="188"/>
    </row>
    <row r="4430" spans="19:19" ht="60" customHeight="1" x14ac:dyDescent="0.25">
      <c r="S4430" s="188"/>
    </row>
    <row r="4431" spans="19:19" ht="60" customHeight="1" x14ac:dyDescent="0.25">
      <c r="S4431" s="188"/>
    </row>
    <row r="4432" spans="19:19" ht="60" customHeight="1" x14ac:dyDescent="0.25">
      <c r="S4432" s="188"/>
    </row>
    <row r="4433" spans="19:19" ht="60" customHeight="1" x14ac:dyDescent="0.25">
      <c r="S4433" s="188"/>
    </row>
    <row r="4434" spans="19:19" ht="60" customHeight="1" x14ac:dyDescent="0.25">
      <c r="S4434" s="188"/>
    </row>
    <row r="4435" spans="19:19" ht="60" customHeight="1" x14ac:dyDescent="0.25">
      <c r="S4435" s="188"/>
    </row>
    <row r="4436" spans="19:19" ht="60" customHeight="1" x14ac:dyDescent="0.25">
      <c r="S4436" s="188"/>
    </row>
    <row r="4437" spans="19:19" ht="60" customHeight="1" x14ac:dyDescent="0.25">
      <c r="S4437" s="188"/>
    </row>
    <row r="4438" spans="19:19" ht="60" customHeight="1" x14ac:dyDescent="0.25">
      <c r="S4438" s="188"/>
    </row>
    <row r="4439" spans="19:19" ht="60" customHeight="1" x14ac:dyDescent="0.25">
      <c r="S4439" s="188"/>
    </row>
    <row r="4440" spans="19:19" ht="60" customHeight="1" x14ac:dyDescent="0.25">
      <c r="S4440" s="188"/>
    </row>
    <row r="4441" spans="19:19" ht="60" customHeight="1" x14ac:dyDescent="0.25">
      <c r="S4441" s="188"/>
    </row>
    <row r="4442" spans="19:19" ht="60" customHeight="1" x14ac:dyDescent="0.25">
      <c r="S4442" s="188"/>
    </row>
    <row r="4443" spans="19:19" ht="60" customHeight="1" x14ac:dyDescent="0.25">
      <c r="S4443" s="188"/>
    </row>
    <row r="4444" spans="19:19" ht="60" customHeight="1" x14ac:dyDescent="0.25">
      <c r="S4444" s="188"/>
    </row>
    <row r="4445" spans="19:19" ht="60" customHeight="1" x14ac:dyDescent="0.25">
      <c r="S4445" s="188"/>
    </row>
    <row r="4446" spans="19:19" ht="60" customHeight="1" x14ac:dyDescent="0.25">
      <c r="S4446" s="188"/>
    </row>
    <row r="4447" spans="19:19" ht="60" customHeight="1" x14ac:dyDescent="0.25">
      <c r="S4447" s="188"/>
    </row>
    <row r="4448" spans="19:19" ht="60" customHeight="1" x14ac:dyDescent="0.25">
      <c r="S4448" s="188"/>
    </row>
    <row r="4449" spans="19:19" ht="60" customHeight="1" x14ac:dyDescent="0.25">
      <c r="S4449" s="188"/>
    </row>
    <row r="4450" spans="19:19" ht="60" customHeight="1" x14ac:dyDescent="0.25">
      <c r="S4450" s="188"/>
    </row>
    <row r="4451" spans="19:19" ht="60" customHeight="1" x14ac:dyDescent="0.25">
      <c r="S4451" s="188"/>
    </row>
    <row r="4452" spans="19:19" ht="60" customHeight="1" x14ac:dyDescent="0.25">
      <c r="S4452" s="188"/>
    </row>
    <row r="4453" spans="19:19" ht="60" customHeight="1" x14ac:dyDescent="0.25">
      <c r="S4453" s="188"/>
    </row>
    <row r="4454" spans="19:19" ht="60" customHeight="1" x14ac:dyDescent="0.25">
      <c r="S4454" s="188"/>
    </row>
    <row r="4455" spans="19:19" ht="60" customHeight="1" x14ac:dyDescent="0.25">
      <c r="S4455" s="188"/>
    </row>
    <row r="4456" spans="19:19" ht="60" customHeight="1" x14ac:dyDescent="0.25">
      <c r="S4456" s="188"/>
    </row>
    <row r="4457" spans="19:19" ht="60" customHeight="1" x14ac:dyDescent="0.25">
      <c r="S4457" s="188"/>
    </row>
    <row r="4458" spans="19:19" ht="60" customHeight="1" x14ac:dyDescent="0.25">
      <c r="S4458" s="188"/>
    </row>
    <row r="4459" spans="19:19" ht="60" customHeight="1" x14ac:dyDescent="0.25">
      <c r="S4459" s="188"/>
    </row>
    <row r="4460" spans="19:19" ht="60" customHeight="1" x14ac:dyDescent="0.25">
      <c r="S4460" s="188"/>
    </row>
    <row r="4461" spans="19:19" ht="60" customHeight="1" x14ac:dyDescent="0.25">
      <c r="S4461" s="188"/>
    </row>
    <row r="4462" spans="19:19" ht="60" customHeight="1" x14ac:dyDescent="0.25">
      <c r="S4462" s="188"/>
    </row>
    <row r="4463" spans="19:19" ht="60" customHeight="1" x14ac:dyDescent="0.25">
      <c r="S4463" s="188"/>
    </row>
    <row r="4464" spans="19:19" ht="60" customHeight="1" x14ac:dyDescent="0.25">
      <c r="S4464" s="188"/>
    </row>
    <row r="4465" spans="19:19" ht="60" customHeight="1" x14ac:dyDescent="0.25">
      <c r="S4465" s="188"/>
    </row>
    <row r="4466" spans="19:19" ht="60" customHeight="1" x14ac:dyDescent="0.25">
      <c r="S4466" s="188"/>
    </row>
    <row r="4467" spans="19:19" ht="60" customHeight="1" x14ac:dyDescent="0.25">
      <c r="S4467" s="188"/>
    </row>
    <row r="4468" spans="19:19" ht="60" customHeight="1" x14ac:dyDescent="0.25">
      <c r="S4468" s="188"/>
    </row>
    <row r="4469" spans="19:19" ht="60" customHeight="1" x14ac:dyDescent="0.25">
      <c r="S4469" s="188"/>
    </row>
    <row r="4470" spans="19:19" ht="60" customHeight="1" x14ac:dyDescent="0.25">
      <c r="S4470" s="188"/>
    </row>
    <row r="4471" spans="19:19" ht="60" customHeight="1" x14ac:dyDescent="0.25">
      <c r="S4471" s="188"/>
    </row>
    <row r="4472" spans="19:19" ht="60" customHeight="1" x14ac:dyDescent="0.25">
      <c r="S4472" s="188"/>
    </row>
    <row r="4473" spans="19:19" ht="60" customHeight="1" x14ac:dyDescent="0.25">
      <c r="S4473" s="188"/>
    </row>
    <row r="4474" spans="19:19" ht="60" customHeight="1" x14ac:dyDescent="0.25">
      <c r="S4474" s="188"/>
    </row>
    <row r="4475" spans="19:19" ht="60" customHeight="1" x14ac:dyDescent="0.25">
      <c r="S4475" s="188"/>
    </row>
    <row r="4476" spans="19:19" ht="60" customHeight="1" x14ac:dyDescent="0.25">
      <c r="S4476" s="188"/>
    </row>
    <row r="4477" spans="19:19" ht="60" customHeight="1" x14ac:dyDescent="0.25">
      <c r="S4477" s="188"/>
    </row>
    <row r="4478" spans="19:19" ht="60" customHeight="1" x14ac:dyDescent="0.25">
      <c r="S4478" s="188"/>
    </row>
    <row r="4479" spans="19:19" ht="60" customHeight="1" x14ac:dyDescent="0.25">
      <c r="S4479" s="188"/>
    </row>
    <row r="4480" spans="19:19" ht="60" customHeight="1" x14ac:dyDescent="0.25">
      <c r="S4480" s="188"/>
    </row>
    <row r="4481" spans="19:19" ht="60" customHeight="1" x14ac:dyDescent="0.25">
      <c r="S4481" s="188"/>
    </row>
    <row r="4482" spans="19:19" ht="60" customHeight="1" x14ac:dyDescent="0.25">
      <c r="S4482" s="188"/>
    </row>
    <row r="4483" spans="19:19" ht="60" customHeight="1" x14ac:dyDescent="0.25">
      <c r="S4483" s="188"/>
    </row>
    <row r="4484" spans="19:19" ht="60" customHeight="1" x14ac:dyDescent="0.25">
      <c r="S4484" s="188"/>
    </row>
    <row r="4485" spans="19:19" ht="60" customHeight="1" x14ac:dyDescent="0.25">
      <c r="S4485" s="188"/>
    </row>
    <row r="4486" spans="19:19" ht="60" customHeight="1" x14ac:dyDescent="0.25">
      <c r="S4486" s="188"/>
    </row>
    <row r="4487" spans="19:19" ht="60" customHeight="1" x14ac:dyDescent="0.25">
      <c r="S4487" s="188"/>
    </row>
    <row r="4488" spans="19:19" ht="60" customHeight="1" x14ac:dyDescent="0.25">
      <c r="S4488" s="188"/>
    </row>
    <row r="4489" spans="19:19" ht="60" customHeight="1" x14ac:dyDescent="0.25">
      <c r="S4489" s="188"/>
    </row>
    <row r="4490" spans="19:19" ht="60" customHeight="1" x14ac:dyDescent="0.25">
      <c r="S4490" s="188"/>
    </row>
    <row r="4491" spans="19:19" ht="60" customHeight="1" x14ac:dyDescent="0.25">
      <c r="S4491" s="188"/>
    </row>
    <row r="4492" spans="19:19" ht="60" customHeight="1" x14ac:dyDescent="0.25">
      <c r="S4492" s="188"/>
    </row>
    <row r="4493" spans="19:19" ht="60" customHeight="1" x14ac:dyDescent="0.25">
      <c r="S4493" s="188"/>
    </row>
    <row r="4494" spans="19:19" ht="60" customHeight="1" x14ac:dyDescent="0.25">
      <c r="S4494" s="188"/>
    </row>
    <row r="4495" spans="19:19" ht="60" customHeight="1" x14ac:dyDescent="0.25">
      <c r="S4495" s="188"/>
    </row>
    <row r="4496" spans="19:19" ht="60" customHeight="1" x14ac:dyDescent="0.25">
      <c r="S4496" s="188"/>
    </row>
    <row r="4497" spans="19:19" ht="60" customHeight="1" x14ac:dyDescent="0.25">
      <c r="S4497" s="188"/>
    </row>
    <row r="4498" spans="19:19" ht="60" customHeight="1" x14ac:dyDescent="0.25">
      <c r="S4498" s="188"/>
    </row>
    <row r="4499" spans="19:19" ht="60" customHeight="1" x14ac:dyDescent="0.25">
      <c r="S4499" s="188"/>
    </row>
    <row r="4500" spans="19:19" ht="60" customHeight="1" x14ac:dyDescent="0.25">
      <c r="S4500" s="188"/>
    </row>
    <row r="4501" spans="19:19" ht="60" customHeight="1" x14ac:dyDescent="0.25">
      <c r="S4501" s="188"/>
    </row>
    <row r="4502" spans="19:19" ht="60" customHeight="1" x14ac:dyDescent="0.25">
      <c r="S4502" s="188"/>
    </row>
    <row r="4503" spans="19:19" ht="60" customHeight="1" x14ac:dyDescent="0.25">
      <c r="S4503" s="188"/>
    </row>
    <row r="4504" spans="19:19" ht="60" customHeight="1" x14ac:dyDescent="0.25">
      <c r="S4504" s="188"/>
    </row>
    <row r="4505" spans="19:19" ht="60" customHeight="1" x14ac:dyDescent="0.25">
      <c r="S4505" s="188"/>
    </row>
    <row r="4506" spans="19:19" ht="60" customHeight="1" x14ac:dyDescent="0.25">
      <c r="S4506" s="188"/>
    </row>
    <row r="4507" spans="19:19" ht="60" customHeight="1" x14ac:dyDescent="0.25">
      <c r="S4507" s="188"/>
    </row>
    <row r="4508" spans="19:19" ht="60" customHeight="1" x14ac:dyDescent="0.25">
      <c r="S4508" s="188"/>
    </row>
    <row r="4509" spans="19:19" ht="60" customHeight="1" x14ac:dyDescent="0.25">
      <c r="S4509" s="188"/>
    </row>
    <row r="4510" spans="19:19" ht="60" customHeight="1" x14ac:dyDescent="0.25">
      <c r="S4510" s="188"/>
    </row>
    <row r="4511" spans="19:19" ht="60" customHeight="1" x14ac:dyDescent="0.25">
      <c r="S4511" s="188"/>
    </row>
    <row r="4512" spans="19:19" ht="60" customHeight="1" x14ac:dyDescent="0.25">
      <c r="S4512" s="188"/>
    </row>
    <row r="4513" spans="19:19" ht="60" customHeight="1" x14ac:dyDescent="0.25">
      <c r="S4513" s="188"/>
    </row>
    <row r="4514" spans="19:19" ht="60" customHeight="1" x14ac:dyDescent="0.25">
      <c r="S4514" s="188"/>
    </row>
    <row r="4515" spans="19:19" ht="60" customHeight="1" x14ac:dyDescent="0.25">
      <c r="S4515" s="188"/>
    </row>
    <row r="4516" spans="19:19" ht="60" customHeight="1" x14ac:dyDescent="0.25">
      <c r="S4516" s="188"/>
    </row>
    <row r="4517" spans="19:19" ht="60" customHeight="1" x14ac:dyDescent="0.25">
      <c r="S4517" s="188"/>
    </row>
    <row r="4518" spans="19:19" ht="60" customHeight="1" x14ac:dyDescent="0.25">
      <c r="S4518" s="188"/>
    </row>
    <row r="4519" spans="19:19" ht="60" customHeight="1" x14ac:dyDescent="0.25">
      <c r="S4519" s="188"/>
    </row>
    <row r="4520" spans="19:19" ht="60" customHeight="1" x14ac:dyDescent="0.25">
      <c r="S4520" s="188"/>
    </row>
    <row r="4521" spans="19:19" ht="60" customHeight="1" x14ac:dyDescent="0.25">
      <c r="S4521" s="188"/>
    </row>
    <row r="4522" spans="19:19" ht="60" customHeight="1" x14ac:dyDescent="0.25">
      <c r="S4522" s="188"/>
    </row>
    <row r="4523" spans="19:19" ht="60" customHeight="1" x14ac:dyDescent="0.25">
      <c r="S4523" s="188"/>
    </row>
    <row r="4524" spans="19:19" ht="60" customHeight="1" x14ac:dyDescent="0.25">
      <c r="S4524" s="188"/>
    </row>
    <row r="4525" spans="19:19" ht="60" customHeight="1" x14ac:dyDescent="0.25">
      <c r="S4525" s="188"/>
    </row>
    <row r="4526" spans="19:19" ht="60" customHeight="1" x14ac:dyDescent="0.25">
      <c r="S4526" s="188"/>
    </row>
    <row r="4527" spans="19:19" ht="60" customHeight="1" x14ac:dyDescent="0.25">
      <c r="S4527" s="188"/>
    </row>
    <row r="4528" spans="19:19" ht="60" customHeight="1" x14ac:dyDescent="0.25">
      <c r="S4528" s="188"/>
    </row>
    <row r="4529" spans="19:19" ht="60" customHeight="1" x14ac:dyDescent="0.25">
      <c r="S4529" s="188"/>
    </row>
    <row r="4530" spans="19:19" ht="60" customHeight="1" x14ac:dyDescent="0.25">
      <c r="S4530" s="188"/>
    </row>
    <row r="4531" spans="19:19" ht="60" customHeight="1" x14ac:dyDescent="0.25">
      <c r="S4531" s="188"/>
    </row>
    <row r="4532" spans="19:19" ht="60" customHeight="1" x14ac:dyDescent="0.25">
      <c r="S4532" s="188"/>
    </row>
    <row r="4533" spans="19:19" ht="60" customHeight="1" x14ac:dyDescent="0.25">
      <c r="S4533" s="188"/>
    </row>
    <row r="4534" spans="19:19" ht="60" customHeight="1" x14ac:dyDescent="0.25">
      <c r="S4534" s="188"/>
    </row>
    <row r="4535" spans="19:19" ht="60" customHeight="1" x14ac:dyDescent="0.25">
      <c r="S4535" s="188"/>
    </row>
    <row r="4536" spans="19:19" ht="60" customHeight="1" x14ac:dyDescent="0.25">
      <c r="S4536" s="188"/>
    </row>
    <row r="4537" spans="19:19" ht="60" customHeight="1" x14ac:dyDescent="0.25">
      <c r="S4537" s="188"/>
    </row>
    <row r="4538" spans="19:19" ht="60" customHeight="1" x14ac:dyDescent="0.25">
      <c r="S4538" s="188"/>
    </row>
    <row r="4539" spans="19:19" ht="60" customHeight="1" x14ac:dyDescent="0.25">
      <c r="S4539" s="188"/>
    </row>
    <row r="4540" spans="19:19" ht="60" customHeight="1" x14ac:dyDescent="0.25">
      <c r="S4540" s="188"/>
    </row>
    <row r="4541" spans="19:19" ht="60" customHeight="1" x14ac:dyDescent="0.25">
      <c r="S4541" s="188"/>
    </row>
    <row r="4542" spans="19:19" ht="60" customHeight="1" x14ac:dyDescent="0.25">
      <c r="S4542" s="188"/>
    </row>
    <row r="4543" spans="19:19" ht="60" customHeight="1" x14ac:dyDescent="0.25">
      <c r="S4543" s="188"/>
    </row>
    <row r="4544" spans="19:19" ht="60" customHeight="1" x14ac:dyDescent="0.25">
      <c r="S4544" s="188"/>
    </row>
    <row r="4545" spans="19:19" ht="60" customHeight="1" x14ac:dyDescent="0.25">
      <c r="S4545" s="188"/>
    </row>
    <row r="4546" spans="19:19" ht="60" customHeight="1" x14ac:dyDescent="0.25">
      <c r="S4546" s="188"/>
    </row>
    <row r="4547" spans="19:19" ht="60" customHeight="1" x14ac:dyDescent="0.25">
      <c r="S4547" s="188"/>
    </row>
    <row r="4548" spans="19:19" ht="60" customHeight="1" x14ac:dyDescent="0.25">
      <c r="S4548" s="188"/>
    </row>
    <row r="4549" spans="19:19" ht="60" customHeight="1" x14ac:dyDescent="0.25">
      <c r="S4549" s="188"/>
    </row>
    <row r="4550" spans="19:19" ht="60" customHeight="1" x14ac:dyDescent="0.25">
      <c r="S4550" s="188"/>
    </row>
    <row r="4551" spans="19:19" ht="60" customHeight="1" x14ac:dyDescent="0.25">
      <c r="S4551" s="188"/>
    </row>
    <row r="4552" spans="19:19" ht="60" customHeight="1" x14ac:dyDescent="0.25">
      <c r="S4552" s="188"/>
    </row>
    <row r="4553" spans="19:19" ht="60" customHeight="1" x14ac:dyDescent="0.25">
      <c r="S4553" s="188"/>
    </row>
    <row r="4554" spans="19:19" ht="60" customHeight="1" x14ac:dyDescent="0.25">
      <c r="S4554" s="188"/>
    </row>
    <row r="4555" spans="19:19" ht="60" customHeight="1" x14ac:dyDescent="0.25">
      <c r="S4555" s="188"/>
    </row>
    <row r="4556" spans="19:19" ht="60" customHeight="1" x14ac:dyDescent="0.25">
      <c r="S4556" s="188"/>
    </row>
    <row r="4557" spans="19:19" ht="60" customHeight="1" x14ac:dyDescent="0.25">
      <c r="S4557" s="188"/>
    </row>
    <row r="4558" spans="19:19" ht="60" customHeight="1" x14ac:dyDescent="0.25">
      <c r="S4558" s="188"/>
    </row>
    <row r="4559" spans="19:19" ht="60" customHeight="1" x14ac:dyDescent="0.25">
      <c r="S4559" s="188"/>
    </row>
    <row r="4560" spans="19:19" ht="60" customHeight="1" x14ac:dyDescent="0.25">
      <c r="S4560" s="188"/>
    </row>
    <row r="4561" spans="19:19" ht="60" customHeight="1" x14ac:dyDescent="0.25">
      <c r="S4561" s="188"/>
    </row>
    <row r="4562" spans="19:19" ht="60" customHeight="1" x14ac:dyDescent="0.25">
      <c r="S4562" s="188"/>
    </row>
    <row r="4563" spans="19:19" ht="60" customHeight="1" x14ac:dyDescent="0.25">
      <c r="S4563" s="188"/>
    </row>
    <row r="4564" spans="19:19" ht="60" customHeight="1" x14ac:dyDescent="0.25">
      <c r="S4564" s="188"/>
    </row>
    <row r="4565" spans="19:19" ht="60" customHeight="1" x14ac:dyDescent="0.25">
      <c r="S4565" s="188"/>
    </row>
    <row r="4566" spans="19:19" ht="60" customHeight="1" x14ac:dyDescent="0.25">
      <c r="S4566" s="188"/>
    </row>
    <row r="4567" spans="19:19" ht="60" customHeight="1" x14ac:dyDescent="0.25">
      <c r="S4567" s="188"/>
    </row>
    <row r="4568" spans="19:19" ht="60" customHeight="1" x14ac:dyDescent="0.25">
      <c r="S4568" s="188"/>
    </row>
    <row r="4569" spans="19:19" ht="60" customHeight="1" x14ac:dyDescent="0.25">
      <c r="S4569" s="188"/>
    </row>
    <row r="4570" spans="19:19" ht="60" customHeight="1" x14ac:dyDescent="0.25">
      <c r="S4570" s="188"/>
    </row>
    <row r="4571" spans="19:19" ht="60" customHeight="1" x14ac:dyDescent="0.25">
      <c r="S4571" s="188"/>
    </row>
    <row r="4572" spans="19:19" ht="60" customHeight="1" x14ac:dyDescent="0.25">
      <c r="S4572" s="188"/>
    </row>
    <row r="4573" spans="19:19" ht="60" customHeight="1" x14ac:dyDescent="0.25">
      <c r="S4573" s="188"/>
    </row>
    <row r="4574" spans="19:19" ht="60" customHeight="1" x14ac:dyDescent="0.25">
      <c r="S4574" s="188"/>
    </row>
    <row r="4575" spans="19:19" ht="60" customHeight="1" x14ac:dyDescent="0.25">
      <c r="S4575" s="188"/>
    </row>
    <row r="4576" spans="19:19" ht="60" customHeight="1" x14ac:dyDescent="0.25">
      <c r="S4576" s="188"/>
    </row>
    <row r="4577" spans="19:19" ht="60" customHeight="1" x14ac:dyDescent="0.25">
      <c r="S4577" s="188"/>
    </row>
    <row r="4578" spans="19:19" ht="60" customHeight="1" x14ac:dyDescent="0.25">
      <c r="S4578" s="188"/>
    </row>
    <row r="4579" spans="19:19" ht="60" customHeight="1" x14ac:dyDescent="0.25">
      <c r="S4579" s="188"/>
    </row>
    <row r="4580" spans="19:19" ht="60" customHeight="1" x14ac:dyDescent="0.25">
      <c r="S4580" s="188"/>
    </row>
    <row r="4581" spans="19:19" ht="60" customHeight="1" x14ac:dyDescent="0.25">
      <c r="S4581" s="188"/>
    </row>
    <row r="4582" spans="19:19" ht="60" customHeight="1" x14ac:dyDescent="0.25">
      <c r="S4582" s="188"/>
    </row>
    <row r="4583" spans="19:19" ht="60" customHeight="1" x14ac:dyDescent="0.25">
      <c r="S4583" s="188"/>
    </row>
    <row r="4584" spans="19:19" ht="60" customHeight="1" x14ac:dyDescent="0.25">
      <c r="S4584" s="188"/>
    </row>
    <row r="4585" spans="19:19" ht="60" customHeight="1" x14ac:dyDescent="0.25">
      <c r="S4585" s="188"/>
    </row>
    <row r="4586" spans="19:19" ht="60" customHeight="1" x14ac:dyDescent="0.25">
      <c r="S4586" s="188"/>
    </row>
    <row r="4587" spans="19:19" ht="60" customHeight="1" x14ac:dyDescent="0.25">
      <c r="S4587" s="188"/>
    </row>
    <row r="4588" spans="19:19" ht="60" customHeight="1" x14ac:dyDescent="0.25">
      <c r="S4588" s="188"/>
    </row>
    <row r="4589" spans="19:19" ht="60" customHeight="1" x14ac:dyDescent="0.25">
      <c r="S4589" s="188"/>
    </row>
    <row r="4590" spans="19:19" ht="60" customHeight="1" x14ac:dyDescent="0.25">
      <c r="S4590" s="188"/>
    </row>
    <row r="4591" spans="19:19" ht="60" customHeight="1" x14ac:dyDescent="0.25">
      <c r="S4591" s="188"/>
    </row>
    <row r="4592" spans="19:19" ht="60" customHeight="1" x14ac:dyDescent="0.25">
      <c r="S4592" s="188"/>
    </row>
    <row r="4593" spans="19:19" ht="60" customHeight="1" x14ac:dyDescent="0.25">
      <c r="S4593" s="188"/>
    </row>
    <row r="4594" spans="19:19" ht="60" customHeight="1" x14ac:dyDescent="0.25">
      <c r="S4594" s="188"/>
    </row>
    <row r="4595" spans="19:19" ht="60" customHeight="1" x14ac:dyDescent="0.25">
      <c r="S4595" s="188"/>
    </row>
    <row r="4596" spans="19:19" ht="60" customHeight="1" x14ac:dyDescent="0.25">
      <c r="S4596" s="188"/>
    </row>
    <row r="4597" spans="19:19" ht="60" customHeight="1" x14ac:dyDescent="0.25">
      <c r="S4597" s="188"/>
    </row>
    <row r="4598" spans="19:19" ht="60" customHeight="1" x14ac:dyDescent="0.25">
      <c r="S4598" s="188"/>
    </row>
    <row r="4599" spans="19:19" ht="60" customHeight="1" x14ac:dyDescent="0.25">
      <c r="S4599" s="188"/>
    </row>
    <row r="4600" spans="19:19" ht="60" customHeight="1" x14ac:dyDescent="0.25">
      <c r="S4600" s="188"/>
    </row>
    <row r="4601" spans="19:19" ht="60" customHeight="1" x14ac:dyDescent="0.25">
      <c r="S4601" s="188"/>
    </row>
    <row r="4602" spans="19:19" ht="60" customHeight="1" x14ac:dyDescent="0.25">
      <c r="S4602" s="188"/>
    </row>
    <row r="4603" spans="19:19" ht="60" customHeight="1" x14ac:dyDescent="0.25">
      <c r="S4603" s="188"/>
    </row>
    <row r="4604" spans="19:19" ht="60" customHeight="1" x14ac:dyDescent="0.25">
      <c r="S4604" s="188"/>
    </row>
    <row r="4605" spans="19:19" ht="60" customHeight="1" x14ac:dyDescent="0.25">
      <c r="S4605" s="188"/>
    </row>
    <row r="4606" spans="19:19" ht="60" customHeight="1" x14ac:dyDescent="0.25">
      <c r="S4606" s="188"/>
    </row>
    <row r="4607" spans="19:19" ht="60" customHeight="1" x14ac:dyDescent="0.25">
      <c r="S4607" s="188"/>
    </row>
    <row r="4608" spans="19:19" ht="60" customHeight="1" x14ac:dyDescent="0.25">
      <c r="S4608" s="188"/>
    </row>
    <row r="4609" spans="19:19" ht="60" customHeight="1" x14ac:dyDescent="0.25">
      <c r="S4609" s="188"/>
    </row>
    <row r="4610" spans="19:19" ht="60" customHeight="1" x14ac:dyDescent="0.25">
      <c r="S4610" s="188"/>
    </row>
    <row r="4611" spans="19:19" ht="60" customHeight="1" x14ac:dyDescent="0.25">
      <c r="S4611" s="188"/>
    </row>
    <row r="4612" spans="19:19" ht="60" customHeight="1" x14ac:dyDescent="0.25">
      <c r="S4612" s="188"/>
    </row>
    <row r="4613" spans="19:19" ht="60" customHeight="1" x14ac:dyDescent="0.25">
      <c r="S4613" s="188"/>
    </row>
    <row r="4614" spans="19:19" ht="60" customHeight="1" x14ac:dyDescent="0.25">
      <c r="S4614" s="188"/>
    </row>
    <row r="4615" spans="19:19" ht="60" customHeight="1" x14ac:dyDescent="0.25">
      <c r="S4615" s="188"/>
    </row>
    <row r="4616" spans="19:19" ht="60" customHeight="1" x14ac:dyDescent="0.25">
      <c r="S4616" s="188"/>
    </row>
    <row r="4617" spans="19:19" ht="60" customHeight="1" x14ac:dyDescent="0.25">
      <c r="S4617" s="188"/>
    </row>
    <row r="4618" spans="19:19" ht="60" customHeight="1" x14ac:dyDescent="0.25">
      <c r="S4618" s="188"/>
    </row>
    <row r="4619" spans="19:19" ht="60" customHeight="1" x14ac:dyDescent="0.25">
      <c r="S4619" s="188"/>
    </row>
    <row r="4620" spans="19:19" ht="60" customHeight="1" x14ac:dyDescent="0.25">
      <c r="S4620" s="188"/>
    </row>
    <row r="4621" spans="19:19" ht="60" customHeight="1" x14ac:dyDescent="0.25">
      <c r="S4621" s="188"/>
    </row>
    <row r="4622" spans="19:19" ht="60" customHeight="1" x14ac:dyDescent="0.25">
      <c r="S4622" s="188"/>
    </row>
    <row r="4623" spans="19:19" ht="60" customHeight="1" x14ac:dyDescent="0.25">
      <c r="S4623" s="188"/>
    </row>
    <row r="4624" spans="19:19" ht="60" customHeight="1" x14ac:dyDescent="0.25">
      <c r="S4624" s="188"/>
    </row>
    <row r="4625" spans="19:19" ht="60" customHeight="1" x14ac:dyDescent="0.25">
      <c r="S4625" s="188"/>
    </row>
    <row r="4626" spans="19:19" ht="60" customHeight="1" x14ac:dyDescent="0.25">
      <c r="S4626" s="188"/>
    </row>
    <row r="4627" spans="19:19" ht="60" customHeight="1" x14ac:dyDescent="0.25">
      <c r="S4627" s="188"/>
    </row>
    <row r="4628" spans="19:19" ht="60" customHeight="1" x14ac:dyDescent="0.25">
      <c r="S4628" s="188"/>
    </row>
    <row r="4629" spans="19:19" ht="60" customHeight="1" x14ac:dyDescent="0.25">
      <c r="S4629" s="188"/>
    </row>
    <row r="4630" spans="19:19" ht="60" customHeight="1" x14ac:dyDescent="0.25">
      <c r="S4630" s="188"/>
    </row>
    <row r="4631" spans="19:19" ht="60" customHeight="1" x14ac:dyDescent="0.25">
      <c r="S4631" s="188"/>
    </row>
    <row r="4632" spans="19:19" ht="60" customHeight="1" x14ac:dyDescent="0.25">
      <c r="S4632" s="188"/>
    </row>
    <row r="4633" spans="19:19" ht="60" customHeight="1" x14ac:dyDescent="0.25">
      <c r="S4633" s="188"/>
    </row>
    <row r="4634" spans="19:19" ht="60" customHeight="1" x14ac:dyDescent="0.25">
      <c r="S4634" s="188"/>
    </row>
    <row r="4635" spans="19:19" ht="60" customHeight="1" x14ac:dyDescent="0.25">
      <c r="S4635" s="188"/>
    </row>
    <row r="4636" spans="19:19" ht="60" customHeight="1" x14ac:dyDescent="0.25">
      <c r="S4636" s="188"/>
    </row>
    <row r="4637" spans="19:19" ht="60" customHeight="1" x14ac:dyDescent="0.25">
      <c r="S4637" s="188"/>
    </row>
    <row r="4638" spans="19:19" ht="60" customHeight="1" x14ac:dyDescent="0.25">
      <c r="S4638" s="188"/>
    </row>
    <row r="4639" spans="19:19" ht="60" customHeight="1" x14ac:dyDescent="0.25">
      <c r="S4639" s="188"/>
    </row>
    <row r="4640" spans="19:19" ht="60" customHeight="1" x14ac:dyDescent="0.25">
      <c r="S4640" s="188"/>
    </row>
    <row r="4641" spans="19:19" ht="60" customHeight="1" x14ac:dyDescent="0.25">
      <c r="S4641" s="188"/>
    </row>
    <row r="4642" spans="19:19" ht="60" customHeight="1" x14ac:dyDescent="0.25">
      <c r="S4642" s="188"/>
    </row>
    <row r="4643" spans="19:19" ht="60" customHeight="1" x14ac:dyDescent="0.25">
      <c r="S4643" s="188"/>
    </row>
    <row r="4644" spans="19:19" ht="60" customHeight="1" x14ac:dyDescent="0.25">
      <c r="S4644" s="188"/>
    </row>
    <row r="4645" spans="19:19" ht="60" customHeight="1" x14ac:dyDescent="0.25">
      <c r="S4645" s="188"/>
    </row>
    <row r="4646" spans="19:19" ht="60" customHeight="1" x14ac:dyDescent="0.25">
      <c r="S4646" s="188"/>
    </row>
    <row r="4647" spans="19:19" ht="60" customHeight="1" x14ac:dyDescent="0.25">
      <c r="S4647" s="188"/>
    </row>
    <row r="4648" spans="19:19" ht="60" customHeight="1" x14ac:dyDescent="0.25">
      <c r="S4648" s="188"/>
    </row>
    <row r="4649" spans="19:19" ht="60" customHeight="1" x14ac:dyDescent="0.25">
      <c r="S4649" s="188"/>
    </row>
    <row r="4650" spans="19:19" ht="60" customHeight="1" x14ac:dyDescent="0.25">
      <c r="S4650" s="188"/>
    </row>
    <row r="4651" spans="19:19" ht="60" customHeight="1" x14ac:dyDescent="0.25">
      <c r="S4651" s="188"/>
    </row>
    <row r="4652" spans="19:19" ht="60" customHeight="1" x14ac:dyDescent="0.25">
      <c r="S4652" s="188"/>
    </row>
    <row r="4653" spans="19:19" ht="60" customHeight="1" x14ac:dyDescent="0.25">
      <c r="S4653" s="188"/>
    </row>
    <row r="4654" spans="19:19" ht="60" customHeight="1" x14ac:dyDescent="0.25">
      <c r="S4654" s="188"/>
    </row>
    <row r="4655" spans="19:19" ht="60" customHeight="1" x14ac:dyDescent="0.25">
      <c r="S4655" s="188"/>
    </row>
    <row r="4656" spans="19:19" ht="60" customHeight="1" x14ac:dyDescent="0.25">
      <c r="S4656" s="188"/>
    </row>
    <row r="4657" spans="19:19" ht="60" customHeight="1" x14ac:dyDescent="0.25">
      <c r="S4657" s="188"/>
    </row>
    <row r="4658" spans="19:19" ht="60" customHeight="1" x14ac:dyDescent="0.25">
      <c r="S4658" s="188"/>
    </row>
    <row r="4659" spans="19:19" ht="60" customHeight="1" x14ac:dyDescent="0.25">
      <c r="S4659" s="188"/>
    </row>
    <row r="4660" spans="19:19" ht="60" customHeight="1" x14ac:dyDescent="0.25">
      <c r="S4660" s="188"/>
    </row>
    <row r="4661" spans="19:19" ht="60" customHeight="1" x14ac:dyDescent="0.25">
      <c r="S4661" s="188"/>
    </row>
    <row r="4662" spans="19:19" ht="60" customHeight="1" x14ac:dyDescent="0.25">
      <c r="S4662" s="188"/>
    </row>
    <row r="4663" spans="19:19" ht="60" customHeight="1" x14ac:dyDescent="0.25">
      <c r="S4663" s="188"/>
    </row>
    <row r="4664" spans="19:19" ht="60" customHeight="1" x14ac:dyDescent="0.25">
      <c r="S4664" s="188"/>
    </row>
    <row r="4665" spans="19:19" ht="60" customHeight="1" x14ac:dyDescent="0.25">
      <c r="S4665" s="188"/>
    </row>
    <row r="4666" spans="19:19" ht="60" customHeight="1" x14ac:dyDescent="0.25">
      <c r="S4666" s="188"/>
    </row>
    <row r="4667" spans="19:19" ht="60" customHeight="1" x14ac:dyDescent="0.25">
      <c r="S4667" s="188"/>
    </row>
    <row r="4668" spans="19:19" ht="60" customHeight="1" x14ac:dyDescent="0.25">
      <c r="S4668" s="188"/>
    </row>
    <row r="4669" spans="19:19" ht="60" customHeight="1" x14ac:dyDescent="0.25">
      <c r="S4669" s="188"/>
    </row>
    <row r="4670" spans="19:19" ht="60" customHeight="1" x14ac:dyDescent="0.25">
      <c r="S4670" s="188"/>
    </row>
    <row r="4671" spans="19:19" ht="60" customHeight="1" x14ac:dyDescent="0.25">
      <c r="S4671" s="188"/>
    </row>
    <row r="4672" spans="19:19" ht="60" customHeight="1" x14ac:dyDescent="0.25">
      <c r="S4672" s="188"/>
    </row>
    <row r="4673" spans="19:19" ht="60" customHeight="1" x14ac:dyDescent="0.25">
      <c r="S4673" s="188"/>
    </row>
    <row r="4674" spans="19:19" ht="60" customHeight="1" x14ac:dyDescent="0.25">
      <c r="S4674" s="188"/>
    </row>
    <row r="4675" spans="19:19" ht="60" customHeight="1" x14ac:dyDescent="0.25">
      <c r="S4675" s="188"/>
    </row>
    <row r="4676" spans="19:19" ht="60" customHeight="1" x14ac:dyDescent="0.25">
      <c r="S4676" s="188"/>
    </row>
    <row r="4677" spans="19:19" ht="60" customHeight="1" x14ac:dyDescent="0.25">
      <c r="S4677" s="188"/>
    </row>
    <row r="4678" spans="19:19" ht="60" customHeight="1" x14ac:dyDescent="0.25">
      <c r="S4678" s="188"/>
    </row>
    <row r="4679" spans="19:19" ht="60" customHeight="1" x14ac:dyDescent="0.25">
      <c r="S4679" s="188"/>
    </row>
    <row r="4680" spans="19:19" ht="60" customHeight="1" x14ac:dyDescent="0.25">
      <c r="S4680" s="188"/>
    </row>
    <row r="4681" spans="19:19" ht="60" customHeight="1" x14ac:dyDescent="0.25">
      <c r="S4681" s="188"/>
    </row>
    <row r="4682" spans="19:19" ht="60" customHeight="1" x14ac:dyDescent="0.25">
      <c r="S4682" s="188"/>
    </row>
    <row r="4683" spans="19:19" ht="60" customHeight="1" x14ac:dyDescent="0.25">
      <c r="S4683" s="188"/>
    </row>
    <row r="4684" spans="19:19" ht="60" customHeight="1" x14ac:dyDescent="0.25">
      <c r="S4684" s="188"/>
    </row>
    <row r="4685" spans="19:19" ht="60" customHeight="1" x14ac:dyDescent="0.25">
      <c r="S4685" s="188"/>
    </row>
    <row r="4686" spans="19:19" ht="60" customHeight="1" x14ac:dyDescent="0.25">
      <c r="S4686" s="188"/>
    </row>
    <row r="4687" spans="19:19" ht="60" customHeight="1" x14ac:dyDescent="0.25">
      <c r="S4687" s="188"/>
    </row>
    <row r="4688" spans="19:19" ht="60" customHeight="1" x14ac:dyDescent="0.25">
      <c r="S4688" s="188"/>
    </row>
    <row r="4689" spans="19:19" ht="60" customHeight="1" x14ac:dyDescent="0.25">
      <c r="S4689" s="188"/>
    </row>
    <row r="4690" spans="19:19" ht="60" customHeight="1" x14ac:dyDescent="0.25">
      <c r="S4690" s="188"/>
    </row>
    <row r="4691" spans="19:19" ht="60" customHeight="1" x14ac:dyDescent="0.25">
      <c r="S4691" s="188"/>
    </row>
    <row r="4692" spans="19:19" ht="60" customHeight="1" x14ac:dyDescent="0.25">
      <c r="S4692" s="188"/>
    </row>
    <row r="4693" spans="19:19" ht="60" customHeight="1" x14ac:dyDescent="0.25">
      <c r="S4693" s="188"/>
    </row>
    <row r="4694" spans="19:19" ht="60" customHeight="1" x14ac:dyDescent="0.25">
      <c r="S4694" s="188"/>
    </row>
    <row r="4695" spans="19:19" ht="60" customHeight="1" x14ac:dyDescent="0.25">
      <c r="S4695" s="188"/>
    </row>
    <row r="4696" spans="19:19" ht="60" customHeight="1" x14ac:dyDescent="0.25">
      <c r="S4696" s="188"/>
    </row>
    <row r="4697" spans="19:19" ht="60" customHeight="1" x14ac:dyDescent="0.25">
      <c r="S4697" s="188"/>
    </row>
    <row r="4698" spans="19:19" ht="60" customHeight="1" x14ac:dyDescent="0.25">
      <c r="S4698" s="188"/>
    </row>
    <row r="4699" spans="19:19" ht="60" customHeight="1" x14ac:dyDescent="0.25">
      <c r="S4699" s="188"/>
    </row>
    <row r="4700" spans="19:19" ht="60" customHeight="1" x14ac:dyDescent="0.25">
      <c r="S4700" s="188"/>
    </row>
    <row r="4701" spans="19:19" ht="60" customHeight="1" x14ac:dyDescent="0.25">
      <c r="S4701" s="188"/>
    </row>
    <row r="4702" spans="19:19" ht="60" customHeight="1" x14ac:dyDescent="0.25">
      <c r="S4702" s="188"/>
    </row>
    <row r="4703" spans="19:19" ht="60" customHeight="1" x14ac:dyDescent="0.25">
      <c r="S4703" s="188"/>
    </row>
    <row r="4704" spans="19:19" ht="60" customHeight="1" x14ac:dyDescent="0.25">
      <c r="S4704" s="188"/>
    </row>
    <row r="4705" spans="19:19" ht="60" customHeight="1" x14ac:dyDescent="0.25">
      <c r="S4705" s="188"/>
    </row>
    <row r="4706" spans="19:19" ht="60" customHeight="1" x14ac:dyDescent="0.25">
      <c r="S4706" s="188"/>
    </row>
    <row r="4707" spans="19:19" ht="60" customHeight="1" x14ac:dyDescent="0.25">
      <c r="S4707" s="188"/>
    </row>
    <row r="4708" spans="19:19" ht="60" customHeight="1" x14ac:dyDescent="0.25">
      <c r="S4708" s="188"/>
    </row>
    <row r="4709" spans="19:19" ht="60" customHeight="1" x14ac:dyDescent="0.25">
      <c r="S4709" s="188"/>
    </row>
    <row r="4710" spans="19:19" ht="60" customHeight="1" x14ac:dyDescent="0.25">
      <c r="S4710" s="188"/>
    </row>
    <row r="4711" spans="19:19" ht="60" customHeight="1" x14ac:dyDescent="0.25">
      <c r="S4711" s="188"/>
    </row>
    <row r="4712" spans="19:19" ht="60" customHeight="1" x14ac:dyDescent="0.25">
      <c r="S4712" s="188"/>
    </row>
    <row r="4713" spans="19:19" ht="60" customHeight="1" x14ac:dyDescent="0.25">
      <c r="S4713" s="188"/>
    </row>
    <row r="4714" spans="19:19" ht="60" customHeight="1" x14ac:dyDescent="0.25">
      <c r="S4714" s="188"/>
    </row>
    <row r="4715" spans="19:19" ht="60" customHeight="1" x14ac:dyDescent="0.25">
      <c r="S4715" s="188"/>
    </row>
    <row r="4716" spans="19:19" ht="60" customHeight="1" x14ac:dyDescent="0.25">
      <c r="S4716" s="188"/>
    </row>
    <row r="4717" spans="19:19" ht="60" customHeight="1" x14ac:dyDescent="0.25">
      <c r="S4717" s="188"/>
    </row>
    <row r="4718" spans="19:19" ht="60" customHeight="1" x14ac:dyDescent="0.25">
      <c r="S4718" s="188"/>
    </row>
    <row r="4719" spans="19:19" ht="60" customHeight="1" x14ac:dyDescent="0.25">
      <c r="S4719" s="188"/>
    </row>
    <row r="4720" spans="19:19" ht="60" customHeight="1" x14ac:dyDescent="0.25">
      <c r="S4720" s="188"/>
    </row>
    <row r="4721" spans="19:19" ht="60" customHeight="1" x14ac:dyDescent="0.25">
      <c r="S4721" s="188"/>
    </row>
    <row r="4722" spans="19:19" ht="60" customHeight="1" x14ac:dyDescent="0.25">
      <c r="S4722" s="188"/>
    </row>
    <row r="4723" spans="19:19" ht="60" customHeight="1" x14ac:dyDescent="0.25">
      <c r="S4723" s="188"/>
    </row>
    <row r="4724" spans="19:19" ht="60" customHeight="1" x14ac:dyDescent="0.25">
      <c r="S4724" s="188"/>
    </row>
    <row r="4725" spans="19:19" ht="60" customHeight="1" x14ac:dyDescent="0.25">
      <c r="S4725" s="188"/>
    </row>
    <row r="4726" spans="19:19" ht="60" customHeight="1" x14ac:dyDescent="0.25">
      <c r="S4726" s="188"/>
    </row>
    <row r="4727" spans="19:19" ht="60" customHeight="1" x14ac:dyDescent="0.25">
      <c r="S4727" s="188"/>
    </row>
    <row r="4728" spans="19:19" ht="60" customHeight="1" x14ac:dyDescent="0.25">
      <c r="S4728" s="188"/>
    </row>
    <row r="4729" spans="19:19" ht="60" customHeight="1" x14ac:dyDescent="0.25">
      <c r="S4729" s="188"/>
    </row>
    <row r="4730" spans="19:19" ht="60" customHeight="1" x14ac:dyDescent="0.25">
      <c r="S4730" s="188"/>
    </row>
    <row r="4731" spans="19:19" ht="60" customHeight="1" x14ac:dyDescent="0.25">
      <c r="S4731" s="188"/>
    </row>
    <row r="4732" spans="19:19" ht="60" customHeight="1" x14ac:dyDescent="0.25">
      <c r="S4732" s="188"/>
    </row>
    <row r="4733" spans="19:19" ht="60" customHeight="1" x14ac:dyDescent="0.25">
      <c r="S4733" s="188"/>
    </row>
    <row r="4734" spans="19:19" ht="60" customHeight="1" x14ac:dyDescent="0.25">
      <c r="S4734" s="188"/>
    </row>
    <row r="4735" spans="19:19" ht="60" customHeight="1" x14ac:dyDescent="0.25">
      <c r="S4735" s="188"/>
    </row>
    <row r="4736" spans="19:19" ht="60" customHeight="1" x14ac:dyDescent="0.25">
      <c r="S4736" s="188"/>
    </row>
    <row r="4737" spans="19:19" ht="60" customHeight="1" x14ac:dyDescent="0.25">
      <c r="S4737" s="188"/>
    </row>
    <row r="4738" spans="19:19" ht="60" customHeight="1" x14ac:dyDescent="0.25">
      <c r="S4738" s="188"/>
    </row>
    <row r="4739" spans="19:19" ht="60" customHeight="1" x14ac:dyDescent="0.25">
      <c r="S4739" s="188"/>
    </row>
    <row r="4740" spans="19:19" ht="60" customHeight="1" x14ac:dyDescent="0.25">
      <c r="S4740" s="188"/>
    </row>
    <row r="4741" spans="19:19" ht="60" customHeight="1" x14ac:dyDescent="0.25">
      <c r="S4741" s="188"/>
    </row>
    <row r="4742" spans="19:19" ht="60" customHeight="1" x14ac:dyDescent="0.25">
      <c r="S4742" s="188"/>
    </row>
    <row r="4743" spans="19:19" ht="60" customHeight="1" x14ac:dyDescent="0.25">
      <c r="S4743" s="188"/>
    </row>
    <row r="4744" spans="19:19" ht="60" customHeight="1" x14ac:dyDescent="0.25">
      <c r="S4744" s="188"/>
    </row>
    <row r="4745" spans="19:19" ht="60" customHeight="1" x14ac:dyDescent="0.25">
      <c r="S4745" s="188"/>
    </row>
    <row r="4746" spans="19:19" ht="60" customHeight="1" x14ac:dyDescent="0.25">
      <c r="S4746" s="188"/>
    </row>
    <row r="4747" spans="19:19" ht="60" customHeight="1" x14ac:dyDescent="0.25">
      <c r="S4747" s="188"/>
    </row>
    <row r="4748" spans="19:19" ht="60" customHeight="1" x14ac:dyDescent="0.25">
      <c r="S4748" s="188"/>
    </row>
    <row r="4749" spans="19:19" ht="60" customHeight="1" x14ac:dyDescent="0.25">
      <c r="S4749" s="188"/>
    </row>
    <row r="4750" spans="19:19" ht="60" customHeight="1" x14ac:dyDescent="0.25">
      <c r="S4750" s="188"/>
    </row>
    <row r="4751" spans="19:19" ht="60" customHeight="1" x14ac:dyDescent="0.25">
      <c r="S4751" s="188"/>
    </row>
    <row r="4752" spans="19:19" ht="60" customHeight="1" x14ac:dyDescent="0.25">
      <c r="S4752" s="188"/>
    </row>
    <row r="4753" spans="19:19" ht="60" customHeight="1" x14ac:dyDescent="0.25">
      <c r="S4753" s="188"/>
    </row>
    <row r="4754" spans="19:19" ht="60" customHeight="1" x14ac:dyDescent="0.25">
      <c r="S4754" s="188"/>
    </row>
    <row r="4755" spans="19:19" ht="60" customHeight="1" x14ac:dyDescent="0.25">
      <c r="S4755" s="188"/>
    </row>
    <row r="4756" spans="19:19" ht="60" customHeight="1" x14ac:dyDescent="0.25">
      <c r="S4756" s="188"/>
    </row>
    <row r="4757" spans="19:19" ht="60" customHeight="1" x14ac:dyDescent="0.25">
      <c r="S4757" s="188"/>
    </row>
    <row r="4758" spans="19:19" ht="60" customHeight="1" x14ac:dyDescent="0.25">
      <c r="S4758" s="188"/>
    </row>
    <row r="4759" spans="19:19" ht="60" customHeight="1" x14ac:dyDescent="0.25">
      <c r="S4759" s="188"/>
    </row>
    <row r="4760" spans="19:19" ht="60" customHeight="1" x14ac:dyDescent="0.25">
      <c r="S4760" s="188"/>
    </row>
    <row r="4761" spans="19:19" ht="60" customHeight="1" x14ac:dyDescent="0.25">
      <c r="S4761" s="188"/>
    </row>
    <row r="4762" spans="19:19" ht="60" customHeight="1" x14ac:dyDescent="0.25">
      <c r="S4762" s="188"/>
    </row>
    <row r="4763" spans="19:19" ht="60" customHeight="1" x14ac:dyDescent="0.25">
      <c r="S4763" s="188"/>
    </row>
    <row r="4764" spans="19:19" ht="60" customHeight="1" x14ac:dyDescent="0.25">
      <c r="S4764" s="188"/>
    </row>
    <row r="4765" spans="19:19" ht="60" customHeight="1" x14ac:dyDescent="0.25">
      <c r="S4765" s="188"/>
    </row>
    <row r="4766" spans="19:19" ht="60" customHeight="1" x14ac:dyDescent="0.25">
      <c r="S4766" s="188"/>
    </row>
    <row r="4767" spans="19:19" ht="60" customHeight="1" x14ac:dyDescent="0.25">
      <c r="S4767" s="188"/>
    </row>
    <row r="4768" spans="19:19" ht="60" customHeight="1" x14ac:dyDescent="0.25">
      <c r="S4768" s="188"/>
    </row>
    <row r="4769" spans="19:19" ht="60" customHeight="1" x14ac:dyDescent="0.25">
      <c r="S4769" s="188"/>
    </row>
    <row r="4770" spans="19:19" ht="60" customHeight="1" x14ac:dyDescent="0.25">
      <c r="S4770" s="188"/>
    </row>
    <row r="4771" spans="19:19" ht="60" customHeight="1" x14ac:dyDescent="0.25">
      <c r="S4771" s="188"/>
    </row>
    <row r="4772" spans="19:19" ht="60" customHeight="1" x14ac:dyDescent="0.25">
      <c r="S4772" s="188"/>
    </row>
    <row r="4773" spans="19:19" ht="60" customHeight="1" x14ac:dyDescent="0.25">
      <c r="S4773" s="188"/>
    </row>
    <row r="4774" spans="19:19" ht="60" customHeight="1" x14ac:dyDescent="0.25">
      <c r="S4774" s="188"/>
    </row>
    <row r="4775" spans="19:19" ht="60" customHeight="1" x14ac:dyDescent="0.25">
      <c r="S4775" s="188"/>
    </row>
    <row r="4776" spans="19:19" ht="60" customHeight="1" x14ac:dyDescent="0.25">
      <c r="S4776" s="188"/>
    </row>
    <row r="4777" spans="19:19" ht="60" customHeight="1" x14ac:dyDescent="0.25">
      <c r="S4777" s="188"/>
    </row>
    <row r="4778" spans="19:19" ht="60" customHeight="1" x14ac:dyDescent="0.25">
      <c r="S4778" s="188"/>
    </row>
    <row r="4779" spans="19:19" ht="60" customHeight="1" x14ac:dyDescent="0.25">
      <c r="S4779" s="188"/>
    </row>
    <row r="4780" spans="19:19" ht="60" customHeight="1" x14ac:dyDescent="0.25">
      <c r="S4780" s="188"/>
    </row>
    <row r="4781" spans="19:19" ht="60" customHeight="1" x14ac:dyDescent="0.25">
      <c r="S4781" s="188"/>
    </row>
    <row r="4782" spans="19:19" ht="60" customHeight="1" x14ac:dyDescent="0.25">
      <c r="S4782" s="188"/>
    </row>
    <row r="4783" spans="19:19" ht="60" customHeight="1" x14ac:dyDescent="0.25">
      <c r="S4783" s="188"/>
    </row>
    <row r="4784" spans="19:19" ht="60" customHeight="1" x14ac:dyDescent="0.25">
      <c r="S4784" s="188"/>
    </row>
    <row r="4785" spans="19:19" ht="60" customHeight="1" x14ac:dyDescent="0.25">
      <c r="S4785" s="188"/>
    </row>
    <row r="4786" spans="19:19" ht="60" customHeight="1" x14ac:dyDescent="0.25">
      <c r="S4786" s="188"/>
    </row>
    <row r="4787" spans="19:19" ht="60" customHeight="1" x14ac:dyDescent="0.25">
      <c r="S4787" s="188"/>
    </row>
    <row r="4788" spans="19:19" ht="60" customHeight="1" x14ac:dyDescent="0.25">
      <c r="S4788" s="188"/>
    </row>
    <row r="4789" spans="19:19" ht="60" customHeight="1" x14ac:dyDescent="0.25">
      <c r="S4789" s="188"/>
    </row>
    <row r="4790" spans="19:19" ht="60" customHeight="1" x14ac:dyDescent="0.25">
      <c r="S4790" s="188"/>
    </row>
    <row r="4791" spans="19:19" ht="60" customHeight="1" x14ac:dyDescent="0.25">
      <c r="S4791" s="188"/>
    </row>
    <row r="4792" spans="19:19" ht="60" customHeight="1" x14ac:dyDescent="0.25">
      <c r="S4792" s="188"/>
    </row>
    <row r="4793" spans="19:19" ht="60" customHeight="1" x14ac:dyDescent="0.25">
      <c r="S4793" s="188"/>
    </row>
    <row r="4794" spans="19:19" ht="60" customHeight="1" x14ac:dyDescent="0.25">
      <c r="S4794" s="188"/>
    </row>
    <row r="4795" spans="19:19" ht="60" customHeight="1" x14ac:dyDescent="0.25">
      <c r="S4795" s="188"/>
    </row>
    <row r="4796" spans="19:19" ht="60" customHeight="1" x14ac:dyDescent="0.25">
      <c r="S4796" s="188"/>
    </row>
    <row r="4797" spans="19:19" ht="60" customHeight="1" x14ac:dyDescent="0.25">
      <c r="S4797" s="188"/>
    </row>
    <row r="4798" spans="19:19" ht="60" customHeight="1" x14ac:dyDescent="0.25">
      <c r="S4798" s="188"/>
    </row>
    <row r="4799" spans="19:19" ht="60" customHeight="1" x14ac:dyDescent="0.25">
      <c r="S4799" s="188"/>
    </row>
    <row r="4800" spans="19:19" ht="60" customHeight="1" x14ac:dyDescent="0.25">
      <c r="S4800" s="188"/>
    </row>
    <row r="4801" spans="19:19" ht="60" customHeight="1" x14ac:dyDescent="0.25">
      <c r="S4801" s="188"/>
    </row>
    <row r="4802" spans="19:19" ht="60" customHeight="1" x14ac:dyDescent="0.25">
      <c r="S4802" s="188"/>
    </row>
    <row r="4803" spans="19:19" ht="60" customHeight="1" x14ac:dyDescent="0.25">
      <c r="S4803" s="188"/>
    </row>
    <row r="4804" spans="19:19" ht="60" customHeight="1" x14ac:dyDescent="0.25">
      <c r="S4804" s="188"/>
    </row>
    <row r="4805" spans="19:19" ht="60" customHeight="1" x14ac:dyDescent="0.25">
      <c r="S4805" s="188"/>
    </row>
    <row r="4806" spans="19:19" ht="60" customHeight="1" x14ac:dyDescent="0.25">
      <c r="S4806" s="188"/>
    </row>
    <row r="4807" spans="19:19" ht="60" customHeight="1" x14ac:dyDescent="0.25">
      <c r="S4807" s="188"/>
    </row>
    <row r="4808" spans="19:19" ht="60" customHeight="1" x14ac:dyDescent="0.25">
      <c r="S4808" s="188"/>
    </row>
    <row r="4809" spans="19:19" ht="60" customHeight="1" x14ac:dyDescent="0.25">
      <c r="S4809" s="188"/>
    </row>
    <row r="4810" spans="19:19" ht="60" customHeight="1" x14ac:dyDescent="0.25">
      <c r="S4810" s="188"/>
    </row>
    <row r="4811" spans="19:19" ht="60" customHeight="1" x14ac:dyDescent="0.25">
      <c r="S4811" s="188"/>
    </row>
    <row r="4812" spans="19:19" ht="60" customHeight="1" x14ac:dyDescent="0.25">
      <c r="S4812" s="188"/>
    </row>
    <row r="4813" spans="19:19" ht="60" customHeight="1" x14ac:dyDescent="0.25">
      <c r="S4813" s="188"/>
    </row>
    <row r="4814" spans="19:19" ht="60" customHeight="1" x14ac:dyDescent="0.25">
      <c r="S4814" s="188"/>
    </row>
    <row r="4815" spans="19:19" ht="60" customHeight="1" x14ac:dyDescent="0.25">
      <c r="S4815" s="188"/>
    </row>
    <row r="4816" spans="19:19" ht="60" customHeight="1" x14ac:dyDescent="0.25">
      <c r="S4816" s="188"/>
    </row>
    <row r="4817" spans="19:19" ht="60" customHeight="1" x14ac:dyDescent="0.25">
      <c r="S4817" s="188"/>
    </row>
    <row r="4818" spans="19:19" ht="60" customHeight="1" x14ac:dyDescent="0.25">
      <c r="S4818" s="188"/>
    </row>
    <row r="4819" spans="19:19" ht="60" customHeight="1" x14ac:dyDescent="0.25">
      <c r="S4819" s="188"/>
    </row>
    <row r="4820" spans="19:19" ht="60" customHeight="1" x14ac:dyDescent="0.25">
      <c r="S4820" s="188"/>
    </row>
    <row r="4821" spans="19:19" ht="60" customHeight="1" x14ac:dyDescent="0.25">
      <c r="S4821" s="188"/>
    </row>
    <row r="4822" spans="19:19" ht="60" customHeight="1" x14ac:dyDescent="0.25">
      <c r="S4822" s="188"/>
    </row>
    <row r="4823" spans="19:19" ht="60" customHeight="1" x14ac:dyDescent="0.25">
      <c r="S4823" s="188"/>
    </row>
    <row r="4824" spans="19:19" ht="60" customHeight="1" x14ac:dyDescent="0.25">
      <c r="S4824" s="188"/>
    </row>
    <row r="4825" spans="19:19" ht="60" customHeight="1" x14ac:dyDescent="0.25">
      <c r="S4825" s="188"/>
    </row>
    <row r="4826" spans="19:19" ht="60" customHeight="1" x14ac:dyDescent="0.25">
      <c r="S4826" s="188"/>
    </row>
    <row r="4827" spans="19:19" ht="60" customHeight="1" x14ac:dyDescent="0.25">
      <c r="S4827" s="188"/>
    </row>
    <row r="4828" spans="19:19" ht="60" customHeight="1" x14ac:dyDescent="0.25">
      <c r="S4828" s="188"/>
    </row>
    <row r="4829" spans="19:19" ht="60" customHeight="1" x14ac:dyDescent="0.25">
      <c r="S4829" s="188"/>
    </row>
    <row r="4830" spans="19:19" ht="60" customHeight="1" x14ac:dyDescent="0.25">
      <c r="S4830" s="188"/>
    </row>
    <row r="4831" spans="19:19" ht="60" customHeight="1" x14ac:dyDescent="0.25">
      <c r="S4831" s="188"/>
    </row>
    <row r="4832" spans="19:19" ht="60" customHeight="1" x14ac:dyDescent="0.25">
      <c r="S4832" s="188"/>
    </row>
    <row r="4833" spans="19:19" ht="60" customHeight="1" x14ac:dyDescent="0.25">
      <c r="S4833" s="188"/>
    </row>
    <row r="4834" spans="19:19" ht="60" customHeight="1" x14ac:dyDescent="0.25">
      <c r="S4834" s="188"/>
    </row>
    <row r="4835" spans="19:19" ht="60" customHeight="1" x14ac:dyDescent="0.25">
      <c r="S4835" s="188"/>
    </row>
    <row r="4836" spans="19:19" ht="60" customHeight="1" x14ac:dyDescent="0.25">
      <c r="S4836" s="188"/>
    </row>
    <row r="4837" spans="19:19" ht="60" customHeight="1" x14ac:dyDescent="0.25">
      <c r="S4837" s="188"/>
    </row>
    <row r="4838" spans="19:19" ht="60" customHeight="1" x14ac:dyDescent="0.25">
      <c r="S4838" s="188"/>
    </row>
    <row r="4839" spans="19:19" ht="60" customHeight="1" x14ac:dyDescent="0.25">
      <c r="S4839" s="188"/>
    </row>
    <row r="4840" spans="19:19" ht="60" customHeight="1" x14ac:dyDescent="0.25">
      <c r="S4840" s="188"/>
    </row>
    <row r="4841" spans="19:19" ht="60" customHeight="1" x14ac:dyDescent="0.25">
      <c r="S4841" s="188"/>
    </row>
    <row r="4842" spans="19:19" ht="60" customHeight="1" x14ac:dyDescent="0.25">
      <c r="S4842" s="188"/>
    </row>
    <row r="4843" spans="19:19" ht="60" customHeight="1" x14ac:dyDescent="0.25">
      <c r="S4843" s="188"/>
    </row>
    <row r="4844" spans="19:19" ht="60" customHeight="1" x14ac:dyDescent="0.25">
      <c r="S4844" s="188"/>
    </row>
    <row r="4845" spans="19:19" ht="60" customHeight="1" x14ac:dyDescent="0.25">
      <c r="S4845" s="188"/>
    </row>
    <row r="4846" spans="19:19" ht="60" customHeight="1" x14ac:dyDescent="0.25">
      <c r="S4846" s="188"/>
    </row>
    <row r="4847" spans="19:19" ht="60" customHeight="1" x14ac:dyDescent="0.25">
      <c r="S4847" s="188"/>
    </row>
    <row r="4848" spans="19:19" ht="60" customHeight="1" x14ac:dyDescent="0.25">
      <c r="S4848" s="188"/>
    </row>
    <row r="4849" spans="19:19" ht="60" customHeight="1" x14ac:dyDescent="0.25">
      <c r="S4849" s="188"/>
    </row>
    <row r="4850" spans="19:19" ht="60" customHeight="1" x14ac:dyDescent="0.25">
      <c r="S4850" s="188"/>
    </row>
    <row r="4851" spans="19:19" ht="60" customHeight="1" x14ac:dyDescent="0.25">
      <c r="S4851" s="188"/>
    </row>
    <row r="4852" spans="19:19" ht="60" customHeight="1" x14ac:dyDescent="0.25">
      <c r="S4852" s="188"/>
    </row>
    <row r="4853" spans="19:19" ht="60" customHeight="1" x14ac:dyDescent="0.25">
      <c r="S4853" s="188"/>
    </row>
    <row r="4854" spans="19:19" ht="60" customHeight="1" x14ac:dyDescent="0.25">
      <c r="S4854" s="188"/>
    </row>
    <row r="4855" spans="19:19" ht="60" customHeight="1" x14ac:dyDescent="0.25">
      <c r="S4855" s="188"/>
    </row>
    <row r="4856" spans="19:19" ht="60" customHeight="1" x14ac:dyDescent="0.25">
      <c r="S4856" s="188"/>
    </row>
    <row r="4857" spans="19:19" ht="60" customHeight="1" x14ac:dyDescent="0.25">
      <c r="S4857" s="188"/>
    </row>
    <row r="4858" spans="19:19" ht="60" customHeight="1" x14ac:dyDescent="0.25">
      <c r="S4858" s="188"/>
    </row>
    <row r="4859" spans="19:19" ht="60" customHeight="1" x14ac:dyDescent="0.25">
      <c r="S4859" s="188"/>
    </row>
    <row r="4860" spans="19:19" ht="60" customHeight="1" x14ac:dyDescent="0.25">
      <c r="S4860" s="188"/>
    </row>
    <row r="4861" spans="19:19" ht="60" customHeight="1" x14ac:dyDescent="0.25">
      <c r="S4861" s="188"/>
    </row>
    <row r="4862" spans="19:19" ht="60" customHeight="1" x14ac:dyDescent="0.25">
      <c r="S4862" s="188"/>
    </row>
    <row r="4863" spans="19:19" ht="60" customHeight="1" x14ac:dyDescent="0.25">
      <c r="S4863" s="188"/>
    </row>
    <row r="4864" spans="19:19" ht="60" customHeight="1" x14ac:dyDescent="0.25">
      <c r="S4864" s="188"/>
    </row>
    <row r="4865" spans="19:19" ht="60" customHeight="1" x14ac:dyDescent="0.25">
      <c r="S4865" s="188"/>
    </row>
    <row r="4866" spans="19:19" ht="60" customHeight="1" x14ac:dyDescent="0.25">
      <c r="S4866" s="188"/>
    </row>
    <row r="4867" spans="19:19" ht="60" customHeight="1" x14ac:dyDescent="0.25">
      <c r="S4867" s="188"/>
    </row>
    <row r="4868" spans="19:19" ht="60" customHeight="1" x14ac:dyDescent="0.25">
      <c r="S4868" s="188"/>
    </row>
    <row r="4869" spans="19:19" ht="60" customHeight="1" x14ac:dyDescent="0.25">
      <c r="S4869" s="188"/>
    </row>
    <row r="4870" spans="19:19" ht="60" customHeight="1" x14ac:dyDescent="0.25">
      <c r="S4870" s="188"/>
    </row>
    <row r="4871" spans="19:19" ht="60" customHeight="1" x14ac:dyDescent="0.25">
      <c r="S4871" s="188"/>
    </row>
    <row r="4872" spans="19:19" ht="60" customHeight="1" x14ac:dyDescent="0.25">
      <c r="S4872" s="188"/>
    </row>
    <row r="4873" spans="19:19" ht="60" customHeight="1" x14ac:dyDescent="0.25">
      <c r="S4873" s="188"/>
    </row>
    <row r="4874" spans="19:19" ht="60" customHeight="1" x14ac:dyDescent="0.25">
      <c r="S4874" s="188"/>
    </row>
    <row r="4875" spans="19:19" ht="60" customHeight="1" x14ac:dyDescent="0.25">
      <c r="S4875" s="188"/>
    </row>
    <row r="4876" spans="19:19" ht="60" customHeight="1" x14ac:dyDescent="0.25">
      <c r="S4876" s="188"/>
    </row>
    <row r="4877" spans="19:19" ht="60" customHeight="1" x14ac:dyDescent="0.25">
      <c r="S4877" s="188"/>
    </row>
    <row r="4878" spans="19:19" ht="60" customHeight="1" x14ac:dyDescent="0.25">
      <c r="S4878" s="188"/>
    </row>
    <row r="4879" spans="19:19" ht="60" customHeight="1" x14ac:dyDescent="0.25">
      <c r="S4879" s="188"/>
    </row>
    <row r="4880" spans="19:19" ht="60" customHeight="1" x14ac:dyDescent="0.25">
      <c r="S4880" s="188"/>
    </row>
    <row r="4881" spans="19:19" ht="60" customHeight="1" x14ac:dyDescent="0.25">
      <c r="S4881" s="188"/>
    </row>
    <row r="4882" spans="19:19" ht="60" customHeight="1" x14ac:dyDescent="0.25">
      <c r="S4882" s="188"/>
    </row>
    <row r="4883" spans="19:19" ht="60" customHeight="1" x14ac:dyDescent="0.25">
      <c r="S4883" s="188"/>
    </row>
    <row r="4884" spans="19:19" ht="60" customHeight="1" x14ac:dyDescent="0.25">
      <c r="S4884" s="188"/>
    </row>
    <row r="4885" spans="19:19" ht="60" customHeight="1" x14ac:dyDescent="0.25">
      <c r="S4885" s="188"/>
    </row>
    <row r="4886" spans="19:19" ht="60" customHeight="1" x14ac:dyDescent="0.25">
      <c r="S4886" s="188"/>
    </row>
    <row r="4887" spans="19:19" ht="60" customHeight="1" x14ac:dyDescent="0.25">
      <c r="S4887" s="188"/>
    </row>
    <row r="4888" spans="19:19" ht="60" customHeight="1" x14ac:dyDescent="0.25">
      <c r="S4888" s="188"/>
    </row>
    <row r="4889" spans="19:19" ht="60" customHeight="1" x14ac:dyDescent="0.25">
      <c r="S4889" s="188"/>
    </row>
    <row r="4890" spans="19:19" ht="60" customHeight="1" x14ac:dyDescent="0.25">
      <c r="S4890" s="188"/>
    </row>
    <row r="4891" spans="19:19" ht="60" customHeight="1" x14ac:dyDescent="0.25">
      <c r="S4891" s="188"/>
    </row>
    <row r="4892" spans="19:19" ht="60" customHeight="1" x14ac:dyDescent="0.25">
      <c r="S4892" s="188"/>
    </row>
    <row r="4893" spans="19:19" ht="60" customHeight="1" x14ac:dyDescent="0.25">
      <c r="S4893" s="188"/>
    </row>
    <row r="4894" spans="19:19" ht="60" customHeight="1" x14ac:dyDescent="0.25">
      <c r="S4894" s="188"/>
    </row>
    <row r="4895" spans="19:19" ht="60" customHeight="1" x14ac:dyDescent="0.25">
      <c r="S4895" s="188"/>
    </row>
    <row r="4896" spans="19:19" ht="60" customHeight="1" x14ac:dyDescent="0.25">
      <c r="S4896" s="188"/>
    </row>
    <row r="4897" spans="19:19" ht="60" customHeight="1" x14ac:dyDescent="0.25">
      <c r="S4897" s="188"/>
    </row>
    <row r="4898" spans="19:19" ht="60" customHeight="1" x14ac:dyDescent="0.25">
      <c r="S4898" s="188"/>
    </row>
    <row r="4899" spans="19:19" ht="60" customHeight="1" x14ac:dyDescent="0.25">
      <c r="S4899" s="188"/>
    </row>
    <row r="4900" spans="19:19" ht="60" customHeight="1" x14ac:dyDescent="0.25">
      <c r="S4900" s="188"/>
    </row>
    <row r="4901" spans="19:19" ht="60" customHeight="1" x14ac:dyDescent="0.25">
      <c r="S4901" s="188"/>
    </row>
    <row r="4902" spans="19:19" ht="60" customHeight="1" x14ac:dyDescent="0.25">
      <c r="S4902" s="188"/>
    </row>
    <row r="4903" spans="19:19" ht="60" customHeight="1" x14ac:dyDescent="0.25">
      <c r="S4903" s="188"/>
    </row>
    <row r="4904" spans="19:19" ht="60" customHeight="1" x14ac:dyDescent="0.25">
      <c r="S4904" s="188"/>
    </row>
    <row r="4905" spans="19:19" ht="60" customHeight="1" x14ac:dyDescent="0.25">
      <c r="S4905" s="188"/>
    </row>
    <row r="4906" spans="19:19" ht="60" customHeight="1" x14ac:dyDescent="0.25">
      <c r="S4906" s="188"/>
    </row>
    <row r="4907" spans="19:19" ht="60" customHeight="1" x14ac:dyDescent="0.25">
      <c r="S4907" s="188"/>
    </row>
    <row r="4908" spans="19:19" ht="60" customHeight="1" x14ac:dyDescent="0.25">
      <c r="S4908" s="188"/>
    </row>
    <row r="4909" spans="19:19" ht="60" customHeight="1" x14ac:dyDescent="0.25">
      <c r="S4909" s="188"/>
    </row>
    <row r="4910" spans="19:19" ht="60" customHeight="1" x14ac:dyDescent="0.25">
      <c r="S4910" s="188"/>
    </row>
    <row r="4911" spans="19:19" ht="60" customHeight="1" x14ac:dyDescent="0.25">
      <c r="S4911" s="188"/>
    </row>
    <row r="4912" spans="19:19" ht="60" customHeight="1" x14ac:dyDescent="0.25">
      <c r="S4912" s="188"/>
    </row>
    <row r="4913" spans="19:19" ht="60" customHeight="1" x14ac:dyDescent="0.25">
      <c r="S4913" s="188"/>
    </row>
    <row r="4914" spans="19:19" ht="60" customHeight="1" x14ac:dyDescent="0.25">
      <c r="S4914" s="188"/>
    </row>
    <row r="4915" spans="19:19" ht="60" customHeight="1" x14ac:dyDescent="0.25">
      <c r="S4915" s="188"/>
    </row>
    <row r="4916" spans="19:19" ht="60" customHeight="1" x14ac:dyDescent="0.25">
      <c r="S4916" s="188"/>
    </row>
    <row r="4917" spans="19:19" ht="60" customHeight="1" x14ac:dyDescent="0.25">
      <c r="S4917" s="188"/>
    </row>
    <row r="4918" spans="19:19" ht="60" customHeight="1" x14ac:dyDescent="0.25">
      <c r="S4918" s="188"/>
    </row>
    <row r="4919" spans="19:19" ht="60" customHeight="1" x14ac:dyDescent="0.25">
      <c r="S4919" s="188"/>
    </row>
    <row r="4920" spans="19:19" ht="60" customHeight="1" x14ac:dyDescent="0.25">
      <c r="S4920" s="188"/>
    </row>
    <row r="4921" spans="19:19" ht="60" customHeight="1" x14ac:dyDescent="0.25">
      <c r="S4921" s="188"/>
    </row>
    <row r="4922" spans="19:19" ht="60" customHeight="1" x14ac:dyDescent="0.25">
      <c r="S4922" s="188"/>
    </row>
    <row r="4923" spans="19:19" ht="60" customHeight="1" x14ac:dyDescent="0.25">
      <c r="S4923" s="188"/>
    </row>
    <row r="4924" spans="19:19" ht="60" customHeight="1" x14ac:dyDescent="0.25">
      <c r="S4924" s="188"/>
    </row>
    <row r="4925" spans="19:19" ht="60" customHeight="1" x14ac:dyDescent="0.25">
      <c r="S4925" s="188"/>
    </row>
    <row r="4926" spans="19:19" ht="60" customHeight="1" x14ac:dyDescent="0.25">
      <c r="S4926" s="188"/>
    </row>
    <row r="4927" spans="19:19" ht="60" customHeight="1" x14ac:dyDescent="0.25">
      <c r="S4927" s="188"/>
    </row>
    <row r="4928" spans="19:19" ht="60" customHeight="1" x14ac:dyDescent="0.25">
      <c r="S4928" s="188"/>
    </row>
    <row r="4929" spans="19:19" ht="60" customHeight="1" x14ac:dyDescent="0.25">
      <c r="S4929" s="188"/>
    </row>
    <row r="4930" spans="19:19" ht="60" customHeight="1" x14ac:dyDescent="0.25">
      <c r="S4930" s="188"/>
    </row>
    <row r="4931" spans="19:19" ht="60" customHeight="1" x14ac:dyDescent="0.25">
      <c r="S4931" s="188"/>
    </row>
    <row r="4932" spans="19:19" ht="60" customHeight="1" x14ac:dyDescent="0.25">
      <c r="S4932" s="188"/>
    </row>
    <row r="4933" spans="19:19" ht="60" customHeight="1" x14ac:dyDescent="0.25">
      <c r="S4933" s="188"/>
    </row>
    <row r="4934" spans="19:19" ht="60" customHeight="1" x14ac:dyDescent="0.25">
      <c r="S4934" s="188"/>
    </row>
    <row r="4935" spans="19:19" ht="60" customHeight="1" x14ac:dyDescent="0.25">
      <c r="S4935" s="188"/>
    </row>
    <row r="4936" spans="19:19" ht="60" customHeight="1" x14ac:dyDescent="0.25">
      <c r="S4936" s="188"/>
    </row>
    <row r="4937" spans="19:19" ht="60" customHeight="1" x14ac:dyDescent="0.25">
      <c r="S4937" s="188"/>
    </row>
    <row r="4938" spans="19:19" ht="60" customHeight="1" x14ac:dyDescent="0.25">
      <c r="S4938" s="188"/>
    </row>
    <row r="4939" spans="19:19" ht="60" customHeight="1" x14ac:dyDescent="0.25">
      <c r="S4939" s="188"/>
    </row>
    <row r="4940" spans="19:19" ht="60" customHeight="1" x14ac:dyDescent="0.25">
      <c r="S4940" s="188"/>
    </row>
    <row r="4941" spans="19:19" ht="60" customHeight="1" x14ac:dyDescent="0.25">
      <c r="S4941" s="188"/>
    </row>
    <row r="4942" spans="19:19" ht="60" customHeight="1" x14ac:dyDescent="0.25">
      <c r="S4942" s="188"/>
    </row>
    <row r="4943" spans="19:19" ht="60" customHeight="1" x14ac:dyDescent="0.25">
      <c r="S4943" s="188"/>
    </row>
    <row r="4944" spans="19:19" ht="60" customHeight="1" x14ac:dyDescent="0.25">
      <c r="S4944" s="188"/>
    </row>
    <row r="4945" spans="19:19" ht="60" customHeight="1" x14ac:dyDescent="0.25">
      <c r="S4945" s="188"/>
    </row>
    <row r="4946" spans="19:19" ht="60" customHeight="1" x14ac:dyDescent="0.25">
      <c r="S4946" s="188"/>
    </row>
    <row r="4947" spans="19:19" ht="60" customHeight="1" x14ac:dyDescent="0.25">
      <c r="S4947" s="188"/>
    </row>
    <row r="4948" spans="19:19" ht="60" customHeight="1" x14ac:dyDescent="0.25">
      <c r="S4948" s="188"/>
    </row>
    <row r="4949" spans="19:19" ht="60" customHeight="1" x14ac:dyDescent="0.25">
      <c r="S4949" s="188"/>
    </row>
    <row r="4950" spans="19:19" ht="60" customHeight="1" x14ac:dyDescent="0.25">
      <c r="S4950" s="188"/>
    </row>
    <row r="4951" spans="19:19" ht="60" customHeight="1" x14ac:dyDescent="0.25">
      <c r="S4951" s="188"/>
    </row>
    <row r="4952" spans="19:19" ht="60" customHeight="1" x14ac:dyDescent="0.25">
      <c r="S4952" s="188"/>
    </row>
    <row r="4953" spans="19:19" ht="60" customHeight="1" x14ac:dyDescent="0.25">
      <c r="S4953" s="188"/>
    </row>
    <row r="4954" spans="19:19" ht="60" customHeight="1" x14ac:dyDescent="0.25">
      <c r="S4954" s="188"/>
    </row>
    <row r="4955" spans="19:19" ht="60" customHeight="1" x14ac:dyDescent="0.25">
      <c r="S4955" s="188"/>
    </row>
    <row r="4956" spans="19:19" ht="60" customHeight="1" x14ac:dyDescent="0.25">
      <c r="S4956" s="188"/>
    </row>
    <row r="4957" spans="19:19" ht="60" customHeight="1" x14ac:dyDescent="0.25">
      <c r="S4957" s="188"/>
    </row>
    <row r="4958" spans="19:19" ht="60" customHeight="1" x14ac:dyDescent="0.25">
      <c r="S4958" s="188"/>
    </row>
    <row r="4959" spans="19:19" ht="60" customHeight="1" x14ac:dyDescent="0.25">
      <c r="S4959" s="188"/>
    </row>
    <row r="4960" spans="19:19" ht="60" customHeight="1" x14ac:dyDescent="0.25">
      <c r="S4960" s="188"/>
    </row>
    <row r="4961" spans="19:19" ht="60" customHeight="1" x14ac:dyDescent="0.25">
      <c r="S4961" s="188"/>
    </row>
    <row r="4962" spans="19:19" ht="60" customHeight="1" x14ac:dyDescent="0.25">
      <c r="S4962" s="188"/>
    </row>
    <row r="4963" spans="19:19" ht="60" customHeight="1" x14ac:dyDescent="0.25">
      <c r="S4963" s="188"/>
    </row>
    <row r="4964" spans="19:19" ht="60" customHeight="1" x14ac:dyDescent="0.25">
      <c r="S4964" s="188"/>
    </row>
    <row r="4965" spans="19:19" ht="60" customHeight="1" x14ac:dyDescent="0.25">
      <c r="S4965" s="188"/>
    </row>
    <row r="4966" spans="19:19" ht="60" customHeight="1" x14ac:dyDescent="0.25">
      <c r="S4966" s="188"/>
    </row>
    <row r="4967" spans="19:19" ht="60" customHeight="1" x14ac:dyDescent="0.25">
      <c r="S4967" s="188"/>
    </row>
    <row r="4968" spans="19:19" ht="60" customHeight="1" x14ac:dyDescent="0.25">
      <c r="S4968" s="188"/>
    </row>
    <row r="4969" spans="19:19" ht="60" customHeight="1" x14ac:dyDescent="0.25">
      <c r="S4969" s="188"/>
    </row>
    <row r="4970" spans="19:19" ht="60" customHeight="1" x14ac:dyDescent="0.25">
      <c r="S4970" s="188"/>
    </row>
    <row r="4971" spans="19:19" ht="60" customHeight="1" x14ac:dyDescent="0.25">
      <c r="S4971" s="188"/>
    </row>
    <row r="4972" spans="19:19" ht="60" customHeight="1" x14ac:dyDescent="0.25">
      <c r="S4972" s="188"/>
    </row>
    <row r="4973" spans="19:19" ht="60" customHeight="1" x14ac:dyDescent="0.25">
      <c r="S4973" s="188"/>
    </row>
    <row r="4974" spans="19:19" ht="60" customHeight="1" x14ac:dyDescent="0.25">
      <c r="S4974" s="188"/>
    </row>
    <row r="4975" spans="19:19" ht="60" customHeight="1" x14ac:dyDescent="0.25">
      <c r="S4975" s="188"/>
    </row>
    <row r="4976" spans="19:19" ht="60" customHeight="1" x14ac:dyDescent="0.25">
      <c r="S4976" s="188"/>
    </row>
    <row r="4977" spans="19:19" ht="60" customHeight="1" x14ac:dyDescent="0.25">
      <c r="S4977" s="188"/>
    </row>
    <row r="4978" spans="19:19" ht="60" customHeight="1" x14ac:dyDescent="0.25">
      <c r="S4978" s="188"/>
    </row>
    <row r="4979" spans="19:19" ht="60" customHeight="1" x14ac:dyDescent="0.25">
      <c r="S4979" s="188"/>
    </row>
    <row r="4980" spans="19:19" ht="60" customHeight="1" x14ac:dyDescent="0.25">
      <c r="S4980" s="188"/>
    </row>
    <row r="4981" spans="19:19" ht="60" customHeight="1" x14ac:dyDescent="0.25">
      <c r="S4981" s="188"/>
    </row>
    <row r="4982" spans="19:19" ht="60" customHeight="1" x14ac:dyDescent="0.25">
      <c r="S4982" s="188"/>
    </row>
    <row r="4983" spans="19:19" ht="60" customHeight="1" x14ac:dyDescent="0.25">
      <c r="S4983" s="188"/>
    </row>
    <row r="4984" spans="19:19" ht="60" customHeight="1" x14ac:dyDescent="0.25">
      <c r="S4984" s="188"/>
    </row>
    <row r="4985" spans="19:19" ht="60" customHeight="1" x14ac:dyDescent="0.25">
      <c r="S4985" s="188"/>
    </row>
    <row r="4986" spans="19:19" ht="60" customHeight="1" x14ac:dyDescent="0.25">
      <c r="S4986" s="188"/>
    </row>
    <row r="4987" spans="19:19" ht="60" customHeight="1" x14ac:dyDescent="0.25">
      <c r="S4987" s="188"/>
    </row>
    <row r="4988" spans="19:19" ht="60" customHeight="1" x14ac:dyDescent="0.25">
      <c r="S4988" s="188"/>
    </row>
    <row r="4989" spans="19:19" ht="60" customHeight="1" x14ac:dyDescent="0.25">
      <c r="S4989" s="188"/>
    </row>
    <row r="4990" spans="19:19" ht="60" customHeight="1" x14ac:dyDescent="0.25">
      <c r="S4990" s="188"/>
    </row>
    <row r="4991" spans="19:19" ht="60" customHeight="1" x14ac:dyDescent="0.25">
      <c r="S4991" s="188"/>
    </row>
    <row r="4992" spans="19:19" ht="60" customHeight="1" x14ac:dyDescent="0.25">
      <c r="S4992" s="188"/>
    </row>
    <row r="4993" spans="19:19" ht="60" customHeight="1" x14ac:dyDescent="0.25">
      <c r="S4993" s="188"/>
    </row>
    <row r="4994" spans="19:19" ht="60" customHeight="1" x14ac:dyDescent="0.25">
      <c r="S4994" s="188"/>
    </row>
    <row r="4995" spans="19:19" ht="60" customHeight="1" x14ac:dyDescent="0.25">
      <c r="S4995" s="188"/>
    </row>
    <row r="4996" spans="19:19" ht="60" customHeight="1" x14ac:dyDescent="0.25">
      <c r="S4996" s="188"/>
    </row>
    <row r="4997" spans="19:19" ht="60" customHeight="1" x14ac:dyDescent="0.25">
      <c r="S4997" s="188"/>
    </row>
    <row r="4998" spans="19:19" ht="60" customHeight="1" x14ac:dyDescent="0.25">
      <c r="S4998" s="188"/>
    </row>
    <row r="4999" spans="19:19" ht="60" customHeight="1" x14ac:dyDescent="0.25">
      <c r="S4999" s="188"/>
    </row>
    <row r="5000" spans="19:19" ht="60" customHeight="1" x14ac:dyDescent="0.25">
      <c r="S5000" s="188"/>
    </row>
    <row r="5001" spans="19:19" ht="60" customHeight="1" x14ac:dyDescent="0.25">
      <c r="S5001" s="188"/>
    </row>
    <row r="5002" spans="19:19" ht="60" customHeight="1" x14ac:dyDescent="0.25">
      <c r="S5002" s="188"/>
    </row>
    <row r="5003" spans="19:19" ht="60" customHeight="1" x14ac:dyDescent="0.25">
      <c r="S5003" s="188"/>
    </row>
    <row r="5004" spans="19:19" ht="60" customHeight="1" x14ac:dyDescent="0.25">
      <c r="S5004" s="188"/>
    </row>
    <row r="5005" spans="19:19" ht="60" customHeight="1" x14ac:dyDescent="0.25">
      <c r="S5005" s="188"/>
    </row>
    <row r="5006" spans="19:19" ht="60" customHeight="1" x14ac:dyDescent="0.25">
      <c r="S5006" s="188"/>
    </row>
    <row r="5007" spans="19:19" ht="60" customHeight="1" x14ac:dyDescent="0.25">
      <c r="S5007" s="188"/>
    </row>
    <row r="5008" spans="19:19" ht="60" customHeight="1" x14ac:dyDescent="0.25">
      <c r="S5008" s="188"/>
    </row>
    <row r="5009" spans="19:19" ht="60" customHeight="1" x14ac:dyDescent="0.25">
      <c r="S5009" s="188"/>
    </row>
    <row r="5010" spans="19:19" ht="60" customHeight="1" x14ac:dyDescent="0.25">
      <c r="S5010" s="188"/>
    </row>
    <row r="5011" spans="19:19" ht="60" customHeight="1" x14ac:dyDescent="0.25">
      <c r="S5011" s="188"/>
    </row>
    <row r="5012" spans="19:19" ht="60" customHeight="1" x14ac:dyDescent="0.25">
      <c r="S5012" s="188"/>
    </row>
    <row r="5013" spans="19:19" ht="60" customHeight="1" x14ac:dyDescent="0.25">
      <c r="S5013" s="188"/>
    </row>
    <row r="5014" spans="19:19" ht="60" customHeight="1" x14ac:dyDescent="0.25">
      <c r="S5014" s="188"/>
    </row>
    <row r="5015" spans="19:19" ht="60" customHeight="1" x14ac:dyDescent="0.25">
      <c r="S5015" s="188"/>
    </row>
    <row r="5016" spans="19:19" ht="60" customHeight="1" x14ac:dyDescent="0.25">
      <c r="S5016" s="188"/>
    </row>
    <row r="5017" spans="19:19" ht="60" customHeight="1" x14ac:dyDescent="0.25">
      <c r="S5017" s="188"/>
    </row>
    <row r="5018" spans="19:19" ht="60" customHeight="1" x14ac:dyDescent="0.25">
      <c r="S5018" s="188"/>
    </row>
    <row r="5019" spans="19:19" ht="60" customHeight="1" x14ac:dyDescent="0.25">
      <c r="S5019" s="188"/>
    </row>
    <row r="5020" spans="19:19" ht="60" customHeight="1" x14ac:dyDescent="0.25">
      <c r="S5020" s="188"/>
    </row>
    <row r="5021" spans="19:19" ht="60" customHeight="1" x14ac:dyDescent="0.25">
      <c r="S5021" s="188"/>
    </row>
    <row r="5022" spans="19:19" ht="60" customHeight="1" x14ac:dyDescent="0.25">
      <c r="S5022" s="188"/>
    </row>
    <row r="5023" spans="19:19" ht="60" customHeight="1" x14ac:dyDescent="0.25">
      <c r="S5023" s="188"/>
    </row>
    <row r="5024" spans="19:19" ht="60" customHeight="1" x14ac:dyDescent="0.25">
      <c r="S5024" s="188"/>
    </row>
    <row r="5025" spans="19:19" ht="60" customHeight="1" x14ac:dyDescent="0.25">
      <c r="S5025" s="188"/>
    </row>
    <row r="5026" spans="19:19" ht="60" customHeight="1" x14ac:dyDescent="0.25">
      <c r="S5026" s="188"/>
    </row>
    <row r="5027" spans="19:19" ht="60" customHeight="1" x14ac:dyDescent="0.25">
      <c r="S5027" s="188"/>
    </row>
    <row r="5028" spans="19:19" ht="60" customHeight="1" x14ac:dyDescent="0.25">
      <c r="S5028" s="188"/>
    </row>
    <row r="5029" spans="19:19" ht="60" customHeight="1" x14ac:dyDescent="0.25">
      <c r="S5029" s="188"/>
    </row>
    <row r="5030" spans="19:19" ht="60" customHeight="1" x14ac:dyDescent="0.25">
      <c r="S5030" s="188"/>
    </row>
    <row r="5031" spans="19:19" ht="60" customHeight="1" x14ac:dyDescent="0.25">
      <c r="S5031" s="188"/>
    </row>
    <row r="5032" spans="19:19" ht="60" customHeight="1" x14ac:dyDescent="0.25">
      <c r="S5032" s="188"/>
    </row>
    <row r="5033" spans="19:19" ht="60" customHeight="1" x14ac:dyDescent="0.25">
      <c r="S5033" s="188"/>
    </row>
    <row r="5034" spans="19:19" ht="60" customHeight="1" x14ac:dyDescent="0.25">
      <c r="S5034" s="188"/>
    </row>
    <row r="5035" spans="19:19" ht="60" customHeight="1" x14ac:dyDescent="0.25">
      <c r="S5035" s="188"/>
    </row>
    <row r="5036" spans="19:19" ht="60" customHeight="1" x14ac:dyDescent="0.25">
      <c r="S5036" s="188"/>
    </row>
    <row r="5037" spans="19:19" ht="60" customHeight="1" x14ac:dyDescent="0.25">
      <c r="S5037" s="188"/>
    </row>
    <row r="5038" spans="19:19" ht="60" customHeight="1" x14ac:dyDescent="0.25">
      <c r="S5038" s="188"/>
    </row>
    <row r="5039" spans="19:19" ht="60" customHeight="1" x14ac:dyDescent="0.25">
      <c r="S5039" s="188"/>
    </row>
    <row r="5040" spans="19:19" ht="60" customHeight="1" x14ac:dyDescent="0.25">
      <c r="S5040" s="188"/>
    </row>
    <row r="5041" spans="19:19" ht="60" customHeight="1" x14ac:dyDescent="0.25">
      <c r="S5041" s="188"/>
    </row>
    <row r="5042" spans="19:19" ht="60" customHeight="1" x14ac:dyDescent="0.25">
      <c r="S5042" s="188"/>
    </row>
    <row r="5043" spans="19:19" ht="60" customHeight="1" x14ac:dyDescent="0.25">
      <c r="S5043" s="188"/>
    </row>
    <row r="5044" spans="19:19" ht="60" customHeight="1" x14ac:dyDescent="0.25">
      <c r="S5044" s="188"/>
    </row>
    <row r="5045" spans="19:19" ht="60" customHeight="1" x14ac:dyDescent="0.25">
      <c r="S5045" s="188"/>
    </row>
    <row r="5046" spans="19:19" ht="60" customHeight="1" x14ac:dyDescent="0.25">
      <c r="S5046" s="188"/>
    </row>
    <row r="5047" spans="19:19" ht="60" customHeight="1" x14ac:dyDescent="0.25">
      <c r="S5047" s="188"/>
    </row>
    <row r="5048" spans="19:19" ht="60" customHeight="1" x14ac:dyDescent="0.25">
      <c r="S5048" s="188"/>
    </row>
    <row r="5049" spans="19:19" ht="60" customHeight="1" x14ac:dyDescent="0.25">
      <c r="S5049" s="188"/>
    </row>
    <row r="5050" spans="19:19" ht="60" customHeight="1" x14ac:dyDescent="0.25">
      <c r="S5050" s="188"/>
    </row>
    <row r="5051" spans="19:19" ht="60" customHeight="1" x14ac:dyDescent="0.25">
      <c r="S5051" s="188"/>
    </row>
    <row r="5052" spans="19:19" ht="60" customHeight="1" x14ac:dyDescent="0.25">
      <c r="S5052" s="188"/>
    </row>
    <row r="5053" spans="19:19" ht="60" customHeight="1" x14ac:dyDescent="0.25">
      <c r="S5053" s="188"/>
    </row>
    <row r="5054" spans="19:19" ht="60" customHeight="1" x14ac:dyDescent="0.25">
      <c r="S5054" s="188"/>
    </row>
    <row r="5055" spans="19:19" ht="60" customHeight="1" x14ac:dyDescent="0.25">
      <c r="S5055" s="188"/>
    </row>
    <row r="5056" spans="19:19" ht="60" customHeight="1" x14ac:dyDescent="0.25">
      <c r="S5056" s="188"/>
    </row>
    <row r="5057" spans="19:19" ht="60" customHeight="1" x14ac:dyDescent="0.25">
      <c r="S5057" s="188"/>
    </row>
    <row r="5058" spans="19:19" ht="60" customHeight="1" x14ac:dyDescent="0.25">
      <c r="S5058" s="188"/>
    </row>
    <row r="5059" spans="19:19" ht="60" customHeight="1" x14ac:dyDescent="0.25">
      <c r="S5059" s="188"/>
    </row>
    <row r="5060" spans="19:19" ht="60" customHeight="1" x14ac:dyDescent="0.25">
      <c r="S5060" s="188"/>
    </row>
    <row r="5061" spans="19:19" ht="60" customHeight="1" x14ac:dyDescent="0.25">
      <c r="S5061" s="188"/>
    </row>
    <row r="5062" spans="19:19" ht="60" customHeight="1" x14ac:dyDescent="0.25">
      <c r="S5062" s="188"/>
    </row>
    <row r="5063" spans="19:19" ht="60" customHeight="1" x14ac:dyDescent="0.25">
      <c r="S5063" s="188"/>
    </row>
    <row r="5064" spans="19:19" ht="60" customHeight="1" x14ac:dyDescent="0.25">
      <c r="S5064" s="188"/>
    </row>
    <row r="5065" spans="19:19" ht="60" customHeight="1" x14ac:dyDescent="0.25">
      <c r="S5065" s="188"/>
    </row>
    <row r="5066" spans="19:19" ht="60" customHeight="1" x14ac:dyDescent="0.25">
      <c r="S5066" s="188"/>
    </row>
    <row r="5067" spans="19:19" ht="60" customHeight="1" x14ac:dyDescent="0.25">
      <c r="S5067" s="188"/>
    </row>
    <row r="5068" spans="19:19" ht="60" customHeight="1" x14ac:dyDescent="0.25">
      <c r="S5068" s="188"/>
    </row>
    <row r="5069" spans="19:19" ht="60" customHeight="1" x14ac:dyDescent="0.25">
      <c r="S5069" s="188"/>
    </row>
    <row r="5070" spans="19:19" ht="60" customHeight="1" x14ac:dyDescent="0.25">
      <c r="S5070" s="188"/>
    </row>
    <row r="5071" spans="19:19" ht="60" customHeight="1" x14ac:dyDescent="0.25">
      <c r="S5071" s="188"/>
    </row>
    <row r="5072" spans="19:19" ht="60" customHeight="1" x14ac:dyDescent="0.25">
      <c r="S5072" s="188"/>
    </row>
    <row r="5073" spans="19:19" ht="60" customHeight="1" x14ac:dyDescent="0.25">
      <c r="S5073" s="188"/>
    </row>
    <row r="5074" spans="19:19" ht="60" customHeight="1" x14ac:dyDescent="0.25">
      <c r="S5074" s="188"/>
    </row>
    <row r="5075" spans="19:19" ht="60" customHeight="1" x14ac:dyDescent="0.25">
      <c r="S5075" s="188"/>
    </row>
    <row r="5076" spans="19:19" ht="60" customHeight="1" x14ac:dyDescent="0.25">
      <c r="S5076" s="188"/>
    </row>
    <row r="5077" spans="19:19" ht="60" customHeight="1" x14ac:dyDescent="0.25">
      <c r="S5077" s="188"/>
    </row>
    <row r="5078" spans="19:19" ht="60" customHeight="1" x14ac:dyDescent="0.25">
      <c r="S5078" s="188"/>
    </row>
    <row r="5079" spans="19:19" ht="60" customHeight="1" x14ac:dyDescent="0.25">
      <c r="S5079" s="188"/>
    </row>
    <row r="5080" spans="19:19" ht="60" customHeight="1" x14ac:dyDescent="0.25">
      <c r="S5080" s="188"/>
    </row>
    <row r="5081" spans="19:19" ht="60" customHeight="1" x14ac:dyDescent="0.25">
      <c r="S5081" s="188"/>
    </row>
    <row r="5082" spans="19:19" ht="60" customHeight="1" x14ac:dyDescent="0.25">
      <c r="S5082" s="188"/>
    </row>
    <row r="5083" spans="19:19" ht="60" customHeight="1" x14ac:dyDescent="0.25">
      <c r="S5083" s="188"/>
    </row>
    <row r="5084" spans="19:19" ht="60" customHeight="1" x14ac:dyDescent="0.25">
      <c r="S5084" s="188"/>
    </row>
    <row r="5085" spans="19:19" ht="60" customHeight="1" x14ac:dyDescent="0.25">
      <c r="S5085" s="188"/>
    </row>
    <row r="5086" spans="19:19" ht="60" customHeight="1" x14ac:dyDescent="0.25">
      <c r="S5086" s="188"/>
    </row>
    <row r="5087" spans="19:19" ht="60" customHeight="1" x14ac:dyDescent="0.25">
      <c r="S5087" s="188"/>
    </row>
    <row r="5088" spans="19:19" ht="60" customHeight="1" x14ac:dyDescent="0.25">
      <c r="S5088" s="188"/>
    </row>
    <row r="5089" spans="19:19" ht="60" customHeight="1" x14ac:dyDescent="0.25">
      <c r="S5089" s="188"/>
    </row>
    <row r="5090" spans="19:19" ht="60" customHeight="1" x14ac:dyDescent="0.25">
      <c r="S5090" s="188"/>
    </row>
    <row r="5091" spans="19:19" ht="60" customHeight="1" x14ac:dyDescent="0.25">
      <c r="S5091" s="188"/>
    </row>
    <row r="5092" spans="19:19" ht="60" customHeight="1" x14ac:dyDescent="0.25">
      <c r="S5092" s="188"/>
    </row>
    <row r="5093" spans="19:19" ht="60" customHeight="1" x14ac:dyDescent="0.25">
      <c r="S5093" s="188"/>
    </row>
    <row r="5094" spans="19:19" ht="60" customHeight="1" x14ac:dyDescent="0.25">
      <c r="S5094" s="188"/>
    </row>
    <row r="5095" spans="19:19" ht="60" customHeight="1" x14ac:dyDescent="0.25">
      <c r="S5095" s="188"/>
    </row>
    <row r="5096" spans="19:19" ht="60" customHeight="1" x14ac:dyDescent="0.25">
      <c r="S5096" s="188"/>
    </row>
    <row r="5097" spans="19:19" ht="60" customHeight="1" x14ac:dyDescent="0.25">
      <c r="S5097" s="188"/>
    </row>
    <row r="5098" spans="19:19" ht="60" customHeight="1" x14ac:dyDescent="0.25">
      <c r="S5098" s="188"/>
    </row>
    <row r="5099" spans="19:19" ht="60" customHeight="1" x14ac:dyDescent="0.25">
      <c r="S5099" s="188"/>
    </row>
    <row r="5100" spans="19:19" ht="60" customHeight="1" x14ac:dyDescent="0.25">
      <c r="S5100" s="188"/>
    </row>
    <row r="5101" spans="19:19" ht="60" customHeight="1" x14ac:dyDescent="0.25">
      <c r="S5101" s="188"/>
    </row>
    <row r="5102" spans="19:19" ht="60" customHeight="1" x14ac:dyDescent="0.25">
      <c r="S5102" s="188"/>
    </row>
    <row r="5103" spans="19:19" ht="60" customHeight="1" x14ac:dyDescent="0.25">
      <c r="S5103" s="188"/>
    </row>
    <row r="5104" spans="19:19" ht="60" customHeight="1" x14ac:dyDescent="0.25">
      <c r="S5104" s="188"/>
    </row>
    <row r="5105" spans="19:19" ht="60" customHeight="1" x14ac:dyDescent="0.25">
      <c r="S5105" s="188"/>
    </row>
    <row r="5106" spans="19:19" ht="60" customHeight="1" x14ac:dyDescent="0.25">
      <c r="S5106" s="188"/>
    </row>
    <row r="5107" spans="19:19" ht="60" customHeight="1" x14ac:dyDescent="0.25">
      <c r="S5107" s="188"/>
    </row>
    <row r="5108" spans="19:19" ht="60" customHeight="1" x14ac:dyDescent="0.25">
      <c r="S5108" s="188"/>
    </row>
    <row r="5109" spans="19:19" ht="60" customHeight="1" x14ac:dyDescent="0.25">
      <c r="S5109" s="188"/>
    </row>
    <row r="5110" spans="19:19" ht="60" customHeight="1" x14ac:dyDescent="0.25">
      <c r="S5110" s="188"/>
    </row>
    <row r="5111" spans="19:19" ht="60" customHeight="1" x14ac:dyDescent="0.25">
      <c r="S5111" s="188"/>
    </row>
    <row r="5112" spans="19:19" ht="60" customHeight="1" x14ac:dyDescent="0.25">
      <c r="S5112" s="188"/>
    </row>
    <row r="5113" spans="19:19" ht="60" customHeight="1" x14ac:dyDescent="0.25">
      <c r="S5113" s="188"/>
    </row>
    <row r="5114" spans="19:19" ht="60" customHeight="1" x14ac:dyDescent="0.25">
      <c r="S5114" s="188"/>
    </row>
    <row r="5115" spans="19:19" ht="60" customHeight="1" x14ac:dyDescent="0.25">
      <c r="S5115" s="188"/>
    </row>
    <row r="5116" spans="19:19" ht="60" customHeight="1" x14ac:dyDescent="0.25">
      <c r="S5116" s="188"/>
    </row>
    <row r="5117" spans="19:19" ht="60" customHeight="1" x14ac:dyDescent="0.25">
      <c r="S5117" s="188"/>
    </row>
    <row r="5118" spans="19:19" ht="60" customHeight="1" x14ac:dyDescent="0.25">
      <c r="S5118" s="188"/>
    </row>
    <row r="5119" spans="19:19" ht="60" customHeight="1" x14ac:dyDescent="0.25">
      <c r="S5119" s="188"/>
    </row>
    <row r="5120" spans="19:19" ht="60" customHeight="1" x14ac:dyDescent="0.25">
      <c r="S5120" s="188"/>
    </row>
    <row r="5121" spans="19:19" ht="60" customHeight="1" x14ac:dyDescent="0.25">
      <c r="S5121" s="188"/>
    </row>
    <row r="5122" spans="19:19" ht="60" customHeight="1" x14ac:dyDescent="0.25">
      <c r="S5122" s="188"/>
    </row>
    <row r="5123" spans="19:19" ht="60" customHeight="1" x14ac:dyDescent="0.25">
      <c r="S5123" s="188"/>
    </row>
    <row r="5124" spans="19:19" ht="60" customHeight="1" x14ac:dyDescent="0.25">
      <c r="S5124" s="188"/>
    </row>
    <row r="5125" spans="19:19" ht="60" customHeight="1" x14ac:dyDescent="0.25">
      <c r="S5125" s="188"/>
    </row>
    <row r="5126" spans="19:19" ht="60" customHeight="1" x14ac:dyDescent="0.25">
      <c r="S5126" s="188"/>
    </row>
    <row r="5127" spans="19:19" ht="60" customHeight="1" x14ac:dyDescent="0.25">
      <c r="S5127" s="188"/>
    </row>
    <row r="5128" spans="19:19" ht="60" customHeight="1" x14ac:dyDescent="0.25">
      <c r="S5128" s="188"/>
    </row>
    <row r="5129" spans="19:19" ht="60" customHeight="1" x14ac:dyDescent="0.25">
      <c r="S5129" s="188"/>
    </row>
    <row r="5130" spans="19:19" ht="60" customHeight="1" x14ac:dyDescent="0.25">
      <c r="S5130" s="188"/>
    </row>
    <row r="5131" spans="19:19" ht="60" customHeight="1" x14ac:dyDescent="0.25">
      <c r="S5131" s="188"/>
    </row>
    <row r="5132" spans="19:19" ht="60" customHeight="1" x14ac:dyDescent="0.25">
      <c r="S5132" s="188"/>
    </row>
    <row r="5133" spans="19:19" ht="60" customHeight="1" x14ac:dyDescent="0.25">
      <c r="S5133" s="188"/>
    </row>
    <row r="5134" spans="19:19" ht="60" customHeight="1" x14ac:dyDescent="0.25">
      <c r="S5134" s="188"/>
    </row>
    <row r="5135" spans="19:19" ht="60" customHeight="1" x14ac:dyDescent="0.25">
      <c r="S5135" s="188"/>
    </row>
    <row r="5136" spans="19:19" ht="60" customHeight="1" x14ac:dyDescent="0.25">
      <c r="S5136" s="188"/>
    </row>
    <row r="5137" spans="19:19" ht="60" customHeight="1" x14ac:dyDescent="0.25">
      <c r="S5137" s="188"/>
    </row>
    <row r="5138" spans="19:19" ht="60" customHeight="1" x14ac:dyDescent="0.25">
      <c r="S5138" s="188"/>
    </row>
    <row r="5139" spans="19:19" ht="60" customHeight="1" x14ac:dyDescent="0.25">
      <c r="S5139" s="188"/>
    </row>
    <row r="5140" spans="19:19" ht="60" customHeight="1" x14ac:dyDescent="0.25">
      <c r="S5140" s="188"/>
    </row>
    <row r="5141" spans="19:19" ht="60" customHeight="1" x14ac:dyDescent="0.25">
      <c r="S5141" s="188"/>
    </row>
    <row r="5142" spans="19:19" ht="60" customHeight="1" x14ac:dyDescent="0.25">
      <c r="S5142" s="188"/>
    </row>
    <row r="5143" spans="19:19" ht="60" customHeight="1" x14ac:dyDescent="0.25">
      <c r="S5143" s="188"/>
    </row>
    <row r="5144" spans="19:19" ht="60" customHeight="1" x14ac:dyDescent="0.25">
      <c r="S5144" s="188"/>
    </row>
    <row r="5145" spans="19:19" ht="60" customHeight="1" x14ac:dyDescent="0.25">
      <c r="S5145" s="188"/>
    </row>
    <row r="5146" spans="19:19" ht="60" customHeight="1" x14ac:dyDescent="0.25">
      <c r="S5146" s="188"/>
    </row>
    <row r="5147" spans="19:19" ht="60" customHeight="1" x14ac:dyDescent="0.25">
      <c r="S5147" s="188"/>
    </row>
    <row r="5148" spans="19:19" ht="60" customHeight="1" x14ac:dyDescent="0.25">
      <c r="S5148" s="188"/>
    </row>
    <row r="5149" spans="19:19" ht="60" customHeight="1" x14ac:dyDescent="0.25">
      <c r="S5149" s="188"/>
    </row>
    <row r="5150" spans="19:19" ht="60" customHeight="1" x14ac:dyDescent="0.25">
      <c r="S5150" s="188"/>
    </row>
    <row r="5151" spans="19:19" ht="60" customHeight="1" x14ac:dyDescent="0.25">
      <c r="S5151" s="188"/>
    </row>
    <row r="5152" spans="19:19" ht="60" customHeight="1" x14ac:dyDescent="0.25">
      <c r="S5152" s="188"/>
    </row>
    <row r="5153" spans="19:19" ht="60" customHeight="1" x14ac:dyDescent="0.25">
      <c r="S5153" s="188"/>
    </row>
    <row r="5154" spans="19:19" ht="60" customHeight="1" x14ac:dyDescent="0.25">
      <c r="S5154" s="188"/>
    </row>
    <row r="5155" spans="19:19" ht="60" customHeight="1" x14ac:dyDescent="0.25">
      <c r="S5155" s="188"/>
    </row>
    <row r="5156" spans="19:19" ht="60" customHeight="1" x14ac:dyDescent="0.25">
      <c r="S5156" s="188"/>
    </row>
    <row r="5157" spans="19:19" ht="60" customHeight="1" x14ac:dyDescent="0.25">
      <c r="S5157" s="188"/>
    </row>
    <row r="5158" spans="19:19" ht="60" customHeight="1" x14ac:dyDescent="0.25">
      <c r="S5158" s="188"/>
    </row>
    <row r="5159" spans="19:19" ht="60" customHeight="1" x14ac:dyDescent="0.25">
      <c r="S5159" s="188"/>
    </row>
    <row r="5160" spans="19:19" ht="60" customHeight="1" x14ac:dyDescent="0.25">
      <c r="S5160" s="188"/>
    </row>
    <row r="5161" spans="19:19" ht="60" customHeight="1" x14ac:dyDescent="0.25">
      <c r="S5161" s="188"/>
    </row>
    <row r="5162" spans="19:19" ht="60" customHeight="1" x14ac:dyDescent="0.25">
      <c r="S5162" s="188"/>
    </row>
    <row r="5163" spans="19:19" ht="60" customHeight="1" x14ac:dyDescent="0.25">
      <c r="S5163" s="188"/>
    </row>
    <row r="5164" spans="19:19" ht="60" customHeight="1" x14ac:dyDescent="0.25">
      <c r="S5164" s="188"/>
    </row>
    <row r="5165" spans="19:19" ht="60" customHeight="1" x14ac:dyDescent="0.25">
      <c r="S5165" s="188"/>
    </row>
    <row r="5166" spans="19:19" ht="60" customHeight="1" x14ac:dyDescent="0.25">
      <c r="S5166" s="188"/>
    </row>
    <row r="5167" spans="19:19" ht="60" customHeight="1" x14ac:dyDescent="0.25">
      <c r="S5167" s="188"/>
    </row>
    <row r="5168" spans="19:19" ht="60" customHeight="1" x14ac:dyDescent="0.25">
      <c r="S5168" s="188"/>
    </row>
    <row r="5169" spans="19:19" ht="60" customHeight="1" x14ac:dyDescent="0.25">
      <c r="S5169" s="188"/>
    </row>
    <row r="5170" spans="19:19" ht="60" customHeight="1" x14ac:dyDescent="0.25">
      <c r="S5170" s="188"/>
    </row>
    <row r="5171" spans="19:19" ht="60" customHeight="1" x14ac:dyDescent="0.25">
      <c r="S5171" s="188"/>
    </row>
    <row r="5172" spans="19:19" ht="60" customHeight="1" x14ac:dyDescent="0.25">
      <c r="S5172" s="188"/>
    </row>
    <row r="5173" spans="19:19" ht="60" customHeight="1" x14ac:dyDescent="0.25">
      <c r="S5173" s="188"/>
    </row>
    <row r="5174" spans="19:19" ht="60" customHeight="1" x14ac:dyDescent="0.25">
      <c r="S5174" s="188"/>
    </row>
    <row r="5175" spans="19:19" ht="60" customHeight="1" x14ac:dyDescent="0.25">
      <c r="S5175" s="188"/>
    </row>
    <row r="5176" spans="19:19" ht="60" customHeight="1" x14ac:dyDescent="0.25">
      <c r="S5176" s="188"/>
    </row>
    <row r="5177" spans="19:19" ht="60" customHeight="1" x14ac:dyDescent="0.25">
      <c r="S5177" s="188"/>
    </row>
    <row r="5178" spans="19:19" ht="60" customHeight="1" x14ac:dyDescent="0.25">
      <c r="S5178" s="188"/>
    </row>
    <row r="5179" spans="19:19" ht="60" customHeight="1" x14ac:dyDescent="0.25">
      <c r="S5179" s="188"/>
    </row>
    <row r="5180" spans="19:19" ht="60" customHeight="1" x14ac:dyDescent="0.25">
      <c r="S5180" s="188"/>
    </row>
    <row r="5181" spans="19:19" ht="60" customHeight="1" x14ac:dyDescent="0.25">
      <c r="S5181" s="188"/>
    </row>
    <row r="5182" spans="19:19" ht="60" customHeight="1" x14ac:dyDescent="0.25">
      <c r="S5182" s="188"/>
    </row>
    <row r="5183" spans="19:19" ht="60" customHeight="1" x14ac:dyDescent="0.25">
      <c r="S5183" s="188"/>
    </row>
    <row r="5184" spans="19:19" ht="60" customHeight="1" x14ac:dyDescent="0.25">
      <c r="S5184" s="188"/>
    </row>
    <row r="5185" spans="19:19" ht="60" customHeight="1" x14ac:dyDescent="0.25">
      <c r="S5185" s="188"/>
    </row>
    <row r="5186" spans="19:19" ht="60" customHeight="1" x14ac:dyDescent="0.25">
      <c r="S5186" s="188"/>
    </row>
    <row r="5187" spans="19:19" ht="60" customHeight="1" x14ac:dyDescent="0.25">
      <c r="S5187" s="188"/>
    </row>
    <row r="5188" spans="19:19" ht="60" customHeight="1" x14ac:dyDescent="0.25">
      <c r="S5188" s="188"/>
    </row>
    <row r="5189" spans="19:19" ht="60" customHeight="1" x14ac:dyDescent="0.25">
      <c r="S5189" s="188"/>
    </row>
    <row r="5190" spans="19:19" ht="60" customHeight="1" x14ac:dyDescent="0.25">
      <c r="S5190" s="188"/>
    </row>
    <row r="5191" spans="19:19" ht="60" customHeight="1" x14ac:dyDescent="0.25">
      <c r="S5191" s="188"/>
    </row>
    <row r="5192" spans="19:19" ht="60" customHeight="1" x14ac:dyDescent="0.25">
      <c r="S5192" s="188"/>
    </row>
    <row r="5193" spans="19:19" ht="60" customHeight="1" x14ac:dyDescent="0.25">
      <c r="S5193" s="188"/>
    </row>
    <row r="5194" spans="19:19" ht="60" customHeight="1" x14ac:dyDescent="0.25">
      <c r="S5194" s="188"/>
    </row>
    <row r="5195" spans="19:19" ht="60" customHeight="1" x14ac:dyDescent="0.25">
      <c r="S5195" s="188"/>
    </row>
    <row r="5196" spans="19:19" ht="60" customHeight="1" x14ac:dyDescent="0.25">
      <c r="S5196" s="188"/>
    </row>
    <row r="5197" spans="19:19" ht="60" customHeight="1" x14ac:dyDescent="0.25">
      <c r="S5197" s="188"/>
    </row>
    <row r="5198" spans="19:19" ht="60" customHeight="1" x14ac:dyDescent="0.25">
      <c r="S5198" s="188"/>
    </row>
    <row r="5199" spans="19:19" ht="60" customHeight="1" x14ac:dyDescent="0.25">
      <c r="S5199" s="188"/>
    </row>
    <row r="5200" spans="19:19" ht="60" customHeight="1" x14ac:dyDescent="0.25">
      <c r="S5200" s="188"/>
    </row>
    <row r="5201" spans="19:19" ht="60" customHeight="1" x14ac:dyDescent="0.25">
      <c r="S5201" s="188"/>
    </row>
    <row r="5202" spans="19:19" ht="60" customHeight="1" x14ac:dyDescent="0.25">
      <c r="S5202" s="188"/>
    </row>
    <row r="5203" spans="19:19" ht="60" customHeight="1" x14ac:dyDescent="0.25">
      <c r="S5203" s="188"/>
    </row>
    <row r="5204" spans="19:19" ht="60" customHeight="1" x14ac:dyDescent="0.25">
      <c r="S5204" s="188"/>
    </row>
    <row r="5205" spans="19:19" ht="60" customHeight="1" x14ac:dyDescent="0.25">
      <c r="S5205" s="188"/>
    </row>
    <row r="5206" spans="19:19" ht="60" customHeight="1" x14ac:dyDescent="0.25">
      <c r="S5206" s="188"/>
    </row>
    <row r="5207" spans="19:19" ht="60" customHeight="1" x14ac:dyDescent="0.25">
      <c r="S5207" s="188"/>
    </row>
    <row r="5208" spans="19:19" ht="60" customHeight="1" x14ac:dyDescent="0.25">
      <c r="S5208" s="188"/>
    </row>
    <row r="5209" spans="19:19" ht="60" customHeight="1" x14ac:dyDescent="0.25">
      <c r="S5209" s="188"/>
    </row>
    <row r="5210" spans="19:19" ht="60" customHeight="1" x14ac:dyDescent="0.25">
      <c r="S5210" s="188"/>
    </row>
    <row r="5211" spans="19:19" ht="60" customHeight="1" x14ac:dyDescent="0.25">
      <c r="S5211" s="188"/>
    </row>
    <row r="5212" spans="19:19" ht="60" customHeight="1" x14ac:dyDescent="0.25">
      <c r="S5212" s="188"/>
    </row>
    <row r="5213" spans="19:19" ht="60" customHeight="1" x14ac:dyDescent="0.25">
      <c r="S5213" s="188"/>
    </row>
    <row r="5214" spans="19:19" ht="60" customHeight="1" x14ac:dyDescent="0.25">
      <c r="S5214" s="188"/>
    </row>
    <row r="5215" spans="19:19" ht="60" customHeight="1" x14ac:dyDescent="0.25">
      <c r="S5215" s="188"/>
    </row>
    <row r="5216" spans="19:19" ht="60" customHeight="1" x14ac:dyDescent="0.25">
      <c r="S5216" s="188"/>
    </row>
    <row r="5217" spans="19:19" ht="60" customHeight="1" x14ac:dyDescent="0.25">
      <c r="S5217" s="188"/>
    </row>
    <row r="5218" spans="19:19" ht="60" customHeight="1" x14ac:dyDescent="0.25">
      <c r="S5218" s="188"/>
    </row>
    <row r="5219" spans="19:19" ht="60" customHeight="1" x14ac:dyDescent="0.25">
      <c r="S5219" s="188"/>
    </row>
    <row r="5220" spans="19:19" ht="60" customHeight="1" x14ac:dyDescent="0.25">
      <c r="S5220" s="188"/>
    </row>
    <row r="5221" spans="19:19" ht="60" customHeight="1" x14ac:dyDescent="0.25">
      <c r="S5221" s="188"/>
    </row>
    <row r="5222" spans="19:19" ht="60" customHeight="1" x14ac:dyDescent="0.25">
      <c r="S5222" s="188"/>
    </row>
    <row r="5223" spans="19:19" ht="60" customHeight="1" x14ac:dyDescent="0.25">
      <c r="S5223" s="188"/>
    </row>
    <row r="5224" spans="19:19" ht="60" customHeight="1" x14ac:dyDescent="0.25">
      <c r="S5224" s="188"/>
    </row>
    <row r="5225" spans="19:19" ht="60" customHeight="1" x14ac:dyDescent="0.25">
      <c r="S5225" s="188"/>
    </row>
    <row r="5226" spans="19:19" ht="60" customHeight="1" x14ac:dyDescent="0.25">
      <c r="S5226" s="188"/>
    </row>
    <row r="5227" spans="19:19" ht="60" customHeight="1" x14ac:dyDescent="0.25">
      <c r="S5227" s="188"/>
    </row>
    <row r="5228" spans="19:19" ht="60" customHeight="1" x14ac:dyDescent="0.25">
      <c r="S5228" s="188"/>
    </row>
    <row r="5229" spans="19:19" ht="60" customHeight="1" x14ac:dyDescent="0.25">
      <c r="S5229" s="188"/>
    </row>
    <row r="5230" spans="19:19" ht="60" customHeight="1" x14ac:dyDescent="0.25">
      <c r="S5230" s="188"/>
    </row>
    <row r="5231" spans="19:19" ht="60" customHeight="1" x14ac:dyDescent="0.25">
      <c r="S5231" s="188"/>
    </row>
    <row r="5232" spans="19:19" ht="60" customHeight="1" x14ac:dyDescent="0.25">
      <c r="S5232" s="188"/>
    </row>
    <row r="5233" spans="19:19" ht="60" customHeight="1" x14ac:dyDescent="0.25">
      <c r="S5233" s="188"/>
    </row>
    <row r="5234" spans="19:19" ht="60" customHeight="1" x14ac:dyDescent="0.25">
      <c r="S5234" s="188"/>
    </row>
    <row r="5235" spans="19:19" ht="60" customHeight="1" x14ac:dyDescent="0.25">
      <c r="S5235" s="188"/>
    </row>
    <row r="5236" spans="19:19" ht="60" customHeight="1" x14ac:dyDescent="0.25">
      <c r="S5236" s="188"/>
    </row>
    <row r="5237" spans="19:19" ht="60" customHeight="1" x14ac:dyDescent="0.25">
      <c r="S5237" s="188"/>
    </row>
    <row r="5238" spans="19:19" ht="60" customHeight="1" x14ac:dyDescent="0.25">
      <c r="S5238" s="188"/>
    </row>
    <row r="5239" spans="19:19" ht="60" customHeight="1" x14ac:dyDescent="0.25">
      <c r="S5239" s="188"/>
    </row>
    <row r="5240" spans="19:19" ht="60" customHeight="1" x14ac:dyDescent="0.25">
      <c r="S5240" s="188"/>
    </row>
    <row r="5241" spans="19:19" ht="60" customHeight="1" x14ac:dyDescent="0.25">
      <c r="S5241" s="188"/>
    </row>
    <row r="5242" spans="19:19" ht="60" customHeight="1" x14ac:dyDescent="0.25">
      <c r="S5242" s="188"/>
    </row>
    <row r="5243" spans="19:19" ht="60" customHeight="1" x14ac:dyDescent="0.25">
      <c r="S5243" s="188"/>
    </row>
    <row r="5244" spans="19:19" ht="60" customHeight="1" x14ac:dyDescent="0.25">
      <c r="S5244" s="188"/>
    </row>
    <row r="5245" spans="19:19" ht="60" customHeight="1" x14ac:dyDescent="0.25">
      <c r="S5245" s="188"/>
    </row>
    <row r="5246" spans="19:19" ht="60" customHeight="1" x14ac:dyDescent="0.25">
      <c r="S5246" s="188"/>
    </row>
    <row r="5247" spans="19:19" ht="60" customHeight="1" x14ac:dyDescent="0.25">
      <c r="S5247" s="188"/>
    </row>
    <row r="5248" spans="19:19" ht="60" customHeight="1" x14ac:dyDescent="0.25">
      <c r="S5248" s="188"/>
    </row>
    <row r="5249" spans="19:19" ht="60" customHeight="1" x14ac:dyDescent="0.25">
      <c r="S5249" s="188"/>
    </row>
    <row r="5250" spans="19:19" ht="60" customHeight="1" x14ac:dyDescent="0.25">
      <c r="S5250" s="188"/>
    </row>
    <row r="5251" spans="19:19" ht="60" customHeight="1" x14ac:dyDescent="0.25">
      <c r="S5251" s="188"/>
    </row>
    <row r="5252" spans="19:19" ht="60" customHeight="1" x14ac:dyDescent="0.25">
      <c r="S5252" s="188"/>
    </row>
    <row r="5253" spans="19:19" ht="60" customHeight="1" x14ac:dyDescent="0.25">
      <c r="S5253" s="188"/>
    </row>
    <row r="5254" spans="19:19" ht="60" customHeight="1" x14ac:dyDescent="0.25">
      <c r="S5254" s="188"/>
    </row>
    <row r="5255" spans="19:19" ht="60" customHeight="1" x14ac:dyDescent="0.25">
      <c r="S5255" s="188"/>
    </row>
    <row r="5256" spans="19:19" ht="60" customHeight="1" x14ac:dyDescent="0.25">
      <c r="S5256" s="188"/>
    </row>
    <row r="5257" spans="19:19" ht="60" customHeight="1" x14ac:dyDescent="0.25">
      <c r="S5257" s="188"/>
    </row>
    <row r="5258" spans="19:19" ht="60" customHeight="1" x14ac:dyDescent="0.25">
      <c r="S5258" s="188"/>
    </row>
    <row r="5259" spans="19:19" ht="60" customHeight="1" x14ac:dyDescent="0.25">
      <c r="S5259" s="188"/>
    </row>
    <row r="5260" spans="19:19" ht="60" customHeight="1" x14ac:dyDescent="0.25">
      <c r="S5260" s="188"/>
    </row>
    <row r="5261" spans="19:19" ht="60" customHeight="1" x14ac:dyDescent="0.25">
      <c r="S5261" s="188"/>
    </row>
    <row r="5262" spans="19:19" ht="60" customHeight="1" x14ac:dyDescent="0.25">
      <c r="S5262" s="188"/>
    </row>
    <row r="5263" spans="19:19" ht="60" customHeight="1" x14ac:dyDescent="0.25">
      <c r="S5263" s="188"/>
    </row>
    <row r="5264" spans="19:19" ht="60" customHeight="1" x14ac:dyDescent="0.25">
      <c r="S5264" s="188"/>
    </row>
    <row r="5265" spans="19:19" ht="60" customHeight="1" x14ac:dyDescent="0.25">
      <c r="S5265" s="188"/>
    </row>
    <row r="5266" spans="19:19" ht="60" customHeight="1" x14ac:dyDescent="0.25">
      <c r="S5266" s="188"/>
    </row>
    <row r="5267" spans="19:19" ht="60" customHeight="1" x14ac:dyDescent="0.25">
      <c r="S5267" s="188"/>
    </row>
    <row r="5268" spans="19:19" ht="60" customHeight="1" x14ac:dyDescent="0.25">
      <c r="S5268" s="188"/>
    </row>
    <row r="5269" spans="19:19" ht="60" customHeight="1" x14ac:dyDescent="0.25">
      <c r="S5269" s="188"/>
    </row>
    <row r="5270" spans="19:19" ht="60" customHeight="1" x14ac:dyDescent="0.25">
      <c r="S5270" s="188"/>
    </row>
    <row r="5271" spans="19:19" ht="60" customHeight="1" x14ac:dyDescent="0.25">
      <c r="S5271" s="188"/>
    </row>
    <row r="5272" spans="19:19" ht="60" customHeight="1" x14ac:dyDescent="0.25">
      <c r="S5272" s="188"/>
    </row>
    <row r="5273" spans="19:19" ht="60" customHeight="1" x14ac:dyDescent="0.25">
      <c r="S5273" s="188"/>
    </row>
    <row r="5274" spans="19:19" ht="60" customHeight="1" x14ac:dyDescent="0.25">
      <c r="S5274" s="188"/>
    </row>
    <row r="5275" spans="19:19" ht="60" customHeight="1" x14ac:dyDescent="0.25">
      <c r="S5275" s="188"/>
    </row>
    <row r="5276" spans="19:19" ht="60" customHeight="1" x14ac:dyDescent="0.25">
      <c r="S5276" s="188"/>
    </row>
    <row r="5277" spans="19:19" ht="60" customHeight="1" x14ac:dyDescent="0.25">
      <c r="S5277" s="188"/>
    </row>
    <row r="5278" spans="19:19" ht="60" customHeight="1" x14ac:dyDescent="0.25">
      <c r="S5278" s="188"/>
    </row>
    <row r="5279" spans="19:19" ht="60" customHeight="1" x14ac:dyDescent="0.25">
      <c r="S5279" s="188"/>
    </row>
    <row r="5280" spans="19:19" ht="60" customHeight="1" x14ac:dyDescent="0.25">
      <c r="S5280" s="188"/>
    </row>
    <row r="5281" spans="19:19" ht="60" customHeight="1" x14ac:dyDescent="0.25">
      <c r="S5281" s="188"/>
    </row>
    <row r="5282" spans="19:19" ht="60" customHeight="1" x14ac:dyDescent="0.25">
      <c r="S5282" s="188"/>
    </row>
    <row r="5283" spans="19:19" ht="60" customHeight="1" x14ac:dyDescent="0.25">
      <c r="S5283" s="188"/>
    </row>
    <row r="5284" spans="19:19" ht="60" customHeight="1" x14ac:dyDescent="0.25">
      <c r="S5284" s="188"/>
    </row>
    <row r="5285" spans="19:19" ht="60" customHeight="1" x14ac:dyDescent="0.25">
      <c r="S5285" s="188"/>
    </row>
    <row r="5286" spans="19:19" ht="60" customHeight="1" x14ac:dyDescent="0.25">
      <c r="S5286" s="188"/>
    </row>
    <row r="5287" spans="19:19" ht="60" customHeight="1" x14ac:dyDescent="0.25">
      <c r="S5287" s="188"/>
    </row>
    <row r="5288" spans="19:19" ht="60" customHeight="1" x14ac:dyDescent="0.25">
      <c r="S5288" s="188"/>
    </row>
    <row r="5289" spans="19:19" ht="60" customHeight="1" x14ac:dyDescent="0.25">
      <c r="S5289" s="188"/>
    </row>
    <row r="5290" spans="19:19" ht="60" customHeight="1" x14ac:dyDescent="0.25">
      <c r="S5290" s="188"/>
    </row>
    <row r="5291" spans="19:19" ht="60" customHeight="1" x14ac:dyDescent="0.25">
      <c r="S5291" s="188"/>
    </row>
    <row r="5292" spans="19:19" ht="60" customHeight="1" x14ac:dyDescent="0.25">
      <c r="S5292" s="188"/>
    </row>
    <row r="5293" spans="19:19" ht="60" customHeight="1" x14ac:dyDescent="0.25">
      <c r="S5293" s="188"/>
    </row>
    <row r="5294" spans="19:19" ht="60" customHeight="1" x14ac:dyDescent="0.25">
      <c r="S5294" s="188"/>
    </row>
    <row r="5295" spans="19:19" ht="60" customHeight="1" x14ac:dyDescent="0.25">
      <c r="S5295" s="188"/>
    </row>
    <row r="5296" spans="19:19" ht="60" customHeight="1" x14ac:dyDescent="0.25">
      <c r="S5296" s="188"/>
    </row>
    <row r="5297" spans="19:19" ht="60" customHeight="1" x14ac:dyDescent="0.25">
      <c r="S5297" s="188"/>
    </row>
    <row r="5298" spans="19:19" ht="60" customHeight="1" x14ac:dyDescent="0.25">
      <c r="S5298" s="188"/>
    </row>
    <row r="5299" spans="19:19" ht="60" customHeight="1" x14ac:dyDescent="0.25">
      <c r="S5299" s="188"/>
    </row>
    <row r="5300" spans="19:19" ht="60" customHeight="1" x14ac:dyDescent="0.25">
      <c r="S5300" s="188"/>
    </row>
    <row r="5301" spans="19:19" ht="60" customHeight="1" x14ac:dyDescent="0.25">
      <c r="S5301" s="188"/>
    </row>
    <row r="5302" spans="19:19" ht="60" customHeight="1" x14ac:dyDescent="0.25">
      <c r="S5302" s="188"/>
    </row>
    <row r="5303" spans="19:19" ht="60" customHeight="1" x14ac:dyDescent="0.25">
      <c r="S5303" s="188"/>
    </row>
    <row r="5304" spans="19:19" ht="60" customHeight="1" x14ac:dyDescent="0.25">
      <c r="S5304" s="188"/>
    </row>
    <row r="5305" spans="19:19" ht="60" customHeight="1" x14ac:dyDescent="0.25">
      <c r="S5305" s="188"/>
    </row>
    <row r="5306" spans="19:19" ht="60" customHeight="1" x14ac:dyDescent="0.25">
      <c r="S5306" s="188"/>
    </row>
    <row r="5307" spans="19:19" ht="60" customHeight="1" x14ac:dyDescent="0.25">
      <c r="S5307" s="188"/>
    </row>
    <row r="5308" spans="19:19" ht="60" customHeight="1" x14ac:dyDescent="0.25">
      <c r="S5308" s="188"/>
    </row>
    <row r="5309" spans="19:19" ht="60" customHeight="1" x14ac:dyDescent="0.25">
      <c r="S5309" s="188"/>
    </row>
    <row r="5310" spans="19:19" ht="60" customHeight="1" x14ac:dyDescent="0.25">
      <c r="S5310" s="188"/>
    </row>
    <row r="5311" spans="19:19" ht="60" customHeight="1" x14ac:dyDescent="0.25">
      <c r="S5311" s="188"/>
    </row>
    <row r="5312" spans="19:19" ht="60" customHeight="1" x14ac:dyDescent="0.25">
      <c r="S5312" s="188"/>
    </row>
    <row r="5313" spans="19:19" ht="60" customHeight="1" x14ac:dyDescent="0.25">
      <c r="S5313" s="188"/>
    </row>
    <row r="5314" spans="19:19" ht="60" customHeight="1" x14ac:dyDescent="0.25">
      <c r="S5314" s="188"/>
    </row>
    <row r="5315" spans="19:19" ht="60" customHeight="1" x14ac:dyDescent="0.25">
      <c r="S5315" s="188"/>
    </row>
    <row r="5316" spans="19:19" ht="60" customHeight="1" x14ac:dyDescent="0.25">
      <c r="S5316" s="188"/>
    </row>
    <row r="5317" spans="19:19" ht="60" customHeight="1" x14ac:dyDescent="0.25">
      <c r="S5317" s="188"/>
    </row>
    <row r="5318" spans="19:19" ht="60" customHeight="1" x14ac:dyDescent="0.25">
      <c r="S5318" s="188"/>
    </row>
    <row r="5319" spans="19:19" ht="60" customHeight="1" x14ac:dyDescent="0.25">
      <c r="S5319" s="188"/>
    </row>
    <row r="5320" spans="19:19" ht="60" customHeight="1" x14ac:dyDescent="0.25">
      <c r="S5320" s="188"/>
    </row>
    <row r="5321" spans="19:19" ht="60" customHeight="1" x14ac:dyDescent="0.25">
      <c r="S5321" s="188"/>
    </row>
    <row r="5322" spans="19:19" ht="60" customHeight="1" x14ac:dyDescent="0.25">
      <c r="S5322" s="188"/>
    </row>
    <row r="5323" spans="19:19" ht="60" customHeight="1" x14ac:dyDescent="0.25">
      <c r="S5323" s="188"/>
    </row>
    <row r="5324" spans="19:19" ht="60" customHeight="1" x14ac:dyDescent="0.25">
      <c r="S5324" s="188"/>
    </row>
    <row r="5325" spans="19:19" ht="60" customHeight="1" x14ac:dyDescent="0.25">
      <c r="S5325" s="188"/>
    </row>
    <row r="5326" spans="19:19" ht="60" customHeight="1" x14ac:dyDescent="0.25">
      <c r="S5326" s="188"/>
    </row>
    <row r="5327" spans="19:19" ht="60" customHeight="1" x14ac:dyDescent="0.25">
      <c r="S5327" s="188"/>
    </row>
    <row r="5328" spans="19:19" ht="60" customHeight="1" x14ac:dyDescent="0.25">
      <c r="S5328" s="188"/>
    </row>
    <row r="5329" spans="19:19" ht="60" customHeight="1" x14ac:dyDescent="0.25">
      <c r="S5329" s="188"/>
    </row>
    <row r="5330" spans="19:19" ht="60" customHeight="1" x14ac:dyDescent="0.25">
      <c r="S5330" s="188"/>
    </row>
    <row r="5331" spans="19:19" ht="60" customHeight="1" x14ac:dyDescent="0.25">
      <c r="S5331" s="188"/>
    </row>
    <row r="5332" spans="19:19" ht="60" customHeight="1" x14ac:dyDescent="0.25">
      <c r="S5332" s="188"/>
    </row>
    <row r="5333" spans="19:19" ht="60" customHeight="1" x14ac:dyDescent="0.25">
      <c r="S5333" s="188"/>
    </row>
    <row r="5334" spans="19:19" ht="60" customHeight="1" x14ac:dyDescent="0.25">
      <c r="S5334" s="188"/>
    </row>
    <row r="5335" spans="19:19" ht="60" customHeight="1" x14ac:dyDescent="0.25">
      <c r="S5335" s="188"/>
    </row>
    <row r="5336" spans="19:19" ht="60" customHeight="1" x14ac:dyDescent="0.25">
      <c r="S5336" s="188"/>
    </row>
    <row r="5337" spans="19:19" ht="60" customHeight="1" x14ac:dyDescent="0.25">
      <c r="S5337" s="188"/>
    </row>
    <row r="5338" spans="19:19" ht="60" customHeight="1" x14ac:dyDescent="0.25">
      <c r="S5338" s="188"/>
    </row>
    <row r="5339" spans="19:19" ht="60" customHeight="1" x14ac:dyDescent="0.25">
      <c r="S5339" s="188"/>
    </row>
    <row r="5340" spans="19:19" ht="60" customHeight="1" x14ac:dyDescent="0.25">
      <c r="S5340" s="188"/>
    </row>
    <row r="5341" spans="19:19" ht="60" customHeight="1" x14ac:dyDescent="0.25">
      <c r="S5341" s="188"/>
    </row>
    <row r="5342" spans="19:19" ht="60" customHeight="1" x14ac:dyDescent="0.25">
      <c r="S5342" s="188"/>
    </row>
    <row r="5343" spans="19:19" ht="60" customHeight="1" x14ac:dyDescent="0.25">
      <c r="S5343" s="188"/>
    </row>
    <row r="5344" spans="19:19" ht="60" customHeight="1" x14ac:dyDescent="0.25">
      <c r="S5344" s="188"/>
    </row>
    <row r="5345" spans="19:19" ht="60" customHeight="1" x14ac:dyDescent="0.25">
      <c r="S5345" s="188"/>
    </row>
    <row r="5346" spans="19:19" ht="60" customHeight="1" x14ac:dyDescent="0.25">
      <c r="S5346" s="188"/>
    </row>
    <row r="5347" spans="19:19" ht="60" customHeight="1" x14ac:dyDescent="0.25">
      <c r="S5347" s="188"/>
    </row>
    <row r="5348" spans="19:19" ht="60" customHeight="1" x14ac:dyDescent="0.25">
      <c r="S5348" s="188"/>
    </row>
    <row r="5349" spans="19:19" ht="60" customHeight="1" x14ac:dyDescent="0.25">
      <c r="S5349" s="188"/>
    </row>
    <row r="5350" spans="19:19" ht="60" customHeight="1" x14ac:dyDescent="0.25">
      <c r="S5350" s="188"/>
    </row>
    <row r="5351" spans="19:19" ht="60" customHeight="1" x14ac:dyDescent="0.25">
      <c r="S5351" s="188"/>
    </row>
    <row r="5352" spans="19:19" ht="60" customHeight="1" x14ac:dyDescent="0.25">
      <c r="S5352" s="188"/>
    </row>
    <row r="5353" spans="19:19" ht="60" customHeight="1" x14ac:dyDescent="0.25">
      <c r="S5353" s="188"/>
    </row>
    <row r="5354" spans="19:19" ht="60" customHeight="1" x14ac:dyDescent="0.25">
      <c r="S5354" s="188"/>
    </row>
    <row r="5355" spans="19:19" ht="60" customHeight="1" x14ac:dyDescent="0.25">
      <c r="S5355" s="188"/>
    </row>
    <row r="5356" spans="19:19" ht="60" customHeight="1" x14ac:dyDescent="0.25">
      <c r="S5356" s="188"/>
    </row>
    <row r="5357" spans="19:19" ht="60" customHeight="1" x14ac:dyDescent="0.25">
      <c r="S5357" s="188"/>
    </row>
    <row r="5358" spans="19:19" ht="60" customHeight="1" x14ac:dyDescent="0.25">
      <c r="S5358" s="188"/>
    </row>
    <row r="5359" spans="19:19" ht="60" customHeight="1" x14ac:dyDescent="0.25">
      <c r="S5359" s="188"/>
    </row>
    <row r="5360" spans="19:19" ht="60" customHeight="1" x14ac:dyDescent="0.25">
      <c r="S5360" s="188"/>
    </row>
    <row r="5361" spans="19:19" ht="60" customHeight="1" x14ac:dyDescent="0.25">
      <c r="S5361" s="188"/>
    </row>
    <row r="5362" spans="19:19" ht="60" customHeight="1" x14ac:dyDescent="0.25">
      <c r="S5362" s="188"/>
    </row>
    <row r="5363" spans="19:19" ht="60" customHeight="1" x14ac:dyDescent="0.25">
      <c r="S5363" s="188"/>
    </row>
    <row r="5364" spans="19:19" ht="60" customHeight="1" x14ac:dyDescent="0.25">
      <c r="S5364" s="188"/>
    </row>
    <row r="5365" spans="19:19" ht="60" customHeight="1" x14ac:dyDescent="0.25">
      <c r="S5365" s="188"/>
    </row>
    <row r="5366" spans="19:19" ht="60" customHeight="1" x14ac:dyDescent="0.25">
      <c r="S5366" s="188"/>
    </row>
    <row r="5367" spans="19:19" ht="60" customHeight="1" x14ac:dyDescent="0.25">
      <c r="S5367" s="188"/>
    </row>
    <row r="5368" spans="19:19" ht="60" customHeight="1" x14ac:dyDescent="0.25">
      <c r="S5368" s="188"/>
    </row>
    <row r="5369" spans="19:19" ht="60" customHeight="1" x14ac:dyDescent="0.25">
      <c r="S5369" s="188"/>
    </row>
    <row r="5370" spans="19:19" ht="60" customHeight="1" x14ac:dyDescent="0.25">
      <c r="S5370" s="188"/>
    </row>
    <row r="5371" spans="19:19" ht="60" customHeight="1" x14ac:dyDescent="0.25">
      <c r="S5371" s="188"/>
    </row>
    <row r="5372" spans="19:19" ht="60" customHeight="1" x14ac:dyDescent="0.25">
      <c r="S5372" s="188"/>
    </row>
    <row r="5373" spans="19:19" ht="60" customHeight="1" x14ac:dyDescent="0.25">
      <c r="S5373" s="188"/>
    </row>
    <row r="5374" spans="19:19" ht="60" customHeight="1" x14ac:dyDescent="0.25">
      <c r="S5374" s="188"/>
    </row>
    <row r="5375" spans="19:19" ht="60" customHeight="1" x14ac:dyDescent="0.25">
      <c r="S5375" s="188"/>
    </row>
    <row r="5376" spans="19:19" ht="60" customHeight="1" x14ac:dyDescent="0.25">
      <c r="S5376" s="188"/>
    </row>
    <row r="5377" spans="19:19" ht="60" customHeight="1" x14ac:dyDescent="0.25">
      <c r="S5377" s="188"/>
    </row>
    <row r="5378" spans="19:19" ht="60" customHeight="1" x14ac:dyDescent="0.25">
      <c r="S5378" s="188"/>
    </row>
    <row r="5379" spans="19:19" ht="60" customHeight="1" x14ac:dyDescent="0.25">
      <c r="S5379" s="188"/>
    </row>
    <row r="5380" spans="19:19" ht="60" customHeight="1" x14ac:dyDescent="0.25">
      <c r="S5380" s="188"/>
    </row>
    <row r="5381" spans="19:19" ht="60" customHeight="1" x14ac:dyDescent="0.25">
      <c r="S5381" s="188"/>
    </row>
    <row r="5382" spans="19:19" ht="60" customHeight="1" x14ac:dyDescent="0.25">
      <c r="S5382" s="188"/>
    </row>
    <row r="5383" spans="19:19" ht="60" customHeight="1" x14ac:dyDescent="0.25">
      <c r="S5383" s="188"/>
    </row>
    <row r="5384" spans="19:19" ht="60" customHeight="1" x14ac:dyDescent="0.25">
      <c r="S5384" s="188"/>
    </row>
    <row r="5385" spans="19:19" ht="60" customHeight="1" x14ac:dyDescent="0.25">
      <c r="S5385" s="188"/>
    </row>
    <row r="5386" spans="19:19" ht="60" customHeight="1" x14ac:dyDescent="0.25">
      <c r="S5386" s="188"/>
    </row>
    <row r="5387" spans="19:19" ht="60" customHeight="1" x14ac:dyDescent="0.25">
      <c r="S5387" s="188"/>
    </row>
    <row r="5388" spans="19:19" ht="60" customHeight="1" x14ac:dyDescent="0.25">
      <c r="S5388" s="188"/>
    </row>
    <row r="5389" spans="19:19" ht="60" customHeight="1" x14ac:dyDescent="0.25">
      <c r="S5389" s="188"/>
    </row>
    <row r="5390" spans="19:19" ht="60" customHeight="1" x14ac:dyDescent="0.25">
      <c r="S5390" s="188"/>
    </row>
    <row r="5391" spans="19:19" ht="60" customHeight="1" x14ac:dyDescent="0.25">
      <c r="S5391" s="188"/>
    </row>
    <row r="5392" spans="19:19" ht="60" customHeight="1" x14ac:dyDescent="0.25">
      <c r="S5392" s="188"/>
    </row>
    <row r="5393" spans="19:19" ht="60" customHeight="1" x14ac:dyDescent="0.25">
      <c r="S5393" s="188"/>
    </row>
    <row r="5394" spans="19:19" ht="60" customHeight="1" x14ac:dyDescent="0.25">
      <c r="S5394" s="188"/>
    </row>
    <row r="5395" spans="19:19" ht="60" customHeight="1" x14ac:dyDescent="0.25">
      <c r="S5395" s="188"/>
    </row>
    <row r="5396" spans="19:19" ht="60" customHeight="1" x14ac:dyDescent="0.25">
      <c r="S5396" s="188"/>
    </row>
    <row r="5397" spans="19:19" ht="60" customHeight="1" x14ac:dyDescent="0.25">
      <c r="S5397" s="188"/>
    </row>
    <row r="5398" spans="19:19" ht="60" customHeight="1" x14ac:dyDescent="0.25">
      <c r="S5398" s="188"/>
    </row>
    <row r="5399" spans="19:19" ht="60" customHeight="1" x14ac:dyDescent="0.25">
      <c r="S5399" s="188"/>
    </row>
    <row r="5400" spans="19:19" ht="60" customHeight="1" x14ac:dyDescent="0.25">
      <c r="S5400" s="188"/>
    </row>
    <row r="5401" spans="19:19" ht="60" customHeight="1" x14ac:dyDescent="0.25">
      <c r="S5401" s="188"/>
    </row>
    <row r="5402" spans="19:19" ht="60" customHeight="1" x14ac:dyDescent="0.25">
      <c r="S5402" s="188"/>
    </row>
    <row r="5403" spans="19:19" ht="60" customHeight="1" x14ac:dyDescent="0.25">
      <c r="S5403" s="188"/>
    </row>
    <row r="5404" spans="19:19" ht="60" customHeight="1" x14ac:dyDescent="0.25">
      <c r="S5404" s="188"/>
    </row>
    <row r="5405" spans="19:19" ht="60" customHeight="1" x14ac:dyDescent="0.25">
      <c r="S5405" s="188"/>
    </row>
    <row r="5406" spans="19:19" ht="60" customHeight="1" x14ac:dyDescent="0.25">
      <c r="S5406" s="188"/>
    </row>
    <row r="5407" spans="19:19" ht="60" customHeight="1" x14ac:dyDescent="0.25">
      <c r="S5407" s="188"/>
    </row>
    <row r="5408" spans="19:19" ht="60" customHeight="1" x14ac:dyDescent="0.25">
      <c r="S5408" s="188"/>
    </row>
    <row r="5409" spans="19:19" ht="60" customHeight="1" x14ac:dyDescent="0.25">
      <c r="S5409" s="188"/>
    </row>
    <row r="5410" spans="19:19" ht="60" customHeight="1" x14ac:dyDescent="0.25">
      <c r="S5410" s="188"/>
    </row>
    <row r="5411" spans="19:19" ht="60" customHeight="1" x14ac:dyDescent="0.25">
      <c r="S5411" s="188"/>
    </row>
    <row r="5412" spans="19:19" ht="60" customHeight="1" x14ac:dyDescent="0.25">
      <c r="S5412" s="188"/>
    </row>
    <row r="5413" spans="19:19" ht="60" customHeight="1" x14ac:dyDescent="0.25">
      <c r="S5413" s="188"/>
    </row>
    <row r="5414" spans="19:19" ht="60" customHeight="1" x14ac:dyDescent="0.25">
      <c r="S5414" s="188"/>
    </row>
    <row r="5415" spans="19:19" ht="60" customHeight="1" x14ac:dyDescent="0.25">
      <c r="S5415" s="188"/>
    </row>
    <row r="5416" spans="19:19" ht="60" customHeight="1" x14ac:dyDescent="0.25">
      <c r="S5416" s="188"/>
    </row>
    <row r="5417" spans="19:19" ht="60" customHeight="1" x14ac:dyDescent="0.25">
      <c r="S5417" s="188"/>
    </row>
    <row r="5418" spans="19:19" ht="60" customHeight="1" x14ac:dyDescent="0.25">
      <c r="S5418" s="188"/>
    </row>
    <row r="5419" spans="19:19" ht="60" customHeight="1" x14ac:dyDescent="0.25">
      <c r="S5419" s="188"/>
    </row>
    <row r="5420" spans="19:19" ht="60" customHeight="1" x14ac:dyDescent="0.25">
      <c r="S5420" s="188"/>
    </row>
    <row r="5421" spans="19:19" ht="60" customHeight="1" x14ac:dyDescent="0.25">
      <c r="S5421" s="188"/>
    </row>
    <row r="5422" spans="19:19" ht="60" customHeight="1" x14ac:dyDescent="0.25">
      <c r="S5422" s="188"/>
    </row>
    <row r="5423" spans="19:19" ht="60" customHeight="1" x14ac:dyDescent="0.25">
      <c r="S5423" s="188"/>
    </row>
    <row r="5424" spans="19:19" ht="60" customHeight="1" x14ac:dyDescent="0.25">
      <c r="S5424" s="188"/>
    </row>
    <row r="5425" spans="19:19" ht="60" customHeight="1" x14ac:dyDescent="0.25">
      <c r="S5425" s="188"/>
    </row>
    <row r="5426" spans="19:19" ht="60" customHeight="1" x14ac:dyDescent="0.25">
      <c r="S5426" s="188"/>
    </row>
    <row r="5427" spans="19:19" ht="60" customHeight="1" x14ac:dyDescent="0.25">
      <c r="S5427" s="188"/>
    </row>
    <row r="5428" spans="19:19" ht="60" customHeight="1" x14ac:dyDescent="0.25">
      <c r="S5428" s="188"/>
    </row>
    <row r="5429" spans="19:19" ht="60" customHeight="1" x14ac:dyDescent="0.25">
      <c r="S5429" s="188"/>
    </row>
    <row r="5430" spans="19:19" ht="60" customHeight="1" x14ac:dyDescent="0.25">
      <c r="S5430" s="188"/>
    </row>
    <row r="5431" spans="19:19" ht="60" customHeight="1" x14ac:dyDescent="0.25">
      <c r="S5431" s="188"/>
    </row>
    <row r="5432" spans="19:19" ht="60" customHeight="1" x14ac:dyDescent="0.25">
      <c r="S5432" s="188"/>
    </row>
    <row r="5433" spans="19:19" ht="60" customHeight="1" x14ac:dyDescent="0.25">
      <c r="S5433" s="188"/>
    </row>
    <row r="5434" spans="19:19" ht="60" customHeight="1" x14ac:dyDescent="0.25">
      <c r="S5434" s="188"/>
    </row>
    <row r="5435" spans="19:19" ht="60" customHeight="1" x14ac:dyDescent="0.25">
      <c r="S5435" s="188"/>
    </row>
    <row r="5436" spans="19:19" ht="60" customHeight="1" x14ac:dyDescent="0.25">
      <c r="S5436" s="188"/>
    </row>
    <row r="5437" spans="19:19" ht="60" customHeight="1" x14ac:dyDescent="0.25">
      <c r="S5437" s="188"/>
    </row>
    <row r="5438" spans="19:19" ht="60" customHeight="1" x14ac:dyDescent="0.25">
      <c r="S5438" s="188"/>
    </row>
    <row r="5439" spans="19:19" ht="60" customHeight="1" x14ac:dyDescent="0.25">
      <c r="S5439" s="188"/>
    </row>
    <row r="5440" spans="19:19" ht="60" customHeight="1" x14ac:dyDescent="0.25">
      <c r="S5440" s="188"/>
    </row>
    <row r="5441" spans="19:19" ht="60" customHeight="1" x14ac:dyDescent="0.25">
      <c r="S5441" s="188"/>
    </row>
    <row r="5442" spans="19:19" ht="60" customHeight="1" x14ac:dyDescent="0.25">
      <c r="S5442" s="188"/>
    </row>
    <row r="5443" spans="19:19" ht="60" customHeight="1" x14ac:dyDescent="0.25">
      <c r="S5443" s="188"/>
    </row>
    <row r="5444" spans="19:19" ht="60" customHeight="1" x14ac:dyDescent="0.25">
      <c r="S5444" s="188"/>
    </row>
    <row r="5445" spans="19:19" ht="60" customHeight="1" x14ac:dyDescent="0.25">
      <c r="S5445" s="188"/>
    </row>
    <row r="5446" spans="19:19" ht="60" customHeight="1" x14ac:dyDescent="0.25">
      <c r="S5446" s="188"/>
    </row>
    <row r="5447" spans="19:19" ht="60" customHeight="1" x14ac:dyDescent="0.25">
      <c r="S5447" s="188"/>
    </row>
    <row r="5448" spans="19:19" ht="60" customHeight="1" x14ac:dyDescent="0.25">
      <c r="S5448" s="188"/>
    </row>
    <row r="5449" spans="19:19" ht="60" customHeight="1" x14ac:dyDescent="0.25">
      <c r="S5449" s="188"/>
    </row>
    <row r="5450" spans="19:19" ht="60" customHeight="1" x14ac:dyDescent="0.25">
      <c r="S5450" s="188"/>
    </row>
    <row r="5451" spans="19:19" ht="60" customHeight="1" x14ac:dyDescent="0.25">
      <c r="S5451" s="188"/>
    </row>
    <row r="5452" spans="19:19" ht="60" customHeight="1" x14ac:dyDescent="0.25">
      <c r="S5452" s="188"/>
    </row>
    <row r="5453" spans="19:19" ht="60" customHeight="1" x14ac:dyDescent="0.25">
      <c r="S5453" s="188"/>
    </row>
    <row r="5454" spans="19:19" ht="60" customHeight="1" x14ac:dyDescent="0.25">
      <c r="S5454" s="188"/>
    </row>
    <row r="5455" spans="19:19" ht="60" customHeight="1" x14ac:dyDescent="0.25">
      <c r="S5455" s="188"/>
    </row>
    <row r="5456" spans="19:19" ht="60" customHeight="1" x14ac:dyDescent="0.25">
      <c r="S5456" s="188"/>
    </row>
    <row r="5457" spans="19:19" ht="60" customHeight="1" x14ac:dyDescent="0.25">
      <c r="S5457" s="188"/>
    </row>
    <row r="5458" spans="19:19" ht="60" customHeight="1" x14ac:dyDescent="0.25">
      <c r="S5458" s="188"/>
    </row>
    <row r="5459" spans="19:19" ht="60" customHeight="1" x14ac:dyDescent="0.25">
      <c r="S5459" s="188"/>
    </row>
    <row r="5460" spans="19:19" ht="60" customHeight="1" x14ac:dyDescent="0.25">
      <c r="S5460" s="188"/>
    </row>
    <row r="5461" spans="19:19" ht="60" customHeight="1" x14ac:dyDescent="0.25">
      <c r="S5461" s="188"/>
    </row>
    <row r="5462" spans="19:19" ht="60" customHeight="1" x14ac:dyDescent="0.25">
      <c r="S5462" s="188"/>
    </row>
    <row r="5463" spans="19:19" ht="60" customHeight="1" x14ac:dyDescent="0.25">
      <c r="S5463" s="188"/>
    </row>
    <row r="5464" spans="19:19" ht="60" customHeight="1" x14ac:dyDescent="0.25">
      <c r="S5464" s="188"/>
    </row>
    <row r="5465" spans="19:19" ht="60" customHeight="1" x14ac:dyDescent="0.25">
      <c r="S5465" s="188"/>
    </row>
    <row r="5466" spans="19:19" ht="60" customHeight="1" x14ac:dyDescent="0.25">
      <c r="S5466" s="188"/>
    </row>
    <row r="5467" spans="19:19" ht="60" customHeight="1" x14ac:dyDescent="0.25">
      <c r="S5467" s="188"/>
    </row>
    <row r="5468" spans="19:19" ht="60" customHeight="1" x14ac:dyDescent="0.25">
      <c r="S5468" s="188"/>
    </row>
    <row r="5469" spans="19:19" ht="60" customHeight="1" x14ac:dyDescent="0.25">
      <c r="S5469" s="188"/>
    </row>
    <row r="5470" spans="19:19" ht="60" customHeight="1" x14ac:dyDescent="0.25">
      <c r="S5470" s="188"/>
    </row>
    <row r="5471" spans="19:19" ht="60" customHeight="1" x14ac:dyDescent="0.25">
      <c r="S5471" s="188"/>
    </row>
    <row r="5472" spans="19:19" ht="60" customHeight="1" x14ac:dyDescent="0.25">
      <c r="S5472" s="188"/>
    </row>
    <row r="5473" spans="19:19" ht="60" customHeight="1" x14ac:dyDescent="0.25">
      <c r="S5473" s="188"/>
    </row>
    <row r="5474" spans="19:19" ht="60" customHeight="1" x14ac:dyDescent="0.25">
      <c r="S5474" s="188"/>
    </row>
    <row r="5475" spans="19:19" ht="60" customHeight="1" x14ac:dyDescent="0.25">
      <c r="S5475" s="188"/>
    </row>
    <row r="5476" spans="19:19" ht="60" customHeight="1" x14ac:dyDescent="0.25">
      <c r="S5476" s="188"/>
    </row>
    <row r="5477" spans="19:19" ht="60" customHeight="1" x14ac:dyDescent="0.25">
      <c r="S5477" s="188"/>
    </row>
    <row r="5478" spans="19:19" ht="60" customHeight="1" x14ac:dyDescent="0.25">
      <c r="S5478" s="188"/>
    </row>
    <row r="5479" spans="19:19" ht="60" customHeight="1" x14ac:dyDescent="0.25">
      <c r="S5479" s="188"/>
    </row>
    <row r="5480" spans="19:19" ht="60" customHeight="1" x14ac:dyDescent="0.25">
      <c r="S5480" s="188"/>
    </row>
    <row r="5481" spans="19:19" ht="60" customHeight="1" x14ac:dyDescent="0.25">
      <c r="S5481" s="188"/>
    </row>
    <row r="5482" spans="19:19" ht="60" customHeight="1" x14ac:dyDescent="0.25">
      <c r="S5482" s="188"/>
    </row>
    <row r="5483" spans="19:19" ht="60" customHeight="1" x14ac:dyDescent="0.25">
      <c r="S5483" s="188"/>
    </row>
    <row r="5484" spans="19:19" ht="60" customHeight="1" x14ac:dyDescent="0.25">
      <c r="S5484" s="188"/>
    </row>
    <row r="5485" spans="19:19" ht="60" customHeight="1" x14ac:dyDescent="0.25">
      <c r="S5485" s="188"/>
    </row>
    <row r="5486" spans="19:19" ht="60" customHeight="1" x14ac:dyDescent="0.25">
      <c r="S5486" s="188"/>
    </row>
    <row r="5487" spans="19:19" ht="60" customHeight="1" x14ac:dyDescent="0.25">
      <c r="S5487" s="188"/>
    </row>
    <row r="5488" spans="19:19" ht="60" customHeight="1" x14ac:dyDescent="0.25">
      <c r="S5488" s="188"/>
    </row>
    <row r="5489" spans="19:19" ht="60" customHeight="1" x14ac:dyDescent="0.25">
      <c r="S5489" s="188"/>
    </row>
    <row r="5490" spans="19:19" ht="60" customHeight="1" x14ac:dyDescent="0.25">
      <c r="S5490" s="188"/>
    </row>
    <row r="5491" spans="19:19" ht="60" customHeight="1" x14ac:dyDescent="0.25">
      <c r="S5491" s="188"/>
    </row>
    <row r="5492" spans="19:19" ht="60" customHeight="1" x14ac:dyDescent="0.25">
      <c r="S5492" s="188"/>
    </row>
    <row r="5493" spans="19:19" ht="60" customHeight="1" x14ac:dyDescent="0.25">
      <c r="S5493" s="188"/>
    </row>
    <row r="5494" spans="19:19" ht="60" customHeight="1" x14ac:dyDescent="0.25">
      <c r="S5494" s="188"/>
    </row>
    <row r="5495" spans="19:19" ht="60" customHeight="1" x14ac:dyDescent="0.25">
      <c r="S5495" s="188"/>
    </row>
    <row r="5496" spans="19:19" ht="60" customHeight="1" x14ac:dyDescent="0.25">
      <c r="S5496" s="188"/>
    </row>
    <row r="5497" spans="19:19" ht="60" customHeight="1" x14ac:dyDescent="0.25">
      <c r="S5497" s="188"/>
    </row>
    <row r="5498" spans="19:19" ht="60" customHeight="1" x14ac:dyDescent="0.25">
      <c r="S5498" s="188"/>
    </row>
    <row r="5499" spans="19:19" ht="60" customHeight="1" x14ac:dyDescent="0.25">
      <c r="S5499" s="188"/>
    </row>
    <row r="5500" spans="19:19" ht="60" customHeight="1" x14ac:dyDescent="0.25">
      <c r="S5500" s="188"/>
    </row>
    <row r="5501" spans="19:19" ht="60" customHeight="1" x14ac:dyDescent="0.25">
      <c r="S5501" s="188"/>
    </row>
    <row r="5502" spans="19:19" ht="60" customHeight="1" x14ac:dyDescent="0.25">
      <c r="S5502" s="188"/>
    </row>
    <row r="5503" spans="19:19" ht="60" customHeight="1" x14ac:dyDescent="0.25">
      <c r="S5503" s="188"/>
    </row>
    <row r="5504" spans="19:19" ht="60" customHeight="1" x14ac:dyDescent="0.25">
      <c r="S5504" s="188"/>
    </row>
    <row r="5505" spans="19:19" ht="60" customHeight="1" x14ac:dyDescent="0.25">
      <c r="S5505" s="188"/>
    </row>
    <row r="5506" spans="19:19" ht="60" customHeight="1" x14ac:dyDescent="0.25">
      <c r="S5506" s="188"/>
    </row>
    <row r="5507" spans="19:19" ht="60" customHeight="1" x14ac:dyDescent="0.25">
      <c r="S5507" s="188"/>
    </row>
    <row r="5508" spans="19:19" ht="60" customHeight="1" x14ac:dyDescent="0.25">
      <c r="S5508" s="188"/>
    </row>
    <row r="5509" spans="19:19" ht="60" customHeight="1" x14ac:dyDescent="0.25">
      <c r="S5509" s="188"/>
    </row>
    <row r="5510" spans="19:19" ht="60" customHeight="1" x14ac:dyDescent="0.25">
      <c r="S5510" s="188"/>
    </row>
    <row r="5511" spans="19:19" ht="60" customHeight="1" x14ac:dyDescent="0.25">
      <c r="S5511" s="188"/>
    </row>
    <row r="5512" spans="19:19" ht="60" customHeight="1" x14ac:dyDescent="0.25">
      <c r="S5512" s="188"/>
    </row>
    <row r="5513" spans="19:19" ht="60" customHeight="1" x14ac:dyDescent="0.25">
      <c r="S5513" s="188"/>
    </row>
    <row r="5514" spans="19:19" ht="60" customHeight="1" x14ac:dyDescent="0.25">
      <c r="S5514" s="188"/>
    </row>
    <row r="5515" spans="19:19" ht="60" customHeight="1" x14ac:dyDescent="0.25">
      <c r="S5515" s="188"/>
    </row>
    <row r="5516" spans="19:19" ht="60" customHeight="1" x14ac:dyDescent="0.25">
      <c r="S5516" s="188"/>
    </row>
    <row r="5517" spans="19:19" ht="60" customHeight="1" x14ac:dyDescent="0.25">
      <c r="S5517" s="188"/>
    </row>
    <row r="5518" spans="19:19" ht="60" customHeight="1" x14ac:dyDescent="0.25">
      <c r="S5518" s="188"/>
    </row>
    <row r="5519" spans="19:19" ht="60" customHeight="1" x14ac:dyDescent="0.25">
      <c r="S5519" s="188"/>
    </row>
    <row r="5520" spans="19:19" ht="60" customHeight="1" x14ac:dyDescent="0.25">
      <c r="S5520" s="188"/>
    </row>
    <row r="5521" spans="19:19" ht="60" customHeight="1" x14ac:dyDescent="0.25">
      <c r="S5521" s="188"/>
    </row>
    <row r="5522" spans="19:19" ht="60" customHeight="1" x14ac:dyDescent="0.25">
      <c r="S5522" s="188"/>
    </row>
    <row r="5523" spans="19:19" ht="60" customHeight="1" x14ac:dyDescent="0.25">
      <c r="S5523" s="188"/>
    </row>
    <row r="5524" spans="19:19" ht="60" customHeight="1" x14ac:dyDescent="0.25">
      <c r="S5524" s="188"/>
    </row>
    <row r="5525" spans="19:19" ht="60" customHeight="1" x14ac:dyDescent="0.25">
      <c r="S5525" s="188"/>
    </row>
    <row r="5526" spans="19:19" ht="60" customHeight="1" x14ac:dyDescent="0.25">
      <c r="S5526" s="188"/>
    </row>
    <row r="5527" spans="19:19" ht="60" customHeight="1" x14ac:dyDescent="0.25">
      <c r="S5527" s="188"/>
    </row>
    <row r="5528" spans="19:19" ht="60" customHeight="1" x14ac:dyDescent="0.25">
      <c r="S5528" s="188"/>
    </row>
    <row r="5529" spans="19:19" ht="60" customHeight="1" x14ac:dyDescent="0.25">
      <c r="S5529" s="188"/>
    </row>
    <row r="5530" spans="19:19" ht="60" customHeight="1" x14ac:dyDescent="0.25">
      <c r="S5530" s="188"/>
    </row>
    <row r="5531" spans="19:19" ht="60" customHeight="1" x14ac:dyDescent="0.25">
      <c r="S5531" s="188"/>
    </row>
    <row r="5532" spans="19:19" ht="60" customHeight="1" x14ac:dyDescent="0.25">
      <c r="S5532" s="188"/>
    </row>
    <row r="5533" spans="19:19" ht="60" customHeight="1" x14ac:dyDescent="0.25">
      <c r="S5533" s="188"/>
    </row>
    <row r="5534" spans="19:19" ht="60" customHeight="1" x14ac:dyDescent="0.25">
      <c r="S5534" s="188"/>
    </row>
    <row r="5535" spans="19:19" ht="60" customHeight="1" x14ac:dyDescent="0.25">
      <c r="S5535" s="188"/>
    </row>
    <row r="5536" spans="19:19" ht="60" customHeight="1" x14ac:dyDescent="0.25">
      <c r="S5536" s="188"/>
    </row>
    <row r="5537" spans="19:19" ht="60" customHeight="1" x14ac:dyDescent="0.25">
      <c r="S5537" s="188"/>
    </row>
    <row r="5538" spans="19:19" ht="60" customHeight="1" x14ac:dyDescent="0.25">
      <c r="S5538" s="188"/>
    </row>
    <row r="5539" spans="19:19" ht="60" customHeight="1" x14ac:dyDescent="0.25">
      <c r="S5539" s="188"/>
    </row>
    <row r="5540" spans="19:19" ht="60" customHeight="1" x14ac:dyDescent="0.25">
      <c r="S5540" s="188"/>
    </row>
    <row r="5541" spans="19:19" ht="60" customHeight="1" x14ac:dyDescent="0.25">
      <c r="S5541" s="188"/>
    </row>
    <row r="5542" spans="19:19" ht="60" customHeight="1" x14ac:dyDescent="0.25">
      <c r="S5542" s="188"/>
    </row>
    <row r="5543" spans="19:19" ht="60" customHeight="1" x14ac:dyDescent="0.25">
      <c r="S5543" s="188"/>
    </row>
    <row r="5544" spans="19:19" ht="60" customHeight="1" x14ac:dyDescent="0.25">
      <c r="S5544" s="188"/>
    </row>
    <row r="5545" spans="19:19" ht="60" customHeight="1" x14ac:dyDescent="0.25">
      <c r="S5545" s="188"/>
    </row>
    <row r="5546" spans="19:19" ht="60" customHeight="1" x14ac:dyDescent="0.25">
      <c r="S5546" s="188"/>
    </row>
    <row r="5547" spans="19:19" ht="60" customHeight="1" x14ac:dyDescent="0.25">
      <c r="S5547" s="188"/>
    </row>
    <row r="5548" spans="19:19" ht="60" customHeight="1" x14ac:dyDescent="0.25">
      <c r="S5548" s="188"/>
    </row>
    <row r="5549" spans="19:19" ht="60" customHeight="1" x14ac:dyDescent="0.25">
      <c r="S5549" s="188"/>
    </row>
    <row r="5550" spans="19:19" ht="60" customHeight="1" x14ac:dyDescent="0.25">
      <c r="S5550" s="188"/>
    </row>
    <row r="5551" spans="19:19" ht="60" customHeight="1" x14ac:dyDescent="0.25">
      <c r="S5551" s="188"/>
    </row>
    <row r="5552" spans="19:19" ht="60" customHeight="1" x14ac:dyDescent="0.25">
      <c r="S5552" s="188"/>
    </row>
    <row r="5553" spans="19:19" ht="60" customHeight="1" x14ac:dyDescent="0.25">
      <c r="S5553" s="188"/>
    </row>
    <row r="5554" spans="19:19" ht="60" customHeight="1" x14ac:dyDescent="0.25">
      <c r="S5554" s="188"/>
    </row>
    <row r="5555" spans="19:19" ht="60" customHeight="1" x14ac:dyDescent="0.25">
      <c r="S5555" s="188"/>
    </row>
    <row r="5556" spans="19:19" ht="60" customHeight="1" x14ac:dyDescent="0.25">
      <c r="S5556" s="188"/>
    </row>
    <row r="5557" spans="19:19" ht="60" customHeight="1" x14ac:dyDescent="0.25">
      <c r="S5557" s="188"/>
    </row>
    <row r="5558" spans="19:19" ht="60" customHeight="1" x14ac:dyDescent="0.25">
      <c r="S5558" s="188"/>
    </row>
    <row r="5559" spans="19:19" ht="60" customHeight="1" x14ac:dyDescent="0.25">
      <c r="S5559" s="188"/>
    </row>
    <row r="5560" spans="19:19" ht="60" customHeight="1" x14ac:dyDescent="0.25">
      <c r="S5560" s="188"/>
    </row>
    <row r="5561" spans="19:19" ht="60" customHeight="1" x14ac:dyDescent="0.25">
      <c r="S5561" s="188"/>
    </row>
    <row r="5562" spans="19:19" ht="60" customHeight="1" x14ac:dyDescent="0.25">
      <c r="S5562" s="188"/>
    </row>
    <row r="5563" spans="19:19" ht="60" customHeight="1" x14ac:dyDescent="0.25">
      <c r="S5563" s="188"/>
    </row>
    <row r="5564" spans="19:19" ht="60" customHeight="1" x14ac:dyDescent="0.25">
      <c r="S5564" s="188"/>
    </row>
    <row r="5565" spans="19:19" ht="60" customHeight="1" x14ac:dyDescent="0.25">
      <c r="S5565" s="188"/>
    </row>
    <row r="5566" spans="19:19" ht="60" customHeight="1" x14ac:dyDescent="0.25">
      <c r="S5566" s="188"/>
    </row>
    <row r="5567" spans="19:19" ht="60" customHeight="1" x14ac:dyDescent="0.25">
      <c r="S5567" s="188"/>
    </row>
    <row r="5568" spans="19:19" ht="60" customHeight="1" x14ac:dyDescent="0.25">
      <c r="S5568" s="188"/>
    </row>
    <row r="5569" spans="19:19" ht="60" customHeight="1" x14ac:dyDescent="0.25">
      <c r="S5569" s="188"/>
    </row>
    <row r="5570" spans="19:19" ht="60" customHeight="1" x14ac:dyDescent="0.25">
      <c r="S5570" s="188"/>
    </row>
    <row r="5571" spans="19:19" ht="60" customHeight="1" x14ac:dyDescent="0.25">
      <c r="S5571" s="188"/>
    </row>
    <row r="5572" spans="19:19" ht="60" customHeight="1" x14ac:dyDescent="0.25">
      <c r="S5572" s="188"/>
    </row>
    <row r="5573" spans="19:19" ht="60" customHeight="1" x14ac:dyDescent="0.25">
      <c r="S5573" s="188"/>
    </row>
    <row r="5574" spans="19:19" ht="60" customHeight="1" x14ac:dyDescent="0.25">
      <c r="S5574" s="188"/>
    </row>
    <row r="5575" spans="19:19" ht="60" customHeight="1" x14ac:dyDescent="0.25">
      <c r="S5575" s="188"/>
    </row>
    <row r="5576" spans="19:19" ht="60" customHeight="1" x14ac:dyDescent="0.25">
      <c r="S5576" s="188"/>
    </row>
    <row r="5577" spans="19:19" ht="60" customHeight="1" x14ac:dyDescent="0.25">
      <c r="S5577" s="188"/>
    </row>
    <row r="5578" spans="19:19" ht="60" customHeight="1" x14ac:dyDescent="0.25">
      <c r="S5578" s="188"/>
    </row>
    <row r="5579" spans="19:19" ht="60" customHeight="1" x14ac:dyDescent="0.25">
      <c r="S5579" s="188"/>
    </row>
    <row r="5580" spans="19:19" ht="60" customHeight="1" x14ac:dyDescent="0.25">
      <c r="S5580" s="188"/>
    </row>
    <row r="5581" spans="19:19" ht="60" customHeight="1" x14ac:dyDescent="0.25">
      <c r="S5581" s="188"/>
    </row>
    <row r="5582" spans="19:19" ht="60" customHeight="1" x14ac:dyDescent="0.25">
      <c r="S5582" s="188"/>
    </row>
    <row r="5583" spans="19:19" ht="60" customHeight="1" x14ac:dyDescent="0.25">
      <c r="S5583" s="188"/>
    </row>
    <row r="5584" spans="19:19" ht="60" customHeight="1" x14ac:dyDescent="0.25">
      <c r="S5584" s="188"/>
    </row>
    <row r="5585" spans="19:19" ht="60" customHeight="1" x14ac:dyDescent="0.25">
      <c r="S5585" s="188"/>
    </row>
    <row r="5586" spans="19:19" ht="60" customHeight="1" x14ac:dyDescent="0.25">
      <c r="S5586" s="188"/>
    </row>
    <row r="5587" spans="19:19" ht="60" customHeight="1" x14ac:dyDescent="0.25">
      <c r="S5587" s="188"/>
    </row>
    <row r="5588" spans="19:19" ht="60" customHeight="1" x14ac:dyDescent="0.25">
      <c r="S5588" s="188"/>
    </row>
    <row r="5589" spans="19:19" ht="60" customHeight="1" x14ac:dyDescent="0.25">
      <c r="S5589" s="188"/>
    </row>
    <row r="5590" spans="19:19" ht="60" customHeight="1" x14ac:dyDescent="0.25">
      <c r="S5590" s="188"/>
    </row>
    <row r="5591" spans="19:19" ht="60" customHeight="1" x14ac:dyDescent="0.25">
      <c r="S5591" s="188"/>
    </row>
    <row r="5592" spans="19:19" ht="60" customHeight="1" x14ac:dyDescent="0.25">
      <c r="S5592" s="188"/>
    </row>
    <row r="5593" spans="19:19" ht="60" customHeight="1" x14ac:dyDescent="0.25">
      <c r="S5593" s="188"/>
    </row>
    <row r="5594" spans="19:19" ht="60" customHeight="1" x14ac:dyDescent="0.25">
      <c r="S5594" s="188"/>
    </row>
    <row r="5595" spans="19:19" ht="60" customHeight="1" x14ac:dyDescent="0.25">
      <c r="S5595" s="188"/>
    </row>
    <row r="5596" spans="19:19" ht="60" customHeight="1" x14ac:dyDescent="0.25">
      <c r="S5596" s="188"/>
    </row>
    <row r="5597" spans="19:19" ht="60" customHeight="1" x14ac:dyDescent="0.25">
      <c r="S5597" s="188"/>
    </row>
    <row r="5598" spans="19:19" ht="60" customHeight="1" x14ac:dyDescent="0.25">
      <c r="S5598" s="188"/>
    </row>
    <row r="5599" spans="19:19" ht="60" customHeight="1" x14ac:dyDescent="0.25">
      <c r="S5599" s="188"/>
    </row>
    <row r="5600" spans="19:19" ht="60" customHeight="1" x14ac:dyDescent="0.25">
      <c r="S5600" s="188"/>
    </row>
    <row r="5601" spans="19:19" ht="60" customHeight="1" x14ac:dyDescent="0.25">
      <c r="S5601" s="188"/>
    </row>
    <row r="5602" spans="19:19" ht="60" customHeight="1" x14ac:dyDescent="0.25">
      <c r="S5602" s="188"/>
    </row>
    <row r="5603" spans="19:19" ht="60" customHeight="1" x14ac:dyDescent="0.25">
      <c r="S5603" s="188"/>
    </row>
    <row r="5604" spans="19:19" ht="60" customHeight="1" x14ac:dyDescent="0.25">
      <c r="S5604" s="188"/>
    </row>
    <row r="5605" spans="19:19" ht="60" customHeight="1" x14ac:dyDescent="0.25">
      <c r="S5605" s="188"/>
    </row>
    <row r="5606" spans="19:19" ht="60" customHeight="1" x14ac:dyDescent="0.25">
      <c r="S5606" s="188"/>
    </row>
    <row r="5607" spans="19:19" ht="60" customHeight="1" x14ac:dyDescent="0.25">
      <c r="S5607" s="188"/>
    </row>
    <row r="5608" spans="19:19" ht="60" customHeight="1" x14ac:dyDescent="0.25">
      <c r="S5608" s="188"/>
    </row>
    <row r="5609" spans="19:19" ht="60" customHeight="1" x14ac:dyDescent="0.25">
      <c r="S5609" s="188"/>
    </row>
    <row r="5610" spans="19:19" ht="60" customHeight="1" x14ac:dyDescent="0.25">
      <c r="S5610" s="188"/>
    </row>
    <row r="5611" spans="19:19" ht="60" customHeight="1" x14ac:dyDescent="0.25">
      <c r="S5611" s="188"/>
    </row>
    <row r="5612" spans="19:19" ht="60" customHeight="1" x14ac:dyDescent="0.25">
      <c r="S5612" s="188"/>
    </row>
    <row r="5613" spans="19:19" ht="60" customHeight="1" x14ac:dyDescent="0.25">
      <c r="S5613" s="188"/>
    </row>
    <row r="5614" spans="19:19" ht="60" customHeight="1" x14ac:dyDescent="0.25">
      <c r="S5614" s="188"/>
    </row>
    <row r="5615" spans="19:19" ht="60" customHeight="1" x14ac:dyDescent="0.25">
      <c r="S5615" s="188"/>
    </row>
    <row r="5616" spans="19:19" ht="60" customHeight="1" x14ac:dyDescent="0.25">
      <c r="S5616" s="188"/>
    </row>
    <row r="5617" spans="19:19" ht="60" customHeight="1" x14ac:dyDescent="0.25">
      <c r="S5617" s="188"/>
    </row>
    <row r="5618" spans="19:19" ht="60" customHeight="1" x14ac:dyDescent="0.25">
      <c r="S5618" s="188"/>
    </row>
    <row r="5619" spans="19:19" ht="60" customHeight="1" x14ac:dyDescent="0.25">
      <c r="S5619" s="188"/>
    </row>
    <row r="5620" spans="19:19" ht="60" customHeight="1" x14ac:dyDescent="0.25">
      <c r="S5620" s="188"/>
    </row>
    <row r="5621" spans="19:19" ht="60" customHeight="1" x14ac:dyDescent="0.25">
      <c r="S5621" s="188"/>
    </row>
    <row r="5622" spans="19:19" ht="60" customHeight="1" x14ac:dyDescent="0.25">
      <c r="S5622" s="188"/>
    </row>
    <row r="5623" spans="19:19" ht="60" customHeight="1" x14ac:dyDescent="0.25">
      <c r="S5623" s="188"/>
    </row>
    <row r="5624" spans="19:19" ht="60" customHeight="1" x14ac:dyDescent="0.25">
      <c r="S5624" s="188"/>
    </row>
    <row r="5625" spans="19:19" ht="60" customHeight="1" x14ac:dyDescent="0.25">
      <c r="S5625" s="188"/>
    </row>
    <row r="5626" spans="19:19" ht="60" customHeight="1" x14ac:dyDescent="0.25">
      <c r="S5626" s="188"/>
    </row>
    <row r="5627" spans="19:19" ht="60" customHeight="1" x14ac:dyDescent="0.25">
      <c r="S5627" s="188"/>
    </row>
    <row r="5628" spans="19:19" ht="60" customHeight="1" x14ac:dyDescent="0.25">
      <c r="S5628" s="188"/>
    </row>
    <row r="5629" spans="19:19" ht="60" customHeight="1" x14ac:dyDescent="0.25">
      <c r="S5629" s="188"/>
    </row>
    <row r="5630" spans="19:19" ht="60" customHeight="1" x14ac:dyDescent="0.25">
      <c r="S5630" s="188"/>
    </row>
    <row r="5631" spans="19:19" ht="60" customHeight="1" x14ac:dyDescent="0.25">
      <c r="S5631" s="188"/>
    </row>
    <row r="5632" spans="19:19" ht="60" customHeight="1" x14ac:dyDescent="0.25">
      <c r="S5632" s="188"/>
    </row>
    <row r="5633" spans="19:19" ht="60" customHeight="1" x14ac:dyDescent="0.25">
      <c r="S5633" s="188"/>
    </row>
    <row r="5634" spans="19:19" ht="60" customHeight="1" x14ac:dyDescent="0.25">
      <c r="S5634" s="188"/>
    </row>
    <row r="5635" spans="19:19" ht="60" customHeight="1" x14ac:dyDescent="0.25">
      <c r="S5635" s="188"/>
    </row>
    <row r="5636" spans="19:19" ht="60" customHeight="1" x14ac:dyDescent="0.25">
      <c r="S5636" s="188"/>
    </row>
    <row r="5637" spans="19:19" ht="60" customHeight="1" x14ac:dyDescent="0.25">
      <c r="S5637" s="188"/>
    </row>
    <row r="5638" spans="19:19" ht="60" customHeight="1" x14ac:dyDescent="0.25">
      <c r="S5638" s="188"/>
    </row>
    <row r="5639" spans="19:19" ht="60" customHeight="1" x14ac:dyDescent="0.25">
      <c r="S5639" s="188"/>
    </row>
    <row r="5640" spans="19:19" ht="60" customHeight="1" x14ac:dyDescent="0.25">
      <c r="S5640" s="188"/>
    </row>
    <row r="5641" spans="19:19" ht="60" customHeight="1" x14ac:dyDescent="0.25">
      <c r="S5641" s="188"/>
    </row>
    <row r="5642" spans="19:19" ht="60" customHeight="1" x14ac:dyDescent="0.25">
      <c r="S5642" s="188"/>
    </row>
    <row r="5643" spans="19:19" ht="60" customHeight="1" x14ac:dyDescent="0.25">
      <c r="S5643" s="188"/>
    </row>
    <row r="5644" spans="19:19" ht="60" customHeight="1" x14ac:dyDescent="0.25">
      <c r="S5644" s="188"/>
    </row>
    <row r="5645" spans="19:19" ht="60" customHeight="1" x14ac:dyDescent="0.25">
      <c r="S5645" s="188"/>
    </row>
    <row r="5646" spans="19:19" ht="60" customHeight="1" x14ac:dyDescent="0.25">
      <c r="S5646" s="188"/>
    </row>
    <row r="5647" spans="19:19" ht="60" customHeight="1" x14ac:dyDescent="0.25">
      <c r="S5647" s="188"/>
    </row>
    <row r="5648" spans="19:19" ht="60" customHeight="1" x14ac:dyDescent="0.25">
      <c r="S5648" s="188"/>
    </row>
    <row r="5649" spans="19:19" ht="60" customHeight="1" x14ac:dyDescent="0.25">
      <c r="S5649" s="188"/>
    </row>
    <row r="5650" spans="19:19" ht="60" customHeight="1" x14ac:dyDescent="0.25">
      <c r="S5650" s="188"/>
    </row>
    <row r="5651" spans="19:19" ht="60" customHeight="1" x14ac:dyDescent="0.25">
      <c r="S5651" s="188"/>
    </row>
    <row r="5652" spans="19:19" ht="60" customHeight="1" x14ac:dyDescent="0.25">
      <c r="S5652" s="188"/>
    </row>
    <row r="5653" spans="19:19" ht="60" customHeight="1" x14ac:dyDescent="0.25">
      <c r="S5653" s="188"/>
    </row>
    <row r="5654" spans="19:19" ht="60" customHeight="1" x14ac:dyDescent="0.25">
      <c r="S5654" s="188"/>
    </row>
    <row r="5655" spans="19:19" ht="60" customHeight="1" x14ac:dyDescent="0.25">
      <c r="S5655" s="188"/>
    </row>
    <row r="5656" spans="19:19" ht="60" customHeight="1" x14ac:dyDescent="0.25">
      <c r="S5656" s="188"/>
    </row>
    <row r="5657" spans="19:19" ht="60" customHeight="1" x14ac:dyDescent="0.25">
      <c r="S5657" s="188"/>
    </row>
    <row r="5658" spans="19:19" ht="60" customHeight="1" x14ac:dyDescent="0.25">
      <c r="S5658" s="188"/>
    </row>
    <row r="5659" spans="19:19" ht="60" customHeight="1" x14ac:dyDescent="0.25">
      <c r="S5659" s="188"/>
    </row>
    <row r="5660" spans="19:19" ht="60" customHeight="1" x14ac:dyDescent="0.25">
      <c r="S5660" s="188"/>
    </row>
    <row r="5661" spans="19:19" ht="60" customHeight="1" x14ac:dyDescent="0.25">
      <c r="S5661" s="188"/>
    </row>
    <row r="5662" spans="19:19" ht="60" customHeight="1" x14ac:dyDescent="0.25">
      <c r="S5662" s="188"/>
    </row>
    <row r="5663" spans="19:19" ht="60" customHeight="1" x14ac:dyDescent="0.25">
      <c r="S5663" s="188"/>
    </row>
    <row r="5664" spans="19:19" ht="60" customHeight="1" x14ac:dyDescent="0.25">
      <c r="S5664" s="188"/>
    </row>
    <row r="5665" spans="19:19" ht="60" customHeight="1" x14ac:dyDescent="0.25">
      <c r="S5665" s="188"/>
    </row>
    <row r="5666" spans="19:19" ht="60" customHeight="1" x14ac:dyDescent="0.25">
      <c r="S5666" s="188"/>
    </row>
    <row r="5667" spans="19:19" ht="60" customHeight="1" x14ac:dyDescent="0.25">
      <c r="S5667" s="188"/>
    </row>
    <row r="5668" spans="19:19" ht="60" customHeight="1" x14ac:dyDescent="0.25">
      <c r="S5668" s="188"/>
    </row>
    <row r="5669" spans="19:19" ht="60" customHeight="1" x14ac:dyDescent="0.25">
      <c r="S5669" s="188"/>
    </row>
    <row r="5670" spans="19:19" ht="60" customHeight="1" x14ac:dyDescent="0.25">
      <c r="S5670" s="188"/>
    </row>
    <row r="5671" spans="19:19" ht="60" customHeight="1" x14ac:dyDescent="0.25">
      <c r="S5671" s="188"/>
    </row>
    <row r="5672" spans="19:19" ht="60" customHeight="1" x14ac:dyDescent="0.25">
      <c r="S5672" s="188"/>
    </row>
    <row r="5673" spans="19:19" ht="60" customHeight="1" x14ac:dyDescent="0.25">
      <c r="S5673" s="188"/>
    </row>
    <row r="5674" spans="19:19" ht="60" customHeight="1" x14ac:dyDescent="0.25">
      <c r="S5674" s="188"/>
    </row>
    <row r="5675" spans="19:19" ht="60" customHeight="1" x14ac:dyDescent="0.25">
      <c r="S5675" s="188"/>
    </row>
    <row r="5676" spans="19:19" ht="60" customHeight="1" x14ac:dyDescent="0.25">
      <c r="S5676" s="188"/>
    </row>
    <row r="5677" spans="19:19" ht="60" customHeight="1" x14ac:dyDescent="0.25">
      <c r="S5677" s="188"/>
    </row>
    <row r="5678" spans="19:19" ht="60" customHeight="1" x14ac:dyDescent="0.25">
      <c r="S5678" s="188"/>
    </row>
    <row r="5679" spans="19:19" ht="60" customHeight="1" x14ac:dyDescent="0.25">
      <c r="S5679" s="188"/>
    </row>
    <row r="5680" spans="19:19" ht="60" customHeight="1" x14ac:dyDescent="0.25">
      <c r="S5680" s="188"/>
    </row>
    <row r="5681" spans="19:19" ht="60" customHeight="1" x14ac:dyDescent="0.25">
      <c r="S5681" s="188"/>
    </row>
    <row r="5682" spans="19:19" ht="60" customHeight="1" x14ac:dyDescent="0.25">
      <c r="S5682" s="188"/>
    </row>
    <row r="5683" spans="19:19" ht="60" customHeight="1" x14ac:dyDescent="0.25">
      <c r="S5683" s="188"/>
    </row>
    <row r="5684" spans="19:19" ht="60" customHeight="1" x14ac:dyDescent="0.25">
      <c r="S5684" s="188"/>
    </row>
    <row r="5685" spans="19:19" ht="60" customHeight="1" x14ac:dyDescent="0.25">
      <c r="S5685" s="188"/>
    </row>
    <row r="5686" spans="19:19" ht="60" customHeight="1" x14ac:dyDescent="0.25">
      <c r="S5686" s="188"/>
    </row>
    <row r="5687" spans="19:19" ht="60" customHeight="1" x14ac:dyDescent="0.25">
      <c r="S5687" s="188"/>
    </row>
    <row r="5688" spans="19:19" ht="60" customHeight="1" x14ac:dyDescent="0.25">
      <c r="S5688" s="188"/>
    </row>
    <row r="5689" spans="19:19" ht="60" customHeight="1" x14ac:dyDescent="0.25">
      <c r="S5689" s="188"/>
    </row>
    <row r="5690" spans="19:19" ht="60" customHeight="1" x14ac:dyDescent="0.25">
      <c r="S5690" s="188"/>
    </row>
    <row r="5691" spans="19:19" ht="60" customHeight="1" x14ac:dyDescent="0.25">
      <c r="S5691" s="188"/>
    </row>
    <row r="5692" spans="19:19" ht="60" customHeight="1" x14ac:dyDescent="0.25">
      <c r="S5692" s="188"/>
    </row>
    <row r="5693" spans="19:19" ht="60" customHeight="1" x14ac:dyDescent="0.25">
      <c r="S5693" s="188"/>
    </row>
    <row r="5694" spans="19:19" ht="60" customHeight="1" x14ac:dyDescent="0.25">
      <c r="S5694" s="188"/>
    </row>
    <row r="5695" spans="19:19" ht="60" customHeight="1" x14ac:dyDescent="0.25">
      <c r="S5695" s="188"/>
    </row>
    <row r="5696" spans="19:19" ht="60" customHeight="1" x14ac:dyDescent="0.25">
      <c r="S5696" s="188"/>
    </row>
    <row r="5697" spans="19:19" ht="60" customHeight="1" x14ac:dyDescent="0.25">
      <c r="S5697" s="188"/>
    </row>
    <row r="5698" spans="19:19" ht="60" customHeight="1" x14ac:dyDescent="0.25">
      <c r="S5698" s="188"/>
    </row>
    <row r="5699" spans="19:19" ht="60" customHeight="1" x14ac:dyDescent="0.25">
      <c r="S5699" s="188"/>
    </row>
    <row r="5700" spans="19:19" ht="60" customHeight="1" x14ac:dyDescent="0.25">
      <c r="S5700" s="188"/>
    </row>
    <row r="5701" spans="19:19" ht="60" customHeight="1" x14ac:dyDescent="0.25">
      <c r="S5701" s="188"/>
    </row>
    <row r="5702" spans="19:19" ht="60" customHeight="1" x14ac:dyDescent="0.25">
      <c r="S5702" s="188"/>
    </row>
    <row r="5703" spans="19:19" ht="60" customHeight="1" x14ac:dyDescent="0.25">
      <c r="S5703" s="188"/>
    </row>
    <row r="5704" spans="19:19" ht="60" customHeight="1" x14ac:dyDescent="0.25">
      <c r="S5704" s="188"/>
    </row>
    <row r="5705" spans="19:19" ht="60" customHeight="1" x14ac:dyDescent="0.25">
      <c r="S5705" s="188"/>
    </row>
    <row r="5706" spans="19:19" ht="60" customHeight="1" x14ac:dyDescent="0.25">
      <c r="S5706" s="188"/>
    </row>
    <row r="5707" spans="19:19" ht="60" customHeight="1" x14ac:dyDescent="0.25">
      <c r="S5707" s="188"/>
    </row>
    <row r="5708" spans="19:19" ht="60" customHeight="1" x14ac:dyDescent="0.25">
      <c r="S5708" s="188"/>
    </row>
    <row r="5709" spans="19:19" ht="60" customHeight="1" x14ac:dyDescent="0.25">
      <c r="S5709" s="188"/>
    </row>
    <row r="5710" spans="19:19" ht="60" customHeight="1" x14ac:dyDescent="0.25">
      <c r="S5710" s="188"/>
    </row>
    <row r="5711" spans="19:19" ht="60" customHeight="1" x14ac:dyDescent="0.25">
      <c r="S5711" s="188"/>
    </row>
    <row r="5712" spans="19:19" ht="60" customHeight="1" x14ac:dyDescent="0.25">
      <c r="S5712" s="188"/>
    </row>
    <row r="5713" spans="19:19" ht="60" customHeight="1" x14ac:dyDescent="0.25">
      <c r="S5713" s="188"/>
    </row>
    <row r="5714" spans="19:19" ht="60" customHeight="1" x14ac:dyDescent="0.25">
      <c r="S5714" s="188"/>
    </row>
    <row r="5715" spans="19:19" ht="60" customHeight="1" x14ac:dyDescent="0.25">
      <c r="S5715" s="188"/>
    </row>
    <row r="5716" spans="19:19" ht="60" customHeight="1" x14ac:dyDescent="0.25">
      <c r="S5716" s="188"/>
    </row>
    <row r="5717" spans="19:19" ht="60" customHeight="1" x14ac:dyDescent="0.25">
      <c r="S5717" s="188"/>
    </row>
    <row r="5718" spans="19:19" ht="60" customHeight="1" x14ac:dyDescent="0.25">
      <c r="S5718" s="188"/>
    </row>
    <row r="5719" spans="19:19" ht="60" customHeight="1" x14ac:dyDescent="0.25">
      <c r="S5719" s="188"/>
    </row>
    <row r="5720" spans="19:19" ht="60" customHeight="1" x14ac:dyDescent="0.25">
      <c r="S5720" s="188"/>
    </row>
    <row r="5721" spans="19:19" ht="60" customHeight="1" x14ac:dyDescent="0.25">
      <c r="S5721" s="188"/>
    </row>
    <row r="5722" spans="19:19" ht="60" customHeight="1" x14ac:dyDescent="0.25">
      <c r="S5722" s="188"/>
    </row>
    <row r="5723" spans="19:19" ht="60" customHeight="1" x14ac:dyDescent="0.25">
      <c r="S5723" s="188"/>
    </row>
    <row r="5724" spans="19:19" ht="60" customHeight="1" x14ac:dyDescent="0.25">
      <c r="S5724" s="188"/>
    </row>
    <row r="5725" spans="19:19" ht="60" customHeight="1" x14ac:dyDescent="0.25">
      <c r="S5725" s="188"/>
    </row>
    <row r="5726" spans="19:19" ht="60" customHeight="1" x14ac:dyDescent="0.25">
      <c r="S5726" s="188"/>
    </row>
    <row r="5727" spans="19:19" ht="60" customHeight="1" x14ac:dyDescent="0.25">
      <c r="S5727" s="188"/>
    </row>
    <row r="5728" spans="19:19" ht="60" customHeight="1" x14ac:dyDescent="0.25">
      <c r="S5728" s="188"/>
    </row>
    <row r="5729" spans="19:19" ht="60" customHeight="1" x14ac:dyDescent="0.25">
      <c r="S5729" s="188"/>
    </row>
    <row r="5730" spans="19:19" ht="60" customHeight="1" x14ac:dyDescent="0.25">
      <c r="S5730" s="188"/>
    </row>
    <row r="5731" spans="19:19" ht="60" customHeight="1" x14ac:dyDescent="0.25">
      <c r="S5731" s="188"/>
    </row>
    <row r="5732" spans="19:19" ht="60" customHeight="1" x14ac:dyDescent="0.25">
      <c r="S5732" s="188"/>
    </row>
    <row r="5733" spans="19:19" ht="60" customHeight="1" x14ac:dyDescent="0.25">
      <c r="S5733" s="188"/>
    </row>
    <row r="5734" spans="19:19" ht="60" customHeight="1" x14ac:dyDescent="0.25">
      <c r="S5734" s="188"/>
    </row>
    <row r="5735" spans="19:19" ht="60" customHeight="1" x14ac:dyDescent="0.25">
      <c r="S5735" s="188"/>
    </row>
    <row r="5736" spans="19:19" ht="60" customHeight="1" x14ac:dyDescent="0.25">
      <c r="S5736" s="188"/>
    </row>
    <row r="5737" spans="19:19" ht="60" customHeight="1" x14ac:dyDescent="0.25">
      <c r="S5737" s="188"/>
    </row>
    <row r="5738" spans="19:19" ht="60" customHeight="1" x14ac:dyDescent="0.25">
      <c r="S5738" s="188"/>
    </row>
    <row r="5739" spans="19:19" ht="60" customHeight="1" x14ac:dyDescent="0.25">
      <c r="S5739" s="188"/>
    </row>
    <row r="5740" spans="19:19" ht="60" customHeight="1" x14ac:dyDescent="0.25">
      <c r="S5740" s="188"/>
    </row>
    <row r="5741" spans="19:19" ht="60" customHeight="1" x14ac:dyDescent="0.25">
      <c r="S5741" s="188"/>
    </row>
    <row r="5742" spans="19:19" ht="60" customHeight="1" x14ac:dyDescent="0.25">
      <c r="S5742" s="188"/>
    </row>
    <row r="5743" spans="19:19" ht="60" customHeight="1" x14ac:dyDescent="0.25">
      <c r="S5743" s="188"/>
    </row>
    <row r="5744" spans="19:19" ht="60" customHeight="1" x14ac:dyDescent="0.25">
      <c r="S5744" s="188"/>
    </row>
    <row r="5745" spans="19:19" ht="60" customHeight="1" x14ac:dyDescent="0.25">
      <c r="S5745" s="188"/>
    </row>
    <row r="5746" spans="19:19" ht="60" customHeight="1" x14ac:dyDescent="0.25">
      <c r="S5746" s="188"/>
    </row>
    <row r="5747" spans="19:19" ht="60" customHeight="1" x14ac:dyDescent="0.25">
      <c r="S5747" s="188"/>
    </row>
    <row r="5748" spans="19:19" ht="60" customHeight="1" x14ac:dyDescent="0.25">
      <c r="S5748" s="188"/>
    </row>
    <row r="5749" spans="19:19" ht="60" customHeight="1" x14ac:dyDescent="0.25">
      <c r="S5749" s="188"/>
    </row>
    <row r="5750" spans="19:19" ht="60" customHeight="1" x14ac:dyDescent="0.25">
      <c r="S5750" s="188"/>
    </row>
    <row r="5751" spans="19:19" ht="60" customHeight="1" x14ac:dyDescent="0.25">
      <c r="S5751" s="188"/>
    </row>
    <row r="5752" spans="19:19" ht="60" customHeight="1" x14ac:dyDescent="0.25">
      <c r="S5752" s="188"/>
    </row>
    <row r="5753" spans="19:19" ht="60" customHeight="1" x14ac:dyDescent="0.25">
      <c r="S5753" s="188"/>
    </row>
    <row r="5754" spans="19:19" ht="60" customHeight="1" x14ac:dyDescent="0.25">
      <c r="S5754" s="188"/>
    </row>
    <row r="5755" spans="19:19" ht="60" customHeight="1" x14ac:dyDescent="0.25">
      <c r="S5755" s="188"/>
    </row>
    <row r="5756" spans="19:19" ht="60" customHeight="1" x14ac:dyDescent="0.25">
      <c r="S5756" s="188"/>
    </row>
    <row r="5757" spans="19:19" ht="60" customHeight="1" x14ac:dyDescent="0.25">
      <c r="S5757" s="188"/>
    </row>
    <row r="5758" spans="19:19" ht="60" customHeight="1" x14ac:dyDescent="0.25">
      <c r="S5758" s="188"/>
    </row>
    <row r="5759" spans="19:19" ht="60" customHeight="1" x14ac:dyDescent="0.25">
      <c r="S5759" s="188"/>
    </row>
    <row r="5760" spans="19:19" ht="60" customHeight="1" x14ac:dyDescent="0.25">
      <c r="S5760" s="188"/>
    </row>
    <row r="5761" spans="19:19" ht="60" customHeight="1" x14ac:dyDescent="0.25">
      <c r="S5761" s="188"/>
    </row>
    <row r="5762" spans="19:19" ht="60" customHeight="1" x14ac:dyDescent="0.25">
      <c r="S5762" s="188"/>
    </row>
    <row r="5763" spans="19:19" ht="60" customHeight="1" x14ac:dyDescent="0.25">
      <c r="S5763" s="188"/>
    </row>
    <row r="5764" spans="19:19" ht="60" customHeight="1" x14ac:dyDescent="0.25">
      <c r="S5764" s="188"/>
    </row>
    <row r="5765" spans="19:19" ht="60" customHeight="1" x14ac:dyDescent="0.25">
      <c r="S5765" s="188"/>
    </row>
    <row r="5766" spans="19:19" ht="60" customHeight="1" x14ac:dyDescent="0.25">
      <c r="S5766" s="188"/>
    </row>
    <row r="5767" spans="19:19" ht="60" customHeight="1" x14ac:dyDescent="0.25">
      <c r="S5767" s="188"/>
    </row>
    <row r="5768" spans="19:19" ht="60" customHeight="1" x14ac:dyDescent="0.25">
      <c r="S5768" s="188"/>
    </row>
    <row r="5769" spans="19:19" ht="60" customHeight="1" x14ac:dyDescent="0.25">
      <c r="S5769" s="188"/>
    </row>
    <row r="5770" spans="19:19" ht="60" customHeight="1" x14ac:dyDescent="0.25">
      <c r="S5770" s="188"/>
    </row>
    <row r="5771" spans="19:19" ht="60" customHeight="1" x14ac:dyDescent="0.25">
      <c r="S5771" s="188"/>
    </row>
    <row r="5772" spans="19:19" ht="60" customHeight="1" x14ac:dyDescent="0.25">
      <c r="S5772" s="188"/>
    </row>
    <row r="5773" spans="19:19" ht="60" customHeight="1" x14ac:dyDescent="0.25">
      <c r="S5773" s="188"/>
    </row>
    <row r="5774" spans="19:19" ht="60" customHeight="1" x14ac:dyDescent="0.25">
      <c r="S5774" s="188"/>
    </row>
    <row r="5775" spans="19:19" ht="60" customHeight="1" x14ac:dyDescent="0.25">
      <c r="S5775" s="188"/>
    </row>
    <row r="5776" spans="19:19" ht="60" customHeight="1" x14ac:dyDescent="0.25">
      <c r="S5776" s="188"/>
    </row>
    <row r="5777" spans="19:19" ht="60" customHeight="1" x14ac:dyDescent="0.25">
      <c r="S5777" s="188"/>
    </row>
    <row r="5778" spans="19:19" ht="60" customHeight="1" x14ac:dyDescent="0.25">
      <c r="S5778" s="188"/>
    </row>
    <row r="5779" spans="19:19" ht="60" customHeight="1" x14ac:dyDescent="0.25">
      <c r="S5779" s="188"/>
    </row>
    <row r="5780" spans="19:19" ht="60" customHeight="1" x14ac:dyDescent="0.25">
      <c r="S5780" s="188"/>
    </row>
    <row r="5781" spans="19:19" ht="60" customHeight="1" x14ac:dyDescent="0.25">
      <c r="S5781" s="188"/>
    </row>
    <row r="5782" spans="19:19" ht="60" customHeight="1" x14ac:dyDescent="0.25">
      <c r="S5782" s="188"/>
    </row>
    <row r="5783" spans="19:19" ht="60" customHeight="1" x14ac:dyDescent="0.25">
      <c r="S5783" s="188"/>
    </row>
    <row r="5784" spans="19:19" ht="60" customHeight="1" x14ac:dyDescent="0.25">
      <c r="S5784" s="188"/>
    </row>
    <row r="5785" spans="19:19" ht="60" customHeight="1" x14ac:dyDescent="0.25">
      <c r="S5785" s="188"/>
    </row>
    <row r="5786" spans="19:19" ht="60" customHeight="1" x14ac:dyDescent="0.25">
      <c r="S5786" s="188"/>
    </row>
    <row r="5787" spans="19:19" ht="60" customHeight="1" x14ac:dyDescent="0.25">
      <c r="S5787" s="188"/>
    </row>
    <row r="5788" spans="19:19" ht="60" customHeight="1" x14ac:dyDescent="0.25">
      <c r="S5788" s="188"/>
    </row>
    <row r="5789" spans="19:19" ht="60" customHeight="1" x14ac:dyDescent="0.25">
      <c r="S5789" s="188"/>
    </row>
    <row r="5790" spans="19:19" ht="60" customHeight="1" x14ac:dyDescent="0.25">
      <c r="S5790" s="188"/>
    </row>
    <row r="5791" spans="19:19" ht="60" customHeight="1" x14ac:dyDescent="0.25">
      <c r="S5791" s="188"/>
    </row>
    <row r="5792" spans="19:19" ht="60" customHeight="1" x14ac:dyDescent="0.25">
      <c r="S5792" s="188"/>
    </row>
    <row r="5793" spans="19:19" ht="60" customHeight="1" x14ac:dyDescent="0.25">
      <c r="S5793" s="188"/>
    </row>
    <row r="5794" spans="19:19" ht="60" customHeight="1" x14ac:dyDescent="0.25">
      <c r="S5794" s="188"/>
    </row>
    <row r="5795" spans="19:19" ht="60" customHeight="1" x14ac:dyDescent="0.25">
      <c r="S5795" s="188"/>
    </row>
    <row r="5796" spans="19:19" ht="60" customHeight="1" x14ac:dyDescent="0.25">
      <c r="S5796" s="188"/>
    </row>
    <row r="5797" spans="19:19" ht="60" customHeight="1" x14ac:dyDescent="0.25">
      <c r="S5797" s="188"/>
    </row>
    <row r="5798" spans="19:19" ht="60" customHeight="1" x14ac:dyDescent="0.25">
      <c r="S5798" s="188"/>
    </row>
    <row r="5799" spans="19:19" ht="60" customHeight="1" x14ac:dyDescent="0.25">
      <c r="S5799" s="188"/>
    </row>
    <row r="5800" spans="19:19" ht="60" customHeight="1" x14ac:dyDescent="0.25">
      <c r="S5800" s="188"/>
    </row>
    <row r="5801" spans="19:19" ht="60" customHeight="1" x14ac:dyDescent="0.25">
      <c r="S5801" s="188"/>
    </row>
    <row r="5802" spans="19:19" ht="60" customHeight="1" x14ac:dyDescent="0.25">
      <c r="S5802" s="188"/>
    </row>
    <row r="5803" spans="19:19" ht="60" customHeight="1" x14ac:dyDescent="0.25">
      <c r="S5803" s="188"/>
    </row>
    <row r="5804" spans="19:19" ht="60" customHeight="1" x14ac:dyDescent="0.25">
      <c r="S5804" s="188"/>
    </row>
    <row r="5805" spans="19:19" ht="60" customHeight="1" x14ac:dyDescent="0.25">
      <c r="S5805" s="188"/>
    </row>
    <row r="5806" spans="19:19" ht="60" customHeight="1" x14ac:dyDescent="0.25">
      <c r="S5806" s="188"/>
    </row>
    <row r="5807" spans="19:19" ht="60" customHeight="1" x14ac:dyDescent="0.25">
      <c r="S5807" s="188"/>
    </row>
    <row r="5808" spans="19:19" ht="60" customHeight="1" x14ac:dyDescent="0.25">
      <c r="S5808" s="188"/>
    </row>
    <row r="5809" spans="19:19" ht="60" customHeight="1" x14ac:dyDescent="0.25">
      <c r="S5809" s="188"/>
    </row>
    <row r="5810" spans="19:19" ht="60" customHeight="1" x14ac:dyDescent="0.25">
      <c r="S5810" s="188"/>
    </row>
    <row r="5811" spans="19:19" ht="60" customHeight="1" x14ac:dyDescent="0.25">
      <c r="S5811" s="188"/>
    </row>
    <row r="5812" spans="19:19" ht="60" customHeight="1" x14ac:dyDescent="0.25">
      <c r="S5812" s="188"/>
    </row>
    <row r="5813" spans="19:19" ht="60" customHeight="1" x14ac:dyDescent="0.25">
      <c r="S5813" s="188"/>
    </row>
    <row r="5814" spans="19:19" ht="60" customHeight="1" x14ac:dyDescent="0.25">
      <c r="S5814" s="188"/>
    </row>
    <row r="5815" spans="19:19" ht="60" customHeight="1" x14ac:dyDescent="0.25">
      <c r="S5815" s="188"/>
    </row>
    <row r="5816" spans="19:19" ht="60" customHeight="1" x14ac:dyDescent="0.25">
      <c r="S5816" s="188"/>
    </row>
    <row r="5817" spans="19:19" ht="60" customHeight="1" x14ac:dyDescent="0.25">
      <c r="S5817" s="188"/>
    </row>
    <row r="5818" spans="19:19" ht="60" customHeight="1" x14ac:dyDescent="0.25">
      <c r="S5818" s="188"/>
    </row>
    <row r="5819" spans="19:19" ht="60" customHeight="1" x14ac:dyDescent="0.25">
      <c r="S5819" s="188"/>
    </row>
    <row r="5820" spans="19:19" ht="60" customHeight="1" x14ac:dyDescent="0.25">
      <c r="S5820" s="188"/>
    </row>
    <row r="5821" spans="19:19" ht="60" customHeight="1" x14ac:dyDescent="0.25">
      <c r="S5821" s="188"/>
    </row>
    <row r="5822" spans="19:19" ht="60" customHeight="1" x14ac:dyDescent="0.25">
      <c r="S5822" s="188"/>
    </row>
    <row r="5823" spans="19:19" ht="60" customHeight="1" x14ac:dyDescent="0.25">
      <c r="S5823" s="188"/>
    </row>
    <row r="5824" spans="19:19" ht="60" customHeight="1" x14ac:dyDescent="0.25">
      <c r="S5824" s="188"/>
    </row>
    <row r="5825" spans="19:19" ht="60" customHeight="1" x14ac:dyDescent="0.25">
      <c r="S5825" s="188"/>
    </row>
    <row r="5826" spans="19:19" ht="60" customHeight="1" x14ac:dyDescent="0.25">
      <c r="S5826" s="188"/>
    </row>
    <row r="5827" spans="19:19" ht="60" customHeight="1" x14ac:dyDescent="0.25">
      <c r="S5827" s="188"/>
    </row>
    <row r="5828" spans="19:19" ht="60" customHeight="1" x14ac:dyDescent="0.25">
      <c r="S5828" s="188"/>
    </row>
    <row r="5829" spans="19:19" ht="60" customHeight="1" x14ac:dyDescent="0.25">
      <c r="S5829" s="188"/>
    </row>
    <row r="5830" spans="19:19" ht="60" customHeight="1" x14ac:dyDescent="0.25">
      <c r="S5830" s="188"/>
    </row>
    <row r="5831" spans="19:19" ht="60" customHeight="1" x14ac:dyDescent="0.25">
      <c r="S5831" s="188"/>
    </row>
    <row r="5832" spans="19:19" ht="60" customHeight="1" x14ac:dyDescent="0.25">
      <c r="S5832" s="188"/>
    </row>
    <row r="5833" spans="19:19" ht="60" customHeight="1" x14ac:dyDescent="0.25">
      <c r="S5833" s="188"/>
    </row>
    <row r="5834" spans="19:19" ht="60" customHeight="1" x14ac:dyDescent="0.25">
      <c r="S5834" s="188"/>
    </row>
    <row r="5835" spans="19:19" ht="60" customHeight="1" x14ac:dyDescent="0.25">
      <c r="S5835" s="188"/>
    </row>
    <row r="5836" spans="19:19" ht="60" customHeight="1" x14ac:dyDescent="0.25">
      <c r="S5836" s="188"/>
    </row>
    <row r="5837" spans="19:19" ht="60" customHeight="1" x14ac:dyDescent="0.25">
      <c r="S5837" s="188"/>
    </row>
    <row r="5838" spans="19:19" ht="60" customHeight="1" x14ac:dyDescent="0.25">
      <c r="S5838" s="188"/>
    </row>
    <row r="5839" spans="19:19" ht="60" customHeight="1" x14ac:dyDescent="0.25">
      <c r="S5839" s="188"/>
    </row>
    <row r="5840" spans="19:19" ht="60" customHeight="1" x14ac:dyDescent="0.25">
      <c r="S5840" s="188"/>
    </row>
    <row r="5841" spans="19:19" ht="60" customHeight="1" x14ac:dyDescent="0.25">
      <c r="S5841" s="188"/>
    </row>
    <row r="5842" spans="19:19" ht="60" customHeight="1" x14ac:dyDescent="0.25">
      <c r="S5842" s="188"/>
    </row>
    <row r="5843" spans="19:19" ht="60" customHeight="1" x14ac:dyDescent="0.25">
      <c r="S5843" s="188"/>
    </row>
    <row r="5844" spans="19:19" ht="60" customHeight="1" x14ac:dyDescent="0.25">
      <c r="S5844" s="188"/>
    </row>
    <row r="5845" spans="19:19" ht="60" customHeight="1" x14ac:dyDescent="0.25">
      <c r="S5845" s="188"/>
    </row>
    <row r="5846" spans="19:19" ht="60" customHeight="1" x14ac:dyDescent="0.25">
      <c r="S5846" s="188"/>
    </row>
    <row r="5847" spans="19:19" ht="60" customHeight="1" x14ac:dyDescent="0.25">
      <c r="S5847" s="188"/>
    </row>
    <row r="5848" spans="19:19" ht="60" customHeight="1" x14ac:dyDescent="0.25">
      <c r="S5848" s="188"/>
    </row>
    <row r="5849" spans="19:19" ht="60" customHeight="1" x14ac:dyDescent="0.25">
      <c r="S5849" s="188"/>
    </row>
    <row r="5850" spans="19:19" ht="60" customHeight="1" x14ac:dyDescent="0.25">
      <c r="S5850" s="188"/>
    </row>
    <row r="5851" spans="19:19" ht="60" customHeight="1" x14ac:dyDescent="0.25">
      <c r="S5851" s="188"/>
    </row>
    <row r="5852" spans="19:19" ht="60" customHeight="1" x14ac:dyDescent="0.25">
      <c r="S5852" s="188"/>
    </row>
    <row r="5853" spans="19:19" ht="60" customHeight="1" x14ac:dyDescent="0.25">
      <c r="S5853" s="188"/>
    </row>
    <row r="5854" spans="19:19" ht="60" customHeight="1" x14ac:dyDescent="0.25">
      <c r="S5854" s="188"/>
    </row>
    <row r="5855" spans="19:19" ht="60" customHeight="1" x14ac:dyDescent="0.25">
      <c r="S5855" s="188"/>
    </row>
    <row r="5856" spans="19:19" ht="60" customHeight="1" x14ac:dyDescent="0.25">
      <c r="S5856" s="188"/>
    </row>
    <row r="5857" spans="19:19" ht="60" customHeight="1" x14ac:dyDescent="0.25">
      <c r="S5857" s="188"/>
    </row>
    <row r="5858" spans="19:19" ht="60" customHeight="1" x14ac:dyDescent="0.25">
      <c r="S5858" s="188"/>
    </row>
    <row r="5859" spans="19:19" ht="60" customHeight="1" x14ac:dyDescent="0.25">
      <c r="S5859" s="188"/>
    </row>
    <row r="5860" spans="19:19" ht="60" customHeight="1" x14ac:dyDescent="0.25">
      <c r="S5860" s="188"/>
    </row>
    <row r="5861" spans="19:19" ht="60" customHeight="1" x14ac:dyDescent="0.25">
      <c r="S5861" s="188"/>
    </row>
    <row r="5862" spans="19:19" ht="60" customHeight="1" x14ac:dyDescent="0.25">
      <c r="S5862" s="188"/>
    </row>
    <row r="5863" spans="19:19" ht="60" customHeight="1" x14ac:dyDescent="0.25">
      <c r="S5863" s="188"/>
    </row>
    <row r="5864" spans="19:19" ht="60" customHeight="1" x14ac:dyDescent="0.25">
      <c r="S5864" s="188"/>
    </row>
    <row r="5865" spans="19:19" ht="60" customHeight="1" x14ac:dyDescent="0.25">
      <c r="S5865" s="188"/>
    </row>
    <row r="5866" spans="19:19" ht="60" customHeight="1" x14ac:dyDescent="0.25">
      <c r="S5866" s="188"/>
    </row>
    <row r="5867" spans="19:19" ht="60" customHeight="1" x14ac:dyDescent="0.25">
      <c r="S5867" s="188"/>
    </row>
    <row r="5868" spans="19:19" ht="60" customHeight="1" x14ac:dyDescent="0.25">
      <c r="S5868" s="188"/>
    </row>
    <row r="5869" spans="19:19" ht="60" customHeight="1" x14ac:dyDescent="0.25">
      <c r="S5869" s="188"/>
    </row>
    <row r="5870" spans="19:19" ht="60" customHeight="1" x14ac:dyDescent="0.25">
      <c r="S5870" s="188"/>
    </row>
    <row r="5871" spans="19:19" ht="60" customHeight="1" x14ac:dyDescent="0.25">
      <c r="S5871" s="188"/>
    </row>
    <row r="5872" spans="19:19" ht="60" customHeight="1" x14ac:dyDescent="0.25">
      <c r="S5872" s="188"/>
    </row>
    <row r="5873" spans="19:19" ht="60" customHeight="1" x14ac:dyDescent="0.25">
      <c r="S5873" s="188"/>
    </row>
    <row r="5874" spans="19:19" ht="60" customHeight="1" x14ac:dyDescent="0.25">
      <c r="S5874" s="188"/>
    </row>
    <row r="5875" spans="19:19" ht="60" customHeight="1" x14ac:dyDescent="0.25">
      <c r="S5875" s="188"/>
    </row>
    <row r="5876" spans="19:19" ht="60" customHeight="1" x14ac:dyDescent="0.25">
      <c r="S5876" s="188"/>
    </row>
    <row r="5877" spans="19:19" ht="60" customHeight="1" x14ac:dyDescent="0.25">
      <c r="S5877" s="188"/>
    </row>
    <row r="5878" spans="19:19" ht="60" customHeight="1" x14ac:dyDescent="0.25">
      <c r="S5878" s="188"/>
    </row>
    <row r="5879" spans="19:19" ht="60" customHeight="1" x14ac:dyDescent="0.25">
      <c r="S5879" s="188"/>
    </row>
    <row r="5880" spans="19:19" ht="60" customHeight="1" x14ac:dyDescent="0.25">
      <c r="S5880" s="188"/>
    </row>
    <row r="5881" spans="19:19" ht="60" customHeight="1" x14ac:dyDescent="0.25">
      <c r="S5881" s="188"/>
    </row>
    <row r="5882" spans="19:19" ht="60" customHeight="1" x14ac:dyDescent="0.25">
      <c r="S5882" s="188"/>
    </row>
    <row r="5883" spans="19:19" ht="60" customHeight="1" x14ac:dyDescent="0.25">
      <c r="S5883" s="188"/>
    </row>
    <row r="5884" spans="19:19" ht="60" customHeight="1" x14ac:dyDescent="0.25">
      <c r="S5884" s="188"/>
    </row>
    <row r="5885" spans="19:19" ht="60" customHeight="1" x14ac:dyDescent="0.25">
      <c r="S5885" s="188"/>
    </row>
    <row r="5886" spans="19:19" ht="60" customHeight="1" x14ac:dyDescent="0.25">
      <c r="S5886" s="188"/>
    </row>
    <row r="5887" spans="19:19" ht="60" customHeight="1" x14ac:dyDescent="0.25">
      <c r="S5887" s="188"/>
    </row>
    <row r="5888" spans="19:19" ht="60" customHeight="1" x14ac:dyDescent="0.25">
      <c r="S5888" s="188"/>
    </row>
    <row r="5889" spans="19:19" ht="60" customHeight="1" x14ac:dyDescent="0.25">
      <c r="S5889" s="188"/>
    </row>
    <row r="5890" spans="19:19" ht="60" customHeight="1" x14ac:dyDescent="0.25">
      <c r="S5890" s="188"/>
    </row>
    <row r="5891" spans="19:19" ht="60" customHeight="1" x14ac:dyDescent="0.25">
      <c r="S5891" s="188"/>
    </row>
    <row r="5892" spans="19:19" ht="60" customHeight="1" x14ac:dyDescent="0.25">
      <c r="S5892" s="188"/>
    </row>
    <row r="5893" spans="19:19" ht="60" customHeight="1" x14ac:dyDescent="0.25">
      <c r="S5893" s="188"/>
    </row>
    <row r="5894" spans="19:19" ht="60" customHeight="1" x14ac:dyDescent="0.25">
      <c r="S5894" s="188"/>
    </row>
    <row r="5895" spans="19:19" ht="60" customHeight="1" x14ac:dyDescent="0.25">
      <c r="S5895" s="188"/>
    </row>
    <row r="5896" spans="19:19" ht="60" customHeight="1" x14ac:dyDescent="0.25">
      <c r="S5896" s="188"/>
    </row>
    <row r="5897" spans="19:19" ht="60" customHeight="1" x14ac:dyDescent="0.25">
      <c r="S5897" s="188"/>
    </row>
    <row r="5898" spans="19:19" ht="60" customHeight="1" x14ac:dyDescent="0.25">
      <c r="S5898" s="188"/>
    </row>
    <row r="5899" spans="19:19" ht="60" customHeight="1" x14ac:dyDescent="0.25">
      <c r="S5899" s="188"/>
    </row>
    <row r="5900" spans="19:19" ht="60" customHeight="1" x14ac:dyDescent="0.25">
      <c r="S5900" s="188"/>
    </row>
    <row r="5901" spans="19:19" ht="60" customHeight="1" x14ac:dyDescent="0.25">
      <c r="S5901" s="188"/>
    </row>
    <row r="5902" spans="19:19" ht="60" customHeight="1" x14ac:dyDescent="0.25">
      <c r="S5902" s="188"/>
    </row>
    <row r="5903" spans="19:19" ht="60" customHeight="1" x14ac:dyDescent="0.25">
      <c r="S5903" s="188"/>
    </row>
    <row r="5904" spans="19:19" ht="60" customHeight="1" x14ac:dyDescent="0.25">
      <c r="S5904" s="188"/>
    </row>
    <row r="5905" spans="19:19" ht="60" customHeight="1" x14ac:dyDescent="0.25">
      <c r="S5905" s="188"/>
    </row>
    <row r="5906" spans="19:19" ht="60" customHeight="1" x14ac:dyDescent="0.25">
      <c r="S5906" s="188"/>
    </row>
    <row r="5907" spans="19:19" ht="60" customHeight="1" x14ac:dyDescent="0.25">
      <c r="S5907" s="188"/>
    </row>
    <row r="5908" spans="19:19" ht="60" customHeight="1" x14ac:dyDescent="0.25">
      <c r="S5908" s="188"/>
    </row>
    <row r="5909" spans="19:19" ht="60" customHeight="1" x14ac:dyDescent="0.25">
      <c r="S5909" s="188"/>
    </row>
    <row r="5910" spans="19:19" ht="60" customHeight="1" x14ac:dyDescent="0.25">
      <c r="S5910" s="188"/>
    </row>
    <row r="5911" spans="19:19" ht="60" customHeight="1" x14ac:dyDescent="0.25">
      <c r="S5911" s="188"/>
    </row>
    <row r="5912" spans="19:19" ht="60" customHeight="1" x14ac:dyDescent="0.25">
      <c r="S5912" s="188"/>
    </row>
    <row r="5913" spans="19:19" ht="60" customHeight="1" x14ac:dyDescent="0.25">
      <c r="S5913" s="188"/>
    </row>
    <row r="5914" spans="19:19" ht="60" customHeight="1" x14ac:dyDescent="0.25">
      <c r="S5914" s="188"/>
    </row>
    <row r="5915" spans="19:19" ht="60" customHeight="1" x14ac:dyDescent="0.25">
      <c r="S5915" s="188"/>
    </row>
    <row r="5916" spans="19:19" ht="60" customHeight="1" x14ac:dyDescent="0.25">
      <c r="S5916" s="188"/>
    </row>
    <row r="5917" spans="19:19" ht="60" customHeight="1" x14ac:dyDescent="0.25">
      <c r="S5917" s="188"/>
    </row>
    <row r="5918" spans="19:19" ht="60" customHeight="1" x14ac:dyDescent="0.25">
      <c r="S5918" s="188"/>
    </row>
    <row r="5919" spans="19:19" ht="60" customHeight="1" x14ac:dyDescent="0.25">
      <c r="S5919" s="188"/>
    </row>
    <row r="5920" spans="19:19" ht="60" customHeight="1" x14ac:dyDescent="0.25">
      <c r="S5920" s="188"/>
    </row>
    <row r="5921" spans="19:19" ht="60" customHeight="1" x14ac:dyDescent="0.25">
      <c r="S5921" s="188"/>
    </row>
    <row r="5922" spans="19:19" ht="60" customHeight="1" x14ac:dyDescent="0.25">
      <c r="S5922" s="188"/>
    </row>
    <row r="5923" spans="19:19" ht="60" customHeight="1" x14ac:dyDescent="0.25">
      <c r="S5923" s="188"/>
    </row>
    <row r="5924" spans="19:19" ht="60" customHeight="1" x14ac:dyDescent="0.25">
      <c r="S5924" s="188"/>
    </row>
    <row r="5925" spans="19:19" ht="60" customHeight="1" x14ac:dyDescent="0.25">
      <c r="S5925" s="188"/>
    </row>
    <row r="5926" spans="19:19" ht="60" customHeight="1" x14ac:dyDescent="0.25">
      <c r="S5926" s="188"/>
    </row>
    <row r="5927" spans="19:19" ht="60" customHeight="1" x14ac:dyDescent="0.25">
      <c r="S5927" s="188"/>
    </row>
    <row r="5928" spans="19:19" ht="60" customHeight="1" x14ac:dyDescent="0.25">
      <c r="S5928" s="188"/>
    </row>
    <row r="5929" spans="19:19" ht="60" customHeight="1" x14ac:dyDescent="0.25">
      <c r="S5929" s="188"/>
    </row>
    <row r="5930" spans="19:19" ht="60" customHeight="1" x14ac:dyDescent="0.25">
      <c r="S5930" s="188"/>
    </row>
    <row r="5931" spans="19:19" ht="60" customHeight="1" x14ac:dyDescent="0.25">
      <c r="S5931" s="188"/>
    </row>
    <row r="5932" spans="19:19" ht="60" customHeight="1" x14ac:dyDescent="0.25">
      <c r="S5932" s="188"/>
    </row>
    <row r="5933" spans="19:19" ht="60" customHeight="1" x14ac:dyDescent="0.25">
      <c r="S5933" s="188"/>
    </row>
    <row r="5934" spans="19:19" ht="60" customHeight="1" x14ac:dyDescent="0.25">
      <c r="S5934" s="188"/>
    </row>
    <row r="5935" spans="19:19" ht="60" customHeight="1" x14ac:dyDescent="0.25">
      <c r="S5935" s="188"/>
    </row>
    <row r="5936" spans="19:19" ht="60" customHeight="1" x14ac:dyDescent="0.25">
      <c r="S5936" s="188"/>
    </row>
    <row r="5937" spans="19:19" ht="60" customHeight="1" x14ac:dyDescent="0.25">
      <c r="S5937" s="188"/>
    </row>
    <row r="5938" spans="19:19" ht="60" customHeight="1" x14ac:dyDescent="0.25">
      <c r="S5938" s="188"/>
    </row>
    <row r="5939" spans="19:19" ht="60" customHeight="1" x14ac:dyDescent="0.25">
      <c r="S5939" s="188"/>
    </row>
    <row r="5940" spans="19:19" ht="60" customHeight="1" x14ac:dyDescent="0.25">
      <c r="S5940" s="188"/>
    </row>
    <row r="5941" spans="19:19" ht="60" customHeight="1" x14ac:dyDescent="0.25">
      <c r="S5941" s="188"/>
    </row>
    <row r="5942" spans="19:19" ht="60" customHeight="1" x14ac:dyDescent="0.25">
      <c r="S5942" s="188"/>
    </row>
    <row r="5943" spans="19:19" ht="60" customHeight="1" x14ac:dyDescent="0.25">
      <c r="S5943" s="188"/>
    </row>
    <row r="5944" spans="19:19" ht="60" customHeight="1" x14ac:dyDescent="0.25">
      <c r="S5944" s="188"/>
    </row>
    <row r="5945" spans="19:19" ht="60" customHeight="1" x14ac:dyDescent="0.25">
      <c r="S5945" s="188"/>
    </row>
    <row r="5946" spans="19:19" ht="60" customHeight="1" x14ac:dyDescent="0.25">
      <c r="S5946" s="188"/>
    </row>
    <row r="5947" spans="19:19" ht="60" customHeight="1" x14ac:dyDescent="0.25">
      <c r="S5947" s="188"/>
    </row>
    <row r="5948" spans="19:19" ht="60" customHeight="1" x14ac:dyDescent="0.25">
      <c r="S5948" s="188"/>
    </row>
    <row r="5949" spans="19:19" ht="60" customHeight="1" x14ac:dyDescent="0.25">
      <c r="S5949" s="188"/>
    </row>
    <row r="5950" spans="19:19" ht="60" customHeight="1" x14ac:dyDescent="0.25">
      <c r="S5950" s="188"/>
    </row>
    <row r="5951" spans="19:19" ht="60" customHeight="1" x14ac:dyDescent="0.25">
      <c r="S5951" s="188"/>
    </row>
    <row r="5952" spans="19:19" ht="60" customHeight="1" x14ac:dyDescent="0.25">
      <c r="S5952" s="188"/>
    </row>
    <row r="5953" spans="19:19" ht="60" customHeight="1" x14ac:dyDescent="0.25">
      <c r="S5953" s="188"/>
    </row>
    <row r="5954" spans="19:19" ht="60" customHeight="1" x14ac:dyDescent="0.25">
      <c r="S5954" s="188"/>
    </row>
    <row r="5955" spans="19:19" ht="60" customHeight="1" x14ac:dyDescent="0.25">
      <c r="S5955" s="188"/>
    </row>
    <row r="5956" spans="19:19" ht="60" customHeight="1" x14ac:dyDescent="0.25">
      <c r="S5956" s="188"/>
    </row>
    <row r="5957" spans="19:19" ht="60" customHeight="1" x14ac:dyDescent="0.25">
      <c r="S5957" s="188"/>
    </row>
    <row r="5958" spans="19:19" ht="60" customHeight="1" x14ac:dyDescent="0.25">
      <c r="S5958" s="188"/>
    </row>
    <row r="5959" spans="19:19" ht="60" customHeight="1" x14ac:dyDescent="0.25">
      <c r="S5959" s="188"/>
    </row>
    <row r="5960" spans="19:19" ht="60" customHeight="1" x14ac:dyDescent="0.25">
      <c r="S5960" s="188"/>
    </row>
    <row r="5961" spans="19:19" ht="60" customHeight="1" x14ac:dyDescent="0.25">
      <c r="S5961" s="188"/>
    </row>
    <row r="5962" spans="19:19" ht="60" customHeight="1" x14ac:dyDescent="0.25">
      <c r="S5962" s="188"/>
    </row>
    <row r="5963" spans="19:19" ht="60" customHeight="1" x14ac:dyDescent="0.25">
      <c r="S5963" s="188"/>
    </row>
    <row r="5964" spans="19:19" ht="60" customHeight="1" x14ac:dyDescent="0.25">
      <c r="S5964" s="188"/>
    </row>
    <row r="5965" spans="19:19" ht="60" customHeight="1" x14ac:dyDescent="0.25">
      <c r="S5965" s="188"/>
    </row>
    <row r="5966" spans="19:19" ht="60" customHeight="1" x14ac:dyDescent="0.25">
      <c r="S5966" s="188"/>
    </row>
    <row r="5967" spans="19:19" ht="60" customHeight="1" x14ac:dyDescent="0.25">
      <c r="S5967" s="188"/>
    </row>
    <row r="5968" spans="19:19" ht="60" customHeight="1" x14ac:dyDescent="0.25">
      <c r="S5968" s="188"/>
    </row>
    <row r="5969" spans="19:19" ht="60" customHeight="1" x14ac:dyDescent="0.25">
      <c r="S5969" s="188"/>
    </row>
    <row r="5970" spans="19:19" ht="60" customHeight="1" x14ac:dyDescent="0.25">
      <c r="S5970" s="188"/>
    </row>
    <row r="5971" spans="19:19" ht="60" customHeight="1" x14ac:dyDescent="0.25">
      <c r="S5971" s="188"/>
    </row>
    <row r="5972" spans="19:19" ht="60" customHeight="1" x14ac:dyDescent="0.25">
      <c r="S5972" s="188"/>
    </row>
    <row r="5973" spans="19:19" ht="60" customHeight="1" x14ac:dyDescent="0.25">
      <c r="S5973" s="188"/>
    </row>
    <row r="5974" spans="19:19" ht="60" customHeight="1" x14ac:dyDescent="0.25">
      <c r="S5974" s="188"/>
    </row>
    <row r="5975" spans="19:19" ht="60" customHeight="1" x14ac:dyDescent="0.25">
      <c r="S5975" s="188"/>
    </row>
    <row r="5976" spans="19:19" ht="60" customHeight="1" x14ac:dyDescent="0.25">
      <c r="S5976" s="188"/>
    </row>
    <row r="5977" spans="19:19" ht="60" customHeight="1" x14ac:dyDescent="0.25">
      <c r="S5977" s="188"/>
    </row>
    <row r="5978" spans="19:19" ht="60" customHeight="1" x14ac:dyDescent="0.25">
      <c r="S5978" s="188"/>
    </row>
    <row r="5979" spans="19:19" ht="60" customHeight="1" x14ac:dyDescent="0.25">
      <c r="S5979" s="188"/>
    </row>
    <row r="5980" spans="19:19" ht="60" customHeight="1" x14ac:dyDescent="0.25">
      <c r="S5980" s="188"/>
    </row>
    <row r="5981" spans="19:19" ht="60" customHeight="1" x14ac:dyDescent="0.25">
      <c r="S5981" s="188"/>
    </row>
    <row r="5982" spans="19:19" ht="60" customHeight="1" x14ac:dyDescent="0.25">
      <c r="S5982" s="188"/>
    </row>
    <row r="5983" spans="19:19" ht="60" customHeight="1" x14ac:dyDescent="0.25">
      <c r="S5983" s="188"/>
    </row>
    <row r="5984" spans="19:19" ht="60" customHeight="1" x14ac:dyDescent="0.25">
      <c r="S5984" s="188"/>
    </row>
    <row r="5985" spans="19:19" ht="60" customHeight="1" x14ac:dyDescent="0.25">
      <c r="S5985" s="188"/>
    </row>
    <row r="5986" spans="19:19" ht="60" customHeight="1" x14ac:dyDescent="0.25">
      <c r="S5986" s="188"/>
    </row>
    <row r="5987" spans="19:19" ht="60" customHeight="1" x14ac:dyDescent="0.25">
      <c r="S5987" s="188"/>
    </row>
    <row r="5988" spans="19:19" ht="60" customHeight="1" x14ac:dyDescent="0.25">
      <c r="S5988" s="188"/>
    </row>
    <row r="5989" spans="19:19" ht="60" customHeight="1" x14ac:dyDescent="0.25">
      <c r="S5989" s="188"/>
    </row>
    <row r="5990" spans="19:19" ht="60" customHeight="1" x14ac:dyDescent="0.25">
      <c r="S5990" s="188"/>
    </row>
    <row r="5991" spans="19:19" ht="60" customHeight="1" x14ac:dyDescent="0.25">
      <c r="S5991" s="188"/>
    </row>
    <row r="5992" spans="19:19" ht="60" customHeight="1" x14ac:dyDescent="0.25">
      <c r="S5992" s="188"/>
    </row>
    <row r="5993" spans="19:19" ht="60" customHeight="1" x14ac:dyDescent="0.25">
      <c r="S5993" s="188"/>
    </row>
    <row r="5994" spans="19:19" ht="60" customHeight="1" x14ac:dyDescent="0.25">
      <c r="S5994" s="188"/>
    </row>
    <row r="5995" spans="19:19" ht="60" customHeight="1" x14ac:dyDescent="0.25">
      <c r="S5995" s="188"/>
    </row>
    <row r="5996" spans="19:19" ht="60" customHeight="1" x14ac:dyDescent="0.25">
      <c r="S5996" s="188"/>
    </row>
    <row r="5997" spans="19:19" ht="60" customHeight="1" x14ac:dyDescent="0.25">
      <c r="S5997" s="188"/>
    </row>
    <row r="5998" spans="19:19" ht="60" customHeight="1" x14ac:dyDescent="0.25">
      <c r="S5998" s="188"/>
    </row>
    <row r="5999" spans="19:19" ht="60" customHeight="1" x14ac:dyDescent="0.25">
      <c r="S5999" s="188"/>
    </row>
    <row r="6000" spans="19:19" ht="60" customHeight="1" x14ac:dyDescent="0.25">
      <c r="S6000" s="188"/>
    </row>
    <row r="6001" spans="19:19" ht="60" customHeight="1" x14ac:dyDescent="0.25">
      <c r="S6001" s="188"/>
    </row>
    <row r="6002" spans="19:19" ht="60" customHeight="1" x14ac:dyDescent="0.25">
      <c r="S6002" s="188"/>
    </row>
    <row r="6003" spans="19:19" ht="60" customHeight="1" x14ac:dyDescent="0.25">
      <c r="S6003" s="188"/>
    </row>
    <row r="6004" spans="19:19" ht="60" customHeight="1" x14ac:dyDescent="0.25">
      <c r="S6004" s="188"/>
    </row>
    <row r="6005" spans="19:19" ht="60" customHeight="1" x14ac:dyDescent="0.25">
      <c r="S6005" s="188"/>
    </row>
    <row r="6006" spans="19:19" ht="60" customHeight="1" x14ac:dyDescent="0.25">
      <c r="S6006" s="188"/>
    </row>
    <row r="6007" spans="19:19" ht="60" customHeight="1" x14ac:dyDescent="0.25">
      <c r="S6007" s="188"/>
    </row>
    <row r="6008" spans="19:19" ht="60" customHeight="1" x14ac:dyDescent="0.25">
      <c r="S6008" s="188"/>
    </row>
    <row r="6009" spans="19:19" ht="60" customHeight="1" x14ac:dyDescent="0.25">
      <c r="S6009" s="188"/>
    </row>
    <row r="6010" spans="19:19" ht="60" customHeight="1" x14ac:dyDescent="0.25">
      <c r="S6010" s="188"/>
    </row>
    <row r="6011" spans="19:19" ht="60" customHeight="1" x14ac:dyDescent="0.25">
      <c r="S6011" s="188"/>
    </row>
    <row r="6012" spans="19:19" ht="60" customHeight="1" x14ac:dyDescent="0.25">
      <c r="S6012" s="188"/>
    </row>
    <row r="6013" spans="19:19" ht="60" customHeight="1" x14ac:dyDescent="0.25">
      <c r="S6013" s="188"/>
    </row>
    <row r="6014" spans="19:19" ht="60" customHeight="1" x14ac:dyDescent="0.25">
      <c r="S6014" s="188"/>
    </row>
    <row r="6015" spans="19:19" ht="60" customHeight="1" x14ac:dyDescent="0.25">
      <c r="S6015" s="188"/>
    </row>
    <row r="6016" spans="19:19" ht="60" customHeight="1" x14ac:dyDescent="0.25">
      <c r="S6016" s="188"/>
    </row>
    <row r="6017" spans="19:19" ht="60" customHeight="1" x14ac:dyDescent="0.25">
      <c r="S6017" s="188"/>
    </row>
    <row r="6018" spans="19:19" ht="60" customHeight="1" x14ac:dyDescent="0.25">
      <c r="S6018" s="188"/>
    </row>
    <row r="6019" spans="19:19" ht="60" customHeight="1" x14ac:dyDescent="0.25">
      <c r="S6019" s="188"/>
    </row>
    <row r="6020" spans="19:19" ht="60" customHeight="1" x14ac:dyDescent="0.25">
      <c r="S6020" s="188"/>
    </row>
    <row r="6021" spans="19:19" ht="60" customHeight="1" x14ac:dyDescent="0.25">
      <c r="S6021" s="188"/>
    </row>
    <row r="6022" spans="19:19" ht="60" customHeight="1" x14ac:dyDescent="0.25">
      <c r="S6022" s="188"/>
    </row>
    <row r="6023" spans="19:19" ht="60" customHeight="1" x14ac:dyDescent="0.25">
      <c r="S6023" s="188"/>
    </row>
    <row r="6024" spans="19:19" ht="60" customHeight="1" x14ac:dyDescent="0.25">
      <c r="S6024" s="188"/>
    </row>
    <row r="6025" spans="19:19" ht="60" customHeight="1" x14ac:dyDescent="0.25">
      <c r="S6025" s="188"/>
    </row>
    <row r="6026" spans="19:19" ht="60" customHeight="1" x14ac:dyDescent="0.25">
      <c r="S6026" s="188"/>
    </row>
    <row r="6027" spans="19:19" ht="60" customHeight="1" x14ac:dyDescent="0.25">
      <c r="S6027" s="188"/>
    </row>
    <row r="6028" spans="19:19" ht="60" customHeight="1" x14ac:dyDescent="0.25">
      <c r="S6028" s="188"/>
    </row>
    <row r="6029" spans="19:19" ht="60" customHeight="1" x14ac:dyDescent="0.25">
      <c r="S6029" s="188"/>
    </row>
    <row r="6030" spans="19:19" ht="60" customHeight="1" x14ac:dyDescent="0.25">
      <c r="S6030" s="188"/>
    </row>
    <row r="6031" spans="19:19" ht="60" customHeight="1" x14ac:dyDescent="0.25">
      <c r="S6031" s="188"/>
    </row>
    <row r="6032" spans="19:19" ht="60" customHeight="1" x14ac:dyDescent="0.25">
      <c r="S6032" s="188"/>
    </row>
    <row r="6033" spans="19:19" ht="60" customHeight="1" x14ac:dyDescent="0.25">
      <c r="S6033" s="188"/>
    </row>
    <row r="6034" spans="19:19" ht="60" customHeight="1" x14ac:dyDescent="0.25">
      <c r="S6034" s="188"/>
    </row>
    <row r="6035" spans="19:19" ht="60" customHeight="1" x14ac:dyDescent="0.25">
      <c r="S6035" s="188"/>
    </row>
    <row r="6036" spans="19:19" ht="60" customHeight="1" x14ac:dyDescent="0.25">
      <c r="S6036" s="188"/>
    </row>
    <row r="6037" spans="19:19" ht="60" customHeight="1" x14ac:dyDescent="0.25">
      <c r="S6037" s="188"/>
    </row>
    <row r="6038" spans="19:19" ht="60" customHeight="1" x14ac:dyDescent="0.25">
      <c r="S6038" s="188"/>
    </row>
    <row r="6039" spans="19:19" ht="60" customHeight="1" x14ac:dyDescent="0.25">
      <c r="S6039" s="188"/>
    </row>
    <row r="6040" spans="19:19" ht="60" customHeight="1" x14ac:dyDescent="0.25">
      <c r="S6040" s="188"/>
    </row>
    <row r="6041" spans="19:19" ht="60" customHeight="1" x14ac:dyDescent="0.25">
      <c r="S6041" s="188"/>
    </row>
    <row r="6042" spans="19:19" ht="60" customHeight="1" x14ac:dyDescent="0.25">
      <c r="S6042" s="188"/>
    </row>
    <row r="6043" spans="19:19" ht="60" customHeight="1" x14ac:dyDescent="0.25">
      <c r="S6043" s="188"/>
    </row>
    <row r="6044" spans="19:19" ht="60" customHeight="1" x14ac:dyDescent="0.25">
      <c r="S6044" s="188"/>
    </row>
    <row r="6045" spans="19:19" ht="60" customHeight="1" x14ac:dyDescent="0.25">
      <c r="S6045" s="188"/>
    </row>
    <row r="6046" spans="19:19" ht="60" customHeight="1" x14ac:dyDescent="0.25">
      <c r="S6046" s="188"/>
    </row>
    <row r="6047" spans="19:19" ht="60" customHeight="1" x14ac:dyDescent="0.25">
      <c r="S6047" s="188"/>
    </row>
    <row r="6048" spans="19:19" ht="60" customHeight="1" x14ac:dyDescent="0.25">
      <c r="S6048" s="188"/>
    </row>
    <row r="6049" spans="19:19" ht="60" customHeight="1" x14ac:dyDescent="0.25">
      <c r="S6049" s="188"/>
    </row>
    <row r="6050" spans="19:19" ht="60" customHeight="1" x14ac:dyDescent="0.25">
      <c r="S6050" s="188"/>
    </row>
    <row r="6051" spans="19:19" ht="60" customHeight="1" x14ac:dyDescent="0.25">
      <c r="S6051" s="188"/>
    </row>
    <row r="6052" spans="19:19" ht="60" customHeight="1" x14ac:dyDescent="0.25">
      <c r="S6052" s="188"/>
    </row>
    <row r="6053" spans="19:19" ht="60" customHeight="1" x14ac:dyDescent="0.25">
      <c r="S6053" s="188"/>
    </row>
    <row r="6054" spans="19:19" ht="60" customHeight="1" x14ac:dyDescent="0.25">
      <c r="S6054" s="188"/>
    </row>
    <row r="6055" spans="19:19" ht="60" customHeight="1" x14ac:dyDescent="0.25">
      <c r="S6055" s="188"/>
    </row>
    <row r="6056" spans="19:19" ht="60" customHeight="1" x14ac:dyDescent="0.25">
      <c r="S6056" s="188"/>
    </row>
    <row r="6057" spans="19:19" ht="60" customHeight="1" x14ac:dyDescent="0.25">
      <c r="S6057" s="188"/>
    </row>
    <row r="6058" spans="19:19" ht="60" customHeight="1" x14ac:dyDescent="0.25">
      <c r="S6058" s="188"/>
    </row>
    <row r="6059" spans="19:19" ht="60" customHeight="1" x14ac:dyDescent="0.25">
      <c r="S6059" s="188"/>
    </row>
    <row r="6060" spans="19:19" ht="60" customHeight="1" x14ac:dyDescent="0.25">
      <c r="S6060" s="188"/>
    </row>
    <row r="6061" spans="19:19" ht="60" customHeight="1" x14ac:dyDescent="0.25">
      <c r="S6061" s="188"/>
    </row>
    <row r="6062" spans="19:19" ht="60" customHeight="1" x14ac:dyDescent="0.25">
      <c r="S6062" s="188"/>
    </row>
    <row r="6063" spans="19:19" ht="60" customHeight="1" x14ac:dyDescent="0.25">
      <c r="S6063" s="188"/>
    </row>
    <row r="6064" spans="19:19" ht="60" customHeight="1" x14ac:dyDescent="0.25">
      <c r="S6064" s="188"/>
    </row>
    <row r="6065" spans="19:19" ht="60" customHeight="1" x14ac:dyDescent="0.25">
      <c r="S6065" s="188"/>
    </row>
    <row r="6066" spans="19:19" ht="60" customHeight="1" x14ac:dyDescent="0.25">
      <c r="S6066" s="188"/>
    </row>
    <row r="6067" spans="19:19" ht="60" customHeight="1" x14ac:dyDescent="0.25">
      <c r="S6067" s="188"/>
    </row>
    <row r="6068" spans="19:19" ht="60" customHeight="1" x14ac:dyDescent="0.25">
      <c r="S6068" s="188"/>
    </row>
    <row r="6069" spans="19:19" ht="60" customHeight="1" x14ac:dyDescent="0.25">
      <c r="S6069" s="188"/>
    </row>
    <row r="6070" spans="19:19" ht="60" customHeight="1" x14ac:dyDescent="0.25">
      <c r="S6070" s="188"/>
    </row>
    <row r="6071" spans="19:19" ht="60" customHeight="1" x14ac:dyDescent="0.25">
      <c r="S6071" s="188"/>
    </row>
    <row r="6072" spans="19:19" ht="60" customHeight="1" x14ac:dyDescent="0.25">
      <c r="S6072" s="188"/>
    </row>
    <row r="6073" spans="19:19" ht="60" customHeight="1" x14ac:dyDescent="0.25">
      <c r="S6073" s="188"/>
    </row>
    <row r="6074" spans="19:19" ht="60" customHeight="1" x14ac:dyDescent="0.25">
      <c r="S6074" s="188"/>
    </row>
    <row r="6075" spans="19:19" ht="60" customHeight="1" x14ac:dyDescent="0.25">
      <c r="S6075" s="188"/>
    </row>
    <row r="6076" spans="19:19" ht="60" customHeight="1" x14ac:dyDescent="0.25">
      <c r="S6076" s="188"/>
    </row>
    <row r="6077" spans="19:19" ht="60" customHeight="1" x14ac:dyDescent="0.25">
      <c r="S6077" s="188"/>
    </row>
    <row r="6078" spans="19:19" ht="60" customHeight="1" x14ac:dyDescent="0.25">
      <c r="S6078" s="188"/>
    </row>
    <row r="6079" spans="19:19" ht="60" customHeight="1" x14ac:dyDescent="0.25">
      <c r="S6079" s="188"/>
    </row>
    <row r="6080" spans="19:19" ht="60" customHeight="1" x14ac:dyDescent="0.25">
      <c r="S6080" s="188"/>
    </row>
    <row r="6081" spans="19:19" ht="60" customHeight="1" x14ac:dyDescent="0.25">
      <c r="S6081" s="188"/>
    </row>
    <row r="6082" spans="19:19" ht="60" customHeight="1" x14ac:dyDescent="0.25">
      <c r="S6082" s="188"/>
    </row>
    <row r="6083" spans="19:19" ht="60" customHeight="1" x14ac:dyDescent="0.25">
      <c r="S6083" s="188"/>
    </row>
    <row r="6084" spans="19:19" ht="60" customHeight="1" x14ac:dyDescent="0.25">
      <c r="S6084" s="188"/>
    </row>
    <row r="6085" spans="19:19" ht="60" customHeight="1" x14ac:dyDescent="0.25">
      <c r="S6085" s="188"/>
    </row>
    <row r="6086" spans="19:19" ht="60" customHeight="1" x14ac:dyDescent="0.25">
      <c r="S6086" s="188"/>
    </row>
    <row r="6087" spans="19:19" ht="60" customHeight="1" x14ac:dyDescent="0.25">
      <c r="S6087" s="188"/>
    </row>
    <row r="6088" spans="19:19" ht="60" customHeight="1" x14ac:dyDescent="0.25">
      <c r="S6088" s="188"/>
    </row>
    <row r="6089" spans="19:19" ht="60" customHeight="1" x14ac:dyDescent="0.25">
      <c r="S6089" s="188"/>
    </row>
    <row r="6090" spans="19:19" ht="60" customHeight="1" x14ac:dyDescent="0.25">
      <c r="S6090" s="188"/>
    </row>
    <row r="6091" spans="19:19" ht="60" customHeight="1" x14ac:dyDescent="0.25">
      <c r="S6091" s="188"/>
    </row>
    <row r="6092" spans="19:19" ht="60" customHeight="1" x14ac:dyDescent="0.25">
      <c r="S6092" s="188"/>
    </row>
    <row r="6093" spans="19:19" ht="60" customHeight="1" x14ac:dyDescent="0.25">
      <c r="S6093" s="188"/>
    </row>
    <row r="6094" spans="19:19" ht="60" customHeight="1" x14ac:dyDescent="0.25">
      <c r="S6094" s="188"/>
    </row>
    <row r="6095" spans="19:19" ht="60" customHeight="1" x14ac:dyDescent="0.25">
      <c r="S6095" s="188"/>
    </row>
    <row r="6096" spans="19:19" ht="60" customHeight="1" x14ac:dyDescent="0.25">
      <c r="S6096" s="188"/>
    </row>
    <row r="6097" spans="19:19" ht="60" customHeight="1" x14ac:dyDescent="0.25">
      <c r="S6097" s="188"/>
    </row>
    <row r="6098" spans="19:19" ht="60" customHeight="1" x14ac:dyDescent="0.25">
      <c r="S6098" s="188"/>
    </row>
    <row r="6099" spans="19:19" ht="60" customHeight="1" x14ac:dyDescent="0.25">
      <c r="S6099" s="188"/>
    </row>
    <row r="6100" spans="19:19" ht="60" customHeight="1" x14ac:dyDescent="0.25">
      <c r="S6100" s="188"/>
    </row>
    <row r="6101" spans="19:19" ht="60" customHeight="1" x14ac:dyDescent="0.25">
      <c r="S6101" s="188"/>
    </row>
    <row r="6102" spans="19:19" ht="60" customHeight="1" x14ac:dyDescent="0.25">
      <c r="S6102" s="188"/>
    </row>
    <row r="6103" spans="19:19" ht="60" customHeight="1" x14ac:dyDescent="0.25">
      <c r="S6103" s="188"/>
    </row>
    <row r="6104" spans="19:19" ht="60" customHeight="1" x14ac:dyDescent="0.25">
      <c r="S6104" s="188"/>
    </row>
    <row r="6105" spans="19:19" ht="60" customHeight="1" x14ac:dyDescent="0.25">
      <c r="S6105" s="188"/>
    </row>
    <row r="6106" spans="19:19" ht="60" customHeight="1" x14ac:dyDescent="0.25">
      <c r="S6106" s="188"/>
    </row>
    <row r="6107" spans="19:19" ht="60" customHeight="1" x14ac:dyDescent="0.25">
      <c r="S6107" s="188"/>
    </row>
    <row r="6108" spans="19:19" ht="60" customHeight="1" x14ac:dyDescent="0.25">
      <c r="S6108" s="188"/>
    </row>
    <row r="6109" spans="19:19" ht="60" customHeight="1" x14ac:dyDescent="0.25">
      <c r="S6109" s="188"/>
    </row>
    <row r="6110" spans="19:19" ht="60" customHeight="1" x14ac:dyDescent="0.25">
      <c r="S6110" s="188"/>
    </row>
    <row r="6111" spans="19:19" ht="60" customHeight="1" x14ac:dyDescent="0.25">
      <c r="S6111" s="188"/>
    </row>
    <row r="6112" spans="19:19" ht="60" customHeight="1" x14ac:dyDescent="0.25">
      <c r="S6112" s="188"/>
    </row>
    <row r="6113" spans="19:19" ht="60" customHeight="1" x14ac:dyDescent="0.25">
      <c r="S6113" s="188"/>
    </row>
    <row r="6114" spans="19:19" ht="60" customHeight="1" x14ac:dyDescent="0.25">
      <c r="S6114" s="188"/>
    </row>
    <row r="6115" spans="19:19" ht="60" customHeight="1" x14ac:dyDescent="0.25">
      <c r="S6115" s="188"/>
    </row>
    <row r="6116" spans="19:19" ht="60" customHeight="1" x14ac:dyDescent="0.25">
      <c r="S6116" s="188"/>
    </row>
    <row r="6117" spans="19:19" ht="60" customHeight="1" x14ac:dyDescent="0.25">
      <c r="S6117" s="188"/>
    </row>
    <row r="6118" spans="19:19" ht="60" customHeight="1" x14ac:dyDescent="0.25">
      <c r="S6118" s="188"/>
    </row>
    <row r="6119" spans="19:19" ht="60" customHeight="1" x14ac:dyDescent="0.25">
      <c r="S6119" s="188"/>
    </row>
    <row r="6120" spans="19:19" ht="60" customHeight="1" x14ac:dyDescent="0.25">
      <c r="S6120" s="188"/>
    </row>
    <row r="6121" spans="19:19" ht="60" customHeight="1" x14ac:dyDescent="0.25">
      <c r="S6121" s="188"/>
    </row>
    <row r="6122" spans="19:19" ht="60" customHeight="1" x14ac:dyDescent="0.25">
      <c r="S6122" s="188"/>
    </row>
    <row r="6123" spans="19:19" ht="60" customHeight="1" x14ac:dyDescent="0.25">
      <c r="S6123" s="188"/>
    </row>
    <row r="6124" spans="19:19" ht="60" customHeight="1" x14ac:dyDescent="0.25">
      <c r="S6124" s="188"/>
    </row>
    <row r="6125" spans="19:19" ht="60" customHeight="1" x14ac:dyDescent="0.25">
      <c r="S6125" s="188"/>
    </row>
    <row r="6126" spans="19:19" ht="60" customHeight="1" x14ac:dyDescent="0.25">
      <c r="S6126" s="188"/>
    </row>
    <row r="6127" spans="19:19" ht="60" customHeight="1" x14ac:dyDescent="0.25">
      <c r="S6127" s="188"/>
    </row>
    <row r="6128" spans="19:19" ht="60" customHeight="1" x14ac:dyDescent="0.25">
      <c r="S6128" s="188"/>
    </row>
    <row r="6129" spans="19:19" ht="60" customHeight="1" x14ac:dyDescent="0.25">
      <c r="S6129" s="188"/>
    </row>
    <row r="6130" spans="19:19" ht="60" customHeight="1" x14ac:dyDescent="0.25">
      <c r="S6130" s="188"/>
    </row>
    <row r="6131" spans="19:19" ht="60" customHeight="1" x14ac:dyDescent="0.25">
      <c r="S6131" s="188"/>
    </row>
    <row r="6132" spans="19:19" ht="60" customHeight="1" x14ac:dyDescent="0.25">
      <c r="S6132" s="188"/>
    </row>
    <row r="6133" spans="19:19" ht="60" customHeight="1" x14ac:dyDescent="0.25">
      <c r="S6133" s="188"/>
    </row>
    <row r="6134" spans="19:19" ht="60" customHeight="1" x14ac:dyDescent="0.25">
      <c r="S6134" s="188"/>
    </row>
    <row r="6135" spans="19:19" ht="60" customHeight="1" x14ac:dyDescent="0.25">
      <c r="S6135" s="188"/>
    </row>
    <row r="6136" spans="19:19" ht="60" customHeight="1" x14ac:dyDescent="0.25">
      <c r="S6136" s="188"/>
    </row>
    <row r="6137" spans="19:19" ht="60" customHeight="1" x14ac:dyDescent="0.25">
      <c r="S6137" s="188"/>
    </row>
    <row r="6138" spans="19:19" ht="60" customHeight="1" x14ac:dyDescent="0.25">
      <c r="S6138" s="188"/>
    </row>
    <row r="6139" spans="19:19" ht="60" customHeight="1" x14ac:dyDescent="0.25">
      <c r="S6139" s="188"/>
    </row>
    <row r="6140" spans="19:19" ht="60" customHeight="1" x14ac:dyDescent="0.25">
      <c r="S6140" s="188"/>
    </row>
    <row r="6141" spans="19:19" ht="60" customHeight="1" x14ac:dyDescent="0.25">
      <c r="S6141" s="188"/>
    </row>
    <row r="6142" spans="19:19" ht="60" customHeight="1" x14ac:dyDescent="0.25">
      <c r="S6142" s="188"/>
    </row>
    <row r="6143" spans="19:19" ht="60" customHeight="1" x14ac:dyDescent="0.25">
      <c r="S6143" s="188"/>
    </row>
    <row r="6144" spans="19:19" ht="60" customHeight="1" x14ac:dyDescent="0.25">
      <c r="S6144" s="188"/>
    </row>
    <row r="6145" spans="19:19" ht="60" customHeight="1" x14ac:dyDescent="0.25">
      <c r="S6145" s="188"/>
    </row>
    <row r="6146" spans="19:19" ht="60" customHeight="1" x14ac:dyDescent="0.25">
      <c r="S6146" s="188"/>
    </row>
    <row r="6147" spans="19:19" ht="60" customHeight="1" x14ac:dyDescent="0.25">
      <c r="S6147" s="188"/>
    </row>
    <row r="6148" spans="19:19" ht="60" customHeight="1" x14ac:dyDescent="0.25">
      <c r="S6148" s="188"/>
    </row>
    <row r="6149" spans="19:19" ht="60" customHeight="1" x14ac:dyDescent="0.25">
      <c r="S6149" s="188"/>
    </row>
    <row r="6150" spans="19:19" ht="60" customHeight="1" x14ac:dyDescent="0.25">
      <c r="S6150" s="188"/>
    </row>
    <row r="6151" spans="19:19" ht="60" customHeight="1" x14ac:dyDescent="0.25">
      <c r="S6151" s="188"/>
    </row>
    <row r="6152" spans="19:19" ht="60" customHeight="1" x14ac:dyDescent="0.25">
      <c r="S6152" s="188"/>
    </row>
    <row r="6153" spans="19:19" ht="60" customHeight="1" x14ac:dyDescent="0.25">
      <c r="S6153" s="188"/>
    </row>
    <row r="6154" spans="19:19" ht="60" customHeight="1" x14ac:dyDescent="0.25">
      <c r="S6154" s="188"/>
    </row>
    <row r="6155" spans="19:19" ht="60" customHeight="1" x14ac:dyDescent="0.25">
      <c r="S6155" s="188"/>
    </row>
    <row r="6156" spans="19:19" ht="60" customHeight="1" x14ac:dyDescent="0.25">
      <c r="S6156" s="188"/>
    </row>
    <row r="6157" spans="19:19" ht="60" customHeight="1" x14ac:dyDescent="0.25">
      <c r="S6157" s="188"/>
    </row>
    <row r="6158" spans="19:19" ht="60" customHeight="1" x14ac:dyDescent="0.25">
      <c r="S6158" s="188"/>
    </row>
    <row r="6159" spans="19:19" ht="60" customHeight="1" x14ac:dyDescent="0.25">
      <c r="S6159" s="188"/>
    </row>
    <row r="6160" spans="19:19" ht="60" customHeight="1" x14ac:dyDescent="0.25">
      <c r="S6160" s="188"/>
    </row>
    <row r="6161" spans="19:19" ht="60" customHeight="1" x14ac:dyDescent="0.25">
      <c r="S6161" s="188"/>
    </row>
    <row r="6162" spans="19:19" ht="60" customHeight="1" x14ac:dyDescent="0.25">
      <c r="S6162" s="188"/>
    </row>
    <row r="6163" spans="19:19" ht="60" customHeight="1" x14ac:dyDescent="0.25">
      <c r="S6163" s="188"/>
    </row>
    <row r="6164" spans="19:19" ht="60" customHeight="1" x14ac:dyDescent="0.25">
      <c r="S6164" s="188"/>
    </row>
    <row r="6165" spans="19:19" ht="60" customHeight="1" x14ac:dyDescent="0.25">
      <c r="S6165" s="188"/>
    </row>
    <row r="6166" spans="19:19" ht="60" customHeight="1" x14ac:dyDescent="0.25">
      <c r="S6166" s="188"/>
    </row>
    <row r="6167" spans="19:19" ht="60" customHeight="1" x14ac:dyDescent="0.25">
      <c r="S6167" s="188"/>
    </row>
    <row r="6168" spans="19:19" ht="60" customHeight="1" x14ac:dyDescent="0.25">
      <c r="S6168" s="188"/>
    </row>
    <row r="6169" spans="19:19" ht="60" customHeight="1" x14ac:dyDescent="0.25">
      <c r="S6169" s="188"/>
    </row>
    <row r="6170" spans="19:19" ht="60" customHeight="1" x14ac:dyDescent="0.25">
      <c r="S6170" s="188"/>
    </row>
    <row r="6171" spans="19:19" ht="60" customHeight="1" x14ac:dyDescent="0.25">
      <c r="S6171" s="188"/>
    </row>
    <row r="6172" spans="19:19" ht="60" customHeight="1" x14ac:dyDescent="0.25">
      <c r="S6172" s="188"/>
    </row>
    <row r="6173" spans="19:19" ht="60" customHeight="1" x14ac:dyDescent="0.25">
      <c r="S6173" s="188"/>
    </row>
    <row r="6174" spans="19:19" ht="60" customHeight="1" x14ac:dyDescent="0.25">
      <c r="S6174" s="188"/>
    </row>
    <row r="6175" spans="19:19" ht="60" customHeight="1" x14ac:dyDescent="0.25">
      <c r="S6175" s="188"/>
    </row>
    <row r="6176" spans="19:19" ht="60" customHeight="1" x14ac:dyDescent="0.25">
      <c r="S6176" s="188"/>
    </row>
    <row r="6177" spans="19:19" ht="60" customHeight="1" x14ac:dyDescent="0.25">
      <c r="S6177" s="188"/>
    </row>
    <row r="6178" spans="19:19" ht="60" customHeight="1" x14ac:dyDescent="0.25">
      <c r="S6178" s="188"/>
    </row>
    <row r="6179" spans="19:19" ht="60" customHeight="1" x14ac:dyDescent="0.25">
      <c r="S6179" s="188"/>
    </row>
    <row r="6180" spans="19:19" ht="60" customHeight="1" x14ac:dyDescent="0.25">
      <c r="S6180" s="188"/>
    </row>
    <row r="6181" spans="19:19" ht="60" customHeight="1" x14ac:dyDescent="0.25">
      <c r="S6181" s="188"/>
    </row>
    <row r="6182" spans="19:19" ht="60" customHeight="1" x14ac:dyDescent="0.25">
      <c r="S6182" s="188"/>
    </row>
    <row r="6183" spans="19:19" ht="60" customHeight="1" x14ac:dyDescent="0.25">
      <c r="S6183" s="188"/>
    </row>
    <row r="6184" spans="19:19" ht="60" customHeight="1" x14ac:dyDescent="0.25">
      <c r="S6184" s="188"/>
    </row>
    <row r="6185" spans="19:19" ht="60" customHeight="1" x14ac:dyDescent="0.25">
      <c r="S6185" s="188"/>
    </row>
    <row r="6186" spans="19:19" ht="60" customHeight="1" x14ac:dyDescent="0.25">
      <c r="S6186" s="188"/>
    </row>
    <row r="6187" spans="19:19" ht="60" customHeight="1" x14ac:dyDescent="0.25">
      <c r="S6187" s="188"/>
    </row>
    <row r="6188" spans="19:19" ht="60" customHeight="1" x14ac:dyDescent="0.25">
      <c r="S6188" s="188"/>
    </row>
    <row r="6189" spans="19:19" ht="60" customHeight="1" x14ac:dyDescent="0.25">
      <c r="S6189" s="188"/>
    </row>
    <row r="6190" spans="19:19" ht="60" customHeight="1" x14ac:dyDescent="0.25">
      <c r="S6190" s="188"/>
    </row>
    <row r="6191" spans="19:19" ht="60" customHeight="1" x14ac:dyDescent="0.25">
      <c r="S6191" s="188"/>
    </row>
    <row r="6192" spans="19:19" ht="60" customHeight="1" x14ac:dyDescent="0.25">
      <c r="S6192" s="188"/>
    </row>
    <row r="6193" spans="19:19" ht="60" customHeight="1" x14ac:dyDescent="0.25">
      <c r="S6193" s="188"/>
    </row>
    <row r="6194" spans="19:19" ht="60" customHeight="1" x14ac:dyDescent="0.25">
      <c r="S6194" s="188"/>
    </row>
    <row r="6195" spans="19:19" ht="60" customHeight="1" x14ac:dyDescent="0.25">
      <c r="S6195" s="188"/>
    </row>
    <row r="6196" spans="19:19" ht="60" customHeight="1" x14ac:dyDescent="0.25">
      <c r="S6196" s="188"/>
    </row>
    <row r="6197" spans="19:19" ht="60" customHeight="1" x14ac:dyDescent="0.25">
      <c r="S6197" s="188"/>
    </row>
    <row r="6198" spans="19:19" ht="60" customHeight="1" x14ac:dyDescent="0.25">
      <c r="S6198" s="188"/>
    </row>
    <row r="6199" spans="19:19" ht="60" customHeight="1" x14ac:dyDescent="0.25">
      <c r="S6199" s="188"/>
    </row>
    <row r="6200" spans="19:19" ht="60" customHeight="1" x14ac:dyDescent="0.25">
      <c r="S6200" s="188"/>
    </row>
    <row r="6201" spans="19:19" ht="60" customHeight="1" x14ac:dyDescent="0.25">
      <c r="S6201" s="188"/>
    </row>
    <row r="6202" spans="19:19" ht="60" customHeight="1" x14ac:dyDescent="0.25">
      <c r="S6202" s="188"/>
    </row>
    <row r="6203" spans="19:19" ht="60" customHeight="1" x14ac:dyDescent="0.25">
      <c r="S6203" s="188"/>
    </row>
    <row r="6204" spans="19:19" ht="60" customHeight="1" x14ac:dyDescent="0.25">
      <c r="S6204" s="188"/>
    </row>
    <row r="6205" spans="19:19" ht="60" customHeight="1" x14ac:dyDescent="0.25">
      <c r="S6205" s="188"/>
    </row>
    <row r="6206" spans="19:19" ht="60" customHeight="1" x14ac:dyDescent="0.25">
      <c r="S6206" s="188"/>
    </row>
    <row r="6207" spans="19:19" ht="60" customHeight="1" x14ac:dyDescent="0.25">
      <c r="S6207" s="188"/>
    </row>
    <row r="6208" spans="19:19" ht="60" customHeight="1" x14ac:dyDescent="0.25">
      <c r="S6208" s="188"/>
    </row>
    <row r="6209" spans="19:19" ht="60" customHeight="1" x14ac:dyDescent="0.25">
      <c r="S6209" s="188"/>
    </row>
    <row r="6210" spans="19:19" ht="60" customHeight="1" x14ac:dyDescent="0.25">
      <c r="S6210" s="188"/>
    </row>
    <row r="6211" spans="19:19" ht="60" customHeight="1" x14ac:dyDescent="0.25">
      <c r="S6211" s="188"/>
    </row>
    <row r="6212" spans="19:19" ht="60" customHeight="1" x14ac:dyDescent="0.25">
      <c r="S6212" s="188"/>
    </row>
    <row r="6213" spans="19:19" ht="60" customHeight="1" x14ac:dyDescent="0.25">
      <c r="S6213" s="188"/>
    </row>
    <row r="6214" spans="19:19" ht="60" customHeight="1" x14ac:dyDescent="0.25">
      <c r="S6214" s="188"/>
    </row>
    <row r="6215" spans="19:19" ht="60" customHeight="1" x14ac:dyDescent="0.25">
      <c r="S6215" s="188"/>
    </row>
    <row r="6216" spans="19:19" ht="60" customHeight="1" x14ac:dyDescent="0.25">
      <c r="S6216" s="188"/>
    </row>
    <row r="6217" spans="19:19" ht="60" customHeight="1" x14ac:dyDescent="0.25">
      <c r="S6217" s="188"/>
    </row>
    <row r="6218" spans="19:19" ht="60" customHeight="1" x14ac:dyDescent="0.25">
      <c r="S6218" s="188"/>
    </row>
    <row r="6219" spans="19:19" ht="60" customHeight="1" x14ac:dyDescent="0.25">
      <c r="S6219" s="188"/>
    </row>
    <row r="6220" spans="19:19" ht="60" customHeight="1" x14ac:dyDescent="0.25">
      <c r="S6220" s="188"/>
    </row>
    <row r="6221" spans="19:19" ht="60" customHeight="1" x14ac:dyDescent="0.25">
      <c r="S6221" s="188"/>
    </row>
    <row r="6222" spans="19:19" ht="60" customHeight="1" x14ac:dyDescent="0.25">
      <c r="S6222" s="188"/>
    </row>
    <row r="6223" spans="19:19" ht="60" customHeight="1" x14ac:dyDescent="0.25">
      <c r="S6223" s="188"/>
    </row>
    <row r="6224" spans="19:19" ht="60" customHeight="1" x14ac:dyDescent="0.25">
      <c r="S6224" s="188"/>
    </row>
    <row r="6225" spans="19:19" ht="60" customHeight="1" x14ac:dyDescent="0.25">
      <c r="S6225" s="188"/>
    </row>
    <row r="6226" spans="19:19" ht="60" customHeight="1" x14ac:dyDescent="0.25">
      <c r="S6226" s="188"/>
    </row>
    <row r="6227" spans="19:19" ht="60" customHeight="1" x14ac:dyDescent="0.25">
      <c r="S6227" s="188"/>
    </row>
    <row r="6228" spans="19:19" ht="60" customHeight="1" x14ac:dyDescent="0.25">
      <c r="S6228" s="188"/>
    </row>
    <row r="6229" spans="19:19" ht="60" customHeight="1" x14ac:dyDescent="0.25">
      <c r="S6229" s="188"/>
    </row>
    <row r="6230" spans="19:19" ht="60" customHeight="1" x14ac:dyDescent="0.25">
      <c r="S6230" s="188"/>
    </row>
    <row r="6231" spans="19:19" ht="60" customHeight="1" x14ac:dyDescent="0.25">
      <c r="S6231" s="188"/>
    </row>
    <row r="6232" spans="19:19" ht="60" customHeight="1" x14ac:dyDescent="0.25">
      <c r="S6232" s="188"/>
    </row>
    <row r="6233" spans="19:19" ht="60" customHeight="1" x14ac:dyDescent="0.25">
      <c r="S6233" s="188"/>
    </row>
    <row r="6234" spans="19:19" ht="60" customHeight="1" x14ac:dyDescent="0.25">
      <c r="S6234" s="188"/>
    </row>
    <row r="6235" spans="19:19" ht="60" customHeight="1" x14ac:dyDescent="0.25">
      <c r="S6235" s="188"/>
    </row>
    <row r="6236" spans="19:19" ht="60" customHeight="1" x14ac:dyDescent="0.25">
      <c r="S6236" s="188"/>
    </row>
    <row r="6237" spans="19:19" ht="60" customHeight="1" x14ac:dyDescent="0.25">
      <c r="S6237" s="188"/>
    </row>
    <row r="6238" spans="19:19" ht="60" customHeight="1" x14ac:dyDescent="0.25">
      <c r="S6238" s="188"/>
    </row>
    <row r="6239" spans="19:19" ht="60" customHeight="1" x14ac:dyDescent="0.25">
      <c r="S6239" s="188"/>
    </row>
    <row r="6240" spans="19:19" ht="60" customHeight="1" x14ac:dyDescent="0.25">
      <c r="S6240" s="188"/>
    </row>
    <row r="6241" spans="19:19" ht="60" customHeight="1" x14ac:dyDescent="0.25">
      <c r="S6241" s="188"/>
    </row>
    <row r="6242" spans="19:19" ht="60" customHeight="1" x14ac:dyDescent="0.25">
      <c r="S6242" s="188"/>
    </row>
    <row r="6243" spans="19:19" ht="60" customHeight="1" x14ac:dyDescent="0.25">
      <c r="S6243" s="188"/>
    </row>
    <row r="6244" spans="19:19" ht="60" customHeight="1" x14ac:dyDescent="0.25">
      <c r="S6244" s="188"/>
    </row>
    <row r="6245" spans="19:19" ht="60" customHeight="1" x14ac:dyDescent="0.25">
      <c r="S6245" s="188"/>
    </row>
    <row r="6246" spans="19:19" ht="60" customHeight="1" x14ac:dyDescent="0.25">
      <c r="S6246" s="188"/>
    </row>
    <row r="6247" spans="19:19" ht="60" customHeight="1" x14ac:dyDescent="0.25">
      <c r="S6247" s="188"/>
    </row>
    <row r="6248" spans="19:19" ht="60" customHeight="1" x14ac:dyDescent="0.25">
      <c r="S6248" s="188"/>
    </row>
    <row r="6249" spans="19:19" ht="60" customHeight="1" x14ac:dyDescent="0.25">
      <c r="S6249" s="188"/>
    </row>
    <row r="6250" spans="19:19" ht="60" customHeight="1" x14ac:dyDescent="0.25">
      <c r="S6250" s="188"/>
    </row>
    <row r="6251" spans="19:19" ht="60" customHeight="1" x14ac:dyDescent="0.25">
      <c r="S6251" s="188"/>
    </row>
    <row r="6252" spans="19:19" ht="60" customHeight="1" x14ac:dyDescent="0.25">
      <c r="S6252" s="188"/>
    </row>
    <row r="6253" spans="19:19" ht="60" customHeight="1" x14ac:dyDescent="0.25">
      <c r="S6253" s="188"/>
    </row>
    <row r="6254" spans="19:19" ht="60" customHeight="1" x14ac:dyDescent="0.25">
      <c r="S6254" s="188"/>
    </row>
    <row r="6255" spans="19:19" ht="60" customHeight="1" x14ac:dyDescent="0.25">
      <c r="S6255" s="188"/>
    </row>
    <row r="6256" spans="19:19" ht="60" customHeight="1" x14ac:dyDescent="0.25">
      <c r="S6256" s="188"/>
    </row>
    <row r="6257" spans="19:19" ht="60" customHeight="1" x14ac:dyDescent="0.25">
      <c r="S6257" s="188"/>
    </row>
    <row r="6258" spans="19:19" ht="60" customHeight="1" x14ac:dyDescent="0.25">
      <c r="S6258" s="188"/>
    </row>
    <row r="6259" spans="19:19" ht="60" customHeight="1" x14ac:dyDescent="0.25">
      <c r="S6259" s="188"/>
    </row>
    <row r="6260" spans="19:19" ht="60" customHeight="1" x14ac:dyDescent="0.25">
      <c r="S6260" s="188"/>
    </row>
    <row r="6261" spans="19:19" ht="60" customHeight="1" x14ac:dyDescent="0.25">
      <c r="S6261" s="188"/>
    </row>
    <row r="6262" spans="19:19" ht="60" customHeight="1" x14ac:dyDescent="0.25">
      <c r="S6262" s="188"/>
    </row>
    <row r="6263" spans="19:19" ht="60" customHeight="1" x14ac:dyDescent="0.25">
      <c r="S6263" s="188"/>
    </row>
    <row r="6264" spans="19:19" ht="60" customHeight="1" x14ac:dyDescent="0.25">
      <c r="S6264" s="188"/>
    </row>
    <row r="6265" spans="19:19" ht="60" customHeight="1" x14ac:dyDescent="0.25">
      <c r="S6265" s="188"/>
    </row>
    <row r="6266" spans="19:19" ht="60" customHeight="1" x14ac:dyDescent="0.25">
      <c r="S6266" s="188"/>
    </row>
    <row r="6267" spans="19:19" ht="60" customHeight="1" x14ac:dyDescent="0.25">
      <c r="S6267" s="188"/>
    </row>
    <row r="6268" spans="19:19" ht="60" customHeight="1" x14ac:dyDescent="0.25">
      <c r="S6268" s="188"/>
    </row>
    <row r="6269" spans="19:19" ht="60" customHeight="1" x14ac:dyDescent="0.25">
      <c r="S6269" s="188"/>
    </row>
    <row r="6270" spans="19:19" ht="60" customHeight="1" x14ac:dyDescent="0.25">
      <c r="S6270" s="188"/>
    </row>
    <row r="6271" spans="19:19" ht="60" customHeight="1" x14ac:dyDescent="0.25">
      <c r="S6271" s="188"/>
    </row>
    <row r="6272" spans="19:19" ht="60" customHeight="1" x14ac:dyDescent="0.25">
      <c r="S6272" s="188"/>
    </row>
    <row r="6273" spans="19:19" ht="60" customHeight="1" x14ac:dyDescent="0.25">
      <c r="S6273" s="188"/>
    </row>
    <row r="6274" spans="19:19" ht="60" customHeight="1" x14ac:dyDescent="0.25">
      <c r="S6274" s="188"/>
    </row>
    <row r="6275" spans="19:19" ht="60" customHeight="1" x14ac:dyDescent="0.25">
      <c r="S6275" s="188"/>
    </row>
    <row r="6276" spans="19:19" ht="60" customHeight="1" x14ac:dyDescent="0.25">
      <c r="S6276" s="188"/>
    </row>
    <row r="6277" spans="19:19" ht="60" customHeight="1" x14ac:dyDescent="0.25">
      <c r="S6277" s="188"/>
    </row>
    <row r="6278" spans="19:19" ht="60" customHeight="1" x14ac:dyDescent="0.25">
      <c r="S6278" s="188"/>
    </row>
    <row r="6279" spans="19:19" ht="60" customHeight="1" x14ac:dyDescent="0.25">
      <c r="S6279" s="188"/>
    </row>
    <row r="6280" spans="19:19" ht="60" customHeight="1" x14ac:dyDescent="0.25">
      <c r="S6280" s="188"/>
    </row>
    <row r="6281" spans="19:19" ht="60" customHeight="1" x14ac:dyDescent="0.25">
      <c r="S6281" s="188"/>
    </row>
    <row r="6282" spans="19:19" ht="60" customHeight="1" x14ac:dyDescent="0.25">
      <c r="S6282" s="188"/>
    </row>
    <row r="6283" spans="19:19" ht="60" customHeight="1" x14ac:dyDescent="0.25">
      <c r="S6283" s="188"/>
    </row>
    <row r="6284" spans="19:19" ht="60" customHeight="1" x14ac:dyDescent="0.25">
      <c r="S6284" s="188"/>
    </row>
    <row r="6285" spans="19:19" ht="60" customHeight="1" x14ac:dyDescent="0.25">
      <c r="S6285" s="188"/>
    </row>
    <row r="6286" spans="19:19" ht="60" customHeight="1" x14ac:dyDescent="0.25">
      <c r="S6286" s="188"/>
    </row>
    <row r="6287" spans="19:19" ht="60" customHeight="1" x14ac:dyDescent="0.25">
      <c r="S6287" s="188"/>
    </row>
    <row r="6288" spans="19:19" ht="60" customHeight="1" x14ac:dyDescent="0.25">
      <c r="S6288" s="188"/>
    </row>
    <row r="6289" spans="19:19" ht="60" customHeight="1" x14ac:dyDescent="0.25">
      <c r="S6289" s="188"/>
    </row>
    <row r="6290" spans="19:19" ht="60" customHeight="1" x14ac:dyDescent="0.25">
      <c r="S6290" s="188"/>
    </row>
    <row r="6291" spans="19:19" ht="60" customHeight="1" x14ac:dyDescent="0.25">
      <c r="S6291" s="188"/>
    </row>
    <row r="6292" spans="19:19" ht="60" customHeight="1" x14ac:dyDescent="0.25">
      <c r="S6292" s="188"/>
    </row>
    <row r="6293" spans="19:19" ht="60" customHeight="1" x14ac:dyDescent="0.25">
      <c r="S6293" s="188"/>
    </row>
    <row r="6294" spans="19:19" ht="60" customHeight="1" x14ac:dyDescent="0.25">
      <c r="S6294" s="188"/>
    </row>
    <row r="6295" spans="19:19" ht="60" customHeight="1" x14ac:dyDescent="0.25">
      <c r="S6295" s="188"/>
    </row>
    <row r="6296" spans="19:19" ht="60" customHeight="1" x14ac:dyDescent="0.25">
      <c r="S6296" s="188"/>
    </row>
    <row r="6297" spans="19:19" ht="60" customHeight="1" x14ac:dyDescent="0.25">
      <c r="S6297" s="188"/>
    </row>
    <row r="6298" spans="19:19" ht="60" customHeight="1" x14ac:dyDescent="0.25">
      <c r="S6298" s="188"/>
    </row>
    <row r="6299" spans="19:19" ht="60" customHeight="1" x14ac:dyDescent="0.25">
      <c r="S6299" s="188"/>
    </row>
    <row r="6300" spans="19:19" ht="60" customHeight="1" x14ac:dyDescent="0.25">
      <c r="S6300" s="188"/>
    </row>
    <row r="6301" spans="19:19" ht="60" customHeight="1" x14ac:dyDescent="0.25">
      <c r="S6301" s="188"/>
    </row>
    <row r="6302" spans="19:19" ht="60" customHeight="1" x14ac:dyDescent="0.25">
      <c r="S6302" s="188"/>
    </row>
    <row r="6303" spans="19:19" ht="60" customHeight="1" x14ac:dyDescent="0.25">
      <c r="S6303" s="188"/>
    </row>
    <row r="6304" spans="19:19" ht="60" customHeight="1" x14ac:dyDescent="0.25">
      <c r="S6304" s="188"/>
    </row>
    <row r="6305" spans="19:19" ht="60" customHeight="1" x14ac:dyDescent="0.25">
      <c r="S6305" s="188"/>
    </row>
    <row r="6306" spans="19:19" ht="60" customHeight="1" x14ac:dyDescent="0.25">
      <c r="S6306" s="188"/>
    </row>
    <row r="6307" spans="19:19" ht="60" customHeight="1" x14ac:dyDescent="0.25">
      <c r="S6307" s="188"/>
    </row>
    <row r="6308" spans="19:19" ht="60" customHeight="1" x14ac:dyDescent="0.25">
      <c r="S6308" s="188"/>
    </row>
    <row r="6309" spans="19:19" ht="60" customHeight="1" x14ac:dyDescent="0.25">
      <c r="S6309" s="188"/>
    </row>
    <row r="6310" spans="19:19" ht="60" customHeight="1" x14ac:dyDescent="0.25">
      <c r="S6310" s="188"/>
    </row>
    <row r="6311" spans="19:19" ht="60" customHeight="1" x14ac:dyDescent="0.25">
      <c r="S6311" s="188"/>
    </row>
    <row r="6312" spans="19:19" ht="60" customHeight="1" x14ac:dyDescent="0.25">
      <c r="S6312" s="188"/>
    </row>
    <row r="6313" spans="19:19" ht="60" customHeight="1" x14ac:dyDescent="0.25">
      <c r="S6313" s="188"/>
    </row>
    <row r="6314" spans="19:19" ht="60" customHeight="1" x14ac:dyDescent="0.25">
      <c r="S6314" s="188"/>
    </row>
    <row r="6315" spans="19:19" ht="60" customHeight="1" x14ac:dyDescent="0.25">
      <c r="S6315" s="188"/>
    </row>
    <row r="6316" spans="19:19" ht="60" customHeight="1" x14ac:dyDescent="0.25">
      <c r="S6316" s="188"/>
    </row>
    <row r="6317" spans="19:19" ht="60" customHeight="1" x14ac:dyDescent="0.25">
      <c r="S6317" s="188"/>
    </row>
    <row r="6318" spans="19:19" ht="60" customHeight="1" x14ac:dyDescent="0.25">
      <c r="S6318" s="188"/>
    </row>
    <row r="6319" spans="19:19" ht="60" customHeight="1" x14ac:dyDescent="0.25">
      <c r="S6319" s="188"/>
    </row>
    <row r="6320" spans="19:19" ht="60" customHeight="1" x14ac:dyDescent="0.25">
      <c r="S6320" s="188"/>
    </row>
    <row r="6321" spans="19:19" ht="60" customHeight="1" x14ac:dyDescent="0.25">
      <c r="S6321" s="188"/>
    </row>
    <row r="6322" spans="19:19" ht="60" customHeight="1" x14ac:dyDescent="0.25">
      <c r="S6322" s="188"/>
    </row>
    <row r="6323" spans="19:19" ht="60" customHeight="1" x14ac:dyDescent="0.25">
      <c r="S6323" s="188"/>
    </row>
    <row r="6324" spans="19:19" ht="60" customHeight="1" x14ac:dyDescent="0.25">
      <c r="S6324" s="188"/>
    </row>
    <row r="6325" spans="19:19" ht="60" customHeight="1" x14ac:dyDescent="0.25">
      <c r="S6325" s="188"/>
    </row>
    <row r="6326" spans="19:19" ht="60" customHeight="1" x14ac:dyDescent="0.25">
      <c r="S6326" s="188"/>
    </row>
    <row r="6327" spans="19:19" ht="60" customHeight="1" x14ac:dyDescent="0.25">
      <c r="S6327" s="188"/>
    </row>
    <row r="6328" spans="19:19" ht="60" customHeight="1" x14ac:dyDescent="0.25">
      <c r="S6328" s="188"/>
    </row>
    <row r="6329" spans="19:19" ht="60" customHeight="1" x14ac:dyDescent="0.25">
      <c r="S6329" s="188"/>
    </row>
    <row r="6330" spans="19:19" ht="60" customHeight="1" x14ac:dyDescent="0.25">
      <c r="S6330" s="188"/>
    </row>
    <row r="6331" spans="19:19" ht="60" customHeight="1" x14ac:dyDescent="0.25">
      <c r="S6331" s="188"/>
    </row>
    <row r="6332" spans="19:19" ht="60" customHeight="1" x14ac:dyDescent="0.25">
      <c r="S6332" s="188"/>
    </row>
    <row r="6333" spans="19:19" ht="60" customHeight="1" x14ac:dyDescent="0.25">
      <c r="S6333" s="188"/>
    </row>
    <row r="6334" spans="19:19" ht="60" customHeight="1" x14ac:dyDescent="0.25">
      <c r="S6334" s="188"/>
    </row>
    <row r="6335" spans="19:19" ht="60" customHeight="1" x14ac:dyDescent="0.25">
      <c r="S6335" s="188"/>
    </row>
    <row r="6336" spans="19:19" ht="60" customHeight="1" x14ac:dyDescent="0.25">
      <c r="S6336" s="188"/>
    </row>
    <row r="6337" spans="19:19" ht="60" customHeight="1" x14ac:dyDescent="0.25">
      <c r="S6337" s="188"/>
    </row>
    <row r="6338" spans="19:19" ht="60" customHeight="1" x14ac:dyDescent="0.25">
      <c r="S6338" s="188"/>
    </row>
    <row r="6339" spans="19:19" ht="60" customHeight="1" x14ac:dyDescent="0.25">
      <c r="S6339" s="188"/>
    </row>
    <row r="6340" spans="19:19" ht="60" customHeight="1" x14ac:dyDescent="0.25">
      <c r="S6340" s="188"/>
    </row>
    <row r="6341" spans="19:19" ht="60" customHeight="1" x14ac:dyDescent="0.25">
      <c r="S6341" s="188"/>
    </row>
    <row r="6342" spans="19:19" ht="60" customHeight="1" x14ac:dyDescent="0.25">
      <c r="S6342" s="188"/>
    </row>
    <row r="6343" spans="19:19" ht="60" customHeight="1" x14ac:dyDescent="0.25">
      <c r="S6343" s="188"/>
    </row>
    <row r="6344" spans="19:19" ht="60" customHeight="1" x14ac:dyDescent="0.25">
      <c r="S6344" s="188"/>
    </row>
    <row r="6345" spans="19:19" ht="60" customHeight="1" x14ac:dyDescent="0.25">
      <c r="S6345" s="188"/>
    </row>
    <row r="6346" spans="19:19" ht="60" customHeight="1" x14ac:dyDescent="0.25">
      <c r="S6346" s="188"/>
    </row>
    <row r="6347" spans="19:19" ht="60" customHeight="1" x14ac:dyDescent="0.25">
      <c r="S6347" s="188"/>
    </row>
    <row r="6348" spans="19:19" ht="60" customHeight="1" x14ac:dyDescent="0.25">
      <c r="S6348" s="188"/>
    </row>
    <row r="6349" spans="19:19" ht="60" customHeight="1" x14ac:dyDescent="0.25">
      <c r="S6349" s="188"/>
    </row>
    <row r="6350" spans="19:19" ht="60" customHeight="1" x14ac:dyDescent="0.25">
      <c r="S6350" s="188"/>
    </row>
    <row r="6351" spans="19:19" ht="60" customHeight="1" x14ac:dyDescent="0.25">
      <c r="S6351" s="188"/>
    </row>
    <row r="6352" spans="19:19" ht="60" customHeight="1" x14ac:dyDescent="0.25">
      <c r="S6352" s="188"/>
    </row>
    <row r="6353" spans="19:19" ht="60" customHeight="1" x14ac:dyDescent="0.25">
      <c r="S6353" s="188"/>
    </row>
    <row r="6354" spans="19:19" ht="60" customHeight="1" x14ac:dyDescent="0.25">
      <c r="S6354" s="188"/>
    </row>
    <row r="6355" spans="19:19" ht="60" customHeight="1" x14ac:dyDescent="0.25">
      <c r="S6355" s="188"/>
    </row>
    <row r="6356" spans="19:19" ht="60" customHeight="1" x14ac:dyDescent="0.25">
      <c r="S6356" s="188"/>
    </row>
    <row r="6357" spans="19:19" ht="60" customHeight="1" x14ac:dyDescent="0.25">
      <c r="S6357" s="188"/>
    </row>
    <row r="6358" spans="19:19" ht="60" customHeight="1" x14ac:dyDescent="0.25">
      <c r="S6358" s="188"/>
    </row>
    <row r="6359" spans="19:19" ht="60" customHeight="1" x14ac:dyDescent="0.25">
      <c r="S6359" s="188"/>
    </row>
    <row r="6360" spans="19:19" ht="60" customHeight="1" x14ac:dyDescent="0.25">
      <c r="S6360" s="188"/>
    </row>
    <row r="6361" spans="19:19" ht="60" customHeight="1" x14ac:dyDescent="0.25">
      <c r="S6361" s="188"/>
    </row>
    <row r="6362" spans="19:19" ht="60" customHeight="1" x14ac:dyDescent="0.25">
      <c r="S6362" s="188"/>
    </row>
    <row r="6363" spans="19:19" ht="60" customHeight="1" x14ac:dyDescent="0.25">
      <c r="S6363" s="188"/>
    </row>
    <row r="6364" spans="19:19" ht="60" customHeight="1" x14ac:dyDescent="0.25">
      <c r="S6364" s="188"/>
    </row>
    <row r="6365" spans="19:19" ht="60" customHeight="1" x14ac:dyDescent="0.25">
      <c r="S6365" s="188"/>
    </row>
    <row r="6366" spans="19:19" ht="60" customHeight="1" x14ac:dyDescent="0.25">
      <c r="S6366" s="188"/>
    </row>
    <row r="6367" spans="19:19" ht="60" customHeight="1" x14ac:dyDescent="0.25">
      <c r="S6367" s="188"/>
    </row>
    <row r="6368" spans="19:19" ht="60" customHeight="1" x14ac:dyDescent="0.25">
      <c r="S6368" s="188"/>
    </row>
    <row r="6369" spans="19:19" ht="60" customHeight="1" x14ac:dyDescent="0.25">
      <c r="S6369" s="188"/>
    </row>
    <row r="6370" spans="19:19" ht="60" customHeight="1" x14ac:dyDescent="0.25">
      <c r="S6370" s="188"/>
    </row>
    <row r="6371" spans="19:19" ht="60" customHeight="1" x14ac:dyDescent="0.25">
      <c r="S6371" s="188"/>
    </row>
    <row r="6372" spans="19:19" ht="60" customHeight="1" x14ac:dyDescent="0.25">
      <c r="S6372" s="188"/>
    </row>
    <row r="6373" spans="19:19" ht="60" customHeight="1" x14ac:dyDescent="0.25">
      <c r="S6373" s="188"/>
    </row>
    <row r="6374" spans="19:19" ht="60" customHeight="1" x14ac:dyDescent="0.25">
      <c r="S6374" s="188"/>
    </row>
    <row r="6375" spans="19:19" ht="60" customHeight="1" x14ac:dyDescent="0.25">
      <c r="S6375" s="188"/>
    </row>
    <row r="6376" spans="19:19" ht="60" customHeight="1" x14ac:dyDescent="0.25">
      <c r="S6376" s="188"/>
    </row>
    <row r="6377" spans="19:19" ht="60" customHeight="1" x14ac:dyDescent="0.25">
      <c r="S6377" s="188"/>
    </row>
    <row r="6378" spans="19:19" ht="60" customHeight="1" x14ac:dyDescent="0.25">
      <c r="S6378" s="188"/>
    </row>
    <row r="6379" spans="19:19" ht="60" customHeight="1" x14ac:dyDescent="0.25">
      <c r="S6379" s="188"/>
    </row>
    <row r="6380" spans="19:19" ht="60" customHeight="1" x14ac:dyDescent="0.25">
      <c r="S6380" s="188"/>
    </row>
    <row r="6381" spans="19:19" ht="60" customHeight="1" x14ac:dyDescent="0.25">
      <c r="S6381" s="188"/>
    </row>
    <row r="6382" spans="19:19" ht="60" customHeight="1" x14ac:dyDescent="0.25">
      <c r="S6382" s="188"/>
    </row>
    <row r="6383" spans="19:19" ht="60" customHeight="1" x14ac:dyDescent="0.25">
      <c r="S6383" s="188"/>
    </row>
    <row r="6384" spans="19:19" ht="60" customHeight="1" x14ac:dyDescent="0.25">
      <c r="S6384" s="188"/>
    </row>
    <row r="6385" spans="19:19" ht="60" customHeight="1" x14ac:dyDescent="0.25">
      <c r="S6385" s="188"/>
    </row>
    <row r="6386" spans="19:19" ht="60" customHeight="1" x14ac:dyDescent="0.25">
      <c r="S6386" s="188"/>
    </row>
    <row r="6387" spans="19:19" ht="60" customHeight="1" x14ac:dyDescent="0.25">
      <c r="S6387" s="188"/>
    </row>
    <row r="6388" spans="19:19" ht="60" customHeight="1" x14ac:dyDescent="0.25">
      <c r="S6388" s="188"/>
    </row>
    <row r="6389" spans="19:19" ht="60" customHeight="1" x14ac:dyDescent="0.25">
      <c r="S6389" s="188"/>
    </row>
    <row r="6390" spans="19:19" ht="60" customHeight="1" x14ac:dyDescent="0.25">
      <c r="S6390" s="188"/>
    </row>
    <row r="6391" spans="19:19" ht="60" customHeight="1" x14ac:dyDescent="0.25">
      <c r="S6391" s="188"/>
    </row>
    <row r="6392" spans="19:19" ht="60" customHeight="1" x14ac:dyDescent="0.25">
      <c r="S6392" s="188"/>
    </row>
    <row r="6393" spans="19:19" ht="60" customHeight="1" x14ac:dyDescent="0.25">
      <c r="S6393" s="188"/>
    </row>
    <row r="6394" spans="19:19" ht="60" customHeight="1" x14ac:dyDescent="0.25">
      <c r="S6394" s="188"/>
    </row>
    <row r="6395" spans="19:19" ht="60" customHeight="1" x14ac:dyDescent="0.25">
      <c r="S6395" s="188"/>
    </row>
    <row r="6396" spans="19:19" ht="60" customHeight="1" x14ac:dyDescent="0.25">
      <c r="S6396" s="188"/>
    </row>
    <row r="6397" spans="19:19" ht="60" customHeight="1" x14ac:dyDescent="0.25">
      <c r="S6397" s="188"/>
    </row>
    <row r="6398" spans="19:19" ht="60" customHeight="1" x14ac:dyDescent="0.25">
      <c r="S6398" s="188"/>
    </row>
    <row r="6399" spans="19:19" ht="60" customHeight="1" x14ac:dyDescent="0.25">
      <c r="S6399" s="188"/>
    </row>
    <row r="6400" spans="19:19" ht="60" customHeight="1" x14ac:dyDescent="0.25">
      <c r="S6400" s="188"/>
    </row>
    <row r="6401" spans="19:19" ht="60" customHeight="1" x14ac:dyDescent="0.25">
      <c r="S6401" s="188"/>
    </row>
    <row r="6402" spans="19:19" ht="60" customHeight="1" x14ac:dyDescent="0.25">
      <c r="S6402" s="188"/>
    </row>
    <row r="6403" spans="19:19" ht="60" customHeight="1" x14ac:dyDescent="0.25">
      <c r="S6403" s="188"/>
    </row>
    <row r="6404" spans="19:19" ht="60" customHeight="1" x14ac:dyDescent="0.25">
      <c r="S6404" s="188"/>
    </row>
    <row r="6405" spans="19:19" ht="60" customHeight="1" x14ac:dyDescent="0.25">
      <c r="S6405" s="188"/>
    </row>
    <row r="6406" spans="19:19" ht="60" customHeight="1" x14ac:dyDescent="0.25">
      <c r="S6406" s="188"/>
    </row>
    <row r="6407" spans="19:19" ht="60" customHeight="1" x14ac:dyDescent="0.25">
      <c r="S6407" s="188"/>
    </row>
    <row r="6408" spans="19:19" ht="60" customHeight="1" x14ac:dyDescent="0.25">
      <c r="S6408" s="188"/>
    </row>
    <row r="6409" spans="19:19" ht="60" customHeight="1" x14ac:dyDescent="0.25">
      <c r="S6409" s="188"/>
    </row>
    <row r="6410" spans="19:19" ht="60" customHeight="1" x14ac:dyDescent="0.25">
      <c r="S6410" s="188"/>
    </row>
    <row r="6411" spans="19:19" ht="60" customHeight="1" x14ac:dyDescent="0.25">
      <c r="S6411" s="188"/>
    </row>
    <row r="6412" spans="19:19" ht="60" customHeight="1" x14ac:dyDescent="0.25">
      <c r="S6412" s="188"/>
    </row>
    <row r="6413" spans="19:19" ht="60" customHeight="1" x14ac:dyDescent="0.25">
      <c r="S6413" s="188"/>
    </row>
    <row r="6414" spans="19:19" ht="60" customHeight="1" x14ac:dyDescent="0.25">
      <c r="S6414" s="188"/>
    </row>
    <row r="6415" spans="19:19" ht="60" customHeight="1" x14ac:dyDescent="0.25">
      <c r="S6415" s="188"/>
    </row>
    <row r="6416" spans="19:19" ht="60" customHeight="1" x14ac:dyDescent="0.25">
      <c r="S6416" s="188"/>
    </row>
    <row r="6417" spans="19:19" ht="60" customHeight="1" x14ac:dyDescent="0.25">
      <c r="S6417" s="188"/>
    </row>
    <row r="6418" spans="19:19" ht="60" customHeight="1" x14ac:dyDescent="0.25">
      <c r="S6418" s="188"/>
    </row>
    <row r="6419" spans="19:19" ht="60" customHeight="1" x14ac:dyDescent="0.25">
      <c r="S6419" s="188"/>
    </row>
    <row r="6420" spans="19:19" ht="60" customHeight="1" x14ac:dyDescent="0.25">
      <c r="S6420" s="188"/>
    </row>
    <row r="6421" spans="19:19" ht="60" customHeight="1" x14ac:dyDescent="0.25">
      <c r="S6421" s="188"/>
    </row>
    <row r="6422" spans="19:19" ht="60" customHeight="1" x14ac:dyDescent="0.25">
      <c r="S6422" s="188"/>
    </row>
    <row r="6423" spans="19:19" ht="60" customHeight="1" x14ac:dyDescent="0.25">
      <c r="S6423" s="188"/>
    </row>
    <row r="6424" spans="19:19" ht="60" customHeight="1" x14ac:dyDescent="0.25">
      <c r="S6424" s="188"/>
    </row>
    <row r="6425" spans="19:19" ht="60" customHeight="1" x14ac:dyDescent="0.25">
      <c r="S6425" s="188"/>
    </row>
    <row r="6426" spans="19:19" ht="60" customHeight="1" x14ac:dyDescent="0.25">
      <c r="S6426" s="188"/>
    </row>
    <row r="6427" spans="19:19" ht="60" customHeight="1" x14ac:dyDescent="0.25">
      <c r="S6427" s="188"/>
    </row>
    <row r="6428" spans="19:19" ht="60" customHeight="1" x14ac:dyDescent="0.25">
      <c r="S6428" s="188"/>
    </row>
    <row r="6429" spans="19:19" ht="60" customHeight="1" x14ac:dyDescent="0.25">
      <c r="S6429" s="188"/>
    </row>
    <row r="6430" spans="19:19" ht="60" customHeight="1" x14ac:dyDescent="0.25">
      <c r="S6430" s="188"/>
    </row>
    <row r="6431" spans="19:19" ht="60" customHeight="1" x14ac:dyDescent="0.25">
      <c r="S6431" s="188"/>
    </row>
    <row r="6432" spans="19:19" ht="60" customHeight="1" x14ac:dyDescent="0.25">
      <c r="S6432" s="188"/>
    </row>
    <row r="6433" spans="19:19" ht="60" customHeight="1" x14ac:dyDescent="0.25">
      <c r="S6433" s="188"/>
    </row>
    <row r="6434" spans="19:19" ht="60" customHeight="1" x14ac:dyDescent="0.25">
      <c r="S6434" s="188"/>
    </row>
    <row r="6435" spans="19:19" ht="60" customHeight="1" x14ac:dyDescent="0.25">
      <c r="S6435" s="188"/>
    </row>
    <row r="6436" spans="19:19" ht="60" customHeight="1" x14ac:dyDescent="0.25">
      <c r="S6436" s="188"/>
    </row>
    <row r="6437" spans="19:19" ht="60" customHeight="1" x14ac:dyDescent="0.25">
      <c r="S6437" s="188"/>
    </row>
    <row r="6438" spans="19:19" ht="60" customHeight="1" x14ac:dyDescent="0.25">
      <c r="S6438" s="188"/>
    </row>
    <row r="6439" spans="19:19" ht="60" customHeight="1" x14ac:dyDescent="0.25">
      <c r="S6439" s="188"/>
    </row>
    <row r="6440" spans="19:19" ht="60" customHeight="1" x14ac:dyDescent="0.25">
      <c r="S6440" s="188"/>
    </row>
    <row r="6441" spans="19:19" ht="60" customHeight="1" x14ac:dyDescent="0.25">
      <c r="S6441" s="188"/>
    </row>
    <row r="6442" spans="19:19" ht="60" customHeight="1" x14ac:dyDescent="0.25">
      <c r="S6442" s="188"/>
    </row>
    <row r="6443" spans="19:19" ht="60" customHeight="1" x14ac:dyDescent="0.25">
      <c r="S6443" s="188"/>
    </row>
    <row r="6444" spans="19:19" ht="60" customHeight="1" x14ac:dyDescent="0.25">
      <c r="S6444" s="188"/>
    </row>
    <row r="6445" spans="19:19" ht="60" customHeight="1" x14ac:dyDescent="0.25">
      <c r="S6445" s="188"/>
    </row>
    <row r="6446" spans="19:19" ht="60" customHeight="1" x14ac:dyDescent="0.25">
      <c r="S6446" s="188"/>
    </row>
    <row r="6447" spans="19:19" ht="60" customHeight="1" x14ac:dyDescent="0.25">
      <c r="S6447" s="188"/>
    </row>
    <row r="6448" spans="19:19" ht="60" customHeight="1" x14ac:dyDescent="0.25">
      <c r="S6448" s="188"/>
    </row>
    <row r="6449" spans="19:19" ht="60" customHeight="1" x14ac:dyDescent="0.25">
      <c r="S6449" s="188"/>
    </row>
    <row r="6450" spans="19:19" ht="60" customHeight="1" x14ac:dyDescent="0.25">
      <c r="S6450" s="188"/>
    </row>
    <row r="6451" spans="19:19" ht="60" customHeight="1" x14ac:dyDescent="0.25">
      <c r="S6451" s="188"/>
    </row>
    <row r="6452" spans="19:19" ht="60" customHeight="1" x14ac:dyDescent="0.25">
      <c r="S6452" s="188"/>
    </row>
    <row r="6453" spans="19:19" ht="60" customHeight="1" x14ac:dyDescent="0.25">
      <c r="S6453" s="188"/>
    </row>
    <row r="6454" spans="19:19" ht="60" customHeight="1" x14ac:dyDescent="0.25">
      <c r="S6454" s="188"/>
    </row>
    <row r="6455" spans="19:19" ht="60" customHeight="1" x14ac:dyDescent="0.25">
      <c r="S6455" s="188"/>
    </row>
    <row r="6456" spans="19:19" ht="60" customHeight="1" x14ac:dyDescent="0.25">
      <c r="S6456" s="188"/>
    </row>
    <row r="6457" spans="19:19" ht="60" customHeight="1" x14ac:dyDescent="0.25">
      <c r="S6457" s="188"/>
    </row>
    <row r="6458" spans="19:19" ht="60" customHeight="1" x14ac:dyDescent="0.25">
      <c r="S6458" s="188"/>
    </row>
    <row r="6459" spans="19:19" ht="60" customHeight="1" x14ac:dyDescent="0.25">
      <c r="S6459" s="188"/>
    </row>
    <row r="6460" spans="19:19" ht="60" customHeight="1" x14ac:dyDescent="0.25">
      <c r="S6460" s="188"/>
    </row>
    <row r="6461" spans="19:19" ht="60" customHeight="1" x14ac:dyDescent="0.25">
      <c r="S6461" s="188"/>
    </row>
    <row r="6462" spans="19:19" ht="60" customHeight="1" x14ac:dyDescent="0.25">
      <c r="S6462" s="188"/>
    </row>
    <row r="6463" spans="19:19" ht="60" customHeight="1" x14ac:dyDescent="0.25">
      <c r="S6463" s="188"/>
    </row>
    <row r="6464" spans="19:19" ht="60" customHeight="1" x14ac:dyDescent="0.25">
      <c r="S6464" s="188"/>
    </row>
    <row r="6465" spans="19:19" ht="60" customHeight="1" x14ac:dyDescent="0.25">
      <c r="S6465" s="188"/>
    </row>
    <row r="6466" spans="19:19" ht="60" customHeight="1" x14ac:dyDescent="0.25">
      <c r="S6466" s="188"/>
    </row>
    <row r="6467" spans="19:19" ht="60" customHeight="1" x14ac:dyDescent="0.25">
      <c r="S6467" s="188"/>
    </row>
    <row r="6468" spans="19:19" ht="60" customHeight="1" x14ac:dyDescent="0.25">
      <c r="S6468" s="188"/>
    </row>
    <row r="6469" spans="19:19" ht="60" customHeight="1" x14ac:dyDescent="0.25">
      <c r="S6469" s="188"/>
    </row>
    <row r="6470" spans="19:19" ht="60" customHeight="1" x14ac:dyDescent="0.25">
      <c r="S6470" s="188"/>
    </row>
    <row r="6471" spans="19:19" ht="60" customHeight="1" x14ac:dyDescent="0.25">
      <c r="S6471" s="188"/>
    </row>
    <row r="6472" spans="19:19" ht="60" customHeight="1" x14ac:dyDescent="0.25">
      <c r="S6472" s="188"/>
    </row>
    <row r="6473" spans="19:19" ht="60" customHeight="1" x14ac:dyDescent="0.25">
      <c r="S6473" s="188"/>
    </row>
    <row r="6474" spans="19:19" ht="60" customHeight="1" x14ac:dyDescent="0.25">
      <c r="S6474" s="188"/>
    </row>
    <row r="6475" spans="19:19" ht="60" customHeight="1" x14ac:dyDescent="0.25">
      <c r="S6475" s="188"/>
    </row>
    <row r="6476" spans="19:19" ht="60" customHeight="1" x14ac:dyDescent="0.25">
      <c r="S6476" s="188"/>
    </row>
    <row r="6477" spans="19:19" ht="60" customHeight="1" x14ac:dyDescent="0.25">
      <c r="S6477" s="188"/>
    </row>
    <row r="6478" spans="19:19" ht="60" customHeight="1" x14ac:dyDescent="0.25">
      <c r="S6478" s="188"/>
    </row>
    <row r="6479" spans="19:19" ht="60" customHeight="1" x14ac:dyDescent="0.25">
      <c r="S6479" s="188"/>
    </row>
    <row r="6480" spans="19:19" ht="60" customHeight="1" x14ac:dyDescent="0.25">
      <c r="S6480" s="188"/>
    </row>
    <row r="6481" spans="19:19" ht="60" customHeight="1" x14ac:dyDescent="0.25">
      <c r="S6481" s="188"/>
    </row>
    <row r="6482" spans="19:19" ht="60" customHeight="1" x14ac:dyDescent="0.25">
      <c r="S6482" s="188"/>
    </row>
    <row r="6483" spans="19:19" ht="60" customHeight="1" x14ac:dyDescent="0.25">
      <c r="S6483" s="188"/>
    </row>
    <row r="6484" spans="19:19" ht="60" customHeight="1" x14ac:dyDescent="0.25">
      <c r="S6484" s="188"/>
    </row>
    <row r="6485" spans="19:19" ht="60" customHeight="1" x14ac:dyDescent="0.25">
      <c r="S6485" s="188"/>
    </row>
    <row r="6486" spans="19:19" ht="60" customHeight="1" x14ac:dyDescent="0.25">
      <c r="S6486" s="188"/>
    </row>
    <row r="6487" spans="19:19" ht="60" customHeight="1" x14ac:dyDescent="0.25">
      <c r="S6487" s="188"/>
    </row>
    <row r="6488" spans="19:19" ht="60" customHeight="1" x14ac:dyDescent="0.25">
      <c r="S6488" s="188"/>
    </row>
    <row r="6489" spans="19:19" ht="60" customHeight="1" x14ac:dyDescent="0.25">
      <c r="S6489" s="188"/>
    </row>
    <row r="6490" spans="19:19" ht="60" customHeight="1" x14ac:dyDescent="0.25">
      <c r="S6490" s="188"/>
    </row>
    <row r="6491" spans="19:19" ht="60" customHeight="1" x14ac:dyDescent="0.25">
      <c r="S6491" s="188"/>
    </row>
    <row r="6492" spans="19:19" ht="60" customHeight="1" x14ac:dyDescent="0.25">
      <c r="S6492" s="188"/>
    </row>
    <row r="6493" spans="19:19" ht="60" customHeight="1" x14ac:dyDescent="0.25">
      <c r="S6493" s="188"/>
    </row>
    <row r="6494" spans="19:19" ht="60" customHeight="1" x14ac:dyDescent="0.25">
      <c r="S6494" s="188"/>
    </row>
    <row r="6495" spans="19:19" ht="60" customHeight="1" x14ac:dyDescent="0.25">
      <c r="S6495" s="188"/>
    </row>
    <row r="6496" spans="19:19" ht="60" customHeight="1" x14ac:dyDescent="0.25">
      <c r="S6496" s="188"/>
    </row>
    <row r="6497" spans="19:19" ht="60" customHeight="1" x14ac:dyDescent="0.25">
      <c r="S6497" s="188"/>
    </row>
    <row r="6498" spans="19:19" ht="60" customHeight="1" x14ac:dyDescent="0.25">
      <c r="S6498" s="188"/>
    </row>
    <row r="6499" spans="19:19" ht="60" customHeight="1" x14ac:dyDescent="0.25">
      <c r="S6499" s="188"/>
    </row>
    <row r="6500" spans="19:19" ht="60" customHeight="1" x14ac:dyDescent="0.25">
      <c r="S6500" s="188"/>
    </row>
    <row r="6501" spans="19:19" ht="60" customHeight="1" x14ac:dyDescent="0.25">
      <c r="S6501" s="188"/>
    </row>
    <row r="6502" spans="19:19" ht="60" customHeight="1" x14ac:dyDescent="0.25">
      <c r="S6502" s="188"/>
    </row>
    <row r="6503" spans="19:19" ht="60" customHeight="1" x14ac:dyDescent="0.25">
      <c r="S6503" s="188"/>
    </row>
    <row r="6504" spans="19:19" ht="60" customHeight="1" x14ac:dyDescent="0.25">
      <c r="S6504" s="188"/>
    </row>
    <row r="6505" spans="19:19" ht="60" customHeight="1" x14ac:dyDescent="0.25">
      <c r="S6505" s="188"/>
    </row>
    <row r="6506" spans="19:19" ht="60" customHeight="1" x14ac:dyDescent="0.25">
      <c r="S6506" s="188"/>
    </row>
    <row r="6507" spans="19:19" ht="60" customHeight="1" x14ac:dyDescent="0.25">
      <c r="S6507" s="188"/>
    </row>
    <row r="6508" spans="19:19" ht="60" customHeight="1" x14ac:dyDescent="0.25">
      <c r="S6508" s="188"/>
    </row>
    <row r="6509" spans="19:19" ht="60" customHeight="1" x14ac:dyDescent="0.25">
      <c r="S6509" s="188"/>
    </row>
    <row r="6510" spans="19:19" ht="60" customHeight="1" x14ac:dyDescent="0.25">
      <c r="S6510" s="188"/>
    </row>
    <row r="6511" spans="19:19" ht="60" customHeight="1" x14ac:dyDescent="0.25">
      <c r="S6511" s="188"/>
    </row>
    <row r="6512" spans="19:19" ht="60" customHeight="1" x14ac:dyDescent="0.25">
      <c r="S6512" s="188"/>
    </row>
    <row r="6513" spans="19:19" ht="60" customHeight="1" x14ac:dyDescent="0.25">
      <c r="S6513" s="188"/>
    </row>
    <row r="6514" spans="19:19" ht="60" customHeight="1" x14ac:dyDescent="0.25">
      <c r="S6514" s="188"/>
    </row>
    <row r="6515" spans="19:19" ht="60" customHeight="1" x14ac:dyDescent="0.25">
      <c r="S6515" s="188"/>
    </row>
    <row r="6516" spans="19:19" ht="60" customHeight="1" x14ac:dyDescent="0.25">
      <c r="S6516" s="188"/>
    </row>
    <row r="6517" spans="19:19" ht="60" customHeight="1" x14ac:dyDescent="0.25">
      <c r="S6517" s="188"/>
    </row>
    <row r="6518" spans="19:19" ht="60" customHeight="1" x14ac:dyDescent="0.25">
      <c r="S6518" s="188"/>
    </row>
    <row r="6519" spans="19:19" ht="60" customHeight="1" x14ac:dyDescent="0.25">
      <c r="S6519" s="188"/>
    </row>
    <row r="6520" spans="19:19" ht="60" customHeight="1" x14ac:dyDescent="0.25">
      <c r="S6520" s="188"/>
    </row>
    <row r="6521" spans="19:19" ht="60" customHeight="1" x14ac:dyDescent="0.25">
      <c r="S6521" s="188"/>
    </row>
    <row r="6522" spans="19:19" ht="60" customHeight="1" x14ac:dyDescent="0.25">
      <c r="S6522" s="188"/>
    </row>
    <row r="6523" spans="19:19" ht="60" customHeight="1" x14ac:dyDescent="0.25">
      <c r="S6523" s="188"/>
    </row>
    <row r="6524" spans="19:19" ht="60" customHeight="1" x14ac:dyDescent="0.25">
      <c r="S6524" s="188"/>
    </row>
    <row r="6525" spans="19:19" ht="60" customHeight="1" x14ac:dyDescent="0.25">
      <c r="S6525" s="188"/>
    </row>
    <row r="6526" spans="19:19" ht="60" customHeight="1" x14ac:dyDescent="0.25">
      <c r="S6526" s="188"/>
    </row>
    <row r="6527" spans="19:19" ht="60" customHeight="1" x14ac:dyDescent="0.25">
      <c r="S6527" s="188"/>
    </row>
    <row r="6528" spans="19:19" ht="60" customHeight="1" x14ac:dyDescent="0.25">
      <c r="S6528" s="188"/>
    </row>
    <row r="6529" spans="19:19" ht="60" customHeight="1" x14ac:dyDescent="0.25">
      <c r="S6529" s="188"/>
    </row>
    <row r="6530" spans="19:19" ht="60" customHeight="1" x14ac:dyDescent="0.25">
      <c r="S6530" s="188"/>
    </row>
    <row r="6531" spans="19:19" ht="60" customHeight="1" x14ac:dyDescent="0.25">
      <c r="S6531" s="188"/>
    </row>
    <row r="6532" spans="19:19" ht="60" customHeight="1" x14ac:dyDescent="0.25">
      <c r="S6532" s="188"/>
    </row>
    <row r="6533" spans="19:19" ht="60" customHeight="1" x14ac:dyDescent="0.25">
      <c r="S6533" s="188"/>
    </row>
    <row r="6534" spans="19:19" ht="60" customHeight="1" x14ac:dyDescent="0.25">
      <c r="S6534" s="188"/>
    </row>
    <row r="6535" spans="19:19" ht="60" customHeight="1" x14ac:dyDescent="0.25">
      <c r="S6535" s="188"/>
    </row>
    <row r="6536" spans="19:19" ht="60" customHeight="1" x14ac:dyDescent="0.25">
      <c r="S6536" s="188"/>
    </row>
    <row r="6537" spans="19:19" ht="60" customHeight="1" x14ac:dyDescent="0.25">
      <c r="S6537" s="188"/>
    </row>
    <row r="6538" spans="19:19" ht="60" customHeight="1" x14ac:dyDescent="0.25">
      <c r="S6538" s="188"/>
    </row>
    <row r="6539" spans="19:19" ht="60" customHeight="1" x14ac:dyDescent="0.25">
      <c r="S6539" s="188"/>
    </row>
    <row r="6540" spans="19:19" ht="60" customHeight="1" x14ac:dyDescent="0.25">
      <c r="S6540" s="188"/>
    </row>
    <row r="6541" spans="19:19" ht="60" customHeight="1" x14ac:dyDescent="0.25">
      <c r="S6541" s="188"/>
    </row>
    <row r="6542" spans="19:19" ht="60" customHeight="1" x14ac:dyDescent="0.25">
      <c r="S6542" s="188"/>
    </row>
    <row r="6543" spans="19:19" ht="60" customHeight="1" x14ac:dyDescent="0.25">
      <c r="S6543" s="188"/>
    </row>
    <row r="6544" spans="19:19" ht="60" customHeight="1" x14ac:dyDescent="0.25">
      <c r="S6544" s="188"/>
    </row>
    <row r="6545" spans="19:19" ht="60" customHeight="1" x14ac:dyDescent="0.25">
      <c r="S6545" s="188"/>
    </row>
    <row r="6546" spans="19:19" ht="60" customHeight="1" x14ac:dyDescent="0.25">
      <c r="S6546" s="188"/>
    </row>
    <row r="6547" spans="19:19" ht="60" customHeight="1" x14ac:dyDescent="0.25">
      <c r="S6547" s="188"/>
    </row>
    <row r="6548" spans="19:19" ht="60" customHeight="1" x14ac:dyDescent="0.25">
      <c r="S6548" s="188"/>
    </row>
    <row r="6549" spans="19:19" ht="60" customHeight="1" x14ac:dyDescent="0.25">
      <c r="S6549" s="188"/>
    </row>
    <row r="6550" spans="19:19" ht="60" customHeight="1" x14ac:dyDescent="0.25">
      <c r="S6550" s="188"/>
    </row>
    <row r="6551" spans="19:19" ht="60" customHeight="1" x14ac:dyDescent="0.25">
      <c r="S6551" s="188"/>
    </row>
    <row r="6552" spans="19:19" ht="60" customHeight="1" x14ac:dyDescent="0.25">
      <c r="S6552" s="188"/>
    </row>
    <row r="6553" spans="19:19" ht="60" customHeight="1" x14ac:dyDescent="0.25">
      <c r="S6553" s="188"/>
    </row>
    <row r="6554" spans="19:19" ht="60" customHeight="1" x14ac:dyDescent="0.25">
      <c r="S6554" s="188"/>
    </row>
    <row r="6555" spans="19:19" ht="60" customHeight="1" x14ac:dyDescent="0.25">
      <c r="S6555" s="188"/>
    </row>
    <row r="6556" spans="19:19" ht="60" customHeight="1" x14ac:dyDescent="0.25">
      <c r="S6556" s="188"/>
    </row>
    <row r="6557" spans="19:19" ht="60" customHeight="1" x14ac:dyDescent="0.25">
      <c r="S6557" s="188"/>
    </row>
    <row r="6558" spans="19:19" ht="60" customHeight="1" x14ac:dyDescent="0.25">
      <c r="S6558" s="188"/>
    </row>
    <row r="6559" spans="19:19" ht="60" customHeight="1" x14ac:dyDescent="0.25">
      <c r="S6559" s="188"/>
    </row>
    <row r="6560" spans="19:19" ht="60" customHeight="1" x14ac:dyDescent="0.25">
      <c r="S6560" s="188"/>
    </row>
    <row r="6561" spans="19:19" ht="60" customHeight="1" x14ac:dyDescent="0.25">
      <c r="S6561" s="188"/>
    </row>
    <row r="6562" spans="19:19" ht="60" customHeight="1" x14ac:dyDescent="0.25">
      <c r="S6562" s="188"/>
    </row>
    <row r="6563" spans="19:19" ht="60" customHeight="1" x14ac:dyDescent="0.25">
      <c r="S6563" s="188"/>
    </row>
    <row r="6564" spans="19:19" ht="60" customHeight="1" x14ac:dyDescent="0.25">
      <c r="S6564" s="188"/>
    </row>
    <row r="6565" spans="19:19" ht="60" customHeight="1" x14ac:dyDescent="0.25">
      <c r="S6565" s="188"/>
    </row>
    <row r="6566" spans="19:19" ht="60" customHeight="1" x14ac:dyDescent="0.25">
      <c r="S6566" s="188"/>
    </row>
    <row r="6567" spans="19:19" ht="60" customHeight="1" x14ac:dyDescent="0.25">
      <c r="S6567" s="188"/>
    </row>
    <row r="6568" spans="19:19" ht="60" customHeight="1" x14ac:dyDescent="0.25">
      <c r="S6568" s="188"/>
    </row>
    <row r="6569" spans="19:19" ht="60" customHeight="1" x14ac:dyDescent="0.25">
      <c r="S6569" s="188"/>
    </row>
    <row r="6570" spans="19:19" ht="60" customHeight="1" x14ac:dyDescent="0.25">
      <c r="S6570" s="188"/>
    </row>
    <row r="6571" spans="19:19" ht="60" customHeight="1" x14ac:dyDescent="0.25">
      <c r="S6571" s="188"/>
    </row>
    <row r="6572" spans="19:19" ht="60" customHeight="1" x14ac:dyDescent="0.25">
      <c r="S6572" s="188"/>
    </row>
    <row r="6573" spans="19:19" ht="60" customHeight="1" x14ac:dyDescent="0.25">
      <c r="S6573" s="188"/>
    </row>
    <row r="6574" spans="19:19" ht="60" customHeight="1" x14ac:dyDescent="0.25">
      <c r="S6574" s="188"/>
    </row>
    <row r="6575" spans="19:19" ht="60" customHeight="1" x14ac:dyDescent="0.25">
      <c r="S6575" s="188"/>
    </row>
    <row r="6576" spans="19:19" ht="60" customHeight="1" x14ac:dyDescent="0.25">
      <c r="S6576" s="188"/>
    </row>
    <row r="6577" spans="19:19" ht="60" customHeight="1" x14ac:dyDescent="0.25">
      <c r="S6577" s="188"/>
    </row>
    <row r="6578" spans="19:19" ht="60" customHeight="1" x14ac:dyDescent="0.25">
      <c r="S6578" s="188"/>
    </row>
    <row r="6579" spans="19:19" ht="60" customHeight="1" x14ac:dyDescent="0.25">
      <c r="S6579" s="188"/>
    </row>
    <row r="6580" spans="19:19" ht="60" customHeight="1" x14ac:dyDescent="0.25">
      <c r="S6580" s="188"/>
    </row>
    <row r="6581" spans="19:19" ht="60" customHeight="1" x14ac:dyDescent="0.25">
      <c r="S6581" s="188"/>
    </row>
    <row r="6582" spans="19:19" ht="60" customHeight="1" x14ac:dyDescent="0.25">
      <c r="S6582" s="188"/>
    </row>
    <row r="6583" spans="19:19" ht="60" customHeight="1" x14ac:dyDescent="0.25">
      <c r="S6583" s="188"/>
    </row>
    <row r="6584" spans="19:19" ht="60" customHeight="1" x14ac:dyDescent="0.25">
      <c r="S6584" s="188"/>
    </row>
    <row r="6585" spans="19:19" ht="60" customHeight="1" x14ac:dyDescent="0.25">
      <c r="S6585" s="188"/>
    </row>
    <row r="6586" spans="19:19" ht="60" customHeight="1" x14ac:dyDescent="0.25">
      <c r="S6586" s="188"/>
    </row>
    <row r="6587" spans="19:19" ht="60" customHeight="1" x14ac:dyDescent="0.25">
      <c r="S6587" s="188"/>
    </row>
    <row r="6588" spans="19:19" ht="60" customHeight="1" x14ac:dyDescent="0.25">
      <c r="S6588" s="188"/>
    </row>
    <row r="6589" spans="19:19" ht="60" customHeight="1" x14ac:dyDescent="0.25">
      <c r="S6589" s="188"/>
    </row>
    <row r="6590" spans="19:19" ht="60" customHeight="1" x14ac:dyDescent="0.25">
      <c r="S6590" s="188"/>
    </row>
    <row r="6591" spans="19:19" ht="60" customHeight="1" x14ac:dyDescent="0.25">
      <c r="S6591" s="188"/>
    </row>
    <row r="6592" spans="19:19" ht="60" customHeight="1" x14ac:dyDescent="0.25">
      <c r="S6592" s="188"/>
    </row>
    <row r="6593" spans="19:19" ht="60" customHeight="1" x14ac:dyDescent="0.25">
      <c r="S6593" s="188"/>
    </row>
    <row r="6594" spans="19:19" ht="60" customHeight="1" x14ac:dyDescent="0.25">
      <c r="S6594" s="188"/>
    </row>
    <row r="6595" spans="19:19" ht="60" customHeight="1" x14ac:dyDescent="0.25">
      <c r="S6595" s="188"/>
    </row>
    <row r="6596" spans="19:19" ht="60" customHeight="1" x14ac:dyDescent="0.25">
      <c r="S6596" s="188"/>
    </row>
    <row r="6597" spans="19:19" ht="60" customHeight="1" x14ac:dyDescent="0.25">
      <c r="S6597" s="188"/>
    </row>
    <row r="6598" spans="19:19" ht="60" customHeight="1" x14ac:dyDescent="0.25">
      <c r="S6598" s="188"/>
    </row>
    <row r="6599" spans="19:19" ht="60" customHeight="1" x14ac:dyDescent="0.25">
      <c r="S6599" s="188"/>
    </row>
    <row r="6600" spans="19:19" ht="60" customHeight="1" x14ac:dyDescent="0.25">
      <c r="S6600" s="188"/>
    </row>
    <row r="6601" spans="19:19" ht="60" customHeight="1" x14ac:dyDescent="0.25">
      <c r="S6601" s="188"/>
    </row>
    <row r="6602" spans="19:19" ht="60" customHeight="1" x14ac:dyDescent="0.25">
      <c r="S6602" s="188"/>
    </row>
    <row r="6603" spans="19:19" ht="60" customHeight="1" x14ac:dyDescent="0.25">
      <c r="S6603" s="188"/>
    </row>
    <row r="6604" spans="19:19" ht="60" customHeight="1" x14ac:dyDescent="0.25">
      <c r="S6604" s="188"/>
    </row>
    <row r="6605" spans="19:19" ht="60" customHeight="1" x14ac:dyDescent="0.25">
      <c r="S6605" s="188"/>
    </row>
    <row r="6606" spans="19:19" ht="60" customHeight="1" x14ac:dyDescent="0.25">
      <c r="S6606" s="188"/>
    </row>
    <row r="6607" spans="19:19" ht="60" customHeight="1" x14ac:dyDescent="0.25">
      <c r="S6607" s="188"/>
    </row>
    <row r="6608" spans="19:19" ht="60" customHeight="1" x14ac:dyDescent="0.25">
      <c r="S6608" s="188"/>
    </row>
    <row r="6609" spans="19:19" ht="60" customHeight="1" x14ac:dyDescent="0.25">
      <c r="S6609" s="188"/>
    </row>
    <row r="6610" spans="19:19" ht="60" customHeight="1" x14ac:dyDescent="0.25">
      <c r="S6610" s="188"/>
    </row>
    <row r="6611" spans="19:19" ht="60" customHeight="1" x14ac:dyDescent="0.25">
      <c r="S6611" s="188"/>
    </row>
    <row r="6612" spans="19:19" ht="60" customHeight="1" x14ac:dyDescent="0.25">
      <c r="S6612" s="188"/>
    </row>
    <row r="6613" spans="19:19" ht="60" customHeight="1" x14ac:dyDescent="0.25">
      <c r="S6613" s="188"/>
    </row>
    <row r="6614" spans="19:19" ht="60" customHeight="1" x14ac:dyDescent="0.25">
      <c r="S6614" s="188"/>
    </row>
    <row r="6615" spans="19:19" ht="60" customHeight="1" x14ac:dyDescent="0.25">
      <c r="S6615" s="188"/>
    </row>
    <row r="6616" spans="19:19" ht="60" customHeight="1" x14ac:dyDescent="0.25">
      <c r="S6616" s="188"/>
    </row>
    <row r="6617" spans="19:19" ht="60" customHeight="1" x14ac:dyDescent="0.25">
      <c r="S6617" s="188"/>
    </row>
    <row r="6618" spans="19:19" ht="60" customHeight="1" x14ac:dyDescent="0.25">
      <c r="S6618" s="188"/>
    </row>
    <row r="6619" spans="19:19" ht="60" customHeight="1" x14ac:dyDescent="0.25">
      <c r="S6619" s="188"/>
    </row>
    <row r="6620" spans="19:19" ht="60" customHeight="1" x14ac:dyDescent="0.25">
      <c r="S6620" s="188"/>
    </row>
    <row r="6621" spans="19:19" ht="60" customHeight="1" x14ac:dyDescent="0.25">
      <c r="S6621" s="188"/>
    </row>
    <row r="6622" spans="19:19" ht="60" customHeight="1" x14ac:dyDescent="0.25">
      <c r="S6622" s="188"/>
    </row>
    <row r="6623" spans="19:19" ht="60" customHeight="1" x14ac:dyDescent="0.25">
      <c r="S6623" s="188"/>
    </row>
    <row r="6624" spans="19:19" ht="60" customHeight="1" x14ac:dyDescent="0.25">
      <c r="S6624" s="188"/>
    </row>
    <row r="6625" spans="19:19" ht="60" customHeight="1" x14ac:dyDescent="0.25">
      <c r="S6625" s="188"/>
    </row>
    <row r="6626" spans="19:19" ht="60" customHeight="1" x14ac:dyDescent="0.25">
      <c r="S6626" s="188"/>
    </row>
    <row r="6627" spans="19:19" ht="60" customHeight="1" x14ac:dyDescent="0.25">
      <c r="S6627" s="188"/>
    </row>
    <row r="6628" spans="19:19" ht="60" customHeight="1" x14ac:dyDescent="0.25">
      <c r="S6628" s="188"/>
    </row>
    <row r="6629" spans="19:19" ht="60" customHeight="1" x14ac:dyDescent="0.25">
      <c r="S6629" s="188"/>
    </row>
    <row r="6630" spans="19:19" ht="60" customHeight="1" x14ac:dyDescent="0.25">
      <c r="S6630" s="188"/>
    </row>
    <row r="6631" spans="19:19" ht="60" customHeight="1" x14ac:dyDescent="0.25">
      <c r="S6631" s="188"/>
    </row>
    <row r="6632" spans="19:19" ht="60" customHeight="1" x14ac:dyDescent="0.25">
      <c r="S6632" s="188"/>
    </row>
    <row r="6633" spans="19:19" ht="60" customHeight="1" x14ac:dyDescent="0.25">
      <c r="S6633" s="188"/>
    </row>
    <row r="6634" spans="19:19" ht="60" customHeight="1" x14ac:dyDescent="0.25">
      <c r="S6634" s="188"/>
    </row>
    <row r="6635" spans="19:19" ht="60" customHeight="1" x14ac:dyDescent="0.25">
      <c r="S6635" s="188"/>
    </row>
    <row r="6636" spans="19:19" ht="60" customHeight="1" x14ac:dyDescent="0.25">
      <c r="S6636" s="188"/>
    </row>
    <row r="6637" spans="19:19" ht="60" customHeight="1" x14ac:dyDescent="0.25">
      <c r="S6637" s="188"/>
    </row>
    <row r="6638" spans="19:19" ht="60" customHeight="1" x14ac:dyDescent="0.25">
      <c r="S6638" s="188"/>
    </row>
    <row r="6639" spans="19:19" ht="60" customHeight="1" x14ac:dyDescent="0.25">
      <c r="S6639" s="188"/>
    </row>
    <row r="6640" spans="19:19" ht="60" customHeight="1" x14ac:dyDescent="0.25">
      <c r="S6640" s="188"/>
    </row>
    <row r="6641" spans="19:19" ht="60" customHeight="1" x14ac:dyDescent="0.25">
      <c r="S6641" s="188"/>
    </row>
    <row r="6642" spans="19:19" ht="60" customHeight="1" x14ac:dyDescent="0.25">
      <c r="S6642" s="188"/>
    </row>
    <row r="6643" spans="19:19" ht="60" customHeight="1" x14ac:dyDescent="0.25">
      <c r="S6643" s="188"/>
    </row>
    <row r="6644" spans="19:19" ht="60" customHeight="1" x14ac:dyDescent="0.25">
      <c r="S6644" s="188"/>
    </row>
    <row r="6645" spans="19:19" ht="60" customHeight="1" x14ac:dyDescent="0.25">
      <c r="S6645" s="188"/>
    </row>
    <row r="6646" spans="19:19" ht="60" customHeight="1" x14ac:dyDescent="0.25">
      <c r="S6646" s="188"/>
    </row>
    <row r="6647" spans="19:19" ht="60" customHeight="1" x14ac:dyDescent="0.25">
      <c r="S6647" s="188"/>
    </row>
    <row r="6648" spans="19:19" ht="60" customHeight="1" x14ac:dyDescent="0.25">
      <c r="S6648" s="188"/>
    </row>
    <row r="6649" spans="19:19" ht="60" customHeight="1" x14ac:dyDescent="0.25">
      <c r="S6649" s="188"/>
    </row>
    <row r="6650" spans="19:19" ht="60" customHeight="1" x14ac:dyDescent="0.25">
      <c r="S6650" s="188"/>
    </row>
    <row r="6651" spans="19:19" ht="60" customHeight="1" x14ac:dyDescent="0.25">
      <c r="S6651" s="188"/>
    </row>
    <row r="6652" spans="19:19" ht="60" customHeight="1" x14ac:dyDescent="0.25">
      <c r="S6652" s="188"/>
    </row>
    <row r="6653" spans="19:19" ht="60" customHeight="1" x14ac:dyDescent="0.25">
      <c r="S6653" s="188"/>
    </row>
    <row r="6654" spans="19:19" ht="60" customHeight="1" x14ac:dyDescent="0.25">
      <c r="S6654" s="188"/>
    </row>
    <row r="6655" spans="19:19" ht="60" customHeight="1" x14ac:dyDescent="0.25">
      <c r="S6655" s="188"/>
    </row>
    <row r="6656" spans="19:19" ht="60" customHeight="1" x14ac:dyDescent="0.25">
      <c r="S6656" s="188"/>
    </row>
    <row r="6657" spans="19:19" ht="60" customHeight="1" x14ac:dyDescent="0.25">
      <c r="S6657" s="188"/>
    </row>
    <row r="6658" spans="19:19" ht="60" customHeight="1" x14ac:dyDescent="0.25">
      <c r="S6658" s="188"/>
    </row>
    <row r="6659" spans="19:19" ht="60" customHeight="1" x14ac:dyDescent="0.25">
      <c r="S6659" s="188"/>
    </row>
    <row r="6660" spans="19:19" ht="60" customHeight="1" x14ac:dyDescent="0.25">
      <c r="S6660" s="188"/>
    </row>
    <row r="6661" spans="19:19" ht="60" customHeight="1" x14ac:dyDescent="0.25">
      <c r="S6661" s="188"/>
    </row>
    <row r="6662" spans="19:19" ht="60" customHeight="1" x14ac:dyDescent="0.25">
      <c r="S6662" s="188"/>
    </row>
    <row r="6663" spans="19:19" ht="60" customHeight="1" x14ac:dyDescent="0.25">
      <c r="S6663" s="188"/>
    </row>
    <row r="6664" spans="19:19" ht="60" customHeight="1" x14ac:dyDescent="0.25">
      <c r="S6664" s="188"/>
    </row>
    <row r="6665" spans="19:19" ht="60" customHeight="1" x14ac:dyDescent="0.25">
      <c r="S6665" s="188"/>
    </row>
    <row r="6666" spans="19:19" ht="60" customHeight="1" x14ac:dyDescent="0.25">
      <c r="S6666" s="188"/>
    </row>
    <row r="6667" spans="19:19" ht="60" customHeight="1" x14ac:dyDescent="0.25">
      <c r="S6667" s="188"/>
    </row>
    <row r="6668" spans="19:19" ht="60" customHeight="1" x14ac:dyDescent="0.25">
      <c r="S6668" s="188"/>
    </row>
    <row r="6669" spans="19:19" ht="60" customHeight="1" x14ac:dyDescent="0.25">
      <c r="S6669" s="188"/>
    </row>
    <row r="6670" spans="19:19" ht="60" customHeight="1" x14ac:dyDescent="0.25">
      <c r="S6670" s="188"/>
    </row>
    <row r="6671" spans="19:19" ht="60" customHeight="1" x14ac:dyDescent="0.25">
      <c r="S6671" s="188"/>
    </row>
    <row r="6672" spans="19:19" ht="60" customHeight="1" x14ac:dyDescent="0.25">
      <c r="S6672" s="188"/>
    </row>
    <row r="6673" spans="19:19" ht="60" customHeight="1" x14ac:dyDescent="0.25">
      <c r="S6673" s="188"/>
    </row>
    <row r="6674" spans="19:19" ht="60" customHeight="1" x14ac:dyDescent="0.25">
      <c r="S6674" s="188"/>
    </row>
    <row r="6675" spans="19:19" ht="60" customHeight="1" x14ac:dyDescent="0.25">
      <c r="S6675" s="188"/>
    </row>
    <row r="6676" spans="19:19" ht="60" customHeight="1" x14ac:dyDescent="0.25">
      <c r="S6676" s="188"/>
    </row>
    <row r="6677" spans="19:19" ht="60" customHeight="1" x14ac:dyDescent="0.25">
      <c r="S6677" s="188"/>
    </row>
    <row r="6678" spans="19:19" ht="60" customHeight="1" x14ac:dyDescent="0.25">
      <c r="S6678" s="188"/>
    </row>
    <row r="6679" spans="19:19" ht="60" customHeight="1" x14ac:dyDescent="0.25">
      <c r="S6679" s="188"/>
    </row>
    <row r="6680" spans="19:19" ht="60" customHeight="1" x14ac:dyDescent="0.25">
      <c r="S6680" s="188"/>
    </row>
    <row r="6681" spans="19:19" ht="60" customHeight="1" x14ac:dyDescent="0.25">
      <c r="S6681" s="188"/>
    </row>
    <row r="6682" spans="19:19" ht="60" customHeight="1" x14ac:dyDescent="0.25">
      <c r="S6682" s="188"/>
    </row>
    <row r="6683" spans="19:19" ht="60" customHeight="1" x14ac:dyDescent="0.25">
      <c r="S6683" s="188"/>
    </row>
    <row r="6684" spans="19:19" ht="60" customHeight="1" x14ac:dyDescent="0.25">
      <c r="S6684" s="188"/>
    </row>
    <row r="6685" spans="19:19" ht="60" customHeight="1" x14ac:dyDescent="0.25">
      <c r="S6685" s="188"/>
    </row>
    <row r="6686" spans="19:19" ht="60" customHeight="1" x14ac:dyDescent="0.25">
      <c r="S6686" s="188"/>
    </row>
    <row r="6687" spans="19:19" ht="60" customHeight="1" x14ac:dyDescent="0.25">
      <c r="S6687" s="188"/>
    </row>
    <row r="6688" spans="19:19" ht="60" customHeight="1" x14ac:dyDescent="0.25">
      <c r="S6688" s="188"/>
    </row>
    <row r="6689" spans="19:19" ht="60" customHeight="1" x14ac:dyDescent="0.25">
      <c r="S6689" s="188"/>
    </row>
    <row r="6690" spans="19:19" ht="60" customHeight="1" x14ac:dyDescent="0.25">
      <c r="S6690" s="188"/>
    </row>
    <row r="6691" spans="19:19" ht="60" customHeight="1" x14ac:dyDescent="0.25">
      <c r="S6691" s="188"/>
    </row>
    <row r="6692" spans="19:19" ht="60" customHeight="1" x14ac:dyDescent="0.25">
      <c r="S6692" s="188"/>
    </row>
    <row r="6693" spans="19:19" ht="60" customHeight="1" x14ac:dyDescent="0.25">
      <c r="S6693" s="188"/>
    </row>
    <row r="6694" spans="19:19" ht="60" customHeight="1" x14ac:dyDescent="0.25">
      <c r="S6694" s="188"/>
    </row>
    <row r="6695" spans="19:19" ht="60" customHeight="1" x14ac:dyDescent="0.25">
      <c r="S6695" s="188"/>
    </row>
    <row r="6696" spans="19:19" ht="60" customHeight="1" x14ac:dyDescent="0.25">
      <c r="S6696" s="188"/>
    </row>
    <row r="6697" spans="19:19" ht="60" customHeight="1" x14ac:dyDescent="0.25">
      <c r="S6697" s="188"/>
    </row>
    <row r="6698" spans="19:19" ht="60" customHeight="1" x14ac:dyDescent="0.25">
      <c r="S6698" s="188"/>
    </row>
    <row r="6699" spans="19:19" ht="60" customHeight="1" x14ac:dyDescent="0.25">
      <c r="S6699" s="188"/>
    </row>
    <row r="6700" spans="19:19" ht="60" customHeight="1" x14ac:dyDescent="0.25">
      <c r="S6700" s="188"/>
    </row>
    <row r="6701" spans="19:19" ht="60" customHeight="1" x14ac:dyDescent="0.25">
      <c r="S6701" s="188"/>
    </row>
    <row r="6702" spans="19:19" ht="60" customHeight="1" x14ac:dyDescent="0.25">
      <c r="S6702" s="188"/>
    </row>
    <row r="6703" spans="19:19" ht="60" customHeight="1" x14ac:dyDescent="0.25">
      <c r="S6703" s="188"/>
    </row>
    <row r="6704" spans="19:19" ht="60" customHeight="1" x14ac:dyDescent="0.25">
      <c r="S6704" s="188"/>
    </row>
    <row r="6705" spans="19:19" ht="60" customHeight="1" x14ac:dyDescent="0.25">
      <c r="S6705" s="188"/>
    </row>
    <row r="6706" spans="19:19" ht="60" customHeight="1" x14ac:dyDescent="0.25">
      <c r="S6706" s="188"/>
    </row>
    <row r="6707" spans="19:19" ht="60" customHeight="1" x14ac:dyDescent="0.25">
      <c r="S6707" s="188"/>
    </row>
    <row r="6708" spans="19:19" ht="60" customHeight="1" x14ac:dyDescent="0.25">
      <c r="S6708" s="188"/>
    </row>
    <row r="6709" spans="19:19" ht="60" customHeight="1" x14ac:dyDescent="0.25">
      <c r="S6709" s="188"/>
    </row>
    <row r="6710" spans="19:19" ht="60" customHeight="1" x14ac:dyDescent="0.25">
      <c r="S6710" s="188"/>
    </row>
    <row r="6711" spans="19:19" ht="60" customHeight="1" x14ac:dyDescent="0.25">
      <c r="S6711" s="188"/>
    </row>
    <row r="6712" spans="19:19" ht="60" customHeight="1" x14ac:dyDescent="0.25">
      <c r="S6712" s="188"/>
    </row>
    <row r="6713" spans="19:19" ht="60" customHeight="1" x14ac:dyDescent="0.25">
      <c r="S6713" s="188"/>
    </row>
    <row r="6714" spans="19:19" ht="60" customHeight="1" x14ac:dyDescent="0.25">
      <c r="S6714" s="188"/>
    </row>
    <row r="6715" spans="19:19" ht="60" customHeight="1" x14ac:dyDescent="0.25">
      <c r="S6715" s="188"/>
    </row>
    <row r="6716" spans="19:19" ht="60" customHeight="1" x14ac:dyDescent="0.25">
      <c r="S6716" s="188"/>
    </row>
    <row r="6717" spans="19:19" ht="60" customHeight="1" x14ac:dyDescent="0.25">
      <c r="S6717" s="188"/>
    </row>
    <row r="6718" spans="19:19" ht="60" customHeight="1" x14ac:dyDescent="0.25">
      <c r="S6718" s="188"/>
    </row>
    <row r="6719" spans="19:19" ht="60" customHeight="1" x14ac:dyDescent="0.25">
      <c r="S6719" s="188"/>
    </row>
    <row r="6720" spans="19:19" ht="60" customHeight="1" x14ac:dyDescent="0.25">
      <c r="S6720" s="188"/>
    </row>
    <row r="6721" spans="19:19" ht="60" customHeight="1" x14ac:dyDescent="0.25">
      <c r="S6721" s="188"/>
    </row>
    <row r="6722" spans="19:19" ht="60" customHeight="1" x14ac:dyDescent="0.25">
      <c r="S6722" s="188"/>
    </row>
    <row r="6723" spans="19:19" ht="60" customHeight="1" x14ac:dyDescent="0.25">
      <c r="S6723" s="188"/>
    </row>
    <row r="6724" spans="19:19" ht="60" customHeight="1" x14ac:dyDescent="0.25">
      <c r="S6724" s="188"/>
    </row>
    <row r="6725" spans="19:19" ht="60" customHeight="1" x14ac:dyDescent="0.25">
      <c r="S6725" s="188"/>
    </row>
    <row r="6726" spans="19:19" ht="60" customHeight="1" x14ac:dyDescent="0.25">
      <c r="S6726" s="188"/>
    </row>
    <row r="6727" spans="19:19" ht="60" customHeight="1" x14ac:dyDescent="0.25">
      <c r="S6727" s="188"/>
    </row>
    <row r="6728" spans="19:19" ht="60" customHeight="1" x14ac:dyDescent="0.25">
      <c r="S6728" s="188"/>
    </row>
    <row r="6729" spans="19:19" ht="60" customHeight="1" x14ac:dyDescent="0.25">
      <c r="S6729" s="188"/>
    </row>
    <row r="6730" spans="19:19" ht="60" customHeight="1" x14ac:dyDescent="0.25">
      <c r="S6730" s="188"/>
    </row>
    <row r="6731" spans="19:19" ht="60" customHeight="1" x14ac:dyDescent="0.25">
      <c r="S6731" s="188"/>
    </row>
    <row r="6732" spans="19:19" ht="60" customHeight="1" x14ac:dyDescent="0.25">
      <c r="S6732" s="188"/>
    </row>
    <row r="6733" spans="19:19" ht="60" customHeight="1" x14ac:dyDescent="0.25">
      <c r="S6733" s="188"/>
    </row>
    <row r="6734" spans="19:19" ht="60" customHeight="1" x14ac:dyDescent="0.25">
      <c r="S6734" s="188"/>
    </row>
    <row r="6735" spans="19:19" ht="60" customHeight="1" x14ac:dyDescent="0.25">
      <c r="S6735" s="188"/>
    </row>
    <row r="6736" spans="19:19" ht="60" customHeight="1" x14ac:dyDescent="0.25">
      <c r="S6736" s="188"/>
    </row>
    <row r="6737" spans="19:19" ht="60" customHeight="1" x14ac:dyDescent="0.25">
      <c r="S6737" s="188"/>
    </row>
    <row r="6738" spans="19:19" ht="60" customHeight="1" x14ac:dyDescent="0.25">
      <c r="S6738" s="188"/>
    </row>
    <row r="6739" spans="19:19" ht="60" customHeight="1" x14ac:dyDescent="0.25">
      <c r="S6739" s="188"/>
    </row>
    <row r="6740" spans="19:19" ht="60" customHeight="1" x14ac:dyDescent="0.25">
      <c r="S6740" s="188"/>
    </row>
    <row r="6741" spans="19:19" ht="60" customHeight="1" x14ac:dyDescent="0.25">
      <c r="S6741" s="188"/>
    </row>
    <row r="6742" spans="19:19" ht="60" customHeight="1" x14ac:dyDescent="0.25">
      <c r="S6742" s="188"/>
    </row>
    <row r="6743" spans="19:19" ht="60" customHeight="1" x14ac:dyDescent="0.25">
      <c r="S6743" s="188"/>
    </row>
    <row r="6744" spans="19:19" ht="60" customHeight="1" x14ac:dyDescent="0.25">
      <c r="S6744" s="188"/>
    </row>
    <row r="6745" spans="19:19" ht="60" customHeight="1" x14ac:dyDescent="0.25">
      <c r="S6745" s="188"/>
    </row>
    <row r="6746" spans="19:19" ht="60" customHeight="1" x14ac:dyDescent="0.25">
      <c r="S6746" s="188"/>
    </row>
    <row r="6747" spans="19:19" ht="60" customHeight="1" x14ac:dyDescent="0.25">
      <c r="S6747" s="188"/>
    </row>
    <row r="6748" spans="19:19" ht="60" customHeight="1" x14ac:dyDescent="0.25">
      <c r="S6748" s="188"/>
    </row>
    <row r="6749" spans="19:19" ht="60" customHeight="1" x14ac:dyDescent="0.25">
      <c r="S6749" s="188"/>
    </row>
    <row r="6750" spans="19:19" ht="60" customHeight="1" x14ac:dyDescent="0.25">
      <c r="S6750" s="188"/>
    </row>
    <row r="6751" spans="19:19" ht="60" customHeight="1" x14ac:dyDescent="0.25">
      <c r="S6751" s="188"/>
    </row>
    <row r="6752" spans="19:19" ht="60" customHeight="1" x14ac:dyDescent="0.25">
      <c r="S6752" s="188"/>
    </row>
    <row r="6753" spans="19:19" ht="60" customHeight="1" x14ac:dyDescent="0.25">
      <c r="S6753" s="188"/>
    </row>
    <row r="6754" spans="19:19" ht="60" customHeight="1" x14ac:dyDescent="0.25">
      <c r="S6754" s="188"/>
    </row>
    <row r="6755" spans="19:19" ht="60" customHeight="1" x14ac:dyDescent="0.25">
      <c r="S6755" s="188"/>
    </row>
    <row r="6756" spans="19:19" ht="60" customHeight="1" x14ac:dyDescent="0.25">
      <c r="S6756" s="188"/>
    </row>
    <row r="6757" spans="19:19" ht="60" customHeight="1" x14ac:dyDescent="0.25">
      <c r="S6757" s="188"/>
    </row>
    <row r="6758" spans="19:19" ht="60" customHeight="1" x14ac:dyDescent="0.25">
      <c r="S6758" s="188"/>
    </row>
    <row r="6759" spans="19:19" ht="60" customHeight="1" x14ac:dyDescent="0.25">
      <c r="S6759" s="188"/>
    </row>
    <row r="6760" spans="19:19" ht="60" customHeight="1" x14ac:dyDescent="0.25">
      <c r="S6760" s="188"/>
    </row>
    <row r="6761" spans="19:19" ht="60" customHeight="1" x14ac:dyDescent="0.25">
      <c r="S6761" s="188"/>
    </row>
    <row r="6762" spans="19:19" ht="60" customHeight="1" x14ac:dyDescent="0.25">
      <c r="S6762" s="188"/>
    </row>
    <row r="6763" spans="19:19" ht="60" customHeight="1" x14ac:dyDescent="0.25">
      <c r="S6763" s="188"/>
    </row>
    <row r="6764" spans="19:19" ht="60" customHeight="1" x14ac:dyDescent="0.25">
      <c r="S6764" s="188"/>
    </row>
    <row r="6765" spans="19:19" ht="60" customHeight="1" x14ac:dyDescent="0.25">
      <c r="S6765" s="188"/>
    </row>
    <row r="6766" spans="19:19" ht="60" customHeight="1" x14ac:dyDescent="0.25">
      <c r="S6766" s="188"/>
    </row>
    <row r="6767" spans="19:19" ht="60" customHeight="1" x14ac:dyDescent="0.25">
      <c r="S6767" s="188"/>
    </row>
    <row r="6768" spans="19:19" ht="60" customHeight="1" x14ac:dyDescent="0.25">
      <c r="S6768" s="188"/>
    </row>
    <row r="6769" spans="19:19" ht="60" customHeight="1" x14ac:dyDescent="0.25">
      <c r="S6769" s="188"/>
    </row>
    <row r="6770" spans="19:19" ht="60" customHeight="1" x14ac:dyDescent="0.25">
      <c r="S6770" s="188"/>
    </row>
    <row r="6771" spans="19:19" ht="60" customHeight="1" x14ac:dyDescent="0.25">
      <c r="S6771" s="188"/>
    </row>
    <row r="6772" spans="19:19" ht="60" customHeight="1" x14ac:dyDescent="0.25">
      <c r="S6772" s="188"/>
    </row>
    <row r="6773" spans="19:19" ht="60" customHeight="1" x14ac:dyDescent="0.25">
      <c r="S6773" s="188"/>
    </row>
    <row r="6774" spans="19:19" ht="60" customHeight="1" x14ac:dyDescent="0.25">
      <c r="S6774" s="188"/>
    </row>
    <row r="6775" spans="19:19" ht="60" customHeight="1" x14ac:dyDescent="0.25">
      <c r="S6775" s="188"/>
    </row>
    <row r="6776" spans="19:19" ht="60" customHeight="1" x14ac:dyDescent="0.25">
      <c r="S6776" s="188"/>
    </row>
    <row r="6777" spans="19:19" ht="60" customHeight="1" x14ac:dyDescent="0.25">
      <c r="S6777" s="188"/>
    </row>
    <row r="6778" spans="19:19" ht="60" customHeight="1" x14ac:dyDescent="0.25">
      <c r="S6778" s="188"/>
    </row>
    <row r="6779" spans="19:19" ht="60" customHeight="1" x14ac:dyDescent="0.25">
      <c r="S6779" s="188"/>
    </row>
    <row r="6780" spans="19:19" ht="60" customHeight="1" x14ac:dyDescent="0.25">
      <c r="S6780" s="188"/>
    </row>
    <row r="6781" spans="19:19" ht="60" customHeight="1" x14ac:dyDescent="0.25">
      <c r="S6781" s="188"/>
    </row>
    <row r="6782" spans="19:19" ht="60" customHeight="1" x14ac:dyDescent="0.25">
      <c r="S6782" s="188"/>
    </row>
    <row r="6783" spans="19:19" ht="60" customHeight="1" x14ac:dyDescent="0.25">
      <c r="S6783" s="188"/>
    </row>
    <row r="6784" spans="19:19" ht="60" customHeight="1" x14ac:dyDescent="0.25">
      <c r="S6784" s="188"/>
    </row>
    <row r="6785" spans="19:19" ht="60" customHeight="1" x14ac:dyDescent="0.25">
      <c r="S6785" s="188"/>
    </row>
    <row r="6786" spans="19:19" ht="60" customHeight="1" x14ac:dyDescent="0.25">
      <c r="S6786" s="188"/>
    </row>
    <row r="6787" spans="19:19" ht="60" customHeight="1" x14ac:dyDescent="0.25">
      <c r="S6787" s="188"/>
    </row>
    <row r="6788" spans="19:19" ht="60" customHeight="1" x14ac:dyDescent="0.25">
      <c r="S6788" s="188"/>
    </row>
    <row r="6789" spans="19:19" ht="60" customHeight="1" x14ac:dyDescent="0.25">
      <c r="S6789" s="188"/>
    </row>
    <row r="6790" spans="19:19" ht="60" customHeight="1" x14ac:dyDescent="0.25">
      <c r="S6790" s="188"/>
    </row>
    <row r="6791" spans="19:19" ht="60" customHeight="1" x14ac:dyDescent="0.25">
      <c r="S6791" s="188"/>
    </row>
    <row r="6792" spans="19:19" ht="60" customHeight="1" x14ac:dyDescent="0.25">
      <c r="S6792" s="188"/>
    </row>
    <row r="6793" spans="19:19" ht="60" customHeight="1" x14ac:dyDescent="0.25">
      <c r="S6793" s="188"/>
    </row>
    <row r="6794" spans="19:19" ht="60" customHeight="1" x14ac:dyDescent="0.25">
      <c r="S6794" s="188"/>
    </row>
    <row r="6795" spans="19:19" ht="60" customHeight="1" x14ac:dyDescent="0.25">
      <c r="S6795" s="188"/>
    </row>
    <row r="6796" spans="19:19" ht="60" customHeight="1" x14ac:dyDescent="0.25">
      <c r="S6796" s="188"/>
    </row>
    <row r="6797" spans="19:19" ht="60" customHeight="1" x14ac:dyDescent="0.25">
      <c r="S6797" s="188"/>
    </row>
    <row r="6798" spans="19:19" ht="60" customHeight="1" x14ac:dyDescent="0.25">
      <c r="S6798" s="188"/>
    </row>
    <row r="6799" spans="19:19" ht="60" customHeight="1" x14ac:dyDescent="0.25">
      <c r="S6799" s="188"/>
    </row>
    <row r="6800" spans="19:19" ht="60" customHeight="1" x14ac:dyDescent="0.25">
      <c r="S6800" s="188"/>
    </row>
    <row r="6801" spans="19:19" ht="60" customHeight="1" x14ac:dyDescent="0.25">
      <c r="S6801" s="188"/>
    </row>
    <row r="6802" spans="19:19" ht="60" customHeight="1" x14ac:dyDescent="0.25">
      <c r="S6802" s="188"/>
    </row>
    <row r="6803" spans="19:19" ht="60" customHeight="1" x14ac:dyDescent="0.25">
      <c r="S6803" s="188"/>
    </row>
    <row r="6804" spans="19:19" ht="60" customHeight="1" x14ac:dyDescent="0.25">
      <c r="S6804" s="188"/>
    </row>
    <row r="6805" spans="19:19" ht="60" customHeight="1" x14ac:dyDescent="0.25">
      <c r="S6805" s="188"/>
    </row>
    <row r="6806" spans="19:19" ht="60" customHeight="1" x14ac:dyDescent="0.25">
      <c r="S6806" s="188"/>
    </row>
    <row r="6807" spans="19:19" ht="60" customHeight="1" x14ac:dyDescent="0.25">
      <c r="S6807" s="188"/>
    </row>
    <row r="6808" spans="19:19" ht="60" customHeight="1" x14ac:dyDescent="0.25">
      <c r="S6808" s="188"/>
    </row>
    <row r="6809" spans="19:19" ht="60" customHeight="1" x14ac:dyDescent="0.25">
      <c r="S6809" s="188"/>
    </row>
    <row r="6810" spans="19:19" ht="60" customHeight="1" x14ac:dyDescent="0.25">
      <c r="S6810" s="188"/>
    </row>
    <row r="6811" spans="19:19" ht="60" customHeight="1" x14ac:dyDescent="0.25">
      <c r="S6811" s="188"/>
    </row>
    <row r="6812" spans="19:19" ht="60" customHeight="1" x14ac:dyDescent="0.25">
      <c r="S6812" s="188"/>
    </row>
    <row r="6813" spans="19:19" ht="60" customHeight="1" x14ac:dyDescent="0.25">
      <c r="S6813" s="188"/>
    </row>
    <row r="6814" spans="19:19" ht="60" customHeight="1" x14ac:dyDescent="0.25">
      <c r="S6814" s="188"/>
    </row>
    <row r="6815" spans="19:19" ht="60" customHeight="1" x14ac:dyDescent="0.25">
      <c r="S6815" s="188"/>
    </row>
    <row r="6816" spans="19:19" ht="60" customHeight="1" x14ac:dyDescent="0.25">
      <c r="S6816" s="188"/>
    </row>
    <row r="6817" spans="19:19" ht="60" customHeight="1" x14ac:dyDescent="0.25">
      <c r="S6817" s="188"/>
    </row>
    <row r="6818" spans="19:19" ht="60" customHeight="1" x14ac:dyDescent="0.25">
      <c r="S6818" s="188"/>
    </row>
    <row r="6819" spans="19:19" ht="60" customHeight="1" x14ac:dyDescent="0.25">
      <c r="S6819" s="188"/>
    </row>
    <row r="6820" spans="19:19" ht="60" customHeight="1" x14ac:dyDescent="0.25">
      <c r="S6820" s="188"/>
    </row>
    <row r="6821" spans="19:19" ht="60" customHeight="1" x14ac:dyDescent="0.25">
      <c r="S6821" s="188"/>
    </row>
    <row r="6822" spans="19:19" ht="60" customHeight="1" x14ac:dyDescent="0.25">
      <c r="S6822" s="188"/>
    </row>
    <row r="6823" spans="19:19" ht="60" customHeight="1" x14ac:dyDescent="0.25">
      <c r="S6823" s="188"/>
    </row>
    <row r="6824" spans="19:19" ht="60" customHeight="1" x14ac:dyDescent="0.25">
      <c r="S6824" s="188"/>
    </row>
    <row r="6825" spans="19:19" ht="60" customHeight="1" x14ac:dyDescent="0.25">
      <c r="S6825" s="188"/>
    </row>
    <row r="6826" spans="19:19" ht="60" customHeight="1" x14ac:dyDescent="0.25">
      <c r="S6826" s="188"/>
    </row>
    <row r="6827" spans="19:19" ht="60" customHeight="1" x14ac:dyDescent="0.25">
      <c r="S6827" s="188"/>
    </row>
    <row r="6828" spans="19:19" ht="60" customHeight="1" x14ac:dyDescent="0.25">
      <c r="S6828" s="188"/>
    </row>
    <row r="6829" spans="19:19" ht="60" customHeight="1" x14ac:dyDescent="0.25">
      <c r="S6829" s="188"/>
    </row>
    <row r="6830" spans="19:19" ht="60" customHeight="1" x14ac:dyDescent="0.25">
      <c r="S6830" s="188"/>
    </row>
    <row r="6831" spans="19:19" ht="60" customHeight="1" x14ac:dyDescent="0.25">
      <c r="S6831" s="188"/>
    </row>
    <row r="6832" spans="19:19" ht="60" customHeight="1" x14ac:dyDescent="0.25">
      <c r="S6832" s="188"/>
    </row>
    <row r="6833" spans="19:19" ht="60" customHeight="1" x14ac:dyDescent="0.25">
      <c r="S6833" s="188"/>
    </row>
    <row r="6834" spans="19:19" ht="60" customHeight="1" x14ac:dyDescent="0.25">
      <c r="S6834" s="188"/>
    </row>
    <row r="6835" spans="19:19" ht="60" customHeight="1" x14ac:dyDescent="0.25">
      <c r="S6835" s="188"/>
    </row>
    <row r="6836" spans="19:19" ht="60" customHeight="1" x14ac:dyDescent="0.25">
      <c r="S6836" s="188"/>
    </row>
    <row r="6837" spans="19:19" ht="60" customHeight="1" x14ac:dyDescent="0.25">
      <c r="S6837" s="188"/>
    </row>
    <row r="6838" spans="19:19" ht="60" customHeight="1" x14ac:dyDescent="0.25">
      <c r="S6838" s="188"/>
    </row>
    <row r="6839" spans="19:19" ht="60" customHeight="1" x14ac:dyDescent="0.25">
      <c r="S6839" s="188"/>
    </row>
    <row r="6840" spans="19:19" ht="60" customHeight="1" x14ac:dyDescent="0.25">
      <c r="S6840" s="188"/>
    </row>
    <row r="6841" spans="19:19" ht="60" customHeight="1" x14ac:dyDescent="0.25">
      <c r="S6841" s="188"/>
    </row>
    <row r="6842" spans="19:19" ht="60" customHeight="1" x14ac:dyDescent="0.25">
      <c r="S6842" s="188"/>
    </row>
    <row r="6843" spans="19:19" ht="60" customHeight="1" x14ac:dyDescent="0.25">
      <c r="S6843" s="188"/>
    </row>
    <row r="6844" spans="19:19" ht="60" customHeight="1" x14ac:dyDescent="0.25">
      <c r="S6844" s="188"/>
    </row>
    <row r="6845" spans="19:19" ht="60" customHeight="1" x14ac:dyDescent="0.25">
      <c r="S6845" s="188"/>
    </row>
    <row r="6846" spans="19:19" ht="60" customHeight="1" x14ac:dyDescent="0.25">
      <c r="S6846" s="188"/>
    </row>
    <row r="6847" spans="19:19" ht="60" customHeight="1" x14ac:dyDescent="0.25">
      <c r="S6847" s="188"/>
    </row>
    <row r="6848" spans="19:19" ht="60" customHeight="1" x14ac:dyDescent="0.25">
      <c r="S6848" s="188"/>
    </row>
    <row r="6849" spans="19:19" ht="60" customHeight="1" x14ac:dyDescent="0.25">
      <c r="S6849" s="188"/>
    </row>
    <row r="6850" spans="19:19" ht="60" customHeight="1" x14ac:dyDescent="0.25">
      <c r="S6850" s="188"/>
    </row>
    <row r="6851" spans="19:19" ht="60" customHeight="1" x14ac:dyDescent="0.25">
      <c r="S6851" s="188"/>
    </row>
    <row r="6852" spans="19:19" ht="60" customHeight="1" x14ac:dyDescent="0.25">
      <c r="S6852" s="188"/>
    </row>
    <row r="6853" spans="19:19" ht="60" customHeight="1" x14ac:dyDescent="0.25">
      <c r="S6853" s="188"/>
    </row>
    <row r="6854" spans="19:19" ht="60" customHeight="1" x14ac:dyDescent="0.25">
      <c r="S6854" s="188"/>
    </row>
    <row r="6855" spans="19:19" ht="60" customHeight="1" x14ac:dyDescent="0.25">
      <c r="S6855" s="188"/>
    </row>
    <row r="6856" spans="19:19" ht="60" customHeight="1" x14ac:dyDescent="0.25">
      <c r="S6856" s="188"/>
    </row>
    <row r="6857" spans="19:19" ht="60" customHeight="1" x14ac:dyDescent="0.25">
      <c r="S6857" s="188"/>
    </row>
    <row r="6858" spans="19:19" ht="60" customHeight="1" x14ac:dyDescent="0.25">
      <c r="S6858" s="188"/>
    </row>
    <row r="6859" spans="19:19" ht="60" customHeight="1" x14ac:dyDescent="0.25">
      <c r="S6859" s="188"/>
    </row>
    <row r="6860" spans="19:19" ht="60" customHeight="1" x14ac:dyDescent="0.25">
      <c r="S6860" s="188"/>
    </row>
    <row r="6861" spans="19:19" ht="60" customHeight="1" x14ac:dyDescent="0.25">
      <c r="S6861" s="188"/>
    </row>
    <row r="6862" spans="19:19" ht="60" customHeight="1" x14ac:dyDescent="0.25">
      <c r="S6862" s="188"/>
    </row>
    <row r="6863" spans="19:19" ht="60" customHeight="1" x14ac:dyDescent="0.25">
      <c r="S6863" s="188"/>
    </row>
    <row r="6864" spans="19:19" ht="60" customHeight="1" x14ac:dyDescent="0.25">
      <c r="S6864" s="188"/>
    </row>
    <row r="6865" spans="19:19" ht="60" customHeight="1" x14ac:dyDescent="0.25">
      <c r="S6865" s="188"/>
    </row>
    <row r="6866" spans="19:19" ht="60" customHeight="1" x14ac:dyDescent="0.25">
      <c r="S6866" s="188"/>
    </row>
    <row r="6867" spans="19:19" ht="60" customHeight="1" x14ac:dyDescent="0.25">
      <c r="S6867" s="188"/>
    </row>
    <row r="6868" spans="19:19" ht="60" customHeight="1" x14ac:dyDescent="0.25">
      <c r="S6868" s="188"/>
    </row>
    <row r="6869" spans="19:19" ht="60" customHeight="1" x14ac:dyDescent="0.25">
      <c r="S6869" s="188"/>
    </row>
    <row r="6870" spans="19:19" ht="60" customHeight="1" x14ac:dyDescent="0.25">
      <c r="S6870" s="188"/>
    </row>
    <row r="6871" spans="19:19" ht="60" customHeight="1" x14ac:dyDescent="0.25">
      <c r="S6871" s="188"/>
    </row>
    <row r="6872" spans="19:19" ht="60" customHeight="1" x14ac:dyDescent="0.25">
      <c r="S6872" s="188"/>
    </row>
    <row r="6873" spans="19:19" ht="60" customHeight="1" x14ac:dyDescent="0.25">
      <c r="S6873" s="188"/>
    </row>
    <row r="6874" spans="19:19" ht="60" customHeight="1" x14ac:dyDescent="0.25">
      <c r="S6874" s="188"/>
    </row>
    <row r="6875" spans="19:19" ht="60" customHeight="1" x14ac:dyDescent="0.25">
      <c r="S6875" s="188"/>
    </row>
    <row r="6876" spans="19:19" ht="60" customHeight="1" x14ac:dyDescent="0.25">
      <c r="S6876" s="188"/>
    </row>
    <row r="6877" spans="19:19" ht="60" customHeight="1" x14ac:dyDescent="0.25">
      <c r="S6877" s="188"/>
    </row>
    <row r="6878" spans="19:19" ht="60" customHeight="1" x14ac:dyDescent="0.25">
      <c r="S6878" s="188"/>
    </row>
    <row r="6879" spans="19:19" ht="60" customHeight="1" x14ac:dyDescent="0.25">
      <c r="S6879" s="188"/>
    </row>
    <row r="6880" spans="19:19" ht="60" customHeight="1" x14ac:dyDescent="0.25">
      <c r="S6880" s="188"/>
    </row>
    <row r="6881" spans="19:19" ht="60" customHeight="1" x14ac:dyDescent="0.25">
      <c r="S6881" s="188"/>
    </row>
    <row r="6882" spans="19:19" ht="60" customHeight="1" x14ac:dyDescent="0.25">
      <c r="S6882" s="188"/>
    </row>
    <row r="6883" spans="19:19" ht="60" customHeight="1" x14ac:dyDescent="0.25">
      <c r="S6883" s="188"/>
    </row>
    <row r="6884" spans="19:19" ht="60" customHeight="1" x14ac:dyDescent="0.25">
      <c r="S6884" s="188"/>
    </row>
    <row r="6885" spans="19:19" ht="60" customHeight="1" x14ac:dyDescent="0.25">
      <c r="S6885" s="188"/>
    </row>
    <row r="6886" spans="19:19" ht="60" customHeight="1" x14ac:dyDescent="0.25">
      <c r="S6886" s="188"/>
    </row>
    <row r="6887" spans="19:19" ht="60" customHeight="1" x14ac:dyDescent="0.25">
      <c r="S6887" s="188"/>
    </row>
    <row r="6888" spans="19:19" ht="60" customHeight="1" x14ac:dyDescent="0.25">
      <c r="S6888" s="188"/>
    </row>
    <row r="6889" spans="19:19" ht="60" customHeight="1" x14ac:dyDescent="0.25">
      <c r="S6889" s="188"/>
    </row>
    <row r="6890" spans="19:19" ht="60" customHeight="1" x14ac:dyDescent="0.25">
      <c r="S6890" s="188"/>
    </row>
    <row r="6891" spans="19:19" ht="60" customHeight="1" x14ac:dyDescent="0.25">
      <c r="S6891" s="188"/>
    </row>
    <row r="6892" spans="19:19" ht="60" customHeight="1" x14ac:dyDescent="0.25">
      <c r="S6892" s="188"/>
    </row>
    <row r="6893" spans="19:19" ht="60" customHeight="1" x14ac:dyDescent="0.25">
      <c r="S6893" s="188"/>
    </row>
    <row r="6894" spans="19:19" ht="60" customHeight="1" x14ac:dyDescent="0.25">
      <c r="S6894" s="188"/>
    </row>
    <row r="6895" spans="19:19" ht="60" customHeight="1" x14ac:dyDescent="0.25">
      <c r="S6895" s="188"/>
    </row>
    <row r="6896" spans="19:19" ht="60" customHeight="1" x14ac:dyDescent="0.25">
      <c r="S6896" s="188"/>
    </row>
    <row r="6897" spans="19:19" ht="60" customHeight="1" x14ac:dyDescent="0.25">
      <c r="S6897" s="188"/>
    </row>
    <row r="6898" spans="19:19" ht="60" customHeight="1" x14ac:dyDescent="0.25">
      <c r="S6898" s="188"/>
    </row>
    <row r="6899" spans="19:19" ht="60" customHeight="1" x14ac:dyDescent="0.25">
      <c r="S6899" s="188"/>
    </row>
    <row r="6900" spans="19:19" ht="60" customHeight="1" x14ac:dyDescent="0.25">
      <c r="S6900" s="188"/>
    </row>
    <row r="6901" spans="19:19" ht="60" customHeight="1" x14ac:dyDescent="0.25">
      <c r="S6901" s="188"/>
    </row>
    <row r="6902" spans="19:19" ht="60" customHeight="1" x14ac:dyDescent="0.25">
      <c r="S6902" s="188"/>
    </row>
    <row r="6903" spans="19:19" ht="60" customHeight="1" x14ac:dyDescent="0.25">
      <c r="S6903" s="188"/>
    </row>
    <row r="6904" spans="19:19" ht="60" customHeight="1" x14ac:dyDescent="0.25">
      <c r="S6904" s="188"/>
    </row>
    <row r="6905" spans="19:19" ht="60" customHeight="1" x14ac:dyDescent="0.25">
      <c r="S6905" s="188"/>
    </row>
    <row r="6906" spans="19:19" ht="60" customHeight="1" x14ac:dyDescent="0.25">
      <c r="S6906" s="188"/>
    </row>
    <row r="6907" spans="19:19" ht="60" customHeight="1" x14ac:dyDescent="0.25">
      <c r="S6907" s="188"/>
    </row>
    <row r="6908" spans="19:19" ht="60" customHeight="1" x14ac:dyDescent="0.25">
      <c r="S6908" s="188"/>
    </row>
    <row r="6909" spans="19:19" ht="60" customHeight="1" x14ac:dyDescent="0.25">
      <c r="S6909" s="188"/>
    </row>
    <row r="6910" spans="19:19" ht="60" customHeight="1" x14ac:dyDescent="0.25">
      <c r="S6910" s="188"/>
    </row>
    <row r="6911" spans="19:19" ht="60" customHeight="1" x14ac:dyDescent="0.25">
      <c r="S6911" s="188"/>
    </row>
    <row r="6912" spans="19:19" ht="60" customHeight="1" x14ac:dyDescent="0.25">
      <c r="S6912" s="188"/>
    </row>
    <row r="6913" spans="19:19" ht="60" customHeight="1" x14ac:dyDescent="0.25">
      <c r="S6913" s="188"/>
    </row>
    <row r="6914" spans="19:19" ht="60" customHeight="1" x14ac:dyDescent="0.25">
      <c r="S6914" s="188"/>
    </row>
    <row r="6915" spans="19:19" ht="60" customHeight="1" x14ac:dyDescent="0.25">
      <c r="S6915" s="188"/>
    </row>
    <row r="6916" spans="19:19" ht="60" customHeight="1" x14ac:dyDescent="0.25">
      <c r="S6916" s="188"/>
    </row>
    <row r="6917" spans="19:19" ht="60" customHeight="1" x14ac:dyDescent="0.25">
      <c r="S6917" s="188"/>
    </row>
    <row r="6918" spans="19:19" ht="60" customHeight="1" x14ac:dyDescent="0.25">
      <c r="S6918" s="188"/>
    </row>
    <row r="6919" spans="19:19" ht="60" customHeight="1" x14ac:dyDescent="0.25">
      <c r="S6919" s="188"/>
    </row>
    <row r="6920" spans="19:19" ht="60" customHeight="1" x14ac:dyDescent="0.25">
      <c r="S6920" s="188"/>
    </row>
    <row r="6921" spans="19:19" ht="60" customHeight="1" x14ac:dyDescent="0.25">
      <c r="S6921" s="188"/>
    </row>
    <row r="6922" spans="19:19" ht="60" customHeight="1" x14ac:dyDescent="0.25">
      <c r="S6922" s="188"/>
    </row>
    <row r="6923" spans="19:19" ht="60" customHeight="1" x14ac:dyDescent="0.25">
      <c r="S6923" s="188"/>
    </row>
    <row r="6924" spans="19:19" ht="60" customHeight="1" x14ac:dyDescent="0.25">
      <c r="S6924" s="188"/>
    </row>
    <row r="6925" spans="19:19" ht="60" customHeight="1" x14ac:dyDescent="0.25">
      <c r="S6925" s="188"/>
    </row>
    <row r="6926" spans="19:19" ht="60" customHeight="1" x14ac:dyDescent="0.25">
      <c r="S6926" s="188"/>
    </row>
    <row r="6927" spans="19:19" ht="60" customHeight="1" x14ac:dyDescent="0.25">
      <c r="S6927" s="188"/>
    </row>
    <row r="6928" spans="19:19" ht="60" customHeight="1" x14ac:dyDescent="0.25">
      <c r="S6928" s="188"/>
    </row>
    <row r="6929" spans="19:19" ht="60" customHeight="1" x14ac:dyDescent="0.25">
      <c r="S6929" s="188"/>
    </row>
    <row r="6930" spans="19:19" ht="60" customHeight="1" x14ac:dyDescent="0.25">
      <c r="S6930" s="188"/>
    </row>
    <row r="6931" spans="19:19" ht="60" customHeight="1" x14ac:dyDescent="0.25">
      <c r="S6931" s="188"/>
    </row>
    <row r="6932" spans="19:19" ht="60" customHeight="1" x14ac:dyDescent="0.25">
      <c r="S6932" s="188"/>
    </row>
    <row r="6933" spans="19:19" ht="60" customHeight="1" x14ac:dyDescent="0.25">
      <c r="S6933" s="188"/>
    </row>
    <row r="6934" spans="19:19" ht="60" customHeight="1" x14ac:dyDescent="0.25">
      <c r="S6934" s="188"/>
    </row>
    <row r="6935" spans="19:19" ht="60" customHeight="1" x14ac:dyDescent="0.25">
      <c r="S6935" s="188"/>
    </row>
    <row r="6936" spans="19:19" ht="60" customHeight="1" x14ac:dyDescent="0.25">
      <c r="S6936" s="188"/>
    </row>
    <row r="6937" spans="19:19" ht="60" customHeight="1" x14ac:dyDescent="0.25">
      <c r="S6937" s="188"/>
    </row>
    <row r="6938" spans="19:19" ht="60" customHeight="1" x14ac:dyDescent="0.25">
      <c r="S6938" s="188"/>
    </row>
    <row r="6939" spans="19:19" ht="60" customHeight="1" x14ac:dyDescent="0.25">
      <c r="S6939" s="188"/>
    </row>
    <row r="6940" spans="19:19" ht="60" customHeight="1" x14ac:dyDescent="0.25">
      <c r="S6940" s="188"/>
    </row>
    <row r="6941" spans="19:19" ht="60" customHeight="1" x14ac:dyDescent="0.25">
      <c r="S6941" s="188"/>
    </row>
    <row r="6942" spans="19:19" ht="60" customHeight="1" x14ac:dyDescent="0.25">
      <c r="S6942" s="188"/>
    </row>
    <row r="6943" spans="19:19" ht="60" customHeight="1" x14ac:dyDescent="0.25">
      <c r="S6943" s="188"/>
    </row>
    <row r="6944" spans="19:19" ht="60" customHeight="1" x14ac:dyDescent="0.25">
      <c r="S6944" s="188"/>
    </row>
    <row r="6945" spans="19:19" ht="60" customHeight="1" x14ac:dyDescent="0.25">
      <c r="S6945" s="188"/>
    </row>
    <row r="6946" spans="19:19" ht="60" customHeight="1" x14ac:dyDescent="0.25">
      <c r="S6946" s="188"/>
    </row>
    <row r="6947" spans="19:19" ht="60" customHeight="1" x14ac:dyDescent="0.25">
      <c r="S6947" s="188"/>
    </row>
    <row r="6948" spans="19:19" ht="60" customHeight="1" x14ac:dyDescent="0.25">
      <c r="S6948" s="188"/>
    </row>
    <row r="6949" spans="19:19" ht="60" customHeight="1" x14ac:dyDescent="0.25">
      <c r="S6949" s="188"/>
    </row>
    <row r="6950" spans="19:19" ht="60" customHeight="1" x14ac:dyDescent="0.25">
      <c r="S6950" s="188"/>
    </row>
    <row r="6951" spans="19:19" ht="60" customHeight="1" x14ac:dyDescent="0.25">
      <c r="S6951" s="188"/>
    </row>
    <row r="6952" spans="19:19" ht="60" customHeight="1" x14ac:dyDescent="0.25">
      <c r="S6952" s="188"/>
    </row>
    <row r="6953" spans="19:19" ht="60" customHeight="1" x14ac:dyDescent="0.25">
      <c r="S6953" s="188"/>
    </row>
    <row r="6954" spans="19:19" ht="60" customHeight="1" x14ac:dyDescent="0.25">
      <c r="S6954" s="188"/>
    </row>
    <row r="6955" spans="19:19" ht="60" customHeight="1" x14ac:dyDescent="0.25">
      <c r="S6955" s="188"/>
    </row>
    <row r="6956" spans="19:19" ht="60" customHeight="1" x14ac:dyDescent="0.25">
      <c r="S6956" s="188"/>
    </row>
    <row r="6957" spans="19:19" ht="60" customHeight="1" x14ac:dyDescent="0.25">
      <c r="S6957" s="188"/>
    </row>
    <row r="6958" spans="19:19" ht="60" customHeight="1" x14ac:dyDescent="0.25">
      <c r="S6958" s="188"/>
    </row>
    <row r="6959" spans="19:19" ht="60" customHeight="1" x14ac:dyDescent="0.25">
      <c r="S6959" s="188"/>
    </row>
    <row r="6960" spans="19:19" ht="60" customHeight="1" x14ac:dyDescent="0.25">
      <c r="S6960" s="188"/>
    </row>
    <row r="6961" spans="19:19" ht="60" customHeight="1" x14ac:dyDescent="0.25">
      <c r="S6961" s="188"/>
    </row>
    <row r="6962" spans="19:19" ht="60" customHeight="1" x14ac:dyDescent="0.25">
      <c r="S6962" s="188"/>
    </row>
    <row r="6963" spans="19:19" ht="60" customHeight="1" x14ac:dyDescent="0.25">
      <c r="S6963" s="188"/>
    </row>
    <row r="6964" spans="19:19" ht="60" customHeight="1" x14ac:dyDescent="0.25">
      <c r="S6964" s="188"/>
    </row>
    <row r="6965" spans="19:19" ht="60" customHeight="1" x14ac:dyDescent="0.25">
      <c r="S6965" s="188"/>
    </row>
    <row r="6966" spans="19:19" ht="60" customHeight="1" x14ac:dyDescent="0.25">
      <c r="S6966" s="188"/>
    </row>
    <row r="6967" spans="19:19" ht="60" customHeight="1" x14ac:dyDescent="0.25">
      <c r="S6967" s="188"/>
    </row>
    <row r="6968" spans="19:19" ht="60" customHeight="1" x14ac:dyDescent="0.25">
      <c r="S6968" s="188"/>
    </row>
    <row r="6969" spans="19:19" ht="60" customHeight="1" x14ac:dyDescent="0.25">
      <c r="S6969" s="188"/>
    </row>
    <row r="6970" spans="19:19" ht="60" customHeight="1" x14ac:dyDescent="0.25">
      <c r="S6970" s="188"/>
    </row>
    <row r="6971" spans="19:19" ht="60" customHeight="1" x14ac:dyDescent="0.25">
      <c r="S6971" s="188"/>
    </row>
    <row r="6972" spans="19:19" ht="60" customHeight="1" x14ac:dyDescent="0.25">
      <c r="S6972" s="188"/>
    </row>
    <row r="6973" spans="19:19" ht="60" customHeight="1" x14ac:dyDescent="0.25">
      <c r="S6973" s="188"/>
    </row>
    <row r="6974" spans="19:19" ht="60" customHeight="1" x14ac:dyDescent="0.25">
      <c r="S6974" s="188"/>
    </row>
    <row r="6975" spans="19:19" ht="60" customHeight="1" x14ac:dyDescent="0.25">
      <c r="S6975" s="188"/>
    </row>
    <row r="6976" spans="19:19" ht="60" customHeight="1" x14ac:dyDescent="0.25">
      <c r="S6976" s="188"/>
    </row>
    <row r="6977" spans="19:19" ht="60" customHeight="1" x14ac:dyDescent="0.25">
      <c r="S6977" s="188"/>
    </row>
    <row r="6978" spans="19:19" ht="60" customHeight="1" x14ac:dyDescent="0.25">
      <c r="S6978" s="188"/>
    </row>
    <row r="6979" spans="19:19" ht="60" customHeight="1" x14ac:dyDescent="0.25">
      <c r="S6979" s="188"/>
    </row>
    <row r="6980" spans="19:19" ht="60" customHeight="1" x14ac:dyDescent="0.25">
      <c r="S6980" s="188"/>
    </row>
    <row r="6981" spans="19:19" ht="60" customHeight="1" x14ac:dyDescent="0.25">
      <c r="S6981" s="188"/>
    </row>
    <row r="6982" spans="19:19" ht="60" customHeight="1" x14ac:dyDescent="0.25">
      <c r="S6982" s="188"/>
    </row>
    <row r="6983" spans="19:19" ht="60" customHeight="1" x14ac:dyDescent="0.25">
      <c r="S6983" s="188"/>
    </row>
    <row r="6984" spans="19:19" ht="60" customHeight="1" x14ac:dyDescent="0.25">
      <c r="S6984" s="188"/>
    </row>
    <row r="6985" spans="19:19" ht="60" customHeight="1" x14ac:dyDescent="0.25">
      <c r="S6985" s="188"/>
    </row>
    <row r="6986" spans="19:19" ht="60" customHeight="1" x14ac:dyDescent="0.25">
      <c r="S6986" s="188"/>
    </row>
    <row r="6987" spans="19:19" ht="60" customHeight="1" x14ac:dyDescent="0.25">
      <c r="S6987" s="188"/>
    </row>
    <row r="6988" spans="19:19" ht="60" customHeight="1" x14ac:dyDescent="0.25">
      <c r="S6988" s="188"/>
    </row>
    <row r="6989" spans="19:19" ht="60" customHeight="1" x14ac:dyDescent="0.25">
      <c r="S6989" s="188"/>
    </row>
    <row r="6990" spans="19:19" ht="60" customHeight="1" x14ac:dyDescent="0.25">
      <c r="S6990" s="188"/>
    </row>
    <row r="6991" spans="19:19" ht="60" customHeight="1" x14ac:dyDescent="0.25">
      <c r="S6991" s="188"/>
    </row>
    <row r="6992" spans="19:19" ht="60" customHeight="1" x14ac:dyDescent="0.25">
      <c r="S6992" s="188"/>
    </row>
    <row r="6993" spans="19:19" ht="60" customHeight="1" x14ac:dyDescent="0.25">
      <c r="S6993" s="188"/>
    </row>
    <row r="6994" spans="19:19" ht="60" customHeight="1" x14ac:dyDescent="0.25">
      <c r="S6994" s="188"/>
    </row>
    <row r="6995" spans="19:19" ht="60" customHeight="1" x14ac:dyDescent="0.25">
      <c r="S6995" s="188"/>
    </row>
    <row r="6996" spans="19:19" ht="60" customHeight="1" x14ac:dyDescent="0.25">
      <c r="S6996" s="188"/>
    </row>
    <row r="6997" spans="19:19" ht="60" customHeight="1" x14ac:dyDescent="0.25">
      <c r="S6997" s="188"/>
    </row>
    <row r="6998" spans="19:19" ht="60" customHeight="1" x14ac:dyDescent="0.25">
      <c r="S6998" s="188"/>
    </row>
    <row r="6999" spans="19:19" ht="60" customHeight="1" x14ac:dyDescent="0.25">
      <c r="S6999" s="188"/>
    </row>
    <row r="7000" spans="19:19" ht="60" customHeight="1" x14ac:dyDescent="0.25">
      <c r="S7000" s="188"/>
    </row>
    <row r="7001" spans="19:19" ht="60" customHeight="1" x14ac:dyDescent="0.25">
      <c r="S7001" s="188"/>
    </row>
    <row r="7002" spans="19:19" ht="60" customHeight="1" x14ac:dyDescent="0.25">
      <c r="S7002" s="188"/>
    </row>
    <row r="7003" spans="19:19" ht="60" customHeight="1" x14ac:dyDescent="0.25">
      <c r="S7003" s="188"/>
    </row>
    <row r="7004" spans="19:19" ht="60" customHeight="1" x14ac:dyDescent="0.25">
      <c r="S7004" s="188"/>
    </row>
    <row r="7005" spans="19:19" ht="60" customHeight="1" x14ac:dyDescent="0.25">
      <c r="S7005" s="188"/>
    </row>
    <row r="7006" spans="19:19" ht="60" customHeight="1" x14ac:dyDescent="0.25">
      <c r="S7006" s="188"/>
    </row>
    <row r="7007" spans="19:19" ht="60" customHeight="1" x14ac:dyDescent="0.25">
      <c r="S7007" s="188"/>
    </row>
    <row r="7008" spans="19:19" ht="60" customHeight="1" x14ac:dyDescent="0.25">
      <c r="S7008" s="188"/>
    </row>
    <row r="7009" spans="19:19" ht="60" customHeight="1" x14ac:dyDescent="0.25">
      <c r="S7009" s="188"/>
    </row>
    <row r="7010" spans="19:19" ht="60" customHeight="1" x14ac:dyDescent="0.25">
      <c r="S7010" s="188"/>
    </row>
    <row r="7011" spans="19:19" ht="60" customHeight="1" x14ac:dyDescent="0.25">
      <c r="S7011" s="188"/>
    </row>
    <row r="7012" spans="19:19" ht="60" customHeight="1" x14ac:dyDescent="0.25">
      <c r="S7012" s="188"/>
    </row>
    <row r="7013" spans="19:19" ht="60" customHeight="1" x14ac:dyDescent="0.25">
      <c r="S7013" s="188"/>
    </row>
    <row r="7014" spans="19:19" ht="60" customHeight="1" x14ac:dyDescent="0.25">
      <c r="S7014" s="188"/>
    </row>
    <row r="7015" spans="19:19" ht="60" customHeight="1" x14ac:dyDescent="0.25">
      <c r="S7015" s="188"/>
    </row>
    <row r="7016" spans="19:19" ht="60" customHeight="1" x14ac:dyDescent="0.25">
      <c r="S7016" s="188"/>
    </row>
    <row r="7017" spans="19:19" ht="60" customHeight="1" x14ac:dyDescent="0.25">
      <c r="S7017" s="188"/>
    </row>
    <row r="7018" spans="19:19" ht="60" customHeight="1" x14ac:dyDescent="0.25">
      <c r="S7018" s="188"/>
    </row>
    <row r="7019" spans="19:19" ht="60" customHeight="1" x14ac:dyDescent="0.25">
      <c r="S7019" s="188"/>
    </row>
    <row r="7020" spans="19:19" ht="60" customHeight="1" x14ac:dyDescent="0.25">
      <c r="S7020" s="188"/>
    </row>
    <row r="7021" spans="19:19" ht="60" customHeight="1" x14ac:dyDescent="0.25">
      <c r="S7021" s="188"/>
    </row>
    <row r="7022" spans="19:19" ht="60" customHeight="1" x14ac:dyDescent="0.25">
      <c r="S7022" s="188"/>
    </row>
    <row r="7023" spans="19:19" ht="60" customHeight="1" x14ac:dyDescent="0.25">
      <c r="S7023" s="188"/>
    </row>
    <row r="7024" spans="19:19" ht="60" customHeight="1" x14ac:dyDescent="0.25">
      <c r="S7024" s="188"/>
    </row>
    <row r="7025" spans="19:19" ht="60" customHeight="1" x14ac:dyDescent="0.25">
      <c r="S7025" s="188"/>
    </row>
    <row r="7026" spans="19:19" ht="60" customHeight="1" x14ac:dyDescent="0.25">
      <c r="S7026" s="188"/>
    </row>
    <row r="7027" spans="19:19" ht="60" customHeight="1" x14ac:dyDescent="0.25">
      <c r="S7027" s="188"/>
    </row>
    <row r="7028" spans="19:19" ht="60" customHeight="1" x14ac:dyDescent="0.25">
      <c r="S7028" s="188"/>
    </row>
    <row r="7029" spans="19:19" ht="60" customHeight="1" x14ac:dyDescent="0.25">
      <c r="S7029" s="188"/>
    </row>
    <row r="7030" spans="19:19" ht="60" customHeight="1" x14ac:dyDescent="0.25">
      <c r="S7030" s="188"/>
    </row>
    <row r="7031" spans="19:19" ht="60" customHeight="1" x14ac:dyDescent="0.25">
      <c r="S7031" s="188"/>
    </row>
    <row r="7032" spans="19:19" ht="60" customHeight="1" x14ac:dyDescent="0.25">
      <c r="S7032" s="188"/>
    </row>
    <row r="7033" spans="19:19" ht="60" customHeight="1" x14ac:dyDescent="0.25">
      <c r="S7033" s="188"/>
    </row>
    <row r="7034" spans="19:19" ht="60" customHeight="1" x14ac:dyDescent="0.25">
      <c r="S7034" s="188"/>
    </row>
    <row r="7035" spans="19:19" ht="60" customHeight="1" x14ac:dyDescent="0.25">
      <c r="S7035" s="188"/>
    </row>
    <row r="7036" spans="19:19" ht="60" customHeight="1" x14ac:dyDescent="0.25">
      <c r="S7036" s="188"/>
    </row>
    <row r="7037" spans="19:19" ht="60" customHeight="1" x14ac:dyDescent="0.25">
      <c r="S7037" s="188"/>
    </row>
    <row r="7038" spans="19:19" ht="60" customHeight="1" x14ac:dyDescent="0.25">
      <c r="S7038" s="188"/>
    </row>
    <row r="7039" spans="19:19" ht="60" customHeight="1" x14ac:dyDescent="0.25">
      <c r="S7039" s="188"/>
    </row>
    <row r="7040" spans="19:19" ht="60" customHeight="1" x14ac:dyDescent="0.25">
      <c r="S7040" s="188"/>
    </row>
    <row r="7041" spans="19:19" ht="60" customHeight="1" x14ac:dyDescent="0.25">
      <c r="S7041" s="188"/>
    </row>
    <row r="7042" spans="19:19" ht="60" customHeight="1" x14ac:dyDescent="0.25">
      <c r="S7042" s="188"/>
    </row>
    <row r="7043" spans="19:19" ht="60" customHeight="1" x14ac:dyDescent="0.25">
      <c r="S7043" s="188"/>
    </row>
    <row r="7044" spans="19:19" ht="60" customHeight="1" x14ac:dyDescent="0.25">
      <c r="S7044" s="188"/>
    </row>
    <row r="7045" spans="19:19" ht="60" customHeight="1" x14ac:dyDescent="0.25">
      <c r="S7045" s="188"/>
    </row>
    <row r="7046" spans="19:19" ht="60" customHeight="1" x14ac:dyDescent="0.25">
      <c r="S7046" s="188"/>
    </row>
    <row r="7047" spans="19:19" ht="60" customHeight="1" x14ac:dyDescent="0.25">
      <c r="S7047" s="188"/>
    </row>
    <row r="7048" spans="19:19" ht="60" customHeight="1" x14ac:dyDescent="0.25">
      <c r="S7048" s="188"/>
    </row>
    <row r="7049" spans="19:19" ht="60" customHeight="1" x14ac:dyDescent="0.25">
      <c r="S7049" s="188"/>
    </row>
    <row r="7050" spans="19:19" ht="60" customHeight="1" x14ac:dyDescent="0.25">
      <c r="S7050" s="188"/>
    </row>
    <row r="7051" spans="19:19" ht="60" customHeight="1" x14ac:dyDescent="0.25">
      <c r="S7051" s="188"/>
    </row>
    <row r="7052" spans="19:19" ht="60" customHeight="1" x14ac:dyDescent="0.25">
      <c r="S7052" s="188"/>
    </row>
    <row r="7053" spans="19:19" ht="60" customHeight="1" x14ac:dyDescent="0.25">
      <c r="S7053" s="188"/>
    </row>
    <row r="7054" spans="19:19" ht="60" customHeight="1" x14ac:dyDescent="0.25">
      <c r="S7054" s="188"/>
    </row>
    <row r="7055" spans="19:19" ht="60" customHeight="1" x14ac:dyDescent="0.25">
      <c r="S7055" s="188"/>
    </row>
    <row r="7056" spans="19:19" ht="60" customHeight="1" x14ac:dyDescent="0.25">
      <c r="S7056" s="188"/>
    </row>
    <row r="7057" spans="19:19" ht="60" customHeight="1" x14ac:dyDescent="0.25">
      <c r="S7057" s="188"/>
    </row>
    <row r="7058" spans="19:19" ht="60" customHeight="1" x14ac:dyDescent="0.25">
      <c r="S7058" s="188"/>
    </row>
    <row r="7059" spans="19:19" ht="60" customHeight="1" x14ac:dyDescent="0.25">
      <c r="S7059" s="188"/>
    </row>
    <row r="7060" spans="19:19" ht="60" customHeight="1" x14ac:dyDescent="0.25">
      <c r="S7060" s="188"/>
    </row>
    <row r="7061" spans="19:19" ht="60" customHeight="1" x14ac:dyDescent="0.25">
      <c r="S7061" s="188"/>
    </row>
    <row r="7062" spans="19:19" ht="60" customHeight="1" x14ac:dyDescent="0.25">
      <c r="S7062" s="188"/>
    </row>
    <row r="7063" spans="19:19" ht="60" customHeight="1" x14ac:dyDescent="0.25">
      <c r="S7063" s="188"/>
    </row>
    <row r="7064" spans="19:19" ht="60" customHeight="1" x14ac:dyDescent="0.25">
      <c r="S7064" s="188"/>
    </row>
    <row r="7065" spans="19:19" ht="60" customHeight="1" x14ac:dyDescent="0.25">
      <c r="S7065" s="188"/>
    </row>
    <row r="7066" spans="19:19" ht="60" customHeight="1" x14ac:dyDescent="0.25">
      <c r="S7066" s="188"/>
    </row>
    <row r="7067" spans="19:19" ht="60" customHeight="1" x14ac:dyDescent="0.25">
      <c r="S7067" s="188"/>
    </row>
    <row r="7068" spans="19:19" ht="60" customHeight="1" x14ac:dyDescent="0.25">
      <c r="S7068" s="188"/>
    </row>
    <row r="7069" spans="19:19" ht="60" customHeight="1" x14ac:dyDescent="0.25">
      <c r="S7069" s="188"/>
    </row>
    <row r="7070" spans="19:19" ht="60" customHeight="1" x14ac:dyDescent="0.25">
      <c r="S7070" s="188"/>
    </row>
    <row r="7071" spans="19:19" ht="60" customHeight="1" x14ac:dyDescent="0.25">
      <c r="S7071" s="188"/>
    </row>
    <row r="7072" spans="19:19" ht="60" customHeight="1" x14ac:dyDescent="0.25">
      <c r="S7072" s="188"/>
    </row>
    <row r="7073" spans="19:19" ht="60" customHeight="1" x14ac:dyDescent="0.25">
      <c r="S7073" s="188"/>
    </row>
    <row r="7074" spans="19:19" ht="60" customHeight="1" x14ac:dyDescent="0.25">
      <c r="S7074" s="188"/>
    </row>
    <row r="7075" spans="19:19" ht="60" customHeight="1" x14ac:dyDescent="0.25">
      <c r="S7075" s="188"/>
    </row>
    <row r="7076" spans="19:19" ht="60" customHeight="1" x14ac:dyDescent="0.25">
      <c r="S7076" s="188"/>
    </row>
    <row r="7077" spans="19:19" ht="60" customHeight="1" x14ac:dyDescent="0.25">
      <c r="S7077" s="188"/>
    </row>
    <row r="7078" spans="19:19" ht="60" customHeight="1" x14ac:dyDescent="0.25">
      <c r="S7078" s="188"/>
    </row>
    <row r="7079" spans="19:19" ht="60" customHeight="1" x14ac:dyDescent="0.25">
      <c r="S7079" s="188"/>
    </row>
    <row r="7080" spans="19:19" ht="60" customHeight="1" x14ac:dyDescent="0.25">
      <c r="S7080" s="188"/>
    </row>
    <row r="7081" spans="19:19" ht="60" customHeight="1" x14ac:dyDescent="0.25">
      <c r="S7081" s="188"/>
    </row>
    <row r="7082" spans="19:19" ht="60" customHeight="1" x14ac:dyDescent="0.25">
      <c r="S7082" s="188"/>
    </row>
    <row r="7083" spans="19:19" ht="60" customHeight="1" x14ac:dyDescent="0.25">
      <c r="S7083" s="188"/>
    </row>
    <row r="7084" spans="19:19" ht="60" customHeight="1" x14ac:dyDescent="0.25">
      <c r="S7084" s="188"/>
    </row>
    <row r="7085" spans="19:19" ht="60" customHeight="1" x14ac:dyDescent="0.25">
      <c r="S7085" s="188"/>
    </row>
    <row r="7086" spans="19:19" ht="60" customHeight="1" x14ac:dyDescent="0.25">
      <c r="S7086" s="188"/>
    </row>
    <row r="7087" spans="19:19" ht="60" customHeight="1" x14ac:dyDescent="0.25">
      <c r="S7087" s="188"/>
    </row>
    <row r="7088" spans="19:19" ht="60" customHeight="1" x14ac:dyDescent="0.25">
      <c r="S7088" s="188"/>
    </row>
    <row r="7089" spans="19:19" ht="60" customHeight="1" x14ac:dyDescent="0.25">
      <c r="S7089" s="188"/>
    </row>
    <row r="7090" spans="19:19" ht="60" customHeight="1" x14ac:dyDescent="0.25">
      <c r="S7090" s="188"/>
    </row>
    <row r="7091" spans="19:19" ht="60" customHeight="1" x14ac:dyDescent="0.25">
      <c r="S7091" s="188"/>
    </row>
    <row r="7092" spans="19:19" ht="60" customHeight="1" x14ac:dyDescent="0.25">
      <c r="S7092" s="188"/>
    </row>
    <row r="7093" spans="19:19" ht="60" customHeight="1" x14ac:dyDescent="0.25">
      <c r="S7093" s="188"/>
    </row>
    <row r="7094" spans="19:19" ht="60" customHeight="1" x14ac:dyDescent="0.25">
      <c r="S7094" s="188"/>
    </row>
    <row r="7095" spans="19:19" ht="60" customHeight="1" x14ac:dyDescent="0.25">
      <c r="S7095" s="188"/>
    </row>
    <row r="7096" spans="19:19" ht="60" customHeight="1" x14ac:dyDescent="0.25">
      <c r="S7096" s="188"/>
    </row>
    <row r="7097" spans="19:19" ht="60" customHeight="1" x14ac:dyDescent="0.25">
      <c r="S7097" s="188"/>
    </row>
    <row r="7098" spans="19:19" ht="60" customHeight="1" x14ac:dyDescent="0.25">
      <c r="S7098" s="188"/>
    </row>
    <row r="7099" spans="19:19" ht="60" customHeight="1" x14ac:dyDescent="0.25">
      <c r="S7099" s="188"/>
    </row>
    <row r="7100" spans="19:19" ht="60" customHeight="1" x14ac:dyDescent="0.25">
      <c r="S7100" s="188"/>
    </row>
    <row r="7101" spans="19:19" ht="60" customHeight="1" x14ac:dyDescent="0.25">
      <c r="S7101" s="188"/>
    </row>
    <row r="7102" spans="19:19" ht="60" customHeight="1" x14ac:dyDescent="0.25">
      <c r="S7102" s="188"/>
    </row>
    <row r="7103" spans="19:19" ht="60" customHeight="1" x14ac:dyDescent="0.25">
      <c r="S7103" s="188"/>
    </row>
    <row r="7104" spans="19:19" ht="60" customHeight="1" x14ac:dyDescent="0.25">
      <c r="S7104" s="188"/>
    </row>
    <row r="7105" spans="19:19" ht="60" customHeight="1" x14ac:dyDescent="0.25">
      <c r="S7105" s="188"/>
    </row>
    <row r="7106" spans="19:19" ht="60" customHeight="1" x14ac:dyDescent="0.25">
      <c r="S7106" s="188"/>
    </row>
    <row r="7107" spans="19:19" ht="60" customHeight="1" x14ac:dyDescent="0.25">
      <c r="S7107" s="188"/>
    </row>
    <row r="7108" spans="19:19" ht="60" customHeight="1" x14ac:dyDescent="0.25">
      <c r="S7108" s="188"/>
    </row>
    <row r="7109" spans="19:19" ht="60" customHeight="1" x14ac:dyDescent="0.25">
      <c r="S7109" s="188"/>
    </row>
    <row r="7110" spans="19:19" ht="60" customHeight="1" x14ac:dyDescent="0.25">
      <c r="S7110" s="188"/>
    </row>
    <row r="7111" spans="19:19" ht="60" customHeight="1" x14ac:dyDescent="0.25">
      <c r="S7111" s="188"/>
    </row>
    <row r="7112" spans="19:19" ht="60" customHeight="1" x14ac:dyDescent="0.25">
      <c r="S7112" s="188"/>
    </row>
    <row r="7113" spans="19:19" ht="60" customHeight="1" x14ac:dyDescent="0.25">
      <c r="S7113" s="188"/>
    </row>
    <row r="7114" spans="19:19" ht="60" customHeight="1" x14ac:dyDescent="0.25">
      <c r="S7114" s="188"/>
    </row>
    <row r="7115" spans="19:19" ht="60" customHeight="1" x14ac:dyDescent="0.25">
      <c r="S7115" s="188"/>
    </row>
    <row r="7116" spans="19:19" ht="60" customHeight="1" x14ac:dyDescent="0.25">
      <c r="S7116" s="188"/>
    </row>
    <row r="7117" spans="19:19" ht="60" customHeight="1" x14ac:dyDescent="0.25">
      <c r="S7117" s="188"/>
    </row>
    <row r="7118" spans="19:19" ht="60" customHeight="1" x14ac:dyDescent="0.25">
      <c r="S7118" s="188"/>
    </row>
    <row r="7119" spans="19:19" ht="60" customHeight="1" x14ac:dyDescent="0.25">
      <c r="S7119" s="188"/>
    </row>
    <row r="7120" spans="19:19" ht="60" customHeight="1" x14ac:dyDescent="0.25">
      <c r="S7120" s="188"/>
    </row>
    <row r="7121" spans="19:19" ht="60" customHeight="1" x14ac:dyDescent="0.25">
      <c r="S7121" s="188"/>
    </row>
    <row r="7122" spans="19:19" ht="60" customHeight="1" x14ac:dyDescent="0.25">
      <c r="S7122" s="188"/>
    </row>
    <row r="7123" spans="19:19" ht="60" customHeight="1" x14ac:dyDescent="0.25">
      <c r="S7123" s="188"/>
    </row>
    <row r="7124" spans="19:19" ht="60" customHeight="1" x14ac:dyDescent="0.25">
      <c r="S7124" s="188"/>
    </row>
    <row r="7125" spans="19:19" ht="60" customHeight="1" x14ac:dyDescent="0.25">
      <c r="S7125" s="188"/>
    </row>
    <row r="7126" spans="19:19" ht="60" customHeight="1" x14ac:dyDescent="0.25">
      <c r="S7126" s="188"/>
    </row>
    <row r="7127" spans="19:19" ht="60" customHeight="1" x14ac:dyDescent="0.25">
      <c r="S7127" s="188"/>
    </row>
    <row r="7128" spans="19:19" ht="60" customHeight="1" x14ac:dyDescent="0.25">
      <c r="S7128" s="188"/>
    </row>
    <row r="7129" spans="19:19" ht="60" customHeight="1" x14ac:dyDescent="0.25">
      <c r="S7129" s="188"/>
    </row>
    <row r="7130" spans="19:19" ht="60" customHeight="1" x14ac:dyDescent="0.25">
      <c r="S7130" s="188"/>
    </row>
    <row r="7131" spans="19:19" ht="60" customHeight="1" x14ac:dyDescent="0.25">
      <c r="S7131" s="188"/>
    </row>
    <row r="7132" spans="19:19" ht="60" customHeight="1" x14ac:dyDescent="0.25">
      <c r="S7132" s="188"/>
    </row>
    <row r="7133" spans="19:19" ht="60" customHeight="1" x14ac:dyDescent="0.25">
      <c r="S7133" s="188"/>
    </row>
    <row r="7134" spans="19:19" ht="60" customHeight="1" x14ac:dyDescent="0.25">
      <c r="S7134" s="188"/>
    </row>
    <row r="7135" spans="19:19" ht="60" customHeight="1" x14ac:dyDescent="0.25">
      <c r="S7135" s="188"/>
    </row>
    <row r="7136" spans="19:19" ht="60" customHeight="1" x14ac:dyDescent="0.25">
      <c r="S7136" s="188"/>
    </row>
    <row r="7137" spans="19:19" ht="60" customHeight="1" x14ac:dyDescent="0.25">
      <c r="S7137" s="188"/>
    </row>
    <row r="7138" spans="19:19" ht="60" customHeight="1" x14ac:dyDescent="0.25">
      <c r="S7138" s="188"/>
    </row>
    <row r="7139" spans="19:19" ht="60" customHeight="1" x14ac:dyDescent="0.25">
      <c r="S7139" s="188"/>
    </row>
    <row r="7140" spans="19:19" ht="60" customHeight="1" x14ac:dyDescent="0.25">
      <c r="S7140" s="188"/>
    </row>
    <row r="7141" spans="19:19" ht="60" customHeight="1" x14ac:dyDescent="0.25">
      <c r="S7141" s="188"/>
    </row>
    <row r="7142" spans="19:19" ht="60" customHeight="1" x14ac:dyDescent="0.25">
      <c r="S7142" s="188"/>
    </row>
    <row r="7143" spans="19:19" ht="60" customHeight="1" x14ac:dyDescent="0.25">
      <c r="S7143" s="188"/>
    </row>
    <row r="7144" spans="19:19" ht="60" customHeight="1" x14ac:dyDescent="0.25">
      <c r="S7144" s="188"/>
    </row>
    <row r="7145" spans="19:19" ht="60" customHeight="1" x14ac:dyDescent="0.25">
      <c r="S7145" s="188"/>
    </row>
    <row r="7146" spans="19:19" ht="60" customHeight="1" x14ac:dyDescent="0.25">
      <c r="S7146" s="188"/>
    </row>
    <row r="7147" spans="19:19" ht="60" customHeight="1" x14ac:dyDescent="0.25">
      <c r="S7147" s="188"/>
    </row>
    <row r="7148" spans="19:19" ht="60" customHeight="1" x14ac:dyDescent="0.25">
      <c r="S7148" s="188"/>
    </row>
    <row r="7149" spans="19:19" ht="60" customHeight="1" x14ac:dyDescent="0.25">
      <c r="S7149" s="188"/>
    </row>
    <row r="7150" spans="19:19" ht="60" customHeight="1" x14ac:dyDescent="0.25">
      <c r="S7150" s="188"/>
    </row>
    <row r="7151" spans="19:19" ht="60" customHeight="1" x14ac:dyDescent="0.25">
      <c r="S7151" s="188"/>
    </row>
    <row r="7152" spans="19:19" ht="60" customHeight="1" x14ac:dyDescent="0.25">
      <c r="S7152" s="188"/>
    </row>
    <row r="7153" spans="19:19" ht="60" customHeight="1" x14ac:dyDescent="0.25">
      <c r="S7153" s="188"/>
    </row>
    <row r="7154" spans="19:19" ht="60" customHeight="1" x14ac:dyDescent="0.25">
      <c r="S7154" s="188"/>
    </row>
    <row r="7155" spans="19:19" ht="60" customHeight="1" x14ac:dyDescent="0.25">
      <c r="S7155" s="188"/>
    </row>
    <row r="7156" spans="19:19" ht="60" customHeight="1" x14ac:dyDescent="0.25">
      <c r="S7156" s="188"/>
    </row>
    <row r="7157" spans="19:19" ht="60" customHeight="1" x14ac:dyDescent="0.25">
      <c r="S7157" s="188"/>
    </row>
    <row r="7158" spans="19:19" ht="60" customHeight="1" x14ac:dyDescent="0.25">
      <c r="S7158" s="188"/>
    </row>
    <row r="7159" spans="19:19" ht="60" customHeight="1" x14ac:dyDescent="0.25">
      <c r="S7159" s="188"/>
    </row>
    <row r="7160" spans="19:19" ht="60" customHeight="1" x14ac:dyDescent="0.25">
      <c r="S7160" s="188"/>
    </row>
    <row r="7161" spans="19:19" ht="60" customHeight="1" x14ac:dyDescent="0.25">
      <c r="S7161" s="188"/>
    </row>
    <row r="7162" spans="19:19" ht="60" customHeight="1" x14ac:dyDescent="0.25">
      <c r="S7162" s="188"/>
    </row>
    <row r="7163" spans="19:19" ht="60" customHeight="1" x14ac:dyDescent="0.25">
      <c r="S7163" s="188"/>
    </row>
    <row r="7164" spans="19:19" ht="60" customHeight="1" x14ac:dyDescent="0.25">
      <c r="S7164" s="188"/>
    </row>
    <row r="7165" spans="19:19" ht="60" customHeight="1" x14ac:dyDescent="0.25">
      <c r="S7165" s="188"/>
    </row>
    <row r="7166" spans="19:19" ht="60" customHeight="1" x14ac:dyDescent="0.25">
      <c r="S7166" s="188"/>
    </row>
    <row r="7167" spans="19:19" ht="60" customHeight="1" x14ac:dyDescent="0.25">
      <c r="S7167" s="188"/>
    </row>
    <row r="7168" spans="19:19" ht="60" customHeight="1" x14ac:dyDescent="0.25">
      <c r="S7168" s="188"/>
    </row>
    <row r="7169" spans="19:19" ht="60" customHeight="1" x14ac:dyDescent="0.25">
      <c r="S7169" s="188"/>
    </row>
    <row r="7170" spans="19:19" ht="60" customHeight="1" x14ac:dyDescent="0.25">
      <c r="S7170" s="188"/>
    </row>
    <row r="7171" spans="19:19" ht="60" customHeight="1" x14ac:dyDescent="0.25">
      <c r="S7171" s="188"/>
    </row>
    <row r="7172" spans="19:19" ht="60" customHeight="1" x14ac:dyDescent="0.25">
      <c r="S7172" s="188"/>
    </row>
    <row r="7173" spans="19:19" ht="60" customHeight="1" x14ac:dyDescent="0.25">
      <c r="S7173" s="188"/>
    </row>
    <row r="7174" spans="19:19" ht="60" customHeight="1" x14ac:dyDescent="0.25">
      <c r="S7174" s="188"/>
    </row>
    <row r="7175" spans="19:19" ht="60" customHeight="1" x14ac:dyDescent="0.25">
      <c r="S7175" s="188"/>
    </row>
    <row r="7176" spans="19:19" ht="60" customHeight="1" x14ac:dyDescent="0.25">
      <c r="S7176" s="188"/>
    </row>
    <row r="7177" spans="19:19" ht="60" customHeight="1" x14ac:dyDescent="0.25">
      <c r="S7177" s="188"/>
    </row>
    <row r="7178" spans="19:19" ht="60" customHeight="1" x14ac:dyDescent="0.25">
      <c r="S7178" s="188"/>
    </row>
    <row r="7179" spans="19:19" ht="60" customHeight="1" x14ac:dyDescent="0.25">
      <c r="S7179" s="188"/>
    </row>
    <row r="7180" spans="19:19" ht="60" customHeight="1" x14ac:dyDescent="0.25">
      <c r="S7180" s="188"/>
    </row>
    <row r="7181" spans="19:19" ht="60" customHeight="1" x14ac:dyDescent="0.25">
      <c r="S7181" s="188"/>
    </row>
    <row r="7182" spans="19:19" ht="60" customHeight="1" x14ac:dyDescent="0.25">
      <c r="S7182" s="188"/>
    </row>
    <row r="7183" spans="19:19" ht="60" customHeight="1" x14ac:dyDescent="0.25">
      <c r="S7183" s="188"/>
    </row>
    <row r="7184" spans="19:19" ht="60" customHeight="1" x14ac:dyDescent="0.25">
      <c r="S7184" s="188"/>
    </row>
    <row r="7185" spans="19:19" ht="60" customHeight="1" x14ac:dyDescent="0.25">
      <c r="S7185" s="188"/>
    </row>
    <row r="7186" spans="19:19" ht="60" customHeight="1" x14ac:dyDescent="0.25">
      <c r="S7186" s="188"/>
    </row>
    <row r="7187" spans="19:19" ht="60" customHeight="1" x14ac:dyDescent="0.25">
      <c r="S7187" s="188"/>
    </row>
    <row r="7188" spans="19:19" ht="60" customHeight="1" x14ac:dyDescent="0.25">
      <c r="S7188" s="188"/>
    </row>
    <row r="7189" spans="19:19" ht="60" customHeight="1" x14ac:dyDescent="0.25">
      <c r="S7189" s="188"/>
    </row>
    <row r="7190" spans="19:19" ht="60" customHeight="1" x14ac:dyDescent="0.25">
      <c r="S7190" s="188"/>
    </row>
    <row r="7191" spans="19:19" ht="60" customHeight="1" x14ac:dyDescent="0.25">
      <c r="S7191" s="188"/>
    </row>
    <row r="7192" spans="19:19" ht="60" customHeight="1" x14ac:dyDescent="0.25">
      <c r="S7192" s="188"/>
    </row>
    <row r="7193" spans="19:19" ht="60" customHeight="1" x14ac:dyDescent="0.25">
      <c r="S7193" s="188"/>
    </row>
    <row r="7194" spans="19:19" ht="60" customHeight="1" x14ac:dyDescent="0.25">
      <c r="S7194" s="188"/>
    </row>
    <row r="7195" spans="19:19" ht="60" customHeight="1" x14ac:dyDescent="0.25">
      <c r="S7195" s="188"/>
    </row>
    <row r="7196" spans="19:19" ht="60" customHeight="1" x14ac:dyDescent="0.25">
      <c r="S7196" s="188"/>
    </row>
    <row r="7197" spans="19:19" ht="60" customHeight="1" x14ac:dyDescent="0.25">
      <c r="S7197" s="188"/>
    </row>
    <row r="7198" spans="19:19" ht="60" customHeight="1" x14ac:dyDescent="0.25">
      <c r="S7198" s="188"/>
    </row>
    <row r="7199" spans="19:19" ht="60" customHeight="1" x14ac:dyDescent="0.25">
      <c r="S7199" s="188"/>
    </row>
    <row r="7200" spans="19:19" ht="60" customHeight="1" x14ac:dyDescent="0.25">
      <c r="S7200" s="188"/>
    </row>
    <row r="7201" spans="19:19" ht="60" customHeight="1" x14ac:dyDescent="0.25">
      <c r="S7201" s="188"/>
    </row>
    <row r="7202" spans="19:19" ht="60" customHeight="1" x14ac:dyDescent="0.25">
      <c r="S7202" s="188"/>
    </row>
    <row r="7203" spans="19:19" ht="60" customHeight="1" x14ac:dyDescent="0.25">
      <c r="S7203" s="188"/>
    </row>
    <row r="7204" spans="19:19" ht="60" customHeight="1" x14ac:dyDescent="0.25">
      <c r="S7204" s="188"/>
    </row>
    <row r="7205" spans="19:19" ht="60" customHeight="1" x14ac:dyDescent="0.25">
      <c r="S7205" s="188"/>
    </row>
    <row r="7206" spans="19:19" ht="60" customHeight="1" x14ac:dyDescent="0.25">
      <c r="S7206" s="188"/>
    </row>
    <row r="7207" spans="19:19" ht="60" customHeight="1" x14ac:dyDescent="0.25">
      <c r="S7207" s="188"/>
    </row>
    <row r="7208" spans="19:19" ht="60" customHeight="1" x14ac:dyDescent="0.25">
      <c r="S7208" s="188"/>
    </row>
    <row r="7209" spans="19:19" ht="60" customHeight="1" x14ac:dyDescent="0.25">
      <c r="S7209" s="188"/>
    </row>
    <row r="7210" spans="19:19" ht="60" customHeight="1" x14ac:dyDescent="0.25">
      <c r="S7210" s="188"/>
    </row>
    <row r="7211" spans="19:19" ht="60" customHeight="1" x14ac:dyDescent="0.25">
      <c r="S7211" s="188"/>
    </row>
    <row r="7212" spans="19:19" ht="60" customHeight="1" x14ac:dyDescent="0.25">
      <c r="S7212" s="188"/>
    </row>
    <row r="7213" spans="19:19" ht="60" customHeight="1" x14ac:dyDescent="0.25">
      <c r="S7213" s="188"/>
    </row>
    <row r="7214" spans="19:19" ht="60" customHeight="1" x14ac:dyDescent="0.25">
      <c r="S7214" s="188"/>
    </row>
    <row r="7215" spans="19:19" ht="60" customHeight="1" x14ac:dyDescent="0.25">
      <c r="S7215" s="188"/>
    </row>
    <row r="7216" spans="19:19" ht="60" customHeight="1" x14ac:dyDescent="0.25">
      <c r="S7216" s="188"/>
    </row>
    <row r="7217" spans="19:19" ht="60" customHeight="1" x14ac:dyDescent="0.25">
      <c r="S7217" s="188"/>
    </row>
    <row r="7218" spans="19:19" ht="60" customHeight="1" x14ac:dyDescent="0.25">
      <c r="S7218" s="188"/>
    </row>
    <row r="7219" spans="19:19" ht="60" customHeight="1" x14ac:dyDescent="0.25">
      <c r="S7219" s="188"/>
    </row>
    <row r="7220" spans="19:19" ht="60" customHeight="1" x14ac:dyDescent="0.25">
      <c r="S7220" s="188"/>
    </row>
    <row r="7221" spans="19:19" ht="60" customHeight="1" x14ac:dyDescent="0.25">
      <c r="S7221" s="188"/>
    </row>
    <row r="7222" spans="19:19" ht="60" customHeight="1" x14ac:dyDescent="0.25">
      <c r="S7222" s="188"/>
    </row>
    <row r="7223" spans="19:19" ht="60" customHeight="1" x14ac:dyDescent="0.25">
      <c r="S7223" s="188"/>
    </row>
    <row r="7224" spans="19:19" ht="60" customHeight="1" x14ac:dyDescent="0.25">
      <c r="S7224" s="188"/>
    </row>
    <row r="7225" spans="19:19" ht="60" customHeight="1" x14ac:dyDescent="0.25">
      <c r="S7225" s="188"/>
    </row>
    <row r="7226" spans="19:19" ht="60" customHeight="1" x14ac:dyDescent="0.25">
      <c r="S7226" s="188"/>
    </row>
    <row r="7227" spans="19:19" ht="60" customHeight="1" x14ac:dyDescent="0.25">
      <c r="S7227" s="188"/>
    </row>
    <row r="7228" spans="19:19" ht="60" customHeight="1" x14ac:dyDescent="0.25">
      <c r="S7228" s="188"/>
    </row>
    <row r="7229" spans="19:19" ht="60" customHeight="1" x14ac:dyDescent="0.25">
      <c r="S7229" s="188"/>
    </row>
    <row r="7230" spans="19:19" ht="60" customHeight="1" x14ac:dyDescent="0.25">
      <c r="S7230" s="188"/>
    </row>
    <row r="7231" spans="19:19" ht="60" customHeight="1" x14ac:dyDescent="0.25">
      <c r="S7231" s="188"/>
    </row>
    <row r="7232" spans="19:19" ht="60" customHeight="1" x14ac:dyDescent="0.25">
      <c r="S7232" s="188"/>
    </row>
    <row r="7233" spans="19:19" ht="60" customHeight="1" x14ac:dyDescent="0.25">
      <c r="S7233" s="188"/>
    </row>
    <row r="7234" spans="19:19" ht="60" customHeight="1" x14ac:dyDescent="0.25">
      <c r="S7234" s="188"/>
    </row>
    <row r="7235" spans="19:19" ht="60" customHeight="1" x14ac:dyDescent="0.25">
      <c r="S7235" s="188"/>
    </row>
    <row r="7236" spans="19:19" ht="60" customHeight="1" x14ac:dyDescent="0.25">
      <c r="S7236" s="188"/>
    </row>
    <row r="7237" spans="19:19" ht="60" customHeight="1" x14ac:dyDescent="0.25">
      <c r="S7237" s="188"/>
    </row>
    <row r="7238" spans="19:19" ht="60" customHeight="1" x14ac:dyDescent="0.25">
      <c r="S7238" s="188"/>
    </row>
    <row r="7239" spans="19:19" ht="60" customHeight="1" x14ac:dyDescent="0.25">
      <c r="S7239" s="188"/>
    </row>
    <row r="7240" spans="19:19" ht="60" customHeight="1" x14ac:dyDescent="0.25">
      <c r="S7240" s="188"/>
    </row>
    <row r="7241" spans="19:19" ht="60" customHeight="1" x14ac:dyDescent="0.25">
      <c r="S7241" s="188"/>
    </row>
    <row r="7242" spans="19:19" ht="60" customHeight="1" x14ac:dyDescent="0.25">
      <c r="S7242" s="188"/>
    </row>
    <row r="7243" spans="19:19" ht="60" customHeight="1" x14ac:dyDescent="0.25">
      <c r="S7243" s="188"/>
    </row>
    <row r="7244" spans="19:19" ht="60" customHeight="1" x14ac:dyDescent="0.25">
      <c r="S7244" s="188"/>
    </row>
    <row r="7245" spans="19:19" ht="60" customHeight="1" x14ac:dyDescent="0.25">
      <c r="S7245" s="188"/>
    </row>
    <row r="7246" spans="19:19" ht="60" customHeight="1" x14ac:dyDescent="0.25">
      <c r="S7246" s="188"/>
    </row>
    <row r="7247" spans="19:19" ht="60" customHeight="1" x14ac:dyDescent="0.25">
      <c r="S7247" s="188"/>
    </row>
    <row r="7248" spans="19:19" ht="60" customHeight="1" x14ac:dyDescent="0.25">
      <c r="S7248" s="188"/>
    </row>
    <row r="7249" spans="19:19" ht="60" customHeight="1" x14ac:dyDescent="0.25">
      <c r="S7249" s="188"/>
    </row>
    <row r="7250" spans="19:19" ht="60" customHeight="1" x14ac:dyDescent="0.25">
      <c r="S7250" s="188"/>
    </row>
    <row r="7251" spans="19:19" ht="60" customHeight="1" x14ac:dyDescent="0.25">
      <c r="S7251" s="188"/>
    </row>
    <row r="7252" spans="19:19" ht="60" customHeight="1" x14ac:dyDescent="0.25">
      <c r="S7252" s="188"/>
    </row>
    <row r="7253" spans="19:19" ht="60" customHeight="1" x14ac:dyDescent="0.25">
      <c r="S7253" s="188"/>
    </row>
    <row r="7254" spans="19:19" ht="60" customHeight="1" x14ac:dyDescent="0.25">
      <c r="S7254" s="188"/>
    </row>
    <row r="7255" spans="19:19" ht="60" customHeight="1" x14ac:dyDescent="0.25">
      <c r="S7255" s="188"/>
    </row>
    <row r="7256" spans="19:19" ht="60" customHeight="1" x14ac:dyDescent="0.25">
      <c r="S7256" s="188"/>
    </row>
    <row r="7257" spans="19:19" ht="60" customHeight="1" x14ac:dyDescent="0.25">
      <c r="S7257" s="188"/>
    </row>
    <row r="7258" spans="19:19" ht="60" customHeight="1" x14ac:dyDescent="0.25">
      <c r="S7258" s="188"/>
    </row>
    <row r="7259" spans="19:19" ht="60" customHeight="1" x14ac:dyDescent="0.25">
      <c r="S7259" s="188"/>
    </row>
    <row r="7260" spans="19:19" ht="60" customHeight="1" x14ac:dyDescent="0.25">
      <c r="S7260" s="188"/>
    </row>
    <row r="7261" spans="19:19" ht="60" customHeight="1" x14ac:dyDescent="0.25">
      <c r="S7261" s="188"/>
    </row>
    <row r="7262" spans="19:19" ht="60" customHeight="1" x14ac:dyDescent="0.25">
      <c r="S7262" s="188"/>
    </row>
    <row r="7263" spans="19:19" ht="60" customHeight="1" x14ac:dyDescent="0.25">
      <c r="S7263" s="188"/>
    </row>
    <row r="7264" spans="19:19" ht="60" customHeight="1" x14ac:dyDescent="0.25">
      <c r="S7264" s="188"/>
    </row>
    <row r="7265" spans="19:19" ht="60" customHeight="1" x14ac:dyDescent="0.25">
      <c r="S7265" s="188"/>
    </row>
    <row r="7266" spans="19:19" ht="60" customHeight="1" x14ac:dyDescent="0.25">
      <c r="S7266" s="188"/>
    </row>
    <row r="7267" spans="19:19" ht="60" customHeight="1" x14ac:dyDescent="0.25">
      <c r="S7267" s="188"/>
    </row>
    <row r="7268" spans="19:19" ht="60" customHeight="1" x14ac:dyDescent="0.25">
      <c r="S7268" s="188"/>
    </row>
    <row r="7269" spans="19:19" ht="60" customHeight="1" x14ac:dyDescent="0.25">
      <c r="S7269" s="188"/>
    </row>
    <row r="7270" spans="19:19" ht="60" customHeight="1" x14ac:dyDescent="0.25">
      <c r="S7270" s="188"/>
    </row>
    <row r="7271" spans="19:19" ht="60" customHeight="1" x14ac:dyDescent="0.25">
      <c r="S7271" s="188"/>
    </row>
    <row r="7272" spans="19:19" ht="60" customHeight="1" x14ac:dyDescent="0.25">
      <c r="S7272" s="188"/>
    </row>
    <row r="7273" spans="19:19" ht="60" customHeight="1" x14ac:dyDescent="0.25">
      <c r="S7273" s="188"/>
    </row>
    <row r="7274" spans="19:19" ht="60" customHeight="1" x14ac:dyDescent="0.25">
      <c r="S7274" s="188"/>
    </row>
    <row r="7275" spans="19:19" ht="60" customHeight="1" x14ac:dyDescent="0.25">
      <c r="S7275" s="188"/>
    </row>
    <row r="7276" spans="19:19" ht="60" customHeight="1" x14ac:dyDescent="0.25">
      <c r="S7276" s="188"/>
    </row>
    <row r="7277" spans="19:19" ht="60" customHeight="1" x14ac:dyDescent="0.25">
      <c r="S7277" s="188"/>
    </row>
    <row r="7278" spans="19:19" ht="60" customHeight="1" x14ac:dyDescent="0.25">
      <c r="S7278" s="188"/>
    </row>
    <row r="7279" spans="19:19" ht="60" customHeight="1" x14ac:dyDescent="0.25">
      <c r="S7279" s="188"/>
    </row>
    <row r="7280" spans="19:19" ht="60" customHeight="1" x14ac:dyDescent="0.25">
      <c r="S7280" s="188"/>
    </row>
    <row r="7281" spans="19:19" ht="60" customHeight="1" x14ac:dyDescent="0.25">
      <c r="S7281" s="188"/>
    </row>
    <row r="7282" spans="19:19" ht="60" customHeight="1" x14ac:dyDescent="0.25">
      <c r="S7282" s="188"/>
    </row>
    <row r="7283" spans="19:19" ht="60" customHeight="1" x14ac:dyDescent="0.25">
      <c r="S7283" s="188"/>
    </row>
    <row r="7284" spans="19:19" ht="60" customHeight="1" x14ac:dyDescent="0.25">
      <c r="S7284" s="188"/>
    </row>
    <row r="7285" spans="19:19" ht="60" customHeight="1" x14ac:dyDescent="0.25">
      <c r="S7285" s="188"/>
    </row>
    <row r="7286" spans="19:19" ht="60" customHeight="1" x14ac:dyDescent="0.25">
      <c r="S7286" s="188"/>
    </row>
    <row r="7287" spans="19:19" ht="60" customHeight="1" x14ac:dyDescent="0.25">
      <c r="S7287" s="188"/>
    </row>
    <row r="7288" spans="19:19" ht="60" customHeight="1" x14ac:dyDescent="0.25">
      <c r="S7288" s="188"/>
    </row>
    <row r="7289" spans="19:19" ht="60" customHeight="1" x14ac:dyDescent="0.25">
      <c r="S7289" s="188"/>
    </row>
    <row r="7290" spans="19:19" ht="60" customHeight="1" x14ac:dyDescent="0.25">
      <c r="S7290" s="188"/>
    </row>
    <row r="7291" spans="19:19" ht="60" customHeight="1" x14ac:dyDescent="0.25">
      <c r="S7291" s="188"/>
    </row>
    <row r="7292" spans="19:19" ht="60" customHeight="1" x14ac:dyDescent="0.25">
      <c r="S7292" s="188"/>
    </row>
    <row r="7293" spans="19:19" ht="60" customHeight="1" x14ac:dyDescent="0.25">
      <c r="S7293" s="188"/>
    </row>
    <row r="7294" spans="19:19" ht="60" customHeight="1" x14ac:dyDescent="0.25">
      <c r="S7294" s="188"/>
    </row>
    <row r="7295" spans="19:19" ht="60" customHeight="1" x14ac:dyDescent="0.25">
      <c r="S7295" s="188"/>
    </row>
    <row r="7296" spans="19:19" ht="60" customHeight="1" x14ac:dyDescent="0.25">
      <c r="S7296" s="188"/>
    </row>
    <row r="7297" spans="19:19" ht="60" customHeight="1" x14ac:dyDescent="0.25">
      <c r="S7297" s="188"/>
    </row>
    <row r="7298" spans="19:19" ht="60" customHeight="1" x14ac:dyDescent="0.25">
      <c r="S7298" s="188"/>
    </row>
    <row r="7299" spans="19:19" ht="60" customHeight="1" x14ac:dyDescent="0.25">
      <c r="S7299" s="188"/>
    </row>
    <row r="7300" spans="19:19" ht="60" customHeight="1" x14ac:dyDescent="0.25">
      <c r="S7300" s="188"/>
    </row>
    <row r="7301" spans="19:19" ht="60" customHeight="1" x14ac:dyDescent="0.25">
      <c r="S7301" s="188"/>
    </row>
    <row r="7302" spans="19:19" ht="60" customHeight="1" x14ac:dyDescent="0.25">
      <c r="S7302" s="188"/>
    </row>
    <row r="7303" spans="19:19" ht="60" customHeight="1" x14ac:dyDescent="0.25">
      <c r="S7303" s="188"/>
    </row>
    <row r="7304" spans="19:19" ht="60" customHeight="1" x14ac:dyDescent="0.25">
      <c r="S7304" s="188"/>
    </row>
    <row r="7305" spans="19:19" ht="60" customHeight="1" x14ac:dyDescent="0.25">
      <c r="S7305" s="188"/>
    </row>
    <row r="7306" spans="19:19" ht="60" customHeight="1" x14ac:dyDescent="0.25">
      <c r="S7306" s="188"/>
    </row>
    <row r="7307" spans="19:19" ht="60" customHeight="1" x14ac:dyDescent="0.25">
      <c r="S7307" s="188"/>
    </row>
    <row r="7308" spans="19:19" ht="60" customHeight="1" x14ac:dyDescent="0.25">
      <c r="S7308" s="188"/>
    </row>
    <row r="7309" spans="19:19" ht="60" customHeight="1" x14ac:dyDescent="0.25">
      <c r="S7309" s="188"/>
    </row>
    <row r="7310" spans="19:19" ht="60" customHeight="1" x14ac:dyDescent="0.25">
      <c r="S7310" s="188"/>
    </row>
    <row r="7311" spans="19:19" ht="60" customHeight="1" x14ac:dyDescent="0.25">
      <c r="S7311" s="188"/>
    </row>
    <row r="7312" spans="19:19" ht="60" customHeight="1" x14ac:dyDescent="0.25">
      <c r="S7312" s="188"/>
    </row>
    <row r="7313" spans="19:19" ht="60" customHeight="1" x14ac:dyDescent="0.25">
      <c r="S7313" s="188"/>
    </row>
    <row r="7314" spans="19:19" ht="60" customHeight="1" x14ac:dyDescent="0.25">
      <c r="S7314" s="188"/>
    </row>
    <row r="7315" spans="19:19" ht="60" customHeight="1" x14ac:dyDescent="0.25">
      <c r="S7315" s="188"/>
    </row>
    <row r="7316" spans="19:19" ht="60" customHeight="1" x14ac:dyDescent="0.25">
      <c r="S7316" s="188"/>
    </row>
    <row r="7317" spans="19:19" ht="60" customHeight="1" x14ac:dyDescent="0.25">
      <c r="S7317" s="188"/>
    </row>
    <row r="7318" spans="19:19" ht="60" customHeight="1" x14ac:dyDescent="0.25">
      <c r="S7318" s="188"/>
    </row>
    <row r="7319" spans="19:19" ht="60" customHeight="1" x14ac:dyDescent="0.25">
      <c r="S7319" s="188"/>
    </row>
    <row r="7320" spans="19:19" ht="60" customHeight="1" x14ac:dyDescent="0.25">
      <c r="S7320" s="188"/>
    </row>
    <row r="7321" spans="19:19" ht="60" customHeight="1" x14ac:dyDescent="0.25">
      <c r="S7321" s="188"/>
    </row>
    <row r="7322" spans="19:19" ht="60" customHeight="1" x14ac:dyDescent="0.25">
      <c r="S7322" s="188"/>
    </row>
    <row r="7323" spans="19:19" ht="60" customHeight="1" x14ac:dyDescent="0.25">
      <c r="S7323" s="188"/>
    </row>
    <row r="7324" spans="19:19" ht="60" customHeight="1" x14ac:dyDescent="0.25">
      <c r="S7324" s="188"/>
    </row>
    <row r="7325" spans="19:19" ht="60" customHeight="1" x14ac:dyDescent="0.25">
      <c r="S7325" s="188"/>
    </row>
    <row r="7326" spans="19:19" ht="60" customHeight="1" x14ac:dyDescent="0.25">
      <c r="S7326" s="188"/>
    </row>
    <row r="7327" spans="19:19" ht="60" customHeight="1" x14ac:dyDescent="0.25">
      <c r="S7327" s="188"/>
    </row>
    <row r="7328" spans="19:19" ht="60" customHeight="1" x14ac:dyDescent="0.25">
      <c r="S7328" s="188"/>
    </row>
    <row r="7329" spans="19:19" ht="60" customHeight="1" x14ac:dyDescent="0.25">
      <c r="S7329" s="188"/>
    </row>
    <row r="7330" spans="19:19" ht="60" customHeight="1" x14ac:dyDescent="0.25">
      <c r="S7330" s="188"/>
    </row>
    <row r="7331" spans="19:19" ht="60" customHeight="1" x14ac:dyDescent="0.25">
      <c r="S7331" s="188"/>
    </row>
    <row r="7332" spans="19:19" ht="60" customHeight="1" x14ac:dyDescent="0.25">
      <c r="S7332" s="188"/>
    </row>
    <row r="7333" spans="19:19" ht="60" customHeight="1" x14ac:dyDescent="0.25">
      <c r="S7333" s="188"/>
    </row>
    <row r="7334" spans="19:19" ht="60" customHeight="1" x14ac:dyDescent="0.25">
      <c r="S7334" s="188"/>
    </row>
    <row r="7335" spans="19:19" ht="60" customHeight="1" x14ac:dyDescent="0.25">
      <c r="S7335" s="188"/>
    </row>
    <row r="7336" spans="19:19" ht="60" customHeight="1" x14ac:dyDescent="0.25">
      <c r="S7336" s="188"/>
    </row>
    <row r="7337" spans="19:19" ht="60" customHeight="1" x14ac:dyDescent="0.25">
      <c r="S7337" s="188"/>
    </row>
    <row r="7338" spans="19:19" ht="60" customHeight="1" x14ac:dyDescent="0.25">
      <c r="S7338" s="188"/>
    </row>
    <row r="7339" spans="19:19" ht="60" customHeight="1" x14ac:dyDescent="0.25">
      <c r="S7339" s="188"/>
    </row>
    <row r="7340" spans="19:19" ht="60" customHeight="1" x14ac:dyDescent="0.25">
      <c r="S7340" s="188"/>
    </row>
    <row r="7341" spans="19:19" ht="60" customHeight="1" x14ac:dyDescent="0.25">
      <c r="S7341" s="188"/>
    </row>
    <row r="7342" spans="19:19" ht="60" customHeight="1" x14ac:dyDescent="0.25">
      <c r="S7342" s="188"/>
    </row>
    <row r="7343" spans="19:19" ht="60" customHeight="1" x14ac:dyDescent="0.25">
      <c r="S7343" s="188"/>
    </row>
    <row r="7344" spans="19:19" ht="60" customHeight="1" x14ac:dyDescent="0.25">
      <c r="S7344" s="188"/>
    </row>
    <row r="7345" spans="19:19" ht="60" customHeight="1" x14ac:dyDescent="0.25">
      <c r="S7345" s="188"/>
    </row>
    <row r="7346" spans="19:19" ht="60" customHeight="1" x14ac:dyDescent="0.25">
      <c r="S7346" s="188"/>
    </row>
    <row r="7347" spans="19:19" ht="60" customHeight="1" x14ac:dyDescent="0.25">
      <c r="S7347" s="188"/>
    </row>
    <row r="7348" spans="19:19" ht="60" customHeight="1" x14ac:dyDescent="0.25">
      <c r="S7348" s="188"/>
    </row>
    <row r="7349" spans="19:19" ht="60" customHeight="1" x14ac:dyDescent="0.25">
      <c r="S7349" s="188"/>
    </row>
    <row r="7350" spans="19:19" ht="60" customHeight="1" x14ac:dyDescent="0.25">
      <c r="S7350" s="188"/>
    </row>
    <row r="7351" spans="19:19" ht="60" customHeight="1" x14ac:dyDescent="0.25">
      <c r="S7351" s="188"/>
    </row>
    <row r="7352" spans="19:19" ht="60" customHeight="1" x14ac:dyDescent="0.25">
      <c r="S7352" s="188"/>
    </row>
    <row r="7353" spans="19:19" ht="60" customHeight="1" x14ac:dyDescent="0.25">
      <c r="S7353" s="188"/>
    </row>
    <row r="7354" spans="19:19" ht="60" customHeight="1" x14ac:dyDescent="0.25">
      <c r="S7354" s="188"/>
    </row>
    <row r="7355" spans="19:19" ht="60" customHeight="1" x14ac:dyDescent="0.25">
      <c r="S7355" s="188"/>
    </row>
    <row r="7356" spans="19:19" ht="60" customHeight="1" x14ac:dyDescent="0.25">
      <c r="S7356" s="188"/>
    </row>
    <row r="7357" spans="19:19" ht="60" customHeight="1" x14ac:dyDescent="0.25">
      <c r="S7357" s="188"/>
    </row>
    <row r="7358" spans="19:19" ht="60" customHeight="1" x14ac:dyDescent="0.25">
      <c r="S7358" s="188"/>
    </row>
    <row r="7359" spans="19:19" ht="60" customHeight="1" x14ac:dyDescent="0.25">
      <c r="S7359" s="188"/>
    </row>
    <row r="7360" spans="19:19" ht="60" customHeight="1" x14ac:dyDescent="0.25">
      <c r="S7360" s="188"/>
    </row>
    <row r="7361" spans="19:19" ht="60" customHeight="1" x14ac:dyDescent="0.25">
      <c r="S7361" s="188"/>
    </row>
    <row r="7362" spans="19:19" ht="60" customHeight="1" x14ac:dyDescent="0.25">
      <c r="S7362" s="188"/>
    </row>
    <row r="7363" spans="19:19" ht="60" customHeight="1" x14ac:dyDescent="0.25">
      <c r="S7363" s="188"/>
    </row>
    <row r="7364" spans="19:19" ht="60" customHeight="1" x14ac:dyDescent="0.25">
      <c r="S7364" s="188"/>
    </row>
    <row r="7365" spans="19:19" ht="60" customHeight="1" x14ac:dyDescent="0.25">
      <c r="S7365" s="188"/>
    </row>
    <row r="7366" spans="19:19" ht="60" customHeight="1" x14ac:dyDescent="0.25">
      <c r="S7366" s="188"/>
    </row>
    <row r="7367" spans="19:19" ht="60" customHeight="1" x14ac:dyDescent="0.25">
      <c r="S7367" s="188"/>
    </row>
    <row r="7368" spans="19:19" ht="60" customHeight="1" x14ac:dyDescent="0.25">
      <c r="S7368" s="188"/>
    </row>
    <row r="7369" spans="19:19" ht="60" customHeight="1" x14ac:dyDescent="0.25">
      <c r="S7369" s="188"/>
    </row>
    <row r="7370" spans="19:19" ht="60" customHeight="1" x14ac:dyDescent="0.25">
      <c r="S7370" s="188"/>
    </row>
    <row r="7371" spans="19:19" ht="60" customHeight="1" x14ac:dyDescent="0.25">
      <c r="S7371" s="188"/>
    </row>
    <row r="7372" spans="19:19" ht="60" customHeight="1" x14ac:dyDescent="0.25">
      <c r="S7372" s="188"/>
    </row>
    <row r="7373" spans="19:19" ht="60" customHeight="1" x14ac:dyDescent="0.25">
      <c r="S7373" s="188"/>
    </row>
    <row r="7374" spans="19:19" ht="60" customHeight="1" x14ac:dyDescent="0.25">
      <c r="S7374" s="188"/>
    </row>
    <row r="7375" spans="19:19" ht="60" customHeight="1" x14ac:dyDescent="0.25">
      <c r="S7375" s="188"/>
    </row>
    <row r="7376" spans="19:19" ht="60" customHeight="1" x14ac:dyDescent="0.25">
      <c r="S7376" s="188"/>
    </row>
    <row r="7377" spans="19:19" ht="60" customHeight="1" x14ac:dyDescent="0.25">
      <c r="S7377" s="188"/>
    </row>
    <row r="7378" spans="19:19" ht="60" customHeight="1" x14ac:dyDescent="0.25">
      <c r="S7378" s="188"/>
    </row>
    <row r="7379" spans="19:19" ht="60" customHeight="1" x14ac:dyDescent="0.25">
      <c r="S7379" s="188"/>
    </row>
    <row r="7380" spans="19:19" ht="60" customHeight="1" x14ac:dyDescent="0.25">
      <c r="S7380" s="188"/>
    </row>
    <row r="7381" spans="19:19" ht="60" customHeight="1" x14ac:dyDescent="0.25">
      <c r="S7381" s="188"/>
    </row>
    <row r="7382" spans="19:19" ht="60" customHeight="1" x14ac:dyDescent="0.25">
      <c r="S7382" s="188"/>
    </row>
    <row r="7383" spans="19:19" ht="60" customHeight="1" x14ac:dyDescent="0.25">
      <c r="S7383" s="188"/>
    </row>
    <row r="7384" spans="19:19" ht="60" customHeight="1" x14ac:dyDescent="0.25">
      <c r="S7384" s="188"/>
    </row>
    <row r="7385" spans="19:19" ht="60" customHeight="1" x14ac:dyDescent="0.25">
      <c r="S7385" s="188"/>
    </row>
    <row r="7386" spans="19:19" ht="60" customHeight="1" x14ac:dyDescent="0.25">
      <c r="S7386" s="188"/>
    </row>
    <row r="7387" spans="19:19" ht="60" customHeight="1" x14ac:dyDescent="0.25">
      <c r="S7387" s="188"/>
    </row>
    <row r="7388" spans="19:19" ht="60" customHeight="1" x14ac:dyDescent="0.25">
      <c r="S7388" s="188"/>
    </row>
    <row r="7389" spans="19:19" ht="60" customHeight="1" x14ac:dyDescent="0.25">
      <c r="S7389" s="188"/>
    </row>
    <row r="7390" spans="19:19" ht="60" customHeight="1" x14ac:dyDescent="0.25">
      <c r="S7390" s="188"/>
    </row>
    <row r="7391" spans="19:19" ht="60" customHeight="1" x14ac:dyDescent="0.25">
      <c r="S7391" s="188"/>
    </row>
    <row r="7392" spans="19:19" ht="60" customHeight="1" x14ac:dyDescent="0.25">
      <c r="S7392" s="188"/>
    </row>
    <row r="7393" spans="19:19" ht="60" customHeight="1" x14ac:dyDescent="0.25">
      <c r="S7393" s="188"/>
    </row>
    <row r="7394" spans="19:19" ht="60" customHeight="1" x14ac:dyDescent="0.25">
      <c r="S7394" s="188"/>
    </row>
    <row r="7395" spans="19:19" ht="60" customHeight="1" x14ac:dyDescent="0.25">
      <c r="S7395" s="188"/>
    </row>
    <row r="7396" spans="19:19" ht="60" customHeight="1" x14ac:dyDescent="0.25">
      <c r="S7396" s="188"/>
    </row>
    <row r="7397" spans="19:19" ht="60" customHeight="1" x14ac:dyDescent="0.25">
      <c r="S7397" s="188"/>
    </row>
    <row r="7398" spans="19:19" ht="60" customHeight="1" x14ac:dyDescent="0.25">
      <c r="S7398" s="188"/>
    </row>
    <row r="7399" spans="19:19" ht="60" customHeight="1" x14ac:dyDescent="0.25">
      <c r="S7399" s="188"/>
    </row>
    <row r="7400" spans="19:19" ht="60" customHeight="1" x14ac:dyDescent="0.25">
      <c r="S7400" s="188"/>
    </row>
    <row r="7401" spans="19:19" ht="60" customHeight="1" x14ac:dyDescent="0.25">
      <c r="S7401" s="188"/>
    </row>
    <row r="7402" spans="19:19" ht="60" customHeight="1" x14ac:dyDescent="0.25">
      <c r="S7402" s="188"/>
    </row>
    <row r="7403" spans="19:19" ht="60" customHeight="1" x14ac:dyDescent="0.25">
      <c r="S7403" s="188"/>
    </row>
    <row r="7404" spans="19:19" ht="60" customHeight="1" x14ac:dyDescent="0.25">
      <c r="S7404" s="188"/>
    </row>
    <row r="7405" spans="19:19" ht="60" customHeight="1" x14ac:dyDescent="0.25">
      <c r="S7405" s="188"/>
    </row>
    <row r="7406" spans="19:19" ht="60" customHeight="1" x14ac:dyDescent="0.25">
      <c r="S7406" s="188"/>
    </row>
    <row r="7407" spans="19:19" ht="60" customHeight="1" x14ac:dyDescent="0.25">
      <c r="S7407" s="188"/>
    </row>
    <row r="7408" spans="19:19" ht="60" customHeight="1" x14ac:dyDescent="0.25">
      <c r="S7408" s="188"/>
    </row>
    <row r="7409" spans="19:19" ht="60" customHeight="1" x14ac:dyDescent="0.25">
      <c r="S7409" s="188"/>
    </row>
    <row r="7410" spans="19:19" ht="60" customHeight="1" x14ac:dyDescent="0.25">
      <c r="S7410" s="188"/>
    </row>
    <row r="7411" spans="19:19" ht="60" customHeight="1" x14ac:dyDescent="0.25">
      <c r="S7411" s="188"/>
    </row>
    <row r="7412" spans="19:19" ht="60" customHeight="1" x14ac:dyDescent="0.25">
      <c r="S7412" s="188"/>
    </row>
    <row r="7413" spans="19:19" ht="60" customHeight="1" x14ac:dyDescent="0.25">
      <c r="S7413" s="188"/>
    </row>
    <row r="7414" spans="19:19" ht="60" customHeight="1" x14ac:dyDescent="0.25">
      <c r="S7414" s="188"/>
    </row>
    <row r="7415" spans="19:19" ht="60" customHeight="1" x14ac:dyDescent="0.25">
      <c r="S7415" s="188"/>
    </row>
    <row r="7416" spans="19:19" ht="60" customHeight="1" x14ac:dyDescent="0.25">
      <c r="S7416" s="188"/>
    </row>
    <row r="7417" spans="19:19" ht="60" customHeight="1" x14ac:dyDescent="0.25">
      <c r="S7417" s="188"/>
    </row>
    <row r="7418" spans="19:19" ht="60" customHeight="1" x14ac:dyDescent="0.25">
      <c r="S7418" s="188"/>
    </row>
    <row r="7419" spans="19:19" ht="60" customHeight="1" x14ac:dyDescent="0.25">
      <c r="S7419" s="188"/>
    </row>
    <row r="7420" spans="19:19" ht="60" customHeight="1" x14ac:dyDescent="0.25">
      <c r="S7420" s="188"/>
    </row>
    <row r="7421" spans="19:19" ht="60" customHeight="1" x14ac:dyDescent="0.25">
      <c r="S7421" s="188"/>
    </row>
    <row r="7422" spans="19:19" ht="60" customHeight="1" x14ac:dyDescent="0.25">
      <c r="S7422" s="188"/>
    </row>
    <row r="7423" spans="19:19" ht="60" customHeight="1" x14ac:dyDescent="0.25">
      <c r="S7423" s="188"/>
    </row>
    <row r="7424" spans="19:19" ht="60" customHeight="1" x14ac:dyDescent="0.25">
      <c r="S7424" s="188"/>
    </row>
    <row r="7425" spans="19:19" ht="60" customHeight="1" x14ac:dyDescent="0.25">
      <c r="S7425" s="188"/>
    </row>
    <row r="7426" spans="19:19" ht="60" customHeight="1" x14ac:dyDescent="0.25">
      <c r="S7426" s="188"/>
    </row>
    <row r="7427" spans="19:19" ht="60" customHeight="1" x14ac:dyDescent="0.25">
      <c r="S7427" s="188"/>
    </row>
    <row r="7428" spans="19:19" ht="60" customHeight="1" x14ac:dyDescent="0.25">
      <c r="S7428" s="188"/>
    </row>
    <row r="7429" spans="19:19" ht="60" customHeight="1" x14ac:dyDescent="0.25">
      <c r="S7429" s="188"/>
    </row>
    <row r="7430" spans="19:19" ht="60" customHeight="1" x14ac:dyDescent="0.25">
      <c r="S7430" s="188"/>
    </row>
    <row r="7431" spans="19:19" ht="60" customHeight="1" x14ac:dyDescent="0.25">
      <c r="S7431" s="188"/>
    </row>
    <row r="7432" spans="19:19" ht="60" customHeight="1" x14ac:dyDescent="0.25">
      <c r="S7432" s="188"/>
    </row>
    <row r="7433" spans="19:19" ht="60" customHeight="1" x14ac:dyDescent="0.25">
      <c r="S7433" s="188"/>
    </row>
    <row r="7434" spans="19:19" ht="60" customHeight="1" x14ac:dyDescent="0.25">
      <c r="S7434" s="188"/>
    </row>
    <row r="7435" spans="19:19" ht="60" customHeight="1" x14ac:dyDescent="0.25">
      <c r="S7435" s="188"/>
    </row>
    <row r="7436" spans="19:19" ht="60" customHeight="1" x14ac:dyDescent="0.25">
      <c r="S7436" s="188"/>
    </row>
    <row r="7437" spans="19:19" ht="60" customHeight="1" x14ac:dyDescent="0.25">
      <c r="S7437" s="188"/>
    </row>
    <row r="7438" spans="19:19" ht="60" customHeight="1" x14ac:dyDescent="0.25">
      <c r="S7438" s="188"/>
    </row>
    <row r="7439" spans="19:19" ht="60" customHeight="1" x14ac:dyDescent="0.25">
      <c r="S7439" s="188"/>
    </row>
    <row r="7440" spans="19:19" ht="60" customHeight="1" x14ac:dyDescent="0.25">
      <c r="S7440" s="188"/>
    </row>
    <row r="7441" spans="19:19" ht="60" customHeight="1" x14ac:dyDescent="0.25">
      <c r="S7441" s="188"/>
    </row>
    <row r="7442" spans="19:19" ht="60" customHeight="1" x14ac:dyDescent="0.25">
      <c r="S7442" s="188"/>
    </row>
    <row r="7443" spans="19:19" ht="60" customHeight="1" x14ac:dyDescent="0.25">
      <c r="S7443" s="188"/>
    </row>
    <row r="7444" spans="19:19" ht="60" customHeight="1" x14ac:dyDescent="0.25">
      <c r="S7444" s="188"/>
    </row>
    <row r="7445" spans="19:19" ht="60" customHeight="1" x14ac:dyDescent="0.25">
      <c r="S7445" s="188"/>
    </row>
    <row r="7446" spans="19:19" ht="60" customHeight="1" x14ac:dyDescent="0.25">
      <c r="S7446" s="188"/>
    </row>
    <row r="7447" spans="19:19" ht="60" customHeight="1" x14ac:dyDescent="0.25">
      <c r="S7447" s="188"/>
    </row>
    <row r="7448" spans="19:19" ht="60" customHeight="1" x14ac:dyDescent="0.25">
      <c r="S7448" s="188"/>
    </row>
    <row r="7449" spans="19:19" ht="60" customHeight="1" x14ac:dyDescent="0.25">
      <c r="S7449" s="188"/>
    </row>
    <row r="7450" spans="19:19" ht="60" customHeight="1" x14ac:dyDescent="0.25">
      <c r="S7450" s="188"/>
    </row>
    <row r="7451" spans="19:19" ht="60" customHeight="1" x14ac:dyDescent="0.25">
      <c r="S7451" s="188"/>
    </row>
    <row r="7452" spans="19:19" ht="60" customHeight="1" x14ac:dyDescent="0.25">
      <c r="S7452" s="188"/>
    </row>
    <row r="7453" spans="19:19" ht="60" customHeight="1" x14ac:dyDescent="0.25">
      <c r="S7453" s="188"/>
    </row>
    <row r="7454" spans="19:19" ht="60" customHeight="1" x14ac:dyDescent="0.25">
      <c r="S7454" s="188"/>
    </row>
    <row r="7455" spans="19:19" ht="60" customHeight="1" x14ac:dyDescent="0.25">
      <c r="S7455" s="188"/>
    </row>
    <row r="7456" spans="19:19" ht="60" customHeight="1" x14ac:dyDescent="0.25">
      <c r="S7456" s="188"/>
    </row>
    <row r="7457" spans="19:19" ht="60" customHeight="1" x14ac:dyDescent="0.25">
      <c r="S7457" s="188"/>
    </row>
    <row r="7458" spans="19:19" ht="60" customHeight="1" x14ac:dyDescent="0.25">
      <c r="S7458" s="188"/>
    </row>
    <row r="7459" spans="19:19" ht="60" customHeight="1" x14ac:dyDescent="0.25">
      <c r="S7459" s="188"/>
    </row>
    <row r="7460" spans="19:19" ht="60" customHeight="1" x14ac:dyDescent="0.25">
      <c r="S7460" s="188"/>
    </row>
    <row r="7461" spans="19:19" ht="60" customHeight="1" x14ac:dyDescent="0.25">
      <c r="S7461" s="188"/>
    </row>
    <row r="7462" spans="19:19" ht="60" customHeight="1" x14ac:dyDescent="0.25">
      <c r="S7462" s="188"/>
    </row>
    <row r="7463" spans="19:19" ht="60" customHeight="1" x14ac:dyDescent="0.25">
      <c r="S7463" s="188"/>
    </row>
    <row r="7464" spans="19:19" ht="60" customHeight="1" x14ac:dyDescent="0.25">
      <c r="S7464" s="188"/>
    </row>
    <row r="7465" spans="19:19" ht="60" customHeight="1" x14ac:dyDescent="0.25">
      <c r="S7465" s="188"/>
    </row>
    <row r="7466" spans="19:19" ht="60" customHeight="1" x14ac:dyDescent="0.25">
      <c r="S7466" s="188"/>
    </row>
    <row r="7467" spans="19:19" ht="60" customHeight="1" x14ac:dyDescent="0.25">
      <c r="S7467" s="188"/>
    </row>
    <row r="7468" spans="19:19" ht="60" customHeight="1" x14ac:dyDescent="0.25">
      <c r="S7468" s="188"/>
    </row>
    <row r="7469" spans="19:19" ht="60" customHeight="1" x14ac:dyDescent="0.25">
      <c r="S7469" s="188"/>
    </row>
    <row r="7470" spans="19:19" ht="60" customHeight="1" x14ac:dyDescent="0.25">
      <c r="S7470" s="188"/>
    </row>
    <row r="7471" spans="19:19" ht="60" customHeight="1" x14ac:dyDescent="0.25">
      <c r="S7471" s="188"/>
    </row>
    <row r="7472" spans="19:19" ht="60" customHeight="1" x14ac:dyDescent="0.25">
      <c r="S7472" s="188"/>
    </row>
    <row r="7473" spans="19:19" ht="60" customHeight="1" x14ac:dyDescent="0.25">
      <c r="S7473" s="188"/>
    </row>
    <row r="7474" spans="19:19" ht="60" customHeight="1" x14ac:dyDescent="0.25">
      <c r="S7474" s="188"/>
    </row>
    <row r="7475" spans="19:19" ht="60" customHeight="1" x14ac:dyDescent="0.25">
      <c r="S7475" s="188"/>
    </row>
    <row r="7476" spans="19:19" ht="60" customHeight="1" x14ac:dyDescent="0.25">
      <c r="S7476" s="188"/>
    </row>
    <row r="7477" spans="19:19" ht="60" customHeight="1" x14ac:dyDescent="0.25">
      <c r="S7477" s="188"/>
    </row>
    <row r="7478" spans="19:19" ht="60" customHeight="1" x14ac:dyDescent="0.25">
      <c r="S7478" s="188"/>
    </row>
    <row r="7479" spans="19:19" ht="60" customHeight="1" x14ac:dyDescent="0.25">
      <c r="S7479" s="188"/>
    </row>
    <row r="7480" spans="19:19" ht="60" customHeight="1" x14ac:dyDescent="0.25">
      <c r="S7480" s="188"/>
    </row>
    <row r="7481" spans="19:19" ht="60" customHeight="1" x14ac:dyDescent="0.25">
      <c r="S7481" s="188"/>
    </row>
    <row r="7482" spans="19:19" ht="60" customHeight="1" x14ac:dyDescent="0.25">
      <c r="S7482" s="188"/>
    </row>
    <row r="7483" spans="19:19" ht="60" customHeight="1" x14ac:dyDescent="0.25">
      <c r="S7483" s="188"/>
    </row>
    <row r="7484" spans="19:19" ht="60" customHeight="1" x14ac:dyDescent="0.25">
      <c r="S7484" s="188"/>
    </row>
    <row r="7485" spans="19:19" ht="60" customHeight="1" x14ac:dyDescent="0.25">
      <c r="S7485" s="188"/>
    </row>
    <row r="7486" spans="19:19" ht="60" customHeight="1" x14ac:dyDescent="0.25">
      <c r="S7486" s="188"/>
    </row>
    <row r="7487" spans="19:19" ht="60" customHeight="1" x14ac:dyDescent="0.25">
      <c r="S7487" s="188"/>
    </row>
    <row r="7488" spans="19:19" ht="60" customHeight="1" x14ac:dyDescent="0.25">
      <c r="S7488" s="188"/>
    </row>
    <row r="7489" spans="19:19" ht="60" customHeight="1" x14ac:dyDescent="0.25">
      <c r="S7489" s="188"/>
    </row>
    <row r="7490" spans="19:19" ht="60" customHeight="1" x14ac:dyDescent="0.25">
      <c r="S7490" s="188"/>
    </row>
    <row r="7491" spans="19:19" ht="60" customHeight="1" x14ac:dyDescent="0.25">
      <c r="S7491" s="188"/>
    </row>
    <row r="7492" spans="19:19" ht="60" customHeight="1" x14ac:dyDescent="0.25">
      <c r="S7492" s="188"/>
    </row>
    <row r="7493" spans="19:19" ht="60" customHeight="1" x14ac:dyDescent="0.25">
      <c r="S7493" s="188"/>
    </row>
    <row r="7494" spans="19:19" ht="60" customHeight="1" x14ac:dyDescent="0.25">
      <c r="S7494" s="188"/>
    </row>
    <row r="7495" spans="19:19" ht="60" customHeight="1" x14ac:dyDescent="0.25">
      <c r="S7495" s="188"/>
    </row>
    <row r="7496" spans="19:19" ht="60" customHeight="1" x14ac:dyDescent="0.25">
      <c r="S7496" s="188"/>
    </row>
    <row r="7497" spans="19:19" ht="60" customHeight="1" x14ac:dyDescent="0.25">
      <c r="S7497" s="188"/>
    </row>
    <row r="7498" spans="19:19" ht="60" customHeight="1" x14ac:dyDescent="0.25">
      <c r="S7498" s="188"/>
    </row>
    <row r="7499" spans="19:19" ht="60" customHeight="1" x14ac:dyDescent="0.25">
      <c r="S7499" s="188"/>
    </row>
    <row r="7500" spans="19:19" ht="60" customHeight="1" x14ac:dyDescent="0.25">
      <c r="S7500" s="188"/>
    </row>
    <row r="7501" spans="19:19" ht="60" customHeight="1" x14ac:dyDescent="0.25">
      <c r="S7501" s="188"/>
    </row>
    <row r="7502" spans="19:19" ht="60" customHeight="1" x14ac:dyDescent="0.25">
      <c r="S7502" s="188"/>
    </row>
    <row r="7503" spans="19:19" ht="60" customHeight="1" x14ac:dyDescent="0.25">
      <c r="S7503" s="188"/>
    </row>
    <row r="7504" spans="19:19" ht="60" customHeight="1" x14ac:dyDescent="0.25">
      <c r="S7504" s="188"/>
    </row>
    <row r="7505" spans="19:19" ht="60" customHeight="1" x14ac:dyDescent="0.25">
      <c r="S7505" s="188"/>
    </row>
    <row r="7506" spans="19:19" ht="60" customHeight="1" x14ac:dyDescent="0.25">
      <c r="S7506" s="188"/>
    </row>
    <row r="7507" spans="19:19" ht="60" customHeight="1" x14ac:dyDescent="0.25">
      <c r="S7507" s="188"/>
    </row>
    <row r="7508" spans="19:19" ht="60" customHeight="1" x14ac:dyDescent="0.25">
      <c r="S7508" s="188"/>
    </row>
    <row r="7509" spans="19:19" ht="60" customHeight="1" x14ac:dyDescent="0.25">
      <c r="S7509" s="188"/>
    </row>
    <row r="7510" spans="19:19" ht="60" customHeight="1" x14ac:dyDescent="0.25">
      <c r="S7510" s="188"/>
    </row>
    <row r="7511" spans="19:19" ht="60" customHeight="1" x14ac:dyDescent="0.25">
      <c r="S7511" s="188"/>
    </row>
    <row r="7512" spans="19:19" ht="60" customHeight="1" x14ac:dyDescent="0.25">
      <c r="S7512" s="188"/>
    </row>
    <row r="7513" spans="19:19" ht="60" customHeight="1" x14ac:dyDescent="0.25">
      <c r="S7513" s="188"/>
    </row>
    <row r="7514" spans="19:19" ht="60" customHeight="1" x14ac:dyDescent="0.25">
      <c r="S7514" s="188"/>
    </row>
    <row r="7515" spans="19:19" ht="60" customHeight="1" x14ac:dyDescent="0.25">
      <c r="S7515" s="188"/>
    </row>
    <row r="7516" spans="19:19" ht="60" customHeight="1" x14ac:dyDescent="0.25">
      <c r="S7516" s="188"/>
    </row>
    <row r="7517" spans="19:19" ht="60" customHeight="1" x14ac:dyDescent="0.25">
      <c r="S7517" s="188"/>
    </row>
    <row r="7518" spans="19:19" ht="60" customHeight="1" x14ac:dyDescent="0.25">
      <c r="S7518" s="188"/>
    </row>
    <row r="7519" spans="19:19" ht="60" customHeight="1" x14ac:dyDescent="0.25">
      <c r="S7519" s="188"/>
    </row>
    <row r="7520" spans="19:19" ht="60" customHeight="1" x14ac:dyDescent="0.25">
      <c r="S7520" s="188"/>
    </row>
    <row r="7521" spans="19:19" ht="60" customHeight="1" x14ac:dyDescent="0.25">
      <c r="S7521" s="188"/>
    </row>
    <row r="7522" spans="19:19" ht="60" customHeight="1" x14ac:dyDescent="0.25">
      <c r="S7522" s="188"/>
    </row>
    <row r="7523" spans="19:19" ht="60" customHeight="1" x14ac:dyDescent="0.25">
      <c r="S7523" s="188"/>
    </row>
    <row r="7524" spans="19:19" ht="60" customHeight="1" x14ac:dyDescent="0.25">
      <c r="S7524" s="188"/>
    </row>
    <row r="7525" spans="19:19" ht="60" customHeight="1" x14ac:dyDescent="0.25">
      <c r="S7525" s="188"/>
    </row>
    <row r="7526" spans="19:19" ht="60" customHeight="1" x14ac:dyDescent="0.25">
      <c r="S7526" s="188"/>
    </row>
    <row r="7527" spans="19:19" ht="60" customHeight="1" x14ac:dyDescent="0.25">
      <c r="S7527" s="188"/>
    </row>
    <row r="7528" spans="19:19" ht="60" customHeight="1" x14ac:dyDescent="0.25">
      <c r="S7528" s="188"/>
    </row>
    <row r="7529" spans="19:19" ht="60" customHeight="1" x14ac:dyDescent="0.25">
      <c r="S7529" s="188"/>
    </row>
    <row r="7530" spans="19:19" ht="60" customHeight="1" x14ac:dyDescent="0.25">
      <c r="S7530" s="188"/>
    </row>
    <row r="7531" spans="19:19" ht="60" customHeight="1" x14ac:dyDescent="0.25">
      <c r="S7531" s="188"/>
    </row>
    <row r="7532" spans="19:19" ht="60" customHeight="1" x14ac:dyDescent="0.25">
      <c r="S7532" s="188"/>
    </row>
    <row r="7533" spans="19:19" ht="60" customHeight="1" x14ac:dyDescent="0.25">
      <c r="S7533" s="188"/>
    </row>
    <row r="7534" spans="19:19" ht="60" customHeight="1" x14ac:dyDescent="0.25">
      <c r="S7534" s="188"/>
    </row>
    <row r="7535" spans="19:19" ht="60" customHeight="1" x14ac:dyDescent="0.25">
      <c r="S7535" s="188"/>
    </row>
    <row r="7536" spans="19:19" ht="60" customHeight="1" x14ac:dyDescent="0.25">
      <c r="S7536" s="188"/>
    </row>
    <row r="7537" spans="19:19" ht="60" customHeight="1" x14ac:dyDescent="0.25">
      <c r="S7537" s="188"/>
    </row>
    <row r="7538" spans="19:19" ht="60" customHeight="1" x14ac:dyDescent="0.25">
      <c r="S7538" s="188"/>
    </row>
    <row r="7539" spans="19:19" ht="60" customHeight="1" x14ac:dyDescent="0.25">
      <c r="S7539" s="188"/>
    </row>
    <row r="7540" spans="19:19" ht="60" customHeight="1" x14ac:dyDescent="0.25">
      <c r="S7540" s="188"/>
    </row>
    <row r="7541" spans="19:19" ht="60" customHeight="1" x14ac:dyDescent="0.25">
      <c r="S7541" s="188"/>
    </row>
    <row r="7542" spans="19:19" ht="60" customHeight="1" x14ac:dyDescent="0.25">
      <c r="S7542" s="188"/>
    </row>
    <row r="7543" spans="19:19" ht="60" customHeight="1" x14ac:dyDescent="0.25">
      <c r="S7543" s="188"/>
    </row>
    <row r="7544" spans="19:19" ht="60" customHeight="1" x14ac:dyDescent="0.25">
      <c r="S7544" s="188"/>
    </row>
    <row r="7545" spans="19:19" ht="60" customHeight="1" x14ac:dyDescent="0.25">
      <c r="S7545" s="188"/>
    </row>
    <row r="7546" spans="19:19" ht="60" customHeight="1" x14ac:dyDescent="0.25">
      <c r="S7546" s="188"/>
    </row>
    <row r="7547" spans="19:19" ht="60" customHeight="1" x14ac:dyDescent="0.25">
      <c r="S7547" s="188"/>
    </row>
    <row r="7548" spans="19:19" ht="60" customHeight="1" x14ac:dyDescent="0.25">
      <c r="S7548" s="188"/>
    </row>
    <row r="7549" spans="19:19" ht="60" customHeight="1" x14ac:dyDescent="0.25">
      <c r="S7549" s="188"/>
    </row>
    <row r="7550" spans="19:19" ht="60" customHeight="1" x14ac:dyDescent="0.25">
      <c r="S7550" s="188"/>
    </row>
    <row r="7551" spans="19:19" ht="60" customHeight="1" x14ac:dyDescent="0.25">
      <c r="S7551" s="188"/>
    </row>
    <row r="7552" spans="19:19" ht="60" customHeight="1" x14ac:dyDescent="0.25">
      <c r="S7552" s="188"/>
    </row>
    <row r="7553" spans="19:19" ht="60" customHeight="1" x14ac:dyDescent="0.25">
      <c r="S7553" s="188"/>
    </row>
    <row r="7554" spans="19:19" ht="60" customHeight="1" x14ac:dyDescent="0.25">
      <c r="S7554" s="188"/>
    </row>
    <row r="7555" spans="19:19" ht="60" customHeight="1" x14ac:dyDescent="0.25">
      <c r="S7555" s="188"/>
    </row>
    <row r="7556" spans="19:19" ht="60" customHeight="1" x14ac:dyDescent="0.25">
      <c r="S7556" s="188"/>
    </row>
    <row r="7557" spans="19:19" ht="60" customHeight="1" x14ac:dyDescent="0.25">
      <c r="S7557" s="188"/>
    </row>
    <row r="7558" spans="19:19" ht="60" customHeight="1" x14ac:dyDescent="0.25">
      <c r="S7558" s="188"/>
    </row>
    <row r="7559" spans="19:19" ht="60" customHeight="1" x14ac:dyDescent="0.25">
      <c r="S7559" s="188"/>
    </row>
    <row r="7560" spans="19:19" ht="60" customHeight="1" x14ac:dyDescent="0.25">
      <c r="S7560" s="188"/>
    </row>
    <row r="7561" spans="19:19" ht="60" customHeight="1" x14ac:dyDescent="0.25">
      <c r="S7561" s="188"/>
    </row>
    <row r="7562" spans="19:19" ht="60" customHeight="1" x14ac:dyDescent="0.25">
      <c r="S7562" s="188"/>
    </row>
    <row r="7563" spans="19:19" ht="60" customHeight="1" x14ac:dyDescent="0.25">
      <c r="S7563" s="188"/>
    </row>
    <row r="7564" spans="19:19" ht="60" customHeight="1" x14ac:dyDescent="0.25">
      <c r="S7564" s="188"/>
    </row>
    <row r="7565" spans="19:19" ht="60" customHeight="1" x14ac:dyDescent="0.25">
      <c r="S7565" s="188"/>
    </row>
    <row r="7566" spans="19:19" ht="60" customHeight="1" x14ac:dyDescent="0.25">
      <c r="S7566" s="188"/>
    </row>
    <row r="7567" spans="19:19" ht="60" customHeight="1" x14ac:dyDescent="0.25">
      <c r="S7567" s="188"/>
    </row>
    <row r="7568" spans="19:19" ht="60" customHeight="1" x14ac:dyDescent="0.25">
      <c r="S7568" s="188"/>
    </row>
    <row r="7569" spans="19:19" ht="60" customHeight="1" x14ac:dyDescent="0.25">
      <c r="S7569" s="188"/>
    </row>
    <row r="7570" spans="19:19" ht="60" customHeight="1" x14ac:dyDescent="0.25">
      <c r="S7570" s="188"/>
    </row>
    <row r="7571" spans="19:19" ht="60" customHeight="1" x14ac:dyDescent="0.25">
      <c r="S7571" s="188"/>
    </row>
    <row r="7572" spans="19:19" ht="60" customHeight="1" x14ac:dyDescent="0.25">
      <c r="S7572" s="188"/>
    </row>
    <row r="7573" spans="19:19" ht="60" customHeight="1" x14ac:dyDescent="0.25">
      <c r="S7573" s="188"/>
    </row>
    <row r="7574" spans="19:19" ht="60" customHeight="1" x14ac:dyDescent="0.25">
      <c r="S7574" s="188"/>
    </row>
    <row r="7575" spans="19:19" ht="60" customHeight="1" x14ac:dyDescent="0.25">
      <c r="S7575" s="188"/>
    </row>
    <row r="7576" spans="19:19" ht="60" customHeight="1" x14ac:dyDescent="0.25">
      <c r="S7576" s="188"/>
    </row>
    <row r="7577" spans="19:19" ht="60" customHeight="1" x14ac:dyDescent="0.25">
      <c r="S7577" s="188"/>
    </row>
    <row r="7578" spans="19:19" ht="60" customHeight="1" x14ac:dyDescent="0.25">
      <c r="S7578" s="188"/>
    </row>
    <row r="7579" spans="19:19" ht="60" customHeight="1" x14ac:dyDescent="0.25">
      <c r="S7579" s="188"/>
    </row>
    <row r="7580" spans="19:19" ht="60" customHeight="1" x14ac:dyDescent="0.25">
      <c r="S7580" s="188"/>
    </row>
    <row r="7581" spans="19:19" ht="60" customHeight="1" x14ac:dyDescent="0.25">
      <c r="S7581" s="188"/>
    </row>
    <row r="7582" spans="19:19" ht="60" customHeight="1" x14ac:dyDescent="0.25">
      <c r="S7582" s="188"/>
    </row>
    <row r="7583" spans="19:19" ht="60" customHeight="1" x14ac:dyDescent="0.25">
      <c r="S7583" s="188"/>
    </row>
    <row r="7584" spans="19:19" ht="60" customHeight="1" x14ac:dyDescent="0.25">
      <c r="S7584" s="188"/>
    </row>
    <row r="7585" spans="19:19" ht="60" customHeight="1" x14ac:dyDescent="0.25">
      <c r="S7585" s="188"/>
    </row>
    <row r="7586" spans="19:19" ht="60" customHeight="1" x14ac:dyDescent="0.25">
      <c r="S7586" s="188"/>
    </row>
    <row r="7587" spans="19:19" ht="60" customHeight="1" x14ac:dyDescent="0.25">
      <c r="S7587" s="188"/>
    </row>
    <row r="7588" spans="19:19" ht="60" customHeight="1" x14ac:dyDescent="0.25">
      <c r="S7588" s="188"/>
    </row>
    <row r="7589" spans="19:19" ht="60" customHeight="1" x14ac:dyDescent="0.25">
      <c r="S7589" s="188"/>
    </row>
    <row r="7590" spans="19:19" ht="60" customHeight="1" x14ac:dyDescent="0.25">
      <c r="S7590" s="188"/>
    </row>
    <row r="7591" spans="19:19" ht="60" customHeight="1" x14ac:dyDescent="0.25">
      <c r="S7591" s="188"/>
    </row>
    <row r="7592" spans="19:19" ht="60" customHeight="1" x14ac:dyDescent="0.25">
      <c r="S7592" s="188"/>
    </row>
    <row r="7593" spans="19:19" ht="60" customHeight="1" x14ac:dyDescent="0.25">
      <c r="S7593" s="188"/>
    </row>
    <row r="7594" spans="19:19" ht="60" customHeight="1" x14ac:dyDescent="0.25">
      <c r="S7594" s="188"/>
    </row>
    <row r="7595" spans="19:19" ht="60" customHeight="1" x14ac:dyDescent="0.25">
      <c r="S7595" s="188"/>
    </row>
    <row r="7596" spans="19:19" ht="60" customHeight="1" x14ac:dyDescent="0.25">
      <c r="S7596" s="188"/>
    </row>
    <row r="7597" spans="19:19" ht="60" customHeight="1" x14ac:dyDescent="0.25">
      <c r="S7597" s="188"/>
    </row>
    <row r="7598" spans="19:19" ht="60" customHeight="1" x14ac:dyDescent="0.25">
      <c r="S7598" s="188"/>
    </row>
    <row r="7599" spans="19:19" ht="60" customHeight="1" x14ac:dyDescent="0.25">
      <c r="S7599" s="188"/>
    </row>
    <row r="7600" spans="19:19" ht="60" customHeight="1" x14ac:dyDescent="0.25">
      <c r="S7600" s="188"/>
    </row>
    <row r="7601" spans="19:19" ht="60" customHeight="1" x14ac:dyDescent="0.25">
      <c r="S7601" s="188"/>
    </row>
    <row r="7602" spans="19:19" ht="60" customHeight="1" x14ac:dyDescent="0.25">
      <c r="S7602" s="188"/>
    </row>
    <row r="7603" spans="19:19" ht="60" customHeight="1" x14ac:dyDescent="0.25">
      <c r="S7603" s="188"/>
    </row>
    <row r="7604" spans="19:19" ht="60" customHeight="1" x14ac:dyDescent="0.25">
      <c r="S7604" s="188"/>
    </row>
    <row r="7605" spans="19:19" ht="60" customHeight="1" x14ac:dyDescent="0.25">
      <c r="S7605" s="188"/>
    </row>
    <row r="7606" spans="19:19" ht="60" customHeight="1" x14ac:dyDescent="0.25">
      <c r="S7606" s="188"/>
    </row>
    <row r="7607" spans="19:19" ht="60" customHeight="1" x14ac:dyDescent="0.25">
      <c r="S7607" s="188"/>
    </row>
    <row r="7608" spans="19:19" ht="60" customHeight="1" x14ac:dyDescent="0.25">
      <c r="S7608" s="188"/>
    </row>
    <row r="7609" spans="19:19" ht="60" customHeight="1" x14ac:dyDescent="0.25">
      <c r="S7609" s="188"/>
    </row>
    <row r="7610" spans="19:19" ht="60" customHeight="1" x14ac:dyDescent="0.25">
      <c r="S7610" s="188"/>
    </row>
    <row r="7611" spans="19:19" ht="60" customHeight="1" x14ac:dyDescent="0.25">
      <c r="S7611" s="188"/>
    </row>
    <row r="7612" spans="19:19" ht="60" customHeight="1" x14ac:dyDescent="0.25">
      <c r="S7612" s="188"/>
    </row>
    <row r="7613" spans="19:19" ht="60" customHeight="1" x14ac:dyDescent="0.25">
      <c r="S7613" s="188"/>
    </row>
    <row r="7614" spans="19:19" ht="60" customHeight="1" x14ac:dyDescent="0.25">
      <c r="S7614" s="188"/>
    </row>
    <row r="7615" spans="19:19" ht="60" customHeight="1" x14ac:dyDescent="0.25">
      <c r="S7615" s="188"/>
    </row>
    <row r="7616" spans="19:19" ht="60" customHeight="1" x14ac:dyDescent="0.25">
      <c r="S7616" s="188"/>
    </row>
    <row r="7617" spans="19:19" ht="60" customHeight="1" x14ac:dyDescent="0.25">
      <c r="S7617" s="188"/>
    </row>
    <row r="7618" spans="19:19" ht="60" customHeight="1" x14ac:dyDescent="0.25">
      <c r="S7618" s="188"/>
    </row>
    <row r="7619" spans="19:19" ht="60" customHeight="1" x14ac:dyDescent="0.25">
      <c r="S7619" s="188"/>
    </row>
    <row r="7620" spans="19:19" ht="60" customHeight="1" x14ac:dyDescent="0.25">
      <c r="S7620" s="188"/>
    </row>
    <row r="7621" spans="19:19" ht="60" customHeight="1" x14ac:dyDescent="0.25">
      <c r="S7621" s="188"/>
    </row>
    <row r="7622" spans="19:19" ht="60" customHeight="1" x14ac:dyDescent="0.25">
      <c r="S7622" s="188"/>
    </row>
    <row r="7623" spans="19:19" ht="60" customHeight="1" x14ac:dyDescent="0.25">
      <c r="S7623" s="188"/>
    </row>
    <row r="7624" spans="19:19" ht="60" customHeight="1" x14ac:dyDescent="0.25">
      <c r="S7624" s="188"/>
    </row>
    <row r="7625" spans="19:19" ht="60" customHeight="1" x14ac:dyDescent="0.25">
      <c r="S7625" s="188"/>
    </row>
    <row r="7626" spans="19:19" ht="60" customHeight="1" x14ac:dyDescent="0.25">
      <c r="S7626" s="188"/>
    </row>
    <row r="7627" spans="19:19" ht="60" customHeight="1" x14ac:dyDescent="0.25">
      <c r="S7627" s="188"/>
    </row>
    <row r="7628" spans="19:19" ht="60" customHeight="1" x14ac:dyDescent="0.25">
      <c r="S7628" s="188"/>
    </row>
    <row r="7629" spans="19:19" ht="60" customHeight="1" x14ac:dyDescent="0.25">
      <c r="S7629" s="188"/>
    </row>
    <row r="7630" spans="19:19" ht="60" customHeight="1" x14ac:dyDescent="0.25">
      <c r="S7630" s="188"/>
    </row>
    <row r="7631" spans="19:19" ht="60" customHeight="1" x14ac:dyDescent="0.25">
      <c r="S7631" s="188"/>
    </row>
    <row r="7632" spans="19:19" ht="60" customHeight="1" x14ac:dyDescent="0.25">
      <c r="S7632" s="188"/>
    </row>
    <row r="7633" spans="19:19" ht="60" customHeight="1" x14ac:dyDescent="0.25">
      <c r="S7633" s="188"/>
    </row>
    <row r="7634" spans="19:19" ht="60" customHeight="1" x14ac:dyDescent="0.25">
      <c r="S7634" s="188"/>
    </row>
    <row r="7635" spans="19:19" ht="60" customHeight="1" x14ac:dyDescent="0.25">
      <c r="S7635" s="188"/>
    </row>
    <row r="7636" spans="19:19" ht="60" customHeight="1" x14ac:dyDescent="0.25">
      <c r="S7636" s="188"/>
    </row>
    <row r="7637" spans="19:19" ht="60" customHeight="1" x14ac:dyDescent="0.25">
      <c r="S7637" s="188"/>
    </row>
    <row r="7638" spans="19:19" ht="60" customHeight="1" x14ac:dyDescent="0.25">
      <c r="S7638" s="188"/>
    </row>
    <row r="7639" spans="19:19" ht="60" customHeight="1" x14ac:dyDescent="0.25">
      <c r="S7639" s="188"/>
    </row>
    <row r="7640" spans="19:19" ht="60" customHeight="1" x14ac:dyDescent="0.25">
      <c r="S7640" s="188"/>
    </row>
    <row r="7641" spans="19:19" ht="60" customHeight="1" x14ac:dyDescent="0.25">
      <c r="S7641" s="188"/>
    </row>
    <row r="7642" spans="19:19" ht="60" customHeight="1" x14ac:dyDescent="0.25">
      <c r="S7642" s="188"/>
    </row>
    <row r="7643" spans="19:19" ht="60" customHeight="1" x14ac:dyDescent="0.25">
      <c r="S7643" s="188"/>
    </row>
    <row r="7644" spans="19:19" ht="60" customHeight="1" x14ac:dyDescent="0.25">
      <c r="S7644" s="188"/>
    </row>
    <row r="7645" spans="19:19" ht="60" customHeight="1" x14ac:dyDescent="0.25">
      <c r="S7645" s="188"/>
    </row>
    <row r="7646" spans="19:19" ht="60" customHeight="1" x14ac:dyDescent="0.25">
      <c r="S7646" s="188"/>
    </row>
    <row r="7647" spans="19:19" ht="60" customHeight="1" x14ac:dyDescent="0.25">
      <c r="S7647" s="188"/>
    </row>
    <row r="7648" spans="19:19" ht="60" customHeight="1" x14ac:dyDescent="0.25">
      <c r="S7648" s="188"/>
    </row>
    <row r="7649" spans="19:19" ht="60" customHeight="1" x14ac:dyDescent="0.25">
      <c r="S7649" s="188"/>
    </row>
    <row r="7650" spans="19:19" ht="60" customHeight="1" x14ac:dyDescent="0.25">
      <c r="S7650" s="188"/>
    </row>
    <row r="7651" spans="19:19" ht="60" customHeight="1" x14ac:dyDescent="0.25">
      <c r="S7651" s="188"/>
    </row>
    <row r="7652" spans="19:19" ht="60" customHeight="1" x14ac:dyDescent="0.25">
      <c r="S7652" s="188"/>
    </row>
    <row r="7653" spans="19:19" ht="60" customHeight="1" x14ac:dyDescent="0.25">
      <c r="S7653" s="188"/>
    </row>
    <row r="7654" spans="19:19" ht="60" customHeight="1" x14ac:dyDescent="0.25">
      <c r="S7654" s="188"/>
    </row>
    <row r="7655" spans="19:19" ht="60" customHeight="1" x14ac:dyDescent="0.25">
      <c r="S7655" s="188"/>
    </row>
    <row r="7656" spans="19:19" ht="60" customHeight="1" x14ac:dyDescent="0.25">
      <c r="S7656" s="188"/>
    </row>
    <row r="7657" spans="19:19" ht="60" customHeight="1" x14ac:dyDescent="0.25">
      <c r="S7657" s="188"/>
    </row>
    <row r="7658" spans="19:19" ht="60" customHeight="1" x14ac:dyDescent="0.25">
      <c r="S7658" s="188"/>
    </row>
    <row r="7659" spans="19:19" ht="60" customHeight="1" x14ac:dyDescent="0.25">
      <c r="S7659" s="188"/>
    </row>
    <row r="7660" spans="19:19" ht="60" customHeight="1" x14ac:dyDescent="0.25">
      <c r="S7660" s="188"/>
    </row>
    <row r="7661" spans="19:19" ht="60" customHeight="1" x14ac:dyDescent="0.25">
      <c r="S7661" s="188"/>
    </row>
    <row r="7662" spans="19:19" ht="60" customHeight="1" x14ac:dyDescent="0.25">
      <c r="S7662" s="188"/>
    </row>
    <row r="7663" spans="19:19" ht="60" customHeight="1" x14ac:dyDescent="0.25">
      <c r="S7663" s="188"/>
    </row>
    <row r="7664" spans="19:19" ht="60" customHeight="1" x14ac:dyDescent="0.25">
      <c r="S7664" s="188"/>
    </row>
    <row r="7665" spans="19:19" ht="60" customHeight="1" x14ac:dyDescent="0.25">
      <c r="S7665" s="188"/>
    </row>
    <row r="7666" spans="19:19" ht="60" customHeight="1" x14ac:dyDescent="0.25">
      <c r="S7666" s="188"/>
    </row>
    <row r="7667" spans="19:19" ht="60" customHeight="1" x14ac:dyDescent="0.25">
      <c r="S7667" s="188"/>
    </row>
    <row r="7668" spans="19:19" ht="60" customHeight="1" x14ac:dyDescent="0.25">
      <c r="S7668" s="188"/>
    </row>
    <row r="7669" spans="19:19" ht="60" customHeight="1" x14ac:dyDescent="0.25">
      <c r="S7669" s="188"/>
    </row>
    <row r="7670" spans="19:19" ht="60" customHeight="1" x14ac:dyDescent="0.25">
      <c r="S7670" s="188"/>
    </row>
    <row r="7671" spans="19:19" ht="60" customHeight="1" x14ac:dyDescent="0.25">
      <c r="S7671" s="188"/>
    </row>
    <row r="7672" spans="19:19" ht="60" customHeight="1" x14ac:dyDescent="0.25">
      <c r="S7672" s="188"/>
    </row>
    <row r="7673" spans="19:19" ht="60" customHeight="1" x14ac:dyDescent="0.25">
      <c r="S7673" s="188"/>
    </row>
    <row r="7674" spans="19:19" ht="60" customHeight="1" x14ac:dyDescent="0.25">
      <c r="S7674" s="188"/>
    </row>
    <row r="7675" spans="19:19" ht="60" customHeight="1" x14ac:dyDescent="0.25">
      <c r="S7675" s="188"/>
    </row>
    <row r="7676" spans="19:19" ht="60" customHeight="1" x14ac:dyDescent="0.25">
      <c r="S7676" s="188"/>
    </row>
    <row r="7677" spans="19:19" ht="60" customHeight="1" x14ac:dyDescent="0.25">
      <c r="S7677" s="188"/>
    </row>
    <row r="7678" spans="19:19" ht="60" customHeight="1" x14ac:dyDescent="0.25">
      <c r="S7678" s="188"/>
    </row>
    <row r="7679" spans="19:19" ht="60" customHeight="1" x14ac:dyDescent="0.25">
      <c r="S7679" s="188"/>
    </row>
    <row r="7680" spans="19:19" ht="60" customHeight="1" x14ac:dyDescent="0.25">
      <c r="S7680" s="188"/>
    </row>
    <row r="7681" spans="19:19" ht="60" customHeight="1" x14ac:dyDescent="0.25">
      <c r="S7681" s="188"/>
    </row>
    <row r="7682" spans="19:19" ht="60" customHeight="1" x14ac:dyDescent="0.25">
      <c r="S7682" s="188"/>
    </row>
    <row r="7683" spans="19:19" ht="60" customHeight="1" x14ac:dyDescent="0.25">
      <c r="S7683" s="188"/>
    </row>
    <row r="7684" spans="19:19" ht="60" customHeight="1" x14ac:dyDescent="0.25">
      <c r="S7684" s="188"/>
    </row>
    <row r="7685" spans="19:19" ht="60" customHeight="1" x14ac:dyDescent="0.25">
      <c r="S7685" s="188"/>
    </row>
    <row r="7686" spans="19:19" ht="60" customHeight="1" x14ac:dyDescent="0.25">
      <c r="S7686" s="188"/>
    </row>
    <row r="7687" spans="19:19" ht="60" customHeight="1" x14ac:dyDescent="0.25">
      <c r="S7687" s="188"/>
    </row>
    <row r="7688" spans="19:19" ht="60" customHeight="1" x14ac:dyDescent="0.25">
      <c r="S7688" s="188"/>
    </row>
    <row r="7689" spans="19:19" ht="60" customHeight="1" x14ac:dyDescent="0.25">
      <c r="S7689" s="188"/>
    </row>
    <row r="7690" spans="19:19" ht="60" customHeight="1" x14ac:dyDescent="0.25">
      <c r="S7690" s="188"/>
    </row>
    <row r="7691" spans="19:19" ht="60" customHeight="1" x14ac:dyDescent="0.25">
      <c r="S7691" s="188"/>
    </row>
    <row r="7692" spans="19:19" ht="60" customHeight="1" x14ac:dyDescent="0.25">
      <c r="S7692" s="188"/>
    </row>
    <row r="7693" spans="19:19" ht="60" customHeight="1" x14ac:dyDescent="0.25">
      <c r="S7693" s="188"/>
    </row>
    <row r="7694" spans="19:19" ht="60" customHeight="1" x14ac:dyDescent="0.25">
      <c r="S7694" s="188"/>
    </row>
    <row r="7695" spans="19:19" ht="60" customHeight="1" x14ac:dyDescent="0.25">
      <c r="S7695" s="188"/>
    </row>
    <row r="7696" spans="19:19" ht="60" customHeight="1" x14ac:dyDescent="0.25">
      <c r="S7696" s="188"/>
    </row>
    <row r="7697" spans="19:19" ht="60" customHeight="1" x14ac:dyDescent="0.25">
      <c r="S7697" s="188"/>
    </row>
    <row r="7698" spans="19:19" ht="60" customHeight="1" x14ac:dyDescent="0.25">
      <c r="S7698" s="188"/>
    </row>
    <row r="7699" spans="19:19" ht="60" customHeight="1" x14ac:dyDescent="0.25">
      <c r="S7699" s="188"/>
    </row>
    <row r="7700" spans="19:19" ht="60" customHeight="1" x14ac:dyDescent="0.25">
      <c r="S7700" s="188"/>
    </row>
    <row r="7701" spans="19:19" ht="60" customHeight="1" x14ac:dyDescent="0.25">
      <c r="S7701" s="188"/>
    </row>
    <row r="7702" spans="19:19" ht="60" customHeight="1" x14ac:dyDescent="0.25">
      <c r="S7702" s="188"/>
    </row>
    <row r="7703" spans="19:19" ht="60" customHeight="1" x14ac:dyDescent="0.25">
      <c r="S7703" s="188"/>
    </row>
    <row r="7704" spans="19:19" ht="60" customHeight="1" x14ac:dyDescent="0.25">
      <c r="S7704" s="188"/>
    </row>
    <row r="7705" spans="19:19" ht="60" customHeight="1" x14ac:dyDescent="0.25">
      <c r="S7705" s="188"/>
    </row>
    <row r="7706" spans="19:19" ht="60" customHeight="1" x14ac:dyDescent="0.25">
      <c r="S7706" s="188"/>
    </row>
    <row r="7707" spans="19:19" ht="60" customHeight="1" x14ac:dyDescent="0.25">
      <c r="S7707" s="188"/>
    </row>
    <row r="7708" spans="19:19" ht="60" customHeight="1" x14ac:dyDescent="0.25">
      <c r="S7708" s="188"/>
    </row>
    <row r="7709" spans="19:19" ht="60" customHeight="1" x14ac:dyDescent="0.25">
      <c r="S7709" s="188"/>
    </row>
    <row r="7710" spans="19:19" ht="60" customHeight="1" x14ac:dyDescent="0.25">
      <c r="S7710" s="188"/>
    </row>
    <row r="7711" spans="19:19" ht="60" customHeight="1" x14ac:dyDescent="0.25">
      <c r="S7711" s="188"/>
    </row>
    <row r="7712" spans="19:19" ht="60" customHeight="1" x14ac:dyDescent="0.25">
      <c r="S7712" s="188"/>
    </row>
    <row r="7713" spans="19:19" ht="60" customHeight="1" x14ac:dyDescent="0.25">
      <c r="S7713" s="188"/>
    </row>
    <row r="7714" spans="19:19" ht="60" customHeight="1" x14ac:dyDescent="0.25">
      <c r="S7714" s="188"/>
    </row>
    <row r="7715" spans="19:19" ht="60" customHeight="1" x14ac:dyDescent="0.25">
      <c r="S7715" s="188"/>
    </row>
    <row r="7716" spans="19:19" ht="60" customHeight="1" x14ac:dyDescent="0.25">
      <c r="S7716" s="188"/>
    </row>
    <row r="7717" spans="19:19" ht="60" customHeight="1" x14ac:dyDescent="0.25">
      <c r="S7717" s="188"/>
    </row>
    <row r="7718" spans="19:19" ht="60" customHeight="1" x14ac:dyDescent="0.25">
      <c r="S7718" s="188"/>
    </row>
    <row r="7719" spans="19:19" ht="60" customHeight="1" x14ac:dyDescent="0.25">
      <c r="S7719" s="188"/>
    </row>
    <row r="7720" spans="19:19" ht="60" customHeight="1" x14ac:dyDescent="0.25">
      <c r="S7720" s="188"/>
    </row>
    <row r="7721" spans="19:19" ht="60" customHeight="1" x14ac:dyDescent="0.25">
      <c r="S7721" s="188"/>
    </row>
    <row r="7722" spans="19:19" ht="60" customHeight="1" x14ac:dyDescent="0.25">
      <c r="S7722" s="188"/>
    </row>
    <row r="7723" spans="19:19" ht="60" customHeight="1" x14ac:dyDescent="0.25">
      <c r="S7723" s="188"/>
    </row>
    <row r="7724" spans="19:19" ht="60" customHeight="1" x14ac:dyDescent="0.25">
      <c r="S7724" s="188"/>
    </row>
    <row r="7725" spans="19:19" ht="60" customHeight="1" x14ac:dyDescent="0.25">
      <c r="S7725" s="188"/>
    </row>
    <row r="7726" spans="19:19" ht="60" customHeight="1" x14ac:dyDescent="0.25">
      <c r="S7726" s="188"/>
    </row>
    <row r="7727" spans="19:19" ht="60" customHeight="1" x14ac:dyDescent="0.25">
      <c r="S7727" s="188"/>
    </row>
    <row r="7728" spans="19:19" ht="60" customHeight="1" x14ac:dyDescent="0.25">
      <c r="S7728" s="188"/>
    </row>
    <row r="7729" spans="19:19" ht="60" customHeight="1" x14ac:dyDescent="0.25">
      <c r="S7729" s="188"/>
    </row>
    <row r="7730" spans="19:19" ht="60" customHeight="1" x14ac:dyDescent="0.25">
      <c r="S7730" s="188"/>
    </row>
    <row r="7731" spans="19:19" ht="60" customHeight="1" x14ac:dyDescent="0.25">
      <c r="S7731" s="188"/>
    </row>
    <row r="7732" spans="19:19" ht="60" customHeight="1" x14ac:dyDescent="0.25">
      <c r="S7732" s="188"/>
    </row>
    <row r="7733" spans="19:19" ht="60" customHeight="1" x14ac:dyDescent="0.25">
      <c r="S7733" s="188"/>
    </row>
    <row r="7734" spans="19:19" ht="60" customHeight="1" x14ac:dyDescent="0.25">
      <c r="S7734" s="188"/>
    </row>
    <row r="7735" spans="19:19" ht="60" customHeight="1" x14ac:dyDescent="0.25">
      <c r="S7735" s="188"/>
    </row>
    <row r="7736" spans="19:19" ht="60" customHeight="1" x14ac:dyDescent="0.25">
      <c r="S7736" s="188"/>
    </row>
    <row r="7737" spans="19:19" ht="60" customHeight="1" x14ac:dyDescent="0.25">
      <c r="S7737" s="188"/>
    </row>
    <row r="7738" spans="19:19" ht="60" customHeight="1" x14ac:dyDescent="0.25">
      <c r="S7738" s="188"/>
    </row>
    <row r="7739" spans="19:19" ht="60" customHeight="1" x14ac:dyDescent="0.25">
      <c r="S7739" s="188"/>
    </row>
    <row r="7740" spans="19:19" ht="60" customHeight="1" x14ac:dyDescent="0.25">
      <c r="S7740" s="188"/>
    </row>
    <row r="7741" spans="19:19" ht="60" customHeight="1" x14ac:dyDescent="0.25">
      <c r="S7741" s="188"/>
    </row>
    <row r="7742" spans="19:19" ht="60" customHeight="1" x14ac:dyDescent="0.25">
      <c r="S7742" s="188"/>
    </row>
    <row r="7743" spans="19:19" ht="60" customHeight="1" x14ac:dyDescent="0.25">
      <c r="S7743" s="188"/>
    </row>
    <row r="7744" spans="19:19" ht="60" customHeight="1" x14ac:dyDescent="0.25">
      <c r="S7744" s="188"/>
    </row>
    <row r="7745" spans="19:19" ht="60" customHeight="1" x14ac:dyDescent="0.25">
      <c r="S7745" s="188"/>
    </row>
    <row r="7746" spans="19:19" ht="60" customHeight="1" x14ac:dyDescent="0.25">
      <c r="S7746" s="188"/>
    </row>
    <row r="7747" spans="19:19" ht="60" customHeight="1" x14ac:dyDescent="0.25">
      <c r="S7747" s="188"/>
    </row>
    <row r="7748" spans="19:19" ht="60" customHeight="1" x14ac:dyDescent="0.25">
      <c r="S7748" s="188"/>
    </row>
    <row r="7749" spans="19:19" ht="60" customHeight="1" x14ac:dyDescent="0.25">
      <c r="S7749" s="188"/>
    </row>
    <row r="7750" spans="19:19" ht="60" customHeight="1" x14ac:dyDescent="0.25">
      <c r="S7750" s="188"/>
    </row>
    <row r="7751" spans="19:19" ht="60" customHeight="1" x14ac:dyDescent="0.25">
      <c r="S7751" s="188"/>
    </row>
    <row r="7752" spans="19:19" ht="60" customHeight="1" x14ac:dyDescent="0.25">
      <c r="S7752" s="188"/>
    </row>
    <row r="7753" spans="19:19" ht="60" customHeight="1" x14ac:dyDescent="0.25">
      <c r="S7753" s="188"/>
    </row>
    <row r="7754" spans="19:19" ht="60" customHeight="1" x14ac:dyDescent="0.25">
      <c r="S7754" s="188"/>
    </row>
    <row r="7755" spans="19:19" ht="60" customHeight="1" x14ac:dyDescent="0.25">
      <c r="S7755" s="188"/>
    </row>
    <row r="7756" spans="19:19" ht="60" customHeight="1" x14ac:dyDescent="0.25">
      <c r="S7756" s="188"/>
    </row>
    <row r="7757" spans="19:19" ht="60" customHeight="1" x14ac:dyDescent="0.25">
      <c r="S7757" s="188"/>
    </row>
    <row r="7758" spans="19:19" ht="60" customHeight="1" x14ac:dyDescent="0.25">
      <c r="S7758" s="188"/>
    </row>
    <row r="7759" spans="19:19" ht="60" customHeight="1" x14ac:dyDescent="0.25">
      <c r="S7759" s="188"/>
    </row>
    <row r="7760" spans="19:19" ht="60" customHeight="1" x14ac:dyDescent="0.25">
      <c r="S7760" s="188"/>
    </row>
    <row r="7761" spans="19:19" ht="60" customHeight="1" x14ac:dyDescent="0.25">
      <c r="S7761" s="188"/>
    </row>
    <row r="7762" spans="19:19" ht="60" customHeight="1" x14ac:dyDescent="0.25">
      <c r="S7762" s="188"/>
    </row>
    <row r="7763" spans="19:19" ht="60" customHeight="1" x14ac:dyDescent="0.25">
      <c r="S7763" s="188"/>
    </row>
    <row r="7764" spans="19:19" ht="60" customHeight="1" x14ac:dyDescent="0.25">
      <c r="S7764" s="188"/>
    </row>
    <row r="7765" spans="19:19" ht="60" customHeight="1" x14ac:dyDescent="0.25">
      <c r="S7765" s="188"/>
    </row>
    <row r="7766" spans="19:19" ht="60" customHeight="1" x14ac:dyDescent="0.25">
      <c r="S7766" s="188"/>
    </row>
    <row r="7767" spans="19:19" ht="60" customHeight="1" x14ac:dyDescent="0.25">
      <c r="S7767" s="188"/>
    </row>
    <row r="7768" spans="19:19" ht="60" customHeight="1" x14ac:dyDescent="0.25">
      <c r="S7768" s="188"/>
    </row>
    <row r="7769" spans="19:19" ht="60" customHeight="1" x14ac:dyDescent="0.25">
      <c r="S7769" s="188"/>
    </row>
    <row r="7770" spans="19:19" ht="60" customHeight="1" x14ac:dyDescent="0.25">
      <c r="S7770" s="188"/>
    </row>
    <row r="7771" spans="19:19" ht="60" customHeight="1" x14ac:dyDescent="0.25">
      <c r="S7771" s="188"/>
    </row>
    <row r="7772" spans="19:19" ht="60" customHeight="1" x14ac:dyDescent="0.25">
      <c r="S7772" s="188"/>
    </row>
    <row r="7773" spans="19:19" ht="60" customHeight="1" x14ac:dyDescent="0.25">
      <c r="S7773" s="188"/>
    </row>
    <row r="7774" spans="19:19" ht="60" customHeight="1" x14ac:dyDescent="0.25">
      <c r="S7774" s="188"/>
    </row>
    <row r="7775" spans="19:19" ht="60" customHeight="1" x14ac:dyDescent="0.25">
      <c r="S7775" s="188"/>
    </row>
    <row r="7776" spans="19:19" ht="60" customHeight="1" x14ac:dyDescent="0.25">
      <c r="S7776" s="188"/>
    </row>
    <row r="7777" spans="19:19" ht="60" customHeight="1" x14ac:dyDescent="0.25">
      <c r="S7777" s="188"/>
    </row>
    <row r="7778" spans="19:19" ht="60" customHeight="1" x14ac:dyDescent="0.25">
      <c r="S7778" s="188"/>
    </row>
    <row r="7779" spans="19:19" ht="60" customHeight="1" x14ac:dyDescent="0.25">
      <c r="S7779" s="188"/>
    </row>
    <row r="7780" spans="19:19" ht="60" customHeight="1" x14ac:dyDescent="0.25">
      <c r="S7780" s="188"/>
    </row>
    <row r="7781" spans="19:19" ht="60" customHeight="1" x14ac:dyDescent="0.25">
      <c r="S7781" s="188"/>
    </row>
    <row r="7782" spans="19:19" ht="60" customHeight="1" x14ac:dyDescent="0.25">
      <c r="S7782" s="188"/>
    </row>
    <row r="7783" spans="19:19" ht="60" customHeight="1" x14ac:dyDescent="0.25">
      <c r="S7783" s="188"/>
    </row>
    <row r="7784" spans="19:19" ht="60" customHeight="1" x14ac:dyDescent="0.25">
      <c r="S7784" s="188"/>
    </row>
    <row r="7785" spans="19:19" ht="60" customHeight="1" x14ac:dyDescent="0.25">
      <c r="S7785" s="188"/>
    </row>
    <row r="7786" spans="19:19" ht="60" customHeight="1" x14ac:dyDescent="0.25">
      <c r="S7786" s="188"/>
    </row>
    <row r="7787" spans="19:19" ht="60" customHeight="1" x14ac:dyDescent="0.25">
      <c r="S7787" s="188"/>
    </row>
    <row r="7788" spans="19:19" ht="60" customHeight="1" x14ac:dyDescent="0.25">
      <c r="S7788" s="188"/>
    </row>
    <row r="7789" spans="19:19" ht="60" customHeight="1" x14ac:dyDescent="0.25">
      <c r="S7789" s="188"/>
    </row>
    <row r="7790" spans="19:19" ht="60" customHeight="1" x14ac:dyDescent="0.25">
      <c r="S7790" s="188"/>
    </row>
    <row r="7791" spans="19:19" ht="60" customHeight="1" x14ac:dyDescent="0.25">
      <c r="S7791" s="188"/>
    </row>
    <row r="7792" spans="19:19" ht="60" customHeight="1" x14ac:dyDescent="0.25">
      <c r="S7792" s="188"/>
    </row>
    <row r="7793" spans="19:19" ht="60" customHeight="1" x14ac:dyDescent="0.25">
      <c r="S7793" s="188"/>
    </row>
    <row r="7794" spans="19:19" ht="60" customHeight="1" x14ac:dyDescent="0.25">
      <c r="S7794" s="188"/>
    </row>
    <row r="7795" spans="19:19" ht="60" customHeight="1" x14ac:dyDescent="0.25">
      <c r="S7795" s="188"/>
    </row>
    <row r="7796" spans="19:19" ht="60" customHeight="1" x14ac:dyDescent="0.25">
      <c r="S7796" s="188"/>
    </row>
    <row r="7797" spans="19:19" ht="60" customHeight="1" x14ac:dyDescent="0.25">
      <c r="S7797" s="188"/>
    </row>
    <row r="7798" spans="19:19" ht="60" customHeight="1" x14ac:dyDescent="0.25">
      <c r="S7798" s="188"/>
    </row>
    <row r="7799" spans="19:19" ht="60" customHeight="1" x14ac:dyDescent="0.25">
      <c r="S7799" s="188"/>
    </row>
    <row r="7800" spans="19:19" ht="60" customHeight="1" x14ac:dyDescent="0.25">
      <c r="S7800" s="188"/>
    </row>
    <row r="7801" spans="19:19" ht="60" customHeight="1" x14ac:dyDescent="0.25">
      <c r="S7801" s="188"/>
    </row>
    <row r="7802" spans="19:19" ht="60" customHeight="1" x14ac:dyDescent="0.25">
      <c r="S7802" s="188"/>
    </row>
    <row r="7803" spans="19:19" ht="60" customHeight="1" x14ac:dyDescent="0.25">
      <c r="S7803" s="188"/>
    </row>
    <row r="7804" spans="19:19" ht="60" customHeight="1" x14ac:dyDescent="0.25">
      <c r="S7804" s="188"/>
    </row>
    <row r="7805" spans="19:19" ht="60" customHeight="1" x14ac:dyDescent="0.25">
      <c r="S7805" s="188"/>
    </row>
    <row r="7806" spans="19:19" ht="60" customHeight="1" x14ac:dyDescent="0.25">
      <c r="S7806" s="188"/>
    </row>
    <row r="7807" spans="19:19" ht="60" customHeight="1" x14ac:dyDescent="0.25">
      <c r="S7807" s="188"/>
    </row>
    <row r="7808" spans="19:19" ht="60" customHeight="1" x14ac:dyDescent="0.25">
      <c r="S7808" s="188"/>
    </row>
    <row r="7809" spans="19:19" ht="60" customHeight="1" x14ac:dyDescent="0.25">
      <c r="S7809" s="188"/>
    </row>
    <row r="7810" spans="19:19" ht="60" customHeight="1" x14ac:dyDescent="0.25">
      <c r="S7810" s="188"/>
    </row>
    <row r="7811" spans="19:19" ht="60" customHeight="1" x14ac:dyDescent="0.25">
      <c r="S7811" s="188"/>
    </row>
    <row r="7812" spans="19:19" ht="60" customHeight="1" x14ac:dyDescent="0.25">
      <c r="S7812" s="188"/>
    </row>
    <row r="7813" spans="19:19" ht="60" customHeight="1" x14ac:dyDescent="0.25">
      <c r="S7813" s="188"/>
    </row>
    <row r="7814" spans="19:19" ht="60" customHeight="1" x14ac:dyDescent="0.25">
      <c r="S7814" s="188"/>
    </row>
    <row r="7815" spans="19:19" ht="60" customHeight="1" x14ac:dyDescent="0.25">
      <c r="S7815" s="188"/>
    </row>
    <row r="7816" spans="19:19" ht="60" customHeight="1" x14ac:dyDescent="0.25">
      <c r="S7816" s="188"/>
    </row>
    <row r="7817" spans="19:19" ht="60" customHeight="1" x14ac:dyDescent="0.25">
      <c r="S7817" s="188"/>
    </row>
    <row r="7818" spans="19:19" ht="60" customHeight="1" x14ac:dyDescent="0.25">
      <c r="S7818" s="188"/>
    </row>
    <row r="7819" spans="19:19" ht="60" customHeight="1" x14ac:dyDescent="0.25">
      <c r="S7819" s="188"/>
    </row>
    <row r="7820" spans="19:19" ht="60" customHeight="1" x14ac:dyDescent="0.25">
      <c r="S7820" s="188"/>
    </row>
    <row r="7821" spans="19:19" ht="60" customHeight="1" x14ac:dyDescent="0.25">
      <c r="S7821" s="188"/>
    </row>
    <row r="7822" spans="19:19" ht="60" customHeight="1" x14ac:dyDescent="0.25">
      <c r="S7822" s="188"/>
    </row>
    <row r="7823" spans="19:19" ht="60" customHeight="1" x14ac:dyDescent="0.25">
      <c r="S7823" s="188"/>
    </row>
    <row r="7824" spans="19:19" ht="60" customHeight="1" x14ac:dyDescent="0.25">
      <c r="S7824" s="188"/>
    </row>
    <row r="7825" spans="19:19" ht="60" customHeight="1" x14ac:dyDescent="0.25">
      <c r="S7825" s="188"/>
    </row>
    <row r="7826" spans="19:19" ht="60" customHeight="1" x14ac:dyDescent="0.25">
      <c r="S7826" s="188"/>
    </row>
    <row r="7827" spans="19:19" ht="60" customHeight="1" x14ac:dyDescent="0.25">
      <c r="S7827" s="188"/>
    </row>
    <row r="7828" spans="19:19" ht="60" customHeight="1" x14ac:dyDescent="0.25">
      <c r="S7828" s="188"/>
    </row>
    <row r="7829" spans="19:19" ht="60" customHeight="1" x14ac:dyDescent="0.25">
      <c r="S7829" s="188"/>
    </row>
    <row r="7830" spans="19:19" ht="60" customHeight="1" x14ac:dyDescent="0.25">
      <c r="S7830" s="188"/>
    </row>
    <row r="7831" spans="19:19" ht="60" customHeight="1" x14ac:dyDescent="0.25">
      <c r="S7831" s="188"/>
    </row>
    <row r="7832" spans="19:19" ht="60" customHeight="1" x14ac:dyDescent="0.25">
      <c r="S7832" s="188"/>
    </row>
    <row r="7833" spans="19:19" ht="60" customHeight="1" x14ac:dyDescent="0.25">
      <c r="S7833" s="188"/>
    </row>
    <row r="7834" spans="19:19" ht="60" customHeight="1" x14ac:dyDescent="0.25">
      <c r="S7834" s="188"/>
    </row>
    <row r="7835" spans="19:19" ht="60" customHeight="1" x14ac:dyDescent="0.25">
      <c r="S7835" s="188"/>
    </row>
    <row r="7836" spans="19:19" ht="60" customHeight="1" x14ac:dyDescent="0.25">
      <c r="S7836" s="188"/>
    </row>
    <row r="7837" spans="19:19" ht="60" customHeight="1" x14ac:dyDescent="0.25">
      <c r="S7837" s="188"/>
    </row>
    <row r="7838" spans="19:19" ht="60" customHeight="1" x14ac:dyDescent="0.25">
      <c r="S7838" s="188"/>
    </row>
    <row r="7839" spans="19:19" ht="60" customHeight="1" x14ac:dyDescent="0.25">
      <c r="S7839" s="188"/>
    </row>
    <row r="7840" spans="19:19" ht="60" customHeight="1" x14ac:dyDescent="0.25">
      <c r="S7840" s="188"/>
    </row>
    <row r="7841" spans="19:19" ht="60" customHeight="1" x14ac:dyDescent="0.25">
      <c r="S7841" s="188"/>
    </row>
    <row r="7842" spans="19:19" ht="60" customHeight="1" x14ac:dyDescent="0.25">
      <c r="S7842" s="188"/>
    </row>
    <row r="7843" spans="19:19" ht="60" customHeight="1" x14ac:dyDescent="0.25">
      <c r="S7843" s="188"/>
    </row>
    <row r="7844" spans="19:19" ht="60" customHeight="1" x14ac:dyDescent="0.25">
      <c r="S7844" s="188"/>
    </row>
    <row r="7845" spans="19:19" ht="60" customHeight="1" x14ac:dyDescent="0.25">
      <c r="S7845" s="188"/>
    </row>
    <row r="7846" spans="19:19" ht="60" customHeight="1" x14ac:dyDescent="0.25">
      <c r="S7846" s="188"/>
    </row>
    <row r="7847" spans="19:19" ht="60" customHeight="1" x14ac:dyDescent="0.25">
      <c r="S7847" s="188"/>
    </row>
    <row r="7848" spans="19:19" ht="60" customHeight="1" x14ac:dyDescent="0.25">
      <c r="S7848" s="188"/>
    </row>
    <row r="7849" spans="19:19" ht="60" customHeight="1" x14ac:dyDescent="0.25">
      <c r="S7849" s="188"/>
    </row>
    <row r="7850" spans="19:19" ht="60" customHeight="1" x14ac:dyDescent="0.25">
      <c r="S7850" s="188"/>
    </row>
    <row r="7851" spans="19:19" ht="60" customHeight="1" x14ac:dyDescent="0.25">
      <c r="S7851" s="188"/>
    </row>
    <row r="7852" spans="19:19" ht="60" customHeight="1" x14ac:dyDescent="0.25">
      <c r="S7852" s="188"/>
    </row>
    <row r="7853" spans="19:19" ht="60" customHeight="1" x14ac:dyDescent="0.25">
      <c r="S7853" s="188"/>
    </row>
    <row r="7854" spans="19:19" ht="60" customHeight="1" x14ac:dyDescent="0.25">
      <c r="S7854" s="188"/>
    </row>
    <row r="7855" spans="19:19" ht="60" customHeight="1" x14ac:dyDescent="0.25">
      <c r="S7855" s="188"/>
    </row>
    <row r="7856" spans="19:19" ht="60" customHeight="1" x14ac:dyDescent="0.25">
      <c r="S7856" s="188"/>
    </row>
    <row r="7857" spans="19:19" ht="60" customHeight="1" x14ac:dyDescent="0.25">
      <c r="S7857" s="188"/>
    </row>
    <row r="7858" spans="19:19" ht="60" customHeight="1" x14ac:dyDescent="0.25">
      <c r="S7858" s="188"/>
    </row>
    <row r="7859" spans="19:19" ht="60" customHeight="1" x14ac:dyDescent="0.25">
      <c r="S7859" s="188"/>
    </row>
    <row r="7860" spans="19:19" ht="60" customHeight="1" x14ac:dyDescent="0.25">
      <c r="S7860" s="188"/>
    </row>
    <row r="7861" spans="19:19" ht="60" customHeight="1" x14ac:dyDescent="0.25">
      <c r="S7861" s="188"/>
    </row>
    <row r="7862" spans="19:19" ht="60" customHeight="1" x14ac:dyDescent="0.25">
      <c r="S7862" s="188"/>
    </row>
    <row r="7863" spans="19:19" ht="60" customHeight="1" x14ac:dyDescent="0.25">
      <c r="S7863" s="188"/>
    </row>
    <row r="7864" spans="19:19" ht="60" customHeight="1" x14ac:dyDescent="0.25">
      <c r="S7864" s="188"/>
    </row>
    <row r="7865" spans="19:19" ht="60" customHeight="1" x14ac:dyDescent="0.25">
      <c r="S7865" s="188"/>
    </row>
    <row r="7866" spans="19:19" ht="60" customHeight="1" x14ac:dyDescent="0.25">
      <c r="S7866" s="188"/>
    </row>
    <row r="7867" spans="19:19" ht="60" customHeight="1" x14ac:dyDescent="0.25">
      <c r="S7867" s="188"/>
    </row>
    <row r="7868" spans="19:19" ht="60" customHeight="1" x14ac:dyDescent="0.25">
      <c r="S7868" s="188"/>
    </row>
    <row r="7869" spans="19:19" ht="60" customHeight="1" x14ac:dyDescent="0.25">
      <c r="S7869" s="188"/>
    </row>
    <row r="7870" spans="19:19" ht="60" customHeight="1" x14ac:dyDescent="0.25">
      <c r="S7870" s="188"/>
    </row>
    <row r="7871" spans="19:19" ht="60" customHeight="1" x14ac:dyDescent="0.25">
      <c r="S7871" s="188"/>
    </row>
    <row r="7872" spans="19:19" ht="60" customHeight="1" x14ac:dyDescent="0.25">
      <c r="S7872" s="188"/>
    </row>
    <row r="7873" spans="19:19" ht="60" customHeight="1" x14ac:dyDescent="0.25">
      <c r="S7873" s="188"/>
    </row>
    <row r="7874" spans="19:19" ht="60" customHeight="1" x14ac:dyDescent="0.25">
      <c r="S7874" s="188"/>
    </row>
    <row r="7875" spans="19:19" ht="60" customHeight="1" x14ac:dyDescent="0.25">
      <c r="S7875" s="188"/>
    </row>
    <row r="7876" spans="19:19" ht="60" customHeight="1" x14ac:dyDescent="0.25">
      <c r="S7876" s="188"/>
    </row>
    <row r="7877" spans="19:19" ht="60" customHeight="1" x14ac:dyDescent="0.25">
      <c r="S7877" s="188"/>
    </row>
    <row r="7878" spans="19:19" ht="60" customHeight="1" x14ac:dyDescent="0.25">
      <c r="S7878" s="188"/>
    </row>
    <row r="7879" spans="19:19" ht="60" customHeight="1" x14ac:dyDescent="0.25">
      <c r="S7879" s="188"/>
    </row>
    <row r="7880" spans="19:19" ht="60" customHeight="1" x14ac:dyDescent="0.25">
      <c r="S7880" s="188"/>
    </row>
    <row r="7881" spans="19:19" ht="60" customHeight="1" x14ac:dyDescent="0.25">
      <c r="S7881" s="188"/>
    </row>
    <row r="7882" spans="19:19" ht="60" customHeight="1" x14ac:dyDescent="0.25">
      <c r="S7882" s="188"/>
    </row>
    <row r="7883" spans="19:19" ht="60" customHeight="1" x14ac:dyDescent="0.25">
      <c r="S7883" s="188"/>
    </row>
    <row r="7884" spans="19:19" ht="60" customHeight="1" x14ac:dyDescent="0.25">
      <c r="S7884" s="188"/>
    </row>
    <row r="7885" spans="19:19" ht="60" customHeight="1" x14ac:dyDescent="0.25">
      <c r="S7885" s="188"/>
    </row>
    <row r="7886" spans="19:19" ht="60" customHeight="1" x14ac:dyDescent="0.25">
      <c r="S7886" s="188"/>
    </row>
    <row r="7887" spans="19:19" ht="60" customHeight="1" x14ac:dyDescent="0.25">
      <c r="S7887" s="188"/>
    </row>
    <row r="7888" spans="19:19" ht="60" customHeight="1" x14ac:dyDescent="0.25">
      <c r="S7888" s="188"/>
    </row>
    <row r="7889" spans="19:19" ht="60" customHeight="1" x14ac:dyDescent="0.25">
      <c r="S7889" s="188"/>
    </row>
    <row r="7890" spans="19:19" ht="60" customHeight="1" x14ac:dyDescent="0.25">
      <c r="S7890" s="188"/>
    </row>
    <row r="7891" spans="19:19" ht="60" customHeight="1" x14ac:dyDescent="0.25">
      <c r="S7891" s="188"/>
    </row>
    <row r="7892" spans="19:19" ht="60" customHeight="1" x14ac:dyDescent="0.25">
      <c r="S7892" s="188"/>
    </row>
    <row r="7893" spans="19:19" ht="60" customHeight="1" x14ac:dyDescent="0.25">
      <c r="S7893" s="188"/>
    </row>
    <row r="7894" spans="19:19" ht="60" customHeight="1" x14ac:dyDescent="0.25">
      <c r="S7894" s="188"/>
    </row>
    <row r="7895" spans="19:19" ht="60" customHeight="1" x14ac:dyDescent="0.25">
      <c r="S7895" s="188"/>
    </row>
    <row r="7896" spans="19:19" ht="60" customHeight="1" x14ac:dyDescent="0.25">
      <c r="S7896" s="188"/>
    </row>
    <row r="7897" spans="19:19" ht="60" customHeight="1" x14ac:dyDescent="0.25">
      <c r="S7897" s="188"/>
    </row>
    <row r="7898" spans="19:19" ht="60" customHeight="1" x14ac:dyDescent="0.25">
      <c r="S7898" s="188"/>
    </row>
    <row r="7899" spans="19:19" ht="60" customHeight="1" x14ac:dyDescent="0.25">
      <c r="S7899" s="188"/>
    </row>
    <row r="7900" spans="19:19" ht="60" customHeight="1" x14ac:dyDescent="0.25">
      <c r="S7900" s="188"/>
    </row>
    <row r="7901" spans="19:19" ht="60" customHeight="1" x14ac:dyDescent="0.25">
      <c r="S7901" s="188"/>
    </row>
    <row r="7902" spans="19:19" ht="60" customHeight="1" x14ac:dyDescent="0.25">
      <c r="S7902" s="188"/>
    </row>
    <row r="7903" spans="19:19" ht="60" customHeight="1" x14ac:dyDescent="0.25">
      <c r="S7903" s="188"/>
    </row>
    <row r="7904" spans="19:19" ht="60" customHeight="1" x14ac:dyDescent="0.25">
      <c r="S7904" s="188"/>
    </row>
    <row r="7905" spans="19:19" ht="60" customHeight="1" x14ac:dyDescent="0.25">
      <c r="S7905" s="188"/>
    </row>
    <row r="7906" spans="19:19" ht="60" customHeight="1" x14ac:dyDescent="0.25">
      <c r="S7906" s="188"/>
    </row>
    <row r="7907" spans="19:19" ht="60" customHeight="1" x14ac:dyDescent="0.25">
      <c r="S7907" s="188"/>
    </row>
    <row r="7908" spans="19:19" ht="60" customHeight="1" x14ac:dyDescent="0.25">
      <c r="S7908" s="188"/>
    </row>
    <row r="7909" spans="19:19" ht="60" customHeight="1" x14ac:dyDescent="0.25">
      <c r="S7909" s="188"/>
    </row>
    <row r="7910" spans="19:19" ht="60" customHeight="1" x14ac:dyDescent="0.25">
      <c r="S7910" s="188"/>
    </row>
    <row r="7911" spans="19:19" ht="60" customHeight="1" x14ac:dyDescent="0.25">
      <c r="S7911" s="188"/>
    </row>
    <row r="7912" spans="19:19" ht="60" customHeight="1" x14ac:dyDescent="0.25">
      <c r="S7912" s="188"/>
    </row>
    <row r="7913" spans="19:19" ht="60" customHeight="1" x14ac:dyDescent="0.25">
      <c r="S7913" s="188"/>
    </row>
    <row r="7914" spans="19:19" ht="60" customHeight="1" x14ac:dyDescent="0.25">
      <c r="S7914" s="188"/>
    </row>
    <row r="7915" spans="19:19" ht="60" customHeight="1" x14ac:dyDescent="0.25">
      <c r="S7915" s="188"/>
    </row>
    <row r="7916" spans="19:19" ht="60" customHeight="1" x14ac:dyDescent="0.25">
      <c r="S7916" s="188"/>
    </row>
    <row r="7917" spans="19:19" ht="60" customHeight="1" x14ac:dyDescent="0.25">
      <c r="S7917" s="188"/>
    </row>
    <row r="7918" spans="19:19" ht="60" customHeight="1" x14ac:dyDescent="0.25">
      <c r="S7918" s="188"/>
    </row>
    <row r="7919" spans="19:19" ht="60" customHeight="1" x14ac:dyDescent="0.25">
      <c r="S7919" s="188"/>
    </row>
    <row r="7920" spans="19:19" ht="60" customHeight="1" x14ac:dyDescent="0.25">
      <c r="S7920" s="188"/>
    </row>
    <row r="7921" spans="19:19" ht="60" customHeight="1" x14ac:dyDescent="0.25">
      <c r="S7921" s="188"/>
    </row>
    <row r="7922" spans="19:19" ht="60" customHeight="1" x14ac:dyDescent="0.25">
      <c r="S7922" s="188"/>
    </row>
    <row r="7923" spans="19:19" ht="60" customHeight="1" x14ac:dyDescent="0.25">
      <c r="S7923" s="188"/>
    </row>
    <row r="7924" spans="19:19" ht="60" customHeight="1" x14ac:dyDescent="0.25">
      <c r="S7924" s="188"/>
    </row>
    <row r="7925" spans="19:19" ht="60" customHeight="1" x14ac:dyDescent="0.25">
      <c r="S7925" s="188"/>
    </row>
    <row r="7926" spans="19:19" ht="60" customHeight="1" x14ac:dyDescent="0.25">
      <c r="S7926" s="188"/>
    </row>
    <row r="7927" spans="19:19" ht="60" customHeight="1" x14ac:dyDescent="0.25">
      <c r="S7927" s="188"/>
    </row>
    <row r="7928" spans="19:19" ht="60" customHeight="1" x14ac:dyDescent="0.25">
      <c r="S7928" s="188"/>
    </row>
    <row r="7929" spans="19:19" ht="60" customHeight="1" x14ac:dyDescent="0.25">
      <c r="S7929" s="188"/>
    </row>
    <row r="7930" spans="19:19" ht="60" customHeight="1" x14ac:dyDescent="0.25">
      <c r="S7930" s="188"/>
    </row>
    <row r="7931" spans="19:19" ht="60" customHeight="1" x14ac:dyDescent="0.25">
      <c r="S7931" s="188"/>
    </row>
    <row r="7932" spans="19:19" ht="60" customHeight="1" x14ac:dyDescent="0.25">
      <c r="S7932" s="188"/>
    </row>
    <row r="7933" spans="19:19" ht="60" customHeight="1" x14ac:dyDescent="0.25">
      <c r="S7933" s="188"/>
    </row>
    <row r="7934" spans="19:19" ht="60" customHeight="1" x14ac:dyDescent="0.25">
      <c r="S7934" s="188"/>
    </row>
    <row r="7935" spans="19:19" ht="60" customHeight="1" x14ac:dyDescent="0.25">
      <c r="S7935" s="188"/>
    </row>
    <row r="7936" spans="19:19" ht="60" customHeight="1" x14ac:dyDescent="0.25">
      <c r="S7936" s="188"/>
    </row>
    <row r="7937" spans="19:19" ht="60" customHeight="1" x14ac:dyDescent="0.25">
      <c r="S7937" s="188"/>
    </row>
    <row r="7938" spans="19:19" ht="60" customHeight="1" x14ac:dyDescent="0.25">
      <c r="S7938" s="188"/>
    </row>
    <row r="7939" spans="19:19" ht="60" customHeight="1" x14ac:dyDescent="0.25">
      <c r="S7939" s="188"/>
    </row>
    <row r="7940" spans="19:19" ht="60" customHeight="1" x14ac:dyDescent="0.25">
      <c r="S7940" s="188"/>
    </row>
    <row r="7941" spans="19:19" ht="60" customHeight="1" x14ac:dyDescent="0.25">
      <c r="S7941" s="188"/>
    </row>
    <row r="7942" spans="19:19" ht="60" customHeight="1" x14ac:dyDescent="0.25">
      <c r="S7942" s="188"/>
    </row>
    <row r="7943" spans="19:19" ht="60" customHeight="1" x14ac:dyDescent="0.25">
      <c r="S7943" s="188"/>
    </row>
    <row r="7944" spans="19:19" ht="60" customHeight="1" x14ac:dyDescent="0.25">
      <c r="S7944" s="188"/>
    </row>
    <row r="7945" spans="19:19" ht="60" customHeight="1" x14ac:dyDescent="0.25">
      <c r="S7945" s="188"/>
    </row>
    <row r="7946" spans="19:19" ht="60" customHeight="1" x14ac:dyDescent="0.25">
      <c r="S7946" s="188"/>
    </row>
    <row r="7947" spans="19:19" ht="60" customHeight="1" x14ac:dyDescent="0.25">
      <c r="S7947" s="188"/>
    </row>
    <row r="7948" spans="19:19" ht="60" customHeight="1" x14ac:dyDescent="0.25">
      <c r="S7948" s="188"/>
    </row>
    <row r="7949" spans="19:19" ht="60" customHeight="1" x14ac:dyDescent="0.25">
      <c r="S7949" s="188"/>
    </row>
    <row r="7950" spans="19:19" ht="60" customHeight="1" x14ac:dyDescent="0.25">
      <c r="S7950" s="188"/>
    </row>
    <row r="7951" spans="19:19" ht="60" customHeight="1" x14ac:dyDescent="0.25">
      <c r="S7951" s="188"/>
    </row>
    <row r="7952" spans="19:19" ht="60" customHeight="1" x14ac:dyDescent="0.25">
      <c r="S7952" s="188"/>
    </row>
    <row r="7953" spans="19:19" ht="60" customHeight="1" x14ac:dyDescent="0.25">
      <c r="S7953" s="188"/>
    </row>
    <row r="7954" spans="19:19" ht="60" customHeight="1" x14ac:dyDescent="0.25">
      <c r="S7954" s="188"/>
    </row>
    <row r="7955" spans="19:19" ht="60" customHeight="1" x14ac:dyDescent="0.25">
      <c r="S7955" s="188"/>
    </row>
    <row r="7956" spans="19:19" ht="60" customHeight="1" x14ac:dyDescent="0.25">
      <c r="S7956" s="188"/>
    </row>
    <row r="7957" spans="19:19" ht="60" customHeight="1" x14ac:dyDescent="0.25">
      <c r="S7957" s="188"/>
    </row>
    <row r="7958" spans="19:19" ht="60" customHeight="1" x14ac:dyDescent="0.25">
      <c r="S7958" s="188"/>
    </row>
    <row r="7959" spans="19:19" ht="60" customHeight="1" x14ac:dyDescent="0.25">
      <c r="S7959" s="188"/>
    </row>
    <row r="7960" spans="19:19" ht="60" customHeight="1" x14ac:dyDescent="0.25">
      <c r="S7960" s="188"/>
    </row>
    <row r="7961" spans="19:19" ht="60" customHeight="1" x14ac:dyDescent="0.25">
      <c r="S7961" s="188"/>
    </row>
    <row r="7962" spans="19:19" ht="60" customHeight="1" x14ac:dyDescent="0.25">
      <c r="S7962" s="188"/>
    </row>
    <row r="7963" spans="19:19" ht="60" customHeight="1" x14ac:dyDescent="0.25">
      <c r="S7963" s="188"/>
    </row>
    <row r="7964" spans="19:19" ht="60" customHeight="1" x14ac:dyDescent="0.25">
      <c r="S7964" s="188"/>
    </row>
    <row r="7965" spans="19:19" ht="60" customHeight="1" x14ac:dyDescent="0.25">
      <c r="S7965" s="188"/>
    </row>
    <row r="7966" spans="19:19" ht="60" customHeight="1" x14ac:dyDescent="0.25">
      <c r="S7966" s="188"/>
    </row>
    <row r="7967" spans="19:19" ht="60" customHeight="1" x14ac:dyDescent="0.25">
      <c r="S7967" s="188"/>
    </row>
    <row r="7968" spans="19:19" ht="60" customHeight="1" x14ac:dyDescent="0.25">
      <c r="S7968" s="188"/>
    </row>
    <row r="7969" spans="19:19" ht="60" customHeight="1" x14ac:dyDescent="0.25">
      <c r="S7969" s="188"/>
    </row>
    <row r="7970" spans="19:19" ht="60" customHeight="1" x14ac:dyDescent="0.25">
      <c r="S7970" s="188"/>
    </row>
    <row r="7971" spans="19:19" ht="60" customHeight="1" x14ac:dyDescent="0.25">
      <c r="S7971" s="188"/>
    </row>
    <row r="7972" spans="19:19" ht="60" customHeight="1" x14ac:dyDescent="0.25">
      <c r="S7972" s="188"/>
    </row>
    <row r="7973" spans="19:19" ht="60" customHeight="1" x14ac:dyDescent="0.25">
      <c r="S7973" s="188"/>
    </row>
    <row r="7974" spans="19:19" ht="60" customHeight="1" x14ac:dyDescent="0.25">
      <c r="S7974" s="188"/>
    </row>
    <row r="7975" spans="19:19" ht="60" customHeight="1" x14ac:dyDescent="0.25">
      <c r="S7975" s="188"/>
    </row>
    <row r="7976" spans="19:19" ht="60" customHeight="1" x14ac:dyDescent="0.25">
      <c r="S7976" s="188"/>
    </row>
    <row r="7977" spans="19:19" ht="60" customHeight="1" x14ac:dyDescent="0.25">
      <c r="S7977" s="188"/>
    </row>
    <row r="7978" spans="19:19" ht="60" customHeight="1" x14ac:dyDescent="0.25">
      <c r="S7978" s="188"/>
    </row>
    <row r="7979" spans="19:19" ht="60" customHeight="1" x14ac:dyDescent="0.25">
      <c r="S7979" s="188"/>
    </row>
    <row r="7980" spans="19:19" ht="60" customHeight="1" x14ac:dyDescent="0.25">
      <c r="S7980" s="188"/>
    </row>
    <row r="7981" spans="19:19" ht="60" customHeight="1" x14ac:dyDescent="0.25">
      <c r="S7981" s="188"/>
    </row>
    <row r="7982" spans="19:19" ht="60" customHeight="1" x14ac:dyDescent="0.25">
      <c r="S7982" s="188"/>
    </row>
    <row r="7983" spans="19:19" ht="60" customHeight="1" x14ac:dyDescent="0.25">
      <c r="S7983" s="188"/>
    </row>
    <row r="7984" spans="19:19" ht="60" customHeight="1" x14ac:dyDescent="0.25">
      <c r="S7984" s="188"/>
    </row>
    <row r="7985" spans="19:19" ht="60" customHeight="1" x14ac:dyDescent="0.25">
      <c r="S7985" s="188"/>
    </row>
    <row r="7986" spans="19:19" ht="60" customHeight="1" x14ac:dyDescent="0.25">
      <c r="S7986" s="188"/>
    </row>
    <row r="7987" spans="19:19" ht="60" customHeight="1" x14ac:dyDescent="0.25">
      <c r="S7987" s="188"/>
    </row>
    <row r="7988" spans="19:19" ht="60" customHeight="1" x14ac:dyDescent="0.25">
      <c r="S7988" s="188"/>
    </row>
    <row r="7989" spans="19:19" ht="60" customHeight="1" x14ac:dyDescent="0.25">
      <c r="S7989" s="188"/>
    </row>
    <row r="7990" spans="19:19" ht="60" customHeight="1" x14ac:dyDescent="0.25">
      <c r="S7990" s="188"/>
    </row>
    <row r="7991" spans="19:19" ht="60" customHeight="1" x14ac:dyDescent="0.25">
      <c r="S7991" s="188"/>
    </row>
    <row r="7992" spans="19:19" ht="60" customHeight="1" x14ac:dyDescent="0.25">
      <c r="S7992" s="188"/>
    </row>
    <row r="7993" spans="19:19" ht="60" customHeight="1" x14ac:dyDescent="0.25">
      <c r="S7993" s="188"/>
    </row>
    <row r="7994" spans="19:19" ht="60" customHeight="1" x14ac:dyDescent="0.25">
      <c r="S7994" s="188"/>
    </row>
    <row r="7995" spans="19:19" ht="60" customHeight="1" x14ac:dyDescent="0.25">
      <c r="S7995" s="188"/>
    </row>
    <row r="7996" spans="19:19" ht="60" customHeight="1" x14ac:dyDescent="0.25">
      <c r="S7996" s="188"/>
    </row>
    <row r="7997" spans="19:19" ht="60" customHeight="1" x14ac:dyDescent="0.25">
      <c r="S7997" s="188"/>
    </row>
    <row r="7998" spans="19:19" ht="60" customHeight="1" x14ac:dyDescent="0.25">
      <c r="S7998" s="188"/>
    </row>
    <row r="7999" spans="19:19" ht="60" customHeight="1" x14ac:dyDescent="0.25">
      <c r="S7999" s="188"/>
    </row>
    <row r="8000" spans="19:19" ht="60" customHeight="1" x14ac:dyDescent="0.25">
      <c r="S8000" s="188"/>
    </row>
    <row r="8001" spans="19:19" ht="60" customHeight="1" x14ac:dyDescent="0.25">
      <c r="S8001" s="188"/>
    </row>
    <row r="8002" spans="19:19" ht="60" customHeight="1" x14ac:dyDescent="0.25">
      <c r="S8002" s="188"/>
    </row>
    <row r="8003" spans="19:19" ht="60" customHeight="1" x14ac:dyDescent="0.25">
      <c r="S8003" s="188"/>
    </row>
    <row r="8004" spans="19:19" ht="60" customHeight="1" x14ac:dyDescent="0.25">
      <c r="S8004" s="188"/>
    </row>
    <row r="8005" spans="19:19" ht="60" customHeight="1" x14ac:dyDescent="0.25">
      <c r="S8005" s="188"/>
    </row>
    <row r="8006" spans="19:19" ht="60" customHeight="1" x14ac:dyDescent="0.25">
      <c r="S8006" s="188"/>
    </row>
    <row r="8007" spans="19:19" ht="60" customHeight="1" x14ac:dyDescent="0.25">
      <c r="S8007" s="188"/>
    </row>
    <row r="8008" spans="19:19" ht="60" customHeight="1" x14ac:dyDescent="0.25">
      <c r="S8008" s="188"/>
    </row>
    <row r="8009" spans="19:19" ht="60" customHeight="1" x14ac:dyDescent="0.25">
      <c r="S8009" s="188"/>
    </row>
    <row r="8010" spans="19:19" ht="60" customHeight="1" x14ac:dyDescent="0.25">
      <c r="S8010" s="188"/>
    </row>
    <row r="8011" spans="19:19" ht="60" customHeight="1" x14ac:dyDescent="0.25">
      <c r="S8011" s="188"/>
    </row>
    <row r="8012" spans="19:19" ht="60" customHeight="1" x14ac:dyDescent="0.25">
      <c r="S8012" s="188"/>
    </row>
    <row r="8013" spans="19:19" ht="60" customHeight="1" x14ac:dyDescent="0.25">
      <c r="S8013" s="188"/>
    </row>
    <row r="8014" spans="19:19" ht="60" customHeight="1" x14ac:dyDescent="0.25">
      <c r="S8014" s="188"/>
    </row>
    <row r="8015" spans="19:19" ht="60" customHeight="1" x14ac:dyDescent="0.25">
      <c r="S8015" s="188"/>
    </row>
    <row r="8016" spans="19:19" ht="60" customHeight="1" x14ac:dyDescent="0.25">
      <c r="S8016" s="188"/>
    </row>
    <row r="8017" spans="19:19" ht="60" customHeight="1" x14ac:dyDescent="0.25">
      <c r="S8017" s="188"/>
    </row>
    <row r="8018" spans="19:19" ht="60" customHeight="1" x14ac:dyDescent="0.25">
      <c r="S8018" s="188"/>
    </row>
    <row r="8019" spans="19:19" ht="60" customHeight="1" x14ac:dyDescent="0.25">
      <c r="S8019" s="188"/>
    </row>
    <row r="8020" spans="19:19" ht="60" customHeight="1" x14ac:dyDescent="0.25">
      <c r="S8020" s="188"/>
    </row>
    <row r="8021" spans="19:19" ht="60" customHeight="1" x14ac:dyDescent="0.25">
      <c r="S8021" s="188"/>
    </row>
    <row r="8022" spans="19:19" ht="60" customHeight="1" x14ac:dyDescent="0.25">
      <c r="S8022" s="188"/>
    </row>
    <row r="8023" spans="19:19" ht="60" customHeight="1" x14ac:dyDescent="0.25">
      <c r="S8023" s="188"/>
    </row>
    <row r="8024" spans="19:19" ht="60" customHeight="1" x14ac:dyDescent="0.25">
      <c r="S8024" s="188"/>
    </row>
    <row r="8025" spans="19:19" ht="60" customHeight="1" x14ac:dyDescent="0.25">
      <c r="S8025" s="188"/>
    </row>
    <row r="8026" spans="19:19" ht="60" customHeight="1" x14ac:dyDescent="0.25">
      <c r="S8026" s="188"/>
    </row>
    <row r="8027" spans="19:19" ht="60" customHeight="1" x14ac:dyDescent="0.25">
      <c r="S8027" s="188"/>
    </row>
    <row r="8028" spans="19:19" ht="60" customHeight="1" x14ac:dyDescent="0.25">
      <c r="S8028" s="188"/>
    </row>
    <row r="8029" spans="19:19" ht="60" customHeight="1" x14ac:dyDescent="0.25">
      <c r="S8029" s="188"/>
    </row>
    <row r="8030" spans="19:19" ht="60" customHeight="1" x14ac:dyDescent="0.25">
      <c r="S8030" s="188"/>
    </row>
    <row r="8031" spans="19:19" ht="60" customHeight="1" x14ac:dyDescent="0.25">
      <c r="S8031" s="188"/>
    </row>
    <row r="8032" spans="19:19" ht="60" customHeight="1" x14ac:dyDescent="0.25">
      <c r="S8032" s="188"/>
    </row>
    <row r="8033" spans="19:19" ht="60" customHeight="1" x14ac:dyDescent="0.25">
      <c r="S8033" s="188"/>
    </row>
    <row r="8034" spans="19:19" ht="60" customHeight="1" x14ac:dyDescent="0.25">
      <c r="S8034" s="188"/>
    </row>
    <row r="8035" spans="19:19" ht="60" customHeight="1" x14ac:dyDescent="0.25">
      <c r="S8035" s="188"/>
    </row>
    <row r="8036" spans="19:19" ht="60" customHeight="1" x14ac:dyDescent="0.25">
      <c r="S8036" s="188"/>
    </row>
    <row r="8037" spans="19:19" ht="60" customHeight="1" x14ac:dyDescent="0.25">
      <c r="S8037" s="188"/>
    </row>
    <row r="8038" spans="19:19" ht="60" customHeight="1" x14ac:dyDescent="0.25">
      <c r="S8038" s="188"/>
    </row>
    <row r="8039" spans="19:19" ht="60" customHeight="1" x14ac:dyDescent="0.25">
      <c r="S8039" s="188"/>
    </row>
    <row r="8040" spans="19:19" ht="60" customHeight="1" x14ac:dyDescent="0.25">
      <c r="S8040" s="188"/>
    </row>
    <row r="8041" spans="19:19" ht="60" customHeight="1" x14ac:dyDescent="0.25">
      <c r="S8041" s="188"/>
    </row>
    <row r="8042" spans="19:19" ht="60" customHeight="1" x14ac:dyDescent="0.25">
      <c r="S8042" s="188"/>
    </row>
    <row r="8043" spans="19:19" ht="60" customHeight="1" x14ac:dyDescent="0.25">
      <c r="S8043" s="188"/>
    </row>
    <row r="8044" spans="19:19" ht="60" customHeight="1" x14ac:dyDescent="0.25">
      <c r="S8044" s="188"/>
    </row>
    <row r="8045" spans="19:19" ht="60" customHeight="1" x14ac:dyDescent="0.25">
      <c r="S8045" s="188"/>
    </row>
    <row r="8046" spans="19:19" ht="60" customHeight="1" x14ac:dyDescent="0.25">
      <c r="S8046" s="188"/>
    </row>
    <row r="8047" spans="19:19" ht="60" customHeight="1" x14ac:dyDescent="0.25">
      <c r="S8047" s="188"/>
    </row>
    <row r="8048" spans="19:19" ht="60" customHeight="1" x14ac:dyDescent="0.25">
      <c r="S8048" s="188"/>
    </row>
    <row r="8049" spans="19:19" ht="60" customHeight="1" x14ac:dyDescent="0.25">
      <c r="S8049" s="188"/>
    </row>
    <row r="8050" spans="19:19" ht="60" customHeight="1" x14ac:dyDescent="0.25">
      <c r="S8050" s="188"/>
    </row>
    <row r="8051" spans="19:19" ht="60" customHeight="1" x14ac:dyDescent="0.25">
      <c r="S8051" s="188"/>
    </row>
    <row r="8052" spans="19:19" ht="60" customHeight="1" x14ac:dyDescent="0.25">
      <c r="S8052" s="188"/>
    </row>
    <row r="8053" spans="19:19" ht="60" customHeight="1" x14ac:dyDescent="0.25">
      <c r="S8053" s="188"/>
    </row>
    <row r="8054" spans="19:19" ht="60" customHeight="1" x14ac:dyDescent="0.25">
      <c r="S8054" s="188"/>
    </row>
    <row r="8055" spans="19:19" ht="60" customHeight="1" x14ac:dyDescent="0.25">
      <c r="S8055" s="188"/>
    </row>
    <row r="8056" spans="19:19" ht="60" customHeight="1" x14ac:dyDescent="0.25">
      <c r="S8056" s="188"/>
    </row>
    <row r="8057" spans="19:19" ht="60" customHeight="1" x14ac:dyDescent="0.25">
      <c r="S8057" s="188"/>
    </row>
    <row r="8058" spans="19:19" ht="60" customHeight="1" x14ac:dyDescent="0.25">
      <c r="S8058" s="188"/>
    </row>
    <row r="8059" spans="19:19" ht="60" customHeight="1" x14ac:dyDescent="0.25">
      <c r="S8059" s="188"/>
    </row>
    <row r="8060" spans="19:19" ht="60" customHeight="1" x14ac:dyDescent="0.25">
      <c r="S8060" s="188"/>
    </row>
    <row r="8061" spans="19:19" ht="60" customHeight="1" x14ac:dyDescent="0.25">
      <c r="S8061" s="188"/>
    </row>
    <row r="8062" spans="19:19" ht="60" customHeight="1" x14ac:dyDescent="0.25">
      <c r="S8062" s="188"/>
    </row>
    <row r="8063" spans="19:19" ht="60" customHeight="1" x14ac:dyDescent="0.25">
      <c r="S8063" s="188"/>
    </row>
    <row r="8064" spans="19:19" ht="60" customHeight="1" x14ac:dyDescent="0.25">
      <c r="S8064" s="188"/>
    </row>
    <row r="8065" spans="19:19" ht="60" customHeight="1" x14ac:dyDescent="0.25">
      <c r="S8065" s="188"/>
    </row>
    <row r="8066" spans="19:19" ht="60" customHeight="1" x14ac:dyDescent="0.25">
      <c r="S8066" s="188"/>
    </row>
    <row r="8067" spans="19:19" ht="60" customHeight="1" x14ac:dyDescent="0.25">
      <c r="S8067" s="188"/>
    </row>
    <row r="8068" spans="19:19" ht="60" customHeight="1" x14ac:dyDescent="0.25">
      <c r="S8068" s="188"/>
    </row>
    <row r="8069" spans="19:19" ht="60" customHeight="1" x14ac:dyDescent="0.25">
      <c r="S8069" s="188"/>
    </row>
    <row r="8070" spans="19:19" ht="60" customHeight="1" x14ac:dyDescent="0.25">
      <c r="S8070" s="188"/>
    </row>
    <row r="8071" spans="19:19" ht="60" customHeight="1" x14ac:dyDescent="0.25">
      <c r="S8071" s="188"/>
    </row>
    <row r="8072" spans="19:19" ht="60" customHeight="1" x14ac:dyDescent="0.25">
      <c r="S8072" s="188"/>
    </row>
    <row r="8073" spans="19:19" ht="60" customHeight="1" x14ac:dyDescent="0.25">
      <c r="S8073" s="188"/>
    </row>
    <row r="8074" spans="19:19" ht="60" customHeight="1" x14ac:dyDescent="0.25">
      <c r="S8074" s="188"/>
    </row>
    <row r="8075" spans="19:19" ht="60" customHeight="1" x14ac:dyDescent="0.25">
      <c r="S8075" s="188"/>
    </row>
    <row r="8076" spans="19:19" ht="60" customHeight="1" x14ac:dyDescent="0.25">
      <c r="S8076" s="188"/>
    </row>
    <row r="8077" spans="19:19" ht="60" customHeight="1" x14ac:dyDescent="0.25">
      <c r="S8077" s="188"/>
    </row>
    <row r="8078" spans="19:19" ht="60" customHeight="1" x14ac:dyDescent="0.25">
      <c r="S8078" s="188"/>
    </row>
    <row r="8079" spans="19:19" ht="60" customHeight="1" x14ac:dyDescent="0.25">
      <c r="S8079" s="188"/>
    </row>
    <row r="8080" spans="19:19" ht="60" customHeight="1" x14ac:dyDescent="0.25">
      <c r="S8080" s="188"/>
    </row>
    <row r="8081" spans="19:19" ht="60" customHeight="1" x14ac:dyDescent="0.25">
      <c r="S8081" s="188"/>
    </row>
    <row r="8082" spans="19:19" ht="60" customHeight="1" x14ac:dyDescent="0.25">
      <c r="S8082" s="188"/>
    </row>
    <row r="8083" spans="19:19" ht="60" customHeight="1" x14ac:dyDescent="0.25">
      <c r="S8083" s="188"/>
    </row>
    <row r="8084" spans="19:19" ht="60" customHeight="1" x14ac:dyDescent="0.25">
      <c r="S8084" s="188"/>
    </row>
    <row r="8085" spans="19:19" ht="60" customHeight="1" x14ac:dyDescent="0.25">
      <c r="S8085" s="188"/>
    </row>
    <row r="8086" spans="19:19" ht="60" customHeight="1" x14ac:dyDescent="0.25">
      <c r="S8086" s="188"/>
    </row>
    <row r="8087" spans="19:19" ht="60" customHeight="1" x14ac:dyDescent="0.25">
      <c r="S8087" s="188"/>
    </row>
    <row r="8088" spans="19:19" ht="60" customHeight="1" x14ac:dyDescent="0.25">
      <c r="S8088" s="188"/>
    </row>
    <row r="8089" spans="19:19" ht="60" customHeight="1" x14ac:dyDescent="0.25">
      <c r="S8089" s="188"/>
    </row>
    <row r="8090" spans="19:19" ht="60" customHeight="1" x14ac:dyDescent="0.25">
      <c r="S8090" s="188"/>
    </row>
    <row r="8091" spans="19:19" ht="60" customHeight="1" x14ac:dyDescent="0.25">
      <c r="S8091" s="188"/>
    </row>
    <row r="8092" spans="19:19" ht="60" customHeight="1" x14ac:dyDescent="0.25">
      <c r="S8092" s="188"/>
    </row>
    <row r="8093" spans="19:19" ht="60" customHeight="1" x14ac:dyDescent="0.25">
      <c r="S8093" s="188"/>
    </row>
    <row r="8094" spans="19:19" ht="60" customHeight="1" x14ac:dyDescent="0.25">
      <c r="S8094" s="188"/>
    </row>
    <row r="8095" spans="19:19" ht="60" customHeight="1" x14ac:dyDescent="0.25">
      <c r="S8095" s="188"/>
    </row>
    <row r="8096" spans="19:19" ht="60" customHeight="1" x14ac:dyDescent="0.25">
      <c r="S8096" s="188"/>
    </row>
    <row r="8097" spans="19:19" ht="60" customHeight="1" x14ac:dyDescent="0.25">
      <c r="S8097" s="188"/>
    </row>
    <row r="8098" spans="19:19" ht="60" customHeight="1" x14ac:dyDescent="0.25">
      <c r="S8098" s="188"/>
    </row>
    <row r="8099" spans="19:19" ht="60" customHeight="1" x14ac:dyDescent="0.25">
      <c r="S8099" s="188"/>
    </row>
    <row r="8100" spans="19:19" ht="60" customHeight="1" x14ac:dyDescent="0.25">
      <c r="S8100" s="188"/>
    </row>
    <row r="8101" spans="19:19" ht="60" customHeight="1" x14ac:dyDescent="0.25">
      <c r="S8101" s="188"/>
    </row>
    <row r="8102" spans="19:19" ht="60" customHeight="1" x14ac:dyDescent="0.25">
      <c r="S8102" s="188"/>
    </row>
    <row r="8103" spans="19:19" ht="60" customHeight="1" x14ac:dyDescent="0.25">
      <c r="S8103" s="188"/>
    </row>
    <row r="8104" spans="19:19" ht="60" customHeight="1" x14ac:dyDescent="0.25">
      <c r="S8104" s="188"/>
    </row>
    <row r="8105" spans="19:19" ht="60" customHeight="1" x14ac:dyDescent="0.25">
      <c r="S8105" s="188"/>
    </row>
    <row r="8106" spans="19:19" ht="60" customHeight="1" x14ac:dyDescent="0.25">
      <c r="S8106" s="188"/>
    </row>
    <row r="8107" spans="19:19" ht="60" customHeight="1" x14ac:dyDescent="0.25">
      <c r="S8107" s="188"/>
    </row>
    <row r="8108" spans="19:19" ht="60" customHeight="1" x14ac:dyDescent="0.25">
      <c r="S8108" s="188"/>
    </row>
    <row r="8109" spans="19:19" ht="60" customHeight="1" x14ac:dyDescent="0.25">
      <c r="S8109" s="188"/>
    </row>
    <row r="8110" spans="19:19" ht="60" customHeight="1" x14ac:dyDescent="0.25">
      <c r="S8110" s="188"/>
    </row>
    <row r="8111" spans="19:19" ht="60" customHeight="1" x14ac:dyDescent="0.25">
      <c r="S8111" s="188"/>
    </row>
    <row r="8112" spans="19:19" ht="60" customHeight="1" x14ac:dyDescent="0.25">
      <c r="S8112" s="188"/>
    </row>
    <row r="8113" spans="19:19" ht="60" customHeight="1" x14ac:dyDescent="0.25">
      <c r="S8113" s="188"/>
    </row>
    <row r="8114" spans="19:19" ht="60" customHeight="1" x14ac:dyDescent="0.25">
      <c r="S8114" s="188"/>
    </row>
    <row r="8115" spans="19:19" ht="60" customHeight="1" x14ac:dyDescent="0.25">
      <c r="S8115" s="188"/>
    </row>
    <row r="8116" spans="19:19" ht="60" customHeight="1" x14ac:dyDescent="0.25">
      <c r="S8116" s="188"/>
    </row>
    <row r="8117" spans="19:19" ht="60" customHeight="1" x14ac:dyDescent="0.25">
      <c r="S8117" s="188"/>
    </row>
    <row r="8118" spans="19:19" ht="60" customHeight="1" x14ac:dyDescent="0.25">
      <c r="S8118" s="188"/>
    </row>
    <row r="8119" spans="19:19" ht="60" customHeight="1" x14ac:dyDescent="0.25">
      <c r="S8119" s="188"/>
    </row>
    <row r="8120" spans="19:19" ht="60" customHeight="1" x14ac:dyDescent="0.25">
      <c r="S8120" s="188"/>
    </row>
    <row r="8121" spans="19:19" ht="60" customHeight="1" x14ac:dyDescent="0.25">
      <c r="S8121" s="188"/>
    </row>
    <row r="8122" spans="19:19" ht="60" customHeight="1" x14ac:dyDescent="0.25">
      <c r="S8122" s="188"/>
    </row>
    <row r="8123" spans="19:19" ht="60" customHeight="1" x14ac:dyDescent="0.25">
      <c r="S8123" s="188"/>
    </row>
    <row r="8124" spans="19:19" ht="60" customHeight="1" x14ac:dyDescent="0.25">
      <c r="S8124" s="188"/>
    </row>
    <row r="8125" spans="19:19" ht="60" customHeight="1" x14ac:dyDescent="0.25">
      <c r="S8125" s="188"/>
    </row>
    <row r="8126" spans="19:19" ht="60" customHeight="1" x14ac:dyDescent="0.25">
      <c r="S8126" s="188"/>
    </row>
    <row r="8127" spans="19:19" ht="60" customHeight="1" x14ac:dyDescent="0.25">
      <c r="S8127" s="188"/>
    </row>
    <row r="8128" spans="19:19" ht="60" customHeight="1" x14ac:dyDescent="0.25">
      <c r="S8128" s="188"/>
    </row>
    <row r="8129" spans="19:19" ht="60" customHeight="1" x14ac:dyDescent="0.25">
      <c r="S8129" s="188"/>
    </row>
    <row r="8130" spans="19:19" ht="60" customHeight="1" x14ac:dyDescent="0.25">
      <c r="S8130" s="188"/>
    </row>
    <row r="8131" spans="19:19" ht="60" customHeight="1" x14ac:dyDescent="0.25">
      <c r="S8131" s="188"/>
    </row>
    <row r="8132" spans="19:19" ht="60" customHeight="1" x14ac:dyDescent="0.25">
      <c r="S8132" s="188"/>
    </row>
    <row r="8133" spans="19:19" ht="60" customHeight="1" x14ac:dyDescent="0.25">
      <c r="S8133" s="188"/>
    </row>
    <row r="8134" spans="19:19" ht="60" customHeight="1" x14ac:dyDescent="0.25">
      <c r="S8134" s="188"/>
    </row>
    <row r="8135" spans="19:19" ht="60" customHeight="1" x14ac:dyDescent="0.25">
      <c r="S8135" s="188"/>
    </row>
    <row r="8136" spans="19:19" ht="60" customHeight="1" x14ac:dyDescent="0.25">
      <c r="S8136" s="188"/>
    </row>
    <row r="8137" spans="19:19" ht="60" customHeight="1" x14ac:dyDescent="0.25">
      <c r="S8137" s="188"/>
    </row>
    <row r="8138" spans="19:19" ht="60" customHeight="1" x14ac:dyDescent="0.25">
      <c r="S8138" s="188"/>
    </row>
    <row r="8139" spans="19:19" ht="60" customHeight="1" x14ac:dyDescent="0.25">
      <c r="S8139" s="188"/>
    </row>
    <row r="8140" spans="19:19" ht="60" customHeight="1" x14ac:dyDescent="0.25">
      <c r="S8140" s="188"/>
    </row>
    <row r="8141" spans="19:19" ht="60" customHeight="1" x14ac:dyDescent="0.25">
      <c r="S8141" s="188"/>
    </row>
    <row r="8142" spans="19:19" ht="60" customHeight="1" x14ac:dyDescent="0.25">
      <c r="S8142" s="188"/>
    </row>
    <row r="8143" spans="19:19" ht="60" customHeight="1" x14ac:dyDescent="0.25">
      <c r="S8143" s="188"/>
    </row>
    <row r="8144" spans="19:19" ht="60" customHeight="1" x14ac:dyDescent="0.25">
      <c r="S8144" s="188"/>
    </row>
    <row r="8145" spans="19:19" ht="60" customHeight="1" x14ac:dyDescent="0.25">
      <c r="S8145" s="188"/>
    </row>
    <row r="8146" spans="19:19" ht="60" customHeight="1" x14ac:dyDescent="0.25">
      <c r="S8146" s="188"/>
    </row>
    <row r="8147" spans="19:19" ht="60" customHeight="1" x14ac:dyDescent="0.25">
      <c r="S8147" s="188"/>
    </row>
    <row r="8148" spans="19:19" ht="60" customHeight="1" x14ac:dyDescent="0.25">
      <c r="S8148" s="188"/>
    </row>
    <row r="8149" spans="19:19" ht="60" customHeight="1" x14ac:dyDescent="0.25">
      <c r="S8149" s="188"/>
    </row>
    <row r="8150" spans="19:19" ht="60" customHeight="1" x14ac:dyDescent="0.25">
      <c r="S8150" s="188"/>
    </row>
    <row r="8151" spans="19:19" ht="60" customHeight="1" x14ac:dyDescent="0.25">
      <c r="S8151" s="188"/>
    </row>
    <row r="8152" spans="19:19" ht="60" customHeight="1" x14ac:dyDescent="0.25">
      <c r="S8152" s="188"/>
    </row>
    <row r="8153" spans="19:19" ht="60" customHeight="1" x14ac:dyDescent="0.25">
      <c r="S8153" s="188"/>
    </row>
    <row r="8154" spans="19:19" ht="60" customHeight="1" x14ac:dyDescent="0.25">
      <c r="S8154" s="188"/>
    </row>
    <row r="8155" spans="19:19" ht="60" customHeight="1" x14ac:dyDescent="0.25">
      <c r="S8155" s="188"/>
    </row>
    <row r="8156" spans="19:19" ht="60" customHeight="1" x14ac:dyDescent="0.25">
      <c r="S8156" s="188"/>
    </row>
    <row r="8157" spans="19:19" ht="60" customHeight="1" x14ac:dyDescent="0.25">
      <c r="S8157" s="188"/>
    </row>
    <row r="8158" spans="19:19" ht="60" customHeight="1" x14ac:dyDescent="0.25">
      <c r="S8158" s="188"/>
    </row>
    <row r="8159" spans="19:19" ht="60" customHeight="1" x14ac:dyDescent="0.25">
      <c r="S8159" s="188"/>
    </row>
    <row r="8160" spans="19:19" ht="60" customHeight="1" x14ac:dyDescent="0.25">
      <c r="S8160" s="188"/>
    </row>
    <row r="8161" spans="19:19" ht="60" customHeight="1" x14ac:dyDescent="0.25">
      <c r="S8161" s="188"/>
    </row>
    <row r="8162" spans="19:19" ht="60" customHeight="1" x14ac:dyDescent="0.25">
      <c r="S8162" s="188"/>
    </row>
    <row r="8163" spans="19:19" ht="60" customHeight="1" x14ac:dyDescent="0.25">
      <c r="S8163" s="188"/>
    </row>
    <row r="8164" spans="19:19" ht="60" customHeight="1" x14ac:dyDescent="0.25">
      <c r="S8164" s="188"/>
    </row>
    <row r="8165" spans="19:19" ht="60" customHeight="1" x14ac:dyDescent="0.25">
      <c r="S8165" s="188"/>
    </row>
    <row r="8166" spans="19:19" ht="60" customHeight="1" x14ac:dyDescent="0.25">
      <c r="S8166" s="188"/>
    </row>
    <row r="8167" spans="19:19" ht="60" customHeight="1" x14ac:dyDescent="0.25">
      <c r="S8167" s="188"/>
    </row>
    <row r="8168" spans="19:19" ht="60" customHeight="1" x14ac:dyDescent="0.25">
      <c r="S8168" s="188"/>
    </row>
    <row r="8169" spans="19:19" ht="60" customHeight="1" x14ac:dyDescent="0.25">
      <c r="S8169" s="188"/>
    </row>
    <row r="8170" spans="19:19" ht="60" customHeight="1" x14ac:dyDescent="0.25">
      <c r="S8170" s="188"/>
    </row>
    <row r="8171" spans="19:19" ht="60" customHeight="1" x14ac:dyDescent="0.25">
      <c r="S8171" s="188"/>
    </row>
    <row r="8172" spans="19:19" ht="60" customHeight="1" x14ac:dyDescent="0.25">
      <c r="S8172" s="188"/>
    </row>
    <row r="8173" spans="19:19" ht="60" customHeight="1" x14ac:dyDescent="0.25">
      <c r="S8173" s="188"/>
    </row>
    <row r="8174" spans="19:19" ht="60" customHeight="1" x14ac:dyDescent="0.25">
      <c r="S8174" s="188"/>
    </row>
    <row r="8175" spans="19:19" ht="60" customHeight="1" x14ac:dyDescent="0.25">
      <c r="S8175" s="188"/>
    </row>
    <row r="8176" spans="19:19" ht="60" customHeight="1" x14ac:dyDescent="0.25">
      <c r="S8176" s="188"/>
    </row>
    <row r="8177" spans="19:19" ht="60" customHeight="1" x14ac:dyDescent="0.25">
      <c r="S8177" s="188"/>
    </row>
    <row r="8178" spans="19:19" ht="60" customHeight="1" x14ac:dyDescent="0.25">
      <c r="S8178" s="188"/>
    </row>
    <row r="8179" spans="19:19" ht="60" customHeight="1" x14ac:dyDescent="0.25">
      <c r="S8179" s="188"/>
    </row>
    <row r="8180" spans="19:19" ht="60" customHeight="1" x14ac:dyDescent="0.25">
      <c r="S8180" s="188"/>
    </row>
    <row r="8181" spans="19:19" ht="60" customHeight="1" x14ac:dyDescent="0.25">
      <c r="S8181" s="188"/>
    </row>
    <row r="8182" spans="19:19" ht="60" customHeight="1" x14ac:dyDescent="0.25">
      <c r="S8182" s="188"/>
    </row>
    <row r="8183" spans="19:19" ht="60" customHeight="1" x14ac:dyDescent="0.25">
      <c r="S8183" s="188"/>
    </row>
    <row r="8184" spans="19:19" ht="60" customHeight="1" x14ac:dyDescent="0.25">
      <c r="S8184" s="188"/>
    </row>
    <row r="8185" spans="19:19" ht="60" customHeight="1" x14ac:dyDescent="0.25">
      <c r="S8185" s="188"/>
    </row>
    <row r="8186" spans="19:19" ht="60" customHeight="1" x14ac:dyDescent="0.25">
      <c r="S8186" s="188"/>
    </row>
    <row r="8187" spans="19:19" ht="60" customHeight="1" x14ac:dyDescent="0.25">
      <c r="S8187" s="188"/>
    </row>
    <row r="8188" spans="19:19" ht="60" customHeight="1" x14ac:dyDescent="0.25">
      <c r="S8188" s="188"/>
    </row>
    <row r="8189" spans="19:19" ht="60" customHeight="1" x14ac:dyDescent="0.25">
      <c r="S8189" s="188"/>
    </row>
    <row r="8190" spans="19:19" ht="60" customHeight="1" x14ac:dyDescent="0.25">
      <c r="S8190" s="188"/>
    </row>
    <row r="8191" spans="19:19" ht="60" customHeight="1" x14ac:dyDescent="0.25">
      <c r="S8191" s="188"/>
    </row>
    <row r="8192" spans="19:19" ht="60" customHeight="1" x14ac:dyDescent="0.25">
      <c r="S8192" s="188"/>
    </row>
    <row r="8193" spans="19:19" ht="60" customHeight="1" x14ac:dyDescent="0.25">
      <c r="S8193" s="188"/>
    </row>
    <row r="8194" spans="19:19" ht="60" customHeight="1" x14ac:dyDescent="0.25">
      <c r="S8194" s="188"/>
    </row>
    <row r="8195" spans="19:19" ht="60" customHeight="1" x14ac:dyDescent="0.25">
      <c r="S8195" s="188"/>
    </row>
    <row r="8196" spans="19:19" ht="60" customHeight="1" x14ac:dyDescent="0.25">
      <c r="S8196" s="188"/>
    </row>
    <row r="8197" spans="19:19" ht="60" customHeight="1" x14ac:dyDescent="0.25">
      <c r="S8197" s="188"/>
    </row>
    <row r="8198" spans="19:19" ht="60" customHeight="1" x14ac:dyDescent="0.25">
      <c r="S8198" s="188"/>
    </row>
    <row r="8199" spans="19:19" ht="60" customHeight="1" x14ac:dyDescent="0.25">
      <c r="S8199" s="188"/>
    </row>
    <row r="8200" spans="19:19" ht="60" customHeight="1" x14ac:dyDescent="0.25">
      <c r="S8200" s="188"/>
    </row>
    <row r="8201" spans="19:19" ht="60" customHeight="1" x14ac:dyDescent="0.25">
      <c r="S8201" s="188"/>
    </row>
    <row r="8202" spans="19:19" ht="60" customHeight="1" x14ac:dyDescent="0.25">
      <c r="S8202" s="188"/>
    </row>
    <row r="8203" spans="19:19" ht="60" customHeight="1" x14ac:dyDescent="0.25">
      <c r="S8203" s="188"/>
    </row>
    <row r="8204" spans="19:19" ht="60" customHeight="1" x14ac:dyDescent="0.25">
      <c r="S8204" s="188"/>
    </row>
    <row r="8205" spans="19:19" ht="60" customHeight="1" x14ac:dyDescent="0.25">
      <c r="S8205" s="188"/>
    </row>
    <row r="8206" spans="19:19" ht="60" customHeight="1" x14ac:dyDescent="0.25">
      <c r="S8206" s="188"/>
    </row>
    <row r="8207" spans="19:19" ht="60" customHeight="1" x14ac:dyDescent="0.25">
      <c r="S8207" s="188"/>
    </row>
    <row r="8208" spans="19:19" ht="60" customHeight="1" x14ac:dyDescent="0.25">
      <c r="S8208" s="188"/>
    </row>
    <row r="8209" spans="19:19" ht="60" customHeight="1" x14ac:dyDescent="0.25">
      <c r="S8209" s="188"/>
    </row>
    <row r="8210" spans="19:19" ht="60" customHeight="1" x14ac:dyDescent="0.25">
      <c r="S8210" s="188"/>
    </row>
    <row r="8211" spans="19:19" ht="60" customHeight="1" x14ac:dyDescent="0.25">
      <c r="S8211" s="188"/>
    </row>
    <row r="8212" spans="19:19" ht="60" customHeight="1" x14ac:dyDescent="0.25">
      <c r="S8212" s="188"/>
    </row>
    <row r="8213" spans="19:19" ht="60" customHeight="1" x14ac:dyDescent="0.25">
      <c r="S8213" s="188"/>
    </row>
    <row r="8214" spans="19:19" ht="60" customHeight="1" x14ac:dyDescent="0.25">
      <c r="S8214" s="188"/>
    </row>
    <row r="8215" spans="19:19" ht="60" customHeight="1" x14ac:dyDescent="0.25">
      <c r="S8215" s="188"/>
    </row>
    <row r="8216" spans="19:19" ht="60" customHeight="1" x14ac:dyDescent="0.25">
      <c r="S8216" s="188"/>
    </row>
    <row r="8217" spans="19:19" ht="60" customHeight="1" x14ac:dyDescent="0.25">
      <c r="S8217" s="188"/>
    </row>
    <row r="8218" spans="19:19" ht="60" customHeight="1" x14ac:dyDescent="0.25">
      <c r="S8218" s="188"/>
    </row>
    <row r="8219" spans="19:19" ht="60" customHeight="1" x14ac:dyDescent="0.25">
      <c r="S8219" s="188"/>
    </row>
    <row r="8220" spans="19:19" ht="60" customHeight="1" x14ac:dyDescent="0.25">
      <c r="S8220" s="188"/>
    </row>
    <row r="8221" spans="19:19" ht="60" customHeight="1" x14ac:dyDescent="0.25">
      <c r="S8221" s="188"/>
    </row>
    <row r="8222" spans="19:19" ht="60" customHeight="1" x14ac:dyDescent="0.25">
      <c r="S8222" s="188"/>
    </row>
    <row r="8223" spans="19:19" ht="60" customHeight="1" x14ac:dyDescent="0.25">
      <c r="S8223" s="188"/>
    </row>
    <row r="8224" spans="19:19" ht="60" customHeight="1" x14ac:dyDescent="0.25">
      <c r="S8224" s="188"/>
    </row>
    <row r="8225" spans="19:19" ht="60" customHeight="1" x14ac:dyDescent="0.25">
      <c r="S8225" s="188"/>
    </row>
    <row r="8226" spans="19:19" ht="60" customHeight="1" x14ac:dyDescent="0.25">
      <c r="S8226" s="188"/>
    </row>
    <row r="8227" spans="19:19" ht="60" customHeight="1" x14ac:dyDescent="0.25">
      <c r="S8227" s="188"/>
    </row>
    <row r="8228" spans="19:19" ht="60" customHeight="1" x14ac:dyDescent="0.25">
      <c r="S8228" s="188"/>
    </row>
    <row r="8229" spans="19:19" ht="60" customHeight="1" x14ac:dyDescent="0.25">
      <c r="S8229" s="188"/>
    </row>
    <row r="8230" spans="19:19" ht="60" customHeight="1" x14ac:dyDescent="0.25">
      <c r="S8230" s="188"/>
    </row>
    <row r="8231" spans="19:19" ht="60" customHeight="1" x14ac:dyDescent="0.25">
      <c r="S8231" s="188"/>
    </row>
    <row r="8232" spans="19:19" ht="60" customHeight="1" x14ac:dyDescent="0.25">
      <c r="S8232" s="188"/>
    </row>
    <row r="8233" spans="19:19" ht="60" customHeight="1" x14ac:dyDescent="0.25">
      <c r="S8233" s="188"/>
    </row>
    <row r="8234" spans="19:19" ht="60" customHeight="1" x14ac:dyDescent="0.25">
      <c r="S8234" s="188"/>
    </row>
    <row r="8235" spans="19:19" ht="60" customHeight="1" x14ac:dyDescent="0.25">
      <c r="S8235" s="188"/>
    </row>
    <row r="8236" spans="19:19" ht="60" customHeight="1" x14ac:dyDescent="0.25">
      <c r="S8236" s="188"/>
    </row>
    <row r="8237" spans="19:19" ht="60" customHeight="1" x14ac:dyDescent="0.25">
      <c r="S8237" s="188"/>
    </row>
    <row r="8238" spans="19:19" ht="60" customHeight="1" x14ac:dyDescent="0.25">
      <c r="S8238" s="188"/>
    </row>
    <row r="8239" spans="19:19" ht="60" customHeight="1" x14ac:dyDescent="0.25">
      <c r="S8239" s="188"/>
    </row>
    <row r="8240" spans="19:19" ht="60" customHeight="1" x14ac:dyDescent="0.25">
      <c r="S8240" s="188"/>
    </row>
    <row r="8241" spans="19:19" ht="60" customHeight="1" x14ac:dyDescent="0.25">
      <c r="S8241" s="188"/>
    </row>
    <row r="8242" spans="19:19" ht="60" customHeight="1" x14ac:dyDescent="0.25">
      <c r="S8242" s="188"/>
    </row>
    <row r="8243" spans="19:19" ht="60" customHeight="1" x14ac:dyDescent="0.25">
      <c r="S8243" s="188"/>
    </row>
    <row r="8244" spans="19:19" ht="60" customHeight="1" x14ac:dyDescent="0.25">
      <c r="S8244" s="188"/>
    </row>
    <row r="8245" spans="19:19" ht="60" customHeight="1" x14ac:dyDescent="0.25">
      <c r="S8245" s="188"/>
    </row>
    <row r="8246" spans="19:19" ht="60" customHeight="1" x14ac:dyDescent="0.25">
      <c r="S8246" s="188"/>
    </row>
    <row r="8247" spans="19:19" ht="60" customHeight="1" x14ac:dyDescent="0.25">
      <c r="S8247" s="188"/>
    </row>
    <row r="8248" spans="19:19" ht="60" customHeight="1" x14ac:dyDescent="0.25">
      <c r="S8248" s="188"/>
    </row>
    <row r="8249" spans="19:19" ht="60" customHeight="1" x14ac:dyDescent="0.25">
      <c r="S8249" s="188"/>
    </row>
    <row r="8250" spans="19:19" ht="60" customHeight="1" x14ac:dyDescent="0.25">
      <c r="S8250" s="188"/>
    </row>
    <row r="8251" spans="19:19" ht="60" customHeight="1" x14ac:dyDescent="0.25">
      <c r="S8251" s="188"/>
    </row>
    <row r="8252" spans="19:19" ht="60" customHeight="1" x14ac:dyDescent="0.25">
      <c r="S8252" s="188"/>
    </row>
    <row r="8253" spans="19:19" ht="60" customHeight="1" x14ac:dyDescent="0.25">
      <c r="S8253" s="188"/>
    </row>
    <row r="8254" spans="19:19" ht="60" customHeight="1" x14ac:dyDescent="0.25">
      <c r="S8254" s="188"/>
    </row>
    <row r="8255" spans="19:19" ht="60" customHeight="1" x14ac:dyDescent="0.25">
      <c r="S8255" s="188"/>
    </row>
    <row r="8256" spans="19:19" ht="60" customHeight="1" x14ac:dyDescent="0.25">
      <c r="S8256" s="188"/>
    </row>
    <row r="8257" spans="19:19" ht="60" customHeight="1" x14ac:dyDescent="0.25">
      <c r="S8257" s="188"/>
    </row>
    <row r="8258" spans="19:19" ht="60" customHeight="1" x14ac:dyDescent="0.25">
      <c r="S8258" s="188"/>
    </row>
    <row r="8259" spans="19:19" ht="60" customHeight="1" x14ac:dyDescent="0.25">
      <c r="S8259" s="188"/>
    </row>
    <row r="8260" spans="19:19" ht="60" customHeight="1" x14ac:dyDescent="0.25">
      <c r="S8260" s="188"/>
    </row>
    <row r="8261" spans="19:19" ht="60" customHeight="1" x14ac:dyDescent="0.25">
      <c r="S8261" s="188"/>
    </row>
    <row r="8262" spans="19:19" ht="60" customHeight="1" x14ac:dyDescent="0.25">
      <c r="S8262" s="188"/>
    </row>
    <row r="8263" spans="19:19" ht="60" customHeight="1" x14ac:dyDescent="0.25">
      <c r="S8263" s="188"/>
    </row>
    <row r="8264" spans="19:19" ht="60" customHeight="1" x14ac:dyDescent="0.25">
      <c r="S8264" s="188"/>
    </row>
    <row r="8265" spans="19:19" ht="60" customHeight="1" x14ac:dyDescent="0.25">
      <c r="S8265" s="188"/>
    </row>
    <row r="8266" spans="19:19" ht="60" customHeight="1" x14ac:dyDescent="0.25">
      <c r="S8266" s="188"/>
    </row>
    <row r="8267" spans="19:19" ht="60" customHeight="1" x14ac:dyDescent="0.25">
      <c r="S8267" s="188"/>
    </row>
    <row r="8268" spans="19:19" ht="60" customHeight="1" x14ac:dyDescent="0.25">
      <c r="S8268" s="188"/>
    </row>
    <row r="8269" spans="19:19" ht="60" customHeight="1" x14ac:dyDescent="0.25">
      <c r="S8269" s="188"/>
    </row>
    <row r="8270" spans="19:19" ht="60" customHeight="1" x14ac:dyDescent="0.25">
      <c r="S8270" s="188"/>
    </row>
    <row r="8271" spans="19:19" ht="60" customHeight="1" x14ac:dyDescent="0.25">
      <c r="S8271" s="188"/>
    </row>
    <row r="8272" spans="19:19" ht="60" customHeight="1" x14ac:dyDescent="0.25">
      <c r="S8272" s="188"/>
    </row>
    <row r="8273" spans="19:19" ht="60" customHeight="1" x14ac:dyDescent="0.25">
      <c r="S8273" s="188"/>
    </row>
    <row r="8274" spans="19:19" ht="60" customHeight="1" x14ac:dyDescent="0.25">
      <c r="S8274" s="188"/>
    </row>
    <row r="8275" spans="19:19" ht="60" customHeight="1" x14ac:dyDescent="0.25">
      <c r="S8275" s="188"/>
    </row>
    <row r="8276" spans="19:19" ht="60" customHeight="1" x14ac:dyDescent="0.25">
      <c r="S8276" s="188"/>
    </row>
    <row r="8277" spans="19:19" ht="60" customHeight="1" x14ac:dyDescent="0.25">
      <c r="S8277" s="188"/>
    </row>
    <row r="8278" spans="19:19" ht="60" customHeight="1" x14ac:dyDescent="0.25">
      <c r="S8278" s="188"/>
    </row>
    <row r="8279" spans="19:19" ht="60" customHeight="1" x14ac:dyDescent="0.25">
      <c r="S8279" s="188"/>
    </row>
    <row r="8280" spans="19:19" ht="60" customHeight="1" x14ac:dyDescent="0.25">
      <c r="S8280" s="188"/>
    </row>
    <row r="8281" spans="19:19" ht="60" customHeight="1" x14ac:dyDescent="0.25">
      <c r="S8281" s="188"/>
    </row>
    <row r="8282" spans="19:19" ht="60" customHeight="1" x14ac:dyDescent="0.25">
      <c r="S8282" s="188"/>
    </row>
    <row r="8283" spans="19:19" ht="60" customHeight="1" x14ac:dyDescent="0.25">
      <c r="S8283" s="188"/>
    </row>
    <row r="8284" spans="19:19" ht="60" customHeight="1" x14ac:dyDescent="0.25">
      <c r="S8284" s="188"/>
    </row>
    <row r="8285" spans="19:19" ht="60" customHeight="1" x14ac:dyDescent="0.25">
      <c r="S8285" s="188"/>
    </row>
    <row r="8286" spans="19:19" ht="60" customHeight="1" x14ac:dyDescent="0.25">
      <c r="S8286" s="188"/>
    </row>
    <row r="8287" spans="19:19" ht="60" customHeight="1" x14ac:dyDescent="0.25">
      <c r="S8287" s="188"/>
    </row>
    <row r="8288" spans="19:19" ht="60" customHeight="1" x14ac:dyDescent="0.25">
      <c r="S8288" s="188"/>
    </row>
    <row r="8289" spans="19:19" ht="60" customHeight="1" x14ac:dyDescent="0.25">
      <c r="S8289" s="188"/>
    </row>
    <row r="8290" spans="19:19" ht="60" customHeight="1" x14ac:dyDescent="0.25">
      <c r="S8290" s="188"/>
    </row>
    <row r="8291" spans="19:19" ht="60" customHeight="1" x14ac:dyDescent="0.25">
      <c r="S8291" s="188"/>
    </row>
    <row r="8292" spans="19:19" ht="60" customHeight="1" x14ac:dyDescent="0.25">
      <c r="S8292" s="188"/>
    </row>
    <row r="8293" spans="19:19" ht="60" customHeight="1" x14ac:dyDescent="0.25">
      <c r="S8293" s="188"/>
    </row>
    <row r="8294" spans="19:19" ht="60" customHeight="1" x14ac:dyDescent="0.25">
      <c r="S8294" s="188"/>
    </row>
    <row r="8295" spans="19:19" ht="60" customHeight="1" x14ac:dyDescent="0.25">
      <c r="S8295" s="188"/>
    </row>
    <row r="8296" spans="19:19" ht="60" customHeight="1" x14ac:dyDescent="0.25">
      <c r="S8296" s="188"/>
    </row>
    <row r="8297" spans="19:19" ht="60" customHeight="1" x14ac:dyDescent="0.25">
      <c r="S8297" s="188"/>
    </row>
    <row r="8298" spans="19:19" ht="60" customHeight="1" x14ac:dyDescent="0.25">
      <c r="S8298" s="188"/>
    </row>
    <row r="8299" spans="19:19" ht="60" customHeight="1" x14ac:dyDescent="0.25">
      <c r="S8299" s="188"/>
    </row>
    <row r="8300" spans="19:19" ht="60" customHeight="1" x14ac:dyDescent="0.25">
      <c r="S8300" s="188"/>
    </row>
    <row r="8301" spans="19:19" ht="60" customHeight="1" x14ac:dyDescent="0.25">
      <c r="S8301" s="188"/>
    </row>
    <row r="8302" spans="19:19" ht="60" customHeight="1" x14ac:dyDescent="0.25">
      <c r="S8302" s="188"/>
    </row>
    <row r="8303" spans="19:19" ht="60" customHeight="1" x14ac:dyDescent="0.25">
      <c r="S8303" s="188"/>
    </row>
    <row r="8304" spans="19:19" ht="60" customHeight="1" x14ac:dyDescent="0.25">
      <c r="S8304" s="188"/>
    </row>
    <row r="8305" spans="19:19" ht="60" customHeight="1" x14ac:dyDescent="0.25">
      <c r="S8305" s="188"/>
    </row>
    <row r="8306" spans="19:19" ht="60" customHeight="1" x14ac:dyDescent="0.25">
      <c r="S8306" s="188"/>
    </row>
    <row r="8307" spans="19:19" ht="60" customHeight="1" x14ac:dyDescent="0.25">
      <c r="S8307" s="188"/>
    </row>
    <row r="8308" spans="19:19" ht="60" customHeight="1" x14ac:dyDescent="0.25">
      <c r="S8308" s="188"/>
    </row>
    <row r="8309" spans="19:19" ht="60" customHeight="1" x14ac:dyDescent="0.25">
      <c r="S8309" s="188"/>
    </row>
    <row r="8310" spans="19:19" ht="60" customHeight="1" x14ac:dyDescent="0.25">
      <c r="S8310" s="188"/>
    </row>
    <row r="8311" spans="19:19" ht="60" customHeight="1" x14ac:dyDescent="0.25">
      <c r="S8311" s="188"/>
    </row>
    <row r="8312" spans="19:19" ht="60" customHeight="1" x14ac:dyDescent="0.25">
      <c r="S8312" s="188"/>
    </row>
    <row r="8313" spans="19:19" ht="60" customHeight="1" x14ac:dyDescent="0.25">
      <c r="S8313" s="188"/>
    </row>
    <row r="8314" spans="19:19" ht="60" customHeight="1" x14ac:dyDescent="0.25">
      <c r="S8314" s="188"/>
    </row>
    <row r="8315" spans="19:19" ht="60" customHeight="1" x14ac:dyDescent="0.25">
      <c r="S8315" s="188"/>
    </row>
    <row r="8316" spans="19:19" ht="60" customHeight="1" x14ac:dyDescent="0.25">
      <c r="S8316" s="188"/>
    </row>
    <row r="8317" spans="19:19" ht="60" customHeight="1" x14ac:dyDescent="0.25">
      <c r="S8317" s="188"/>
    </row>
    <row r="8318" spans="19:19" ht="60" customHeight="1" x14ac:dyDescent="0.25">
      <c r="S8318" s="188"/>
    </row>
    <row r="8319" spans="19:19" ht="60" customHeight="1" x14ac:dyDescent="0.25">
      <c r="S8319" s="188"/>
    </row>
    <row r="8320" spans="19:19" ht="60" customHeight="1" x14ac:dyDescent="0.25">
      <c r="S8320" s="188"/>
    </row>
    <row r="8321" spans="19:19" ht="60" customHeight="1" x14ac:dyDescent="0.25">
      <c r="S8321" s="188"/>
    </row>
    <row r="8322" spans="19:19" ht="60" customHeight="1" x14ac:dyDescent="0.25">
      <c r="S8322" s="188"/>
    </row>
    <row r="8323" spans="19:19" ht="60" customHeight="1" x14ac:dyDescent="0.25">
      <c r="S8323" s="188"/>
    </row>
    <row r="8324" spans="19:19" ht="60" customHeight="1" x14ac:dyDescent="0.25">
      <c r="S8324" s="188"/>
    </row>
    <row r="8325" spans="19:19" ht="60" customHeight="1" x14ac:dyDescent="0.25">
      <c r="S8325" s="188"/>
    </row>
    <row r="8326" spans="19:19" ht="60" customHeight="1" x14ac:dyDescent="0.25">
      <c r="S8326" s="188"/>
    </row>
    <row r="8327" spans="19:19" ht="60" customHeight="1" x14ac:dyDescent="0.25">
      <c r="S8327" s="188"/>
    </row>
    <row r="8328" spans="19:19" ht="60" customHeight="1" x14ac:dyDescent="0.25">
      <c r="S8328" s="188"/>
    </row>
    <row r="8329" spans="19:19" ht="60" customHeight="1" x14ac:dyDescent="0.25">
      <c r="S8329" s="188"/>
    </row>
    <row r="8330" spans="19:19" ht="60" customHeight="1" x14ac:dyDescent="0.25">
      <c r="S8330" s="188"/>
    </row>
    <row r="8331" spans="19:19" ht="60" customHeight="1" x14ac:dyDescent="0.25">
      <c r="S8331" s="188"/>
    </row>
    <row r="8332" spans="19:19" ht="60" customHeight="1" x14ac:dyDescent="0.25">
      <c r="S8332" s="188"/>
    </row>
    <row r="8333" spans="19:19" ht="60" customHeight="1" x14ac:dyDescent="0.25">
      <c r="S8333" s="188"/>
    </row>
    <row r="8334" spans="19:19" ht="60" customHeight="1" x14ac:dyDescent="0.25">
      <c r="S8334" s="188"/>
    </row>
    <row r="8335" spans="19:19" ht="60" customHeight="1" x14ac:dyDescent="0.25">
      <c r="S8335" s="188"/>
    </row>
    <row r="8336" spans="19:19" ht="60" customHeight="1" x14ac:dyDescent="0.25">
      <c r="S8336" s="188"/>
    </row>
    <row r="8337" spans="19:19" ht="60" customHeight="1" x14ac:dyDescent="0.25">
      <c r="S8337" s="188"/>
    </row>
    <row r="8338" spans="19:19" ht="60" customHeight="1" x14ac:dyDescent="0.25">
      <c r="S8338" s="188"/>
    </row>
    <row r="8339" spans="19:19" ht="60" customHeight="1" x14ac:dyDescent="0.25">
      <c r="S8339" s="188"/>
    </row>
    <row r="8340" spans="19:19" ht="60" customHeight="1" x14ac:dyDescent="0.25">
      <c r="S8340" s="188"/>
    </row>
    <row r="8341" spans="19:19" ht="60" customHeight="1" x14ac:dyDescent="0.25">
      <c r="S8341" s="188"/>
    </row>
    <row r="8342" spans="19:19" ht="60" customHeight="1" x14ac:dyDescent="0.25">
      <c r="S8342" s="188"/>
    </row>
    <row r="8343" spans="19:19" ht="60" customHeight="1" x14ac:dyDescent="0.25">
      <c r="S8343" s="188"/>
    </row>
    <row r="8344" spans="19:19" ht="60" customHeight="1" x14ac:dyDescent="0.25">
      <c r="S8344" s="188"/>
    </row>
    <row r="8345" spans="19:19" ht="60" customHeight="1" x14ac:dyDescent="0.25">
      <c r="S8345" s="188"/>
    </row>
    <row r="8346" spans="19:19" ht="60" customHeight="1" x14ac:dyDescent="0.25">
      <c r="S8346" s="188"/>
    </row>
    <row r="8347" spans="19:19" ht="60" customHeight="1" x14ac:dyDescent="0.25">
      <c r="S8347" s="188"/>
    </row>
    <row r="8348" spans="19:19" ht="60" customHeight="1" x14ac:dyDescent="0.25">
      <c r="S8348" s="188"/>
    </row>
    <row r="8349" spans="19:19" ht="60" customHeight="1" x14ac:dyDescent="0.25">
      <c r="S8349" s="188"/>
    </row>
    <row r="8350" spans="19:19" ht="60" customHeight="1" x14ac:dyDescent="0.25">
      <c r="S8350" s="188"/>
    </row>
    <row r="8351" spans="19:19" ht="60" customHeight="1" x14ac:dyDescent="0.25">
      <c r="S8351" s="188"/>
    </row>
    <row r="8352" spans="19:19" ht="60" customHeight="1" x14ac:dyDescent="0.25">
      <c r="S8352" s="188"/>
    </row>
    <row r="8353" spans="19:19" ht="60" customHeight="1" x14ac:dyDescent="0.25">
      <c r="S8353" s="188"/>
    </row>
    <row r="8354" spans="19:19" ht="60" customHeight="1" x14ac:dyDescent="0.25">
      <c r="S8354" s="188"/>
    </row>
    <row r="8355" spans="19:19" ht="60" customHeight="1" x14ac:dyDescent="0.25">
      <c r="S8355" s="188"/>
    </row>
    <row r="8356" spans="19:19" ht="60" customHeight="1" x14ac:dyDescent="0.25">
      <c r="S8356" s="188"/>
    </row>
    <row r="8357" spans="19:19" ht="60" customHeight="1" x14ac:dyDescent="0.25">
      <c r="S8357" s="188"/>
    </row>
    <row r="8358" spans="19:19" ht="60" customHeight="1" x14ac:dyDescent="0.25">
      <c r="S8358" s="188"/>
    </row>
    <row r="8359" spans="19:19" ht="60" customHeight="1" x14ac:dyDescent="0.25">
      <c r="S8359" s="188"/>
    </row>
    <row r="8360" spans="19:19" ht="60" customHeight="1" x14ac:dyDescent="0.25">
      <c r="S8360" s="188"/>
    </row>
    <row r="8361" spans="19:19" ht="60" customHeight="1" x14ac:dyDescent="0.25">
      <c r="S8361" s="188"/>
    </row>
    <row r="8362" spans="19:19" ht="60" customHeight="1" x14ac:dyDescent="0.25">
      <c r="S8362" s="188"/>
    </row>
    <row r="8363" spans="19:19" ht="60" customHeight="1" x14ac:dyDescent="0.25">
      <c r="S8363" s="188"/>
    </row>
    <row r="8364" spans="19:19" ht="60" customHeight="1" x14ac:dyDescent="0.25">
      <c r="S8364" s="188"/>
    </row>
    <row r="8365" spans="19:19" ht="60" customHeight="1" x14ac:dyDescent="0.25">
      <c r="S8365" s="188"/>
    </row>
    <row r="8366" spans="19:19" ht="60" customHeight="1" x14ac:dyDescent="0.25">
      <c r="S8366" s="188"/>
    </row>
    <row r="8367" spans="19:19" ht="60" customHeight="1" x14ac:dyDescent="0.25">
      <c r="S8367" s="188"/>
    </row>
    <row r="8368" spans="19:19" ht="60" customHeight="1" x14ac:dyDescent="0.25">
      <c r="S8368" s="188"/>
    </row>
    <row r="8369" spans="19:19" ht="60" customHeight="1" x14ac:dyDescent="0.25">
      <c r="S8369" s="188"/>
    </row>
    <row r="8370" spans="19:19" ht="60" customHeight="1" x14ac:dyDescent="0.25">
      <c r="S8370" s="188"/>
    </row>
    <row r="8371" spans="19:19" ht="60" customHeight="1" x14ac:dyDescent="0.25">
      <c r="S8371" s="188"/>
    </row>
    <row r="8372" spans="19:19" ht="60" customHeight="1" x14ac:dyDescent="0.25">
      <c r="S8372" s="188"/>
    </row>
    <row r="8373" spans="19:19" ht="60" customHeight="1" x14ac:dyDescent="0.25">
      <c r="S8373" s="188"/>
    </row>
    <row r="8374" spans="19:19" ht="60" customHeight="1" x14ac:dyDescent="0.25">
      <c r="S8374" s="188"/>
    </row>
    <row r="8375" spans="19:19" ht="60" customHeight="1" x14ac:dyDescent="0.25">
      <c r="S8375" s="188"/>
    </row>
    <row r="8376" spans="19:19" ht="60" customHeight="1" x14ac:dyDescent="0.25">
      <c r="S8376" s="188"/>
    </row>
    <row r="8377" spans="19:19" ht="60" customHeight="1" x14ac:dyDescent="0.25">
      <c r="S8377" s="188"/>
    </row>
    <row r="8378" spans="19:19" ht="60" customHeight="1" x14ac:dyDescent="0.25">
      <c r="S8378" s="188"/>
    </row>
    <row r="8379" spans="19:19" ht="60" customHeight="1" x14ac:dyDescent="0.25">
      <c r="S8379" s="188"/>
    </row>
    <row r="8380" spans="19:19" ht="60" customHeight="1" x14ac:dyDescent="0.25">
      <c r="S8380" s="188"/>
    </row>
    <row r="8381" spans="19:19" ht="60" customHeight="1" x14ac:dyDescent="0.25">
      <c r="S8381" s="188"/>
    </row>
    <row r="8382" spans="19:19" ht="60" customHeight="1" x14ac:dyDescent="0.25">
      <c r="S8382" s="188"/>
    </row>
    <row r="8383" spans="19:19" ht="60" customHeight="1" x14ac:dyDescent="0.25">
      <c r="S8383" s="188"/>
    </row>
    <row r="8384" spans="19:19" ht="60" customHeight="1" x14ac:dyDescent="0.25">
      <c r="S8384" s="188"/>
    </row>
    <row r="8385" spans="19:19" ht="60" customHeight="1" x14ac:dyDescent="0.25">
      <c r="S8385" s="188"/>
    </row>
    <row r="8386" spans="19:19" ht="60" customHeight="1" x14ac:dyDescent="0.25">
      <c r="S8386" s="188"/>
    </row>
    <row r="8387" spans="19:19" ht="60" customHeight="1" x14ac:dyDescent="0.25">
      <c r="S8387" s="188"/>
    </row>
    <row r="8388" spans="19:19" ht="60" customHeight="1" x14ac:dyDescent="0.25">
      <c r="S8388" s="188"/>
    </row>
    <row r="8389" spans="19:19" ht="60" customHeight="1" x14ac:dyDescent="0.25">
      <c r="S8389" s="188"/>
    </row>
    <row r="8390" spans="19:19" ht="60" customHeight="1" x14ac:dyDescent="0.25">
      <c r="S8390" s="188"/>
    </row>
    <row r="8391" spans="19:19" ht="60" customHeight="1" x14ac:dyDescent="0.25">
      <c r="S8391" s="188"/>
    </row>
    <row r="8392" spans="19:19" ht="60" customHeight="1" x14ac:dyDescent="0.25">
      <c r="S8392" s="188"/>
    </row>
    <row r="8393" spans="19:19" ht="60" customHeight="1" x14ac:dyDescent="0.25">
      <c r="S8393" s="188"/>
    </row>
    <row r="8394" spans="19:19" ht="60" customHeight="1" x14ac:dyDescent="0.25">
      <c r="S8394" s="188"/>
    </row>
    <row r="8395" spans="19:19" ht="60" customHeight="1" x14ac:dyDescent="0.25">
      <c r="S8395" s="188"/>
    </row>
    <row r="8396" spans="19:19" ht="60" customHeight="1" x14ac:dyDescent="0.25">
      <c r="S8396" s="188"/>
    </row>
    <row r="8397" spans="19:19" ht="60" customHeight="1" x14ac:dyDescent="0.25">
      <c r="S8397" s="188"/>
    </row>
    <row r="8398" spans="19:19" ht="60" customHeight="1" x14ac:dyDescent="0.25">
      <c r="S8398" s="188"/>
    </row>
    <row r="8399" spans="19:19" ht="60" customHeight="1" x14ac:dyDescent="0.25">
      <c r="S8399" s="188"/>
    </row>
    <row r="8400" spans="19:19" ht="60" customHeight="1" x14ac:dyDescent="0.25">
      <c r="S8400" s="188"/>
    </row>
    <row r="8401" spans="19:19" ht="60" customHeight="1" x14ac:dyDescent="0.25">
      <c r="S8401" s="188"/>
    </row>
    <row r="8402" spans="19:19" ht="60" customHeight="1" x14ac:dyDescent="0.25">
      <c r="S8402" s="188"/>
    </row>
    <row r="8403" spans="19:19" ht="60" customHeight="1" x14ac:dyDescent="0.25">
      <c r="S8403" s="188"/>
    </row>
    <row r="8404" spans="19:19" ht="60" customHeight="1" x14ac:dyDescent="0.25">
      <c r="S8404" s="188"/>
    </row>
    <row r="8405" spans="19:19" ht="60" customHeight="1" x14ac:dyDescent="0.25">
      <c r="S8405" s="188"/>
    </row>
    <row r="8406" spans="19:19" ht="60" customHeight="1" x14ac:dyDescent="0.25">
      <c r="S8406" s="188"/>
    </row>
    <row r="8407" spans="19:19" ht="60" customHeight="1" x14ac:dyDescent="0.25">
      <c r="S8407" s="188"/>
    </row>
    <row r="8408" spans="19:19" ht="60" customHeight="1" x14ac:dyDescent="0.25">
      <c r="S8408" s="188"/>
    </row>
    <row r="8409" spans="19:19" ht="60" customHeight="1" x14ac:dyDescent="0.25">
      <c r="S8409" s="188"/>
    </row>
    <row r="8410" spans="19:19" ht="60" customHeight="1" x14ac:dyDescent="0.25">
      <c r="S8410" s="188"/>
    </row>
    <row r="8411" spans="19:19" ht="60" customHeight="1" x14ac:dyDescent="0.25">
      <c r="S8411" s="188"/>
    </row>
    <row r="8412" spans="19:19" ht="60" customHeight="1" x14ac:dyDescent="0.25">
      <c r="S8412" s="188"/>
    </row>
    <row r="8413" spans="19:19" ht="60" customHeight="1" x14ac:dyDescent="0.25">
      <c r="S8413" s="188"/>
    </row>
    <row r="8414" spans="19:19" ht="60" customHeight="1" x14ac:dyDescent="0.25">
      <c r="S8414" s="188"/>
    </row>
    <row r="8415" spans="19:19" ht="60" customHeight="1" x14ac:dyDescent="0.25">
      <c r="S8415" s="188"/>
    </row>
    <row r="8416" spans="19:19" ht="60" customHeight="1" x14ac:dyDescent="0.25">
      <c r="S8416" s="188"/>
    </row>
    <row r="8417" spans="19:19" ht="60" customHeight="1" x14ac:dyDescent="0.25">
      <c r="S8417" s="188"/>
    </row>
    <row r="8418" spans="19:19" ht="60" customHeight="1" x14ac:dyDescent="0.25">
      <c r="S8418" s="188"/>
    </row>
    <row r="8419" spans="19:19" ht="60" customHeight="1" x14ac:dyDescent="0.25">
      <c r="S8419" s="188"/>
    </row>
    <row r="8420" spans="19:19" ht="60" customHeight="1" x14ac:dyDescent="0.25">
      <c r="S8420" s="188"/>
    </row>
    <row r="8421" spans="19:19" ht="60" customHeight="1" x14ac:dyDescent="0.25">
      <c r="S8421" s="188"/>
    </row>
    <row r="8422" spans="19:19" ht="60" customHeight="1" x14ac:dyDescent="0.25">
      <c r="S8422" s="188"/>
    </row>
    <row r="8423" spans="19:19" ht="60" customHeight="1" x14ac:dyDescent="0.25">
      <c r="S8423" s="188"/>
    </row>
    <row r="8424" spans="19:19" ht="60" customHeight="1" x14ac:dyDescent="0.25">
      <c r="S8424" s="188"/>
    </row>
    <row r="8425" spans="19:19" ht="60" customHeight="1" x14ac:dyDescent="0.25">
      <c r="S8425" s="188"/>
    </row>
    <row r="8426" spans="19:19" ht="60" customHeight="1" x14ac:dyDescent="0.25">
      <c r="S8426" s="188"/>
    </row>
    <row r="8427" spans="19:19" ht="60" customHeight="1" x14ac:dyDescent="0.25">
      <c r="S8427" s="188"/>
    </row>
    <row r="8428" spans="19:19" ht="60" customHeight="1" x14ac:dyDescent="0.25">
      <c r="S8428" s="188"/>
    </row>
    <row r="8429" spans="19:19" ht="60" customHeight="1" x14ac:dyDescent="0.25">
      <c r="S8429" s="188"/>
    </row>
    <row r="8430" spans="19:19" ht="60" customHeight="1" x14ac:dyDescent="0.25">
      <c r="S8430" s="188"/>
    </row>
    <row r="8431" spans="19:19" ht="60" customHeight="1" x14ac:dyDescent="0.25">
      <c r="S8431" s="188"/>
    </row>
    <row r="8432" spans="19:19" ht="60" customHeight="1" x14ac:dyDescent="0.25">
      <c r="S8432" s="188"/>
    </row>
    <row r="8433" spans="19:19" ht="60" customHeight="1" x14ac:dyDescent="0.25">
      <c r="S8433" s="188"/>
    </row>
    <row r="8434" spans="19:19" ht="60" customHeight="1" x14ac:dyDescent="0.25">
      <c r="S8434" s="188"/>
    </row>
    <row r="8435" spans="19:19" ht="60" customHeight="1" x14ac:dyDescent="0.25">
      <c r="S8435" s="188"/>
    </row>
    <row r="8436" spans="19:19" ht="60" customHeight="1" x14ac:dyDescent="0.25">
      <c r="S8436" s="188"/>
    </row>
    <row r="8437" spans="19:19" ht="60" customHeight="1" x14ac:dyDescent="0.25">
      <c r="S8437" s="188"/>
    </row>
    <row r="8438" spans="19:19" ht="60" customHeight="1" x14ac:dyDescent="0.25">
      <c r="S8438" s="188"/>
    </row>
    <row r="8439" spans="19:19" ht="60" customHeight="1" x14ac:dyDescent="0.25">
      <c r="S8439" s="188"/>
    </row>
    <row r="8440" spans="19:19" ht="60" customHeight="1" x14ac:dyDescent="0.25">
      <c r="S8440" s="188"/>
    </row>
    <row r="8441" spans="19:19" ht="60" customHeight="1" x14ac:dyDescent="0.25">
      <c r="S8441" s="188"/>
    </row>
    <row r="8442" spans="19:19" ht="60" customHeight="1" x14ac:dyDescent="0.25">
      <c r="S8442" s="188"/>
    </row>
    <row r="8443" spans="19:19" ht="60" customHeight="1" x14ac:dyDescent="0.25">
      <c r="S8443" s="188"/>
    </row>
    <row r="8444" spans="19:19" ht="60" customHeight="1" x14ac:dyDescent="0.25">
      <c r="S8444" s="188"/>
    </row>
    <row r="8445" spans="19:19" ht="60" customHeight="1" x14ac:dyDescent="0.25">
      <c r="S8445" s="188"/>
    </row>
    <row r="8446" spans="19:19" ht="60" customHeight="1" x14ac:dyDescent="0.25">
      <c r="S8446" s="188"/>
    </row>
    <row r="8447" spans="19:19" ht="60" customHeight="1" x14ac:dyDescent="0.25">
      <c r="S8447" s="188"/>
    </row>
    <row r="8448" spans="19:19" ht="60" customHeight="1" x14ac:dyDescent="0.25">
      <c r="S8448" s="188"/>
    </row>
    <row r="8449" spans="19:19" ht="60" customHeight="1" x14ac:dyDescent="0.25">
      <c r="S8449" s="188"/>
    </row>
    <row r="8450" spans="19:19" ht="60" customHeight="1" x14ac:dyDescent="0.25">
      <c r="S8450" s="188"/>
    </row>
    <row r="8451" spans="19:19" ht="60" customHeight="1" x14ac:dyDescent="0.25">
      <c r="S8451" s="188"/>
    </row>
    <row r="8452" spans="19:19" ht="60" customHeight="1" x14ac:dyDescent="0.25">
      <c r="S8452" s="188"/>
    </row>
    <row r="8453" spans="19:19" ht="60" customHeight="1" x14ac:dyDescent="0.25">
      <c r="S8453" s="188"/>
    </row>
    <row r="8454" spans="19:19" ht="60" customHeight="1" x14ac:dyDescent="0.25">
      <c r="S8454" s="188"/>
    </row>
    <row r="8455" spans="19:19" ht="60" customHeight="1" x14ac:dyDescent="0.25">
      <c r="S8455" s="188"/>
    </row>
    <row r="8456" spans="19:19" ht="60" customHeight="1" x14ac:dyDescent="0.25">
      <c r="S8456" s="188"/>
    </row>
    <row r="8457" spans="19:19" ht="60" customHeight="1" x14ac:dyDescent="0.25">
      <c r="S8457" s="188"/>
    </row>
    <row r="8458" spans="19:19" ht="60" customHeight="1" x14ac:dyDescent="0.25">
      <c r="S8458" s="188"/>
    </row>
    <row r="8459" spans="19:19" ht="60" customHeight="1" x14ac:dyDescent="0.25">
      <c r="S8459" s="188"/>
    </row>
    <row r="8460" spans="19:19" ht="60" customHeight="1" x14ac:dyDescent="0.25">
      <c r="S8460" s="188"/>
    </row>
    <row r="8461" spans="19:19" ht="60" customHeight="1" x14ac:dyDescent="0.25">
      <c r="S8461" s="188"/>
    </row>
    <row r="8462" spans="19:19" ht="60" customHeight="1" x14ac:dyDescent="0.25">
      <c r="S8462" s="188"/>
    </row>
    <row r="8463" spans="19:19" ht="60" customHeight="1" x14ac:dyDescent="0.25">
      <c r="S8463" s="188"/>
    </row>
    <row r="8464" spans="19:19" ht="60" customHeight="1" x14ac:dyDescent="0.25">
      <c r="S8464" s="188"/>
    </row>
    <row r="8465" spans="19:19" ht="60" customHeight="1" x14ac:dyDescent="0.25">
      <c r="S8465" s="188"/>
    </row>
    <row r="8466" spans="19:19" ht="60" customHeight="1" x14ac:dyDescent="0.25">
      <c r="S8466" s="188"/>
    </row>
    <row r="8467" spans="19:19" ht="60" customHeight="1" x14ac:dyDescent="0.25">
      <c r="S8467" s="188"/>
    </row>
    <row r="8468" spans="19:19" ht="60" customHeight="1" x14ac:dyDescent="0.25">
      <c r="S8468" s="188"/>
    </row>
    <row r="8469" spans="19:19" ht="60" customHeight="1" x14ac:dyDescent="0.25">
      <c r="S8469" s="188"/>
    </row>
    <row r="8470" spans="19:19" ht="60" customHeight="1" x14ac:dyDescent="0.25">
      <c r="S8470" s="188"/>
    </row>
    <row r="8471" spans="19:19" ht="60" customHeight="1" x14ac:dyDescent="0.25">
      <c r="S8471" s="188"/>
    </row>
    <row r="8472" spans="19:19" ht="60" customHeight="1" x14ac:dyDescent="0.25">
      <c r="S8472" s="188"/>
    </row>
    <row r="8473" spans="19:19" ht="60" customHeight="1" x14ac:dyDescent="0.25">
      <c r="S8473" s="188"/>
    </row>
    <row r="8474" spans="19:19" ht="60" customHeight="1" x14ac:dyDescent="0.25">
      <c r="S8474" s="188"/>
    </row>
    <row r="8475" spans="19:19" ht="60" customHeight="1" x14ac:dyDescent="0.25">
      <c r="S8475" s="188"/>
    </row>
    <row r="8476" spans="19:19" ht="60" customHeight="1" x14ac:dyDescent="0.25">
      <c r="S8476" s="188"/>
    </row>
    <row r="8477" spans="19:19" ht="60" customHeight="1" x14ac:dyDescent="0.25">
      <c r="S8477" s="188"/>
    </row>
    <row r="8478" spans="19:19" ht="60" customHeight="1" x14ac:dyDescent="0.25">
      <c r="S8478" s="188"/>
    </row>
    <row r="8479" spans="19:19" ht="60" customHeight="1" x14ac:dyDescent="0.25">
      <c r="S8479" s="188"/>
    </row>
    <row r="8480" spans="19:19" ht="60" customHeight="1" x14ac:dyDescent="0.25">
      <c r="S8480" s="188"/>
    </row>
    <row r="8481" spans="19:19" ht="60" customHeight="1" x14ac:dyDescent="0.25">
      <c r="S8481" s="188"/>
    </row>
    <row r="8482" spans="19:19" ht="60" customHeight="1" x14ac:dyDescent="0.25">
      <c r="S8482" s="188"/>
    </row>
    <row r="8483" spans="19:19" ht="60" customHeight="1" x14ac:dyDescent="0.25">
      <c r="S8483" s="188"/>
    </row>
    <row r="8484" spans="19:19" ht="60" customHeight="1" x14ac:dyDescent="0.25">
      <c r="S8484" s="188"/>
    </row>
    <row r="8485" spans="19:19" ht="60" customHeight="1" x14ac:dyDescent="0.25">
      <c r="S8485" s="188"/>
    </row>
    <row r="8486" spans="19:19" ht="60" customHeight="1" x14ac:dyDescent="0.25">
      <c r="S8486" s="188"/>
    </row>
    <row r="8487" spans="19:19" ht="60" customHeight="1" x14ac:dyDescent="0.25">
      <c r="S8487" s="188"/>
    </row>
    <row r="8488" spans="19:19" ht="60" customHeight="1" x14ac:dyDescent="0.25">
      <c r="S8488" s="188"/>
    </row>
    <row r="8489" spans="19:19" ht="60" customHeight="1" x14ac:dyDescent="0.25">
      <c r="S8489" s="188"/>
    </row>
    <row r="8490" spans="19:19" ht="60" customHeight="1" x14ac:dyDescent="0.25">
      <c r="S8490" s="188"/>
    </row>
    <row r="8491" spans="19:19" ht="60" customHeight="1" x14ac:dyDescent="0.25">
      <c r="S8491" s="188"/>
    </row>
    <row r="8492" spans="19:19" ht="60" customHeight="1" x14ac:dyDescent="0.25">
      <c r="S8492" s="188"/>
    </row>
    <row r="8493" spans="19:19" ht="60" customHeight="1" x14ac:dyDescent="0.25">
      <c r="S8493" s="188"/>
    </row>
    <row r="8494" spans="19:19" ht="60" customHeight="1" x14ac:dyDescent="0.25">
      <c r="S8494" s="188"/>
    </row>
    <row r="8495" spans="19:19" ht="60" customHeight="1" x14ac:dyDescent="0.25">
      <c r="S8495" s="188"/>
    </row>
    <row r="8496" spans="19:19" ht="60" customHeight="1" x14ac:dyDescent="0.25">
      <c r="S8496" s="188"/>
    </row>
    <row r="8497" spans="19:19" ht="60" customHeight="1" x14ac:dyDescent="0.25">
      <c r="S8497" s="188"/>
    </row>
    <row r="8498" spans="19:19" ht="60" customHeight="1" x14ac:dyDescent="0.25">
      <c r="S8498" s="188"/>
    </row>
    <row r="8499" spans="19:19" ht="60" customHeight="1" x14ac:dyDescent="0.25">
      <c r="S8499" s="188"/>
    </row>
    <row r="8500" spans="19:19" ht="60" customHeight="1" x14ac:dyDescent="0.25">
      <c r="S8500" s="188"/>
    </row>
    <row r="8501" spans="19:19" ht="60" customHeight="1" x14ac:dyDescent="0.25">
      <c r="S8501" s="188"/>
    </row>
    <row r="8502" spans="19:19" ht="60" customHeight="1" x14ac:dyDescent="0.25">
      <c r="S8502" s="188"/>
    </row>
    <row r="8503" spans="19:19" ht="60" customHeight="1" x14ac:dyDescent="0.25">
      <c r="S8503" s="188"/>
    </row>
    <row r="8504" spans="19:19" ht="60" customHeight="1" x14ac:dyDescent="0.25">
      <c r="S8504" s="188"/>
    </row>
    <row r="8505" spans="19:19" ht="60" customHeight="1" x14ac:dyDescent="0.25">
      <c r="S8505" s="188"/>
    </row>
    <row r="8506" spans="19:19" ht="60" customHeight="1" x14ac:dyDescent="0.25">
      <c r="S8506" s="188"/>
    </row>
    <row r="8507" spans="19:19" ht="60" customHeight="1" x14ac:dyDescent="0.25">
      <c r="S8507" s="188"/>
    </row>
    <row r="8508" spans="19:19" ht="60" customHeight="1" x14ac:dyDescent="0.25">
      <c r="S8508" s="188"/>
    </row>
    <row r="8509" spans="19:19" ht="60" customHeight="1" x14ac:dyDescent="0.25">
      <c r="S8509" s="188"/>
    </row>
    <row r="8510" spans="19:19" ht="60" customHeight="1" x14ac:dyDescent="0.25">
      <c r="S8510" s="188"/>
    </row>
    <row r="8511" spans="19:19" ht="60" customHeight="1" x14ac:dyDescent="0.25">
      <c r="S8511" s="188"/>
    </row>
    <row r="8512" spans="19:19" ht="60" customHeight="1" x14ac:dyDescent="0.25">
      <c r="S8512" s="188"/>
    </row>
    <row r="8513" spans="19:19" ht="60" customHeight="1" x14ac:dyDescent="0.25">
      <c r="S8513" s="188"/>
    </row>
    <row r="8514" spans="19:19" ht="60" customHeight="1" x14ac:dyDescent="0.25">
      <c r="S8514" s="188"/>
    </row>
    <row r="8515" spans="19:19" ht="60" customHeight="1" x14ac:dyDescent="0.25">
      <c r="S8515" s="188"/>
    </row>
    <row r="8516" spans="19:19" ht="60" customHeight="1" x14ac:dyDescent="0.25">
      <c r="S8516" s="188"/>
    </row>
    <row r="8517" spans="19:19" ht="60" customHeight="1" x14ac:dyDescent="0.25">
      <c r="S8517" s="188"/>
    </row>
    <row r="8518" spans="19:19" ht="60" customHeight="1" x14ac:dyDescent="0.25">
      <c r="S8518" s="188"/>
    </row>
    <row r="8519" spans="19:19" ht="60" customHeight="1" x14ac:dyDescent="0.25">
      <c r="S8519" s="188"/>
    </row>
    <row r="8520" spans="19:19" ht="60" customHeight="1" x14ac:dyDescent="0.25">
      <c r="S8520" s="188"/>
    </row>
    <row r="8521" spans="19:19" ht="60" customHeight="1" x14ac:dyDescent="0.25">
      <c r="S8521" s="188"/>
    </row>
    <row r="8522" spans="19:19" ht="60" customHeight="1" x14ac:dyDescent="0.25">
      <c r="S8522" s="188"/>
    </row>
    <row r="8523" spans="19:19" ht="60" customHeight="1" x14ac:dyDescent="0.25">
      <c r="S8523" s="188"/>
    </row>
    <row r="8524" spans="19:19" ht="60" customHeight="1" x14ac:dyDescent="0.25">
      <c r="S8524" s="188"/>
    </row>
    <row r="8525" spans="19:19" ht="60" customHeight="1" x14ac:dyDescent="0.25">
      <c r="S8525" s="188"/>
    </row>
    <row r="8526" spans="19:19" ht="60" customHeight="1" x14ac:dyDescent="0.25">
      <c r="S8526" s="188"/>
    </row>
    <row r="8527" spans="19:19" ht="60" customHeight="1" x14ac:dyDescent="0.25">
      <c r="S8527" s="188"/>
    </row>
    <row r="8528" spans="19:19" ht="60" customHeight="1" x14ac:dyDescent="0.25">
      <c r="S8528" s="188"/>
    </row>
    <row r="8529" spans="19:19" ht="60" customHeight="1" x14ac:dyDescent="0.25">
      <c r="S8529" s="188"/>
    </row>
    <row r="8530" spans="19:19" ht="60" customHeight="1" x14ac:dyDescent="0.25">
      <c r="S8530" s="188"/>
    </row>
    <row r="8531" spans="19:19" ht="60" customHeight="1" x14ac:dyDescent="0.25">
      <c r="S8531" s="188"/>
    </row>
    <row r="8532" spans="19:19" ht="60" customHeight="1" x14ac:dyDescent="0.25">
      <c r="S8532" s="188"/>
    </row>
    <row r="8533" spans="19:19" ht="60" customHeight="1" x14ac:dyDescent="0.25">
      <c r="S8533" s="188"/>
    </row>
    <row r="8534" spans="19:19" ht="60" customHeight="1" x14ac:dyDescent="0.25">
      <c r="S8534" s="188"/>
    </row>
    <row r="8535" spans="19:19" ht="60" customHeight="1" x14ac:dyDescent="0.25">
      <c r="S8535" s="188"/>
    </row>
    <row r="8536" spans="19:19" ht="60" customHeight="1" x14ac:dyDescent="0.25">
      <c r="S8536" s="188"/>
    </row>
    <row r="8537" spans="19:19" ht="60" customHeight="1" x14ac:dyDescent="0.25">
      <c r="S8537" s="188"/>
    </row>
    <row r="8538" spans="19:19" ht="60" customHeight="1" x14ac:dyDescent="0.25">
      <c r="S8538" s="188"/>
    </row>
    <row r="8539" spans="19:19" ht="60" customHeight="1" x14ac:dyDescent="0.25">
      <c r="S8539" s="188"/>
    </row>
    <row r="8540" spans="19:19" ht="60" customHeight="1" x14ac:dyDescent="0.25">
      <c r="S8540" s="188"/>
    </row>
    <row r="8541" spans="19:19" ht="60" customHeight="1" x14ac:dyDescent="0.25">
      <c r="S8541" s="188"/>
    </row>
    <row r="8542" spans="19:19" ht="60" customHeight="1" x14ac:dyDescent="0.25">
      <c r="S8542" s="188"/>
    </row>
    <row r="8543" spans="19:19" ht="60" customHeight="1" x14ac:dyDescent="0.25">
      <c r="S8543" s="188"/>
    </row>
    <row r="8544" spans="19:19" ht="60" customHeight="1" x14ac:dyDescent="0.25">
      <c r="S8544" s="188"/>
    </row>
    <row r="8545" spans="19:19" ht="60" customHeight="1" x14ac:dyDescent="0.25">
      <c r="S8545" s="188"/>
    </row>
    <row r="8546" spans="19:19" ht="60" customHeight="1" x14ac:dyDescent="0.25">
      <c r="S8546" s="188"/>
    </row>
    <row r="8547" spans="19:19" ht="60" customHeight="1" x14ac:dyDescent="0.25">
      <c r="S8547" s="188"/>
    </row>
    <row r="8548" spans="19:19" ht="60" customHeight="1" x14ac:dyDescent="0.25">
      <c r="S8548" s="188"/>
    </row>
    <row r="8549" spans="19:19" ht="60" customHeight="1" x14ac:dyDescent="0.25">
      <c r="S8549" s="188"/>
    </row>
    <row r="8550" spans="19:19" ht="60" customHeight="1" x14ac:dyDescent="0.25">
      <c r="S8550" s="188"/>
    </row>
    <row r="8551" spans="19:19" ht="60" customHeight="1" x14ac:dyDescent="0.25">
      <c r="S8551" s="188"/>
    </row>
    <row r="8552" spans="19:19" ht="60" customHeight="1" x14ac:dyDescent="0.25">
      <c r="S8552" s="188"/>
    </row>
    <row r="8553" spans="19:19" ht="60" customHeight="1" x14ac:dyDescent="0.25">
      <c r="S8553" s="188"/>
    </row>
    <row r="8554" spans="19:19" ht="60" customHeight="1" x14ac:dyDescent="0.25">
      <c r="S8554" s="188"/>
    </row>
    <row r="8555" spans="19:19" ht="60" customHeight="1" x14ac:dyDescent="0.25">
      <c r="S8555" s="188"/>
    </row>
    <row r="8556" spans="19:19" ht="60" customHeight="1" x14ac:dyDescent="0.25">
      <c r="S8556" s="188"/>
    </row>
    <row r="8557" spans="19:19" ht="60" customHeight="1" x14ac:dyDescent="0.25">
      <c r="S8557" s="188"/>
    </row>
    <row r="8558" spans="19:19" ht="60" customHeight="1" x14ac:dyDescent="0.25">
      <c r="S8558" s="188"/>
    </row>
    <row r="8559" spans="19:19" ht="60" customHeight="1" x14ac:dyDescent="0.25">
      <c r="S8559" s="188"/>
    </row>
    <row r="8560" spans="19:19" ht="60" customHeight="1" x14ac:dyDescent="0.25">
      <c r="S8560" s="188"/>
    </row>
    <row r="8561" spans="19:19" ht="60" customHeight="1" x14ac:dyDescent="0.25">
      <c r="S8561" s="188"/>
    </row>
    <row r="8562" spans="19:19" ht="60" customHeight="1" x14ac:dyDescent="0.25">
      <c r="S8562" s="188"/>
    </row>
    <row r="8563" spans="19:19" ht="60" customHeight="1" x14ac:dyDescent="0.25">
      <c r="S8563" s="188"/>
    </row>
    <row r="8564" spans="19:19" ht="60" customHeight="1" x14ac:dyDescent="0.25">
      <c r="S8564" s="188"/>
    </row>
    <row r="8565" spans="19:19" ht="60" customHeight="1" x14ac:dyDescent="0.25">
      <c r="S8565" s="188"/>
    </row>
    <row r="8566" spans="19:19" ht="60" customHeight="1" x14ac:dyDescent="0.25">
      <c r="S8566" s="188"/>
    </row>
    <row r="8567" spans="19:19" ht="60" customHeight="1" x14ac:dyDescent="0.25">
      <c r="S8567" s="188"/>
    </row>
    <row r="8568" spans="19:19" ht="60" customHeight="1" x14ac:dyDescent="0.25">
      <c r="S8568" s="188"/>
    </row>
    <row r="8569" spans="19:19" ht="60" customHeight="1" x14ac:dyDescent="0.25">
      <c r="S8569" s="188"/>
    </row>
    <row r="8570" spans="19:19" ht="60" customHeight="1" x14ac:dyDescent="0.25">
      <c r="S8570" s="188"/>
    </row>
    <row r="8571" spans="19:19" ht="60" customHeight="1" x14ac:dyDescent="0.25">
      <c r="S8571" s="188"/>
    </row>
    <row r="8572" spans="19:19" ht="60" customHeight="1" x14ac:dyDescent="0.25">
      <c r="S8572" s="188"/>
    </row>
    <row r="8573" spans="19:19" ht="60" customHeight="1" x14ac:dyDescent="0.25">
      <c r="S8573" s="188"/>
    </row>
    <row r="8574" spans="19:19" ht="60" customHeight="1" x14ac:dyDescent="0.25">
      <c r="S8574" s="188"/>
    </row>
    <row r="8575" spans="19:19" ht="60" customHeight="1" x14ac:dyDescent="0.25">
      <c r="S8575" s="188"/>
    </row>
    <row r="8576" spans="19:19" ht="60" customHeight="1" x14ac:dyDescent="0.25">
      <c r="S8576" s="188"/>
    </row>
    <row r="8577" spans="19:19" ht="60" customHeight="1" x14ac:dyDescent="0.25">
      <c r="S8577" s="188"/>
    </row>
    <row r="8578" spans="19:19" ht="60" customHeight="1" x14ac:dyDescent="0.25">
      <c r="S8578" s="188"/>
    </row>
    <row r="8579" spans="19:19" ht="60" customHeight="1" x14ac:dyDescent="0.25">
      <c r="S8579" s="188"/>
    </row>
    <row r="8580" spans="19:19" ht="60" customHeight="1" x14ac:dyDescent="0.25">
      <c r="S8580" s="188"/>
    </row>
    <row r="8581" spans="19:19" ht="60" customHeight="1" x14ac:dyDescent="0.25">
      <c r="S8581" s="188"/>
    </row>
    <row r="8582" spans="19:19" ht="60" customHeight="1" x14ac:dyDescent="0.25">
      <c r="S8582" s="188"/>
    </row>
    <row r="8583" spans="19:19" ht="60" customHeight="1" x14ac:dyDescent="0.25">
      <c r="S8583" s="188"/>
    </row>
    <row r="8584" spans="19:19" ht="60" customHeight="1" x14ac:dyDescent="0.25">
      <c r="S8584" s="188"/>
    </row>
    <row r="8585" spans="19:19" ht="60" customHeight="1" x14ac:dyDescent="0.25">
      <c r="S8585" s="188"/>
    </row>
    <row r="8586" spans="19:19" ht="60" customHeight="1" x14ac:dyDescent="0.25">
      <c r="S8586" s="188"/>
    </row>
    <row r="8587" spans="19:19" ht="60" customHeight="1" x14ac:dyDescent="0.25">
      <c r="S8587" s="188"/>
    </row>
    <row r="8588" spans="19:19" ht="60" customHeight="1" x14ac:dyDescent="0.25">
      <c r="S8588" s="188"/>
    </row>
    <row r="8589" spans="19:19" ht="60" customHeight="1" x14ac:dyDescent="0.25">
      <c r="S8589" s="188"/>
    </row>
    <row r="8590" spans="19:19" ht="60" customHeight="1" x14ac:dyDescent="0.25">
      <c r="S8590" s="188"/>
    </row>
    <row r="8591" spans="19:19" ht="60" customHeight="1" x14ac:dyDescent="0.25">
      <c r="S8591" s="188"/>
    </row>
    <row r="8592" spans="19:19" ht="60" customHeight="1" x14ac:dyDescent="0.25">
      <c r="S8592" s="188"/>
    </row>
    <row r="8593" spans="19:19" ht="60" customHeight="1" x14ac:dyDescent="0.25">
      <c r="S8593" s="188"/>
    </row>
    <row r="8594" spans="19:19" ht="60" customHeight="1" x14ac:dyDescent="0.25">
      <c r="S8594" s="188"/>
    </row>
    <row r="8595" spans="19:19" ht="60" customHeight="1" x14ac:dyDescent="0.25">
      <c r="S8595" s="188"/>
    </row>
    <row r="8596" spans="19:19" ht="60" customHeight="1" x14ac:dyDescent="0.25">
      <c r="S8596" s="188"/>
    </row>
    <row r="8597" spans="19:19" ht="60" customHeight="1" x14ac:dyDescent="0.25">
      <c r="S8597" s="188"/>
    </row>
    <row r="8598" spans="19:19" ht="60" customHeight="1" x14ac:dyDescent="0.25">
      <c r="S8598" s="188"/>
    </row>
    <row r="8599" spans="19:19" ht="60" customHeight="1" x14ac:dyDescent="0.25">
      <c r="S8599" s="188"/>
    </row>
    <row r="8600" spans="19:19" ht="60" customHeight="1" x14ac:dyDescent="0.25">
      <c r="S8600" s="188"/>
    </row>
    <row r="8601" spans="19:19" ht="60" customHeight="1" x14ac:dyDescent="0.25">
      <c r="S8601" s="188"/>
    </row>
    <row r="8602" spans="19:19" ht="60" customHeight="1" x14ac:dyDescent="0.25">
      <c r="S8602" s="188"/>
    </row>
    <row r="8603" spans="19:19" ht="60" customHeight="1" x14ac:dyDescent="0.25">
      <c r="S8603" s="188"/>
    </row>
    <row r="8604" spans="19:19" ht="60" customHeight="1" x14ac:dyDescent="0.25">
      <c r="S8604" s="188"/>
    </row>
    <row r="8605" spans="19:19" ht="60" customHeight="1" x14ac:dyDescent="0.25">
      <c r="S8605" s="188"/>
    </row>
    <row r="8606" spans="19:19" ht="60" customHeight="1" x14ac:dyDescent="0.25">
      <c r="S8606" s="188"/>
    </row>
    <row r="8607" spans="19:19" ht="60" customHeight="1" x14ac:dyDescent="0.25">
      <c r="S8607" s="188"/>
    </row>
    <row r="8608" spans="19:19" ht="60" customHeight="1" x14ac:dyDescent="0.25">
      <c r="S8608" s="188"/>
    </row>
    <row r="8609" spans="19:19" ht="60" customHeight="1" x14ac:dyDescent="0.25">
      <c r="S8609" s="188"/>
    </row>
    <row r="8610" spans="19:19" ht="60" customHeight="1" x14ac:dyDescent="0.25">
      <c r="S8610" s="188"/>
    </row>
    <row r="8611" spans="19:19" ht="60" customHeight="1" x14ac:dyDescent="0.25">
      <c r="S8611" s="188"/>
    </row>
    <row r="8612" spans="19:19" ht="60" customHeight="1" x14ac:dyDescent="0.25">
      <c r="S8612" s="188"/>
    </row>
    <row r="8613" spans="19:19" ht="60" customHeight="1" x14ac:dyDescent="0.25">
      <c r="S8613" s="188"/>
    </row>
    <row r="8614" spans="19:19" ht="60" customHeight="1" x14ac:dyDescent="0.25">
      <c r="S8614" s="188"/>
    </row>
    <row r="8615" spans="19:19" ht="60" customHeight="1" x14ac:dyDescent="0.25">
      <c r="S8615" s="188"/>
    </row>
    <row r="8616" spans="19:19" ht="60" customHeight="1" x14ac:dyDescent="0.25">
      <c r="S8616" s="188"/>
    </row>
    <row r="8617" spans="19:19" ht="60" customHeight="1" x14ac:dyDescent="0.25">
      <c r="S8617" s="188"/>
    </row>
    <row r="8618" spans="19:19" ht="60" customHeight="1" x14ac:dyDescent="0.25">
      <c r="S8618" s="188"/>
    </row>
    <row r="8619" spans="19:19" ht="60" customHeight="1" x14ac:dyDescent="0.25">
      <c r="S8619" s="188"/>
    </row>
    <row r="8620" spans="19:19" ht="60" customHeight="1" x14ac:dyDescent="0.25">
      <c r="S8620" s="188"/>
    </row>
    <row r="8621" spans="19:19" ht="60" customHeight="1" x14ac:dyDescent="0.25">
      <c r="S8621" s="188"/>
    </row>
    <row r="8622" spans="19:19" ht="60" customHeight="1" x14ac:dyDescent="0.25">
      <c r="S8622" s="188"/>
    </row>
    <row r="8623" spans="19:19" ht="60" customHeight="1" x14ac:dyDescent="0.25">
      <c r="S8623" s="188"/>
    </row>
    <row r="8624" spans="19:19" ht="60" customHeight="1" x14ac:dyDescent="0.25">
      <c r="S8624" s="188"/>
    </row>
    <row r="8625" spans="19:19" ht="60" customHeight="1" x14ac:dyDescent="0.25">
      <c r="S8625" s="188"/>
    </row>
    <row r="8626" spans="19:19" ht="60" customHeight="1" x14ac:dyDescent="0.25">
      <c r="S8626" s="188"/>
    </row>
    <row r="8627" spans="19:19" ht="60" customHeight="1" x14ac:dyDescent="0.25">
      <c r="S8627" s="188"/>
    </row>
    <row r="8628" spans="19:19" ht="60" customHeight="1" x14ac:dyDescent="0.25">
      <c r="S8628" s="188"/>
    </row>
    <row r="8629" spans="19:19" ht="60" customHeight="1" x14ac:dyDescent="0.25">
      <c r="S8629" s="188"/>
    </row>
    <row r="8630" spans="19:19" ht="60" customHeight="1" x14ac:dyDescent="0.25">
      <c r="S8630" s="188"/>
    </row>
    <row r="8631" spans="19:19" ht="60" customHeight="1" x14ac:dyDescent="0.25">
      <c r="S8631" s="188"/>
    </row>
    <row r="8632" spans="19:19" ht="60" customHeight="1" x14ac:dyDescent="0.25">
      <c r="S8632" s="188"/>
    </row>
    <row r="8633" spans="19:19" ht="60" customHeight="1" x14ac:dyDescent="0.25">
      <c r="S8633" s="188"/>
    </row>
    <row r="8634" spans="19:19" ht="60" customHeight="1" x14ac:dyDescent="0.25">
      <c r="S8634" s="188"/>
    </row>
    <row r="8635" spans="19:19" ht="60" customHeight="1" x14ac:dyDescent="0.25">
      <c r="S8635" s="188"/>
    </row>
    <row r="8636" spans="19:19" ht="60" customHeight="1" x14ac:dyDescent="0.25">
      <c r="S8636" s="188"/>
    </row>
    <row r="8637" spans="19:19" ht="60" customHeight="1" x14ac:dyDescent="0.25">
      <c r="S8637" s="188"/>
    </row>
    <row r="8638" spans="19:19" ht="60" customHeight="1" x14ac:dyDescent="0.25">
      <c r="S8638" s="188"/>
    </row>
    <row r="8639" spans="19:19" ht="60" customHeight="1" x14ac:dyDescent="0.25">
      <c r="S8639" s="188"/>
    </row>
    <row r="8640" spans="19:19" ht="60" customHeight="1" x14ac:dyDescent="0.25">
      <c r="S8640" s="188"/>
    </row>
    <row r="8641" spans="19:19" ht="60" customHeight="1" x14ac:dyDescent="0.25">
      <c r="S8641" s="188"/>
    </row>
    <row r="8642" spans="19:19" ht="60" customHeight="1" x14ac:dyDescent="0.25">
      <c r="S8642" s="188"/>
    </row>
    <row r="8643" spans="19:19" ht="60" customHeight="1" x14ac:dyDescent="0.25">
      <c r="S8643" s="188"/>
    </row>
    <row r="8644" spans="19:19" ht="60" customHeight="1" x14ac:dyDescent="0.25">
      <c r="S8644" s="188"/>
    </row>
    <row r="8645" spans="19:19" ht="60" customHeight="1" x14ac:dyDescent="0.25">
      <c r="S8645" s="188"/>
    </row>
    <row r="8646" spans="19:19" ht="60" customHeight="1" x14ac:dyDescent="0.25">
      <c r="S8646" s="188"/>
    </row>
    <row r="8647" spans="19:19" ht="60" customHeight="1" x14ac:dyDescent="0.25">
      <c r="S8647" s="188"/>
    </row>
    <row r="8648" spans="19:19" ht="60" customHeight="1" x14ac:dyDescent="0.25">
      <c r="S8648" s="188"/>
    </row>
    <row r="8649" spans="19:19" ht="60" customHeight="1" x14ac:dyDescent="0.25">
      <c r="S8649" s="188"/>
    </row>
    <row r="8650" spans="19:19" ht="60" customHeight="1" x14ac:dyDescent="0.25">
      <c r="S8650" s="188"/>
    </row>
    <row r="8651" spans="19:19" ht="60" customHeight="1" x14ac:dyDescent="0.25">
      <c r="S8651" s="188"/>
    </row>
    <row r="8652" spans="19:19" ht="60" customHeight="1" x14ac:dyDescent="0.25">
      <c r="S8652" s="188"/>
    </row>
    <row r="8653" spans="19:19" ht="60" customHeight="1" x14ac:dyDescent="0.25">
      <c r="S8653" s="188"/>
    </row>
    <row r="8654" spans="19:19" ht="60" customHeight="1" x14ac:dyDescent="0.25">
      <c r="S8654" s="188"/>
    </row>
    <row r="8655" spans="19:19" ht="60" customHeight="1" x14ac:dyDescent="0.25">
      <c r="S8655" s="188"/>
    </row>
    <row r="8656" spans="19:19" ht="60" customHeight="1" x14ac:dyDescent="0.25">
      <c r="S8656" s="188"/>
    </row>
    <row r="8657" spans="19:19" ht="60" customHeight="1" x14ac:dyDescent="0.25">
      <c r="S8657" s="188"/>
    </row>
    <row r="8658" spans="19:19" ht="60" customHeight="1" x14ac:dyDescent="0.25">
      <c r="S8658" s="188"/>
    </row>
    <row r="8659" spans="19:19" ht="60" customHeight="1" x14ac:dyDescent="0.25">
      <c r="S8659" s="188"/>
    </row>
    <row r="8660" spans="19:19" ht="60" customHeight="1" x14ac:dyDescent="0.25">
      <c r="S8660" s="188"/>
    </row>
    <row r="8661" spans="19:19" ht="60" customHeight="1" x14ac:dyDescent="0.25">
      <c r="S8661" s="188"/>
    </row>
    <row r="8662" spans="19:19" ht="60" customHeight="1" x14ac:dyDescent="0.25">
      <c r="S8662" s="188"/>
    </row>
    <row r="8663" spans="19:19" ht="60" customHeight="1" x14ac:dyDescent="0.25">
      <c r="S8663" s="188"/>
    </row>
    <row r="8664" spans="19:19" ht="60" customHeight="1" x14ac:dyDescent="0.25">
      <c r="S8664" s="188"/>
    </row>
    <row r="8665" spans="19:19" ht="60" customHeight="1" x14ac:dyDescent="0.25">
      <c r="S8665" s="188"/>
    </row>
    <row r="8666" spans="19:19" ht="60" customHeight="1" x14ac:dyDescent="0.25">
      <c r="S8666" s="188"/>
    </row>
    <row r="8667" spans="19:19" ht="60" customHeight="1" x14ac:dyDescent="0.25">
      <c r="S8667" s="188"/>
    </row>
    <row r="8668" spans="19:19" ht="60" customHeight="1" x14ac:dyDescent="0.25">
      <c r="S8668" s="188"/>
    </row>
    <row r="8669" spans="19:19" ht="60" customHeight="1" x14ac:dyDescent="0.25">
      <c r="S8669" s="188"/>
    </row>
    <row r="8670" spans="19:19" ht="60" customHeight="1" x14ac:dyDescent="0.25">
      <c r="S8670" s="188"/>
    </row>
    <row r="8671" spans="19:19" ht="60" customHeight="1" x14ac:dyDescent="0.25">
      <c r="S8671" s="188"/>
    </row>
    <row r="8672" spans="19:19" ht="60" customHeight="1" x14ac:dyDescent="0.25">
      <c r="S8672" s="188"/>
    </row>
    <row r="8673" spans="19:19" ht="60" customHeight="1" x14ac:dyDescent="0.25">
      <c r="S8673" s="188"/>
    </row>
    <row r="8674" spans="19:19" ht="60" customHeight="1" x14ac:dyDescent="0.25">
      <c r="S8674" s="188"/>
    </row>
    <row r="8675" spans="19:19" ht="60" customHeight="1" x14ac:dyDescent="0.25">
      <c r="S8675" s="188"/>
    </row>
    <row r="8676" spans="19:19" ht="60" customHeight="1" x14ac:dyDescent="0.25">
      <c r="S8676" s="188"/>
    </row>
    <row r="8677" spans="19:19" ht="60" customHeight="1" x14ac:dyDescent="0.25">
      <c r="S8677" s="188"/>
    </row>
    <row r="8678" spans="19:19" ht="60" customHeight="1" x14ac:dyDescent="0.25">
      <c r="S8678" s="188"/>
    </row>
    <row r="8679" spans="19:19" ht="60" customHeight="1" x14ac:dyDescent="0.25">
      <c r="S8679" s="188"/>
    </row>
    <row r="8680" spans="19:19" ht="60" customHeight="1" x14ac:dyDescent="0.25">
      <c r="S8680" s="188"/>
    </row>
    <row r="8681" spans="19:19" ht="60" customHeight="1" x14ac:dyDescent="0.25">
      <c r="S8681" s="188"/>
    </row>
    <row r="8682" spans="19:19" ht="60" customHeight="1" x14ac:dyDescent="0.25">
      <c r="S8682" s="188"/>
    </row>
    <row r="8683" spans="19:19" ht="60" customHeight="1" x14ac:dyDescent="0.25">
      <c r="S8683" s="188"/>
    </row>
    <row r="8684" spans="19:19" ht="60" customHeight="1" x14ac:dyDescent="0.25">
      <c r="S8684" s="188"/>
    </row>
    <row r="8685" spans="19:19" ht="60" customHeight="1" x14ac:dyDescent="0.25">
      <c r="S8685" s="188"/>
    </row>
    <row r="8686" spans="19:19" ht="60" customHeight="1" x14ac:dyDescent="0.25">
      <c r="S8686" s="188"/>
    </row>
    <row r="8687" spans="19:19" ht="60" customHeight="1" x14ac:dyDescent="0.25">
      <c r="S8687" s="188"/>
    </row>
    <row r="8688" spans="19:19" ht="60" customHeight="1" x14ac:dyDescent="0.25">
      <c r="S8688" s="188"/>
    </row>
    <row r="8689" spans="19:19" ht="60" customHeight="1" x14ac:dyDescent="0.25">
      <c r="S8689" s="188"/>
    </row>
    <row r="8690" spans="19:19" ht="60" customHeight="1" x14ac:dyDescent="0.25">
      <c r="S8690" s="188"/>
    </row>
    <row r="8691" spans="19:19" ht="60" customHeight="1" x14ac:dyDescent="0.25">
      <c r="S8691" s="188"/>
    </row>
    <row r="8692" spans="19:19" ht="60" customHeight="1" x14ac:dyDescent="0.25">
      <c r="S8692" s="188"/>
    </row>
    <row r="8693" spans="19:19" ht="60" customHeight="1" x14ac:dyDescent="0.25">
      <c r="S8693" s="188"/>
    </row>
    <row r="8694" spans="19:19" ht="60" customHeight="1" x14ac:dyDescent="0.25">
      <c r="S8694" s="188"/>
    </row>
    <row r="8695" spans="19:19" ht="60" customHeight="1" x14ac:dyDescent="0.25">
      <c r="S8695" s="188"/>
    </row>
    <row r="8696" spans="19:19" ht="60" customHeight="1" x14ac:dyDescent="0.25">
      <c r="S8696" s="188"/>
    </row>
    <row r="8697" spans="19:19" ht="60" customHeight="1" x14ac:dyDescent="0.25">
      <c r="S8697" s="188"/>
    </row>
    <row r="8698" spans="19:19" ht="60" customHeight="1" x14ac:dyDescent="0.25">
      <c r="S8698" s="188"/>
    </row>
    <row r="8699" spans="19:19" ht="60" customHeight="1" x14ac:dyDescent="0.25">
      <c r="S8699" s="188"/>
    </row>
    <row r="8700" spans="19:19" ht="60" customHeight="1" x14ac:dyDescent="0.25">
      <c r="S8700" s="188"/>
    </row>
    <row r="8701" spans="19:19" ht="60" customHeight="1" x14ac:dyDescent="0.25">
      <c r="S8701" s="188"/>
    </row>
    <row r="8702" spans="19:19" ht="60" customHeight="1" x14ac:dyDescent="0.25">
      <c r="S8702" s="188"/>
    </row>
    <row r="8703" spans="19:19" ht="60" customHeight="1" x14ac:dyDescent="0.25">
      <c r="S8703" s="188"/>
    </row>
    <row r="8704" spans="19:19" ht="60" customHeight="1" x14ac:dyDescent="0.25">
      <c r="S8704" s="188"/>
    </row>
    <row r="8705" spans="19:19" ht="60" customHeight="1" x14ac:dyDescent="0.25">
      <c r="S8705" s="188"/>
    </row>
    <row r="8706" spans="19:19" ht="60" customHeight="1" x14ac:dyDescent="0.25">
      <c r="S8706" s="188"/>
    </row>
    <row r="8707" spans="19:19" ht="60" customHeight="1" x14ac:dyDescent="0.25">
      <c r="S8707" s="188"/>
    </row>
    <row r="8708" spans="19:19" ht="60" customHeight="1" x14ac:dyDescent="0.25">
      <c r="S8708" s="188"/>
    </row>
    <row r="8709" spans="19:19" ht="60" customHeight="1" x14ac:dyDescent="0.25">
      <c r="S8709" s="188"/>
    </row>
    <row r="8710" spans="19:19" ht="60" customHeight="1" x14ac:dyDescent="0.25">
      <c r="S8710" s="188"/>
    </row>
    <row r="8711" spans="19:19" ht="60" customHeight="1" x14ac:dyDescent="0.25">
      <c r="S8711" s="188"/>
    </row>
    <row r="8712" spans="19:19" ht="60" customHeight="1" x14ac:dyDescent="0.25">
      <c r="S8712" s="188"/>
    </row>
    <row r="8713" spans="19:19" ht="60" customHeight="1" x14ac:dyDescent="0.25">
      <c r="S8713" s="188"/>
    </row>
    <row r="8714" spans="19:19" ht="60" customHeight="1" x14ac:dyDescent="0.25">
      <c r="S8714" s="188"/>
    </row>
    <row r="8715" spans="19:19" ht="60" customHeight="1" x14ac:dyDescent="0.25">
      <c r="S8715" s="188"/>
    </row>
    <row r="8716" spans="19:19" ht="60" customHeight="1" x14ac:dyDescent="0.25">
      <c r="S8716" s="188"/>
    </row>
    <row r="8717" spans="19:19" ht="60" customHeight="1" x14ac:dyDescent="0.25">
      <c r="S8717" s="188"/>
    </row>
    <row r="8718" spans="19:19" ht="60" customHeight="1" x14ac:dyDescent="0.25">
      <c r="S8718" s="188"/>
    </row>
    <row r="8719" spans="19:19" ht="60" customHeight="1" x14ac:dyDescent="0.25">
      <c r="S8719" s="188"/>
    </row>
    <row r="8720" spans="19:19" ht="60" customHeight="1" x14ac:dyDescent="0.25">
      <c r="S8720" s="188"/>
    </row>
    <row r="8721" spans="19:19" ht="60" customHeight="1" x14ac:dyDescent="0.25">
      <c r="S8721" s="188"/>
    </row>
    <row r="8722" spans="19:19" ht="60" customHeight="1" x14ac:dyDescent="0.25">
      <c r="S8722" s="188"/>
    </row>
    <row r="8723" spans="19:19" ht="60" customHeight="1" x14ac:dyDescent="0.25">
      <c r="S8723" s="188"/>
    </row>
    <row r="8724" spans="19:19" ht="60" customHeight="1" x14ac:dyDescent="0.25">
      <c r="S8724" s="188"/>
    </row>
    <row r="8725" spans="19:19" ht="60" customHeight="1" x14ac:dyDescent="0.25">
      <c r="S8725" s="188"/>
    </row>
    <row r="8726" spans="19:19" ht="60" customHeight="1" x14ac:dyDescent="0.25">
      <c r="S8726" s="188"/>
    </row>
    <row r="8727" spans="19:19" ht="60" customHeight="1" x14ac:dyDescent="0.25">
      <c r="S8727" s="188"/>
    </row>
    <row r="8728" spans="19:19" ht="60" customHeight="1" x14ac:dyDescent="0.25">
      <c r="S8728" s="188"/>
    </row>
    <row r="8729" spans="19:19" ht="60" customHeight="1" x14ac:dyDescent="0.25">
      <c r="S8729" s="188"/>
    </row>
    <row r="8730" spans="19:19" ht="60" customHeight="1" x14ac:dyDescent="0.25">
      <c r="S8730" s="188"/>
    </row>
    <row r="8731" spans="19:19" ht="60" customHeight="1" x14ac:dyDescent="0.25">
      <c r="S8731" s="188"/>
    </row>
    <row r="8732" spans="19:19" ht="60" customHeight="1" x14ac:dyDescent="0.25">
      <c r="S8732" s="188"/>
    </row>
    <row r="8733" spans="19:19" ht="60" customHeight="1" x14ac:dyDescent="0.25">
      <c r="S8733" s="188"/>
    </row>
    <row r="8734" spans="19:19" ht="60" customHeight="1" x14ac:dyDescent="0.25">
      <c r="S8734" s="188"/>
    </row>
    <row r="8735" spans="19:19" ht="60" customHeight="1" x14ac:dyDescent="0.25">
      <c r="S8735" s="188"/>
    </row>
    <row r="8736" spans="19:19" ht="60" customHeight="1" x14ac:dyDescent="0.25">
      <c r="S8736" s="188"/>
    </row>
    <row r="8737" spans="19:19" ht="60" customHeight="1" x14ac:dyDescent="0.25">
      <c r="S8737" s="188"/>
    </row>
    <row r="8738" spans="19:19" ht="60" customHeight="1" x14ac:dyDescent="0.25">
      <c r="S8738" s="188"/>
    </row>
    <row r="8739" spans="19:19" ht="60" customHeight="1" x14ac:dyDescent="0.25">
      <c r="S8739" s="188"/>
    </row>
    <row r="8740" spans="19:19" ht="60" customHeight="1" x14ac:dyDescent="0.25">
      <c r="S8740" s="188"/>
    </row>
    <row r="8741" spans="19:19" ht="60" customHeight="1" x14ac:dyDescent="0.25">
      <c r="S8741" s="188"/>
    </row>
    <row r="8742" spans="19:19" ht="60" customHeight="1" x14ac:dyDescent="0.25">
      <c r="S8742" s="188"/>
    </row>
    <row r="8743" spans="19:19" ht="60" customHeight="1" x14ac:dyDescent="0.25">
      <c r="S8743" s="188"/>
    </row>
    <row r="8744" spans="19:19" ht="60" customHeight="1" x14ac:dyDescent="0.25">
      <c r="S8744" s="188"/>
    </row>
    <row r="8745" spans="19:19" ht="60" customHeight="1" x14ac:dyDescent="0.25">
      <c r="S8745" s="188"/>
    </row>
    <row r="8746" spans="19:19" ht="60" customHeight="1" x14ac:dyDescent="0.25">
      <c r="S8746" s="188"/>
    </row>
    <row r="8747" spans="19:19" ht="60" customHeight="1" x14ac:dyDescent="0.25">
      <c r="S8747" s="188"/>
    </row>
    <row r="8748" spans="19:19" ht="60" customHeight="1" x14ac:dyDescent="0.25">
      <c r="S8748" s="188"/>
    </row>
    <row r="8749" spans="19:19" ht="60" customHeight="1" x14ac:dyDescent="0.25">
      <c r="S8749" s="188"/>
    </row>
    <row r="8750" spans="19:19" ht="60" customHeight="1" x14ac:dyDescent="0.25">
      <c r="S8750" s="188"/>
    </row>
    <row r="8751" spans="19:19" ht="60" customHeight="1" x14ac:dyDescent="0.25">
      <c r="S8751" s="188"/>
    </row>
    <row r="8752" spans="19:19" ht="60" customHeight="1" x14ac:dyDescent="0.25">
      <c r="S8752" s="188"/>
    </row>
    <row r="8753" spans="19:19" ht="60" customHeight="1" x14ac:dyDescent="0.25">
      <c r="S8753" s="188"/>
    </row>
    <row r="8754" spans="19:19" ht="60" customHeight="1" x14ac:dyDescent="0.25">
      <c r="S8754" s="188"/>
    </row>
    <row r="8755" spans="19:19" ht="60" customHeight="1" x14ac:dyDescent="0.25">
      <c r="S8755" s="188"/>
    </row>
    <row r="8756" spans="19:19" ht="60" customHeight="1" x14ac:dyDescent="0.25">
      <c r="S8756" s="188"/>
    </row>
    <row r="8757" spans="19:19" ht="60" customHeight="1" x14ac:dyDescent="0.25">
      <c r="S8757" s="188"/>
    </row>
    <row r="8758" spans="19:19" ht="60" customHeight="1" x14ac:dyDescent="0.25">
      <c r="S8758" s="188"/>
    </row>
    <row r="8759" spans="19:19" ht="60" customHeight="1" x14ac:dyDescent="0.25">
      <c r="S8759" s="188"/>
    </row>
    <row r="8760" spans="19:19" ht="60" customHeight="1" x14ac:dyDescent="0.25">
      <c r="S8760" s="188"/>
    </row>
    <row r="8761" spans="19:19" ht="60" customHeight="1" x14ac:dyDescent="0.25">
      <c r="S8761" s="188"/>
    </row>
    <row r="8762" spans="19:19" ht="60" customHeight="1" x14ac:dyDescent="0.25">
      <c r="S8762" s="188"/>
    </row>
    <row r="8763" spans="19:19" ht="60" customHeight="1" x14ac:dyDescent="0.25">
      <c r="S8763" s="188"/>
    </row>
    <row r="8764" spans="19:19" ht="60" customHeight="1" x14ac:dyDescent="0.25">
      <c r="S8764" s="188"/>
    </row>
    <row r="8765" spans="19:19" ht="60" customHeight="1" x14ac:dyDescent="0.25">
      <c r="S8765" s="188"/>
    </row>
    <row r="8766" spans="19:19" ht="60" customHeight="1" x14ac:dyDescent="0.25">
      <c r="S8766" s="188"/>
    </row>
    <row r="8767" spans="19:19" ht="60" customHeight="1" x14ac:dyDescent="0.25">
      <c r="S8767" s="188"/>
    </row>
    <row r="8768" spans="19:19" ht="60" customHeight="1" x14ac:dyDescent="0.25">
      <c r="S8768" s="188"/>
    </row>
    <row r="8769" spans="19:19" ht="60" customHeight="1" x14ac:dyDescent="0.25">
      <c r="S8769" s="188"/>
    </row>
    <row r="8770" spans="19:19" ht="60" customHeight="1" x14ac:dyDescent="0.25">
      <c r="S8770" s="188"/>
    </row>
    <row r="8771" spans="19:19" ht="60" customHeight="1" x14ac:dyDescent="0.25">
      <c r="S8771" s="188"/>
    </row>
    <row r="8772" spans="19:19" ht="60" customHeight="1" x14ac:dyDescent="0.25">
      <c r="S8772" s="188"/>
    </row>
    <row r="8773" spans="19:19" ht="60" customHeight="1" x14ac:dyDescent="0.25">
      <c r="S8773" s="188"/>
    </row>
    <row r="8774" spans="19:19" ht="60" customHeight="1" x14ac:dyDescent="0.25">
      <c r="S8774" s="188"/>
    </row>
    <row r="8775" spans="19:19" ht="60" customHeight="1" x14ac:dyDescent="0.25">
      <c r="S8775" s="188"/>
    </row>
    <row r="8776" spans="19:19" ht="60" customHeight="1" x14ac:dyDescent="0.25">
      <c r="S8776" s="188"/>
    </row>
    <row r="8777" spans="19:19" ht="60" customHeight="1" x14ac:dyDescent="0.25">
      <c r="S8777" s="188"/>
    </row>
    <row r="8778" spans="19:19" ht="60" customHeight="1" x14ac:dyDescent="0.25">
      <c r="S8778" s="188"/>
    </row>
    <row r="8779" spans="19:19" ht="60" customHeight="1" x14ac:dyDescent="0.25">
      <c r="S8779" s="188"/>
    </row>
    <row r="8780" spans="19:19" ht="60" customHeight="1" x14ac:dyDescent="0.25">
      <c r="S8780" s="188"/>
    </row>
    <row r="8781" spans="19:19" ht="60" customHeight="1" x14ac:dyDescent="0.25">
      <c r="S8781" s="188"/>
    </row>
    <row r="8782" spans="19:19" ht="60" customHeight="1" x14ac:dyDescent="0.25">
      <c r="S8782" s="188"/>
    </row>
    <row r="8783" spans="19:19" ht="60" customHeight="1" x14ac:dyDescent="0.25">
      <c r="S8783" s="188"/>
    </row>
    <row r="8784" spans="19:19" ht="60" customHeight="1" x14ac:dyDescent="0.25">
      <c r="S8784" s="188"/>
    </row>
    <row r="8785" spans="19:19" ht="60" customHeight="1" x14ac:dyDescent="0.25">
      <c r="S8785" s="188"/>
    </row>
    <row r="8786" spans="19:19" ht="60" customHeight="1" x14ac:dyDescent="0.25">
      <c r="S8786" s="188"/>
    </row>
    <row r="8787" spans="19:19" ht="60" customHeight="1" x14ac:dyDescent="0.25">
      <c r="S8787" s="188"/>
    </row>
    <row r="8788" spans="19:19" ht="60" customHeight="1" x14ac:dyDescent="0.25">
      <c r="S8788" s="188"/>
    </row>
    <row r="8789" spans="19:19" ht="60" customHeight="1" x14ac:dyDescent="0.25">
      <c r="S8789" s="188"/>
    </row>
    <row r="8790" spans="19:19" ht="60" customHeight="1" x14ac:dyDescent="0.25">
      <c r="S8790" s="188"/>
    </row>
    <row r="8791" spans="19:19" ht="60" customHeight="1" x14ac:dyDescent="0.25">
      <c r="S8791" s="188"/>
    </row>
    <row r="8792" spans="19:19" ht="60" customHeight="1" x14ac:dyDescent="0.25">
      <c r="S8792" s="188"/>
    </row>
    <row r="8793" spans="19:19" ht="60" customHeight="1" x14ac:dyDescent="0.25">
      <c r="S8793" s="188"/>
    </row>
    <row r="8794" spans="19:19" ht="60" customHeight="1" x14ac:dyDescent="0.25">
      <c r="S8794" s="188"/>
    </row>
    <row r="8795" spans="19:19" ht="60" customHeight="1" x14ac:dyDescent="0.25">
      <c r="S8795" s="188"/>
    </row>
    <row r="8796" spans="19:19" ht="60" customHeight="1" x14ac:dyDescent="0.25">
      <c r="S8796" s="188"/>
    </row>
    <row r="8797" spans="19:19" ht="60" customHeight="1" x14ac:dyDescent="0.25">
      <c r="S8797" s="188"/>
    </row>
    <row r="8798" spans="19:19" ht="60" customHeight="1" x14ac:dyDescent="0.25">
      <c r="S8798" s="188"/>
    </row>
    <row r="8799" spans="19:19" ht="60" customHeight="1" x14ac:dyDescent="0.25">
      <c r="S8799" s="188"/>
    </row>
    <row r="8800" spans="19:19" ht="60" customHeight="1" x14ac:dyDescent="0.25">
      <c r="S8800" s="188"/>
    </row>
    <row r="8801" spans="19:19" ht="60" customHeight="1" x14ac:dyDescent="0.25">
      <c r="S8801" s="188"/>
    </row>
    <row r="8802" spans="19:19" ht="60" customHeight="1" x14ac:dyDescent="0.25">
      <c r="S8802" s="188"/>
    </row>
    <row r="8803" spans="19:19" ht="60" customHeight="1" x14ac:dyDescent="0.25">
      <c r="S8803" s="188"/>
    </row>
    <row r="8804" spans="19:19" ht="60" customHeight="1" x14ac:dyDescent="0.25">
      <c r="S8804" s="188"/>
    </row>
    <row r="8805" spans="19:19" ht="60" customHeight="1" x14ac:dyDescent="0.25">
      <c r="S8805" s="188"/>
    </row>
    <row r="8806" spans="19:19" ht="60" customHeight="1" x14ac:dyDescent="0.25">
      <c r="S8806" s="188"/>
    </row>
    <row r="8807" spans="19:19" ht="60" customHeight="1" x14ac:dyDescent="0.25">
      <c r="S8807" s="188"/>
    </row>
    <row r="8808" spans="19:19" ht="60" customHeight="1" x14ac:dyDescent="0.25">
      <c r="S8808" s="188"/>
    </row>
    <row r="8809" spans="19:19" ht="60" customHeight="1" x14ac:dyDescent="0.25">
      <c r="S8809" s="188"/>
    </row>
    <row r="8810" spans="19:19" ht="60" customHeight="1" x14ac:dyDescent="0.25">
      <c r="S8810" s="188"/>
    </row>
    <row r="8811" spans="19:19" ht="60" customHeight="1" x14ac:dyDescent="0.25">
      <c r="S8811" s="188"/>
    </row>
    <row r="8812" spans="19:19" ht="60" customHeight="1" x14ac:dyDescent="0.25">
      <c r="S8812" s="188"/>
    </row>
    <row r="8813" spans="19:19" ht="60" customHeight="1" x14ac:dyDescent="0.25">
      <c r="S8813" s="188"/>
    </row>
    <row r="8814" spans="19:19" ht="60" customHeight="1" x14ac:dyDescent="0.25">
      <c r="S8814" s="188"/>
    </row>
    <row r="8815" spans="19:19" ht="60" customHeight="1" x14ac:dyDescent="0.25">
      <c r="S8815" s="188"/>
    </row>
    <row r="8816" spans="19:19" ht="60" customHeight="1" x14ac:dyDescent="0.25">
      <c r="S8816" s="188"/>
    </row>
    <row r="8817" spans="19:19" ht="60" customHeight="1" x14ac:dyDescent="0.25">
      <c r="S8817" s="188"/>
    </row>
    <row r="8818" spans="19:19" ht="60" customHeight="1" x14ac:dyDescent="0.25">
      <c r="S8818" s="188"/>
    </row>
    <row r="8819" spans="19:19" ht="60" customHeight="1" x14ac:dyDescent="0.25">
      <c r="S8819" s="188"/>
    </row>
    <row r="8820" spans="19:19" ht="60" customHeight="1" x14ac:dyDescent="0.25">
      <c r="S8820" s="188"/>
    </row>
    <row r="8821" spans="19:19" ht="60" customHeight="1" x14ac:dyDescent="0.25">
      <c r="S8821" s="188"/>
    </row>
    <row r="8822" spans="19:19" ht="60" customHeight="1" x14ac:dyDescent="0.25">
      <c r="S8822" s="188"/>
    </row>
    <row r="8823" spans="19:19" ht="60" customHeight="1" x14ac:dyDescent="0.25">
      <c r="S8823" s="188"/>
    </row>
    <row r="8824" spans="19:19" ht="60" customHeight="1" x14ac:dyDescent="0.25">
      <c r="S8824" s="188"/>
    </row>
    <row r="8825" spans="19:19" ht="60" customHeight="1" x14ac:dyDescent="0.25">
      <c r="S8825" s="188"/>
    </row>
    <row r="8826" spans="19:19" ht="60" customHeight="1" x14ac:dyDescent="0.25">
      <c r="S8826" s="188"/>
    </row>
    <row r="8827" spans="19:19" ht="60" customHeight="1" x14ac:dyDescent="0.25">
      <c r="S8827" s="188"/>
    </row>
    <row r="8828" spans="19:19" ht="60" customHeight="1" x14ac:dyDescent="0.25">
      <c r="S8828" s="188"/>
    </row>
    <row r="8829" spans="19:19" ht="60" customHeight="1" x14ac:dyDescent="0.25">
      <c r="S8829" s="188"/>
    </row>
    <row r="8830" spans="19:19" ht="60" customHeight="1" x14ac:dyDescent="0.25">
      <c r="S8830" s="188"/>
    </row>
    <row r="8831" spans="19:19" ht="60" customHeight="1" x14ac:dyDescent="0.25">
      <c r="S8831" s="188"/>
    </row>
    <row r="8832" spans="19:19" ht="60" customHeight="1" x14ac:dyDescent="0.25">
      <c r="S8832" s="188"/>
    </row>
    <row r="8833" spans="19:19" ht="60" customHeight="1" x14ac:dyDescent="0.25">
      <c r="S8833" s="188"/>
    </row>
    <row r="8834" spans="19:19" ht="60" customHeight="1" x14ac:dyDescent="0.25">
      <c r="S8834" s="188"/>
    </row>
    <row r="8835" spans="19:19" ht="60" customHeight="1" x14ac:dyDescent="0.25">
      <c r="S8835" s="188"/>
    </row>
    <row r="8836" spans="19:19" ht="60" customHeight="1" x14ac:dyDescent="0.25">
      <c r="S8836" s="188"/>
    </row>
    <row r="8837" spans="19:19" ht="60" customHeight="1" x14ac:dyDescent="0.25">
      <c r="S8837" s="188"/>
    </row>
    <row r="8838" spans="19:19" ht="60" customHeight="1" x14ac:dyDescent="0.25">
      <c r="S8838" s="188"/>
    </row>
    <row r="8839" spans="19:19" ht="60" customHeight="1" x14ac:dyDescent="0.25">
      <c r="S8839" s="188"/>
    </row>
    <row r="8840" spans="19:19" ht="60" customHeight="1" x14ac:dyDescent="0.25">
      <c r="S8840" s="188"/>
    </row>
    <row r="8841" spans="19:19" ht="60" customHeight="1" x14ac:dyDescent="0.25">
      <c r="S8841" s="188"/>
    </row>
    <row r="8842" spans="19:19" ht="60" customHeight="1" x14ac:dyDescent="0.25">
      <c r="S8842" s="188"/>
    </row>
    <row r="8843" spans="19:19" ht="60" customHeight="1" x14ac:dyDescent="0.25">
      <c r="S8843" s="188"/>
    </row>
    <row r="8844" spans="19:19" ht="60" customHeight="1" x14ac:dyDescent="0.25">
      <c r="S8844" s="188"/>
    </row>
    <row r="8845" spans="19:19" ht="60" customHeight="1" x14ac:dyDescent="0.25">
      <c r="S8845" s="188"/>
    </row>
    <row r="8846" spans="19:19" ht="60" customHeight="1" x14ac:dyDescent="0.25">
      <c r="S8846" s="188"/>
    </row>
    <row r="8847" spans="19:19" ht="60" customHeight="1" x14ac:dyDescent="0.25">
      <c r="S8847" s="188"/>
    </row>
    <row r="8848" spans="19:19" ht="60" customHeight="1" x14ac:dyDescent="0.25">
      <c r="S8848" s="188"/>
    </row>
    <row r="8849" spans="19:19" ht="60" customHeight="1" x14ac:dyDescent="0.25">
      <c r="S8849" s="188"/>
    </row>
    <row r="8850" spans="19:19" ht="60" customHeight="1" x14ac:dyDescent="0.25">
      <c r="S8850" s="188"/>
    </row>
    <row r="8851" spans="19:19" ht="60" customHeight="1" x14ac:dyDescent="0.25">
      <c r="S8851" s="188"/>
    </row>
    <row r="8852" spans="19:19" ht="60" customHeight="1" x14ac:dyDescent="0.25">
      <c r="S8852" s="188"/>
    </row>
    <row r="8853" spans="19:19" ht="60" customHeight="1" x14ac:dyDescent="0.25">
      <c r="S8853" s="188"/>
    </row>
    <row r="8854" spans="19:19" ht="60" customHeight="1" x14ac:dyDescent="0.25">
      <c r="S8854" s="188"/>
    </row>
    <row r="8855" spans="19:19" ht="60" customHeight="1" x14ac:dyDescent="0.25">
      <c r="S8855" s="188"/>
    </row>
    <row r="8856" spans="19:19" ht="60" customHeight="1" x14ac:dyDescent="0.25">
      <c r="S8856" s="188"/>
    </row>
    <row r="8857" spans="19:19" ht="60" customHeight="1" x14ac:dyDescent="0.25">
      <c r="S8857" s="188"/>
    </row>
    <row r="8858" spans="19:19" ht="60" customHeight="1" x14ac:dyDescent="0.25">
      <c r="S8858" s="188"/>
    </row>
    <row r="8859" spans="19:19" ht="60" customHeight="1" x14ac:dyDescent="0.25">
      <c r="S8859" s="188"/>
    </row>
    <row r="8860" spans="19:19" ht="60" customHeight="1" x14ac:dyDescent="0.25">
      <c r="S8860" s="188"/>
    </row>
    <row r="8861" spans="19:19" ht="60" customHeight="1" x14ac:dyDescent="0.25">
      <c r="S8861" s="188"/>
    </row>
    <row r="8862" spans="19:19" ht="60" customHeight="1" x14ac:dyDescent="0.25">
      <c r="S8862" s="188"/>
    </row>
    <row r="8863" spans="19:19" ht="60" customHeight="1" x14ac:dyDescent="0.25">
      <c r="S8863" s="188"/>
    </row>
    <row r="8864" spans="19:19" ht="60" customHeight="1" x14ac:dyDescent="0.25">
      <c r="S8864" s="188"/>
    </row>
    <row r="8865" spans="19:19" ht="60" customHeight="1" x14ac:dyDescent="0.25">
      <c r="S8865" s="188"/>
    </row>
    <row r="8866" spans="19:19" ht="60" customHeight="1" x14ac:dyDescent="0.25">
      <c r="S8866" s="188"/>
    </row>
    <row r="8867" spans="19:19" ht="60" customHeight="1" x14ac:dyDescent="0.25">
      <c r="S8867" s="188"/>
    </row>
    <row r="8868" spans="19:19" ht="60" customHeight="1" x14ac:dyDescent="0.25">
      <c r="S8868" s="188"/>
    </row>
    <row r="8869" spans="19:19" ht="60" customHeight="1" x14ac:dyDescent="0.25">
      <c r="S8869" s="188"/>
    </row>
    <row r="8870" spans="19:19" ht="60" customHeight="1" x14ac:dyDescent="0.25">
      <c r="S8870" s="188"/>
    </row>
    <row r="8871" spans="19:19" ht="60" customHeight="1" x14ac:dyDescent="0.25">
      <c r="S8871" s="188"/>
    </row>
    <row r="8872" spans="19:19" ht="60" customHeight="1" x14ac:dyDescent="0.25">
      <c r="S8872" s="188"/>
    </row>
    <row r="8873" spans="19:19" ht="60" customHeight="1" x14ac:dyDescent="0.25">
      <c r="S8873" s="188"/>
    </row>
    <row r="8874" spans="19:19" ht="60" customHeight="1" x14ac:dyDescent="0.25">
      <c r="S8874" s="188"/>
    </row>
    <row r="8875" spans="19:19" ht="60" customHeight="1" x14ac:dyDescent="0.25">
      <c r="S8875" s="188"/>
    </row>
    <row r="8876" spans="19:19" ht="60" customHeight="1" x14ac:dyDescent="0.25">
      <c r="S8876" s="188"/>
    </row>
    <row r="8877" spans="19:19" ht="60" customHeight="1" x14ac:dyDescent="0.25">
      <c r="S8877" s="188"/>
    </row>
    <row r="8878" spans="19:19" ht="60" customHeight="1" x14ac:dyDescent="0.25">
      <c r="S8878" s="188"/>
    </row>
    <row r="8879" spans="19:19" ht="60" customHeight="1" x14ac:dyDescent="0.25">
      <c r="S8879" s="188"/>
    </row>
    <row r="8880" spans="19:19" ht="60" customHeight="1" x14ac:dyDescent="0.25">
      <c r="S8880" s="188"/>
    </row>
    <row r="8881" spans="19:19" ht="60" customHeight="1" x14ac:dyDescent="0.25">
      <c r="S8881" s="188"/>
    </row>
    <row r="8882" spans="19:19" ht="60" customHeight="1" x14ac:dyDescent="0.25">
      <c r="S8882" s="188"/>
    </row>
    <row r="8883" spans="19:19" ht="60" customHeight="1" x14ac:dyDescent="0.25">
      <c r="S8883" s="188"/>
    </row>
    <row r="8884" spans="19:19" ht="60" customHeight="1" x14ac:dyDescent="0.25">
      <c r="S8884" s="188"/>
    </row>
    <row r="8885" spans="19:19" ht="60" customHeight="1" x14ac:dyDescent="0.25">
      <c r="S8885" s="188"/>
    </row>
    <row r="8886" spans="19:19" ht="60" customHeight="1" x14ac:dyDescent="0.25">
      <c r="S8886" s="188"/>
    </row>
    <row r="8887" spans="19:19" ht="60" customHeight="1" x14ac:dyDescent="0.25">
      <c r="S8887" s="188"/>
    </row>
    <row r="8888" spans="19:19" ht="60" customHeight="1" x14ac:dyDescent="0.25">
      <c r="S8888" s="188"/>
    </row>
    <row r="8889" spans="19:19" ht="60" customHeight="1" x14ac:dyDescent="0.25">
      <c r="S8889" s="188"/>
    </row>
    <row r="8890" spans="19:19" ht="60" customHeight="1" x14ac:dyDescent="0.25">
      <c r="S8890" s="188"/>
    </row>
    <row r="8891" spans="19:19" ht="60" customHeight="1" x14ac:dyDescent="0.25">
      <c r="S8891" s="188"/>
    </row>
    <row r="8892" spans="19:19" ht="60" customHeight="1" x14ac:dyDescent="0.25">
      <c r="S8892" s="188"/>
    </row>
    <row r="8893" spans="19:19" ht="60" customHeight="1" x14ac:dyDescent="0.25">
      <c r="S8893" s="188"/>
    </row>
    <row r="8894" spans="19:19" ht="60" customHeight="1" x14ac:dyDescent="0.25">
      <c r="S8894" s="188"/>
    </row>
    <row r="8895" spans="19:19" ht="60" customHeight="1" x14ac:dyDescent="0.25">
      <c r="S8895" s="188"/>
    </row>
    <row r="8896" spans="19:19" ht="60" customHeight="1" x14ac:dyDescent="0.25">
      <c r="S8896" s="188"/>
    </row>
    <row r="8897" spans="19:19" ht="60" customHeight="1" x14ac:dyDescent="0.25">
      <c r="S8897" s="188"/>
    </row>
    <row r="8898" spans="19:19" ht="60" customHeight="1" x14ac:dyDescent="0.25">
      <c r="S8898" s="188"/>
    </row>
    <row r="8899" spans="19:19" ht="60" customHeight="1" x14ac:dyDescent="0.25">
      <c r="S8899" s="188"/>
    </row>
    <row r="8900" spans="19:19" ht="60" customHeight="1" x14ac:dyDescent="0.25">
      <c r="S8900" s="188"/>
    </row>
    <row r="8901" spans="19:19" ht="60" customHeight="1" x14ac:dyDescent="0.25">
      <c r="S8901" s="188"/>
    </row>
    <row r="8902" spans="19:19" ht="60" customHeight="1" x14ac:dyDescent="0.25">
      <c r="S8902" s="188"/>
    </row>
    <row r="8903" spans="19:19" ht="60" customHeight="1" x14ac:dyDescent="0.25">
      <c r="S8903" s="188"/>
    </row>
    <row r="8904" spans="19:19" ht="60" customHeight="1" x14ac:dyDescent="0.25">
      <c r="S8904" s="188"/>
    </row>
    <row r="8905" spans="19:19" ht="60" customHeight="1" x14ac:dyDescent="0.25">
      <c r="S8905" s="188"/>
    </row>
    <row r="8906" spans="19:19" ht="60" customHeight="1" x14ac:dyDescent="0.25">
      <c r="S8906" s="188"/>
    </row>
    <row r="8907" spans="19:19" ht="60" customHeight="1" x14ac:dyDescent="0.25">
      <c r="S8907" s="188"/>
    </row>
    <row r="8908" spans="19:19" ht="60" customHeight="1" x14ac:dyDescent="0.25">
      <c r="S8908" s="188"/>
    </row>
    <row r="8909" spans="19:19" ht="60" customHeight="1" x14ac:dyDescent="0.25">
      <c r="S8909" s="188"/>
    </row>
    <row r="8910" spans="19:19" ht="60" customHeight="1" x14ac:dyDescent="0.25">
      <c r="S8910" s="188"/>
    </row>
    <row r="8911" spans="19:19" ht="60" customHeight="1" x14ac:dyDescent="0.25">
      <c r="S8911" s="188"/>
    </row>
    <row r="8912" spans="19:19" ht="60" customHeight="1" x14ac:dyDescent="0.25">
      <c r="S8912" s="188"/>
    </row>
    <row r="8913" spans="19:19" ht="60" customHeight="1" x14ac:dyDescent="0.25">
      <c r="S8913" s="188"/>
    </row>
    <row r="8914" spans="19:19" ht="60" customHeight="1" x14ac:dyDescent="0.25">
      <c r="S8914" s="188"/>
    </row>
    <row r="8915" spans="19:19" ht="60" customHeight="1" x14ac:dyDescent="0.25">
      <c r="S8915" s="188"/>
    </row>
    <row r="8916" spans="19:19" ht="60" customHeight="1" x14ac:dyDescent="0.25">
      <c r="S8916" s="188"/>
    </row>
    <row r="8917" spans="19:19" ht="60" customHeight="1" x14ac:dyDescent="0.25">
      <c r="S8917" s="188"/>
    </row>
    <row r="8918" spans="19:19" ht="60" customHeight="1" x14ac:dyDescent="0.25">
      <c r="S8918" s="188"/>
    </row>
    <row r="8919" spans="19:19" ht="60" customHeight="1" x14ac:dyDescent="0.25">
      <c r="S8919" s="188"/>
    </row>
    <row r="8920" spans="19:19" ht="60" customHeight="1" x14ac:dyDescent="0.25">
      <c r="S8920" s="188"/>
    </row>
    <row r="8921" spans="19:19" ht="60" customHeight="1" x14ac:dyDescent="0.25">
      <c r="S8921" s="188"/>
    </row>
    <row r="8922" spans="19:19" ht="60" customHeight="1" x14ac:dyDescent="0.25">
      <c r="S8922" s="188"/>
    </row>
    <row r="8923" spans="19:19" ht="60" customHeight="1" x14ac:dyDescent="0.25">
      <c r="S8923" s="188"/>
    </row>
    <row r="8924" spans="19:19" ht="60" customHeight="1" x14ac:dyDescent="0.25">
      <c r="S8924" s="188"/>
    </row>
    <row r="8925" spans="19:19" ht="60" customHeight="1" x14ac:dyDescent="0.25">
      <c r="S8925" s="188"/>
    </row>
    <row r="8926" spans="19:19" ht="60" customHeight="1" x14ac:dyDescent="0.25">
      <c r="S8926" s="188"/>
    </row>
    <row r="8927" spans="19:19" ht="60" customHeight="1" x14ac:dyDescent="0.25">
      <c r="S8927" s="188"/>
    </row>
    <row r="8928" spans="19:19" ht="60" customHeight="1" x14ac:dyDescent="0.25">
      <c r="S8928" s="188"/>
    </row>
    <row r="8929" spans="19:19" ht="60" customHeight="1" x14ac:dyDescent="0.25">
      <c r="S8929" s="188"/>
    </row>
    <row r="8930" spans="19:19" ht="60" customHeight="1" x14ac:dyDescent="0.25">
      <c r="S8930" s="188"/>
    </row>
    <row r="8931" spans="19:19" ht="60" customHeight="1" x14ac:dyDescent="0.25">
      <c r="S8931" s="188"/>
    </row>
    <row r="8932" spans="19:19" ht="60" customHeight="1" x14ac:dyDescent="0.25">
      <c r="S8932" s="188"/>
    </row>
    <row r="8933" spans="19:19" ht="60" customHeight="1" x14ac:dyDescent="0.25">
      <c r="S8933" s="188"/>
    </row>
    <row r="8934" spans="19:19" ht="60" customHeight="1" x14ac:dyDescent="0.25">
      <c r="S8934" s="188"/>
    </row>
    <row r="8935" spans="19:19" ht="60" customHeight="1" x14ac:dyDescent="0.25">
      <c r="S8935" s="188"/>
    </row>
    <row r="8936" spans="19:19" ht="60" customHeight="1" x14ac:dyDescent="0.25">
      <c r="S8936" s="188"/>
    </row>
    <row r="8937" spans="19:19" ht="60" customHeight="1" x14ac:dyDescent="0.25">
      <c r="S8937" s="188"/>
    </row>
    <row r="8938" spans="19:19" ht="60" customHeight="1" x14ac:dyDescent="0.25">
      <c r="S8938" s="188"/>
    </row>
    <row r="8939" spans="19:19" ht="60" customHeight="1" x14ac:dyDescent="0.25">
      <c r="S8939" s="188"/>
    </row>
    <row r="8940" spans="19:19" ht="60" customHeight="1" x14ac:dyDescent="0.25">
      <c r="S8940" s="188"/>
    </row>
    <row r="8941" spans="19:19" ht="60" customHeight="1" x14ac:dyDescent="0.25">
      <c r="S8941" s="188"/>
    </row>
    <row r="8942" spans="19:19" ht="60" customHeight="1" x14ac:dyDescent="0.25">
      <c r="S8942" s="188"/>
    </row>
    <row r="8943" spans="19:19" ht="60" customHeight="1" x14ac:dyDescent="0.25">
      <c r="S8943" s="188"/>
    </row>
    <row r="8944" spans="19:19" ht="60" customHeight="1" x14ac:dyDescent="0.25">
      <c r="S8944" s="188"/>
    </row>
    <row r="8945" spans="19:19" ht="60" customHeight="1" x14ac:dyDescent="0.25">
      <c r="S8945" s="188"/>
    </row>
    <row r="8946" spans="19:19" ht="60" customHeight="1" x14ac:dyDescent="0.25">
      <c r="S8946" s="188"/>
    </row>
    <row r="8947" spans="19:19" ht="60" customHeight="1" x14ac:dyDescent="0.25">
      <c r="S8947" s="188"/>
    </row>
    <row r="8948" spans="19:19" ht="60" customHeight="1" x14ac:dyDescent="0.25">
      <c r="S8948" s="188"/>
    </row>
    <row r="8949" spans="19:19" ht="60" customHeight="1" x14ac:dyDescent="0.25">
      <c r="S8949" s="188"/>
    </row>
    <row r="8950" spans="19:19" ht="60" customHeight="1" x14ac:dyDescent="0.25">
      <c r="S8950" s="188"/>
    </row>
    <row r="8951" spans="19:19" ht="60" customHeight="1" x14ac:dyDescent="0.25">
      <c r="S8951" s="188"/>
    </row>
    <row r="8952" spans="19:19" ht="60" customHeight="1" x14ac:dyDescent="0.25">
      <c r="S8952" s="188"/>
    </row>
    <row r="8953" spans="19:19" ht="60" customHeight="1" x14ac:dyDescent="0.25">
      <c r="S8953" s="188"/>
    </row>
    <row r="8954" spans="19:19" ht="60" customHeight="1" x14ac:dyDescent="0.25">
      <c r="S8954" s="188"/>
    </row>
    <row r="8955" spans="19:19" ht="60" customHeight="1" x14ac:dyDescent="0.25">
      <c r="S8955" s="188"/>
    </row>
    <row r="8956" spans="19:19" ht="60" customHeight="1" x14ac:dyDescent="0.25">
      <c r="S8956" s="188"/>
    </row>
    <row r="8957" spans="19:19" ht="60" customHeight="1" x14ac:dyDescent="0.25">
      <c r="S8957" s="188"/>
    </row>
    <row r="8958" spans="19:19" ht="60" customHeight="1" x14ac:dyDescent="0.25">
      <c r="S8958" s="188"/>
    </row>
    <row r="8959" spans="19:19" ht="60" customHeight="1" x14ac:dyDescent="0.25">
      <c r="S8959" s="188"/>
    </row>
    <row r="8960" spans="19:19" ht="60" customHeight="1" x14ac:dyDescent="0.25">
      <c r="S8960" s="188"/>
    </row>
    <row r="8961" spans="19:19" ht="60" customHeight="1" x14ac:dyDescent="0.25">
      <c r="S8961" s="188"/>
    </row>
    <row r="8962" spans="19:19" ht="60" customHeight="1" x14ac:dyDescent="0.25">
      <c r="S8962" s="188"/>
    </row>
    <row r="8963" spans="19:19" ht="60" customHeight="1" x14ac:dyDescent="0.25">
      <c r="S8963" s="188"/>
    </row>
    <row r="8964" spans="19:19" ht="60" customHeight="1" x14ac:dyDescent="0.25">
      <c r="S8964" s="188"/>
    </row>
    <row r="8965" spans="19:19" ht="60" customHeight="1" x14ac:dyDescent="0.25">
      <c r="S8965" s="188"/>
    </row>
    <row r="8966" spans="19:19" ht="60" customHeight="1" x14ac:dyDescent="0.25">
      <c r="S8966" s="188"/>
    </row>
    <row r="8967" spans="19:19" ht="60" customHeight="1" x14ac:dyDescent="0.25">
      <c r="S8967" s="188"/>
    </row>
    <row r="8968" spans="19:19" ht="60" customHeight="1" x14ac:dyDescent="0.25">
      <c r="S8968" s="188"/>
    </row>
    <row r="8969" spans="19:19" ht="60" customHeight="1" x14ac:dyDescent="0.25">
      <c r="S8969" s="188"/>
    </row>
    <row r="8970" spans="19:19" ht="60" customHeight="1" x14ac:dyDescent="0.25">
      <c r="S8970" s="188"/>
    </row>
    <row r="8971" spans="19:19" ht="60" customHeight="1" x14ac:dyDescent="0.25">
      <c r="S8971" s="188"/>
    </row>
    <row r="8972" spans="19:19" ht="60" customHeight="1" x14ac:dyDescent="0.25">
      <c r="S8972" s="188"/>
    </row>
    <row r="8973" spans="19:19" ht="60" customHeight="1" x14ac:dyDescent="0.25">
      <c r="S8973" s="188"/>
    </row>
    <row r="8974" spans="19:19" ht="60" customHeight="1" x14ac:dyDescent="0.25">
      <c r="S8974" s="188"/>
    </row>
    <row r="8975" spans="19:19" ht="60" customHeight="1" x14ac:dyDescent="0.25">
      <c r="S8975" s="188"/>
    </row>
    <row r="8976" spans="19:19" ht="60" customHeight="1" x14ac:dyDescent="0.25">
      <c r="S8976" s="188"/>
    </row>
    <row r="8977" spans="19:19" ht="60" customHeight="1" x14ac:dyDescent="0.25">
      <c r="S8977" s="188"/>
    </row>
    <row r="8978" spans="19:19" ht="60" customHeight="1" x14ac:dyDescent="0.25">
      <c r="S8978" s="188"/>
    </row>
    <row r="8979" spans="19:19" ht="60" customHeight="1" x14ac:dyDescent="0.25">
      <c r="S8979" s="188"/>
    </row>
    <row r="8980" spans="19:19" ht="60" customHeight="1" x14ac:dyDescent="0.25">
      <c r="S8980" s="188"/>
    </row>
    <row r="8981" spans="19:19" ht="60" customHeight="1" x14ac:dyDescent="0.25">
      <c r="S8981" s="188"/>
    </row>
    <row r="8982" spans="19:19" ht="60" customHeight="1" x14ac:dyDescent="0.25">
      <c r="S8982" s="188"/>
    </row>
    <row r="8983" spans="19:19" ht="60" customHeight="1" x14ac:dyDescent="0.25">
      <c r="S8983" s="188"/>
    </row>
    <row r="8984" spans="19:19" ht="60" customHeight="1" x14ac:dyDescent="0.25">
      <c r="S8984" s="188"/>
    </row>
    <row r="8985" spans="19:19" ht="60" customHeight="1" x14ac:dyDescent="0.25">
      <c r="S8985" s="188"/>
    </row>
    <row r="8986" spans="19:19" ht="60" customHeight="1" x14ac:dyDescent="0.25">
      <c r="S8986" s="188"/>
    </row>
    <row r="8987" spans="19:19" ht="60" customHeight="1" x14ac:dyDescent="0.25">
      <c r="S8987" s="188"/>
    </row>
    <row r="8988" spans="19:19" ht="60" customHeight="1" x14ac:dyDescent="0.25">
      <c r="S8988" s="188"/>
    </row>
    <row r="8989" spans="19:19" ht="60" customHeight="1" x14ac:dyDescent="0.25">
      <c r="S8989" s="188"/>
    </row>
    <row r="8990" spans="19:19" ht="60" customHeight="1" x14ac:dyDescent="0.25">
      <c r="S8990" s="188"/>
    </row>
    <row r="8991" spans="19:19" ht="60" customHeight="1" x14ac:dyDescent="0.25">
      <c r="S8991" s="188"/>
    </row>
    <row r="8992" spans="19:19" ht="60" customHeight="1" x14ac:dyDescent="0.25">
      <c r="S8992" s="188"/>
    </row>
    <row r="8993" spans="19:19" ht="60" customHeight="1" x14ac:dyDescent="0.25">
      <c r="S8993" s="188"/>
    </row>
    <row r="8994" spans="19:19" ht="60" customHeight="1" x14ac:dyDescent="0.25">
      <c r="S8994" s="188"/>
    </row>
    <row r="8995" spans="19:19" ht="60" customHeight="1" x14ac:dyDescent="0.25">
      <c r="S8995" s="188"/>
    </row>
    <row r="8996" spans="19:19" ht="60" customHeight="1" x14ac:dyDescent="0.25">
      <c r="S8996" s="188"/>
    </row>
    <row r="8997" spans="19:19" ht="60" customHeight="1" x14ac:dyDescent="0.25">
      <c r="S8997" s="188"/>
    </row>
    <row r="8998" spans="19:19" ht="60" customHeight="1" x14ac:dyDescent="0.25">
      <c r="S8998" s="188"/>
    </row>
    <row r="8999" spans="19:19" ht="60" customHeight="1" x14ac:dyDescent="0.25">
      <c r="S8999" s="188"/>
    </row>
    <row r="9000" spans="19:19" ht="60" customHeight="1" x14ac:dyDescent="0.25">
      <c r="S9000" s="188"/>
    </row>
    <row r="9001" spans="19:19" ht="60" customHeight="1" x14ac:dyDescent="0.25">
      <c r="S9001" s="188"/>
    </row>
    <row r="9002" spans="19:19" ht="60" customHeight="1" x14ac:dyDescent="0.25">
      <c r="S9002" s="188"/>
    </row>
    <row r="9003" spans="19:19" ht="60" customHeight="1" x14ac:dyDescent="0.25">
      <c r="S9003" s="188"/>
    </row>
    <row r="9004" spans="19:19" ht="60" customHeight="1" x14ac:dyDescent="0.25">
      <c r="S9004" s="188"/>
    </row>
    <row r="9005" spans="19:19" ht="60" customHeight="1" x14ac:dyDescent="0.25">
      <c r="S9005" s="188"/>
    </row>
    <row r="9006" spans="19:19" ht="60" customHeight="1" x14ac:dyDescent="0.25">
      <c r="S9006" s="188"/>
    </row>
    <row r="9007" spans="19:19" ht="60" customHeight="1" x14ac:dyDescent="0.25">
      <c r="S9007" s="188"/>
    </row>
    <row r="9008" spans="19:19" ht="60" customHeight="1" x14ac:dyDescent="0.25">
      <c r="S9008" s="188"/>
    </row>
    <row r="9009" spans="19:19" ht="60" customHeight="1" x14ac:dyDescent="0.25">
      <c r="S9009" s="188"/>
    </row>
    <row r="9010" spans="19:19" ht="60" customHeight="1" x14ac:dyDescent="0.25">
      <c r="S9010" s="188"/>
    </row>
    <row r="9011" spans="19:19" ht="60" customHeight="1" x14ac:dyDescent="0.25">
      <c r="S9011" s="188"/>
    </row>
    <row r="9012" spans="19:19" ht="60" customHeight="1" x14ac:dyDescent="0.25">
      <c r="S9012" s="188"/>
    </row>
    <row r="9013" spans="19:19" ht="60" customHeight="1" x14ac:dyDescent="0.25">
      <c r="S9013" s="188"/>
    </row>
    <row r="9014" spans="19:19" ht="60" customHeight="1" x14ac:dyDescent="0.25">
      <c r="S9014" s="188"/>
    </row>
    <row r="9015" spans="19:19" ht="60" customHeight="1" x14ac:dyDescent="0.25">
      <c r="S9015" s="188"/>
    </row>
    <row r="9016" spans="19:19" ht="60" customHeight="1" x14ac:dyDescent="0.25">
      <c r="S9016" s="188"/>
    </row>
    <row r="9017" spans="19:19" ht="60" customHeight="1" x14ac:dyDescent="0.25">
      <c r="S9017" s="188"/>
    </row>
    <row r="9018" spans="19:19" ht="60" customHeight="1" x14ac:dyDescent="0.25">
      <c r="S9018" s="188"/>
    </row>
    <row r="9019" spans="19:19" ht="60" customHeight="1" x14ac:dyDescent="0.25">
      <c r="S9019" s="188"/>
    </row>
    <row r="9020" spans="19:19" ht="60" customHeight="1" x14ac:dyDescent="0.25">
      <c r="S9020" s="188"/>
    </row>
    <row r="9021" spans="19:19" ht="60" customHeight="1" x14ac:dyDescent="0.25">
      <c r="S9021" s="188"/>
    </row>
    <row r="9022" spans="19:19" ht="60" customHeight="1" x14ac:dyDescent="0.25">
      <c r="S9022" s="188"/>
    </row>
    <row r="9023" spans="19:19" ht="60" customHeight="1" x14ac:dyDescent="0.25">
      <c r="S9023" s="188"/>
    </row>
    <row r="9024" spans="19:19" ht="60" customHeight="1" x14ac:dyDescent="0.25">
      <c r="S9024" s="188"/>
    </row>
    <row r="9025" spans="19:19" ht="60" customHeight="1" x14ac:dyDescent="0.25">
      <c r="S9025" s="188"/>
    </row>
    <row r="9026" spans="19:19" ht="60" customHeight="1" x14ac:dyDescent="0.25">
      <c r="S9026" s="188"/>
    </row>
    <row r="9027" spans="19:19" ht="60" customHeight="1" x14ac:dyDescent="0.25">
      <c r="S9027" s="188"/>
    </row>
    <row r="9028" spans="19:19" ht="60" customHeight="1" x14ac:dyDescent="0.25">
      <c r="S9028" s="188"/>
    </row>
    <row r="9029" spans="19:19" ht="60" customHeight="1" x14ac:dyDescent="0.25">
      <c r="S9029" s="188"/>
    </row>
    <row r="9030" spans="19:19" ht="60" customHeight="1" x14ac:dyDescent="0.25">
      <c r="S9030" s="188"/>
    </row>
    <row r="9031" spans="19:19" ht="60" customHeight="1" x14ac:dyDescent="0.25">
      <c r="S9031" s="188"/>
    </row>
    <row r="9032" spans="19:19" ht="60" customHeight="1" x14ac:dyDescent="0.25">
      <c r="S9032" s="188"/>
    </row>
    <row r="9033" spans="19:19" ht="60" customHeight="1" x14ac:dyDescent="0.25">
      <c r="S9033" s="188"/>
    </row>
    <row r="9034" spans="19:19" ht="60" customHeight="1" x14ac:dyDescent="0.25">
      <c r="S9034" s="188"/>
    </row>
    <row r="9035" spans="19:19" ht="60" customHeight="1" x14ac:dyDescent="0.25">
      <c r="S9035" s="188"/>
    </row>
    <row r="9036" spans="19:19" ht="60" customHeight="1" x14ac:dyDescent="0.25">
      <c r="S9036" s="188"/>
    </row>
    <row r="9037" spans="19:19" ht="60" customHeight="1" x14ac:dyDescent="0.25">
      <c r="S9037" s="188"/>
    </row>
    <row r="9038" spans="19:19" ht="60" customHeight="1" x14ac:dyDescent="0.25">
      <c r="S9038" s="188"/>
    </row>
    <row r="9039" spans="19:19" ht="60" customHeight="1" x14ac:dyDescent="0.25">
      <c r="S9039" s="188"/>
    </row>
    <row r="9040" spans="19:19" ht="60" customHeight="1" x14ac:dyDescent="0.25">
      <c r="S9040" s="188"/>
    </row>
    <row r="9041" spans="19:19" ht="60" customHeight="1" x14ac:dyDescent="0.25">
      <c r="S9041" s="188"/>
    </row>
    <row r="9042" spans="19:19" ht="60" customHeight="1" x14ac:dyDescent="0.25">
      <c r="S9042" s="188"/>
    </row>
    <row r="9043" spans="19:19" ht="60" customHeight="1" x14ac:dyDescent="0.25">
      <c r="S9043" s="188"/>
    </row>
    <row r="9044" spans="19:19" ht="60" customHeight="1" x14ac:dyDescent="0.25">
      <c r="S9044" s="188"/>
    </row>
    <row r="9045" spans="19:19" ht="60" customHeight="1" x14ac:dyDescent="0.25">
      <c r="S9045" s="188"/>
    </row>
    <row r="9046" spans="19:19" ht="60" customHeight="1" x14ac:dyDescent="0.25">
      <c r="S9046" s="188"/>
    </row>
    <row r="9047" spans="19:19" ht="60" customHeight="1" x14ac:dyDescent="0.25">
      <c r="S9047" s="188"/>
    </row>
    <row r="9048" spans="19:19" ht="60" customHeight="1" x14ac:dyDescent="0.25">
      <c r="S9048" s="188"/>
    </row>
    <row r="9049" spans="19:19" ht="60" customHeight="1" x14ac:dyDescent="0.25">
      <c r="S9049" s="188"/>
    </row>
    <row r="9050" spans="19:19" ht="60" customHeight="1" x14ac:dyDescent="0.25">
      <c r="S9050" s="188"/>
    </row>
    <row r="9051" spans="19:19" ht="60" customHeight="1" x14ac:dyDescent="0.25">
      <c r="S9051" s="188"/>
    </row>
    <row r="9052" spans="19:19" ht="60" customHeight="1" x14ac:dyDescent="0.25">
      <c r="S9052" s="188"/>
    </row>
    <row r="9053" spans="19:19" ht="60" customHeight="1" x14ac:dyDescent="0.25">
      <c r="S9053" s="188"/>
    </row>
    <row r="9054" spans="19:19" ht="60" customHeight="1" x14ac:dyDescent="0.25">
      <c r="S9054" s="188"/>
    </row>
    <row r="9055" spans="19:19" ht="60" customHeight="1" x14ac:dyDescent="0.25">
      <c r="S9055" s="188"/>
    </row>
    <row r="9056" spans="19:19" ht="60" customHeight="1" x14ac:dyDescent="0.25">
      <c r="S9056" s="188"/>
    </row>
    <row r="9057" spans="19:19" ht="60" customHeight="1" x14ac:dyDescent="0.25">
      <c r="S9057" s="188"/>
    </row>
    <row r="9058" spans="19:19" ht="60" customHeight="1" x14ac:dyDescent="0.25">
      <c r="S9058" s="188"/>
    </row>
    <row r="9059" spans="19:19" ht="60" customHeight="1" x14ac:dyDescent="0.25">
      <c r="S9059" s="188"/>
    </row>
    <row r="9060" spans="19:19" ht="60" customHeight="1" x14ac:dyDescent="0.25">
      <c r="S9060" s="188"/>
    </row>
    <row r="9061" spans="19:19" ht="60" customHeight="1" x14ac:dyDescent="0.25">
      <c r="S9061" s="188"/>
    </row>
    <row r="9062" spans="19:19" ht="60" customHeight="1" x14ac:dyDescent="0.25">
      <c r="S9062" s="188"/>
    </row>
    <row r="9063" spans="19:19" ht="60" customHeight="1" x14ac:dyDescent="0.25">
      <c r="S9063" s="188"/>
    </row>
    <row r="9064" spans="19:19" ht="60" customHeight="1" x14ac:dyDescent="0.25">
      <c r="S9064" s="188"/>
    </row>
    <row r="9065" spans="19:19" ht="60" customHeight="1" x14ac:dyDescent="0.25">
      <c r="S9065" s="188"/>
    </row>
    <row r="9066" spans="19:19" ht="60" customHeight="1" x14ac:dyDescent="0.25">
      <c r="S9066" s="188"/>
    </row>
    <row r="9067" spans="19:19" ht="60" customHeight="1" x14ac:dyDescent="0.25">
      <c r="S9067" s="188"/>
    </row>
    <row r="9068" spans="19:19" ht="60" customHeight="1" x14ac:dyDescent="0.25">
      <c r="S9068" s="188"/>
    </row>
    <row r="9069" spans="19:19" ht="60" customHeight="1" x14ac:dyDescent="0.25">
      <c r="S9069" s="188"/>
    </row>
    <row r="9070" spans="19:19" ht="60" customHeight="1" x14ac:dyDescent="0.25">
      <c r="S9070" s="188"/>
    </row>
    <row r="9071" spans="19:19" ht="60" customHeight="1" x14ac:dyDescent="0.25">
      <c r="S9071" s="188"/>
    </row>
    <row r="9072" spans="19:19" ht="60" customHeight="1" x14ac:dyDescent="0.25">
      <c r="S9072" s="188"/>
    </row>
    <row r="9073" spans="19:19" ht="60" customHeight="1" x14ac:dyDescent="0.25">
      <c r="S9073" s="188"/>
    </row>
    <row r="9074" spans="19:19" ht="60" customHeight="1" x14ac:dyDescent="0.25">
      <c r="S9074" s="188"/>
    </row>
    <row r="9075" spans="19:19" ht="60" customHeight="1" x14ac:dyDescent="0.25">
      <c r="S9075" s="188"/>
    </row>
    <row r="9076" spans="19:19" ht="60" customHeight="1" x14ac:dyDescent="0.25">
      <c r="S9076" s="188"/>
    </row>
    <row r="9077" spans="19:19" ht="60" customHeight="1" x14ac:dyDescent="0.25">
      <c r="S9077" s="188"/>
    </row>
    <row r="9078" spans="19:19" ht="60" customHeight="1" x14ac:dyDescent="0.25">
      <c r="S9078" s="188"/>
    </row>
    <row r="9079" spans="19:19" ht="60" customHeight="1" x14ac:dyDescent="0.25">
      <c r="S9079" s="188"/>
    </row>
    <row r="9080" spans="19:19" ht="60" customHeight="1" x14ac:dyDescent="0.25">
      <c r="S9080" s="188"/>
    </row>
    <row r="9081" spans="19:19" ht="60" customHeight="1" x14ac:dyDescent="0.25">
      <c r="S9081" s="188"/>
    </row>
    <row r="9082" spans="19:19" ht="60" customHeight="1" x14ac:dyDescent="0.25">
      <c r="S9082" s="188"/>
    </row>
    <row r="9083" spans="19:19" ht="60" customHeight="1" x14ac:dyDescent="0.25">
      <c r="S9083" s="188"/>
    </row>
    <row r="9084" spans="19:19" ht="60" customHeight="1" x14ac:dyDescent="0.25">
      <c r="S9084" s="188"/>
    </row>
    <row r="9085" spans="19:19" ht="60" customHeight="1" x14ac:dyDescent="0.25">
      <c r="S9085" s="188"/>
    </row>
    <row r="9086" spans="19:19" ht="60" customHeight="1" x14ac:dyDescent="0.25">
      <c r="S9086" s="188"/>
    </row>
    <row r="9087" spans="19:19" ht="60" customHeight="1" x14ac:dyDescent="0.25">
      <c r="S9087" s="188"/>
    </row>
    <row r="9088" spans="19:19" ht="60" customHeight="1" x14ac:dyDescent="0.25">
      <c r="S9088" s="188"/>
    </row>
    <row r="9089" spans="19:19" ht="60" customHeight="1" x14ac:dyDescent="0.25">
      <c r="S9089" s="188"/>
    </row>
    <row r="9090" spans="19:19" ht="60" customHeight="1" x14ac:dyDescent="0.25">
      <c r="S9090" s="188"/>
    </row>
    <row r="9091" spans="19:19" ht="60" customHeight="1" x14ac:dyDescent="0.25">
      <c r="S9091" s="188"/>
    </row>
    <row r="9092" spans="19:19" ht="60" customHeight="1" x14ac:dyDescent="0.25">
      <c r="S9092" s="188"/>
    </row>
    <row r="9093" spans="19:19" ht="60" customHeight="1" x14ac:dyDescent="0.25">
      <c r="S9093" s="188"/>
    </row>
    <row r="9094" spans="19:19" ht="60" customHeight="1" x14ac:dyDescent="0.25">
      <c r="S9094" s="188"/>
    </row>
    <row r="9095" spans="19:19" ht="60" customHeight="1" x14ac:dyDescent="0.25">
      <c r="S9095" s="188"/>
    </row>
    <row r="9096" spans="19:19" ht="60" customHeight="1" x14ac:dyDescent="0.25">
      <c r="S9096" s="188"/>
    </row>
    <row r="9097" spans="19:19" ht="60" customHeight="1" x14ac:dyDescent="0.25">
      <c r="S9097" s="188"/>
    </row>
    <row r="9098" spans="19:19" ht="60" customHeight="1" x14ac:dyDescent="0.25">
      <c r="S9098" s="188"/>
    </row>
    <row r="9099" spans="19:19" ht="60" customHeight="1" x14ac:dyDescent="0.25">
      <c r="S9099" s="188"/>
    </row>
    <row r="9100" spans="19:19" ht="60" customHeight="1" x14ac:dyDescent="0.25">
      <c r="S9100" s="188"/>
    </row>
    <row r="9101" spans="19:19" ht="60" customHeight="1" x14ac:dyDescent="0.25">
      <c r="S9101" s="188"/>
    </row>
    <row r="9102" spans="19:19" ht="60" customHeight="1" x14ac:dyDescent="0.25">
      <c r="S9102" s="188"/>
    </row>
    <row r="9103" spans="19:19" ht="60" customHeight="1" x14ac:dyDescent="0.25">
      <c r="S9103" s="188"/>
    </row>
    <row r="9104" spans="19:19" ht="60" customHeight="1" x14ac:dyDescent="0.25">
      <c r="S9104" s="188"/>
    </row>
    <row r="9105" spans="19:19" ht="60" customHeight="1" x14ac:dyDescent="0.25">
      <c r="S9105" s="188"/>
    </row>
    <row r="9106" spans="19:19" ht="60" customHeight="1" x14ac:dyDescent="0.25">
      <c r="S9106" s="188"/>
    </row>
    <row r="9107" spans="19:19" ht="60" customHeight="1" x14ac:dyDescent="0.25">
      <c r="S9107" s="188"/>
    </row>
    <row r="9108" spans="19:19" ht="60" customHeight="1" x14ac:dyDescent="0.25">
      <c r="S9108" s="188"/>
    </row>
    <row r="9109" spans="19:19" ht="60" customHeight="1" x14ac:dyDescent="0.25">
      <c r="S9109" s="188"/>
    </row>
    <row r="9110" spans="19:19" ht="60" customHeight="1" x14ac:dyDescent="0.25">
      <c r="S9110" s="188"/>
    </row>
    <row r="9111" spans="19:19" ht="60" customHeight="1" x14ac:dyDescent="0.25">
      <c r="S9111" s="188"/>
    </row>
    <row r="9112" spans="19:19" ht="60" customHeight="1" x14ac:dyDescent="0.25">
      <c r="S9112" s="188"/>
    </row>
    <row r="9113" spans="19:19" ht="60" customHeight="1" x14ac:dyDescent="0.25">
      <c r="S9113" s="188"/>
    </row>
    <row r="9114" spans="19:19" ht="60" customHeight="1" x14ac:dyDescent="0.25">
      <c r="S9114" s="188"/>
    </row>
    <row r="9115" spans="19:19" ht="60" customHeight="1" x14ac:dyDescent="0.25">
      <c r="S9115" s="188"/>
    </row>
    <row r="9116" spans="19:19" ht="60" customHeight="1" x14ac:dyDescent="0.25">
      <c r="S9116" s="188"/>
    </row>
    <row r="9117" spans="19:19" ht="60" customHeight="1" x14ac:dyDescent="0.25">
      <c r="S9117" s="188"/>
    </row>
    <row r="9118" spans="19:19" ht="60" customHeight="1" x14ac:dyDescent="0.25">
      <c r="S9118" s="188"/>
    </row>
    <row r="9119" spans="19:19" ht="60" customHeight="1" x14ac:dyDescent="0.25">
      <c r="S9119" s="188"/>
    </row>
    <row r="9120" spans="19:19" ht="60" customHeight="1" x14ac:dyDescent="0.25">
      <c r="S9120" s="188"/>
    </row>
    <row r="9121" spans="19:19" ht="60" customHeight="1" x14ac:dyDescent="0.25">
      <c r="S9121" s="188"/>
    </row>
    <row r="9122" spans="19:19" ht="60" customHeight="1" x14ac:dyDescent="0.25">
      <c r="S9122" s="188"/>
    </row>
    <row r="9123" spans="19:19" ht="60" customHeight="1" x14ac:dyDescent="0.25">
      <c r="S9123" s="188"/>
    </row>
    <row r="9124" spans="19:19" ht="60" customHeight="1" x14ac:dyDescent="0.25">
      <c r="S9124" s="188"/>
    </row>
    <row r="9125" spans="19:19" ht="60" customHeight="1" x14ac:dyDescent="0.25">
      <c r="S9125" s="188"/>
    </row>
    <row r="9126" spans="19:19" ht="60" customHeight="1" x14ac:dyDescent="0.25">
      <c r="S9126" s="188"/>
    </row>
    <row r="9127" spans="19:19" ht="60" customHeight="1" x14ac:dyDescent="0.25">
      <c r="S9127" s="188"/>
    </row>
    <row r="9128" spans="19:19" ht="60" customHeight="1" x14ac:dyDescent="0.25">
      <c r="S9128" s="188"/>
    </row>
    <row r="9129" spans="19:19" ht="60" customHeight="1" x14ac:dyDescent="0.25">
      <c r="S9129" s="188"/>
    </row>
    <row r="9130" spans="19:19" ht="60" customHeight="1" x14ac:dyDescent="0.25">
      <c r="S9130" s="188"/>
    </row>
    <row r="9131" spans="19:19" ht="60" customHeight="1" x14ac:dyDescent="0.25">
      <c r="S9131" s="188"/>
    </row>
    <row r="9132" spans="19:19" ht="60" customHeight="1" x14ac:dyDescent="0.25">
      <c r="S9132" s="188"/>
    </row>
    <row r="9133" spans="19:19" ht="60" customHeight="1" x14ac:dyDescent="0.25">
      <c r="S9133" s="188"/>
    </row>
    <row r="9134" spans="19:19" ht="60" customHeight="1" x14ac:dyDescent="0.25">
      <c r="S9134" s="188"/>
    </row>
    <row r="9135" spans="19:19" ht="60" customHeight="1" x14ac:dyDescent="0.25">
      <c r="S9135" s="188"/>
    </row>
    <row r="9136" spans="19:19" ht="60" customHeight="1" x14ac:dyDescent="0.25">
      <c r="S9136" s="188"/>
    </row>
    <row r="9137" spans="19:19" ht="60" customHeight="1" x14ac:dyDescent="0.25">
      <c r="S9137" s="188"/>
    </row>
    <row r="9138" spans="19:19" ht="60" customHeight="1" x14ac:dyDescent="0.25">
      <c r="S9138" s="188"/>
    </row>
    <row r="9139" spans="19:19" ht="60" customHeight="1" x14ac:dyDescent="0.25">
      <c r="S9139" s="188"/>
    </row>
    <row r="9140" spans="19:19" ht="60" customHeight="1" x14ac:dyDescent="0.25">
      <c r="S9140" s="188"/>
    </row>
    <row r="9141" spans="19:19" ht="60" customHeight="1" x14ac:dyDescent="0.25">
      <c r="S9141" s="188"/>
    </row>
    <row r="9142" spans="19:19" ht="60" customHeight="1" x14ac:dyDescent="0.25">
      <c r="S9142" s="188"/>
    </row>
    <row r="9143" spans="19:19" ht="60" customHeight="1" x14ac:dyDescent="0.25">
      <c r="S9143" s="188"/>
    </row>
    <row r="9144" spans="19:19" ht="60" customHeight="1" x14ac:dyDescent="0.25">
      <c r="S9144" s="188"/>
    </row>
    <row r="9145" spans="19:19" ht="60" customHeight="1" x14ac:dyDescent="0.25">
      <c r="S9145" s="188"/>
    </row>
    <row r="9146" spans="19:19" ht="60" customHeight="1" x14ac:dyDescent="0.25">
      <c r="S9146" s="188"/>
    </row>
    <row r="9147" spans="19:19" ht="60" customHeight="1" x14ac:dyDescent="0.25">
      <c r="S9147" s="188"/>
    </row>
    <row r="9148" spans="19:19" ht="60" customHeight="1" x14ac:dyDescent="0.25">
      <c r="S9148" s="188"/>
    </row>
    <row r="9149" spans="19:19" ht="60" customHeight="1" x14ac:dyDescent="0.25">
      <c r="S9149" s="188"/>
    </row>
    <row r="9150" spans="19:19" ht="60" customHeight="1" x14ac:dyDescent="0.25">
      <c r="S9150" s="188"/>
    </row>
    <row r="9151" spans="19:19" ht="60" customHeight="1" x14ac:dyDescent="0.25">
      <c r="S9151" s="188"/>
    </row>
    <row r="9152" spans="19:19" ht="60" customHeight="1" x14ac:dyDescent="0.25">
      <c r="S9152" s="188"/>
    </row>
    <row r="9153" spans="19:19" ht="60" customHeight="1" x14ac:dyDescent="0.25">
      <c r="S9153" s="188"/>
    </row>
    <row r="9154" spans="19:19" ht="60" customHeight="1" x14ac:dyDescent="0.25">
      <c r="S9154" s="188"/>
    </row>
    <row r="9155" spans="19:19" ht="60" customHeight="1" x14ac:dyDescent="0.25">
      <c r="S9155" s="188"/>
    </row>
    <row r="9156" spans="19:19" ht="60" customHeight="1" x14ac:dyDescent="0.25">
      <c r="S9156" s="188"/>
    </row>
    <row r="9157" spans="19:19" ht="60" customHeight="1" x14ac:dyDescent="0.25">
      <c r="S9157" s="188"/>
    </row>
    <row r="9158" spans="19:19" ht="60" customHeight="1" x14ac:dyDescent="0.25">
      <c r="S9158" s="188"/>
    </row>
    <row r="9159" spans="19:19" ht="60" customHeight="1" x14ac:dyDescent="0.25">
      <c r="S9159" s="188"/>
    </row>
    <row r="9160" spans="19:19" ht="60" customHeight="1" x14ac:dyDescent="0.25">
      <c r="S9160" s="188"/>
    </row>
    <row r="9161" spans="19:19" ht="60" customHeight="1" x14ac:dyDescent="0.25">
      <c r="S9161" s="188"/>
    </row>
    <row r="9162" spans="19:19" ht="60" customHeight="1" x14ac:dyDescent="0.25">
      <c r="S9162" s="188"/>
    </row>
    <row r="9163" spans="19:19" ht="60" customHeight="1" x14ac:dyDescent="0.25">
      <c r="S9163" s="188"/>
    </row>
    <row r="9164" spans="19:19" ht="60" customHeight="1" x14ac:dyDescent="0.25">
      <c r="S9164" s="188"/>
    </row>
    <row r="9165" spans="19:19" ht="60" customHeight="1" x14ac:dyDescent="0.25">
      <c r="S9165" s="188"/>
    </row>
    <row r="9166" spans="19:19" ht="60" customHeight="1" x14ac:dyDescent="0.25">
      <c r="S9166" s="188"/>
    </row>
    <row r="9167" spans="19:19" ht="60" customHeight="1" x14ac:dyDescent="0.25">
      <c r="S9167" s="188"/>
    </row>
    <row r="9168" spans="19:19" ht="60" customHeight="1" x14ac:dyDescent="0.25">
      <c r="S9168" s="188"/>
    </row>
    <row r="9169" spans="19:19" ht="60" customHeight="1" x14ac:dyDescent="0.25">
      <c r="S9169" s="188"/>
    </row>
    <row r="9170" spans="19:19" ht="60" customHeight="1" x14ac:dyDescent="0.25">
      <c r="S9170" s="188"/>
    </row>
    <row r="9171" spans="19:19" ht="60" customHeight="1" x14ac:dyDescent="0.25">
      <c r="S9171" s="188"/>
    </row>
    <row r="9172" spans="19:19" ht="60" customHeight="1" x14ac:dyDescent="0.25">
      <c r="S9172" s="188"/>
    </row>
    <row r="9173" spans="19:19" ht="60" customHeight="1" x14ac:dyDescent="0.25">
      <c r="S9173" s="188"/>
    </row>
    <row r="9174" spans="19:19" ht="60" customHeight="1" x14ac:dyDescent="0.25">
      <c r="S9174" s="188"/>
    </row>
    <row r="9175" spans="19:19" ht="60" customHeight="1" x14ac:dyDescent="0.25">
      <c r="S9175" s="188"/>
    </row>
    <row r="9176" spans="19:19" ht="60" customHeight="1" x14ac:dyDescent="0.25">
      <c r="S9176" s="188"/>
    </row>
    <row r="9177" spans="19:19" ht="60" customHeight="1" x14ac:dyDescent="0.25">
      <c r="S9177" s="188"/>
    </row>
    <row r="9178" spans="19:19" ht="60" customHeight="1" x14ac:dyDescent="0.25">
      <c r="S9178" s="188"/>
    </row>
    <row r="9179" spans="19:19" ht="60" customHeight="1" x14ac:dyDescent="0.25">
      <c r="S9179" s="188"/>
    </row>
    <row r="9180" spans="19:19" ht="60" customHeight="1" x14ac:dyDescent="0.25">
      <c r="S9180" s="188"/>
    </row>
    <row r="9181" spans="19:19" ht="60" customHeight="1" x14ac:dyDescent="0.25">
      <c r="S9181" s="188"/>
    </row>
    <row r="9182" spans="19:19" ht="60" customHeight="1" x14ac:dyDescent="0.25">
      <c r="S9182" s="188"/>
    </row>
    <row r="9183" spans="19:19" ht="60" customHeight="1" x14ac:dyDescent="0.25">
      <c r="S9183" s="188"/>
    </row>
    <row r="9184" spans="19:19" ht="60" customHeight="1" x14ac:dyDescent="0.25">
      <c r="S9184" s="188"/>
    </row>
    <row r="9185" spans="19:19" ht="60" customHeight="1" x14ac:dyDescent="0.25">
      <c r="S9185" s="188"/>
    </row>
    <row r="9186" spans="19:19" ht="60" customHeight="1" x14ac:dyDescent="0.25">
      <c r="S9186" s="188"/>
    </row>
    <row r="9187" spans="19:19" ht="60" customHeight="1" x14ac:dyDescent="0.25">
      <c r="S9187" s="188"/>
    </row>
    <row r="9188" spans="19:19" ht="60" customHeight="1" x14ac:dyDescent="0.25">
      <c r="S9188" s="188"/>
    </row>
    <row r="9189" spans="19:19" ht="60" customHeight="1" x14ac:dyDescent="0.25">
      <c r="S9189" s="188"/>
    </row>
    <row r="9190" spans="19:19" ht="60" customHeight="1" x14ac:dyDescent="0.25">
      <c r="S9190" s="188"/>
    </row>
    <row r="9191" spans="19:19" ht="60" customHeight="1" x14ac:dyDescent="0.25">
      <c r="S9191" s="188"/>
    </row>
    <row r="9192" spans="19:19" ht="60" customHeight="1" x14ac:dyDescent="0.25">
      <c r="S9192" s="188"/>
    </row>
    <row r="9193" spans="19:19" ht="60" customHeight="1" x14ac:dyDescent="0.25">
      <c r="S9193" s="188"/>
    </row>
    <row r="9194" spans="19:19" ht="60" customHeight="1" x14ac:dyDescent="0.25">
      <c r="S9194" s="188"/>
    </row>
    <row r="9195" spans="19:19" ht="60" customHeight="1" x14ac:dyDescent="0.25">
      <c r="S9195" s="188"/>
    </row>
    <row r="9196" spans="19:19" ht="60" customHeight="1" x14ac:dyDescent="0.25">
      <c r="S9196" s="188"/>
    </row>
    <row r="9197" spans="19:19" ht="60" customHeight="1" x14ac:dyDescent="0.25">
      <c r="S9197" s="188"/>
    </row>
    <row r="9198" spans="19:19" ht="60" customHeight="1" x14ac:dyDescent="0.25">
      <c r="S9198" s="188"/>
    </row>
    <row r="9199" spans="19:19" ht="60" customHeight="1" x14ac:dyDescent="0.25">
      <c r="S9199" s="188"/>
    </row>
    <row r="9200" spans="19:19" ht="60" customHeight="1" x14ac:dyDescent="0.25">
      <c r="S9200" s="188"/>
    </row>
    <row r="9201" spans="19:19" ht="60" customHeight="1" x14ac:dyDescent="0.25">
      <c r="S9201" s="188"/>
    </row>
    <row r="9202" spans="19:19" ht="60" customHeight="1" x14ac:dyDescent="0.25">
      <c r="S9202" s="188"/>
    </row>
    <row r="9203" spans="19:19" ht="60" customHeight="1" x14ac:dyDescent="0.25">
      <c r="S9203" s="188"/>
    </row>
    <row r="9204" spans="19:19" ht="60" customHeight="1" x14ac:dyDescent="0.25">
      <c r="S9204" s="188"/>
    </row>
    <row r="9205" spans="19:19" ht="60" customHeight="1" x14ac:dyDescent="0.25">
      <c r="S9205" s="188"/>
    </row>
    <row r="9206" spans="19:19" ht="60" customHeight="1" x14ac:dyDescent="0.25">
      <c r="S9206" s="188"/>
    </row>
    <row r="9207" spans="19:19" ht="60" customHeight="1" x14ac:dyDescent="0.25">
      <c r="S9207" s="188"/>
    </row>
    <row r="9208" spans="19:19" ht="60" customHeight="1" x14ac:dyDescent="0.25">
      <c r="S9208" s="188"/>
    </row>
    <row r="9209" spans="19:19" ht="60" customHeight="1" x14ac:dyDescent="0.25">
      <c r="S9209" s="188"/>
    </row>
    <row r="9210" spans="19:19" ht="60" customHeight="1" x14ac:dyDescent="0.25">
      <c r="S9210" s="188"/>
    </row>
    <row r="9211" spans="19:19" ht="60" customHeight="1" x14ac:dyDescent="0.25">
      <c r="S9211" s="188"/>
    </row>
    <row r="9212" spans="19:19" ht="60" customHeight="1" x14ac:dyDescent="0.25">
      <c r="S9212" s="188"/>
    </row>
    <row r="9213" spans="19:19" ht="60" customHeight="1" x14ac:dyDescent="0.25">
      <c r="S9213" s="188"/>
    </row>
    <row r="9214" spans="19:19" ht="60" customHeight="1" x14ac:dyDescent="0.25">
      <c r="S9214" s="188"/>
    </row>
    <row r="9215" spans="19:19" ht="60" customHeight="1" x14ac:dyDescent="0.25">
      <c r="S9215" s="188"/>
    </row>
    <row r="9216" spans="19:19" ht="60" customHeight="1" x14ac:dyDescent="0.25">
      <c r="S9216" s="188"/>
    </row>
    <row r="9217" spans="19:19" ht="60" customHeight="1" x14ac:dyDescent="0.25">
      <c r="S9217" s="188"/>
    </row>
    <row r="9218" spans="19:19" ht="60" customHeight="1" x14ac:dyDescent="0.25">
      <c r="S9218" s="188"/>
    </row>
    <row r="9219" spans="19:19" ht="60" customHeight="1" x14ac:dyDescent="0.25">
      <c r="S9219" s="188"/>
    </row>
    <row r="9220" spans="19:19" ht="60" customHeight="1" x14ac:dyDescent="0.25">
      <c r="S9220" s="188"/>
    </row>
    <row r="9221" spans="19:19" ht="60" customHeight="1" x14ac:dyDescent="0.25">
      <c r="S9221" s="188"/>
    </row>
    <row r="9222" spans="19:19" ht="60" customHeight="1" x14ac:dyDescent="0.25">
      <c r="S9222" s="188"/>
    </row>
    <row r="9223" spans="19:19" ht="60" customHeight="1" x14ac:dyDescent="0.25">
      <c r="S9223" s="188"/>
    </row>
    <row r="9224" spans="19:19" ht="60" customHeight="1" x14ac:dyDescent="0.25">
      <c r="S9224" s="188"/>
    </row>
    <row r="9225" spans="19:19" ht="60" customHeight="1" x14ac:dyDescent="0.25">
      <c r="S9225" s="188"/>
    </row>
    <row r="9226" spans="19:19" ht="60" customHeight="1" x14ac:dyDescent="0.25">
      <c r="S9226" s="188"/>
    </row>
    <row r="9227" spans="19:19" ht="60" customHeight="1" x14ac:dyDescent="0.25">
      <c r="S9227" s="188"/>
    </row>
    <row r="9228" spans="19:19" ht="60" customHeight="1" x14ac:dyDescent="0.25">
      <c r="S9228" s="188"/>
    </row>
    <row r="9229" spans="19:19" ht="60" customHeight="1" x14ac:dyDescent="0.25">
      <c r="S9229" s="188"/>
    </row>
    <row r="9230" spans="19:19" ht="60" customHeight="1" x14ac:dyDescent="0.25">
      <c r="S9230" s="188"/>
    </row>
    <row r="9231" spans="19:19" ht="60" customHeight="1" x14ac:dyDescent="0.25">
      <c r="S9231" s="188"/>
    </row>
    <row r="9232" spans="19:19" ht="60" customHeight="1" x14ac:dyDescent="0.25">
      <c r="S9232" s="188"/>
    </row>
    <row r="9233" spans="19:19" ht="60" customHeight="1" x14ac:dyDescent="0.25">
      <c r="S9233" s="188"/>
    </row>
    <row r="9234" spans="19:19" ht="60" customHeight="1" x14ac:dyDescent="0.25">
      <c r="S9234" s="188"/>
    </row>
    <row r="9235" spans="19:19" ht="60" customHeight="1" x14ac:dyDescent="0.25">
      <c r="S9235" s="188"/>
    </row>
    <row r="9236" spans="19:19" ht="60" customHeight="1" x14ac:dyDescent="0.25">
      <c r="S9236" s="188"/>
    </row>
    <row r="9237" spans="19:19" ht="60" customHeight="1" x14ac:dyDescent="0.25">
      <c r="S9237" s="188"/>
    </row>
    <row r="9238" spans="19:19" ht="60" customHeight="1" x14ac:dyDescent="0.25">
      <c r="S9238" s="188"/>
    </row>
    <row r="9239" spans="19:19" ht="60" customHeight="1" x14ac:dyDescent="0.25">
      <c r="S9239" s="188"/>
    </row>
    <row r="9240" spans="19:19" ht="60" customHeight="1" x14ac:dyDescent="0.25">
      <c r="S9240" s="188"/>
    </row>
    <row r="9241" spans="19:19" ht="60" customHeight="1" x14ac:dyDescent="0.25">
      <c r="S9241" s="188"/>
    </row>
    <row r="9242" spans="19:19" ht="60" customHeight="1" x14ac:dyDescent="0.25">
      <c r="S9242" s="188"/>
    </row>
    <row r="9243" spans="19:19" ht="60" customHeight="1" x14ac:dyDescent="0.25">
      <c r="S9243" s="188"/>
    </row>
    <row r="9244" spans="19:19" ht="60" customHeight="1" x14ac:dyDescent="0.25">
      <c r="S9244" s="188"/>
    </row>
    <row r="9245" spans="19:19" ht="60" customHeight="1" x14ac:dyDescent="0.25">
      <c r="S9245" s="188"/>
    </row>
    <row r="9246" spans="19:19" ht="60" customHeight="1" x14ac:dyDescent="0.25">
      <c r="S9246" s="188"/>
    </row>
    <row r="9247" spans="19:19" ht="60" customHeight="1" x14ac:dyDescent="0.25">
      <c r="S9247" s="188"/>
    </row>
    <row r="9248" spans="19:19" ht="60" customHeight="1" x14ac:dyDescent="0.25">
      <c r="S9248" s="188"/>
    </row>
    <row r="9249" spans="19:19" ht="60" customHeight="1" x14ac:dyDescent="0.25">
      <c r="S9249" s="188"/>
    </row>
    <row r="9250" spans="19:19" ht="60" customHeight="1" x14ac:dyDescent="0.25">
      <c r="S9250" s="188"/>
    </row>
    <row r="9251" spans="19:19" ht="60" customHeight="1" x14ac:dyDescent="0.25">
      <c r="S9251" s="188"/>
    </row>
    <row r="9252" spans="19:19" ht="60" customHeight="1" x14ac:dyDescent="0.25">
      <c r="S9252" s="188"/>
    </row>
    <row r="9253" spans="19:19" ht="60" customHeight="1" x14ac:dyDescent="0.25">
      <c r="S9253" s="188"/>
    </row>
    <row r="9254" spans="19:19" ht="60" customHeight="1" x14ac:dyDescent="0.25">
      <c r="S9254" s="188"/>
    </row>
    <row r="9255" spans="19:19" ht="60" customHeight="1" x14ac:dyDescent="0.25">
      <c r="S9255" s="188"/>
    </row>
    <row r="9256" spans="19:19" ht="60" customHeight="1" x14ac:dyDescent="0.25">
      <c r="S9256" s="188"/>
    </row>
    <row r="9257" spans="19:19" ht="60" customHeight="1" x14ac:dyDescent="0.25">
      <c r="S9257" s="188"/>
    </row>
    <row r="9258" spans="19:19" ht="60" customHeight="1" x14ac:dyDescent="0.25">
      <c r="S9258" s="188"/>
    </row>
    <row r="9259" spans="19:19" ht="60" customHeight="1" x14ac:dyDescent="0.25">
      <c r="S9259" s="188"/>
    </row>
    <row r="9260" spans="19:19" ht="60" customHeight="1" x14ac:dyDescent="0.25">
      <c r="S9260" s="188"/>
    </row>
    <row r="9261" spans="19:19" ht="60" customHeight="1" x14ac:dyDescent="0.25">
      <c r="S9261" s="188"/>
    </row>
    <row r="9262" spans="19:19" ht="60" customHeight="1" x14ac:dyDescent="0.25">
      <c r="S9262" s="188"/>
    </row>
    <row r="9263" spans="19:19" ht="60" customHeight="1" x14ac:dyDescent="0.25">
      <c r="S9263" s="188"/>
    </row>
    <row r="9264" spans="19:19" ht="60" customHeight="1" x14ac:dyDescent="0.25">
      <c r="S9264" s="188"/>
    </row>
    <row r="9265" spans="19:19" ht="60" customHeight="1" x14ac:dyDescent="0.25">
      <c r="S9265" s="188"/>
    </row>
    <row r="9266" spans="19:19" ht="60" customHeight="1" x14ac:dyDescent="0.25">
      <c r="S9266" s="188"/>
    </row>
    <row r="9267" spans="19:19" ht="60" customHeight="1" x14ac:dyDescent="0.25">
      <c r="S9267" s="188"/>
    </row>
    <row r="9268" spans="19:19" ht="60" customHeight="1" x14ac:dyDescent="0.25">
      <c r="S9268" s="188"/>
    </row>
    <row r="9269" spans="19:19" ht="60" customHeight="1" x14ac:dyDescent="0.25">
      <c r="S9269" s="188"/>
    </row>
    <row r="9270" spans="19:19" ht="60" customHeight="1" x14ac:dyDescent="0.25">
      <c r="S9270" s="188"/>
    </row>
    <row r="9271" spans="19:19" ht="60" customHeight="1" x14ac:dyDescent="0.25">
      <c r="S9271" s="188"/>
    </row>
    <row r="9272" spans="19:19" ht="60" customHeight="1" x14ac:dyDescent="0.25">
      <c r="S9272" s="188"/>
    </row>
    <row r="9273" spans="19:19" ht="60" customHeight="1" x14ac:dyDescent="0.25">
      <c r="S9273" s="188"/>
    </row>
    <row r="9274" spans="19:19" ht="60" customHeight="1" x14ac:dyDescent="0.25">
      <c r="S9274" s="188"/>
    </row>
    <row r="9275" spans="19:19" ht="60" customHeight="1" x14ac:dyDescent="0.25">
      <c r="S9275" s="188"/>
    </row>
    <row r="9276" spans="19:19" ht="60" customHeight="1" x14ac:dyDescent="0.25">
      <c r="S9276" s="188"/>
    </row>
    <row r="9277" spans="19:19" ht="60" customHeight="1" x14ac:dyDescent="0.25">
      <c r="S9277" s="188"/>
    </row>
    <row r="9278" spans="19:19" ht="60" customHeight="1" x14ac:dyDescent="0.25">
      <c r="S9278" s="188"/>
    </row>
    <row r="9279" spans="19:19" ht="60" customHeight="1" x14ac:dyDescent="0.25">
      <c r="S9279" s="188"/>
    </row>
    <row r="9280" spans="19:19" ht="60" customHeight="1" x14ac:dyDescent="0.25">
      <c r="S9280" s="188"/>
    </row>
    <row r="9281" spans="19:19" ht="60" customHeight="1" x14ac:dyDescent="0.25">
      <c r="S9281" s="188"/>
    </row>
    <row r="9282" spans="19:19" ht="60" customHeight="1" x14ac:dyDescent="0.25">
      <c r="S9282" s="188"/>
    </row>
    <row r="9283" spans="19:19" ht="60" customHeight="1" x14ac:dyDescent="0.25">
      <c r="S9283" s="188"/>
    </row>
    <row r="9284" spans="19:19" ht="60" customHeight="1" x14ac:dyDescent="0.25">
      <c r="S9284" s="188"/>
    </row>
    <row r="9285" spans="19:19" ht="60" customHeight="1" x14ac:dyDescent="0.25">
      <c r="S9285" s="188"/>
    </row>
    <row r="9286" spans="19:19" ht="60" customHeight="1" x14ac:dyDescent="0.25">
      <c r="S9286" s="188"/>
    </row>
    <row r="9287" spans="19:19" ht="60" customHeight="1" x14ac:dyDescent="0.25">
      <c r="S9287" s="188"/>
    </row>
    <row r="9288" spans="19:19" ht="60" customHeight="1" x14ac:dyDescent="0.25">
      <c r="S9288" s="188"/>
    </row>
    <row r="9289" spans="19:19" ht="60" customHeight="1" x14ac:dyDescent="0.25">
      <c r="S9289" s="188"/>
    </row>
    <row r="9290" spans="19:19" ht="60" customHeight="1" x14ac:dyDescent="0.25">
      <c r="S9290" s="188"/>
    </row>
    <row r="9291" spans="19:19" ht="60" customHeight="1" x14ac:dyDescent="0.25">
      <c r="S9291" s="188"/>
    </row>
    <row r="9292" spans="19:19" ht="60" customHeight="1" x14ac:dyDescent="0.25">
      <c r="S9292" s="188"/>
    </row>
    <row r="9293" spans="19:19" ht="60" customHeight="1" x14ac:dyDescent="0.25">
      <c r="S9293" s="188"/>
    </row>
    <row r="9294" spans="19:19" ht="60" customHeight="1" x14ac:dyDescent="0.25">
      <c r="S9294" s="188"/>
    </row>
    <row r="9295" spans="19:19" ht="60" customHeight="1" x14ac:dyDescent="0.25">
      <c r="S9295" s="188"/>
    </row>
    <row r="9296" spans="19:19" ht="60" customHeight="1" x14ac:dyDescent="0.25">
      <c r="S9296" s="188"/>
    </row>
    <row r="9297" spans="19:19" ht="60" customHeight="1" x14ac:dyDescent="0.25">
      <c r="S9297" s="188"/>
    </row>
    <row r="9298" spans="19:19" ht="60" customHeight="1" x14ac:dyDescent="0.25">
      <c r="S9298" s="188"/>
    </row>
    <row r="9299" spans="19:19" ht="60" customHeight="1" x14ac:dyDescent="0.25">
      <c r="S9299" s="188"/>
    </row>
    <row r="9300" spans="19:19" ht="60" customHeight="1" x14ac:dyDescent="0.25">
      <c r="S9300" s="188"/>
    </row>
    <row r="9301" spans="19:19" ht="60" customHeight="1" x14ac:dyDescent="0.25">
      <c r="S9301" s="188"/>
    </row>
    <row r="9302" spans="19:19" ht="60" customHeight="1" x14ac:dyDescent="0.25">
      <c r="S9302" s="188"/>
    </row>
    <row r="9303" spans="19:19" ht="60" customHeight="1" x14ac:dyDescent="0.25">
      <c r="S9303" s="188"/>
    </row>
    <row r="9304" spans="19:19" ht="60" customHeight="1" x14ac:dyDescent="0.25">
      <c r="S9304" s="188"/>
    </row>
    <row r="9305" spans="19:19" ht="60" customHeight="1" x14ac:dyDescent="0.25">
      <c r="S9305" s="188"/>
    </row>
    <row r="9306" spans="19:19" ht="60" customHeight="1" x14ac:dyDescent="0.25">
      <c r="S9306" s="188"/>
    </row>
    <row r="9307" spans="19:19" ht="60" customHeight="1" x14ac:dyDescent="0.25">
      <c r="S9307" s="188"/>
    </row>
    <row r="9308" spans="19:19" ht="60" customHeight="1" x14ac:dyDescent="0.25">
      <c r="S9308" s="188"/>
    </row>
    <row r="9309" spans="19:19" ht="60" customHeight="1" x14ac:dyDescent="0.25">
      <c r="S9309" s="188"/>
    </row>
    <row r="9310" spans="19:19" ht="60" customHeight="1" x14ac:dyDescent="0.25">
      <c r="S9310" s="188"/>
    </row>
    <row r="9311" spans="19:19" ht="60" customHeight="1" x14ac:dyDescent="0.25">
      <c r="S9311" s="188"/>
    </row>
    <row r="9312" spans="19:19" ht="60" customHeight="1" x14ac:dyDescent="0.25">
      <c r="S9312" s="188"/>
    </row>
    <row r="9313" spans="19:19" ht="60" customHeight="1" x14ac:dyDescent="0.25">
      <c r="S9313" s="188"/>
    </row>
    <row r="9314" spans="19:19" ht="60" customHeight="1" x14ac:dyDescent="0.25">
      <c r="S9314" s="188"/>
    </row>
    <row r="9315" spans="19:19" ht="60" customHeight="1" x14ac:dyDescent="0.25">
      <c r="S9315" s="188"/>
    </row>
    <row r="9316" spans="19:19" ht="60" customHeight="1" x14ac:dyDescent="0.25">
      <c r="S9316" s="188"/>
    </row>
    <row r="9317" spans="19:19" ht="60" customHeight="1" x14ac:dyDescent="0.25">
      <c r="S9317" s="188"/>
    </row>
    <row r="9318" spans="19:19" ht="60" customHeight="1" x14ac:dyDescent="0.25">
      <c r="S9318" s="188"/>
    </row>
    <row r="9319" spans="19:19" ht="60" customHeight="1" x14ac:dyDescent="0.25">
      <c r="S9319" s="188"/>
    </row>
    <row r="9320" spans="19:19" ht="60" customHeight="1" x14ac:dyDescent="0.25">
      <c r="S9320" s="188"/>
    </row>
    <row r="9321" spans="19:19" ht="60" customHeight="1" x14ac:dyDescent="0.25">
      <c r="S9321" s="188"/>
    </row>
    <row r="9322" spans="19:19" ht="60" customHeight="1" x14ac:dyDescent="0.25">
      <c r="S9322" s="188"/>
    </row>
    <row r="9323" spans="19:19" ht="60" customHeight="1" x14ac:dyDescent="0.25">
      <c r="S9323" s="188"/>
    </row>
    <row r="9324" spans="19:19" ht="60" customHeight="1" x14ac:dyDescent="0.25">
      <c r="S9324" s="188"/>
    </row>
    <row r="9325" spans="19:19" ht="60" customHeight="1" x14ac:dyDescent="0.25">
      <c r="S9325" s="188"/>
    </row>
    <row r="9326" spans="19:19" ht="60" customHeight="1" x14ac:dyDescent="0.25">
      <c r="S9326" s="188"/>
    </row>
    <row r="9327" spans="19:19" ht="60" customHeight="1" x14ac:dyDescent="0.25">
      <c r="S9327" s="188"/>
    </row>
    <row r="9328" spans="19:19" ht="60" customHeight="1" x14ac:dyDescent="0.25">
      <c r="S9328" s="188"/>
    </row>
    <row r="9329" spans="19:19" ht="60" customHeight="1" x14ac:dyDescent="0.25">
      <c r="S9329" s="188"/>
    </row>
    <row r="9330" spans="19:19" ht="60" customHeight="1" x14ac:dyDescent="0.25">
      <c r="S9330" s="188"/>
    </row>
    <row r="9331" spans="19:19" ht="60" customHeight="1" x14ac:dyDescent="0.25">
      <c r="S9331" s="188"/>
    </row>
    <row r="9332" spans="19:19" ht="60" customHeight="1" x14ac:dyDescent="0.25">
      <c r="S9332" s="188"/>
    </row>
    <row r="9333" spans="19:19" ht="60" customHeight="1" x14ac:dyDescent="0.25">
      <c r="S9333" s="188"/>
    </row>
    <row r="9334" spans="19:19" ht="60" customHeight="1" x14ac:dyDescent="0.25">
      <c r="S9334" s="188"/>
    </row>
    <row r="9335" spans="19:19" ht="60" customHeight="1" x14ac:dyDescent="0.25">
      <c r="S9335" s="188"/>
    </row>
    <row r="9336" spans="19:19" ht="60" customHeight="1" x14ac:dyDescent="0.25">
      <c r="S9336" s="188"/>
    </row>
    <row r="9337" spans="19:19" ht="60" customHeight="1" x14ac:dyDescent="0.25">
      <c r="S9337" s="188"/>
    </row>
    <row r="9338" spans="19:19" ht="60" customHeight="1" x14ac:dyDescent="0.25">
      <c r="S9338" s="188"/>
    </row>
    <row r="9339" spans="19:19" ht="60" customHeight="1" x14ac:dyDescent="0.25">
      <c r="S9339" s="188"/>
    </row>
    <row r="9340" spans="19:19" ht="60" customHeight="1" x14ac:dyDescent="0.25">
      <c r="S9340" s="188"/>
    </row>
    <row r="9341" spans="19:19" ht="60" customHeight="1" x14ac:dyDescent="0.25">
      <c r="S9341" s="188"/>
    </row>
    <row r="9342" spans="19:19" ht="60" customHeight="1" x14ac:dyDescent="0.25">
      <c r="S9342" s="188"/>
    </row>
    <row r="9343" spans="19:19" ht="60" customHeight="1" x14ac:dyDescent="0.25">
      <c r="S9343" s="188"/>
    </row>
    <row r="9344" spans="19:19" ht="60" customHeight="1" x14ac:dyDescent="0.25">
      <c r="S9344" s="188"/>
    </row>
    <row r="9345" spans="19:19" ht="60" customHeight="1" x14ac:dyDescent="0.25">
      <c r="S9345" s="188"/>
    </row>
    <row r="9346" spans="19:19" ht="60" customHeight="1" x14ac:dyDescent="0.25">
      <c r="S9346" s="188"/>
    </row>
    <row r="9347" spans="19:19" ht="60" customHeight="1" x14ac:dyDescent="0.25">
      <c r="S9347" s="188"/>
    </row>
    <row r="9348" spans="19:19" ht="60" customHeight="1" x14ac:dyDescent="0.25">
      <c r="S9348" s="188"/>
    </row>
    <row r="9349" spans="19:19" ht="60" customHeight="1" x14ac:dyDescent="0.25">
      <c r="S9349" s="188"/>
    </row>
    <row r="9350" spans="19:19" ht="60" customHeight="1" x14ac:dyDescent="0.25">
      <c r="S9350" s="188"/>
    </row>
    <row r="9351" spans="19:19" ht="60" customHeight="1" x14ac:dyDescent="0.25">
      <c r="S9351" s="188"/>
    </row>
    <row r="9352" spans="19:19" ht="60" customHeight="1" x14ac:dyDescent="0.25">
      <c r="S9352" s="188"/>
    </row>
    <row r="9353" spans="19:19" ht="60" customHeight="1" x14ac:dyDescent="0.25">
      <c r="S9353" s="188"/>
    </row>
    <row r="9354" spans="19:19" ht="60" customHeight="1" x14ac:dyDescent="0.25">
      <c r="S9354" s="188"/>
    </row>
    <row r="9355" spans="19:19" ht="60" customHeight="1" x14ac:dyDescent="0.25">
      <c r="S9355" s="188"/>
    </row>
    <row r="9356" spans="19:19" ht="60" customHeight="1" x14ac:dyDescent="0.25">
      <c r="S9356" s="188"/>
    </row>
    <row r="9357" spans="19:19" ht="60" customHeight="1" x14ac:dyDescent="0.25">
      <c r="S9357" s="188"/>
    </row>
    <row r="9358" spans="19:19" ht="60" customHeight="1" x14ac:dyDescent="0.25">
      <c r="S9358" s="188"/>
    </row>
    <row r="9359" spans="19:19" ht="60" customHeight="1" x14ac:dyDescent="0.25">
      <c r="S9359" s="188"/>
    </row>
    <row r="9360" spans="19:19" ht="60" customHeight="1" x14ac:dyDescent="0.25">
      <c r="S9360" s="188"/>
    </row>
    <row r="9361" spans="19:19" ht="60" customHeight="1" x14ac:dyDescent="0.25">
      <c r="S9361" s="188"/>
    </row>
    <row r="9362" spans="19:19" ht="60" customHeight="1" x14ac:dyDescent="0.25">
      <c r="S9362" s="188"/>
    </row>
    <row r="9363" spans="19:19" ht="60" customHeight="1" x14ac:dyDescent="0.25">
      <c r="S9363" s="188"/>
    </row>
    <row r="9364" spans="19:19" ht="60" customHeight="1" x14ac:dyDescent="0.25">
      <c r="S9364" s="188"/>
    </row>
    <row r="9365" spans="19:19" ht="60" customHeight="1" x14ac:dyDescent="0.25">
      <c r="S9365" s="188"/>
    </row>
    <row r="9366" spans="19:19" ht="60" customHeight="1" x14ac:dyDescent="0.25">
      <c r="S9366" s="188"/>
    </row>
    <row r="9367" spans="19:19" ht="60" customHeight="1" x14ac:dyDescent="0.25">
      <c r="S9367" s="188"/>
    </row>
    <row r="9368" spans="19:19" ht="60" customHeight="1" x14ac:dyDescent="0.25">
      <c r="S9368" s="188"/>
    </row>
    <row r="9369" spans="19:19" ht="60" customHeight="1" x14ac:dyDescent="0.25">
      <c r="S9369" s="188"/>
    </row>
    <row r="9370" spans="19:19" ht="60" customHeight="1" x14ac:dyDescent="0.25">
      <c r="S9370" s="188"/>
    </row>
    <row r="9371" spans="19:19" ht="60" customHeight="1" x14ac:dyDescent="0.25">
      <c r="S9371" s="188"/>
    </row>
    <row r="9372" spans="19:19" ht="60" customHeight="1" x14ac:dyDescent="0.25">
      <c r="S9372" s="188"/>
    </row>
    <row r="9373" spans="19:19" ht="60" customHeight="1" x14ac:dyDescent="0.25">
      <c r="S9373" s="188"/>
    </row>
    <row r="9374" spans="19:19" ht="60" customHeight="1" x14ac:dyDescent="0.25">
      <c r="S9374" s="188"/>
    </row>
    <row r="9375" spans="19:19" ht="60" customHeight="1" x14ac:dyDescent="0.25">
      <c r="S9375" s="188"/>
    </row>
    <row r="9376" spans="19:19" ht="60" customHeight="1" x14ac:dyDescent="0.25">
      <c r="S9376" s="188"/>
    </row>
    <row r="9377" spans="19:19" ht="60" customHeight="1" x14ac:dyDescent="0.25">
      <c r="S9377" s="188"/>
    </row>
    <row r="9378" spans="19:19" ht="60" customHeight="1" x14ac:dyDescent="0.25">
      <c r="S9378" s="188"/>
    </row>
    <row r="9379" spans="19:19" ht="60" customHeight="1" x14ac:dyDescent="0.25">
      <c r="S9379" s="188"/>
    </row>
    <row r="9380" spans="19:19" ht="60" customHeight="1" x14ac:dyDescent="0.25">
      <c r="S9380" s="188"/>
    </row>
    <row r="9381" spans="19:19" ht="60" customHeight="1" x14ac:dyDescent="0.25">
      <c r="S9381" s="188"/>
    </row>
    <row r="9382" spans="19:19" ht="60" customHeight="1" x14ac:dyDescent="0.25">
      <c r="S9382" s="188"/>
    </row>
    <row r="9383" spans="19:19" ht="60" customHeight="1" x14ac:dyDescent="0.25">
      <c r="S9383" s="188"/>
    </row>
    <row r="9384" spans="19:19" ht="60" customHeight="1" x14ac:dyDescent="0.25">
      <c r="S9384" s="188"/>
    </row>
    <row r="9385" spans="19:19" ht="60" customHeight="1" x14ac:dyDescent="0.25">
      <c r="S9385" s="188"/>
    </row>
    <row r="9386" spans="19:19" ht="60" customHeight="1" x14ac:dyDescent="0.25">
      <c r="S9386" s="188"/>
    </row>
    <row r="9387" spans="19:19" ht="60" customHeight="1" x14ac:dyDescent="0.25">
      <c r="S9387" s="188"/>
    </row>
    <row r="9388" spans="19:19" ht="60" customHeight="1" x14ac:dyDescent="0.25">
      <c r="S9388" s="188"/>
    </row>
    <row r="9389" spans="19:19" ht="60" customHeight="1" x14ac:dyDescent="0.25">
      <c r="S9389" s="188"/>
    </row>
    <row r="9390" spans="19:19" ht="60" customHeight="1" x14ac:dyDescent="0.25">
      <c r="S9390" s="188"/>
    </row>
    <row r="9391" spans="19:19" ht="60" customHeight="1" x14ac:dyDescent="0.25">
      <c r="S9391" s="188"/>
    </row>
    <row r="9392" spans="19:19" ht="60" customHeight="1" x14ac:dyDescent="0.25">
      <c r="S9392" s="188"/>
    </row>
    <row r="9393" spans="19:19" ht="60" customHeight="1" x14ac:dyDescent="0.25">
      <c r="S9393" s="188"/>
    </row>
    <row r="9394" spans="19:19" ht="60" customHeight="1" x14ac:dyDescent="0.25">
      <c r="S9394" s="188"/>
    </row>
    <row r="9395" spans="19:19" ht="60" customHeight="1" x14ac:dyDescent="0.25">
      <c r="S9395" s="188"/>
    </row>
    <row r="9396" spans="19:19" ht="60" customHeight="1" x14ac:dyDescent="0.25">
      <c r="S9396" s="188"/>
    </row>
    <row r="9397" spans="19:19" ht="60" customHeight="1" x14ac:dyDescent="0.25">
      <c r="S9397" s="188"/>
    </row>
    <row r="9398" spans="19:19" ht="60" customHeight="1" x14ac:dyDescent="0.25">
      <c r="S9398" s="188"/>
    </row>
    <row r="9399" spans="19:19" ht="60" customHeight="1" x14ac:dyDescent="0.25">
      <c r="S9399" s="188"/>
    </row>
    <row r="9400" spans="19:19" ht="60" customHeight="1" x14ac:dyDescent="0.25">
      <c r="S9400" s="188"/>
    </row>
    <row r="9401" spans="19:19" ht="60" customHeight="1" x14ac:dyDescent="0.25">
      <c r="S9401" s="188"/>
    </row>
    <row r="9402" spans="19:19" ht="60" customHeight="1" x14ac:dyDescent="0.25">
      <c r="S9402" s="188"/>
    </row>
    <row r="9403" spans="19:19" ht="60" customHeight="1" x14ac:dyDescent="0.25">
      <c r="S9403" s="188"/>
    </row>
    <row r="9404" spans="19:19" ht="60" customHeight="1" x14ac:dyDescent="0.25">
      <c r="S9404" s="188"/>
    </row>
    <row r="9405" spans="19:19" ht="60" customHeight="1" x14ac:dyDescent="0.25">
      <c r="S9405" s="188"/>
    </row>
    <row r="9406" spans="19:19" ht="60" customHeight="1" x14ac:dyDescent="0.25">
      <c r="S9406" s="188"/>
    </row>
    <row r="9407" spans="19:19" ht="60" customHeight="1" x14ac:dyDescent="0.25">
      <c r="S9407" s="188"/>
    </row>
    <row r="9408" spans="19:19" ht="60" customHeight="1" x14ac:dyDescent="0.25">
      <c r="S9408" s="188"/>
    </row>
    <row r="9409" spans="19:19" ht="60" customHeight="1" x14ac:dyDescent="0.25">
      <c r="S9409" s="188"/>
    </row>
    <row r="9410" spans="19:19" ht="60" customHeight="1" x14ac:dyDescent="0.25">
      <c r="S9410" s="188"/>
    </row>
    <row r="9411" spans="19:19" ht="60" customHeight="1" x14ac:dyDescent="0.25">
      <c r="S9411" s="188"/>
    </row>
    <row r="9412" spans="19:19" ht="60" customHeight="1" x14ac:dyDescent="0.25">
      <c r="S9412" s="188"/>
    </row>
    <row r="9413" spans="19:19" ht="60" customHeight="1" x14ac:dyDescent="0.25">
      <c r="S9413" s="188"/>
    </row>
    <row r="9414" spans="19:19" ht="60" customHeight="1" x14ac:dyDescent="0.25">
      <c r="S9414" s="188"/>
    </row>
    <row r="9415" spans="19:19" ht="60" customHeight="1" x14ac:dyDescent="0.25">
      <c r="S9415" s="188"/>
    </row>
    <row r="9416" spans="19:19" ht="60" customHeight="1" x14ac:dyDescent="0.25">
      <c r="S9416" s="188"/>
    </row>
    <row r="9417" spans="19:19" ht="60" customHeight="1" x14ac:dyDescent="0.25">
      <c r="S9417" s="188"/>
    </row>
    <row r="9418" spans="19:19" ht="60" customHeight="1" x14ac:dyDescent="0.25">
      <c r="S9418" s="188"/>
    </row>
    <row r="9419" spans="19:19" ht="60" customHeight="1" x14ac:dyDescent="0.25">
      <c r="S9419" s="188"/>
    </row>
    <row r="9420" spans="19:19" ht="60" customHeight="1" x14ac:dyDescent="0.25">
      <c r="S9420" s="188"/>
    </row>
    <row r="9421" spans="19:19" ht="60" customHeight="1" x14ac:dyDescent="0.25">
      <c r="S9421" s="188"/>
    </row>
    <row r="9422" spans="19:19" ht="60" customHeight="1" x14ac:dyDescent="0.25">
      <c r="S9422" s="188"/>
    </row>
    <row r="9423" spans="19:19" ht="60" customHeight="1" x14ac:dyDescent="0.25">
      <c r="S9423" s="188"/>
    </row>
    <row r="9424" spans="19:19" ht="60" customHeight="1" x14ac:dyDescent="0.25">
      <c r="S9424" s="188"/>
    </row>
    <row r="9425" spans="19:19" ht="60" customHeight="1" x14ac:dyDescent="0.25">
      <c r="S9425" s="188"/>
    </row>
    <row r="9426" spans="19:19" ht="60" customHeight="1" x14ac:dyDescent="0.25">
      <c r="S9426" s="188"/>
    </row>
    <row r="9427" spans="19:19" ht="60" customHeight="1" x14ac:dyDescent="0.25">
      <c r="S9427" s="188"/>
    </row>
    <row r="9428" spans="19:19" ht="60" customHeight="1" x14ac:dyDescent="0.25">
      <c r="S9428" s="188"/>
    </row>
    <row r="9429" spans="19:19" ht="60" customHeight="1" x14ac:dyDescent="0.25">
      <c r="S9429" s="188"/>
    </row>
    <row r="9430" spans="19:19" ht="60" customHeight="1" x14ac:dyDescent="0.25">
      <c r="S9430" s="188"/>
    </row>
    <row r="9431" spans="19:19" ht="60" customHeight="1" x14ac:dyDescent="0.25">
      <c r="S9431" s="188"/>
    </row>
    <row r="9432" spans="19:19" ht="60" customHeight="1" x14ac:dyDescent="0.25">
      <c r="S9432" s="188"/>
    </row>
    <row r="9433" spans="19:19" ht="60" customHeight="1" x14ac:dyDescent="0.25">
      <c r="S9433" s="188"/>
    </row>
    <row r="9434" spans="19:19" ht="60" customHeight="1" x14ac:dyDescent="0.25">
      <c r="S9434" s="188"/>
    </row>
    <row r="9435" spans="19:19" ht="60" customHeight="1" x14ac:dyDescent="0.25">
      <c r="S9435" s="188"/>
    </row>
    <row r="9436" spans="19:19" ht="60" customHeight="1" x14ac:dyDescent="0.25">
      <c r="S9436" s="188"/>
    </row>
    <row r="9437" spans="19:19" ht="60" customHeight="1" x14ac:dyDescent="0.25">
      <c r="S9437" s="188"/>
    </row>
    <row r="9438" spans="19:19" ht="60" customHeight="1" x14ac:dyDescent="0.25">
      <c r="S9438" s="188"/>
    </row>
    <row r="9439" spans="19:19" ht="60" customHeight="1" x14ac:dyDescent="0.25">
      <c r="S9439" s="188"/>
    </row>
    <row r="9440" spans="19:19" ht="60" customHeight="1" x14ac:dyDescent="0.25">
      <c r="S9440" s="188"/>
    </row>
    <row r="9441" spans="19:19" ht="60" customHeight="1" x14ac:dyDescent="0.25">
      <c r="S9441" s="188"/>
    </row>
    <row r="9442" spans="19:19" ht="60" customHeight="1" x14ac:dyDescent="0.25">
      <c r="S9442" s="188"/>
    </row>
    <row r="9443" spans="19:19" ht="60" customHeight="1" x14ac:dyDescent="0.25">
      <c r="S9443" s="188"/>
    </row>
    <row r="9444" spans="19:19" ht="60" customHeight="1" x14ac:dyDescent="0.25">
      <c r="S9444" s="188"/>
    </row>
    <row r="9445" spans="19:19" ht="60" customHeight="1" x14ac:dyDescent="0.25">
      <c r="S9445" s="188"/>
    </row>
    <row r="9446" spans="19:19" ht="60" customHeight="1" x14ac:dyDescent="0.25">
      <c r="S9446" s="188"/>
    </row>
    <row r="9447" spans="19:19" ht="60" customHeight="1" x14ac:dyDescent="0.25">
      <c r="S9447" s="188"/>
    </row>
    <row r="9448" spans="19:19" ht="60" customHeight="1" x14ac:dyDescent="0.25">
      <c r="S9448" s="188"/>
    </row>
    <row r="9449" spans="19:19" ht="60" customHeight="1" x14ac:dyDescent="0.25">
      <c r="S9449" s="188"/>
    </row>
    <row r="9450" spans="19:19" ht="60" customHeight="1" x14ac:dyDescent="0.25">
      <c r="S9450" s="188"/>
    </row>
    <row r="9451" spans="19:19" ht="60" customHeight="1" x14ac:dyDescent="0.25">
      <c r="S9451" s="188"/>
    </row>
    <row r="9452" spans="19:19" ht="60" customHeight="1" x14ac:dyDescent="0.25">
      <c r="S9452" s="188"/>
    </row>
    <row r="9453" spans="19:19" ht="60" customHeight="1" x14ac:dyDescent="0.25">
      <c r="S9453" s="188"/>
    </row>
    <row r="9454" spans="19:19" ht="60" customHeight="1" x14ac:dyDescent="0.25">
      <c r="S9454" s="188"/>
    </row>
    <row r="9455" spans="19:19" ht="60" customHeight="1" x14ac:dyDescent="0.25">
      <c r="S9455" s="188"/>
    </row>
    <row r="9456" spans="19:19" ht="60" customHeight="1" x14ac:dyDescent="0.25">
      <c r="S9456" s="188"/>
    </row>
    <row r="9457" spans="19:19" ht="60" customHeight="1" x14ac:dyDescent="0.25">
      <c r="S9457" s="188"/>
    </row>
    <row r="9458" spans="19:19" ht="60" customHeight="1" x14ac:dyDescent="0.25">
      <c r="S9458" s="188"/>
    </row>
    <row r="9459" spans="19:19" ht="60" customHeight="1" x14ac:dyDescent="0.25">
      <c r="S9459" s="188"/>
    </row>
    <row r="9460" spans="19:19" ht="60" customHeight="1" x14ac:dyDescent="0.25">
      <c r="S9460" s="188"/>
    </row>
    <row r="9461" spans="19:19" ht="60" customHeight="1" x14ac:dyDescent="0.25">
      <c r="S9461" s="188"/>
    </row>
    <row r="9462" spans="19:19" ht="60" customHeight="1" x14ac:dyDescent="0.25">
      <c r="S9462" s="188"/>
    </row>
    <row r="9463" spans="19:19" ht="60" customHeight="1" x14ac:dyDescent="0.25">
      <c r="S9463" s="188"/>
    </row>
    <row r="9464" spans="19:19" ht="60" customHeight="1" x14ac:dyDescent="0.25">
      <c r="S9464" s="188"/>
    </row>
    <row r="9465" spans="19:19" ht="60" customHeight="1" x14ac:dyDescent="0.25">
      <c r="S9465" s="188"/>
    </row>
    <row r="9466" spans="19:19" ht="60" customHeight="1" x14ac:dyDescent="0.25">
      <c r="S9466" s="188"/>
    </row>
    <row r="9467" spans="19:19" ht="60" customHeight="1" x14ac:dyDescent="0.25">
      <c r="S9467" s="188"/>
    </row>
    <row r="9468" spans="19:19" ht="60" customHeight="1" x14ac:dyDescent="0.25">
      <c r="S9468" s="188"/>
    </row>
    <row r="9469" spans="19:19" ht="60" customHeight="1" x14ac:dyDescent="0.25">
      <c r="S9469" s="188"/>
    </row>
    <row r="9470" spans="19:19" ht="60" customHeight="1" x14ac:dyDescent="0.25">
      <c r="S9470" s="188"/>
    </row>
    <row r="9471" spans="19:19" ht="60" customHeight="1" x14ac:dyDescent="0.25">
      <c r="S9471" s="188"/>
    </row>
    <row r="9472" spans="19:19" ht="60" customHeight="1" x14ac:dyDescent="0.25">
      <c r="S9472" s="188"/>
    </row>
    <row r="9473" spans="19:19" ht="60" customHeight="1" x14ac:dyDescent="0.25">
      <c r="S9473" s="188"/>
    </row>
    <row r="9474" spans="19:19" ht="60" customHeight="1" x14ac:dyDescent="0.25">
      <c r="S9474" s="188"/>
    </row>
    <row r="9475" spans="19:19" ht="60" customHeight="1" x14ac:dyDescent="0.25">
      <c r="S9475" s="188"/>
    </row>
    <row r="9476" spans="19:19" ht="60" customHeight="1" x14ac:dyDescent="0.25">
      <c r="S9476" s="188"/>
    </row>
    <row r="9477" spans="19:19" ht="60" customHeight="1" x14ac:dyDescent="0.25">
      <c r="S9477" s="188"/>
    </row>
    <row r="9478" spans="19:19" ht="60" customHeight="1" x14ac:dyDescent="0.25">
      <c r="S9478" s="188"/>
    </row>
    <row r="9479" spans="19:19" ht="60" customHeight="1" x14ac:dyDescent="0.25">
      <c r="S9479" s="188"/>
    </row>
    <row r="9480" spans="19:19" ht="60" customHeight="1" x14ac:dyDescent="0.25">
      <c r="S9480" s="188"/>
    </row>
    <row r="9481" spans="19:19" ht="60" customHeight="1" x14ac:dyDescent="0.25">
      <c r="S9481" s="188"/>
    </row>
    <row r="9482" spans="19:19" ht="60" customHeight="1" x14ac:dyDescent="0.25">
      <c r="S9482" s="188"/>
    </row>
    <row r="9483" spans="19:19" ht="60" customHeight="1" x14ac:dyDescent="0.25">
      <c r="S9483" s="188"/>
    </row>
    <row r="9484" spans="19:19" ht="60" customHeight="1" x14ac:dyDescent="0.25">
      <c r="S9484" s="188"/>
    </row>
    <row r="9485" spans="19:19" ht="60" customHeight="1" x14ac:dyDescent="0.25">
      <c r="S9485" s="188"/>
    </row>
    <row r="9486" spans="19:19" ht="60" customHeight="1" x14ac:dyDescent="0.25">
      <c r="S9486" s="188"/>
    </row>
    <row r="9487" spans="19:19" ht="60" customHeight="1" x14ac:dyDescent="0.25">
      <c r="S9487" s="188"/>
    </row>
    <row r="9488" spans="19:19" ht="60" customHeight="1" x14ac:dyDescent="0.25">
      <c r="S9488" s="188"/>
    </row>
    <row r="9489" spans="19:19" ht="60" customHeight="1" x14ac:dyDescent="0.25">
      <c r="S9489" s="188"/>
    </row>
    <row r="9490" spans="19:19" ht="60" customHeight="1" x14ac:dyDescent="0.25">
      <c r="S9490" s="188"/>
    </row>
    <row r="9491" spans="19:19" ht="60" customHeight="1" x14ac:dyDescent="0.25">
      <c r="S9491" s="188"/>
    </row>
    <row r="9492" spans="19:19" ht="60" customHeight="1" x14ac:dyDescent="0.25">
      <c r="S9492" s="188"/>
    </row>
    <row r="9493" spans="19:19" ht="60" customHeight="1" x14ac:dyDescent="0.25">
      <c r="S9493" s="188"/>
    </row>
    <row r="9494" spans="19:19" ht="60" customHeight="1" x14ac:dyDescent="0.25">
      <c r="S9494" s="188"/>
    </row>
    <row r="9495" spans="19:19" ht="60" customHeight="1" x14ac:dyDescent="0.25">
      <c r="S9495" s="188"/>
    </row>
    <row r="9496" spans="19:19" ht="60" customHeight="1" x14ac:dyDescent="0.25">
      <c r="S9496" s="188"/>
    </row>
    <row r="9497" spans="19:19" ht="60" customHeight="1" x14ac:dyDescent="0.25">
      <c r="S9497" s="188"/>
    </row>
    <row r="9498" spans="19:19" ht="60" customHeight="1" x14ac:dyDescent="0.25">
      <c r="S9498" s="188"/>
    </row>
    <row r="9499" spans="19:19" ht="60" customHeight="1" x14ac:dyDescent="0.25">
      <c r="S9499" s="188"/>
    </row>
    <row r="9500" spans="19:19" ht="60" customHeight="1" x14ac:dyDescent="0.25">
      <c r="S9500" s="188"/>
    </row>
    <row r="9501" spans="19:19" ht="60" customHeight="1" x14ac:dyDescent="0.25">
      <c r="S9501" s="188"/>
    </row>
    <row r="9502" spans="19:19" ht="60" customHeight="1" x14ac:dyDescent="0.25">
      <c r="S9502" s="188"/>
    </row>
    <row r="9503" spans="19:19" ht="60" customHeight="1" x14ac:dyDescent="0.25">
      <c r="S9503" s="188"/>
    </row>
    <row r="9504" spans="19:19" ht="60" customHeight="1" x14ac:dyDescent="0.25">
      <c r="S9504" s="188"/>
    </row>
    <row r="9505" spans="19:19" ht="60" customHeight="1" x14ac:dyDescent="0.25">
      <c r="S9505" s="188"/>
    </row>
    <row r="9506" spans="19:19" ht="60" customHeight="1" x14ac:dyDescent="0.25">
      <c r="S9506" s="188"/>
    </row>
    <row r="9507" spans="19:19" ht="60" customHeight="1" x14ac:dyDescent="0.25">
      <c r="S9507" s="188"/>
    </row>
    <row r="9508" spans="19:19" ht="60" customHeight="1" x14ac:dyDescent="0.25">
      <c r="S9508" s="188"/>
    </row>
    <row r="9509" spans="19:19" ht="60" customHeight="1" x14ac:dyDescent="0.25">
      <c r="S9509" s="188"/>
    </row>
    <row r="9510" spans="19:19" ht="60" customHeight="1" x14ac:dyDescent="0.25">
      <c r="S9510" s="188"/>
    </row>
    <row r="9511" spans="19:19" ht="60" customHeight="1" x14ac:dyDescent="0.25">
      <c r="S9511" s="188"/>
    </row>
    <row r="9512" spans="19:19" ht="60" customHeight="1" x14ac:dyDescent="0.25">
      <c r="S9512" s="188"/>
    </row>
    <row r="9513" spans="19:19" ht="60" customHeight="1" x14ac:dyDescent="0.25">
      <c r="S9513" s="188"/>
    </row>
    <row r="9514" spans="19:19" ht="60" customHeight="1" x14ac:dyDescent="0.25">
      <c r="S9514" s="188"/>
    </row>
    <row r="9515" spans="19:19" ht="60" customHeight="1" x14ac:dyDescent="0.25">
      <c r="S9515" s="188"/>
    </row>
    <row r="9516" spans="19:19" ht="60" customHeight="1" x14ac:dyDescent="0.25">
      <c r="S9516" s="188"/>
    </row>
    <row r="9517" spans="19:19" ht="60" customHeight="1" x14ac:dyDescent="0.25">
      <c r="S9517" s="188"/>
    </row>
    <row r="9518" spans="19:19" ht="60" customHeight="1" x14ac:dyDescent="0.25">
      <c r="S9518" s="188"/>
    </row>
    <row r="9519" spans="19:19" ht="60" customHeight="1" x14ac:dyDescent="0.25">
      <c r="S9519" s="188"/>
    </row>
    <row r="9520" spans="19:19" ht="60" customHeight="1" x14ac:dyDescent="0.25">
      <c r="S9520" s="188"/>
    </row>
    <row r="9521" spans="19:19" ht="60" customHeight="1" x14ac:dyDescent="0.25">
      <c r="S9521" s="188"/>
    </row>
    <row r="9522" spans="19:19" ht="60" customHeight="1" x14ac:dyDescent="0.25">
      <c r="S9522" s="188"/>
    </row>
    <row r="9523" spans="19:19" ht="60" customHeight="1" x14ac:dyDescent="0.25">
      <c r="S9523" s="188"/>
    </row>
    <row r="9524" spans="19:19" ht="60" customHeight="1" x14ac:dyDescent="0.25">
      <c r="S9524" s="188"/>
    </row>
    <row r="9525" spans="19:19" ht="60" customHeight="1" x14ac:dyDescent="0.25">
      <c r="S9525" s="188"/>
    </row>
    <row r="9526" spans="19:19" ht="60" customHeight="1" x14ac:dyDescent="0.25">
      <c r="S9526" s="188"/>
    </row>
    <row r="9527" spans="19:19" ht="60" customHeight="1" x14ac:dyDescent="0.25">
      <c r="S9527" s="188"/>
    </row>
    <row r="9528" spans="19:19" ht="60" customHeight="1" x14ac:dyDescent="0.25">
      <c r="S9528" s="188"/>
    </row>
    <row r="9529" spans="19:19" ht="60" customHeight="1" x14ac:dyDescent="0.25">
      <c r="S9529" s="188"/>
    </row>
    <row r="9530" spans="19:19" ht="60" customHeight="1" x14ac:dyDescent="0.25">
      <c r="S9530" s="188"/>
    </row>
    <row r="9531" spans="19:19" ht="60" customHeight="1" x14ac:dyDescent="0.25">
      <c r="S9531" s="188"/>
    </row>
    <row r="9532" spans="19:19" ht="60" customHeight="1" x14ac:dyDescent="0.25">
      <c r="S9532" s="188"/>
    </row>
    <row r="9533" spans="19:19" ht="60" customHeight="1" x14ac:dyDescent="0.25">
      <c r="S9533" s="188"/>
    </row>
    <row r="9534" spans="19:19" ht="60" customHeight="1" x14ac:dyDescent="0.25">
      <c r="S9534" s="188"/>
    </row>
    <row r="9535" spans="19:19" ht="60" customHeight="1" x14ac:dyDescent="0.25">
      <c r="S9535" s="188"/>
    </row>
    <row r="9536" spans="19:19" ht="60" customHeight="1" x14ac:dyDescent="0.25">
      <c r="S9536" s="188"/>
    </row>
    <row r="9537" spans="19:19" ht="60" customHeight="1" x14ac:dyDescent="0.25">
      <c r="S9537" s="188"/>
    </row>
    <row r="9538" spans="19:19" ht="60" customHeight="1" x14ac:dyDescent="0.25">
      <c r="S9538" s="188"/>
    </row>
    <row r="9539" spans="19:19" ht="60" customHeight="1" x14ac:dyDescent="0.25">
      <c r="S9539" s="188"/>
    </row>
    <row r="9540" spans="19:19" ht="60" customHeight="1" x14ac:dyDescent="0.25">
      <c r="S9540" s="188"/>
    </row>
    <row r="9541" spans="19:19" ht="60" customHeight="1" x14ac:dyDescent="0.25">
      <c r="S9541" s="188"/>
    </row>
    <row r="9542" spans="19:19" ht="60" customHeight="1" x14ac:dyDescent="0.25">
      <c r="S9542" s="188"/>
    </row>
    <row r="9543" spans="19:19" ht="60" customHeight="1" x14ac:dyDescent="0.25">
      <c r="S9543" s="188"/>
    </row>
    <row r="9544" spans="19:19" ht="60" customHeight="1" x14ac:dyDescent="0.25">
      <c r="S9544" s="188"/>
    </row>
    <row r="9545" spans="19:19" ht="60" customHeight="1" x14ac:dyDescent="0.25">
      <c r="S9545" s="188"/>
    </row>
    <row r="9546" spans="19:19" ht="60" customHeight="1" x14ac:dyDescent="0.25">
      <c r="S9546" s="188"/>
    </row>
    <row r="9547" spans="19:19" ht="60" customHeight="1" x14ac:dyDescent="0.25">
      <c r="S9547" s="188"/>
    </row>
    <row r="9548" spans="19:19" ht="60" customHeight="1" x14ac:dyDescent="0.25">
      <c r="S9548" s="188"/>
    </row>
    <row r="9549" spans="19:19" ht="60" customHeight="1" x14ac:dyDescent="0.25">
      <c r="S9549" s="188"/>
    </row>
    <row r="9550" spans="19:19" ht="60" customHeight="1" x14ac:dyDescent="0.25">
      <c r="S9550" s="188"/>
    </row>
    <row r="9551" spans="19:19" ht="60" customHeight="1" x14ac:dyDescent="0.25">
      <c r="S9551" s="188"/>
    </row>
    <row r="9552" spans="19:19" ht="60" customHeight="1" x14ac:dyDescent="0.25">
      <c r="S9552" s="188"/>
    </row>
    <row r="9553" spans="19:19" ht="60" customHeight="1" x14ac:dyDescent="0.25">
      <c r="S9553" s="188"/>
    </row>
    <row r="9554" spans="19:19" ht="60" customHeight="1" x14ac:dyDescent="0.25">
      <c r="S9554" s="188"/>
    </row>
    <row r="9555" spans="19:19" ht="60" customHeight="1" x14ac:dyDescent="0.25">
      <c r="S9555" s="188"/>
    </row>
    <row r="9556" spans="19:19" ht="60" customHeight="1" x14ac:dyDescent="0.25">
      <c r="S9556" s="188"/>
    </row>
    <row r="9557" spans="19:19" ht="60" customHeight="1" x14ac:dyDescent="0.25">
      <c r="S9557" s="188"/>
    </row>
    <row r="9558" spans="19:19" ht="60" customHeight="1" x14ac:dyDescent="0.25">
      <c r="S9558" s="188"/>
    </row>
    <row r="9559" spans="19:19" ht="60" customHeight="1" x14ac:dyDescent="0.25">
      <c r="S9559" s="188"/>
    </row>
    <row r="9560" spans="19:19" ht="60" customHeight="1" x14ac:dyDescent="0.25">
      <c r="S9560" s="188"/>
    </row>
    <row r="9561" spans="19:19" ht="60" customHeight="1" x14ac:dyDescent="0.25">
      <c r="S9561" s="188"/>
    </row>
    <row r="9562" spans="19:19" ht="60" customHeight="1" x14ac:dyDescent="0.25">
      <c r="S9562" s="188"/>
    </row>
    <row r="9563" spans="19:19" ht="60" customHeight="1" x14ac:dyDescent="0.25">
      <c r="S9563" s="188"/>
    </row>
    <row r="9564" spans="19:19" ht="60" customHeight="1" x14ac:dyDescent="0.25">
      <c r="S9564" s="188"/>
    </row>
    <row r="9565" spans="19:19" ht="60" customHeight="1" x14ac:dyDescent="0.25">
      <c r="S9565" s="188"/>
    </row>
    <row r="9566" spans="19:19" ht="60" customHeight="1" x14ac:dyDescent="0.25">
      <c r="S9566" s="188"/>
    </row>
    <row r="9567" spans="19:19" ht="60" customHeight="1" x14ac:dyDescent="0.25">
      <c r="S9567" s="188"/>
    </row>
    <row r="9568" spans="19:19" ht="60" customHeight="1" x14ac:dyDescent="0.25">
      <c r="S9568" s="188"/>
    </row>
    <row r="9569" spans="19:19" ht="60" customHeight="1" x14ac:dyDescent="0.25">
      <c r="S9569" s="188"/>
    </row>
    <row r="9570" spans="19:19" ht="60" customHeight="1" x14ac:dyDescent="0.25">
      <c r="S9570" s="188"/>
    </row>
    <row r="9571" spans="19:19" ht="60" customHeight="1" x14ac:dyDescent="0.25">
      <c r="S9571" s="188"/>
    </row>
    <row r="9572" spans="19:19" ht="60" customHeight="1" x14ac:dyDescent="0.25">
      <c r="S9572" s="188"/>
    </row>
    <row r="9573" spans="19:19" ht="60" customHeight="1" x14ac:dyDescent="0.25">
      <c r="S9573" s="188"/>
    </row>
    <row r="9574" spans="19:19" ht="60" customHeight="1" x14ac:dyDescent="0.25">
      <c r="S9574" s="188"/>
    </row>
    <row r="9575" spans="19:19" ht="60" customHeight="1" x14ac:dyDescent="0.25">
      <c r="S9575" s="188"/>
    </row>
    <row r="9576" spans="19:19" ht="60" customHeight="1" x14ac:dyDescent="0.25">
      <c r="S9576" s="188"/>
    </row>
    <row r="9577" spans="19:19" ht="60" customHeight="1" x14ac:dyDescent="0.25">
      <c r="S9577" s="188"/>
    </row>
    <row r="9578" spans="19:19" ht="60" customHeight="1" x14ac:dyDescent="0.25">
      <c r="S9578" s="188"/>
    </row>
    <row r="9579" spans="19:19" ht="60" customHeight="1" x14ac:dyDescent="0.25">
      <c r="S9579" s="188"/>
    </row>
    <row r="9580" spans="19:19" ht="60" customHeight="1" x14ac:dyDescent="0.25">
      <c r="S9580" s="188"/>
    </row>
    <row r="9581" spans="19:19" ht="60" customHeight="1" x14ac:dyDescent="0.25">
      <c r="S9581" s="188"/>
    </row>
    <row r="9582" spans="19:19" ht="60" customHeight="1" x14ac:dyDescent="0.25">
      <c r="S9582" s="188"/>
    </row>
    <row r="9583" spans="19:19" ht="60" customHeight="1" x14ac:dyDescent="0.25">
      <c r="S9583" s="188"/>
    </row>
    <row r="9584" spans="19:19" ht="60" customHeight="1" x14ac:dyDescent="0.25">
      <c r="S9584" s="188"/>
    </row>
    <row r="9585" spans="19:19" ht="60" customHeight="1" x14ac:dyDescent="0.25">
      <c r="S9585" s="188"/>
    </row>
    <row r="9586" spans="19:19" ht="60" customHeight="1" x14ac:dyDescent="0.25">
      <c r="S9586" s="188"/>
    </row>
    <row r="9587" spans="19:19" ht="60" customHeight="1" x14ac:dyDescent="0.25">
      <c r="S9587" s="188"/>
    </row>
    <row r="9588" spans="19:19" ht="60" customHeight="1" x14ac:dyDescent="0.25">
      <c r="S9588" s="188"/>
    </row>
    <row r="9589" spans="19:19" ht="60" customHeight="1" x14ac:dyDescent="0.25">
      <c r="S9589" s="188"/>
    </row>
    <row r="9590" spans="19:19" ht="60" customHeight="1" x14ac:dyDescent="0.25">
      <c r="S9590" s="188"/>
    </row>
    <row r="9591" spans="19:19" ht="60" customHeight="1" x14ac:dyDescent="0.25">
      <c r="S9591" s="188"/>
    </row>
    <row r="9592" spans="19:19" ht="60" customHeight="1" x14ac:dyDescent="0.25">
      <c r="S9592" s="188"/>
    </row>
    <row r="9593" spans="19:19" ht="60" customHeight="1" x14ac:dyDescent="0.25">
      <c r="S9593" s="188"/>
    </row>
    <row r="9594" spans="19:19" ht="60" customHeight="1" x14ac:dyDescent="0.25">
      <c r="S9594" s="188"/>
    </row>
    <row r="9595" spans="19:19" ht="60" customHeight="1" x14ac:dyDescent="0.25">
      <c r="S9595" s="188"/>
    </row>
    <row r="9596" spans="19:19" ht="60" customHeight="1" x14ac:dyDescent="0.25">
      <c r="S9596" s="188"/>
    </row>
    <row r="9597" spans="19:19" ht="60" customHeight="1" x14ac:dyDescent="0.25">
      <c r="S9597" s="188"/>
    </row>
    <row r="9598" spans="19:19" ht="60" customHeight="1" x14ac:dyDescent="0.25">
      <c r="S9598" s="188"/>
    </row>
    <row r="9599" spans="19:19" ht="60" customHeight="1" x14ac:dyDescent="0.25">
      <c r="S9599" s="188"/>
    </row>
    <row r="9600" spans="19:19" ht="60" customHeight="1" x14ac:dyDescent="0.25">
      <c r="S9600" s="188"/>
    </row>
    <row r="9601" spans="19:19" ht="60" customHeight="1" x14ac:dyDescent="0.25">
      <c r="S9601" s="188"/>
    </row>
    <row r="9602" spans="19:19" ht="60" customHeight="1" x14ac:dyDescent="0.25">
      <c r="S9602" s="188"/>
    </row>
    <row r="9603" spans="19:19" ht="60" customHeight="1" x14ac:dyDescent="0.25">
      <c r="S9603" s="188"/>
    </row>
    <row r="9604" spans="19:19" ht="60" customHeight="1" x14ac:dyDescent="0.25">
      <c r="S9604" s="188"/>
    </row>
    <row r="9605" spans="19:19" ht="60" customHeight="1" x14ac:dyDescent="0.25">
      <c r="S9605" s="188"/>
    </row>
    <row r="9606" spans="19:19" ht="60" customHeight="1" x14ac:dyDescent="0.25">
      <c r="S9606" s="188"/>
    </row>
    <row r="9607" spans="19:19" ht="60" customHeight="1" x14ac:dyDescent="0.25">
      <c r="S9607" s="188"/>
    </row>
    <row r="9608" spans="19:19" ht="60" customHeight="1" x14ac:dyDescent="0.25">
      <c r="S9608" s="188"/>
    </row>
    <row r="9609" spans="19:19" ht="60" customHeight="1" x14ac:dyDescent="0.25">
      <c r="S9609" s="188"/>
    </row>
    <row r="9610" spans="19:19" ht="60" customHeight="1" x14ac:dyDescent="0.25">
      <c r="S9610" s="188"/>
    </row>
    <row r="9611" spans="19:19" ht="60" customHeight="1" x14ac:dyDescent="0.25">
      <c r="S9611" s="188"/>
    </row>
    <row r="9612" spans="19:19" ht="60" customHeight="1" x14ac:dyDescent="0.25">
      <c r="S9612" s="188"/>
    </row>
    <row r="9613" spans="19:19" ht="60" customHeight="1" x14ac:dyDescent="0.25">
      <c r="S9613" s="188"/>
    </row>
    <row r="9614" spans="19:19" ht="60" customHeight="1" x14ac:dyDescent="0.25">
      <c r="S9614" s="188"/>
    </row>
    <row r="9615" spans="19:19" ht="60" customHeight="1" x14ac:dyDescent="0.25">
      <c r="S9615" s="188"/>
    </row>
    <row r="9616" spans="19:19" ht="60" customHeight="1" x14ac:dyDescent="0.25">
      <c r="S9616" s="188"/>
    </row>
    <row r="9617" spans="19:19" ht="60" customHeight="1" x14ac:dyDescent="0.25">
      <c r="S9617" s="188"/>
    </row>
    <row r="9618" spans="19:19" ht="60" customHeight="1" x14ac:dyDescent="0.25">
      <c r="S9618" s="188"/>
    </row>
    <row r="9619" spans="19:19" ht="60" customHeight="1" x14ac:dyDescent="0.25">
      <c r="S9619" s="188"/>
    </row>
    <row r="9620" spans="19:19" ht="60" customHeight="1" x14ac:dyDescent="0.25">
      <c r="S9620" s="188"/>
    </row>
    <row r="9621" spans="19:19" ht="60" customHeight="1" x14ac:dyDescent="0.25">
      <c r="S9621" s="188"/>
    </row>
    <row r="9622" spans="19:19" ht="60" customHeight="1" x14ac:dyDescent="0.25">
      <c r="S9622" s="188"/>
    </row>
    <row r="9623" spans="19:19" ht="60" customHeight="1" x14ac:dyDescent="0.25">
      <c r="S9623" s="188"/>
    </row>
    <row r="9624" spans="19:19" ht="60" customHeight="1" x14ac:dyDescent="0.25">
      <c r="S9624" s="188"/>
    </row>
    <row r="9625" spans="19:19" ht="60" customHeight="1" x14ac:dyDescent="0.25">
      <c r="S9625" s="188"/>
    </row>
    <row r="9626" spans="19:19" ht="60" customHeight="1" x14ac:dyDescent="0.25">
      <c r="S9626" s="188"/>
    </row>
    <row r="9627" spans="19:19" ht="60" customHeight="1" x14ac:dyDescent="0.25">
      <c r="S9627" s="188"/>
    </row>
    <row r="9628" spans="19:19" ht="60" customHeight="1" x14ac:dyDescent="0.25">
      <c r="S9628" s="188"/>
    </row>
    <row r="9629" spans="19:19" ht="60" customHeight="1" x14ac:dyDescent="0.25">
      <c r="S9629" s="188"/>
    </row>
    <row r="9630" spans="19:19" ht="60" customHeight="1" x14ac:dyDescent="0.25">
      <c r="S9630" s="188"/>
    </row>
    <row r="9631" spans="19:19" ht="60" customHeight="1" x14ac:dyDescent="0.25">
      <c r="S9631" s="188"/>
    </row>
    <row r="9632" spans="19:19" ht="60" customHeight="1" x14ac:dyDescent="0.25">
      <c r="S9632" s="188"/>
    </row>
    <row r="9633" spans="19:19" ht="60" customHeight="1" x14ac:dyDescent="0.25">
      <c r="S9633" s="188"/>
    </row>
    <row r="9634" spans="19:19" ht="60" customHeight="1" x14ac:dyDescent="0.25">
      <c r="S9634" s="188"/>
    </row>
    <row r="9635" spans="19:19" ht="60" customHeight="1" x14ac:dyDescent="0.25">
      <c r="S9635" s="188"/>
    </row>
    <row r="9636" spans="19:19" ht="60" customHeight="1" x14ac:dyDescent="0.25">
      <c r="S9636" s="188"/>
    </row>
    <row r="9637" spans="19:19" ht="60" customHeight="1" x14ac:dyDescent="0.25">
      <c r="S9637" s="188"/>
    </row>
    <row r="9638" spans="19:19" ht="60" customHeight="1" x14ac:dyDescent="0.25">
      <c r="S9638" s="188"/>
    </row>
    <row r="9639" spans="19:19" ht="60" customHeight="1" x14ac:dyDescent="0.25">
      <c r="S9639" s="188"/>
    </row>
    <row r="9640" spans="19:19" ht="60" customHeight="1" x14ac:dyDescent="0.25">
      <c r="S9640" s="188"/>
    </row>
    <row r="9641" spans="19:19" ht="60" customHeight="1" x14ac:dyDescent="0.25">
      <c r="S9641" s="188"/>
    </row>
    <row r="9642" spans="19:19" ht="60" customHeight="1" x14ac:dyDescent="0.25">
      <c r="S9642" s="188"/>
    </row>
    <row r="9643" spans="19:19" ht="60" customHeight="1" x14ac:dyDescent="0.25">
      <c r="S9643" s="188"/>
    </row>
    <row r="9644" spans="19:19" ht="60" customHeight="1" x14ac:dyDescent="0.25">
      <c r="S9644" s="188"/>
    </row>
    <row r="9645" spans="19:19" ht="60" customHeight="1" x14ac:dyDescent="0.25">
      <c r="S9645" s="188"/>
    </row>
    <row r="9646" spans="19:19" ht="60" customHeight="1" x14ac:dyDescent="0.25">
      <c r="S9646" s="188"/>
    </row>
    <row r="9647" spans="19:19" ht="60" customHeight="1" x14ac:dyDescent="0.25">
      <c r="S9647" s="188"/>
    </row>
    <row r="9648" spans="19:19" ht="60" customHeight="1" x14ac:dyDescent="0.25">
      <c r="S9648" s="188"/>
    </row>
    <row r="9649" spans="19:19" ht="60" customHeight="1" x14ac:dyDescent="0.25">
      <c r="S9649" s="188"/>
    </row>
    <row r="9650" spans="19:19" ht="60" customHeight="1" x14ac:dyDescent="0.25">
      <c r="S9650" s="188"/>
    </row>
    <row r="9651" spans="19:19" ht="60" customHeight="1" x14ac:dyDescent="0.25">
      <c r="S9651" s="188"/>
    </row>
    <row r="9652" spans="19:19" ht="60" customHeight="1" x14ac:dyDescent="0.25">
      <c r="S9652" s="188"/>
    </row>
    <row r="9653" spans="19:19" ht="60" customHeight="1" x14ac:dyDescent="0.25">
      <c r="S9653" s="188"/>
    </row>
    <row r="9654" spans="19:19" ht="60" customHeight="1" x14ac:dyDescent="0.25">
      <c r="S9654" s="188"/>
    </row>
    <row r="9655" spans="19:19" ht="60" customHeight="1" x14ac:dyDescent="0.25">
      <c r="S9655" s="188"/>
    </row>
    <row r="9656" spans="19:19" ht="60" customHeight="1" x14ac:dyDescent="0.25">
      <c r="S9656" s="188"/>
    </row>
    <row r="9657" spans="19:19" ht="60" customHeight="1" x14ac:dyDescent="0.25">
      <c r="S9657" s="188"/>
    </row>
    <row r="9658" spans="19:19" ht="60" customHeight="1" x14ac:dyDescent="0.25">
      <c r="S9658" s="188"/>
    </row>
    <row r="9659" spans="19:19" ht="60" customHeight="1" x14ac:dyDescent="0.25">
      <c r="S9659" s="188"/>
    </row>
    <row r="9660" spans="19:19" ht="60" customHeight="1" x14ac:dyDescent="0.25">
      <c r="S9660" s="188"/>
    </row>
    <row r="9661" spans="19:19" ht="60" customHeight="1" x14ac:dyDescent="0.25">
      <c r="S9661" s="188"/>
    </row>
    <row r="9662" spans="19:19" ht="60" customHeight="1" x14ac:dyDescent="0.25">
      <c r="S9662" s="188"/>
    </row>
    <row r="9663" spans="19:19" ht="60" customHeight="1" x14ac:dyDescent="0.25">
      <c r="S9663" s="188"/>
    </row>
    <row r="9664" spans="19:19" ht="60" customHeight="1" x14ac:dyDescent="0.25">
      <c r="S9664" s="188"/>
    </row>
    <row r="9665" spans="19:19" ht="60" customHeight="1" x14ac:dyDescent="0.25">
      <c r="S9665" s="188"/>
    </row>
    <row r="9666" spans="19:19" ht="60" customHeight="1" x14ac:dyDescent="0.25">
      <c r="S9666" s="188"/>
    </row>
    <row r="9667" spans="19:19" ht="60" customHeight="1" x14ac:dyDescent="0.25">
      <c r="S9667" s="188"/>
    </row>
    <row r="9668" spans="19:19" ht="60" customHeight="1" x14ac:dyDescent="0.25">
      <c r="S9668" s="188"/>
    </row>
    <row r="9669" spans="19:19" ht="60" customHeight="1" x14ac:dyDescent="0.25">
      <c r="S9669" s="188"/>
    </row>
    <row r="9670" spans="19:19" ht="60" customHeight="1" x14ac:dyDescent="0.25">
      <c r="S9670" s="188"/>
    </row>
    <row r="9671" spans="19:19" ht="60" customHeight="1" x14ac:dyDescent="0.25">
      <c r="S9671" s="188"/>
    </row>
    <row r="9672" spans="19:19" ht="60" customHeight="1" x14ac:dyDescent="0.25">
      <c r="S9672" s="188"/>
    </row>
    <row r="9673" spans="19:19" ht="60" customHeight="1" x14ac:dyDescent="0.25">
      <c r="S9673" s="188"/>
    </row>
    <row r="9674" spans="19:19" ht="60" customHeight="1" x14ac:dyDescent="0.25">
      <c r="S9674" s="188"/>
    </row>
    <row r="9675" spans="19:19" ht="60" customHeight="1" x14ac:dyDescent="0.25">
      <c r="S9675" s="188"/>
    </row>
    <row r="9676" spans="19:19" ht="60" customHeight="1" x14ac:dyDescent="0.25">
      <c r="S9676" s="188"/>
    </row>
    <row r="9677" spans="19:19" ht="60" customHeight="1" x14ac:dyDescent="0.25">
      <c r="S9677" s="188"/>
    </row>
    <row r="9678" spans="19:19" ht="60" customHeight="1" x14ac:dyDescent="0.25">
      <c r="S9678" s="188"/>
    </row>
    <row r="9679" spans="19:19" ht="60" customHeight="1" x14ac:dyDescent="0.25">
      <c r="S9679" s="188"/>
    </row>
    <row r="9680" spans="19:19" ht="60" customHeight="1" x14ac:dyDescent="0.25">
      <c r="S9680" s="188"/>
    </row>
    <row r="9681" spans="19:19" ht="60" customHeight="1" x14ac:dyDescent="0.25">
      <c r="S9681" s="188"/>
    </row>
    <row r="9682" spans="19:19" ht="60" customHeight="1" x14ac:dyDescent="0.25">
      <c r="S9682" s="188"/>
    </row>
    <row r="9683" spans="19:19" ht="60" customHeight="1" x14ac:dyDescent="0.25">
      <c r="S9683" s="188"/>
    </row>
    <row r="9684" spans="19:19" ht="60" customHeight="1" x14ac:dyDescent="0.25">
      <c r="S9684" s="188"/>
    </row>
    <row r="9685" spans="19:19" ht="60" customHeight="1" x14ac:dyDescent="0.25">
      <c r="S9685" s="188"/>
    </row>
    <row r="9686" spans="19:19" ht="60" customHeight="1" x14ac:dyDescent="0.25">
      <c r="S9686" s="188"/>
    </row>
    <row r="9687" spans="19:19" ht="60" customHeight="1" x14ac:dyDescent="0.25">
      <c r="S9687" s="188"/>
    </row>
    <row r="9688" spans="19:19" ht="60" customHeight="1" x14ac:dyDescent="0.25">
      <c r="S9688" s="188"/>
    </row>
    <row r="9689" spans="19:19" ht="60" customHeight="1" x14ac:dyDescent="0.25">
      <c r="S9689" s="188"/>
    </row>
    <row r="9690" spans="19:19" ht="60" customHeight="1" x14ac:dyDescent="0.25">
      <c r="S9690" s="188"/>
    </row>
    <row r="9691" spans="19:19" ht="60" customHeight="1" x14ac:dyDescent="0.25">
      <c r="S9691" s="188"/>
    </row>
    <row r="9692" spans="19:19" ht="60" customHeight="1" x14ac:dyDescent="0.25">
      <c r="S9692" s="188"/>
    </row>
    <row r="9693" spans="19:19" ht="60" customHeight="1" x14ac:dyDescent="0.25">
      <c r="S9693" s="188"/>
    </row>
    <row r="9694" spans="19:19" ht="60" customHeight="1" x14ac:dyDescent="0.25">
      <c r="S9694" s="188"/>
    </row>
    <row r="9695" spans="19:19" ht="60" customHeight="1" x14ac:dyDescent="0.25">
      <c r="S9695" s="188"/>
    </row>
    <row r="9696" spans="19:19" ht="60" customHeight="1" x14ac:dyDescent="0.25">
      <c r="S9696" s="188"/>
    </row>
    <row r="9697" spans="19:19" ht="60" customHeight="1" x14ac:dyDescent="0.25">
      <c r="S9697" s="188"/>
    </row>
    <row r="9698" spans="19:19" ht="60" customHeight="1" x14ac:dyDescent="0.25">
      <c r="S9698" s="188"/>
    </row>
    <row r="9699" spans="19:19" ht="60" customHeight="1" x14ac:dyDescent="0.25">
      <c r="S9699" s="188"/>
    </row>
    <row r="9700" spans="19:19" ht="60" customHeight="1" x14ac:dyDescent="0.25">
      <c r="S9700" s="188"/>
    </row>
    <row r="9701" spans="19:19" ht="60" customHeight="1" x14ac:dyDescent="0.25">
      <c r="S9701" s="188"/>
    </row>
    <row r="9702" spans="19:19" ht="60" customHeight="1" x14ac:dyDescent="0.25">
      <c r="S9702" s="188"/>
    </row>
    <row r="9703" spans="19:19" ht="60" customHeight="1" x14ac:dyDescent="0.25">
      <c r="S9703" s="188"/>
    </row>
    <row r="9704" spans="19:19" ht="60" customHeight="1" x14ac:dyDescent="0.25">
      <c r="S9704" s="188"/>
    </row>
    <row r="9705" spans="19:19" ht="60" customHeight="1" x14ac:dyDescent="0.25">
      <c r="S9705" s="188"/>
    </row>
    <row r="9706" spans="19:19" ht="60" customHeight="1" x14ac:dyDescent="0.25">
      <c r="S9706" s="188"/>
    </row>
    <row r="9707" spans="19:19" ht="60" customHeight="1" x14ac:dyDescent="0.25">
      <c r="S9707" s="188"/>
    </row>
    <row r="9708" spans="19:19" ht="60" customHeight="1" x14ac:dyDescent="0.25">
      <c r="S9708" s="188"/>
    </row>
    <row r="9709" spans="19:19" ht="60" customHeight="1" x14ac:dyDescent="0.25">
      <c r="S9709" s="188"/>
    </row>
    <row r="9710" spans="19:19" ht="60" customHeight="1" x14ac:dyDescent="0.25">
      <c r="S9710" s="188"/>
    </row>
    <row r="9711" spans="19:19" ht="60" customHeight="1" x14ac:dyDescent="0.25">
      <c r="S9711" s="188"/>
    </row>
    <row r="9712" spans="19:19" ht="60" customHeight="1" x14ac:dyDescent="0.25">
      <c r="S9712" s="188"/>
    </row>
    <row r="9713" spans="19:19" ht="60" customHeight="1" x14ac:dyDescent="0.25">
      <c r="S9713" s="188"/>
    </row>
    <row r="9714" spans="19:19" ht="60" customHeight="1" x14ac:dyDescent="0.25">
      <c r="S9714" s="188"/>
    </row>
    <row r="9715" spans="19:19" ht="60" customHeight="1" x14ac:dyDescent="0.25">
      <c r="S9715" s="188"/>
    </row>
    <row r="9716" spans="19:19" ht="60" customHeight="1" x14ac:dyDescent="0.25">
      <c r="S9716" s="188"/>
    </row>
    <row r="9717" spans="19:19" ht="60" customHeight="1" x14ac:dyDescent="0.25">
      <c r="S9717" s="188"/>
    </row>
    <row r="9718" spans="19:19" ht="60" customHeight="1" x14ac:dyDescent="0.25">
      <c r="S9718" s="188"/>
    </row>
    <row r="9719" spans="19:19" ht="60" customHeight="1" x14ac:dyDescent="0.25">
      <c r="S9719" s="188"/>
    </row>
    <row r="9720" spans="19:19" ht="60" customHeight="1" x14ac:dyDescent="0.25">
      <c r="S9720" s="188"/>
    </row>
    <row r="9721" spans="19:19" ht="60" customHeight="1" x14ac:dyDescent="0.25">
      <c r="S9721" s="188"/>
    </row>
    <row r="9722" spans="19:19" ht="60" customHeight="1" x14ac:dyDescent="0.25">
      <c r="S9722" s="188"/>
    </row>
    <row r="9723" spans="19:19" ht="60" customHeight="1" x14ac:dyDescent="0.25">
      <c r="S9723" s="188"/>
    </row>
    <row r="9724" spans="19:19" ht="60" customHeight="1" x14ac:dyDescent="0.25">
      <c r="S9724" s="188"/>
    </row>
    <row r="9725" spans="19:19" ht="60" customHeight="1" x14ac:dyDescent="0.25">
      <c r="S9725" s="188"/>
    </row>
    <row r="9726" spans="19:19" ht="60" customHeight="1" x14ac:dyDescent="0.25">
      <c r="S9726" s="188"/>
    </row>
    <row r="9727" spans="19:19" ht="60" customHeight="1" x14ac:dyDescent="0.25">
      <c r="S9727" s="188"/>
    </row>
    <row r="9728" spans="19:19" ht="60" customHeight="1" x14ac:dyDescent="0.25">
      <c r="S9728" s="188"/>
    </row>
    <row r="9729" spans="19:19" ht="60" customHeight="1" x14ac:dyDescent="0.25">
      <c r="S9729" s="188"/>
    </row>
    <row r="9730" spans="19:19" ht="60" customHeight="1" x14ac:dyDescent="0.25">
      <c r="S9730" s="188"/>
    </row>
    <row r="9731" spans="19:19" ht="60" customHeight="1" x14ac:dyDescent="0.25">
      <c r="S9731" s="188"/>
    </row>
    <row r="9732" spans="19:19" ht="60" customHeight="1" x14ac:dyDescent="0.25">
      <c r="S9732" s="188"/>
    </row>
    <row r="9733" spans="19:19" ht="60" customHeight="1" x14ac:dyDescent="0.25">
      <c r="S9733" s="188"/>
    </row>
    <row r="9734" spans="19:19" ht="60" customHeight="1" x14ac:dyDescent="0.25">
      <c r="S9734" s="188"/>
    </row>
    <row r="9735" spans="19:19" ht="60" customHeight="1" x14ac:dyDescent="0.25">
      <c r="S9735" s="188"/>
    </row>
    <row r="9736" spans="19:19" ht="60" customHeight="1" x14ac:dyDescent="0.25">
      <c r="S9736" s="188"/>
    </row>
    <row r="9737" spans="19:19" ht="60" customHeight="1" x14ac:dyDescent="0.25">
      <c r="S9737" s="188"/>
    </row>
    <row r="9738" spans="19:19" ht="60" customHeight="1" x14ac:dyDescent="0.25">
      <c r="S9738" s="188"/>
    </row>
    <row r="9739" spans="19:19" ht="60" customHeight="1" x14ac:dyDescent="0.25">
      <c r="S9739" s="188"/>
    </row>
    <row r="9740" spans="19:19" ht="60" customHeight="1" x14ac:dyDescent="0.25">
      <c r="S9740" s="188"/>
    </row>
    <row r="9741" spans="19:19" ht="60" customHeight="1" x14ac:dyDescent="0.25">
      <c r="S9741" s="188"/>
    </row>
    <row r="9742" spans="19:19" ht="60" customHeight="1" x14ac:dyDescent="0.25">
      <c r="S9742" s="188"/>
    </row>
    <row r="9743" spans="19:19" ht="60" customHeight="1" x14ac:dyDescent="0.25">
      <c r="S9743" s="188"/>
    </row>
    <row r="9744" spans="19:19" ht="60" customHeight="1" x14ac:dyDescent="0.25">
      <c r="S9744" s="188"/>
    </row>
    <row r="9745" spans="19:19" ht="60" customHeight="1" x14ac:dyDescent="0.25">
      <c r="S9745" s="188"/>
    </row>
    <row r="9746" spans="19:19" ht="60" customHeight="1" x14ac:dyDescent="0.25">
      <c r="S9746" s="188"/>
    </row>
    <row r="9747" spans="19:19" ht="60" customHeight="1" x14ac:dyDescent="0.25">
      <c r="S9747" s="188"/>
    </row>
    <row r="9748" spans="19:19" ht="60" customHeight="1" x14ac:dyDescent="0.25">
      <c r="S9748" s="188"/>
    </row>
    <row r="9749" spans="19:19" ht="60" customHeight="1" x14ac:dyDescent="0.25">
      <c r="S9749" s="188"/>
    </row>
    <row r="9750" spans="19:19" ht="60" customHeight="1" x14ac:dyDescent="0.25">
      <c r="S9750" s="188"/>
    </row>
    <row r="9751" spans="19:19" ht="60" customHeight="1" x14ac:dyDescent="0.25">
      <c r="S9751" s="188"/>
    </row>
    <row r="9752" spans="19:19" ht="60" customHeight="1" x14ac:dyDescent="0.25">
      <c r="S9752" s="188"/>
    </row>
    <row r="9753" spans="19:19" ht="60" customHeight="1" x14ac:dyDescent="0.25">
      <c r="S9753" s="188"/>
    </row>
    <row r="9754" spans="19:19" ht="60" customHeight="1" x14ac:dyDescent="0.25">
      <c r="S9754" s="188"/>
    </row>
    <row r="9755" spans="19:19" ht="60" customHeight="1" x14ac:dyDescent="0.25">
      <c r="S9755" s="188"/>
    </row>
    <row r="9756" spans="19:19" ht="60" customHeight="1" x14ac:dyDescent="0.25">
      <c r="S9756" s="188"/>
    </row>
    <row r="9757" spans="19:19" ht="60" customHeight="1" x14ac:dyDescent="0.25">
      <c r="S9757" s="188"/>
    </row>
    <row r="9758" spans="19:19" ht="60" customHeight="1" x14ac:dyDescent="0.25">
      <c r="S9758" s="188"/>
    </row>
    <row r="9759" spans="19:19" ht="60" customHeight="1" x14ac:dyDescent="0.25">
      <c r="S9759" s="188"/>
    </row>
    <row r="9760" spans="19:19" ht="60" customHeight="1" x14ac:dyDescent="0.25">
      <c r="S9760" s="188"/>
    </row>
    <row r="9761" spans="19:19" ht="60" customHeight="1" x14ac:dyDescent="0.25">
      <c r="S9761" s="188"/>
    </row>
    <row r="9762" spans="19:19" ht="60" customHeight="1" x14ac:dyDescent="0.25">
      <c r="S9762" s="188"/>
    </row>
    <row r="9763" spans="19:19" ht="60" customHeight="1" x14ac:dyDescent="0.25">
      <c r="S9763" s="188"/>
    </row>
    <row r="9764" spans="19:19" ht="60" customHeight="1" x14ac:dyDescent="0.25">
      <c r="S9764" s="188"/>
    </row>
    <row r="9765" spans="19:19" ht="60" customHeight="1" x14ac:dyDescent="0.25">
      <c r="S9765" s="188"/>
    </row>
    <row r="9766" spans="19:19" ht="60" customHeight="1" x14ac:dyDescent="0.25">
      <c r="S9766" s="188"/>
    </row>
    <row r="9767" spans="19:19" ht="60" customHeight="1" x14ac:dyDescent="0.25">
      <c r="S9767" s="188"/>
    </row>
    <row r="9768" spans="19:19" ht="60" customHeight="1" x14ac:dyDescent="0.25">
      <c r="S9768" s="188"/>
    </row>
    <row r="9769" spans="19:19" ht="60" customHeight="1" x14ac:dyDescent="0.25">
      <c r="S9769" s="188"/>
    </row>
    <row r="9770" spans="19:19" ht="60" customHeight="1" x14ac:dyDescent="0.25">
      <c r="S9770" s="188"/>
    </row>
    <row r="9771" spans="19:19" ht="60" customHeight="1" x14ac:dyDescent="0.25">
      <c r="S9771" s="188"/>
    </row>
    <row r="9772" spans="19:19" ht="60" customHeight="1" x14ac:dyDescent="0.25">
      <c r="S9772" s="188"/>
    </row>
    <row r="9773" spans="19:19" ht="60" customHeight="1" x14ac:dyDescent="0.25">
      <c r="S9773" s="188"/>
    </row>
    <row r="9774" spans="19:19" ht="60" customHeight="1" x14ac:dyDescent="0.25">
      <c r="S9774" s="188"/>
    </row>
    <row r="9775" spans="19:19" ht="60" customHeight="1" x14ac:dyDescent="0.25">
      <c r="S9775" s="188"/>
    </row>
    <row r="9776" spans="19:19" ht="60" customHeight="1" x14ac:dyDescent="0.25">
      <c r="S9776" s="188"/>
    </row>
    <row r="9777" spans="19:19" ht="60" customHeight="1" x14ac:dyDescent="0.25">
      <c r="S9777" s="188"/>
    </row>
    <row r="9778" spans="19:19" ht="60" customHeight="1" x14ac:dyDescent="0.25">
      <c r="S9778" s="188"/>
    </row>
    <row r="9779" spans="19:19" ht="60" customHeight="1" x14ac:dyDescent="0.25">
      <c r="S9779" s="188"/>
    </row>
    <row r="9780" spans="19:19" ht="60" customHeight="1" x14ac:dyDescent="0.25">
      <c r="S9780" s="188"/>
    </row>
    <row r="9781" spans="19:19" ht="60" customHeight="1" x14ac:dyDescent="0.25">
      <c r="S9781" s="188"/>
    </row>
    <row r="9782" spans="19:19" ht="60" customHeight="1" x14ac:dyDescent="0.25">
      <c r="S9782" s="188"/>
    </row>
    <row r="9783" spans="19:19" ht="60" customHeight="1" x14ac:dyDescent="0.25">
      <c r="S9783" s="188"/>
    </row>
    <row r="9784" spans="19:19" ht="60" customHeight="1" x14ac:dyDescent="0.25">
      <c r="S9784" s="188"/>
    </row>
    <row r="9785" spans="19:19" ht="60" customHeight="1" x14ac:dyDescent="0.25">
      <c r="S9785" s="188"/>
    </row>
    <row r="9786" spans="19:19" ht="60" customHeight="1" x14ac:dyDescent="0.25">
      <c r="S9786" s="188"/>
    </row>
    <row r="9787" spans="19:19" ht="60" customHeight="1" x14ac:dyDescent="0.25">
      <c r="S9787" s="188"/>
    </row>
    <row r="9788" spans="19:19" ht="60" customHeight="1" x14ac:dyDescent="0.25">
      <c r="S9788" s="188"/>
    </row>
    <row r="9789" spans="19:19" ht="60" customHeight="1" x14ac:dyDescent="0.25">
      <c r="S9789" s="188"/>
    </row>
    <row r="9790" spans="19:19" ht="60" customHeight="1" x14ac:dyDescent="0.25">
      <c r="S9790" s="188"/>
    </row>
    <row r="9791" spans="19:19" ht="60" customHeight="1" x14ac:dyDescent="0.25">
      <c r="S9791" s="188"/>
    </row>
    <row r="9792" spans="19:19" ht="60" customHeight="1" x14ac:dyDescent="0.25">
      <c r="S9792" s="188"/>
    </row>
    <row r="9793" spans="19:19" ht="60" customHeight="1" x14ac:dyDescent="0.25">
      <c r="S9793" s="188"/>
    </row>
    <row r="9794" spans="19:19" ht="60" customHeight="1" x14ac:dyDescent="0.25">
      <c r="S9794" s="188"/>
    </row>
    <row r="9795" spans="19:19" ht="60" customHeight="1" x14ac:dyDescent="0.25">
      <c r="S9795" s="188"/>
    </row>
    <row r="9796" spans="19:19" ht="60" customHeight="1" x14ac:dyDescent="0.25">
      <c r="S9796" s="188"/>
    </row>
    <row r="9797" spans="19:19" ht="60" customHeight="1" x14ac:dyDescent="0.25">
      <c r="S9797" s="188"/>
    </row>
    <row r="9798" spans="19:19" ht="60" customHeight="1" x14ac:dyDescent="0.25">
      <c r="S9798" s="188"/>
    </row>
    <row r="9799" spans="19:19" ht="60" customHeight="1" x14ac:dyDescent="0.25">
      <c r="S9799" s="188"/>
    </row>
    <row r="9800" spans="19:19" ht="60" customHeight="1" x14ac:dyDescent="0.25">
      <c r="S9800" s="188"/>
    </row>
    <row r="9801" spans="19:19" ht="60" customHeight="1" x14ac:dyDescent="0.25">
      <c r="S9801" s="188"/>
    </row>
    <row r="9802" spans="19:19" ht="60" customHeight="1" x14ac:dyDescent="0.25">
      <c r="S9802" s="188"/>
    </row>
    <row r="9803" spans="19:19" ht="60" customHeight="1" x14ac:dyDescent="0.25">
      <c r="S9803" s="188"/>
    </row>
    <row r="9804" spans="19:19" ht="60" customHeight="1" x14ac:dyDescent="0.25">
      <c r="S9804" s="188"/>
    </row>
    <row r="9805" spans="19:19" ht="60" customHeight="1" x14ac:dyDescent="0.25">
      <c r="S9805" s="188"/>
    </row>
    <row r="9806" spans="19:19" ht="60" customHeight="1" x14ac:dyDescent="0.25">
      <c r="S9806" s="188"/>
    </row>
    <row r="9807" spans="19:19" ht="60" customHeight="1" x14ac:dyDescent="0.25">
      <c r="S9807" s="188"/>
    </row>
    <row r="9808" spans="19:19" ht="60" customHeight="1" x14ac:dyDescent="0.25">
      <c r="S9808" s="188"/>
    </row>
    <row r="9809" spans="19:19" ht="60" customHeight="1" x14ac:dyDescent="0.25">
      <c r="S9809" s="188"/>
    </row>
    <row r="9810" spans="19:19" ht="60" customHeight="1" x14ac:dyDescent="0.25">
      <c r="S9810" s="188"/>
    </row>
    <row r="9811" spans="19:19" ht="60" customHeight="1" x14ac:dyDescent="0.25">
      <c r="S9811" s="188"/>
    </row>
    <row r="9812" spans="19:19" ht="60" customHeight="1" x14ac:dyDescent="0.25">
      <c r="S9812" s="188"/>
    </row>
    <row r="9813" spans="19:19" ht="60" customHeight="1" x14ac:dyDescent="0.25">
      <c r="S9813" s="188"/>
    </row>
    <row r="9814" spans="19:19" ht="60" customHeight="1" x14ac:dyDescent="0.25">
      <c r="S9814" s="188"/>
    </row>
    <row r="9815" spans="19:19" ht="60" customHeight="1" x14ac:dyDescent="0.25">
      <c r="S9815" s="188"/>
    </row>
    <row r="9816" spans="19:19" ht="60" customHeight="1" x14ac:dyDescent="0.25">
      <c r="S9816" s="188"/>
    </row>
    <row r="9817" spans="19:19" ht="60" customHeight="1" x14ac:dyDescent="0.25">
      <c r="S9817" s="188"/>
    </row>
    <row r="9818" spans="19:19" ht="60" customHeight="1" x14ac:dyDescent="0.25">
      <c r="S9818" s="188"/>
    </row>
    <row r="9819" spans="19:19" ht="60" customHeight="1" x14ac:dyDescent="0.25">
      <c r="S9819" s="188"/>
    </row>
    <row r="9820" spans="19:19" ht="60" customHeight="1" x14ac:dyDescent="0.25">
      <c r="S9820" s="188"/>
    </row>
    <row r="9821" spans="19:19" ht="60" customHeight="1" x14ac:dyDescent="0.25">
      <c r="S9821" s="188"/>
    </row>
    <row r="9822" spans="19:19" ht="60" customHeight="1" x14ac:dyDescent="0.25">
      <c r="S9822" s="188"/>
    </row>
    <row r="9823" spans="19:19" ht="60" customHeight="1" x14ac:dyDescent="0.25">
      <c r="S9823" s="188"/>
    </row>
    <row r="9824" spans="19:19" ht="60" customHeight="1" x14ac:dyDescent="0.25">
      <c r="S9824" s="188"/>
    </row>
    <row r="9825" spans="19:19" ht="60" customHeight="1" x14ac:dyDescent="0.25">
      <c r="S9825" s="188"/>
    </row>
    <row r="9826" spans="19:19" ht="60" customHeight="1" x14ac:dyDescent="0.25">
      <c r="S9826" s="188"/>
    </row>
    <row r="9827" spans="19:19" ht="60" customHeight="1" x14ac:dyDescent="0.25">
      <c r="S9827" s="188"/>
    </row>
    <row r="9828" spans="19:19" ht="60" customHeight="1" x14ac:dyDescent="0.25">
      <c r="S9828" s="188"/>
    </row>
    <row r="9829" spans="19:19" ht="60" customHeight="1" x14ac:dyDescent="0.25">
      <c r="S9829" s="188"/>
    </row>
    <row r="9830" spans="19:19" ht="60" customHeight="1" x14ac:dyDescent="0.25">
      <c r="S9830" s="188"/>
    </row>
    <row r="9831" spans="19:19" ht="60" customHeight="1" x14ac:dyDescent="0.25">
      <c r="S9831" s="188"/>
    </row>
    <row r="9832" spans="19:19" ht="60" customHeight="1" x14ac:dyDescent="0.25">
      <c r="S9832" s="188"/>
    </row>
    <row r="9833" spans="19:19" ht="60" customHeight="1" x14ac:dyDescent="0.25">
      <c r="S9833" s="188"/>
    </row>
    <row r="9834" spans="19:19" ht="60" customHeight="1" x14ac:dyDescent="0.25">
      <c r="S9834" s="188"/>
    </row>
    <row r="9835" spans="19:19" ht="60" customHeight="1" x14ac:dyDescent="0.25">
      <c r="S9835" s="188"/>
    </row>
    <row r="9836" spans="19:19" ht="60" customHeight="1" x14ac:dyDescent="0.25">
      <c r="S9836" s="188"/>
    </row>
    <row r="9837" spans="19:19" ht="60" customHeight="1" x14ac:dyDescent="0.25">
      <c r="S9837" s="188"/>
    </row>
    <row r="9838" spans="19:19" ht="60" customHeight="1" x14ac:dyDescent="0.25">
      <c r="S9838" s="188"/>
    </row>
    <row r="9839" spans="19:19" ht="60" customHeight="1" x14ac:dyDescent="0.25">
      <c r="S9839" s="188"/>
    </row>
    <row r="9840" spans="19:19" ht="60" customHeight="1" x14ac:dyDescent="0.25">
      <c r="S9840" s="188"/>
    </row>
    <row r="9841" spans="19:19" ht="60" customHeight="1" x14ac:dyDescent="0.25">
      <c r="S9841" s="188"/>
    </row>
    <row r="9842" spans="19:19" ht="60" customHeight="1" x14ac:dyDescent="0.25">
      <c r="S9842" s="188"/>
    </row>
    <row r="9843" spans="19:19" ht="60" customHeight="1" x14ac:dyDescent="0.25">
      <c r="S9843" s="188"/>
    </row>
    <row r="9844" spans="19:19" ht="60" customHeight="1" x14ac:dyDescent="0.25">
      <c r="S9844" s="188"/>
    </row>
    <row r="9845" spans="19:19" ht="60" customHeight="1" x14ac:dyDescent="0.25">
      <c r="S9845" s="188"/>
    </row>
    <row r="9846" spans="19:19" ht="60" customHeight="1" x14ac:dyDescent="0.25">
      <c r="S9846" s="188"/>
    </row>
    <row r="9847" spans="19:19" ht="60" customHeight="1" x14ac:dyDescent="0.25">
      <c r="S9847" s="188"/>
    </row>
    <row r="9848" spans="19:19" ht="60" customHeight="1" x14ac:dyDescent="0.25">
      <c r="S9848" s="188"/>
    </row>
    <row r="9849" spans="19:19" ht="60" customHeight="1" x14ac:dyDescent="0.25">
      <c r="S9849" s="188"/>
    </row>
    <row r="9850" spans="19:19" ht="60" customHeight="1" x14ac:dyDescent="0.25">
      <c r="S9850" s="188"/>
    </row>
    <row r="9851" spans="19:19" ht="60" customHeight="1" x14ac:dyDescent="0.25">
      <c r="S9851" s="188"/>
    </row>
    <row r="9852" spans="19:19" ht="60" customHeight="1" x14ac:dyDescent="0.25">
      <c r="S9852" s="188"/>
    </row>
    <row r="9853" spans="19:19" ht="60" customHeight="1" x14ac:dyDescent="0.25">
      <c r="S9853" s="188"/>
    </row>
    <row r="9854" spans="19:19" ht="60" customHeight="1" x14ac:dyDescent="0.25">
      <c r="S9854" s="188"/>
    </row>
    <row r="9855" spans="19:19" ht="60" customHeight="1" x14ac:dyDescent="0.25">
      <c r="S9855" s="188"/>
    </row>
    <row r="9856" spans="19:19" ht="60" customHeight="1" x14ac:dyDescent="0.25">
      <c r="S9856" s="188"/>
    </row>
    <row r="9857" spans="19:19" ht="60" customHeight="1" x14ac:dyDescent="0.25">
      <c r="S9857" s="188"/>
    </row>
    <row r="9858" spans="19:19" ht="60" customHeight="1" x14ac:dyDescent="0.25">
      <c r="S9858" s="188"/>
    </row>
    <row r="9859" spans="19:19" ht="60" customHeight="1" x14ac:dyDescent="0.25">
      <c r="S9859" s="188"/>
    </row>
    <row r="9860" spans="19:19" ht="60" customHeight="1" x14ac:dyDescent="0.25">
      <c r="S9860" s="188"/>
    </row>
    <row r="9861" spans="19:19" ht="60" customHeight="1" x14ac:dyDescent="0.25">
      <c r="S9861" s="188"/>
    </row>
    <row r="9862" spans="19:19" ht="60" customHeight="1" x14ac:dyDescent="0.25">
      <c r="S9862" s="188"/>
    </row>
    <row r="9863" spans="19:19" ht="60" customHeight="1" x14ac:dyDescent="0.25">
      <c r="S9863" s="188"/>
    </row>
    <row r="9864" spans="19:19" ht="60" customHeight="1" x14ac:dyDescent="0.25">
      <c r="S9864" s="188"/>
    </row>
    <row r="9865" spans="19:19" ht="60" customHeight="1" x14ac:dyDescent="0.25">
      <c r="S9865" s="188"/>
    </row>
    <row r="9866" spans="19:19" ht="60" customHeight="1" x14ac:dyDescent="0.25">
      <c r="S9866" s="188"/>
    </row>
    <row r="9867" spans="19:19" ht="60" customHeight="1" x14ac:dyDescent="0.25">
      <c r="S9867" s="188"/>
    </row>
    <row r="9868" spans="19:19" ht="60" customHeight="1" x14ac:dyDescent="0.25">
      <c r="S9868" s="188"/>
    </row>
    <row r="9869" spans="19:19" ht="60" customHeight="1" x14ac:dyDescent="0.25">
      <c r="S9869" s="188"/>
    </row>
    <row r="9870" spans="19:19" ht="60" customHeight="1" x14ac:dyDescent="0.25">
      <c r="S9870" s="188"/>
    </row>
    <row r="9871" spans="19:19" ht="60" customHeight="1" x14ac:dyDescent="0.25">
      <c r="S9871" s="188"/>
    </row>
    <row r="9872" spans="19:19" ht="60" customHeight="1" x14ac:dyDescent="0.25">
      <c r="S9872" s="188"/>
    </row>
    <row r="9873" spans="19:19" ht="60" customHeight="1" x14ac:dyDescent="0.25">
      <c r="S9873" s="188"/>
    </row>
    <row r="9874" spans="19:19" ht="60" customHeight="1" x14ac:dyDescent="0.25">
      <c r="S9874" s="188"/>
    </row>
    <row r="9875" spans="19:19" ht="60" customHeight="1" x14ac:dyDescent="0.25">
      <c r="S9875" s="188"/>
    </row>
    <row r="9876" spans="19:19" ht="60" customHeight="1" x14ac:dyDescent="0.25">
      <c r="S9876" s="188"/>
    </row>
    <row r="9877" spans="19:19" ht="60" customHeight="1" x14ac:dyDescent="0.25">
      <c r="S9877" s="188"/>
    </row>
    <row r="9878" spans="19:19" ht="60" customHeight="1" x14ac:dyDescent="0.25">
      <c r="S9878" s="188"/>
    </row>
    <row r="9879" spans="19:19" ht="60" customHeight="1" x14ac:dyDescent="0.25">
      <c r="S9879" s="188"/>
    </row>
    <row r="9880" spans="19:19" ht="60" customHeight="1" x14ac:dyDescent="0.25">
      <c r="S9880" s="188"/>
    </row>
    <row r="9881" spans="19:19" ht="60" customHeight="1" x14ac:dyDescent="0.25">
      <c r="S9881" s="188"/>
    </row>
    <row r="9882" spans="19:19" ht="60" customHeight="1" x14ac:dyDescent="0.25">
      <c r="S9882" s="188"/>
    </row>
    <row r="9883" spans="19:19" ht="60" customHeight="1" x14ac:dyDescent="0.25">
      <c r="S9883" s="188"/>
    </row>
    <row r="9884" spans="19:19" ht="60" customHeight="1" x14ac:dyDescent="0.25">
      <c r="S9884" s="188"/>
    </row>
    <row r="9885" spans="19:19" ht="60" customHeight="1" x14ac:dyDescent="0.25">
      <c r="S9885" s="188"/>
    </row>
    <row r="9886" spans="19:19" ht="60" customHeight="1" x14ac:dyDescent="0.25">
      <c r="S9886" s="188"/>
    </row>
    <row r="9887" spans="19:19" ht="60" customHeight="1" x14ac:dyDescent="0.25">
      <c r="S9887" s="188"/>
    </row>
    <row r="9888" spans="19:19" ht="60" customHeight="1" x14ac:dyDescent="0.25">
      <c r="S9888" s="188"/>
    </row>
    <row r="9889" spans="19:19" ht="60" customHeight="1" x14ac:dyDescent="0.25">
      <c r="S9889" s="188"/>
    </row>
    <row r="9890" spans="19:19" ht="60" customHeight="1" x14ac:dyDescent="0.25">
      <c r="S9890" s="188"/>
    </row>
    <row r="9891" spans="19:19" ht="60" customHeight="1" x14ac:dyDescent="0.25">
      <c r="S9891" s="188"/>
    </row>
    <row r="9892" spans="19:19" ht="60" customHeight="1" x14ac:dyDescent="0.25">
      <c r="S9892" s="188"/>
    </row>
    <row r="9893" spans="19:19" ht="60" customHeight="1" x14ac:dyDescent="0.25">
      <c r="S9893" s="188"/>
    </row>
    <row r="9894" spans="19:19" ht="60" customHeight="1" x14ac:dyDescent="0.25">
      <c r="S9894" s="188"/>
    </row>
    <row r="9895" spans="19:19" ht="60" customHeight="1" x14ac:dyDescent="0.25">
      <c r="S9895" s="188"/>
    </row>
    <row r="9896" spans="19:19" ht="60" customHeight="1" x14ac:dyDescent="0.25">
      <c r="S9896" s="188"/>
    </row>
    <row r="9897" spans="19:19" ht="60" customHeight="1" x14ac:dyDescent="0.25">
      <c r="S9897" s="188"/>
    </row>
    <row r="9898" spans="19:19" ht="60" customHeight="1" x14ac:dyDescent="0.25">
      <c r="S9898" s="188"/>
    </row>
    <row r="9899" spans="19:19" ht="60" customHeight="1" x14ac:dyDescent="0.25">
      <c r="S9899" s="188"/>
    </row>
    <row r="9900" spans="19:19" ht="60" customHeight="1" x14ac:dyDescent="0.25">
      <c r="S9900" s="188"/>
    </row>
    <row r="9901" spans="19:19" ht="60" customHeight="1" x14ac:dyDescent="0.25">
      <c r="S9901" s="188"/>
    </row>
    <row r="9902" spans="19:19" ht="60" customHeight="1" x14ac:dyDescent="0.25">
      <c r="S9902" s="188"/>
    </row>
    <row r="9903" spans="19:19" ht="60" customHeight="1" x14ac:dyDescent="0.25">
      <c r="S9903" s="188"/>
    </row>
    <row r="9904" spans="19:19" ht="60" customHeight="1" x14ac:dyDescent="0.25">
      <c r="S9904" s="188"/>
    </row>
    <row r="9905" spans="19:19" ht="60" customHeight="1" x14ac:dyDescent="0.25">
      <c r="S9905" s="188"/>
    </row>
    <row r="9906" spans="19:19" ht="60" customHeight="1" x14ac:dyDescent="0.25">
      <c r="S9906" s="188"/>
    </row>
    <row r="9907" spans="19:19" ht="60" customHeight="1" x14ac:dyDescent="0.25">
      <c r="S9907" s="188"/>
    </row>
    <row r="9908" spans="19:19" ht="60" customHeight="1" x14ac:dyDescent="0.25">
      <c r="S9908" s="188"/>
    </row>
    <row r="9909" spans="19:19" ht="60" customHeight="1" x14ac:dyDescent="0.25">
      <c r="S9909" s="188"/>
    </row>
    <row r="9910" spans="19:19" ht="60" customHeight="1" x14ac:dyDescent="0.25">
      <c r="S9910" s="188"/>
    </row>
    <row r="9911" spans="19:19" ht="60" customHeight="1" x14ac:dyDescent="0.25">
      <c r="S9911" s="188"/>
    </row>
    <row r="9912" spans="19:19" ht="60" customHeight="1" x14ac:dyDescent="0.25">
      <c r="S9912" s="188"/>
    </row>
    <row r="9913" spans="19:19" ht="60" customHeight="1" x14ac:dyDescent="0.25">
      <c r="S9913" s="188"/>
    </row>
    <row r="9914" spans="19:19" ht="60" customHeight="1" x14ac:dyDescent="0.25">
      <c r="S9914" s="188"/>
    </row>
    <row r="9915" spans="19:19" ht="60" customHeight="1" x14ac:dyDescent="0.25">
      <c r="S9915" s="188"/>
    </row>
    <row r="9916" spans="19:19" ht="60" customHeight="1" x14ac:dyDescent="0.25">
      <c r="S9916" s="188"/>
    </row>
    <row r="9917" spans="19:19" ht="60" customHeight="1" x14ac:dyDescent="0.25">
      <c r="S9917" s="188"/>
    </row>
    <row r="9918" spans="19:19" ht="60" customHeight="1" x14ac:dyDescent="0.25">
      <c r="S9918" s="188"/>
    </row>
    <row r="9919" spans="19:19" ht="60" customHeight="1" x14ac:dyDescent="0.25">
      <c r="S9919" s="188"/>
    </row>
    <row r="9920" spans="19:19" ht="60" customHeight="1" x14ac:dyDescent="0.25">
      <c r="S9920" s="188"/>
    </row>
    <row r="9921" spans="19:19" ht="60" customHeight="1" x14ac:dyDescent="0.25">
      <c r="S9921" s="188"/>
    </row>
    <row r="9922" spans="19:19" ht="60" customHeight="1" x14ac:dyDescent="0.25">
      <c r="S9922" s="188"/>
    </row>
    <row r="9923" spans="19:19" ht="60" customHeight="1" x14ac:dyDescent="0.25">
      <c r="S9923" s="188"/>
    </row>
    <row r="9924" spans="19:19" ht="60" customHeight="1" x14ac:dyDescent="0.25">
      <c r="S9924" s="188"/>
    </row>
    <row r="9925" spans="19:19" ht="60" customHeight="1" x14ac:dyDescent="0.25">
      <c r="S9925" s="188"/>
    </row>
    <row r="9926" spans="19:19" ht="60" customHeight="1" x14ac:dyDescent="0.25">
      <c r="S9926" s="188"/>
    </row>
    <row r="9927" spans="19:19" ht="60" customHeight="1" x14ac:dyDescent="0.25">
      <c r="S9927" s="188"/>
    </row>
    <row r="9928" spans="19:19" ht="60" customHeight="1" x14ac:dyDescent="0.25">
      <c r="S9928" s="188"/>
    </row>
    <row r="9929" spans="19:19" ht="60" customHeight="1" x14ac:dyDescent="0.25">
      <c r="S9929" s="188"/>
    </row>
    <row r="9930" spans="19:19" ht="60" customHeight="1" x14ac:dyDescent="0.25">
      <c r="S9930" s="188"/>
    </row>
    <row r="9931" spans="19:19" ht="60" customHeight="1" x14ac:dyDescent="0.25">
      <c r="S9931" s="188"/>
    </row>
    <row r="9932" spans="19:19" ht="60" customHeight="1" x14ac:dyDescent="0.25">
      <c r="S9932" s="188"/>
    </row>
    <row r="9933" spans="19:19" ht="60" customHeight="1" x14ac:dyDescent="0.25">
      <c r="S9933" s="188"/>
    </row>
    <row r="9934" spans="19:19" ht="60" customHeight="1" x14ac:dyDescent="0.25">
      <c r="S9934" s="188"/>
    </row>
    <row r="9935" spans="19:19" ht="60" customHeight="1" x14ac:dyDescent="0.25">
      <c r="S9935" s="188"/>
    </row>
    <row r="9936" spans="19:19" ht="60" customHeight="1" x14ac:dyDescent="0.25">
      <c r="S9936" s="188"/>
    </row>
    <row r="9937" spans="19:19" ht="60" customHeight="1" x14ac:dyDescent="0.25">
      <c r="S9937" s="188"/>
    </row>
    <row r="9938" spans="19:19" ht="60" customHeight="1" x14ac:dyDescent="0.25">
      <c r="S9938" s="188"/>
    </row>
    <row r="9939" spans="19:19" ht="60" customHeight="1" x14ac:dyDescent="0.25">
      <c r="S9939" s="188"/>
    </row>
    <row r="9940" spans="19:19" ht="60" customHeight="1" x14ac:dyDescent="0.25">
      <c r="S9940" s="188"/>
    </row>
    <row r="9941" spans="19:19" ht="60" customHeight="1" x14ac:dyDescent="0.25">
      <c r="S9941" s="188"/>
    </row>
    <row r="9942" spans="19:19" ht="60" customHeight="1" x14ac:dyDescent="0.25">
      <c r="S9942" s="188"/>
    </row>
    <row r="9943" spans="19:19" ht="60" customHeight="1" x14ac:dyDescent="0.25">
      <c r="S9943" s="188"/>
    </row>
    <row r="9944" spans="19:19" ht="60" customHeight="1" x14ac:dyDescent="0.25">
      <c r="S9944" s="188"/>
    </row>
    <row r="9945" spans="19:19" ht="60" customHeight="1" x14ac:dyDescent="0.25">
      <c r="S9945" s="188"/>
    </row>
    <row r="9946" spans="19:19" ht="60" customHeight="1" x14ac:dyDescent="0.25">
      <c r="S9946" s="188"/>
    </row>
    <row r="9947" spans="19:19" ht="60" customHeight="1" x14ac:dyDescent="0.25">
      <c r="S9947" s="188"/>
    </row>
    <row r="9948" spans="19:19" ht="60" customHeight="1" x14ac:dyDescent="0.25">
      <c r="S9948" s="188"/>
    </row>
    <row r="9949" spans="19:19" ht="60" customHeight="1" x14ac:dyDescent="0.25">
      <c r="S9949" s="188"/>
    </row>
    <row r="9950" spans="19:19" ht="60" customHeight="1" x14ac:dyDescent="0.25">
      <c r="S9950" s="188"/>
    </row>
    <row r="9951" spans="19:19" ht="60" customHeight="1" x14ac:dyDescent="0.25">
      <c r="S9951" s="188"/>
    </row>
    <row r="9952" spans="19:19" ht="60" customHeight="1" x14ac:dyDescent="0.25">
      <c r="S9952" s="188"/>
    </row>
    <row r="9953" spans="19:19" ht="60" customHeight="1" x14ac:dyDescent="0.25">
      <c r="S9953" s="188"/>
    </row>
    <row r="9954" spans="19:19" ht="60" customHeight="1" x14ac:dyDescent="0.25">
      <c r="S9954" s="188"/>
    </row>
    <row r="9955" spans="19:19" ht="60" customHeight="1" x14ac:dyDescent="0.25">
      <c r="S9955" s="188"/>
    </row>
    <row r="9956" spans="19:19" ht="60" customHeight="1" x14ac:dyDescent="0.25">
      <c r="S9956" s="188"/>
    </row>
    <row r="9957" spans="19:19" ht="60" customHeight="1" x14ac:dyDescent="0.25">
      <c r="S9957" s="188"/>
    </row>
    <row r="9958" spans="19:19" ht="60" customHeight="1" x14ac:dyDescent="0.25">
      <c r="S9958" s="188"/>
    </row>
    <row r="9959" spans="19:19" ht="60" customHeight="1" x14ac:dyDescent="0.25">
      <c r="S9959" s="188"/>
    </row>
    <row r="9960" spans="19:19" ht="60" customHeight="1" x14ac:dyDescent="0.25">
      <c r="S9960" s="188"/>
    </row>
    <row r="9961" spans="19:19" ht="60" customHeight="1" x14ac:dyDescent="0.25">
      <c r="S9961" s="188"/>
    </row>
    <row r="9962" spans="19:19" ht="60" customHeight="1" x14ac:dyDescent="0.25">
      <c r="S9962" s="188"/>
    </row>
    <row r="9963" spans="19:19" ht="60" customHeight="1" x14ac:dyDescent="0.25">
      <c r="S9963" s="188"/>
    </row>
    <row r="9964" spans="19:19" ht="60" customHeight="1" x14ac:dyDescent="0.25">
      <c r="S9964" s="188"/>
    </row>
    <row r="9965" spans="19:19" ht="60" customHeight="1" x14ac:dyDescent="0.25">
      <c r="S9965" s="188"/>
    </row>
    <row r="9966" spans="19:19" ht="60" customHeight="1" x14ac:dyDescent="0.25">
      <c r="S9966" s="188"/>
    </row>
    <row r="9967" spans="19:19" ht="60" customHeight="1" x14ac:dyDescent="0.25">
      <c r="S9967" s="188"/>
    </row>
    <row r="9968" spans="19:19" ht="60" customHeight="1" x14ac:dyDescent="0.25">
      <c r="S9968" s="188"/>
    </row>
    <row r="9969" spans="19:19" ht="60" customHeight="1" x14ac:dyDescent="0.25">
      <c r="S9969" s="188"/>
    </row>
    <row r="9970" spans="19:19" ht="60" customHeight="1" x14ac:dyDescent="0.25">
      <c r="S9970" s="188"/>
    </row>
    <row r="9971" spans="19:19" ht="60" customHeight="1" x14ac:dyDescent="0.25">
      <c r="S9971" s="188"/>
    </row>
    <row r="9972" spans="19:19" ht="60" customHeight="1" x14ac:dyDescent="0.25">
      <c r="S9972" s="188"/>
    </row>
    <row r="9973" spans="19:19" ht="60" customHeight="1" x14ac:dyDescent="0.25">
      <c r="S9973" s="188"/>
    </row>
    <row r="9974" spans="19:19" ht="60" customHeight="1" x14ac:dyDescent="0.25">
      <c r="S9974" s="188"/>
    </row>
    <row r="9975" spans="19:19" ht="60" customHeight="1" x14ac:dyDescent="0.25">
      <c r="S9975" s="188"/>
    </row>
    <row r="9976" spans="19:19" ht="60" customHeight="1" x14ac:dyDescent="0.25">
      <c r="S9976" s="188"/>
    </row>
    <row r="9977" spans="19:19" ht="60" customHeight="1" x14ac:dyDescent="0.25">
      <c r="S9977" s="188"/>
    </row>
    <row r="9978" spans="19:19" ht="60" customHeight="1" x14ac:dyDescent="0.25">
      <c r="S9978" s="188"/>
    </row>
    <row r="9979" spans="19:19" ht="60" customHeight="1" x14ac:dyDescent="0.25">
      <c r="S9979" s="188"/>
    </row>
    <row r="9980" spans="19:19" ht="60" customHeight="1" x14ac:dyDescent="0.25">
      <c r="S9980" s="188"/>
    </row>
    <row r="9981" spans="19:19" ht="60" customHeight="1" x14ac:dyDescent="0.25">
      <c r="S9981" s="188"/>
    </row>
    <row r="9982" spans="19:19" ht="60" customHeight="1" x14ac:dyDescent="0.25">
      <c r="S9982" s="188"/>
    </row>
    <row r="9983" spans="19:19" ht="60" customHeight="1" x14ac:dyDescent="0.25">
      <c r="S9983" s="188"/>
    </row>
    <row r="9984" spans="19:19" ht="60" customHeight="1" x14ac:dyDescent="0.25">
      <c r="S9984" s="188"/>
    </row>
    <row r="9985" spans="19:19" ht="60" customHeight="1" x14ac:dyDescent="0.25">
      <c r="S9985" s="188"/>
    </row>
    <row r="9986" spans="19:19" ht="60" customHeight="1" x14ac:dyDescent="0.25">
      <c r="S9986" s="188"/>
    </row>
    <row r="9987" spans="19:19" ht="60" customHeight="1" x14ac:dyDescent="0.25">
      <c r="S9987" s="188"/>
    </row>
    <row r="9988" spans="19:19" ht="60" customHeight="1" x14ac:dyDescent="0.25">
      <c r="S9988" s="188"/>
    </row>
    <row r="9989" spans="19:19" ht="60" customHeight="1" x14ac:dyDescent="0.25">
      <c r="S9989" s="188"/>
    </row>
    <row r="9990" spans="19:19" ht="60" customHeight="1" x14ac:dyDescent="0.25">
      <c r="S9990" s="188"/>
    </row>
    <row r="9991" spans="19:19" ht="60" customHeight="1" x14ac:dyDescent="0.25">
      <c r="S9991" s="188"/>
    </row>
    <row r="9992" spans="19:19" ht="60" customHeight="1" x14ac:dyDescent="0.25">
      <c r="S9992" s="188"/>
    </row>
    <row r="9993" spans="19:19" ht="60" customHeight="1" x14ac:dyDescent="0.25">
      <c r="S9993" s="188"/>
    </row>
    <row r="9994" spans="19:19" ht="60" customHeight="1" x14ac:dyDescent="0.25">
      <c r="S9994" s="188"/>
    </row>
    <row r="9995" spans="19:19" ht="60" customHeight="1" x14ac:dyDescent="0.25">
      <c r="S9995" s="188"/>
    </row>
    <row r="9996" spans="19:19" ht="60" customHeight="1" x14ac:dyDescent="0.25">
      <c r="S9996" s="188"/>
    </row>
    <row r="9997" spans="19:19" ht="60" customHeight="1" x14ac:dyDescent="0.25">
      <c r="S9997" s="188"/>
    </row>
    <row r="9998" spans="19:19" ht="60" customHeight="1" x14ac:dyDescent="0.25">
      <c r="S9998" s="188"/>
    </row>
    <row r="9999" spans="19:19" ht="60" customHeight="1" x14ac:dyDescent="0.25">
      <c r="S9999" s="188"/>
    </row>
    <row r="10000" spans="19:19" ht="60" customHeight="1" x14ac:dyDescent="0.25">
      <c r="S10000" s="188"/>
    </row>
    <row r="10001" spans="19:19" ht="60" customHeight="1" x14ac:dyDescent="0.25">
      <c r="S10001" s="188"/>
    </row>
    <row r="10002" spans="19:19" ht="60" customHeight="1" x14ac:dyDescent="0.25">
      <c r="S10002" s="188"/>
    </row>
    <row r="10003" spans="19:19" ht="60" customHeight="1" x14ac:dyDescent="0.25">
      <c r="S10003" s="188"/>
    </row>
    <row r="10004" spans="19:19" ht="60" customHeight="1" x14ac:dyDescent="0.25">
      <c r="S10004" s="188"/>
    </row>
    <row r="10005" spans="19:19" ht="60" customHeight="1" x14ac:dyDescent="0.25">
      <c r="S10005" s="188"/>
    </row>
    <row r="10006" spans="19:19" ht="60" customHeight="1" x14ac:dyDescent="0.25">
      <c r="S10006" s="188"/>
    </row>
    <row r="10007" spans="19:19" ht="60" customHeight="1" x14ac:dyDescent="0.25">
      <c r="S10007" s="188"/>
    </row>
    <row r="10008" spans="19:19" ht="60" customHeight="1" x14ac:dyDescent="0.25">
      <c r="S10008" s="188"/>
    </row>
    <row r="10009" spans="19:19" ht="60" customHeight="1" x14ac:dyDescent="0.25">
      <c r="S10009" s="188"/>
    </row>
    <row r="10010" spans="19:19" ht="60" customHeight="1" x14ac:dyDescent="0.25">
      <c r="S10010" s="188"/>
    </row>
    <row r="10011" spans="19:19" ht="60" customHeight="1" x14ac:dyDescent="0.25">
      <c r="S10011" s="188"/>
    </row>
    <row r="10012" spans="19:19" ht="60" customHeight="1" x14ac:dyDescent="0.25">
      <c r="S10012" s="188"/>
    </row>
    <row r="10013" spans="19:19" ht="60" customHeight="1" x14ac:dyDescent="0.25">
      <c r="S10013" s="188"/>
    </row>
    <row r="10014" spans="19:19" ht="60" customHeight="1" x14ac:dyDescent="0.25">
      <c r="S10014" s="188"/>
    </row>
    <row r="10015" spans="19:19" ht="60" customHeight="1" x14ac:dyDescent="0.25">
      <c r="S10015" s="188"/>
    </row>
    <row r="10016" spans="19:19" ht="60" customHeight="1" x14ac:dyDescent="0.25">
      <c r="S10016" s="188"/>
    </row>
    <row r="10017" spans="19:19" ht="60" customHeight="1" x14ac:dyDescent="0.25">
      <c r="S10017" s="188"/>
    </row>
    <row r="10018" spans="19:19" ht="60" customHeight="1" x14ac:dyDescent="0.25">
      <c r="S10018" s="188"/>
    </row>
    <row r="10019" spans="19:19" ht="60" customHeight="1" x14ac:dyDescent="0.25">
      <c r="S10019" s="188"/>
    </row>
    <row r="10020" spans="19:19" ht="60" customHeight="1" x14ac:dyDescent="0.25">
      <c r="S10020" s="188"/>
    </row>
    <row r="10021" spans="19:19" ht="60" customHeight="1" x14ac:dyDescent="0.25">
      <c r="S10021" s="188"/>
    </row>
    <row r="10022" spans="19:19" ht="60" customHeight="1" x14ac:dyDescent="0.25">
      <c r="S10022" s="188"/>
    </row>
    <row r="10023" spans="19:19" ht="60" customHeight="1" x14ac:dyDescent="0.25">
      <c r="S10023" s="188"/>
    </row>
    <row r="10024" spans="19:19" ht="60" customHeight="1" x14ac:dyDescent="0.25">
      <c r="S10024" s="188"/>
    </row>
    <row r="10025" spans="19:19" ht="60" customHeight="1" x14ac:dyDescent="0.25">
      <c r="S10025" s="188"/>
    </row>
    <row r="10026" spans="19:19" ht="60" customHeight="1" x14ac:dyDescent="0.25">
      <c r="S10026" s="188"/>
    </row>
    <row r="10027" spans="19:19" ht="60" customHeight="1" x14ac:dyDescent="0.25">
      <c r="S10027" s="188"/>
    </row>
    <row r="10028" spans="19:19" ht="60" customHeight="1" x14ac:dyDescent="0.25">
      <c r="S10028" s="188"/>
    </row>
    <row r="10029" spans="19:19" ht="60" customHeight="1" x14ac:dyDescent="0.25">
      <c r="S10029" s="188"/>
    </row>
    <row r="10030" spans="19:19" ht="60" customHeight="1" x14ac:dyDescent="0.25">
      <c r="S10030" s="188"/>
    </row>
    <row r="10031" spans="19:19" ht="60" customHeight="1" x14ac:dyDescent="0.25">
      <c r="S10031" s="188"/>
    </row>
    <row r="10032" spans="19:19" ht="60" customHeight="1" x14ac:dyDescent="0.25">
      <c r="S10032" s="188"/>
    </row>
    <row r="10033" spans="19:19" ht="60" customHeight="1" x14ac:dyDescent="0.25">
      <c r="S10033" s="188"/>
    </row>
    <row r="10034" spans="19:19" ht="60" customHeight="1" x14ac:dyDescent="0.25">
      <c r="S10034" s="188"/>
    </row>
    <row r="10035" spans="19:19" ht="60" customHeight="1" x14ac:dyDescent="0.25">
      <c r="S10035" s="188"/>
    </row>
    <row r="10036" spans="19:19" ht="60" customHeight="1" x14ac:dyDescent="0.25">
      <c r="S10036" s="188"/>
    </row>
    <row r="10037" spans="19:19" ht="60" customHeight="1" x14ac:dyDescent="0.25">
      <c r="S10037" s="188"/>
    </row>
    <row r="10038" spans="19:19" ht="60" customHeight="1" x14ac:dyDescent="0.25">
      <c r="S10038" s="188"/>
    </row>
    <row r="10039" spans="19:19" ht="60" customHeight="1" x14ac:dyDescent="0.25">
      <c r="S10039" s="188"/>
    </row>
    <row r="10040" spans="19:19" ht="60" customHeight="1" x14ac:dyDescent="0.25">
      <c r="S10040" s="188"/>
    </row>
    <row r="10041" spans="19:19" ht="60" customHeight="1" x14ac:dyDescent="0.25">
      <c r="S10041" s="188"/>
    </row>
    <row r="10042" spans="19:19" ht="60" customHeight="1" x14ac:dyDescent="0.25">
      <c r="S10042" s="188"/>
    </row>
    <row r="10043" spans="19:19" ht="60" customHeight="1" x14ac:dyDescent="0.25">
      <c r="S10043" s="188"/>
    </row>
    <row r="10044" spans="19:19" ht="60" customHeight="1" x14ac:dyDescent="0.25">
      <c r="S10044" s="188"/>
    </row>
    <row r="10045" spans="19:19" ht="60" customHeight="1" x14ac:dyDescent="0.25">
      <c r="S10045" s="188"/>
    </row>
    <row r="10046" spans="19:19" ht="60" customHeight="1" x14ac:dyDescent="0.25">
      <c r="S10046" s="188"/>
    </row>
    <row r="10047" spans="19:19" ht="60" customHeight="1" x14ac:dyDescent="0.25">
      <c r="S10047" s="188"/>
    </row>
    <row r="10048" spans="19:19" ht="60" customHeight="1" x14ac:dyDescent="0.25">
      <c r="S10048" s="188"/>
    </row>
    <row r="10049" spans="19:19" ht="60" customHeight="1" x14ac:dyDescent="0.25">
      <c r="S10049" s="188"/>
    </row>
    <row r="10050" spans="19:19" ht="60" customHeight="1" x14ac:dyDescent="0.25">
      <c r="S10050" s="188"/>
    </row>
    <row r="10051" spans="19:19" ht="60" customHeight="1" x14ac:dyDescent="0.25">
      <c r="S10051" s="188"/>
    </row>
    <row r="10052" spans="19:19" ht="60" customHeight="1" x14ac:dyDescent="0.25">
      <c r="S10052" s="188"/>
    </row>
    <row r="10053" spans="19:19" ht="60" customHeight="1" x14ac:dyDescent="0.25">
      <c r="S10053" s="188"/>
    </row>
    <row r="10054" spans="19:19" ht="60" customHeight="1" x14ac:dyDescent="0.25">
      <c r="S10054" s="188"/>
    </row>
    <row r="10055" spans="19:19" ht="60" customHeight="1" x14ac:dyDescent="0.25">
      <c r="S10055" s="188"/>
    </row>
    <row r="10056" spans="19:19" ht="60" customHeight="1" x14ac:dyDescent="0.25">
      <c r="S10056" s="188"/>
    </row>
    <row r="10057" spans="19:19" ht="60" customHeight="1" x14ac:dyDescent="0.25">
      <c r="S10057" s="188"/>
    </row>
    <row r="10058" spans="19:19" ht="60" customHeight="1" x14ac:dyDescent="0.25">
      <c r="S10058" s="188"/>
    </row>
    <row r="10059" spans="19:19" ht="60" customHeight="1" x14ac:dyDescent="0.25">
      <c r="S10059" s="188"/>
    </row>
    <row r="10060" spans="19:19" ht="60" customHeight="1" x14ac:dyDescent="0.25">
      <c r="S10060" s="188"/>
    </row>
    <row r="10061" spans="19:19" ht="60" customHeight="1" x14ac:dyDescent="0.25">
      <c r="S10061" s="188"/>
    </row>
    <row r="10062" spans="19:19" ht="60" customHeight="1" x14ac:dyDescent="0.25">
      <c r="S10062" s="188"/>
    </row>
    <row r="10063" spans="19:19" ht="60" customHeight="1" x14ac:dyDescent="0.25">
      <c r="S10063" s="188"/>
    </row>
    <row r="10064" spans="19:19" ht="60" customHeight="1" x14ac:dyDescent="0.25">
      <c r="S10064" s="188"/>
    </row>
    <row r="10065" spans="19:19" ht="60" customHeight="1" x14ac:dyDescent="0.25">
      <c r="S10065" s="188"/>
    </row>
    <row r="10066" spans="19:19" ht="60" customHeight="1" x14ac:dyDescent="0.25">
      <c r="S10066" s="188"/>
    </row>
    <row r="10067" spans="19:19" ht="60" customHeight="1" x14ac:dyDescent="0.25">
      <c r="S10067" s="188"/>
    </row>
    <row r="10068" spans="19:19" ht="60" customHeight="1" x14ac:dyDescent="0.25">
      <c r="S10068" s="188"/>
    </row>
    <row r="10069" spans="19:19" ht="60" customHeight="1" x14ac:dyDescent="0.25">
      <c r="S10069" s="188"/>
    </row>
    <row r="10070" spans="19:19" ht="60" customHeight="1" x14ac:dyDescent="0.25">
      <c r="S10070" s="188"/>
    </row>
    <row r="10071" spans="19:19" ht="60" customHeight="1" x14ac:dyDescent="0.25">
      <c r="S10071" s="188"/>
    </row>
    <row r="10072" spans="19:19" ht="60" customHeight="1" x14ac:dyDescent="0.25">
      <c r="S10072" s="188"/>
    </row>
    <row r="10073" spans="19:19" ht="60" customHeight="1" x14ac:dyDescent="0.25">
      <c r="S10073" s="188"/>
    </row>
    <row r="10074" spans="19:19" ht="60" customHeight="1" x14ac:dyDescent="0.25">
      <c r="S10074" s="188"/>
    </row>
    <row r="10075" spans="19:19" ht="60" customHeight="1" x14ac:dyDescent="0.25">
      <c r="S10075" s="188"/>
    </row>
    <row r="10076" spans="19:19" ht="60" customHeight="1" x14ac:dyDescent="0.25">
      <c r="S10076" s="188"/>
    </row>
    <row r="10077" spans="19:19" ht="60" customHeight="1" x14ac:dyDescent="0.25">
      <c r="S10077" s="188"/>
    </row>
    <row r="10078" spans="19:19" ht="60" customHeight="1" x14ac:dyDescent="0.25">
      <c r="S10078" s="188"/>
    </row>
    <row r="10079" spans="19:19" ht="60" customHeight="1" x14ac:dyDescent="0.25">
      <c r="S10079" s="188"/>
    </row>
    <row r="10080" spans="19:19" ht="60" customHeight="1" x14ac:dyDescent="0.25">
      <c r="S10080" s="188"/>
    </row>
    <row r="10081" spans="19:19" ht="60" customHeight="1" x14ac:dyDescent="0.25">
      <c r="S10081" s="188"/>
    </row>
    <row r="10082" spans="19:19" ht="60" customHeight="1" x14ac:dyDescent="0.25">
      <c r="S10082" s="188"/>
    </row>
    <row r="10083" spans="19:19" ht="60" customHeight="1" x14ac:dyDescent="0.25">
      <c r="S10083" s="188"/>
    </row>
    <row r="10084" spans="19:19" ht="60" customHeight="1" x14ac:dyDescent="0.25">
      <c r="S10084" s="188"/>
    </row>
    <row r="10085" spans="19:19" ht="60" customHeight="1" x14ac:dyDescent="0.25">
      <c r="S10085" s="188"/>
    </row>
    <row r="10086" spans="19:19" ht="60" customHeight="1" x14ac:dyDescent="0.25">
      <c r="S10086" s="188"/>
    </row>
    <row r="10087" spans="19:19" ht="60" customHeight="1" x14ac:dyDescent="0.25">
      <c r="S10087" s="188"/>
    </row>
    <row r="10088" spans="19:19" ht="60" customHeight="1" x14ac:dyDescent="0.25">
      <c r="S10088" s="188"/>
    </row>
    <row r="10089" spans="19:19" ht="60" customHeight="1" x14ac:dyDescent="0.25">
      <c r="S10089" s="188"/>
    </row>
    <row r="10090" spans="19:19" ht="60" customHeight="1" x14ac:dyDescent="0.25">
      <c r="S10090" s="188"/>
    </row>
    <row r="10091" spans="19:19" ht="60" customHeight="1" x14ac:dyDescent="0.25">
      <c r="S10091" s="188"/>
    </row>
    <row r="10092" spans="19:19" ht="60" customHeight="1" x14ac:dyDescent="0.25">
      <c r="S10092" s="188"/>
    </row>
    <row r="10093" spans="19:19" ht="60" customHeight="1" x14ac:dyDescent="0.25">
      <c r="S10093" s="188"/>
    </row>
    <row r="10094" spans="19:19" ht="60" customHeight="1" x14ac:dyDescent="0.25">
      <c r="S10094" s="188"/>
    </row>
    <row r="10095" spans="19:19" ht="60" customHeight="1" x14ac:dyDescent="0.25">
      <c r="S10095" s="188"/>
    </row>
    <row r="10096" spans="19:19" ht="60" customHeight="1" x14ac:dyDescent="0.25">
      <c r="S10096" s="188"/>
    </row>
    <row r="10097" spans="19:19" ht="60" customHeight="1" x14ac:dyDescent="0.25">
      <c r="S10097" s="188"/>
    </row>
    <row r="10098" spans="19:19" ht="60" customHeight="1" x14ac:dyDescent="0.25">
      <c r="S10098" s="188"/>
    </row>
    <row r="10099" spans="19:19" ht="60" customHeight="1" x14ac:dyDescent="0.25">
      <c r="S10099" s="188"/>
    </row>
    <row r="10100" spans="19:19" ht="60" customHeight="1" x14ac:dyDescent="0.25">
      <c r="S10100" s="188"/>
    </row>
    <row r="10101" spans="19:19" ht="60" customHeight="1" x14ac:dyDescent="0.25">
      <c r="S10101" s="188"/>
    </row>
    <row r="10102" spans="19:19" ht="60" customHeight="1" x14ac:dyDescent="0.25">
      <c r="S10102" s="188"/>
    </row>
    <row r="10103" spans="19:19" ht="60" customHeight="1" x14ac:dyDescent="0.25">
      <c r="S10103" s="188"/>
    </row>
    <row r="10104" spans="19:19" ht="60" customHeight="1" x14ac:dyDescent="0.25">
      <c r="S10104" s="188"/>
    </row>
    <row r="10105" spans="19:19" ht="60" customHeight="1" x14ac:dyDescent="0.25">
      <c r="S10105" s="188"/>
    </row>
    <row r="10106" spans="19:19" ht="60" customHeight="1" x14ac:dyDescent="0.25">
      <c r="S10106" s="188"/>
    </row>
    <row r="10107" spans="19:19" ht="60" customHeight="1" x14ac:dyDescent="0.25">
      <c r="S10107" s="188"/>
    </row>
    <row r="10108" spans="19:19" ht="60" customHeight="1" x14ac:dyDescent="0.25">
      <c r="S10108" s="188"/>
    </row>
    <row r="10109" spans="19:19" ht="60" customHeight="1" x14ac:dyDescent="0.25">
      <c r="S10109" s="188"/>
    </row>
    <row r="10110" spans="19:19" ht="60" customHeight="1" x14ac:dyDescent="0.25">
      <c r="S10110" s="188"/>
    </row>
    <row r="10111" spans="19:19" ht="60" customHeight="1" x14ac:dyDescent="0.25">
      <c r="S10111" s="188"/>
    </row>
    <row r="10112" spans="19:19" ht="60" customHeight="1" x14ac:dyDescent="0.25">
      <c r="S10112" s="188"/>
    </row>
    <row r="10113" spans="19:19" ht="60" customHeight="1" x14ac:dyDescent="0.25">
      <c r="S10113" s="188"/>
    </row>
    <row r="10114" spans="19:19" ht="60" customHeight="1" x14ac:dyDescent="0.25">
      <c r="S10114" s="188"/>
    </row>
    <row r="10115" spans="19:19" ht="60" customHeight="1" x14ac:dyDescent="0.25">
      <c r="S10115" s="188"/>
    </row>
    <row r="10116" spans="19:19" ht="60" customHeight="1" x14ac:dyDescent="0.25">
      <c r="S10116" s="188"/>
    </row>
    <row r="10117" spans="19:19" ht="60" customHeight="1" x14ac:dyDescent="0.25">
      <c r="S10117" s="188"/>
    </row>
    <row r="10118" spans="19:19" ht="60" customHeight="1" x14ac:dyDescent="0.25">
      <c r="S10118" s="188"/>
    </row>
    <row r="10119" spans="19:19" ht="60" customHeight="1" x14ac:dyDescent="0.25">
      <c r="S10119" s="188"/>
    </row>
    <row r="10120" spans="19:19" ht="60" customHeight="1" x14ac:dyDescent="0.25">
      <c r="S10120" s="188"/>
    </row>
    <row r="10121" spans="19:19" ht="60" customHeight="1" x14ac:dyDescent="0.25">
      <c r="S10121" s="188"/>
    </row>
    <row r="10122" spans="19:19" ht="60" customHeight="1" x14ac:dyDescent="0.25">
      <c r="S10122" s="188"/>
    </row>
    <row r="10123" spans="19:19" ht="60" customHeight="1" x14ac:dyDescent="0.25">
      <c r="S10123" s="188"/>
    </row>
    <row r="10124" spans="19:19" ht="60" customHeight="1" x14ac:dyDescent="0.25">
      <c r="S10124" s="188"/>
    </row>
    <row r="10125" spans="19:19" ht="60" customHeight="1" x14ac:dyDescent="0.25">
      <c r="S10125" s="188"/>
    </row>
    <row r="10126" spans="19:19" ht="60" customHeight="1" x14ac:dyDescent="0.25">
      <c r="S10126" s="188"/>
    </row>
    <row r="10127" spans="19:19" ht="60" customHeight="1" x14ac:dyDescent="0.25">
      <c r="S10127" s="188"/>
    </row>
    <row r="10128" spans="19:19" ht="60" customHeight="1" x14ac:dyDescent="0.25">
      <c r="S10128" s="188"/>
    </row>
    <row r="10129" spans="19:19" ht="60" customHeight="1" x14ac:dyDescent="0.25">
      <c r="S10129" s="188"/>
    </row>
    <row r="10130" spans="19:19" ht="60" customHeight="1" x14ac:dyDescent="0.25">
      <c r="S10130" s="188"/>
    </row>
    <row r="10131" spans="19:19" ht="60" customHeight="1" x14ac:dyDescent="0.25">
      <c r="S10131" s="188"/>
    </row>
    <row r="10132" spans="19:19" ht="60" customHeight="1" x14ac:dyDescent="0.25">
      <c r="S10132" s="188"/>
    </row>
    <row r="10133" spans="19:19" ht="60" customHeight="1" x14ac:dyDescent="0.25">
      <c r="S10133" s="188"/>
    </row>
    <row r="10134" spans="19:19" ht="60" customHeight="1" x14ac:dyDescent="0.25">
      <c r="S10134" s="188"/>
    </row>
    <row r="10135" spans="19:19" ht="60" customHeight="1" x14ac:dyDescent="0.25">
      <c r="S10135" s="188"/>
    </row>
    <row r="10136" spans="19:19" ht="60" customHeight="1" x14ac:dyDescent="0.25">
      <c r="S10136" s="188"/>
    </row>
    <row r="10137" spans="19:19" ht="60" customHeight="1" x14ac:dyDescent="0.25">
      <c r="S10137" s="188"/>
    </row>
    <row r="10138" spans="19:19" ht="60" customHeight="1" x14ac:dyDescent="0.25">
      <c r="S10138" s="188"/>
    </row>
    <row r="10139" spans="19:19" ht="60" customHeight="1" x14ac:dyDescent="0.25">
      <c r="S10139" s="188"/>
    </row>
    <row r="10140" spans="19:19" ht="60" customHeight="1" x14ac:dyDescent="0.25">
      <c r="S10140" s="188"/>
    </row>
    <row r="10141" spans="19:19" ht="60" customHeight="1" x14ac:dyDescent="0.25">
      <c r="S10141" s="188"/>
    </row>
    <row r="10142" spans="19:19" ht="60" customHeight="1" x14ac:dyDescent="0.25">
      <c r="S10142" s="188"/>
    </row>
    <row r="10143" spans="19:19" ht="60" customHeight="1" x14ac:dyDescent="0.25">
      <c r="S10143" s="188"/>
    </row>
    <row r="10144" spans="19:19" ht="60" customHeight="1" x14ac:dyDescent="0.25">
      <c r="S10144" s="188"/>
    </row>
    <row r="10145" spans="19:19" ht="60" customHeight="1" x14ac:dyDescent="0.25">
      <c r="S10145" s="188"/>
    </row>
    <row r="10146" spans="19:19" ht="60" customHeight="1" x14ac:dyDescent="0.25">
      <c r="S10146" s="188"/>
    </row>
    <row r="10147" spans="19:19" ht="60" customHeight="1" x14ac:dyDescent="0.25">
      <c r="S10147" s="188"/>
    </row>
    <row r="10148" spans="19:19" ht="60" customHeight="1" x14ac:dyDescent="0.25">
      <c r="S10148" s="188"/>
    </row>
    <row r="10149" spans="19:19" ht="60" customHeight="1" x14ac:dyDescent="0.25">
      <c r="S10149" s="188"/>
    </row>
    <row r="10150" spans="19:19" ht="60" customHeight="1" x14ac:dyDescent="0.25">
      <c r="S10150" s="188"/>
    </row>
    <row r="10151" spans="19:19" ht="60" customHeight="1" x14ac:dyDescent="0.25">
      <c r="S10151" s="188"/>
    </row>
    <row r="10152" spans="19:19" ht="60" customHeight="1" x14ac:dyDescent="0.25">
      <c r="S10152" s="188"/>
    </row>
    <row r="10153" spans="19:19" ht="60" customHeight="1" x14ac:dyDescent="0.25">
      <c r="S10153" s="188"/>
    </row>
    <row r="10154" spans="19:19" ht="60" customHeight="1" x14ac:dyDescent="0.25">
      <c r="S10154" s="188"/>
    </row>
    <row r="10155" spans="19:19" ht="60" customHeight="1" x14ac:dyDescent="0.25">
      <c r="S10155" s="188"/>
    </row>
    <row r="10156" spans="19:19" ht="60" customHeight="1" x14ac:dyDescent="0.25">
      <c r="S10156" s="188"/>
    </row>
    <row r="10157" spans="19:19" ht="60" customHeight="1" x14ac:dyDescent="0.25">
      <c r="S10157" s="188"/>
    </row>
    <row r="10158" spans="19:19" ht="60" customHeight="1" x14ac:dyDescent="0.25">
      <c r="S10158" s="188"/>
    </row>
    <row r="10159" spans="19:19" ht="60" customHeight="1" x14ac:dyDescent="0.25">
      <c r="S10159" s="188"/>
    </row>
    <row r="10160" spans="19:19" ht="60" customHeight="1" x14ac:dyDescent="0.25">
      <c r="S10160" s="188"/>
    </row>
    <row r="10161" spans="19:19" ht="60" customHeight="1" x14ac:dyDescent="0.25">
      <c r="S10161" s="188"/>
    </row>
    <row r="10162" spans="19:19" ht="60" customHeight="1" x14ac:dyDescent="0.25">
      <c r="S10162" s="188"/>
    </row>
    <row r="10163" spans="19:19" ht="60" customHeight="1" x14ac:dyDescent="0.25">
      <c r="S10163" s="188"/>
    </row>
    <row r="10164" spans="19:19" ht="60" customHeight="1" x14ac:dyDescent="0.25">
      <c r="S10164" s="188"/>
    </row>
    <row r="10165" spans="19:19" ht="60" customHeight="1" x14ac:dyDescent="0.25">
      <c r="S10165" s="188"/>
    </row>
    <row r="10166" spans="19:19" ht="60" customHeight="1" x14ac:dyDescent="0.25">
      <c r="S10166" s="188"/>
    </row>
    <row r="10167" spans="19:19" ht="60" customHeight="1" x14ac:dyDescent="0.25">
      <c r="S10167" s="188"/>
    </row>
    <row r="10168" spans="19:19" ht="60" customHeight="1" x14ac:dyDescent="0.25">
      <c r="S10168" s="188"/>
    </row>
    <row r="10169" spans="19:19" ht="60" customHeight="1" x14ac:dyDescent="0.25">
      <c r="S10169" s="188"/>
    </row>
    <row r="10170" spans="19:19" ht="60" customHeight="1" x14ac:dyDescent="0.25">
      <c r="S10170" s="188"/>
    </row>
    <row r="10171" spans="19:19" ht="60" customHeight="1" x14ac:dyDescent="0.25">
      <c r="S10171" s="188"/>
    </row>
    <row r="10172" spans="19:19" ht="60" customHeight="1" x14ac:dyDescent="0.25">
      <c r="S10172" s="188"/>
    </row>
    <row r="10173" spans="19:19" ht="60" customHeight="1" x14ac:dyDescent="0.25">
      <c r="S10173" s="188"/>
    </row>
    <row r="10174" spans="19:19" ht="60" customHeight="1" x14ac:dyDescent="0.25">
      <c r="S10174" s="188"/>
    </row>
    <row r="10175" spans="19:19" ht="60" customHeight="1" x14ac:dyDescent="0.25">
      <c r="S10175" s="188"/>
    </row>
    <row r="10176" spans="19:19" ht="60" customHeight="1" x14ac:dyDescent="0.25">
      <c r="S10176" s="188"/>
    </row>
    <row r="10177" spans="19:19" ht="60" customHeight="1" x14ac:dyDescent="0.25">
      <c r="S10177" s="188"/>
    </row>
    <row r="10178" spans="19:19" ht="60" customHeight="1" x14ac:dyDescent="0.25">
      <c r="S10178" s="188"/>
    </row>
    <row r="10179" spans="19:19" ht="60" customHeight="1" x14ac:dyDescent="0.25">
      <c r="S10179" s="188"/>
    </row>
    <row r="10180" spans="19:19" ht="60" customHeight="1" x14ac:dyDescent="0.25">
      <c r="S10180" s="188"/>
    </row>
    <row r="10181" spans="19:19" ht="60" customHeight="1" x14ac:dyDescent="0.25">
      <c r="S10181" s="188"/>
    </row>
    <row r="10182" spans="19:19" ht="60" customHeight="1" x14ac:dyDescent="0.25">
      <c r="S10182" s="188"/>
    </row>
    <row r="10183" spans="19:19" ht="60" customHeight="1" x14ac:dyDescent="0.25">
      <c r="S10183" s="188"/>
    </row>
    <row r="10184" spans="19:19" ht="60" customHeight="1" x14ac:dyDescent="0.25">
      <c r="S10184" s="188"/>
    </row>
    <row r="10185" spans="19:19" ht="60" customHeight="1" x14ac:dyDescent="0.25">
      <c r="S10185" s="188"/>
    </row>
    <row r="10186" spans="19:19" ht="60" customHeight="1" x14ac:dyDescent="0.25">
      <c r="S10186" s="188"/>
    </row>
    <row r="10187" spans="19:19" ht="60" customHeight="1" x14ac:dyDescent="0.25">
      <c r="S10187" s="188"/>
    </row>
    <row r="10188" spans="19:19" ht="60" customHeight="1" x14ac:dyDescent="0.25">
      <c r="S10188" s="188"/>
    </row>
    <row r="10189" spans="19:19" ht="60" customHeight="1" x14ac:dyDescent="0.25">
      <c r="S10189" s="188"/>
    </row>
    <row r="10190" spans="19:19" ht="60" customHeight="1" x14ac:dyDescent="0.25">
      <c r="S10190" s="188"/>
    </row>
    <row r="10191" spans="19:19" ht="60" customHeight="1" x14ac:dyDescent="0.25">
      <c r="S10191" s="188"/>
    </row>
    <row r="10192" spans="19:19" ht="60" customHeight="1" x14ac:dyDescent="0.25">
      <c r="S10192" s="188"/>
    </row>
    <row r="10193" spans="19:19" ht="60" customHeight="1" x14ac:dyDescent="0.25">
      <c r="S10193" s="188"/>
    </row>
    <row r="10194" spans="19:19" ht="60" customHeight="1" x14ac:dyDescent="0.25">
      <c r="S10194" s="188"/>
    </row>
    <row r="10195" spans="19:19" ht="60" customHeight="1" x14ac:dyDescent="0.25">
      <c r="S10195" s="188"/>
    </row>
    <row r="10196" spans="19:19" ht="60" customHeight="1" x14ac:dyDescent="0.25">
      <c r="S10196" s="188"/>
    </row>
    <row r="10197" spans="19:19" ht="60" customHeight="1" x14ac:dyDescent="0.25">
      <c r="S10197" s="188"/>
    </row>
    <row r="10198" spans="19:19" ht="60" customHeight="1" x14ac:dyDescent="0.25">
      <c r="S10198" s="188"/>
    </row>
    <row r="10199" spans="19:19" ht="60" customHeight="1" x14ac:dyDescent="0.25">
      <c r="S10199" s="188"/>
    </row>
    <row r="10200" spans="19:19" ht="60" customHeight="1" x14ac:dyDescent="0.25">
      <c r="S10200" s="188"/>
    </row>
    <row r="10201" spans="19:19" ht="60" customHeight="1" x14ac:dyDescent="0.25">
      <c r="S10201" s="188"/>
    </row>
    <row r="10202" spans="19:19" ht="60" customHeight="1" x14ac:dyDescent="0.25">
      <c r="S10202" s="188"/>
    </row>
    <row r="10203" spans="19:19" ht="60" customHeight="1" x14ac:dyDescent="0.25">
      <c r="S10203" s="188"/>
    </row>
    <row r="10204" spans="19:19" ht="60" customHeight="1" x14ac:dyDescent="0.25">
      <c r="S10204" s="188"/>
    </row>
    <row r="10205" spans="19:19" ht="60" customHeight="1" x14ac:dyDescent="0.25">
      <c r="S10205" s="188"/>
    </row>
    <row r="10206" spans="19:19" ht="60" customHeight="1" x14ac:dyDescent="0.25">
      <c r="S10206" s="188"/>
    </row>
    <row r="10207" spans="19:19" ht="60" customHeight="1" x14ac:dyDescent="0.25">
      <c r="S10207" s="188"/>
    </row>
    <row r="10208" spans="19:19" ht="60" customHeight="1" x14ac:dyDescent="0.25">
      <c r="S10208" s="188"/>
    </row>
    <row r="10209" spans="19:19" ht="60" customHeight="1" x14ac:dyDescent="0.25">
      <c r="S10209" s="188"/>
    </row>
    <row r="10210" spans="19:19" ht="60" customHeight="1" x14ac:dyDescent="0.25">
      <c r="S10210" s="188"/>
    </row>
    <row r="10211" spans="19:19" ht="60" customHeight="1" x14ac:dyDescent="0.25">
      <c r="S10211" s="188"/>
    </row>
    <row r="10212" spans="19:19" ht="60" customHeight="1" x14ac:dyDescent="0.25">
      <c r="S10212" s="188"/>
    </row>
    <row r="10213" spans="19:19" ht="60" customHeight="1" x14ac:dyDescent="0.25">
      <c r="S10213" s="188"/>
    </row>
    <row r="10214" spans="19:19" ht="60" customHeight="1" x14ac:dyDescent="0.25">
      <c r="S10214" s="188"/>
    </row>
    <row r="10215" spans="19:19" ht="60" customHeight="1" x14ac:dyDescent="0.25">
      <c r="S10215" s="188"/>
    </row>
    <row r="10216" spans="19:19" ht="60" customHeight="1" x14ac:dyDescent="0.25">
      <c r="S10216" s="188"/>
    </row>
    <row r="10217" spans="19:19" ht="60" customHeight="1" x14ac:dyDescent="0.25">
      <c r="S10217" s="188"/>
    </row>
    <row r="10218" spans="19:19" ht="60" customHeight="1" x14ac:dyDescent="0.25">
      <c r="S10218" s="188"/>
    </row>
    <row r="10219" spans="19:19" ht="60" customHeight="1" x14ac:dyDescent="0.25">
      <c r="S10219" s="188"/>
    </row>
    <row r="10220" spans="19:19" ht="60" customHeight="1" x14ac:dyDescent="0.25">
      <c r="S10220" s="188"/>
    </row>
    <row r="10221" spans="19:19" ht="60" customHeight="1" x14ac:dyDescent="0.25">
      <c r="S10221" s="188"/>
    </row>
    <row r="10222" spans="19:19" ht="60" customHeight="1" x14ac:dyDescent="0.25">
      <c r="S10222" s="188"/>
    </row>
    <row r="10223" spans="19:19" ht="60" customHeight="1" x14ac:dyDescent="0.25">
      <c r="S10223" s="188"/>
    </row>
    <row r="10224" spans="19:19" ht="60" customHeight="1" x14ac:dyDescent="0.25">
      <c r="S10224" s="188"/>
    </row>
    <row r="10225" spans="19:19" ht="60" customHeight="1" x14ac:dyDescent="0.25">
      <c r="S10225" s="188"/>
    </row>
    <row r="10226" spans="19:19" ht="60" customHeight="1" x14ac:dyDescent="0.25">
      <c r="S10226" s="188"/>
    </row>
    <row r="10227" spans="19:19" ht="60" customHeight="1" x14ac:dyDescent="0.25">
      <c r="S10227" s="188"/>
    </row>
    <row r="10228" spans="19:19" ht="60" customHeight="1" x14ac:dyDescent="0.25">
      <c r="S10228" s="188"/>
    </row>
    <row r="10229" spans="19:19" ht="60" customHeight="1" x14ac:dyDescent="0.25">
      <c r="S10229" s="188"/>
    </row>
    <row r="10230" spans="19:19" ht="60" customHeight="1" x14ac:dyDescent="0.25">
      <c r="S10230" s="188"/>
    </row>
    <row r="10231" spans="19:19" ht="60" customHeight="1" x14ac:dyDescent="0.25">
      <c r="S10231" s="188"/>
    </row>
    <row r="10232" spans="19:19" ht="60" customHeight="1" x14ac:dyDescent="0.25">
      <c r="S10232" s="188"/>
    </row>
    <row r="10233" spans="19:19" ht="60" customHeight="1" x14ac:dyDescent="0.25">
      <c r="S10233" s="188"/>
    </row>
    <row r="10234" spans="19:19" ht="60" customHeight="1" x14ac:dyDescent="0.25">
      <c r="S10234" s="188"/>
    </row>
    <row r="10235" spans="19:19" ht="60" customHeight="1" x14ac:dyDescent="0.25">
      <c r="S10235" s="188"/>
    </row>
    <row r="10236" spans="19:19" ht="60" customHeight="1" x14ac:dyDescent="0.25">
      <c r="S10236" s="188"/>
    </row>
    <row r="10237" spans="19:19" ht="60" customHeight="1" x14ac:dyDescent="0.25">
      <c r="S10237" s="188"/>
    </row>
    <row r="10238" spans="19:19" ht="60" customHeight="1" x14ac:dyDescent="0.25">
      <c r="S10238" s="188"/>
    </row>
    <row r="10239" spans="19:19" ht="60" customHeight="1" x14ac:dyDescent="0.25">
      <c r="S10239" s="188"/>
    </row>
    <row r="10240" spans="19:19" ht="60" customHeight="1" x14ac:dyDescent="0.25">
      <c r="S10240" s="188"/>
    </row>
    <row r="10241" spans="19:19" ht="60" customHeight="1" x14ac:dyDescent="0.25">
      <c r="S10241" s="188"/>
    </row>
    <row r="10242" spans="19:19" ht="60" customHeight="1" x14ac:dyDescent="0.25">
      <c r="S10242" s="188"/>
    </row>
    <row r="10243" spans="19:19" ht="60" customHeight="1" x14ac:dyDescent="0.25">
      <c r="S10243" s="188"/>
    </row>
    <row r="10244" spans="19:19" ht="60" customHeight="1" x14ac:dyDescent="0.25">
      <c r="S10244" s="188"/>
    </row>
    <row r="10245" spans="19:19" ht="60" customHeight="1" x14ac:dyDescent="0.25">
      <c r="S10245" s="188"/>
    </row>
    <row r="10246" spans="19:19" ht="60" customHeight="1" x14ac:dyDescent="0.25">
      <c r="S10246" s="188"/>
    </row>
    <row r="10247" spans="19:19" ht="60" customHeight="1" x14ac:dyDescent="0.25">
      <c r="S10247" s="188"/>
    </row>
    <row r="10248" spans="19:19" ht="60" customHeight="1" x14ac:dyDescent="0.25">
      <c r="S10248" s="188"/>
    </row>
    <row r="10249" spans="19:19" ht="60" customHeight="1" x14ac:dyDescent="0.25">
      <c r="S10249" s="188"/>
    </row>
    <row r="10250" spans="19:19" ht="60" customHeight="1" x14ac:dyDescent="0.25">
      <c r="S10250" s="188"/>
    </row>
    <row r="10251" spans="19:19" ht="60" customHeight="1" x14ac:dyDescent="0.25">
      <c r="S10251" s="188"/>
    </row>
    <row r="10252" spans="19:19" ht="60" customHeight="1" x14ac:dyDescent="0.25">
      <c r="S10252" s="188"/>
    </row>
    <row r="10253" spans="19:19" ht="60" customHeight="1" x14ac:dyDescent="0.25">
      <c r="S10253" s="188"/>
    </row>
    <row r="10254" spans="19:19" ht="60" customHeight="1" x14ac:dyDescent="0.25">
      <c r="S10254" s="188"/>
    </row>
    <row r="10255" spans="19:19" ht="60" customHeight="1" x14ac:dyDescent="0.25">
      <c r="S10255" s="188"/>
    </row>
    <row r="10256" spans="19:19" ht="60" customHeight="1" x14ac:dyDescent="0.25">
      <c r="S10256" s="188"/>
    </row>
    <row r="10257" spans="19:19" ht="60" customHeight="1" x14ac:dyDescent="0.25">
      <c r="S10257" s="188"/>
    </row>
    <row r="10258" spans="19:19" ht="60" customHeight="1" x14ac:dyDescent="0.25">
      <c r="S10258" s="188"/>
    </row>
    <row r="10259" spans="19:19" ht="60" customHeight="1" x14ac:dyDescent="0.25">
      <c r="S10259" s="188"/>
    </row>
    <row r="10260" spans="19:19" ht="60" customHeight="1" x14ac:dyDescent="0.25">
      <c r="S10260" s="188"/>
    </row>
    <row r="10261" spans="19:19" ht="60" customHeight="1" x14ac:dyDescent="0.25">
      <c r="S10261" s="188"/>
    </row>
    <row r="10262" spans="19:19" ht="60" customHeight="1" x14ac:dyDescent="0.25">
      <c r="S10262" s="188"/>
    </row>
    <row r="10263" spans="19:19" ht="60" customHeight="1" x14ac:dyDescent="0.25">
      <c r="S10263" s="188"/>
    </row>
    <row r="10264" spans="19:19" ht="60" customHeight="1" x14ac:dyDescent="0.25">
      <c r="S10264" s="188"/>
    </row>
    <row r="10265" spans="19:19" ht="60" customHeight="1" x14ac:dyDescent="0.25">
      <c r="S10265" s="188"/>
    </row>
    <row r="10266" spans="19:19" ht="60" customHeight="1" x14ac:dyDescent="0.25">
      <c r="S10266" s="188"/>
    </row>
    <row r="10267" spans="19:19" ht="60" customHeight="1" x14ac:dyDescent="0.25">
      <c r="S10267" s="188"/>
    </row>
    <row r="10268" spans="19:19" ht="60" customHeight="1" x14ac:dyDescent="0.25">
      <c r="S10268" s="188"/>
    </row>
    <row r="10269" spans="19:19" ht="60" customHeight="1" x14ac:dyDescent="0.25">
      <c r="S10269" s="188"/>
    </row>
    <row r="10270" spans="19:19" ht="60" customHeight="1" x14ac:dyDescent="0.25">
      <c r="S10270" s="188"/>
    </row>
    <row r="10271" spans="19:19" ht="60" customHeight="1" x14ac:dyDescent="0.25">
      <c r="S10271" s="188"/>
    </row>
    <row r="10272" spans="19:19" ht="60" customHeight="1" x14ac:dyDescent="0.25">
      <c r="S10272" s="188"/>
    </row>
    <row r="10273" spans="19:19" ht="60" customHeight="1" x14ac:dyDescent="0.25">
      <c r="S10273" s="188"/>
    </row>
    <row r="10274" spans="19:19" ht="60" customHeight="1" x14ac:dyDescent="0.25">
      <c r="S10274" s="188"/>
    </row>
    <row r="10275" spans="19:19" ht="60" customHeight="1" x14ac:dyDescent="0.25">
      <c r="S10275" s="188"/>
    </row>
    <row r="10276" spans="19:19" ht="60" customHeight="1" x14ac:dyDescent="0.25">
      <c r="S10276" s="188"/>
    </row>
    <row r="10277" spans="19:19" ht="60" customHeight="1" x14ac:dyDescent="0.25">
      <c r="S10277" s="188"/>
    </row>
    <row r="10278" spans="19:19" ht="60" customHeight="1" x14ac:dyDescent="0.25">
      <c r="S10278" s="188"/>
    </row>
    <row r="10279" spans="19:19" ht="60" customHeight="1" x14ac:dyDescent="0.25">
      <c r="S10279" s="188"/>
    </row>
    <row r="10280" spans="19:19" ht="60" customHeight="1" x14ac:dyDescent="0.25">
      <c r="S10280" s="188"/>
    </row>
    <row r="10281" spans="19:19" ht="60" customHeight="1" x14ac:dyDescent="0.25">
      <c r="S10281" s="188"/>
    </row>
    <row r="10282" spans="19:19" ht="60" customHeight="1" x14ac:dyDescent="0.25">
      <c r="S10282" s="188"/>
    </row>
    <row r="10283" spans="19:19" ht="60" customHeight="1" x14ac:dyDescent="0.25">
      <c r="S10283" s="188"/>
    </row>
    <row r="10284" spans="19:19" ht="60" customHeight="1" x14ac:dyDescent="0.25">
      <c r="S10284" s="188"/>
    </row>
    <row r="10285" spans="19:19" ht="60" customHeight="1" x14ac:dyDescent="0.25">
      <c r="S10285" s="188"/>
    </row>
    <row r="10286" spans="19:19" ht="60" customHeight="1" x14ac:dyDescent="0.25">
      <c r="S10286" s="188"/>
    </row>
    <row r="10287" spans="19:19" ht="60" customHeight="1" x14ac:dyDescent="0.25">
      <c r="S10287" s="188"/>
    </row>
    <row r="10288" spans="19:19" ht="60" customHeight="1" x14ac:dyDescent="0.25">
      <c r="S10288" s="188"/>
    </row>
    <row r="10289" spans="19:19" ht="60" customHeight="1" x14ac:dyDescent="0.25">
      <c r="S10289" s="188"/>
    </row>
    <row r="10290" spans="19:19" ht="60" customHeight="1" x14ac:dyDescent="0.25">
      <c r="S10290" s="188"/>
    </row>
    <row r="10291" spans="19:19" ht="60" customHeight="1" x14ac:dyDescent="0.25">
      <c r="S10291" s="188"/>
    </row>
    <row r="10292" spans="19:19" ht="60" customHeight="1" x14ac:dyDescent="0.25">
      <c r="S10292" s="188"/>
    </row>
    <row r="10293" spans="19:19" ht="60" customHeight="1" x14ac:dyDescent="0.25">
      <c r="S10293" s="188"/>
    </row>
    <row r="10294" spans="19:19" ht="60" customHeight="1" x14ac:dyDescent="0.25">
      <c r="S10294" s="188"/>
    </row>
    <row r="10295" spans="19:19" ht="60" customHeight="1" x14ac:dyDescent="0.25">
      <c r="S10295" s="188"/>
    </row>
    <row r="10296" spans="19:19" ht="60" customHeight="1" x14ac:dyDescent="0.25">
      <c r="S10296" s="188"/>
    </row>
    <row r="10297" spans="19:19" ht="60" customHeight="1" x14ac:dyDescent="0.25">
      <c r="S10297" s="188"/>
    </row>
    <row r="10298" spans="19:19" ht="60" customHeight="1" x14ac:dyDescent="0.25">
      <c r="S10298" s="188"/>
    </row>
    <row r="10299" spans="19:19" ht="60" customHeight="1" x14ac:dyDescent="0.25">
      <c r="S10299" s="188"/>
    </row>
    <row r="10300" spans="19:19" ht="60" customHeight="1" x14ac:dyDescent="0.25">
      <c r="S10300" s="188"/>
    </row>
    <row r="10301" spans="19:19" ht="60" customHeight="1" x14ac:dyDescent="0.25">
      <c r="S10301" s="188"/>
    </row>
    <row r="10302" spans="19:19" ht="60" customHeight="1" x14ac:dyDescent="0.25">
      <c r="S10302" s="188"/>
    </row>
    <row r="10303" spans="19:19" ht="60" customHeight="1" x14ac:dyDescent="0.25">
      <c r="S10303" s="188"/>
    </row>
    <row r="10304" spans="19:19" ht="60" customHeight="1" x14ac:dyDescent="0.25">
      <c r="S10304" s="188"/>
    </row>
    <row r="10305" spans="19:19" ht="60" customHeight="1" x14ac:dyDescent="0.25">
      <c r="S10305" s="188"/>
    </row>
    <row r="10306" spans="19:19" ht="60" customHeight="1" x14ac:dyDescent="0.25">
      <c r="S10306" s="188"/>
    </row>
    <row r="10307" spans="19:19" ht="60" customHeight="1" x14ac:dyDescent="0.25">
      <c r="S10307" s="188"/>
    </row>
    <row r="10308" spans="19:19" ht="60" customHeight="1" x14ac:dyDescent="0.25">
      <c r="S10308" s="188"/>
    </row>
    <row r="10309" spans="19:19" ht="60" customHeight="1" x14ac:dyDescent="0.25">
      <c r="S10309" s="188"/>
    </row>
    <row r="10310" spans="19:19" ht="60" customHeight="1" x14ac:dyDescent="0.25">
      <c r="S10310" s="188"/>
    </row>
    <row r="10311" spans="19:19" ht="60" customHeight="1" x14ac:dyDescent="0.25">
      <c r="S10311" s="188"/>
    </row>
    <row r="10312" spans="19:19" ht="60" customHeight="1" x14ac:dyDescent="0.25">
      <c r="S10312" s="188"/>
    </row>
    <row r="10313" spans="19:19" ht="60" customHeight="1" x14ac:dyDescent="0.25">
      <c r="S10313" s="188"/>
    </row>
    <row r="10314" spans="19:19" ht="60" customHeight="1" x14ac:dyDescent="0.25">
      <c r="S10314" s="188"/>
    </row>
    <row r="10315" spans="19:19" ht="60" customHeight="1" x14ac:dyDescent="0.25">
      <c r="S10315" s="188"/>
    </row>
    <row r="10316" spans="19:19" ht="60" customHeight="1" x14ac:dyDescent="0.25">
      <c r="S10316" s="188"/>
    </row>
    <row r="10317" spans="19:19" ht="60" customHeight="1" x14ac:dyDescent="0.25">
      <c r="S10317" s="188"/>
    </row>
    <row r="10318" spans="19:19" ht="60" customHeight="1" x14ac:dyDescent="0.25">
      <c r="S10318" s="188"/>
    </row>
    <row r="10319" spans="19:19" ht="60" customHeight="1" x14ac:dyDescent="0.25">
      <c r="S10319" s="188"/>
    </row>
    <row r="10320" spans="19:19" ht="60" customHeight="1" x14ac:dyDescent="0.25">
      <c r="S10320" s="188"/>
    </row>
    <row r="10321" spans="19:19" ht="60" customHeight="1" x14ac:dyDescent="0.25">
      <c r="S10321" s="188"/>
    </row>
    <row r="10322" spans="19:19" ht="60" customHeight="1" x14ac:dyDescent="0.25">
      <c r="S10322" s="188"/>
    </row>
    <row r="10323" spans="19:19" ht="60" customHeight="1" x14ac:dyDescent="0.25">
      <c r="S10323" s="188"/>
    </row>
    <row r="10324" spans="19:19" ht="60" customHeight="1" x14ac:dyDescent="0.25">
      <c r="S10324" s="188"/>
    </row>
    <row r="10325" spans="19:19" ht="60" customHeight="1" x14ac:dyDescent="0.25">
      <c r="S10325" s="188"/>
    </row>
    <row r="10326" spans="19:19" ht="60" customHeight="1" x14ac:dyDescent="0.25">
      <c r="S10326" s="188"/>
    </row>
    <row r="10327" spans="19:19" ht="60" customHeight="1" x14ac:dyDescent="0.25">
      <c r="S10327" s="188"/>
    </row>
    <row r="10328" spans="19:19" ht="60" customHeight="1" x14ac:dyDescent="0.25">
      <c r="S10328" s="188"/>
    </row>
    <row r="10329" spans="19:19" ht="60" customHeight="1" x14ac:dyDescent="0.25">
      <c r="S10329" s="188"/>
    </row>
    <row r="10330" spans="19:19" ht="60" customHeight="1" x14ac:dyDescent="0.25">
      <c r="S10330" s="188"/>
    </row>
    <row r="10331" spans="19:19" ht="60" customHeight="1" x14ac:dyDescent="0.25">
      <c r="S10331" s="188"/>
    </row>
    <row r="10332" spans="19:19" ht="60" customHeight="1" x14ac:dyDescent="0.25">
      <c r="S10332" s="188"/>
    </row>
    <row r="10333" spans="19:19" ht="60" customHeight="1" x14ac:dyDescent="0.25">
      <c r="S10333" s="188"/>
    </row>
    <row r="10334" spans="19:19" ht="60" customHeight="1" x14ac:dyDescent="0.25">
      <c r="S10334" s="188"/>
    </row>
    <row r="10335" spans="19:19" ht="60" customHeight="1" x14ac:dyDescent="0.25">
      <c r="S10335" s="188"/>
    </row>
    <row r="10336" spans="19:19" ht="60" customHeight="1" x14ac:dyDescent="0.25">
      <c r="S10336" s="188"/>
    </row>
    <row r="10337" spans="19:19" ht="60" customHeight="1" x14ac:dyDescent="0.25">
      <c r="S10337" s="188"/>
    </row>
    <row r="10338" spans="19:19" ht="60" customHeight="1" x14ac:dyDescent="0.25">
      <c r="S10338" s="188"/>
    </row>
    <row r="10339" spans="19:19" ht="60" customHeight="1" x14ac:dyDescent="0.25">
      <c r="S10339" s="188"/>
    </row>
    <row r="10340" spans="19:19" ht="60" customHeight="1" x14ac:dyDescent="0.25">
      <c r="S10340" s="188"/>
    </row>
    <row r="10341" spans="19:19" ht="60" customHeight="1" x14ac:dyDescent="0.25">
      <c r="S10341" s="188"/>
    </row>
    <row r="10342" spans="19:19" ht="60" customHeight="1" x14ac:dyDescent="0.25">
      <c r="S10342" s="188"/>
    </row>
    <row r="10343" spans="19:19" ht="60" customHeight="1" x14ac:dyDescent="0.25">
      <c r="S10343" s="188"/>
    </row>
    <row r="10344" spans="19:19" ht="60" customHeight="1" x14ac:dyDescent="0.25">
      <c r="S10344" s="188"/>
    </row>
    <row r="10345" spans="19:19" ht="60" customHeight="1" x14ac:dyDescent="0.25">
      <c r="S10345" s="188"/>
    </row>
    <row r="10346" spans="19:19" ht="60" customHeight="1" x14ac:dyDescent="0.25">
      <c r="S10346" s="188"/>
    </row>
    <row r="10347" spans="19:19" ht="60" customHeight="1" x14ac:dyDescent="0.25">
      <c r="S10347" s="188"/>
    </row>
    <row r="10348" spans="19:19" ht="60" customHeight="1" x14ac:dyDescent="0.25">
      <c r="S10348" s="188"/>
    </row>
    <row r="10349" spans="19:19" ht="60" customHeight="1" x14ac:dyDescent="0.25">
      <c r="S10349" s="188"/>
    </row>
    <row r="10350" spans="19:19" ht="60" customHeight="1" x14ac:dyDescent="0.25">
      <c r="S10350" s="188"/>
    </row>
    <row r="10351" spans="19:19" ht="60" customHeight="1" x14ac:dyDescent="0.25">
      <c r="S10351" s="188"/>
    </row>
    <row r="10352" spans="19:19" ht="60" customHeight="1" x14ac:dyDescent="0.25">
      <c r="S10352" s="188"/>
    </row>
    <row r="10353" spans="19:19" ht="60" customHeight="1" x14ac:dyDescent="0.25">
      <c r="S10353" s="188"/>
    </row>
    <row r="10354" spans="19:19" ht="60" customHeight="1" x14ac:dyDescent="0.25">
      <c r="S10354" s="188"/>
    </row>
    <row r="10355" spans="19:19" ht="60" customHeight="1" x14ac:dyDescent="0.25">
      <c r="S10355" s="188"/>
    </row>
    <row r="10356" spans="19:19" ht="60" customHeight="1" x14ac:dyDescent="0.25">
      <c r="S10356" s="188"/>
    </row>
    <row r="10357" spans="19:19" ht="60" customHeight="1" x14ac:dyDescent="0.25">
      <c r="S10357" s="188"/>
    </row>
    <row r="10358" spans="19:19" ht="60" customHeight="1" x14ac:dyDescent="0.25">
      <c r="S10358" s="188"/>
    </row>
    <row r="10359" spans="19:19" ht="60" customHeight="1" x14ac:dyDescent="0.25">
      <c r="S10359" s="188"/>
    </row>
    <row r="10360" spans="19:19" ht="60" customHeight="1" x14ac:dyDescent="0.25">
      <c r="S10360" s="188"/>
    </row>
    <row r="10361" spans="19:19" ht="60" customHeight="1" x14ac:dyDescent="0.25">
      <c r="S10361" s="188"/>
    </row>
    <row r="10362" spans="19:19" ht="60" customHeight="1" x14ac:dyDescent="0.25">
      <c r="S10362" s="188"/>
    </row>
    <row r="10363" spans="19:19" ht="60" customHeight="1" x14ac:dyDescent="0.25">
      <c r="S10363" s="188"/>
    </row>
    <row r="10364" spans="19:19" ht="60" customHeight="1" x14ac:dyDescent="0.25">
      <c r="S10364" s="188"/>
    </row>
    <row r="10365" spans="19:19" ht="60" customHeight="1" x14ac:dyDescent="0.25">
      <c r="S10365" s="188"/>
    </row>
    <row r="10366" spans="19:19" ht="60" customHeight="1" x14ac:dyDescent="0.25">
      <c r="S10366" s="188"/>
    </row>
    <row r="10367" spans="19:19" ht="60" customHeight="1" x14ac:dyDescent="0.25">
      <c r="S10367" s="188"/>
    </row>
    <row r="10368" spans="19:19" ht="60" customHeight="1" x14ac:dyDescent="0.25">
      <c r="S10368" s="188"/>
    </row>
    <row r="10369" spans="19:19" ht="60" customHeight="1" x14ac:dyDescent="0.25">
      <c r="S10369" s="188"/>
    </row>
    <row r="10370" spans="19:19" ht="60" customHeight="1" x14ac:dyDescent="0.25">
      <c r="S10370" s="188"/>
    </row>
    <row r="10371" spans="19:19" ht="60" customHeight="1" x14ac:dyDescent="0.25">
      <c r="S10371" s="188"/>
    </row>
    <row r="10372" spans="19:19" ht="60" customHeight="1" x14ac:dyDescent="0.25">
      <c r="S10372" s="188"/>
    </row>
    <row r="10373" spans="19:19" ht="60" customHeight="1" x14ac:dyDescent="0.25">
      <c r="S10373" s="188"/>
    </row>
    <row r="10374" spans="19:19" ht="60" customHeight="1" x14ac:dyDescent="0.25">
      <c r="S10374" s="188"/>
    </row>
    <row r="10375" spans="19:19" ht="60" customHeight="1" x14ac:dyDescent="0.25">
      <c r="S10375" s="188"/>
    </row>
    <row r="10376" spans="19:19" ht="60" customHeight="1" x14ac:dyDescent="0.25">
      <c r="S10376" s="188"/>
    </row>
    <row r="10377" spans="19:19" ht="60" customHeight="1" x14ac:dyDescent="0.25">
      <c r="S10377" s="188"/>
    </row>
    <row r="10378" spans="19:19" ht="60" customHeight="1" x14ac:dyDescent="0.25">
      <c r="S10378" s="188"/>
    </row>
    <row r="10379" spans="19:19" ht="60" customHeight="1" x14ac:dyDescent="0.25">
      <c r="S10379" s="188"/>
    </row>
    <row r="10380" spans="19:19" ht="60" customHeight="1" x14ac:dyDescent="0.25">
      <c r="S10380" s="188"/>
    </row>
    <row r="10381" spans="19:19" ht="60" customHeight="1" x14ac:dyDescent="0.25">
      <c r="S10381" s="188"/>
    </row>
    <row r="10382" spans="19:19" ht="60" customHeight="1" x14ac:dyDescent="0.25">
      <c r="S10382" s="188"/>
    </row>
    <row r="10383" spans="19:19" ht="60" customHeight="1" x14ac:dyDescent="0.25">
      <c r="S10383" s="188"/>
    </row>
    <row r="10384" spans="19:19" ht="60" customHeight="1" x14ac:dyDescent="0.25">
      <c r="S10384" s="188"/>
    </row>
    <row r="10385" spans="19:19" ht="60" customHeight="1" x14ac:dyDescent="0.25">
      <c r="S10385" s="188"/>
    </row>
    <row r="10386" spans="19:19" ht="60" customHeight="1" x14ac:dyDescent="0.25">
      <c r="S10386" s="188"/>
    </row>
    <row r="10387" spans="19:19" ht="60" customHeight="1" x14ac:dyDescent="0.25">
      <c r="S10387" s="188"/>
    </row>
    <row r="10388" spans="19:19" ht="60" customHeight="1" x14ac:dyDescent="0.25">
      <c r="S10388" s="188"/>
    </row>
    <row r="10389" spans="19:19" ht="60" customHeight="1" x14ac:dyDescent="0.25">
      <c r="S10389" s="188"/>
    </row>
    <row r="10390" spans="19:19" ht="60" customHeight="1" x14ac:dyDescent="0.25">
      <c r="S10390" s="188"/>
    </row>
    <row r="10391" spans="19:19" ht="60" customHeight="1" x14ac:dyDescent="0.25">
      <c r="S10391" s="188"/>
    </row>
    <row r="10392" spans="19:19" ht="60" customHeight="1" x14ac:dyDescent="0.25">
      <c r="S10392" s="188"/>
    </row>
    <row r="10393" spans="19:19" ht="60" customHeight="1" x14ac:dyDescent="0.25">
      <c r="S10393" s="188"/>
    </row>
    <row r="10394" spans="19:19" ht="60" customHeight="1" x14ac:dyDescent="0.25">
      <c r="S10394" s="188"/>
    </row>
    <row r="10395" spans="19:19" ht="60" customHeight="1" x14ac:dyDescent="0.25">
      <c r="S10395" s="188"/>
    </row>
    <row r="10396" spans="19:19" ht="60" customHeight="1" x14ac:dyDescent="0.25">
      <c r="S10396" s="188"/>
    </row>
    <row r="10397" spans="19:19" ht="60" customHeight="1" x14ac:dyDescent="0.25">
      <c r="S10397" s="188"/>
    </row>
    <row r="10398" spans="19:19" ht="60" customHeight="1" x14ac:dyDescent="0.25">
      <c r="S10398" s="188"/>
    </row>
    <row r="10399" spans="19:19" ht="60" customHeight="1" x14ac:dyDescent="0.25">
      <c r="S10399" s="188"/>
    </row>
    <row r="10400" spans="19:19" ht="60" customHeight="1" x14ac:dyDescent="0.25">
      <c r="S10400" s="188"/>
    </row>
    <row r="10401" spans="19:19" ht="60" customHeight="1" x14ac:dyDescent="0.25">
      <c r="S10401" s="188"/>
    </row>
    <row r="10402" spans="19:19" ht="60" customHeight="1" x14ac:dyDescent="0.25">
      <c r="S10402" s="188"/>
    </row>
    <row r="10403" spans="19:19" ht="60" customHeight="1" x14ac:dyDescent="0.25">
      <c r="S10403" s="188"/>
    </row>
    <row r="10404" spans="19:19" ht="60" customHeight="1" x14ac:dyDescent="0.25">
      <c r="S10404" s="188"/>
    </row>
    <row r="10405" spans="19:19" ht="60" customHeight="1" x14ac:dyDescent="0.25">
      <c r="S10405" s="188"/>
    </row>
    <row r="10406" spans="19:19" ht="60" customHeight="1" x14ac:dyDescent="0.25">
      <c r="S10406" s="188"/>
    </row>
    <row r="10407" spans="19:19" ht="60" customHeight="1" x14ac:dyDescent="0.25">
      <c r="S10407" s="188"/>
    </row>
    <row r="10408" spans="19:19" ht="60" customHeight="1" x14ac:dyDescent="0.25">
      <c r="S10408" s="188"/>
    </row>
    <row r="10409" spans="19:19" ht="60" customHeight="1" x14ac:dyDescent="0.25">
      <c r="S10409" s="188"/>
    </row>
    <row r="10410" spans="19:19" ht="60" customHeight="1" x14ac:dyDescent="0.25">
      <c r="S10410" s="188"/>
    </row>
    <row r="10411" spans="19:19" ht="60" customHeight="1" x14ac:dyDescent="0.25">
      <c r="S10411" s="188"/>
    </row>
    <row r="10412" spans="19:19" ht="60" customHeight="1" x14ac:dyDescent="0.25">
      <c r="S10412" s="188"/>
    </row>
    <row r="10413" spans="19:19" ht="60" customHeight="1" x14ac:dyDescent="0.25">
      <c r="S10413" s="188"/>
    </row>
    <row r="10414" spans="19:19" ht="60" customHeight="1" x14ac:dyDescent="0.25">
      <c r="S10414" s="188"/>
    </row>
    <row r="10415" spans="19:19" ht="60" customHeight="1" x14ac:dyDescent="0.25">
      <c r="S10415" s="188"/>
    </row>
    <row r="10416" spans="19:19" ht="60" customHeight="1" x14ac:dyDescent="0.25">
      <c r="S10416" s="188"/>
    </row>
    <row r="10417" spans="19:19" ht="60" customHeight="1" x14ac:dyDescent="0.25">
      <c r="S10417" s="188"/>
    </row>
    <row r="10418" spans="19:19" ht="60" customHeight="1" x14ac:dyDescent="0.25">
      <c r="S10418" s="188"/>
    </row>
    <row r="10419" spans="19:19" ht="60" customHeight="1" x14ac:dyDescent="0.25">
      <c r="S10419" s="188"/>
    </row>
    <row r="10420" spans="19:19" ht="60" customHeight="1" x14ac:dyDescent="0.25">
      <c r="S10420" s="188"/>
    </row>
    <row r="10421" spans="19:19" ht="60" customHeight="1" x14ac:dyDescent="0.25">
      <c r="S10421" s="188"/>
    </row>
    <row r="10422" spans="19:19" ht="60" customHeight="1" x14ac:dyDescent="0.25">
      <c r="S10422" s="188"/>
    </row>
    <row r="10423" spans="19:19" ht="60" customHeight="1" x14ac:dyDescent="0.25">
      <c r="S10423" s="188"/>
    </row>
    <row r="10424" spans="19:19" ht="60" customHeight="1" x14ac:dyDescent="0.25">
      <c r="S10424" s="188"/>
    </row>
    <row r="10425" spans="19:19" ht="60" customHeight="1" x14ac:dyDescent="0.25">
      <c r="S10425" s="188"/>
    </row>
    <row r="10426" spans="19:19" ht="60" customHeight="1" x14ac:dyDescent="0.25">
      <c r="S10426" s="188"/>
    </row>
    <row r="10427" spans="19:19" ht="60" customHeight="1" x14ac:dyDescent="0.25">
      <c r="S10427" s="188"/>
    </row>
    <row r="10428" spans="19:19" ht="60" customHeight="1" x14ac:dyDescent="0.25">
      <c r="S10428" s="188"/>
    </row>
    <row r="10429" spans="19:19" ht="60" customHeight="1" x14ac:dyDescent="0.25">
      <c r="S10429" s="188"/>
    </row>
    <row r="10430" spans="19:19" ht="60" customHeight="1" x14ac:dyDescent="0.25">
      <c r="S10430" s="188"/>
    </row>
    <row r="10431" spans="19:19" ht="60" customHeight="1" x14ac:dyDescent="0.25">
      <c r="S10431" s="188"/>
    </row>
    <row r="10432" spans="19:19" ht="60" customHeight="1" x14ac:dyDescent="0.25">
      <c r="S10432" s="188"/>
    </row>
    <row r="10433" spans="19:19" ht="60" customHeight="1" x14ac:dyDescent="0.25">
      <c r="S10433" s="188"/>
    </row>
    <row r="10434" spans="19:19" ht="60" customHeight="1" x14ac:dyDescent="0.25">
      <c r="S10434" s="188"/>
    </row>
    <row r="10435" spans="19:19" ht="60" customHeight="1" x14ac:dyDescent="0.25">
      <c r="S10435" s="188"/>
    </row>
    <row r="10436" spans="19:19" ht="60" customHeight="1" x14ac:dyDescent="0.25">
      <c r="S10436" s="188"/>
    </row>
    <row r="10437" spans="19:19" ht="60" customHeight="1" x14ac:dyDescent="0.25">
      <c r="S10437" s="188"/>
    </row>
    <row r="10438" spans="19:19" ht="60" customHeight="1" x14ac:dyDescent="0.25">
      <c r="S10438" s="188"/>
    </row>
    <row r="10439" spans="19:19" ht="60" customHeight="1" x14ac:dyDescent="0.25">
      <c r="S10439" s="188"/>
    </row>
    <row r="10440" spans="19:19" ht="60" customHeight="1" x14ac:dyDescent="0.25">
      <c r="S10440" s="188"/>
    </row>
    <row r="10441" spans="19:19" ht="60" customHeight="1" x14ac:dyDescent="0.25">
      <c r="S10441" s="188"/>
    </row>
    <row r="10442" spans="19:19" ht="60" customHeight="1" x14ac:dyDescent="0.25">
      <c r="S10442" s="188"/>
    </row>
    <row r="10443" spans="19:19" ht="60" customHeight="1" x14ac:dyDescent="0.25">
      <c r="S10443" s="188"/>
    </row>
    <row r="10444" spans="19:19" ht="60" customHeight="1" x14ac:dyDescent="0.25">
      <c r="S10444" s="188"/>
    </row>
    <row r="10445" spans="19:19" ht="60" customHeight="1" x14ac:dyDescent="0.25">
      <c r="S10445" s="188"/>
    </row>
    <row r="10446" spans="19:19" ht="60" customHeight="1" x14ac:dyDescent="0.25">
      <c r="S10446" s="188"/>
    </row>
    <row r="10447" spans="19:19" ht="60" customHeight="1" x14ac:dyDescent="0.25">
      <c r="S10447" s="188"/>
    </row>
    <row r="10448" spans="19:19" ht="60" customHeight="1" x14ac:dyDescent="0.25">
      <c r="S10448" s="188"/>
    </row>
    <row r="10449" spans="19:19" ht="60" customHeight="1" x14ac:dyDescent="0.25">
      <c r="S10449" s="188"/>
    </row>
    <row r="10450" spans="19:19" ht="60" customHeight="1" x14ac:dyDescent="0.25">
      <c r="S10450" s="188"/>
    </row>
    <row r="10451" spans="19:19" ht="60" customHeight="1" x14ac:dyDescent="0.25">
      <c r="S10451" s="188"/>
    </row>
    <row r="10452" spans="19:19" ht="60" customHeight="1" x14ac:dyDescent="0.25">
      <c r="S10452" s="188"/>
    </row>
    <row r="10453" spans="19:19" ht="60" customHeight="1" x14ac:dyDescent="0.25">
      <c r="S10453" s="188"/>
    </row>
    <row r="10454" spans="19:19" ht="60" customHeight="1" x14ac:dyDescent="0.25">
      <c r="S10454" s="188"/>
    </row>
    <row r="10455" spans="19:19" ht="60" customHeight="1" x14ac:dyDescent="0.25">
      <c r="S10455" s="188"/>
    </row>
    <row r="10456" spans="19:19" ht="60" customHeight="1" x14ac:dyDescent="0.25">
      <c r="S10456" s="188"/>
    </row>
    <row r="10457" spans="19:19" ht="60" customHeight="1" x14ac:dyDescent="0.25">
      <c r="S10457" s="188"/>
    </row>
    <row r="10458" spans="19:19" ht="60" customHeight="1" x14ac:dyDescent="0.25">
      <c r="S10458" s="188"/>
    </row>
    <row r="10459" spans="19:19" ht="60" customHeight="1" x14ac:dyDescent="0.25">
      <c r="S10459" s="188"/>
    </row>
    <row r="10460" spans="19:19" ht="60" customHeight="1" x14ac:dyDescent="0.25">
      <c r="S10460" s="188"/>
    </row>
    <row r="10461" spans="19:19" ht="60" customHeight="1" x14ac:dyDescent="0.25">
      <c r="S10461" s="188"/>
    </row>
    <row r="10462" spans="19:19" ht="60" customHeight="1" x14ac:dyDescent="0.25">
      <c r="S10462" s="188"/>
    </row>
    <row r="10463" spans="19:19" ht="60" customHeight="1" x14ac:dyDescent="0.25">
      <c r="S10463" s="188"/>
    </row>
    <row r="10464" spans="19:19" ht="60" customHeight="1" x14ac:dyDescent="0.25">
      <c r="S10464" s="188"/>
    </row>
    <row r="10465" spans="19:19" ht="60" customHeight="1" x14ac:dyDescent="0.25">
      <c r="S10465" s="188"/>
    </row>
    <row r="10466" spans="19:19" ht="60" customHeight="1" x14ac:dyDescent="0.25">
      <c r="S10466" s="188"/>
    </row>
    <row r="10467" spans="19:19" ht="60" customHeight="1" x14ac:dyDescent="0.25">
      <c r="S10467" s="188"/>
    </row>
    <row r="10468" spans="19:19" ht="60" customHeight="1" x14ac:dyDescent="0.25">
      <c r="S10468" s="188"/>
    </row>
    <row r="10469" spans="19:19" ht="60" customHeight="1" x14ac:dyDescent="0.25">
      <c r="S10469" s="188"/>
    </row>
    <row r="10470" spans="19:19" ht="60" customHeight="1" x14ac:dyDescent="0.25">
      <c r="S10470" s="188"/>
    </row>
    <row r="10471" spans="19:19" ht="60" customHeight="1" x14ac:dyDescent="0.25">
      <c r="S10471" s="188"/>
    </row>
    <row r="10472" spans="19:19" ht="60" customHeight="1" x14ac:dyDescent="0.25">
      <c r="S10472" s="188"/>
    </row>
    <row r="10473" spans="19:19" ht="60" customHeight="1" x14ac:dyDescent="0.25">
      <c r="S10473" s="188"/>
    </row>
    <row r="10474" spans="19:19" ht="60" customHeight="1" x14ac:dyDescent="0.25">
      <c r="S10474" s="188"/>
    </row>
    <row r="10475" spans="19:19" ht="60" customHeight="1" x14ac:dyDescent="0.25">
      <c r="S10475" s="188"/>
    </row>
    <row r="10476" spans="19:19" ht="60" customHeight="1" x14ac:dyDescent="0.25">
      <c r="S10476" s="188"/>
    </row>
    <row r="10477" spans="19:19" ht="60" customHeight="1" x14ac:dyDescent="0.25">
      <c r="S10477" s="188"/>
    </row>
    <row r="10478" spans="19:19" ht="60" customHeight="1" x14ac:dyDescent="0.25">
      <c r="S10478" s="188"/>
    </row>
    <row r="10479" spans="19:19" ht="60" customHeight="1" x14ac:dyDescent="0.25">
      <c r="S10479" s="188"/>
    </row>
    <row r="10480" spans="19:19" ht="60" customHeight="1" x14ac:dyDescent="0.25">
      <c r="S10480" s="188"/>
    </row>
    <row r="10481" spans="19:19" ht="60" customHeight="1" x14ac:dyDescent="0.25">
      <c r="S10481" s="188"/>
    </row>
    <row r="10482" spans="19:19" ht="60" customHeight="1" x14ac:dyDescent="0.25">
      <c r="S10482" s="188"/>
    </row>
    <row r="10483" spans="19:19" ht="60" customHeight="1" x14ac:dyDescent="0.25">
      <c r="S10483" s="188"/>
    </row>
    <row r="10484" spans="19:19" ht="60" customHeight="1" x14ac:dyDescent="0.25">
      <c r="S10484" s="188"/>
    </row>
    <row r="10485" spans="19:19" ht="60" customHeight="1" x14ac:dyDescent="0.25">
      <c r="S10485" s="188"/>
    </row>
    <row r="10486" spans="19:19" ht="60" customHeight="1" x14ac:dyDescent="0.25">
      <c r="S10486" s="188"/>
    </row>
    <row r="10487" spans="19:19" ht="60" customHeight="1" x14ac:dyDescent="0.25">
      <c r="S10487" s="188"/>
    </row>
    <row r="10488" spans="19:19" ht="60" customHeight="1" x14ac:dyDescent="0.25">
      <c r="S10488" s="188"/>
    </row>
    <row r="10489" spans="19:19" ht="60" customHeight="1" x14ac:dyDescent="0.25">
      <c r="S10489" s="188"/>
    </row>
    <row r="10490" spans="19:19" ht="60" customHeight="1" x14ac:dyDescent="0.25">
      <c r="S10490" s="188"/>
    </row>
    <row r="10491" spans="19:19" ht="60" customHeight="1" x14ac:dyDescent="0.25">
      <c r="S10491" s="188"/>
    </row>
    <row r="10492" spans="19:19" ht="60" customHeight="1" x14ac:dyDescent="0.25">
      <c r="S10492" s="188"/>
    </row>
    <row r="10493" spans="19:19" ht="60" customHeight="1" x14ac:dyDescent="0.25">
      <c r="S10493" s="188"/>
    </row>
    <row r="10494" spans="19:19" ht="60" customHeight="1" x14ac:dyDescent="0.25">
      <c r="S10494" s="188"/>
    </row>
    <row r="10495" spans="19:19" ht="60" customHeight="1" x14ac:dyDescent="0.25">
      <c r="S10495" s="188"/>
    </row>
    <row r="10496" spans="19:19" ht="60" customHeight="1" x14ac:dyDescent="0.25">
      <c r="S10496" s="188"/>
    </row>
    <row r="10497" spans="19:19" ht="60" customHeight="1" x14ac:dyDescent="0.25">
      <c r="S10497" s="188"/>
    </row>
    <row r="10498" spans="19:19" ht="60" customHeight="1" x14ac:dyDescent="0.25">
      <c r="S10498" s="188"/>
    </row>
    <row r="10499" spans="19:19" ht="60" customHeight="1" x14ac:dyDescent="0.25">
      <c r="S10499" s="188"/>
    </row>
    <row r="10500" spans="19:19" ht="60" customHeight="1" x14ac:dyDescent="0.25">
      <c r="S10500" s="188"/>
    </row>
    <row r="10501" spans="19:19" ht="60" customHeight="1" x14ac:dyDescent="0.25">
      <c r="S10501" s="188"/>
    </row>
    <row r="10502" spans="19:19" ht="60" customHeight="1" x14ac:dyDescent="0.25">
      <c r="S10502" s="188"/>
    </row>
    <row r="10503" spans="19:19" ht="60" customHeight="1" x14ac:dyDescent="0.25">
      <c r="S10503" s="188"/>
    </row>
    <row r="10504" spans="19:19" ht="60" customHeight="1" x14ac:dyDescent="0.25">
      <c r="S10504" s="188"/>
    </row>
    <row r="10505" spans="19:19" ht="60" customHeight="1" x14ac:dyDescent="0.25">
      <c r="S10505" s="188"/>
    </row>
    <row r="10506" spans="19:19" ht="60" customHeight="1" x14ac:dyDescent="0.25">
      <c r="S10506" s="188"/>
    </row>
    <row r="10507" spans="19:19" ht="60" customHeight="1" x14ac:dyDescent="0.25">
      <c r="S10507" s="188"/>
    </row>
    <row r="10508" spans="19:19" ht="60" customHeight="1" x14ac:dyDescent="0.25">
      <c r="S10508" s="188"/>
    </row>
    <row r="10509" spans="19:19" ht="60" customHeight="1" x14ac:dyDescent="0.25">
      <c r="S10509" s="188"/>
    </row>
    <row r="10510" spans="19:19" ht="60" customHeight="1" x14ac:dyDescent="0.25">
      <c r="S10510" s="188"/>
    </row>
    <row r="10511" spans="19:19" ht="60" customHeight="1" x14ac:dyDescent="0.25">
      <c r="S10511" s="188"/>
    </row>
    <row r="10512" spans="19:19" ht="60" customHeight="1" x14ac:dyDescent="0.25">
      <c r="S10512" s="188"/>
    </row>
    <row r="10513" spans="19:19" ht="60" customHeight="1" x14ac:dyDescent="0.25">
      <c r="S10513" s="188"/>
    </row>
    <row r="10514" spans="19:19" ht="60" customHeight="1" x14ac:dyDescent="0.25">
      <c r="S10514" s="188"/>
    </row>
    <row r="10515" spans="19:19" ht="60" customHeight="1" x14ac:dyDescent="0.25">
      <c r="S10515" s="188"/>
    </row>
    <row r="10516" spans="19:19" ht="60" customHeight="1" x14ac:dyDescent="0.25">
      <c r="S10516" s="188"/>
    </row>
    <row r="10517" spans="19:19" ht="60" customHeight="1" x14ac:dyDescent="0.25">
      <c r="S10517" s="188"/>
    </row>
    <row r="10518" spans="19:19" ht="60" customHeight="1" x14ac:dyDescent="0.25">
      <c r="S10518" s="188"/>
    </row>
    <row r="10519" spans="19:19" ht="60" customHeight="1" x14ac:dyDescent="0.25">
      <c r="S10519" s="188"/>
    </row>
    <row r="10520" spans="19:19" ht="60" customHeight="1" x14ac:dyDescent="0.25">
      <c r="S10520" s="188"/>
    </row>
    <row r="10521" spans="19:19" ht="60" customHeight="1" x14ac:dyDescent="0.25">
      <c r="S10521" s="188"/>
    </row>
    <row r="10522" spans="19:19" ht="60" customHeight="1" x14ac:dyDescent="0.25">
      <c r="S10522" s="188"/>
    </row>
    <row r="10523" spans="19:19" ht="60" customHeight="1" x14ac:dyDescent="0.25">
      <c r="S10523" s="188"/>
    </row>
    <row r="10524" spans="19:19" ht="60" customHeight="1" x14ac:dyDescent="0.25">
      <c r="S10524" s="188"/>
    </row>
    <row r="10525" spans="19:19" ht="60" customHeight="1" x14ac:dyDescent="0.25">
      <c r="S10525" s="188"/>
    </row>
    <row r="10526" spans="19:19" ht="60" customHeight="1" x14ac:dyDescent="0.25">
      <c r="S10526" s="188"/>
    </row>
    <row r="10527" spans="19:19" ht="60" customHeight="1" x14ac:dyDescent="0.25">
      <c r="S10527" s="188"/>
    </row>
    <row r="10528" spans="19:19" ht="60" customHeight="1" x14ac:dyDescent="0.25">
      <c r="S10528" s="188"/>
    </row>
    <row r="10529" spans="19:19" ht="60" customHeight="1" x14ac:dyDescent="0.25">
      <c r="S10529" s="188"/>
    </row>
    <row r="10530" spans="19:19" ht="60" customHeight="1" x14ac:dyDescent="0.25">
      <c r="S10530" s="188"/>
    </row>
    <row r="10531" spans="19:19" ht="60" customHeight="1" x14ac:dyDescent="0.25">
      <c r="S10531" s="188"/>
    </row>
    <row r="10532" spans="19:19" ht="60" customHeight="1" x14ac:dyDescent="0.25">
      <c r="S10532" s="188"/>
    </row>
    <row r="10533" spans="19:19" ht="60" customHeight="1" x14ac:dyDescent="0.25">
      <c r="S10533" s="188"/>
    </row>
    <row r="10534" spans="19:19" ht="60" customHeight="1" x14ac:dyDescent="0.25">
      <c r="S10534" s="188"/>
    </row>
    <row r="10535" spans="19:19" ht="60" customHeight="1" x14ac:dyDescent="0.25">
      <c r="S10535" s="188"/>
    </row>
    <row r="10536" spans="19:19" ht="60" customHeight="1" x14ac:dyDescent="0.25">
      <c r="S10536" s="188"/>
    </row>
    <row r="10537" spans="19:19" ht="60" customHeight="1" x14ac:dyDescent="0.25">
      <c r="S10537" s="188"/>
    </row>
    <row r="10538" spans="19:19" ht="60" customHeight="1" x14ac:dyDescent="0.25">
      <c r="S10538" s="188"/>
    </row>
    <row r="10539" spans="19:19" ht="60" customHeight="1" x14ac:dyDescent="0.25">
      <c r="S10539" s="188"/>
    </row>
    <row r="10540" spans="19:19" ht="60" customHeight="1" x14ac:dyDescent="0.25">
      <c r="S10540" s="188"/>
    </row>
    <row r="10541" spans="19:19" ht="60" customHeight="1" x14ac:dyDescent="0.25">
      <c r="S10541" s="188"/>
    </row>
    <row r="10542" spans="19:19" ht="60" customHeight="1" x14ac:dyDescent="0.25">
      <c r="S10542" s="188"/>
    </row>
    <row r="10543" spans="19:19" ht="60" customHeight="1" x14ac:dyDescent="0.25">
      <c r="S10543" s="188"/>
    </row>
    <row r="10544" spans="19:19" ht="60" customHeight="1" x14ac:dyDescent="0.25">
      <c r="S10544" s="188"/>
    </row>
    <row r="10545" spans="19:19" ht="60" customHeight="1" x14ac:dyDescent="0.25">
      <c r="S10545" s="188"/>
    </row>
    <row r="10546" spans="19:19" ht="60" customHeight="1" x14ac:dyDescent="0.25">
      <c r="S10546" s="188"/>
    </row>
    <row r="10547" spans="19:19" ht="60" customHeight="1" x14ac:dyDescent="0.25">
      <c r="S10547" s="188"/>
    </row>
    <row r="10548" spans="19:19" ht="60" customHeight="1" x14ac:dyDescent="0.25">
      <c r="S10548" s="188"/>
    </row>
    <row r="10549" spans="19:19" ht="60" customHeight="1" x14ac:dyDescent="0.25">
      <c r="S10549" s="188"/>
    </row>
    <row r="10550" spans="19:19" ht="60" customHeight="1" x14ac:dyDescent="0.25">
      <c r="S10550" s="188"/>
    </row>
    <row r="10551" spans="19:19" ht="60" customHeight="1" x14ac:dyDescent="0.25">
      <c r="S10551" s="188"/>
    </row>
    <row r="10552" spans="19:19" ht="60" customHeight="1" x14ac:dyDescent="0.25">
      <c r="S10552" s="188"/>
    </row>
    <row r="10553" spans="19:19" ht="60" customHeight="1" x14ac:dyDescent="0.25">
      <c r="S10553" s="188"/>
    </row>
    <row r="10554" spans="19:19" ht="60" customHeight="1" x14ac:dyDescent="0.25">
      <c r="S10554" s="188"/>
    </row>
    <row r="10555" spans="19:19" ht="60" customHeight="1" x14ac:dyDescent="0.25">
      <c r="S10555" s="188"/>
    </row>
    <row r="10556" spans="19:19" ht="60" customHeight="1" x14ac:dyDescent="0.25">
      <c r="S10556" s="188"/>
    </row>
    <row r="10557" spans="19:19" ht="60" customHeight="1" x14ac:dyDescent="0.25">
      <c r="S10557" s="188"/>
    </row>
    <row r="10558" spans="19:19" ht="60" customHeight="1" x14ac:dyDescent="0.25">
      <c r="S10558" s="188"/>
    </row>
    <row r="10559" spans="19:19" ht="60" customHeight="1" x14ac:dyDescent="0.25">
      <c r="S10559" s="188"/>
    </row>
    <row r="10560" spans="19:19" ht="60" customHeight="1" x14ac:dyDescent="0.25">
      <c r="S10560" s="188"/>
    </row>
    <row r="10561" spans="19:19" ht="60" customHeight="1" x14ac:dyDescent="0.25">
      <c r="S10561" s="188"/>
    </row>
    <row r="10562" spans="19:19" ht="60" customHeight="1" x14ac:dyDescent="0.25">
      <c r="S10562" s="188"/>
    </row>
    <row r="10563" spans="19:19" ht="60" customHeight="1" x14ac:dyDescent="0.25">
      <c r="S10563" s="188"/>
    </row>
    <row r="10564" spans="19:19" ht="60" customHeight="1" x14ac:dyDescent="0.25">
      <c r="S10564" s="188"/>
    </row>
    <row r="10565" spans="19:19" ht="60" customHeight="1" x14ac:dyDescent="0.25">
      <c r="S10565" s="188"/>
    </row>
    <row r="10566" spans="19:19" ht="60" customHeight="1" x14ac:dyDescent="0.25">
      <c r="S10566" s="188"/>
    </row>
    <row r="10567" spans="19:19" ht="60" customHeight="1" x14ac:dyDescent="0.25">
      <c r="S10567" s="188"/>
    </row>
    <row r="10568" spans="19:19" ht="60" customHeight="1" x14ac:dyDescent="0.25">
      <c r="S10568" s="188"/>
    </row>
    <row r="10569" spans="19:19" ht="60" customHeight="1" x14ac:dyDescent="0.25">
      <c r="S10569" s="188"/>
    </row>
    <row r="10570" spans="19:19" ht="60" customHeight="1" x14ac:dyDescent="0.25">
      <c r="S10570" s="188"/>
    </row>
    <row r="10571" spans="19:19" ht="60" customHeight="1" x14ac:dyDescent="0.25">
      <c r="S10571" s="188"/>
    </row>
    <row r="10572" spans="19:19" ht="60" customHeight="1" x14ac:dyDescent="0.25">
      <c r="S10572" s="188"/>
    </row>
    <row r="10573" spans="19:19" ht="60" customHeight="1" x14ac:dyDescent="0.25">
      <c r="S10573" s="188"/>
    </row>
    <row r="10574" spans="19:19" ht="60" customHeight="1" x14ac:dyDescent="0.25">
      <c r="S10574" s="188"/>
    </row>
    <row r="10575" spans="19:19" ht="60" customHeight="1" x14ac:dyDescent="0.25">
      <c r="S10575" s="188"/>
    </row>
    <row r="10576" spans="19:19" ht="60" customHeight="1" x14ac:dyDescent="0.25">
      <c r="S10576" s="188"/>
    </row>
    <row r="10577" spans="19:19" ht="60" customHeight="1" x14ac:dyDescent="0.25">
      <c r="S10577" s="188"/>
    </row>
    <row r="10578" spans="19:19" ht="60" customHeight="1" x14ac:dyDescent="0.25">
      <c r="S10578" s="188"/>
    </row>
    <row r="10579" spans="19:19" ht="60" customHeight="1" x14ac:dyDescent="0.25">
      <c r="S10579" s="188"/>
    </row>
    <row r="10580" spans="19:19" ht="60" customHeight="1" x14ac:dyDescent="0.25">
      <c r="S10580" s="188"/>
    </row>
    <row r="10581" spans="19:19" ht="60" customHeight="1" x14ac:dyDescent="0.25">
      <c r="S10581" s="188"/>
    </row>
    <row r="10582" spans="19:19" ht="60" customHeight="1" x14ac:dyDescent="0.25">
      <c r="S10582" s="188"/>
    </row>
    <row r="10583" spans="19:19" ht="60" customHeight="1" x14ac:dyDescent="0.25">
      <c r="S10583" s="188"/>
    </row>
    <row r="10584" spans="19:19" ht="60" customHeight="1" x14ac:dyDescent="0.25">
      <c r="S10584" s="188"/>
    </row>
    <row r="10585" spans="19:19" ht="60" customHeight="1" x14ac:dyDescent="0.25">
      <c r="S10585" s="188"/>
    </row>
    <row r="10586" spans="19:19" ht="60" customHeight="1" x14ac:dyDescent="0.25">
      <c r="S10586" s="188"/>
    </row>
    <row r="10587" spans="19:19" ht="60" customHeight="1" x14ac:dyDescent="0.25">
      <c r="S10587" s="188"/>
    </row>
    <row r="10588" spans="19:19" ht="60" customHeight="1" x14ac:dyDescent="0.25">
      <c r="S10588" s="188"/>
    </row>
    <row r="10589" spans="19:19" ht="60" customHeight="1" x14ac:dyDescent="0.25">
      <c r="S10589" s="188"/>
    </row>
    <row r="10590" spans="19:19" ht="60" customHeight="1" x14ac:dyDescent="0.25">
      <c r="S10590" s="188"/>
    </row>
    <row r="10591" spans="19:19" ht="60" customHeight="1" x14ac:dyDescent="0.25">
      <c r="S10591" s="188"/>
    </row>
    <row r="10592" spans="19:19" ht="60" customHeight="1" x14ac:dyDescent="0.25">
      <c r="S10592" s="188"/>
    </row>
    <row r="10593" spans="19:19" ht="60" customHeight="1" x14ac:dyDescent="0.25">
      <c r="S10593" s="188"/>
    </row>
    <row r="10594" spans="19:19" ht="60" customHeight="1" x14ac:dyDescent="0.25">
      <c r="S10594" s="188"/>
    </row>
    <row r="10595" spans="19:19" ht="60" customHeight="1" x14ac:dyDescent="0.25">
      <c r="S10595" s="188"/>
    </row>
    <row r="10596" spans="19:19" ht="60" customHeight="1" x14ac:dyDescent="0.25">
      <c r="S10596" s="188"/>
    </row>
    <row r="10597" spans="19:19" ht="60" customHeight="1" x14ac:dyDescent="0.25">
      <c r="S10597" s="188"/>
    </row>
    <row r="10598" spans="19:19" ht="60" customHeight="1" x14ac:dyDescent="0.25">
      <c r="S10598" s="188"/>
    </row>
    <row r="10599" spans="19:19" ht="60" customHeight="1" x14ac:dyDescent="0.25">
      <c r="S10599" s="188"/>
    </row>
    <row r="10600" spans="19:19" ht="60" customHeight="1" x14ac:dyDescent="0.25">
      <c r="S10600" s="188"/>
    </row>
    <row r="10601" spans="19:19" ht="60" customHeight="1" x14ac:dyDescent="0.25">
      <c r="S10601" s="188"/>
    </row>
    <row r="10602" spans="19:19" ht="60" customHeight="1" x14ac:dyDescent="0.25">
      <c r="S10602" s="188"/>
    </row>
    <row r="10603" spans="19:19" ht="60" customHeight="1" x14ac:dyDescent="0.25">
      <c r="S10603" s="188"/>
    </row>
    <row r="10604" spans="19:19" ht="60" customHeight="1" x14ac:dyDescent="0.25">
      <c r="S10604" s="188"/>
    </row>
    <row r="10605" spans="19:19" ht="60" customHeight="1" x14ac:dyDescent="0.25">
      <c r="S10605" s="188"/>
    </row>
    <row r="10606" spans="19:19" ht="60" customHeight="1" x14ac:dyDescent="0.25">
      <c r="S10606" s="188"/>
    </row>
    <row r="10607" spans="19:19" ht="60" customHeight="1" x14ac:dyDescent="0.25">
      <c r="S10607" s="188"/>
    </row>
    <row r="10608" spans="19:19" ht="60" customHeight="1" x14ac:dyDescent="0.25">
      <c r="S10608" s="188"/>
    </row>
    <row r="10609" spans="19:19" ht="60" customHeight="1" x14ac:dyDescent="0.25">
      <c r="S10609" s="188"/>
    </row>
    <row r="10610" spans="19:19" ht="60" customHeight="1" x14ac:dyDescent="0.25">
      <c r="S10610" s="188"/>
    </row>
    <row r="10611" spans="19:19" ht="60" customHeight="1" x14ac:dyDescent="0.25">
      <c r="S10611" s="188"/>
    </row>
    <row r="10612" spans="19:19" ht="60" customHeight="1" x14ac:dyDescent="0.25">
      <c r="S10612" s="188"/>
    </row>
    <row r="10613" spans="19:19" ht="60" customHeight="1" x14ac:dyDescent="0.25">
      <c r="S10613" s="188"/>
    </row>
    <row r="10614" spans="19:19" ht="60" customHeight="1" x14ac:dyDescent="0.25">
      <c r="S10614" s="188"/>
    </row>
    <row r="10615" spans="19:19" ht="60" customHeight="1" x14ac:dyDescent="0.25">
      <c r="S10615" s="188"/>
    </row>
    <row r="10616" spans="19:19" ht="60" customHeight="1" x14ac:dyDescent="0.25">
      <c r="S10616" s="188"/>
    </row>
    <row r="10617" spans="19:19" ht="60" customHeight="1" x14ac:dyDescent="0.25">
      <c r="S10617" s="188"/>
    </row>
    <row r="10618" spans="19:19" ht="60" customHeight="1" x14ac:dyDescent="0.25">
      <c r="S10618" s="188"/>
    </row>
    <row r="10619" spans="19:19" ht="60" customHeight="1" x14ac:dyDescent="0.25">
      <c r="S10619" s="188"/>
    </row>
    <row r="10620" spans="19:19" ht="60" customHeight="1" x14ac:dyDescent="0.25">
      <c r="S10620" s="188"/>
    </row>
    <row r="10621" spans="19:19" ht="60" customHeight="1" x14ac:dyDescent="0.25">
      <c r="S10621" s="188"/>
    </row>
    <row r="10622" spans="19:19" ht="60" customHeight="1" x14ac:dyDescent="0.25">
      <c r="S10622" s="188"/>
    </row>
    <row r="10623" spans="19:19" ht="60" customHeight="1" x14ac:dyDescent="0.25">
      <c r="S10623" s="188"/>
    </row>
    <row r="10624" spans="19:19" ht="60" customHeight="1" x14ac:dyDescent="0.25">
      <c r="S10624" s="188"/>
    </row>
    <row r="10625" spans="19:19" ht="60" customHeight="1" x14ac:dyDescent="0.25">
      <c r="S10625" s="188"/>
    </row>
    <row r="10626" spans="19:19" ht="60" customHeight="1" x14ac:dyDescent="0.25">
      <c r="S10626" s="188"/>
    </row>
    <row r="10627" spans="19:19" ht="60" customHeight="1" x14ac:dyDescent="0.25">
      <c r="S10627" s="188"/>
    </row>
    <row r="10628" spans="19:19" ht="60" customHeight="1" x14ac:dyDescent="0.25">
      <c r="S10628" s="188"/>
    </row>
    <row r="10629" spans="19:19" ht="60" customHeight="1" x14ac:dyDescent="0.25">
      <c r="S10629" s="188"/>
    </row>
    <row r="10630" spans="19:19" ht="60" customHeight="1" x14ac:dyDescent="0.25">
      <c r="S10630" s="188"/>
    </row>
    <row r="10631" spans="19:19" ht="60" customHeight="1" x14ac:dyDescent="0.25">
      <c r="S10631" s="188"/>
    </row>
    <row r="10632" spans="19:19" ht="60" customHeight="1" x14ac:dyDescent="0.25">
      <c r="S10632" s="188"/>
    </row>
    <row r="10633" spans="19:19" ht="60" customHeight="1" x14ac:dyDescent="0.25">
      <c r="S10633" s="188"/>
    </row>
    <row r="10634" spans="19:19" ht="60" customHeight="1" x14ac:dyDescent="0.25">
      <c r="S10634" s="188"/>
    </row>
    <row r="10635" spans="19:19" ht="60" customHeight="1" x14ac:dyDescent="0.25">
      <c r="S10635" s="188"/>
    </row>
    <row r="10636" spans="19:19" ht="60" customHeight="1" x14ac:dyDescent="0.25">
      <c r="S10636" s="188"/>
    </row>
    <row r="10637" spans="19:19" ht="60" customHeight="1" x14ac:dyDescent="0.25">
      <c r="S10637" s="188"/>
    </row>
    <row r="10638" spans="19:19" ht="60" customHeight="1" x14ac:dyDescent="0.25">
      <c r="S10638" s="188"/>
    </row>
    <row r="10639" spans="19:19" ht="60" customHeight="1" x14ac:dyDescent="0.25">
      <c r="S10639" s="188"/>
    </row>
    <row r="10640" spans="19:19" ht="60" customHeight="1" x14ac:dyDescent="0.25">
      <c r="S10640" s="188"/>
    </row>
    <row r="10641" spans="19:19" ht="60" customHeight="1" x14ac:dyDescent="0.25">
      <c r="S10641" s="188"/>
    </row>
    <row r="10642" spans="19:19" ht="60" customHeight="1" x14ac:dyDescent="0.25">
      <c r="S10642" s="188"/>
    </row>
    <row r="10643" spans="19:19" ht="60" customHeight="1" x14ac:dyDescent="0.25">
      <c r="S10643" s="188"/>
    </row>
    <row r="10644" spans="19:19" ht="60" customHeight="1" x14ac:dyDescent="0.25">
      <c r="S10644" s="188"/>
    </row>
    <row r="10645" spans="19:19" ht="60" customHeight="1" x14ac:dyDescent="0.25">
      <c r="S10645" s="188"/>
    </row>
    <row r="10646" spans="19:19" ht="60" customHeight="1" x14ac:dyDescent="0.25">
      <c r="S10646" s="188"/>
    </row>
    <row r="10647" spans="19:19" ht="60" customHeight="1" x14ac:dyDescent="0.25">
      <c r="S10647" s="188"/>
    </row>
    <row r="10648" spans="19:19" ht="60" customHeight="1" x14ac:dyDescent="0.25">
      <c r="S10648" s="188"/>
    </row>
    <row r="10649" spans="19:19" ht="60" customHeight="1" x14ac:dyDescent="0.25">
      <c r="S10649" s="188"/>
    </row>
    <row r="10650" spans="19:19" ht="60" customHeight="1" x14ac:dyDescent="0.25">
      <c r="S10650" s="188"/>
    </row>
    <row r="10651" spans="19:19" ht="60" customHeight="1" x14ac:dyDescent="0.25">
      <c r="S10651" s="188"/>
    </row>
    <row r="10652" spans="19:19" ht="60" customHeight="1" x14ac:dyDescent="0.25">
      <c r="S10652" s="188"/>
    </row>
    <row r="10653" spans="19:19" ht="60" customHeight="1" x14ac:dyDescent="0.25">
      <c r="S10653" s="188"/>
    </row>
    <row r="10654" spans="19:19" ht="60" customHeight="1" x14ac:dyDescent="0.25">
      <c r="S10654" s="188"/>
    </row>
    <row r="10655" spans="19:19" ht="60" customHeight="1" x14ac:dyDescent="0.25">
      <c r="S10655" s="188"/>
    </row>
    <row r="10656" spans="19:19" ht="60" customHeight="1" x14ac:dyDescent="0.25">
      <c r="S10656" s="188"/>
    </row>
    <row r="10657" spans="19:19" ht="60" customHeight="1" x14ac:dyDescent="0.25">
      <c r="S10657" s="188"/>
    </row>
    <row r="10658" spans="19:19" ht="60" customHeight="1" x14ac:dyDescent="0.25">
      <c r="S10658" s="188"/>
    </row>
    <row r="10659" spans="19:19" ht="60" customHeight="1" x14ac:dyDescent="0.25">
      <c r="S10659" s="188"/>
    </row>
    <row r="10660" spans="19:19" ht="60" customHeight="1" x14ac:dyDescent="0.25">
      <c r="S10660" s="188"/>
    </row>
    <row r="10661" spans="19:19" ht="60" customHeight="1" x14ac:dyDescent="0.25">
      <c r="S10661" s="188"/>
    </row>
    <row r="10662" spans="19:19" ht="60" customHeight="1" x14ac:dyDescent="0.25">
      <c r="S10662" s="188"/>
    </row>
    <row r="10663" spans="19:19" ht="60" customHeight="1" x14ac:dyDescent="0.25">
      <c r="S10663" s="188"/>
    </row>
    <row r="10664" spans="19:19" ht="60" customHeight="1" x14ac:dyDescent="0.25">
      <c r="S10664" s="188"/>
    </row>
    <row r="10665" spans="19:19" ht="60" customHeight="1" x14ac:dyDescent="0.25">
      <c r="S10665" s="188"/>
    </row>
    <row r="10666" spans="19:19" ht="60" customHeight="1" x14ac:dyDescent="0.25">
      <c r="S10666" s="188"/>
    </row>
    <row r="10667" spans="19:19" ht="60" customHeight="1" x14ac:dyDescent="0.25">
      <c r="S10667" s="188"/>
    </row>
    <row r="10668" spans="19:19" ht="60" customHeight="1" x14ac:dyDescent="0.25">
      <c r="S10668" s="188"/>
    </row>
    <row r="10669" spans="19:19" ht="60" customHeight="1" x14ac:dyDescent="0.25">
      <c r="S10669" s="188"/>
    </row>
    <row r="10670" spans="19:19" ht="60" customHeight="1" x14ac:dyDescent="0.25">
      <c r="S10670" s="188"/>
    </row>
    <row r="10671" spans="19:19" ht="60" customHeight="1" x14ac:dyDescent="0.25">
      <c r="S10671" s="188"/>
    </row>
    <row r="10672" spans="19:19" ht="60" customHeight="1" x14ac:dyDescent="0.25">
      <c r="S10672" s="188"/>
    </row>
    <row r="10673" spans="19:19" ht="60" customHeight="1" x14ac:dyDescent="0.25">
      <c r="S10673" s="188"/>
    </row>
    <row r="10674" spans="19:19" ht="60" customHeight="1" x14ac:dyDescent="0.25">
      <c r="S10674" s="188"/>
    </row>
    <row r="10675" spans="19:19" ht="60" customHeight="1" x14ac:dyDescent="0.25">
      <c r="S10675" s="188"/>
    </row>
    <row r="10676" spans="19:19" ht="60" customHeight="1" x14ac:dyDescent="0.25">
      <c r="S10676" s="188"/>
    </row>
    <row r="10677" spans="19:19" ht="60" customHeight="1" x14ac:dyDescent="0.25">
      <c r="S10677" s="188"/>
    </row>
    <row r="10678" spans="19:19" ht="60" customHeight="1" x14ac:dyDescent="0.25">
      <c r="S10678" s="188"/>
    </row>
    <row r="10679" spans="19:19" ht="60" customHeight="1" x14ac:dyDescent="0.25">
      <c r="S10679" s="188"/>
    </row>
    <row r="10680" spans="19:19" ht="60" customHeight="1" x14ac:dyDescent="0.25">
      <c r="S10680" s="188"/>
    </row>
    <row r="10681" spans="19:19" ht="60" customHeight="1" x14ac:dyDescent="0.25">
      <c r="S10681" s="188"/>
    </row>
    <row r="10682" spans="19:19" ht="60" customHeight="1" x14ac:dyDescent="0.25">
      <c r="S10682" s="188"/>
    </row>
    <row r="10683" spans="19:19" ht="60" customHeight="1" x14ac:dyDescent="0.25">
      <c r="S10683" s="188"/>
    </row>
    <row r="10684" spans="19:19" ht="60" customHeight="1" x14ac:dyDescent="0.25">
      <c r="S10684" s="188"/>
    </row>
    <row r="10685" spans="19:19" ht="60" customHeight="1" x14ac:dyDescent="0.25">
      <c r="S10685" s="188"/>
    </row>
    <row r="10686" spans="19:19" ht="60" customHeight="1" x14ac:dyDescent="0.25">
      <c r="S10686" s="188"/>
    </row>
    <row r="10687" spans="19:19" ht="60" customHeight="1" x14ac:dyDescent="0.25">
      <c r="S10687" s="188"/>
    </row>
    <row r="10688" spans="19:19" ht="60" customHeight="1" x14ac:dyDescent="0.25">
      <c r="S10688" s="188"/>
    </row>
    <row r="10689" spans="19:19" ht="60" customHeight="1" x14ac:dyDescent="0.25">
      <c r="S10689" s="188"/>
    </row>
    <row r="10690" spans="19:19" ht="60" customHeight="1" x14ac:dyDescent="0.25">
      <c r="S10690" s="188"/>
    </row>
    <row r="10691" spans="19:19" ht="60" customHeight="1" x14ac:dyDescent="0.25">
      <c r="S10691" s="188"/>
    </row>
    <row r="10692" spans="19:19" ht="60" customHeight="1" x14ac:dyDescent="0.25">
      <c r="S10692" s="188"/>
    </row>
    <row r="10693" spans="19:19" ht="60" customHeight="1" x14ac:dyDescent="0.25">
      <c r="S10693" s="188"/>
    </row>
    <row r="10694" spans="19:19" ht="60" customHeight="1" x14ac:dyDescent="0.25">
      <c r="S10694" s="188"/>
    </row>
    <row r="10695" spans="19:19" ht="60" customHeight="1" x14ac:dyDescent="0.25">
      <c r="S10695" s="188"/>
    </row>
    <row r="10696" spans="19:19" ht="60" customHeight="1" x14ac:dyDescent="0.25">
      <c r="S10696" s="188"/>
    </row>
    <row r="10697" spans="19:19" ht="60" customHeight="1" x14ac:dyDescent="0.25">
      <c r="S10697" s="188"/>
    </row>
    <row r="10698" spans="19:19" ht="60" customHeight="1" x14ac:dyDescent="0.25">
      <c r="S10698" s="188"/>
    </row>
    <row r="10699" spans="19:19" ht="60" customHeight="1" x14ac:dyDescent="0.25">
      <c r="S10699" s="188"/>
    </row>
    <row r="10700" spans="19:19" ht="60" customHeight="1" x14ac:dyDescent="0.25">
      <c r="S10700" s="188"/>
    </row>
    <row r="10701" spans="19:19" ht="60" customHeight="1" x14ac:dyDescent="0.25">
      <c r="S10701" s="188"/>
    </row>
    <row r="10702" spans="19:19" ht="60" customHeight="1" x14ac:dyDescent="0.25">
      <c r="S10702" s="188"/>
    </row>
    <row r="10703" spans="19:19" ht="60" customHeight="1" x14ac:dyDescent="0.25">
      <c r="S10703" s="188"/>
    </row>
    <row r="10704" spans="19:19" ht="60" customHeight="1" x14ac:dyDescent="0.25">
      <c r="S10704" s="188"/>
    </row>
    <row r="10705" spans="19:19" ht="60" customHeight="1" x14ac:dyDescent="0.25">
      <c r="S10705" s="188"/>
    </row>
    <row r="10706" spans="19:19" ht="60" customHeight="1" x14ac:dyDescent="0.25">
      <c r="S10706" s="188"/>
    </row>
    <row r="10707" spans="19:19" ht="60" customHeight="1" x14ac:dyDescent="0.25">
      <c r="S10707" s="188"/>
    </row>
    <row r="10708" spans="19:19" ht="60" customHeight="1" x14ac:dyDescent="0.25">
      <c r="S10708" s="188"/>
    </row>
    <row r="10709" spans="19:19" ht="60" customHeight="1" x14ac:dyDescent="0.25">
      <c r="S10709" s="188"/>
    </row>
    <row r="10710" spans="19:19" ht="60" customHeight="1" x14ac:dyDescent="0.25">
      <c r="S10710" s="188"/>
    </row>
    <row r="10711" spans="19:19" ht="60" customHeight="1" x14ac:dyDescent="0.25">
      <c r="S10711" s="188"/>
    </row>
    <row r="10712" spans="19:19" ht="60" customHeight="1" x14ac:dyDescent="0.25">
      <c r="S10712" s="188"/>
    </row>
    <row r="10713" spans="19:19" ht="60" customHeight="1" x14ac:dyDescent="0.25">
      <c r="S10713" s="188"/>
    </row>
    <row r="10714" spans="19:19" ht="60" customHeight="1" x14ac:dyDescent="0.25">
      <c r="S10714" s="188"/>
    </row>
    <row r="10715" spans="19:19" ht="60" customHeight="1" x14ac:dyDescent="0.25">
      <c r="S10715" s="188"/>
    </row>
    <row r="10716" spans="19:19" ht="60" customHeight="1" x14ac:dyDescent="0.25">
      <c r="S10716" s="188"/>
    </row>
    <row r="10717" spans="19:19" ht="60" customHeight="1" x14ac:dyDescent="0.25">
      <c r="S10717" s="188"/>
    </row>
    <row r="10718" spans="19:19" ht="60" customHeight="1" x14ac:dyDescent="0.25">
      <c r="S10718" s="188"/>
    </row>
    <row r="10719" spans="19:19" ht="60" customHeight="1" x14ac:dyDescent="0.25">
      <c r="S10719" s="188"/>
    </row>
    <row r="10720" spans="19:19" ht="60" customHeight="1" x14ac:dyDescent="0.25">
      <c r="S10720" s="188"/>
    </row>
    <row r="10721" spans="19:19" ht="60" customHeight="1" x14ac:dyDescent="0.25">
      <c r="S10721" s="188"/>
    </row>
    <row r="10722" spans="19:19" ht="60" customHeight="1" x14ac:dyDescent="0.25">
      <c r="S10722" s="188"/>
    </row>
    <row r="10723" spans="19:19" ht="60" customHeight="1" x14ac:dyDescent="0.25">
      <c r="S10723" s="188"/>
    </row>
    <row r="10724" spans="19:19" ht="60" customHeight="1" x14ac:dyDescent="0.25">
      <c r="S10724" s="188"/>
    </row>
    <row r="10725" spans="19:19" ht="60" customHeight="1" x14ac:dyDescent="0.25">
      <c r="S10725" s="188"/>
    </row>
    <row r="10726" spans="19:19" ht="60" customHeight="1" x14ac:dyDescent="0.25">
      <c r="S10726" s="188"/>
    </row>
    <row r="10727" spans="19:19" ht="60" customHeight="1" x14ac:dyDescent="0.25">
      <c r="S10727" s="188"/>
    </row>
    <row r="10728" spans="19:19" ht="60" customHeight="1" x14ac:dyDescent="0.25">
      <c r="S10728" s="188"/>
    </row>
    <row r="10729" spans="19:19" ht="60" customHeight="1" x14ac:dyDescent="0.25">
      <c r="S10729" s="188"/>
    </row>
    <row r="10730" spans="19:19" ht="60" customHeight="1" x14ac:dyDescent="0.25">
      <c r="S10730" s="188"/>
    </row>
    <row r="10731" spans="19:19" ht="60" customHeight="1" x14ac:dyDescent="0.25">
      <c r="S10731" s="188"/>
    </row>
    <row r="10732" spans="19:19" ht="60" customHeight="1" x14ac:dyDescent="0.25">
      <c r="S10732" s="188"/>
    </row>
    <row r="10733" spans="19:19" ht="60" customHeight="1" x14ac:dyDescent="0.25">
      <c r="S10733" s="188"/>
    </row>
    <row r="10734" spans="19:19" ht="60" customHeight="1" x14ac:dyDescent="0.25">
      <c r="S10734" s="188"/>
    </row>
    <row r="10735" spans="19:19" ht="60" customHeight="1" x14ac:dyDescent="0.25">
      <c r="S10735" s="188"/>
    </row>
    <row r="10736" spans="19:19" ht="60" customHeight="1" x14ac:dyDescent="0.25">
      <c r="S10736" s="188"/>
    </row>
    <row r="10737" spans="19:19" ht="60" customHeight="1" x14ac:dyDescent="0.25">
      <c r="S10737" s="188"/>
    </row>
    <row r="10738" spans="19:19" ht="60" customHeight="1" x14ac:dyDescent="0.25">
      <c r="S10738" s="188"/>
    </row>
    <row r="10739" spans="19:19" ht="60" customHeight="1" x14ac:dyDescent="0.25">
      <c r="S10739" s="188"/>
    </row>
    <row r="10740" spans="19:19" ht="60" customHeight="1" x14ac:dyDescent="0.25">
      <c r="S10740" s="188"/>
    </row>
    <row r="10741" spans="19:19" ht="60" customHeight="1" x14ac:dyDescent="0.25">
      <c r="S10741" s="188"/>
    </row>
    <row r="10742" spans="19:19" ht="60" customHeight="1" x14ac:dyDescent="0.25">
      <c r="S10742" s="188"/>
    </row>
    <row r="10743" spans="19:19" ht="60" customHeight="1" x14ac:dyDescent="0.25">
      <c r="S10743" s="188"/>
    </row>
    <row r="10744" spans="19:19" ht="60" customHeight="1" x14ac:dyDescent="0.25">
      <c r="S10744" s="188"/>
    </row>
    <row r="10745" spans="19:19" ht="60" customHeight="1" x14ac:dyDescent="0.25">
      <c r="S10745" s="188"/>
    </row>
    <row r="10746" spans="19:19" ht="60" customHeight="1" x14ac:dyDescent="0.25">
      <c r="S10746" s="188"/>
    </row>
    <row r="10747" spans="19:19" ht="60" customHeight="1" x14ac:dyDescent="0.25">
      <c r="S10747" s="188"/>
    </row>
    <row r="10748" spans="19:19" ht="60" customHeight="1" x14ac:dyDescent="0.25">
      <c r="S10748" s="188"/>
    </row>
    <row r="10749" spans="19:19" ht="60" customHeight="1" x14ac:dyDescent="0.25">
      <c r="S10749" s="188"/>
    </row>
    <row r="10750" spans="19:19" ht="60" customHeight="1" x14ac:dyDescent="0.25">
      <c r="S10750" s="188"/>
    </row>
    <row r="10751" spans="19:19" ht="60" customHeight="1" x14ac:dyDescent="0.25">
      <c r="S10751" s="188"/>
    </row>
    <row r="10752" spans="19:19" ht="60" customHeight="1" x14ac:dyDescent="0.25">
      <c r="S10752" s="188"/>
    </row>
    <row r="10753" spans="19:19" ht="60" customHeight="1" x14ac:dyDescent="0.25">
      <c r="S10753" s="188"/>
    </row>
    <row r="10754" spans="19:19" ht="60" customHeight="1" x14ac:dyDescent="0.25">
      <c r="S10754" s="188"/>
    </row>
    <row r="10755" spans="19:19" ht="60" customHeight="1" x14ac:dyDescent="0.25">
      <c r="S10755" s="188"/>
    </row>
    <row r="10756" spans="19:19" ht="60" customHeight="1" x14ac:dyDescent="0.25">
      <c r="S10756" s="188"/>
    </row>
    <row r="10757" spans="19:19" ht="60" customHeight="1" x14ac:dyDescent="0.25">
      <c r="S10757" s="188"/>
    </row>
    <row r="10758" spans="19:19" ht="60" customHeight="1" x14ac:dyDescent="0.25">
      <c r="S10758" s="188"/>
    </row>
    <row r="10759" spans="19:19" ht="60" customHeight="1" x14ac:dyDescent="0.25">
      <c r="S10759" s="188"/>
    </row>
    <row r="10760" spans="19:19" ht="60" customHeight="1" x14ac:dyDescent="0.25">
      <c r="S10760" s="188"/>
    </row>
    <row r="10761" spans="19:19" ht="60" customHeight="1" x14ac:dyDescent="0.25">
      <c r="S10761" s="188"/>
    </row>
    <row r="10762" spans="19:19" ht="60" customHeight="1" x14ac:dyDescent="0.25">
      <c r="S10762" s="188"/>
    </row>
    <row r="10763" spans="19:19" ht="60" customHeight="1" x14ac:dyDescent="0.25">
      <c r="S10763" s="188"/>
    </row>
    <row r="10764" spans="19:19" ht="60" customHeight="1" x14ac:dyDescent="0.25">
      <c r="S10764" s="188"/>
    </row>
    <row r="10765" spans="19:19" ht="60" customHeight="1" x14ac:dyDescent="0.25">
      <c r="S10765" s="188"/>
    </row>
    <row r="10766" spans="19:19" ht="60" customHeight="1" x14ac:dyDescent="0.25">
      <c r="S10766" s="188"/>
    </row>
    <row r="10767" spans="19:19" ht="60" customHeight="1" x14ac:dyDescent="0.25">
      <c r="S10767" s="188"/>
    </row>
    <row r="10768" spans="19:19" ht="60" customHeight="1" x14ac:dyDescent="0.25">
      <c r="S10768" s="188"/>
    </row>
    <row r="10769" spans="19:19" ht="60" customHeight="1" x14ac:dyDescent="0.25">
      <c r="S10769" s="188"/>
    </row>
    <row r="10770" spans="19:19" ht="60" customHeight="1" x14ac:dyDescent="0.25">
      <c r="S10770" s="188"/>
    </row>
    <row r="10771" spans="19:19" ht="60" customHeight="1" x14ac:dyDescent="0.25">
      <c r="S10771" s="188"/>
    </row>
    <row r="10772" spans="19:19" ht="60" customHeight="1" x14ac:dyDescent="0.25">
      <c r="S10772" s="188"/>
    </row>
    <row r="10773" spans="19:19" ht="60" customHeight="1" x14ac:dyDescent="0.25">
      <c r="S10773" s="188"/>
    </row>
    <row r="10774" spans="19:19" ht="60" customHeight="1" x14ac:dyDescent="0.25">
      <c r="S10774" s="188"/>
    </row>
    <row r="10775" spans="19:19" ht="60" customHeight="1" x14ac:dyDescent="0.25">
      <c r="S10775" s="188"/>
    </row>
    <row r="10776" spans="19:19" ht="60" customHeight="1" x14ac:dyDescent="0.25">
      <c r="S10776" s="188"/>
    </row>
    <row r="10777" spans="19:19" ht="60" customHeight="1" x14ac:dyDescent="0.25">
      <c r="S10777" s="188"/>
    </row>
    <row r="10778" spans="19:19" ht="60" customHeight="1" x14ac:dyDescent="0.25">
      <c r="S10778" s="188"/>
    </row>
    <row r="10779" spans="19:19" ht="60" customHeight="1" x14ac:dyDescent="0.25">
      <c r="S10779" s="188"/>
    </row>
    <row r="10780" spans="19:19" ht="60" customHeight="1" x14ac:dyDescent="0.25">
      <c r="S10780" s="188"/>
    </row>
    <row r="10781" spans="19:19" ht="60" customHeight="1" x14ac:dyDescent="0.25">
      <c r="S10781" s="188"/>
    </row>
    <row r="10782" spans="19:19" ht="60" customHeight="1" x14ac:dyDescent="0.25">
      <c r="S10782" s="188"/>
    </row>
    <row r="10783" spans="19:19" ht="60" customHeight="1" x14ac:dyDescent="0.25">
      <c r="S10783" s="188"/>
    </row>
    <row r="10784" spans="19:19" ht="60" customHeight="1" x14ac:dyDescent="0.25">
      <c r="S10784" s="188"/>
    </row>
    <row r="10785" spans="19:19" ht="60" customHeight="1" x14ac:dyDescent="0.25">
      <c r="S10785" s="188"/>
    </row>
    <row r="10786" spans="19:19" ht="60" customHeight="1" x14ac:dyDescent="0.25">
      <c r="S10786" s="188"/>
    </row>
    <row r="10787" spans="19:19" ht="60" customHeight="1" x14ac:dyDescent="0.25">
      <c r="S10787" s="188"/>
    </row>
    <row r="10788" spans="19:19" ht="60" customHeight="1" x14ac:dyDescent="0.25">
      <c r="S10788" s="188"/>
    </row>
    <row r="10789" spans="19:19" ht="60" customHeight="1" x14ac:dyDescent="0.25">
      <c r="S10789" s="188"/>
    </row>
    <row r="10790" spans="19:19" ht="60" customHeight="1" x14ac:dyDescent="0.25">
      <c r="S10790" s="188"/>
    </row>
    <row r="10791" spans="19:19" ht="60" customHeight="1" x14ac:dyDescent="0.25">
      <c r="S10791" s="188"/>
    </row>
    <row r="10792" spans="19:19" ht="60" customHeight="1" x14ac:dyDescent="0.25">
      <c r="S10792" s="188"/>
    </row>
    <row r="10793" spans="19:19" ht="60" customHeight="1" x14ac:dyDescent="0.25">
      <c r="S10793" s="188"/>
    </row>
    <row r="10794" spans="19:19" ht="60" customHeight="1" x14ac:dyDescent="0.25">
      <c r="S10794" s="188"/>
    </row>
    <row r="10795" spans="19:19" ht="60" customHeight="1" x14ac:dyDescent="0.25">
      <c r="S10795" s="188"/>
    </row>
    <row r="10796" spans="19:19" ht="60" customHeight="1" x14ac:dyDescent="0.25">
      <c r="S10796" s="188"/>
    </row>
    <row r="10797" spans="19:19" ht="60" customHeight="1" x14ac:dyDescent="0.25">
      <c r="S10797" s="188"/>
    </row>
    <row r="10798" spans="19:19" ht="60" customHeight="1" x14ac:dyDescent="0.25">
      <c r="S10798" s="188"/>
    </row>
    <row r="10799" spans="19:19" ht="60" customHeight="1" x14ac:dyDescent="0.25">
      <c r="S10799" s="188"/>
    </row>
    <row r="10800" spans="19:19" ht="60" customHeight="1" x14ac:dyDescent="0.25">
      <c r="S10800" s="188"/>
    </row>
    <row r="10801" spans="19:19" ht="60" customHeight="1" x14ac:dyDescent="0.25">
      <c r="S10801" s="188"/>
    </row>
    <row r="10802" spans="19:19" ht="60" customHeight="1" x14ac:dyDescent="0.25">
      <c r="S10802" s="188"/>
    </row>
    <row r="10803" spans="19:19" ht="60" customHeight="1" x14ac:dyDescent="0.25">
      <c r="S10803" s="188"/>
    </row>
    <row r="10804" spans="19:19" ht="60" customHeight="1" x14ac:dyDescent="0.25">
      <c r="S10804" s="188"/>
    </row>
    <row r="10805" spans="19:19" ht="60" customHeight="1" x14ac:dyDescent="0.25">
      <c r="S10805" s="188"/>
    </row>
    <row r="10806" spans="19:19" ht="60" customHeight="1" x14ac:dyDescent="0.25">
      <c r="S10806" s="188"/>
    </row>
    <row r="10807" spans="19:19" ht="60" customHeight="1" x14ac:dyDescent="0.25">
      <c r="S10807" s="188"/>
    </row>
    <row r="10808" spans="19:19" ht="60" customHeight="1" x14ac:dyDescent="0.25">
      <c r="S10808" s="188"/>
    </row>
    <row r="10809" spans="19:19" ht="60" customHeight="1" x14ac:dyDescent="0.25">
      <c r="S10809" s="188"/>
    </row>
    <row r="10810" spans="19:19" ht="60" customHeight="1" x14ac:dyDescent="0.25">
      <c r="S10810" s="188"/>
    </row>
    <row r="10811" spans="19:19" ht="60" customHeight="1" x14ac:dyDescent="0.25">
      <c r="S10811" s="188"/>
    </row>
    <row r="10812" spans="19:19" ht="60" customHeight="1" x14ac:dyDescent="0.25">
      <c r="S10812" s="188"/>
    </row>
    <row r="10813" spans="19:19" ht="60" customHeight="1" x14ac:dyDescent="0.25">
      <c r="S10813" s="188"/>
    </row>
    <row r="10814" spans="19:19" ht="60" customHeight="1" x14ac:dyDescent="0.25">
      <c r="S10814" s="188"/>
    </row>
    <row r="10815" spans="19:19" ht="60" customHeight="1" x14ac:dyDescent="0.25">
      <c r="S10815" s="188"/>
    </row>
    <row r="10816" spans="19:19" ht="60" customHeight="1" x14ac:dyDescent="0.25">
      <c r="S10816" s="188"/>
    </row>
    <row r="10817" spans="19:19" ht="60" customHeight="1" x14ac:dyDescent="0.25">
      <c r="S10817" s="188"/>
    </row>
    <row r="10818" spans="19:19" ht="60" customHeight="1" x14ac:dyDescent="0.25">
      <c r="S10818" s="188"/>
    </row>
    <row r="10819" spans="19:19" ht="60" customHeight="1" x14ac:dyDescent="0.25">
      <c r="S10819" s="188"/>
    </row>
    <row r="10820" spans="19:19" ht="60" customHeight="1" x14ac:dyDescent="0.25">
      <c r="S10820" s="188"/>
    </row>
    <row r="10821" spans="19:19" ht="60" customHeight="1" x14ac:dyDescent="0.25">
      <c r="S10821" s="188"/>
    </row>
    <row r="10822" spans="19:19" ht="60" customHeight="1" x14ac:dyDescent="0.25">
      <c r="S10822" s="188"/>
    </row>
    <row r="10823" spans="19:19" ht="60" customHeight="1" x14ac:dyDescent="0.25">
      <c r="S10823" s="188"/>
    </row>
    <row r="10824" spans="19:19" ht="60" customHeight="1" x14ac:dyDescent="0.25">
      <c r="S10824" s="188"/>
    </row>
    <row r="10825" spans="19:19" ht="60" customHeight="1" x14ac:dyDescent="0.25">
      <c r="S10825" s="188"/>
    </row>
    <row r="10826" spans="19:19" ht="60" customHeight="1" x14ac:dyDescent="0.25">
      <c r="S10826" s="188"/>
    </row>
    <row r="10827" spans="19:19" ht="60" customHeight="1" x14ac:dyDescent="0.25">
      <c r="S10827" s="188"/>
    </row>
    <row r="10828" spans="19:19" ht="60" customHeight="1" x14ac:dyDescent="0.25">
      <c r="S10828" s="188"/>
    </row>
    <row r="10829" spans="19:19" ht="60" customHeight="1" x14ac:dyDescent="0.25">
      <c r="S10829" s="188"/>
    </row>
    <row r="10830" spans="19:19" ht="60" customHeight="1" x14ac:dyDescent="0.25">
      <c r="S10830" s="188"/>
    </row>
    <row r="10831" spans="19:19" ht="60" customHeight="1" x14ac:dyDescent="0.25">
      <c r="S10831" s="188"/>
    </row>
    <row r="10832" spans="19:19" ht="60" customHeight="1" x14ac:dyDescent="0.25">
      <c r="S10832" s="188"/>
    </row>
    <row r="10833" spans="19:19" ht="60" customHeight="1" x14ac:dyDescent="0.25">
      <c r="S10833" s="188"/>
    </row>
    <row r="10834" spans="19:19" ht="60" customHeight="1" x14ac:dyDescent="0.25">
      <c r="S10834" s="188"/>
    </row>
    <row r="10835" spans="19:19" ht="60" customHeight="1" x14ac:dyDescent="0.25">
      <c r="S10835" s="188"/>
    </row>
    <row r="10836" spans="19:19" ht="60" customHeight="1" x14ac:dyDescent="0.25">
      <c r="S10836" s="188"/>
    </row>
    <row r="10837" spans="19:19" ht="60" customHeight="1" x14ac:dyDescent="0.25">
      <c r="S10837" s="188"/>
    </row>
    <row r="10838" spans="19:19" ht="60" customHeight="1" x14ac:dyDescent="0.25">
      <c r="S10838" s="188"/>
    </row>
    <row r="10839" spans="19:19" ht="60" customHeight="1" x14ac:dyDescent="0.25">
      <c r="S10839" s="188"/>
    </row>
    <row r="10840" spans="19:19" ht="60" customHeight="1" x14ac:dyDescent="0.25">
      <c r="S10840" s="188"/>
    </row>
    <row r="10841" spans="19:19" ht="60" customHeight="1" x14ac:dyDescent="0.25">
      <c r="S10841" s="188"/>
    </row>
    <row r="10842" spans="19:19" ht="60" customHeight="1" x14ac:dyDescent="0.25">
      <c r="S10842" s="188"/>
    </row>
    <row r="10843" spans="19:19" ht="60" customHeight="1" x14ac:dyDescent="0.25">
      <c r="S10843" s="188"/>
    </row>
    <row r="10844" spans="19:19" ht="60" customHeight="1" x14ac:dyDescent="0.25">
      <c r="S10844" s="188"/>
    </row>
    <row r="10845" spans="19:19" ht="60" customHeight="1" x14ac:dyDescent="0.25">
      <c r="S10845" s="188"/>
    </row>
    <row r="10846" spans="19:19" ht="60" customHeight="1" x14ac:dyDescent="0.25">
      <c r="S10846" s="188"/>
    </row>
    <row r="10847" spans="19:19" ht="60" customHeight="1" x14ac:dyDescent="0.25">
      <c r="S10847" s="188"/>
    </row>
    <row r="10848" spans="19:19" ht="60" customHeight="1" x14ac:dyDescent="0.25">
      <c r="S10848" s="188"/>
    </row>
    <row r="10849" spans="19:19" ht="60" customHeight="1" x14ac:dyDescent="0.25">
      <c r="S10849" s="188"/>
    </row>
    <row r="10850" spans="19:19" ht="60" customHeight="1" x14ac:dyDescent="0.25">
      <c r="S10850" s="188"/>
    </row>
    <row r="10851" spans="19:19" ht="60" customHeight="1" x14ac:dyDescent="0.25">
      <c r="S10851" s="188"/>
    </row>
    <row r="10852" spans="19:19" ht="60" customHeight="1" x14ac:dyDescent="0.25">
      <c r="S10852" s="188"/>
    </row>
    <row r="10853" spans="19:19" ht="60" customHeight="1" x14ac:dyDescent="0.25">
      <c r="S10853" s="188"/>
    </row>
    <row r="10854" spans="19:19" ht="60" customHeight="1" x14ac:dyDescent="0.25">
      <c r="S10854" s="188"/>
    </row>
    <row r="10855" spans="19:19" ht="60" customHeight="1" x14ac:dyDescent="0.25">
      <c r="S10855" s="188"/>
    </row>
    <row r="10856" spans="19:19" ht="60" customHeight="1" x14ac:dyDescent="0.25">
      <c r="S10856" s="188"/>
    </row>
    <row r="10857" spans="19:19" ht="60" customHeight="1" x14ac:dyDescent="0.25">
      <c r="S10857" s="188"/>
    </row>
    <row r="10858" spans="19:19" ht="60" customHeight="1" x14ac:dyDescent="0.25">
      <c r="S10858" s="188"/>
    </row>
    <row r="10859" spans="19:19" ht="60" customHeight="1" x14ac:dyDescent="0.25">
      <c r="S10859" s="188"/>
    </row>
    <row r="10860" spans="19:19" ht="60" customHeight="1" x14ac:dyDescent="0.25">
      <c r="S10860" s="188"/>
    </row>
    <row r="10861" spans="19:19" ht="60" customHeight="1" x14ac:dyDescent="0.25">
      <c r="S10861" s="188"/>
    </row>
    <row r="10862" spans="19:19" ht="60" customHeight="1" x14ac:dyDescent="0.25">
      <c r="S10862" s="188"/>
    </row>
    <row r="10863" spans="19:19" ht="60" customHeight="1" x14ac:dyDescent="0.25">
      <c r="S10863" s="188"/>
    </row>
    <row r="10864" spans="19:19" ht="60" customHeight="1" x14ac:dyDescent="0.25">
      <c r="S10864" s="188"/>
    </row>
    <row r="10865" spans="19:19" ht="60" customHeight="1" x14ac:dyDescent="0.25">
      <c r="S10865" s="188"/>
    </row>
    <row r="10866" spans="19:19" ht="60" customHeight="1" x14ac:dyDescent="0.25">
      <c r="S10866" s="188"/>
    </row>
    <row r="10867" spans="19:19" ht="60" customHeight="1" x14ac:dyDescent="0.25">
      <c r="S10867" s="188"/>
    </row>
    <row r="10868" spans="19:19" ht="60" customHeight="1" x14ac:dyDescent="0.25">
      <c r="S10868" s="188"/>
    </row>
    <row r="10869" spans="19:19" ht="60" customHeight="1" x14ac:dyDescent="0.25">
      <c r="S10869" s="188"/>
    </row>
    <row r="10870" spans="19:19" ht="60" customHeight="1" x14ac:dyDescent="0.25">
      <c r="S10870" s="188"/>
    </row>
    <row r="10871" spans="19:19" ht="60" customHeight="1" x14ac:dyDescent="0.25">
      <c r="S10871" s="188"/>
    </row>
    <row r="10872" spans="19:19" ht="60" customHeight="1" x14ac:dyDescent="0.25">
      <c r="S10872" s="188"/>
    </row>
    <row r="10873" spans="19:19" ht="60" customHeight="1" x14ac:dyDescent="0.25">
      <c r="S10873" s="188"/>
    </row>
    <row r="10874" spans="19:19" ht="60" customHeight="1" x14ac:dyDescent="0.25">
      <c r="S10874" s="188"/>
    </row>
    <row r="10875" spans="19:19" ht="60" customHeight="1" x14ac:dyDescent="0.25">
      <c r="S10875" s="188"/>
    </row>
    <row r="10876" spans="19:19" ht="60" customHeight="1" x14ac:dyDescent="0.25">
      <c r="S10876" s="188"/>
    </row>
    <row r="10877" spans="19:19" ht="60" customHeight="1" x14ac:dyDescent="0.25">
      <c r="S10877" s="188"/>
    </row>
    <row r="10878" spans="19:19" ht="60" customHeight="1" x14ac:dyDescent="0.25">
      <c r="S10878" s="188"/>
    </row>
    <row r="10879" spans="19:19" ht="60" customHeight="1" x14ac:dyDescent="0.25">
      <c r="S10879" s="188"/>
    </row>
    <row r="10880" spans="19:19" ht="60" customHeight="1" x14ac:dyDescent="0.25">
      <c r="S10880" s="188"/>
    </row>
    <row r="10881" spans="19:19" ht="60" customHeight="1" x14ac:dyDescent="0.25">
      <c r="S10881" s="188"/>
    </row>
    <row r="10882" spans="19:19" ht="60" customHeight="1" x14ac:dyDescent="0.25">
      <c r="S10882" s="188"/>
    </row>
    <row r="10883" spans="19:19" ht="60" customHeight="1" x14ac:dyDescent="0.25">
      <c r="S10883" s="188"/>
    </row>
    <row r="10884" spans="19:19" ht="60" customHeight="1" x14ac:dyDescent="0.25">
      <c r="S10884" s="188"/>
    </row>
    <row r="10885" spans="19:19" ht="60" customHeight="1" x14ac:dyDescent="0.25">
      <c r="S10885" s="188"/>
    </row>
    <row r="10886" spans="19:19" ht="60" customHeight="1" x14ac:dyDescent="0.25">
      <c r="S10886" s="188"/>
    </row>
    <row r="10887" spans="19:19" ht="60" customHeight="1" x14ac:dyDescent="0.25">
      <c r="S10887" s="188"/>
    </row>
    <row r="10888" spans="19:19" ht="60" customHeight="1" x14ac:dyDescent="0.25">
      <c r="S10888" s="188"/>
    </row>
    <row r="10889" spans="19:19" ht="60" customHeight="1" x14ac:dyDescent="0.25">
      <c r="S10889" s="188"/>
    </row>
    <row r="10890" spans="19:19" ht="60" customHeight="1" x14ac:dyDescent="0.25">
      <c r="S10890" s="188"/>
    </row>
    <row r="10891" spans="19:19" ht="60" customHeight="1" x14ac:dyDescent="0.25">
      <c r="S10891" s="188"/>
    </row>
    <row r="10892" spans="19:19" ht="60" customHeight="1" x14ac:dyDescent="0.25">
      <c r="S10892" s="188"/>
    </row>
    <row r="10893" spans="19:19" ht="60" customHeight="1" x14ac:dyDescent="0.25">
      <c r="S10893" s="188"/>
    </row>
    <row r="10894" spans="19:19" ht="60" customHeight="1" x14ac:dyDescent="0.25">
      <c r="S10894" s="188"/>
    </row>
    <row r="10895" spans="19:19" ht="60" customHeight="1" x14ac:dyDescent="0.25">
      <c r="S10895" s="188"/>
    </row>
    <row r="10896" spans="19:19" ht="60" customHeight="1" x14ac:dyDescent="0.25">
      <c r="S10896" s="188"/>
    </row>
    <row r="10897" spans="19:19" ht="60" customHeight="1" x14ac:dyDescent="0.25">
      <c r="S10897" s="188"/>
    </row>
    <row r="10898" spans="19:19" ht="60" customHeight="1" x14ac:dyDescent="0.25">
      <c r="S10898" s="188"/>
    </row>
    <row r="10899" spans="19:19" ht="60" customHeight="1" x14ac:dyDescent="0.25">
      <c r="S10899" s="188"/>
    </row>
    <row r="10900" spans="19:19" ht="60" customHeight="1" x14ac:dyDescent="0.25">
      <c r="S10900" s="188"/>
    </row>
    <row r="10901" spans="19:19" ht="60" customHeight="1" x14ac:dyDescent="0.25">
      <c r="S10901" s="188"/>
    </row>
    <row r="10902" spans="19:19" ht="60" customHeight="1" x14ac:dyDescent="0.25">
      <c r="S10902" s="188"/>
    </row>
    <row r="10903" spans="19:19" ht="60" customHeight="1" x14ac:dyDescent="0.25">
      <c r="S10903" s="188"/>
    </row>
    <row r="10904" spans="19:19" ht="60" customHeight="1" x14ac:dyDescent="0.25">
      <c r="S10904" s="188"/>
    </row>
    <row r="10905" spans="19:19" ht="60" customHeight="1" x14ac:dyDescent="0.25">
      <c r="S10905" s="188"/>
    </row>
    <row r="10906" spans="19:19" ht="60" customHeight="1" x14ac:dyDescent="0.25">
      <c r="S10906" s="188"/>
    </row>
    <row r="10907" spans="19:19" ht="60" customHeight="1" x14ac:dyDescent="0.25">
      <c r="S10907" s="188"/>
    </row>
    <row r="10908" spans="19:19" ht="60" customHeight="1" x14ac:dyDescent="0.25">
      <c r="S10908" s="188"/>
    </row>
    <row r="10909" spans="19:19" ht="60" customHeight="1" x14ac:dyDescent="0.25">
      <c r="S10909" s="188"/>
    </row>
    <row r="10910" spans="19:19" ht="60" customHeight="1" x14ac:dyDescent="0.25">
      <c r="S10910" s="188"/>
    </row>
    <row r="10911" spans="19:19" ht="60" customHeight="1" x14ac:dyDescent="0.25">
      <c r="S10911" s="188"/>
    </row>
    <row r="10912" spans="19:19" ht="60" customHeight="1" x14ac:dyDescent="0.25">
      <c r="S10912" s="188"/>
    </row>
    <row r="10913" spans="19:19" ht="60" customHeight="1" x14ac:dyDescent="0.25">
      <c r="S10913" s="188"/>
    </row>
    <row r="10914" spans="19:19" ht="60" customHeight="1" x14ac:dyDescent="0.25">
      <c r="S10914" s="188"/>
    </row>
    <row r="10915" spans="19:19" ht="60" customHeight="1" x14ac:dyDescent="0.25">
      <c r="S10915" s="188"/>
    </row>
    <row r="10916" spans="19:19" ht="60" customHeight="1" x14ac:dyDescent="0.25">
      <c r="S10916" s="188"/>
    </row>
    <row r="10917" spans="19:19" ht="60" customHeight="1" x14ac:dyDescent="0.25">
      <c r="S10917" s="188"/>
    </row>
    <row r="10918" spans="19:19" ht="60" customHeight="1" x14ac:dyDescent="0.25">
      <c r="S10918" s="188"/>
    </row>
    <row r="10919" spans="19:19" ht="60" customHeight="1" x14ac:dyDescent="0.25">
      <c r="S10919" s="188"/>
    </row>
    <row r="10920" spans="19:19" ht="60" customHeight="1" x14ac:dyDescent="0.25">
      <c r="S10920" s="188"/>
    </row>
    <row r="10921" spans="19:19" ht="60" customHeight="1" x14ac:dyDescent="0.25">
      <c r="S10921" s="188"/>
    </row>
    <row r="10922" spans="19:19" ht="60" customHeight="1" x14ac:dyDescent="0.25">
      <c r="S10922" s="188"/>
    </row>
    <row r="10923" spans="19:19" ht="60" customHeight="1" x14ac:dyDescent="0.25">
      <c r="S10923" s="188"/>
    </row>
    <row r="10924" spans="19:19" ht="60" customHeight="1" x14ac:dyDescent="0.25">
      <c r="S10924" s="188"/>
    </row>
    <row r="10925" spans="19:19" ht="60" customHeight="1" x14ac:dyDescent="0.25">
      <c r="S10925" s="188"/>
    </row>
    <row r="10926" spans="19:19" ht="60" customHeight="1" x14ac:dyDescent="0.25">
      <c r="S10926" s="188"/>
    </row>
    <row r="10927" spans="19:19" ht="60" customHeight="1" x14ac:dyDescent="0.25">
      <c r="S10927" s="188"/>
    </row>
    <row r="10928" spans="19:19" ht="60" customHeight="1" x14ac:dyDescent="0.25">
      <c r="S10928" s="188"/>
    </row>
    <row r="10929" spans="19:19" ht="60" customHeight="1" x14ac:dyDescent="0.25">
      <c r="S10929" s="188"/>
    </row>
    <row r="10930" spans="19:19" ht="60" customHeight="1" x14ac:dyDescent="0.25">
      <c r="S10930" s="188"/>
    </row>
    <row r="10931" spans="19:19" ht="60" customHeight="1" x14ac:dyDescent="0.25">
      <c r="S10931" s="188"/>
    </row>
    <row r="10932" spans="19:19" ht="60" customHeight="1" x14ac:dyDescent="0.25">
      <c r="S10932" s="188"/>
    </row>
    <row r="10933" spans="19:19" ht="60" customHeight="1" x14ac:dyDescent="0.25">
      <c r="S10933" s="188"/>
    </row>
    <row r="10934" spans="19:19" ht="60" customHeight="1" x14ac:dyDescent="0.25">
      <c r="S10934" s="188"/>
    </row>
    <row r="10935" spans="19:19" ht="60" customHeight="1" x14ac:dyDescent="0.25">
      <c r="S10935" s="188"/>
    </row>
    <row r="10936" spans="19:19" ht="60" customHeight="1" x14ac:dyDescent="0.25">
      <c r="S10936" s="188"/>
    </row>
    <row r="10937" spans="19:19" ht="60" customHeight="1" x14ac:dyDescent="0.25">
      <c r="S10937" s="188"/>
    </row>
    <row r="10938" spans="19:19" ht="60" customHeight="1" x14ac:dyDescent="0.25">
      <c r="S10938" s="188"/>
    </row>
    <row r="10939" spans="19:19" ht="60" customHeight="1" x14ac:dyDescent="0.25">
      <c r="S10939" s="188"/>
    </row>
    <row r="10940" spans="19:19" ht="60" customHeight="1" x14ac:dyDescent="0.25">
      <c r="S10940" s="188"/>
    </row>
    <row r="10941" spans="19:19" ht="60" customHeight="1" x14ac:dyDescent="0.25">
      <c r="S10941" s="188"/>
    </row>
    <row r="10942" spans="19:19" ht="60" customHeight="1" x14ac:dyDescent="0.25">
      <c r="S10942" s="188"/>
    </row>
    <row r="10943" spans="19:19" ht="60" customHeight="1" x14ac:dyDescent="0.25">
      <c r="S10943" s="188"/>
    </row>
    <row r="10944" spans="19:19" ht="60" customHeight="1" x14ac:dyDescent="0.25">
      <c r="S10944" s="188"/>
    </row>
    <row r="10945" spans="19:19" ht="60" customHeight="1" x14ac:dyDescent="0.25">
      <c r="S10945" s="188"/>
    </row>
    <row r="10946" spans="19:19" ht="60" customHeight="1" x14ac:dyDescent="0.25">
      <c r="S10946" s="188"/>
    </row>
    <row r="10947" spans="19:19" ht="60" customHeight="1" x14ac:dyDescent="0.25">
      <c r="S10947" s="188"/>
    </row>
    <row r="10948" spans="19:19" ht="60" customHeight="1" x14ac:dyDescent="0.25">
      <c r="S10948" s="188"/>
    </row>
    <row r="10949" spans="19:19" ht="60" customHeight="1" x14ac:dyDescent="0.25">
      <c r="S10949" s="188"/>
    </row>
    <row r="10950" spans="19:19" ht="60" customHeight="1" x14ac:dyDescent="0.25">
      <c r="S10950" s="188"/>
    </row>
    <row r="10951" spans="19:19" ht="60" customHeight="1" x14ac:dyDescent="0.25">
      <c r="S10951" s="188"/>
    </row>
    <row r="10952" spans="19:19" ht="60" customHeight="1" x14ac:dyDescent="0.25">
      <c r="S10952" s="188"/>
    </row>
    <row r="10953" spans="19:19" ht="60" customHeight="1" x14ac:dyDescent="0.25">
      <c r="S10953" s="188"/>
    </row>
    <row r="10954" spans="19:19" ht="60" customHeight="1" x14ac:dyDescent="0.25">
      <c r="S10954" s="188"/>
    </row>
    <row r="10955" spans="19:19" ht="60" customHeight="1" x14ac:dyDescent="0.25">
      <c r="S10955" s="188"/>
    </row>
    <row r="10956" spans="19:19" ht="60" customHeight="1" x14ac:dyDescent="0.25">
      <c r="S10956" s="188"/>
    </row>
    <row r="10957" spans="19:19" ht="60" customHeight="1" x14ac:dyDescent="0.25">
      <c r="S10957" s="188"/>
    </row>
    <row r="10958" spans="19:19" ht="60" customHeight="1" x14ac:dyDescent="0.25">
      <c r="S10958" s="188"/>
    </row>
    <row r="10959" spans="19:19" ht="60" customHeight="1" x14ac:dyDescent="0.25">
      <c r="S10959" s="188"/>
    </row>
    <row r="10960" spans="19:19" ht="60" customHeight="1" x14ac:dyDescent="0.25">
      <c r="S10960" s="188"/>
    </row>
    <row r="10961" spans="19:19" ht="60" customHeight="1" x14ac:dyDescent="0.25">
      <c r="S10961" s="188"/>
    </row>
    <row r="10962" spans="19:19" ht="60" customHeight="1" x14ac:dyDescent="0.25">
      <c r="S10962" s="188"/>
    </row>
    <row r="10963" spans="19:19" ht="60" customHeight="1" x14ac:dyDescent="0.25">
      <c r="S10963" s="188"/>
    </row>
    <row r="10964" spans="19:19" ht="60" customHeight="1" x14ac:dyDescent="0.25">
      <c r="S10964" s="188"/>
    </row>
    <row r="10965" spans="19:19" ht="60" customHeight="1" x14ac:dyDescent="0.25">
      <c r="S10965" s="188"/>
    </row>
    <row r="10966" spans="19:19" ht="60" customHeight="1" x14ac:dyDescent="0.25">
      <c r="S10966" s="188"/>
    </row>
    <row r="10967" spans="19:19" ht="60" customHeight="1" x14ac:dyDescent="0.25">
      <c r="S10967" s="188"/>
    </row>
    <row r="10968" spans="19:19" ht="60" customHeight="1" x14ac:dyDescent="0.25">
      <c r="S10968" s="188"/>
    </row>
    <row r="10969" spans="19:19" ht="60" customHeight="1" x14ac:dyDescent="0.25">
      <c r="S10969" s="188"/>
    </row>
    <row r="10970" spans="19:19" ht="60" customHeight="1" x14ac:dyDescent="0.25">
      <c r="S10970" s="188"/>
    </row>
    <row r="10971" spans="19:19" ht="60" customHeight="1" x14ac:dyDescent="0.25">
      <c r="S10971" s="188"/>
    </row>
    <row r="10972" spans="19:19" ht="60" customHeight="1" x14ac:dyDescent="0.25">
      <c r="S10972" s="188"/>
    </row>
    <row r="10973" spans="19:19" ht="60" customHeight="1" x14ac:dyDescent="0.25">
      <c r="S10973" s="188"/>
    </row>
    <row r="10974" spans="19:19" ht="60" customHeight="1" x14ac:dyDescent="0.25">
      <c r="S10974" s="188"/>
    </row>
    <row r="10975" spans="19:19" ht="60" customHeight="1" x14ac:dyDescent="0.25">
      <c r="S10975" s="188"/>
    </row>
    <row r="10976" spans="19:19" ht="60" customHeight="1" x14ac:dyDescent="0.25">
      <c r="S10976" s="188"/>
    </row>
    <row r="10977" spans="19:19" ht="60" customHeight="1" x14ac:dyDescent="0.25">
      <c r="S10977" s="188"/>
    </row>
    <row r="10978" spans="19:19" ht="60" customHeight="1" x14ac:dyDescent="0.25">
      <c r="S10978" s="188"/>
    </row>
    <row r="10979" spans="19:19" ht="60" customHeight="1" x14ac:dyDescent="0.25">
      <c r="S10979" s="188"/>
    </row>
    <row r="10980" spans="19:19" ht="60" customHeight="1" x14ac:dyDescent="0.25">
      <c r="S10980" s="188"/>
    </row>
    <row r="10981" spans="19:19" ht="60" customHeight="1" x14ac:dyDescent="0.25">
      <c r="S10981" s="188"/>
    </row>
    <row r="10982" spans="19:19" ht="60" customHeight="1" x14ac:dyDescent="0.25">
      <c r="S10982" s="188"/>
    </row>
    <row r="10983" spans="19:19" ht="60" customHeight="1" x14ac:dyDescent="0.25">
      <c r="S10983" s="188"/>
    </row>
    <row r="10984" spans="19:19" ht="60" customHeight="1" x14ac:dyDescent="0.25">
      <c r="S10984" s="188"/>
    </row>
    <row r="10985" spans="19:19" ht="60" customHeight="1" x14ac:dyDescent="0.25">
      <c r="S10985" s="188"/>
    </row>
    <row r="10986" spans="19:19" ht="60" customHeight="1" x14ac:dyDescent="0.25">
      <c r="S10986" s="188"/>
    </row>
    <row r="10987" spans="19:19" ht="60" customHeight="1" x14ac:dyDescent="0.25">
      <c r="S10987" s="188"/>
    </row>
    <row r="10988" spans="19:19" ht="60" customHeight="1" x14ac:dyDescent="0.25">
      <c r="S10988" s="188"/>
    </row>
    <row r="10989" spans="19:19" ht="60" customHeight="1" x14ac:dyDescent="0.25">
      <c r="S10989" s="188"/>
    </row>
    <row r="10990" spans="19:19" ht="60" customHeight="1" x14ac:dyDescent="0.25">
      <c r="S10990" s="188"/>
    </row>
    <row r="10991" spans="19:19" ht="60" customHeight="1" x14ac:dyDescent="0.25">
      <c r="S10991" s="188"/>
    </row>
    <row r="10992" spans="19:19" ht="60" customHeight="1" x14ac:dyDescent="0.25">
      <c r="S10992" s="188"/>
    </row>
    <row r="10993" spans="19:19" ht="60" customHeight="1" x14ac:dyDescent="0.25">
      <c r="S10993" s="188"/>
    </row>
    <row r="10994" spans="19:19" ht="60" customHeight="1" x14ac:dyDescent="0.25">
      <c r="S10994" s="188"/>
    </row>
    <row r="10995" spans="19:19" ht="60" customHeight="1" x14ac:dyDescent="0.25">
      <c r="S10995" s="188"/>
    </row>
    <row r="10996" spans="19:19" ht="60" customHeight="1" x14ac:dyDescent="0.25">
      <c r="S10996" s="188"/>
    </row>
    <row r="10997" spans="19:19" ht="60" customHeight="1" x14ac:dyDescent="0.25">
      <c r="S10997" s="188"/>
    </row>
    <row r="10998" spans="19:19" ht="60" customHeight="1" x14ac:dyDescent="0.25">
      <c r="S10998" s="188"/>
    </row>
    <row r="10999" spans="19:19" ht="60" customHeight="1" x14ac:dyDescent="0.25">
      <c r="S10999" s="188"/>
    </row>
    <row r="11000" spans="19:19" ht="60" customHeight="1" x14ac:dyDescent="0.25">
      <c r="S11000" s="188"/>
    </row>
    <row r="11001" spans="19:19" ht="60" customHeight="1" x14ac:dyDescent="0.25">
      <c r="S11001" s="188"/>
    </row>
    <row r="11002" spans="19:19" ht="60" customHeight="1" x14ac:dyDescent="0.25">
      <c r="S11002" s="188"/>
    </row>
    <row r="11003" spans="19:19" ht="60" customHeight="1" x14ac:dyDescent="0.25">
      <c r="S11003" s="188"/>
    </row>
    <row r="11004" spans="19:19" ht="60" customHeight="1" x14ac:dyDescent="0.25">
      <c r="S11004" s="188"/>
    </row>
    <row r="11005" spans="19:19" ht="60" customHeight="1" x14ac:dyDescent="0.25">
      <c r="S11005" s="188"/>
    </row>
    <row r="11006" spans="19:19" ht="60" customHeight="1" x14ac:dyDescent="0.25">
      <c r="S11006" s="188"/>
    </row>
    <row r="11007" spans="19:19" ht="60" customHeight="1" x14ac:dyDescent="0.25">
      <c r="S11007" s="188"/>
    </row>
    <row r="11008" spans="19:19" ht="60" customHeight="1" x14ac:dyDescent="0.25">
      <c r="S11008" s="188"/>
    </row>
    <row r="11009" spans="19:19" ht="60" customHeight="1" x14ac:dyDescent="0.25">
      <c r="S11009" s="188"/>
    </row>
    <row r="11010" spans="19:19" ht="60" customHeight="1" x14ac:dyDescent="0.25">
      <c r="S11010" s="188"/>
    </row>
    <row r="11011" spans="19:19" ht="60" customHeight="1" x14ac:dyDescent="0.25">
      <c r="S11011" s="188"/>
    </row>
    <row r="11012" spans="19:19" ht="60" customHeight="1" x14ac:dyDescent="0.25">
      <c r="S11012" s="188"/>
    </row>
    <row r="11013" spans="19:19" ht="60" customHeight="1" x14ac:dyDescent="0.25">
      <c r="S11013" s="188"/>
    </row>
    <row r="11014" spans="19:19" ht="60" customHeight="1" x14ac:dyDescent="0.25">
      <c r="S11014" s="188"/>
    </row>
    <row r="11015" spans="19:19" ht="60" customHeight="1" x14ac:dyDescent="0.25">
      <c r="S11015" s="188"/>
    </row>
    <row r="11016" spans="19:19" ht="60" customHeight="1" x14ac:dyDescent="0.25">
      <c r="S11016" s="188"/>
    </row>
    <row r="11017" spans="19:19" ht="60" customHeight="1" x14ac:dyDescent="0.25">
      <c r="S11017" s="188"/>
    </row>
    <row r="11018" spans="19:19" ht="60" customHeight="1" x14ac:dyDescent="0.25">
      <c r="S11018" s="188"/>
    </row>
    <row r="11019" spans="19:19" ht="60" customHeight="1" x14ac:dyDescent="0.25">
      <c r="S11019" s="188"/>
    </row>
    <row r="11020" spans="19:19" ht="60" customHeight="1" x14ac:dyDescent="0.25">
      <c r="S11020" s="188"/>
    </row>
    <row r="11021" spans="19:19" ht="60" customHeight="1" x14ac:dyDescent="0.25">
      <c r="S11021" s="188"/>
    </row>
    <row r="11022" spans="19:19" ht="60" customHeight="1" x14ac:dyDescent="0.25">
      <c r="S11022" s="188"/>
    </row>
    <row r="11023" spans="19:19" ht="60" customHeight="1" x14ac:dyDescent="0.25">
      <c r="S11023" s="188"/>
    </row>
    <row r="11024" spans="19:19" ht="60" customHeight="1" x14ac:dyDescent="0.25">
      <c r="S11024" s="188"/>
    </row>
    <row r="11025" spans="19:19" ht="60" customHeight="1" x14ac:dyDescent="0.25">
      <c r="S11025" s="188"/>
    </row>
    <row r="11026" spans="19:19" ht="60" customHeight="1" x14ac:dyDescent="0.25">
      <c r="S11026" s="188"/>
    </row>
    <row r="11027" spans="19:19" ht="60" customHeight="1" x14ac:dyDescent="0.25">
      <c r="S11027" s="188"/>
    </row>
    <row r="11028" spans="19:19" ht="60" customHeight="1" x14ac:dyDescent="0.25">
      <c r="S11028" s="188"/>
    </row>
    <row r="11029" spans="19:19" ht="60" customHeight="1" x14ac:dyDescent="0.25">
      <c r="S11029" s="188"/>
    </row>
    <row r="11030" spans="19:19" ht="60" customHeight="1" x14ac:dyDescent="0.25">
      <c r="S11030" s="188"/>
    </row>
    <row r="11031" spans="19:19" ht="60" customHeight="1" x14ac:dyDescent="0.25">
      <c r="S11031" s="188"/>
    </row>
    <row r="11032" spans="19:19" ht="60" customHeight="1" x14ac:dyDescent="0.25">
      <c r="S11032" s="188"/>
    </row>
    <row r="11033" spans="19:19" ht="60" customHeight="1" x14ac:dyDescent="0.25">
      <c r="S11033" s="188"/>
    </row>
    <row r="11034" spans="19:19" ht="60" customHeight="1" x14ac:dyDescent="0.25">
      <c r="S11034" s="188"/>
    </row>
    <row r="11035" spans="19:19" ht="60" customHeight="1" x14ac:dyDescent="0.25">
      <c r="S11035" s="188"/>
    </row>
    <row r="11036" spans="19:19" ht="60" customHeight="1" x14ac:dyDescent="0.25">
      <c r="S11036" s="188"/>
    </row>
    <row r="11037" spans="19:19" ht="60" customHeight="1" x14ac:dyDescent="0.25">
      <c r="S11037" s="188"/>
    </row>
    <row r="11038" spans="19:19" ht="60" customHeight="1" x14ac:dyDescent="0.25">
      <c r="S11038" s="188"/>
    </row>
    <row r="11039" spans="19:19" ht="60" customHeight="1" x14ac:dyDescent="0.25">
      <c r="S11039" s="188"/>
    </row>
    <row r="11040" spans="19:19" ht="60" customHeight="1" x14ac:dyDescent="0.25">
      <c r="S11040" s="188"/>
    </row>
    <row r="11041" spans="19:19" ht="60" customHeight="1" x14ac:dyDescent="0.25">
      <c r="S11041" s="188"/>
    </row>
    <row r="11042" spans="19:19" ht="60" customHeight="1" x14ac:dyDescent="0.25">
      <c r="S11042" s="188"/>
    </row>
    <row r="11043" spans="19:19" ht="60" customHeight="1" x14ac:dyDescent="0.25">
      <c r="S11043" s="188"/>
    </row>
    <row r="11044" spans="19:19" ht="60" customHeight="1" x14ac:dyDescent="0.25">
      <c r="S11044" s="188"/>
    </row>
    <row r="11045" spans="19:19" ht="60" customHeight="1" x14ac:dyDescent="0.25">
      <c r="S11045" s="188"/>
    </row>
    <row r="11046" spans="19:19" ht="60" customHeight="1" x14ac:dyDescent="0.25">
      <c r="S11046" s="188"/>
    </row>
    <row r="11047" spans="19:19" ht="60" customHeight="1" x14ac:dyDescent="0.25">
      <c r="S11047" s="188"/>
    </row>
    <row r="11048" spans="19:19" ht="60" customHeight="1" x14ac:dyDescent="0.25">
      <c r="S11048" s="188"/>
    </row>
    <row r="11049" spans="19:19" ht="60" customHeight="1" x14ac:dyDescent="0.25">
      <c r="S11049" s="188"/>
    </row>
    <row r="11050" spans="19:19" ht="60" customHeight="1" x14ac:dyDescent="0.25">
      <c r="S11050" s="188"/>
    </row>
    <row r="11051" spans="19:19" ht="60" customHeight="1" x14ac:dyDescent="0.25">
      <c r="S11051" s="188"/>
    </row>
    <row r="11052" spans="19:19" ht="60" customHeight="1" x14ac:dyDescent="0.25">
      <c r="S11052" s="188"/>
    </row>
    <row r="11053" spans="19:19" ht="60" customHeight="1" x14ac:dyDescent="0.25">
      <c r="S11053" s="188"/>
    </row>
    <row r="11054" spans="19:19" ht="60" customHeight="1" x14ac:dyDescent="0.25">
      <c r="S11054" s="188"/>
    </row>
    <row r="11055" spans="19:19" ht="60" customHeight="1" x14ac:dyDescent="0.25">
      <c r="S11055" s="188"/>
    </row>
    <row r="11056" spans="19:19" ht="60" customHeight="1" x14ac:dyDescent="0.25">
      <c r="S11056" s="188"/>
    </row>
    <row r="11057" spans="19:19" ht="60" customHeight="1" x14ac:dyDescent="0.25">
      <c r="S11057" s="188"/>
    </row>
    <row r="11058" spans="19:19" ht="60" customHeight="1" x14ac:dyDescent="0.25">
      <c r="S11058" s="188"/>
    </row>
    <row r="11059" spans="19:19" ht="60" customHeight="1" x14ac:dyDescent="0.25">
      <c r="S11059" s="188"/>
    </row>
    <row r="11060" spans="19:19" ht="60" customHeight="1" x14ac:dyDescent="0.25">
      <c r="S11060" s="188"/>
    </row>
    <row r="11061" spans="19:19" ht="60" customHeight="1" x14ac:dyDescent="0.25">
      <c r="S11061" s="188"/>
    </row>
    <row r="11062" spans="19:19" ht="60" customHeight="1" x14ac:dyDescent="0.25">
      <c r="S11062" s="188"/>
    </row>
    <row r="11063" spans="19:19" ht="60" customHeight="1" x14ac:dyDescent="0.25">
      <c r="S11063" s="188"/>
    </row>
    <row r="11064" spans="19:19" ht="60" customHeight="1" x14ac:dyDescent="0.25">
      <c r="S11064" s="188"/>
    </row>
    <row r="11065" spans="19:19" ht="60" customHeight="1" x14ac:dyDescent="0.25">
      <c r="S11065" s="188"/>
    </row>
    <row r="11066" spans="19:19" ht="60" customHeight="1" x14ac:dyDescent="0.25">
      <c r="S11066" s="188"/>
    </row>
    <row r="11067" spans="19:19" ht="60" customHeight="1" x14ac:dyDescent="0.25">
      <c r="S11067" s="188"/>
    </row>
    <row r="11068" spans="19:19" ht="60" customHeight="1" x14ac:dyDescent="0.25">
      <c r="S11068" s="188"/>
    </row>
    <row r="11069" spans="19:19" ht="60" customHeight="1" x14ac:dyDescent="0.25">
      <c r="S11069" s="188"/>
    </row>
    <row r="11070" spans="19:19" ht="60" customHeight="1" x14ac:dyDescent="0.25">
      <c r="S11070" s="188"/>
    </row>
    <row r="11071" spans="19:19" ht="60" customHeight="1" x14ac:dyDescent="0.25">
      <c r="S11071" s="188"/>
    </row>
    <row r="11072" spans="19:19" ht="60" customHeight="1" x14ac:dyDescent="0.25">
      <c r="S11072" s="188"/>
    </row>
    <row r="11073" spans="19:19" ht="60" customHeight="1" x14ac:dyDescent="0.25">
      <c r="S11073" s="188"/>
    </row>
    <row r="11074" spans="19:19" ht="60" customHeight="1" x14ac:dyDescent="0.25">
      <c r="S11074" s="188"/>
    </row>
    <row r="11075" spans="19:19" ht="60" customHeight="1" x14ac:dyDescent="0.25">
      <c r="S11075" s="188"/>
    </row>
    <row r="11076" spans="19:19" ht="60" customHeight="1" x14ac:dyDescent="0.25">
      <c r="S11076" s="188"/>
    </row>
    <row r="11077" spans="19:19" ht="60" customHeight="1" x14ac:dyDescent="0.25">
      <c r="S11077" s="188"/>
    </row>
    <row r="11078" spans="19:19" ht="60" customHeight="1" x14ac:dyDescent="0.25">
      <c r="S11078" s="188"/>
    </row>
    <row r="11079" spans="19:19" ht="60" customHeight="1" x14ac:dyDescent="0.25">
      <c r="S11079" s="188"/>
    </row>
    <row r="11080" spans="19:19" ht="60" customHeight="1" x14ac:dyDescent="0.25">
      <c r="S11080" s="188"/>
    </row>
    <row r="11081" spans="19:19" ht="60" customHeight="1" x14ac:dyDescent="0.25">
      <c r="S11081" s="188"/>
    </row>
    <row r="11082" spans="19:19" ht="60" customHeight="1" x14ac:dyDescent="0.25">
      <c r="S11082" s="188"/>
    </row>
    <row r="11083" spans="19:19" ht="60" customHeight="1" x14ac:dyDescent="0.25">
      <c r="S11083" s="188"/>
    </row>
    <row r="11084" spans="19:19" ht="60" customHeight="1" x14ac:dyDescent="0.25">
      <c r="S11084" s="188"/>
    </row>
    <row r="11085" spans="19:19" ht="60" customHeight="1" x14ac:dyDescent="0.25">
      <c r="S11085" s="188"/>
    </row>
    <row r="11086" spans="19:19" ht="60" customHeight="1" x14ac:dyDescent="0.25">
      <c r="S11086" s="188"/>
    </row>
    <row r="11087" spans="19:19" ht="60" customHeight="1" x14ac:dyDescent="0.25">
      <c r="S11087" s="188"/>
    </row>
    <row r="11088" spans="19:19" ht="60" customHeight="1" x14ac:dyDescent="0.25">
      <c r="S11088" s="188"/>
    </row>
    <row r="11089" spans="19:19" ht="60" customHeight="1" x14ac:dyDescent="0.25">
      <c r="S11089" s="188"/>
    </row>
    <row r="11090" spans="19:19" ht="60" customHeight="1" x14ac:dyDescent="0.25">
      <c r="S11090" s="188"/>
    </row>
    <row r="11091" spans="19:19" ht="60" customHeight="1" x14ac:dyDescent="0.25">
      <c r="S11091" s="188"/>
    </row>
    <row r="11092" spans="19:19" ht="60" customHeight="1" x14ac:dyDescent="0.25">
      <c r="S11092" s="188"/>
    </row>
    <row r="11093" spans="19:19" ht="60" customHeight="1" x14ac:dyDescent="0.25">
      <c r="S11093" s="188"/>
    </row>
    <row r="11094" spans="19:19" ht="60" customHeight="1" x14ac:dyDescent="0.25">
      <c r="S11094" s="188"/>
    </row>
    <row r="11095" spans="19:19" ht="60" customHeight="1" x14ac:dyDescent="0.25">
      <c r="S11095" s="188"/>
    </row>
    <row r="11096" spans="19:19" ht="60" customHeight="1" x14ac:dyDescent="0.25">
      <c r="S11096" s="188"/>
    </row>
    <row r="11097" spans="19:19" ht="60" customHeight="1" x14ac:dyDescent="0.25">
      <c r="S11097" s="188"/>
    </row>
    <row r="11098" spans="19:19" ht="60" customHeight="1" x14ac:dyDescent="0.25">
      <c r="S11098" s="188"/>
    </row>
    <row r="11099" spans="19:19" ht="60" customHeight="1" x14ac:dyDescent="0.25">
      <c r="S11099" s="188"/>
    </row>
    <row r="11100" spans="19:19" ht="60" customHeight="1" x14ac:dyDescent="0.25">
      <c r="S11100" s="188"/>
    </row>
    <row r="11101" spans="19:19" ht="60" customHeight="1" x14ac:dyDescent="0.25">
      <c r="S11101" s="188"/>
    </row>
    <row r="11102" spans="19:19" ht="60" customHeight="1" x14ac:dyDescent="0.25">
      <c r="S11102" s="188"/>
    </row>
    <row r="11103" spans="19:19" ht="60" customHeight="1" x14ac:dyDescent="0.25">
      <c r="S11103" s="188"/>
    </row>
    <row r="11104" spans="19:19" ht="60" customHeight="1" x14ac:dyDescent="0.25">
      <c r="S11104" s="188"/>
    </row>
    <row r="11105" spans="19:19" ht="60" customHeight="1" x14ac:dyDescent="0.25">
      <c r="S11105" s="188"/>
    </row>
    <row r="11106" spans="19:19" ht="60" customHeight="1" x14ac:dyDescent="0.25">
      <c r="S11106" s="188"/>
    </row>
    <row r="11107" spans="19:19" ht="60" customHeight="1" x14ac:dyDescent="0.25">
      <c r="S11107" s="188"/>
    </row>
    <row r="11108" spans="19:19" ht="60" customHeight="1" x14ac:dyDescent="0.25">
      <c r="S11108" s="188"/>
    </row>
    <row r="11109" spans="19:19" ht="60" customHeight="1" x14ac:dyDescent="0.25">
      <c r="S11109" s="188"/>
    </row>
    <row r="11110" spans="19:19" ht="60" customHeight="1" x14ac:dyDescent="0.25">
      <c r="S11110" s="188"/>
    </row>
    <row r="11111" spans="19:19" ht="60" customHeight="1" x14ac:dyDescent="0.25">
      <c r="S11111" s="188"/>
    </row>
    <row r="11112" spans="19:19" ht="60" customHeight="1" x14ac:dyDescent="0.25">
      <c r="S11112" s="188"/>
    </row>
    <row r="11113" spans="19:19" ht="60" customHeight="1" x14ac:dyDescent="0.25">
      <c r="S11113" s="188"/>
    </row>
    <row r="11114" spans="19:19" ht="60" customHeight="1" x14ac:dyDescent="0.25">
      <c r="S11114" s="188"/>
    </row>
    <row r="11115" spans="19:19" ht="60" customHeight="1" x14ac:dyDescent="0.25">
      <c r="S11115" s="188"/>
    </row>
    <row r="11116" spans="19:19" ht="60" customHeight="1" x14ac:dyDescent="0.25">
      <c r="S11116" s="188"/>
    </row>
    <row r="11117" spans="19:19" ht="60" customHeight="1" x14ac:dyDescent="0.25">
      <c r="S11117" s="188"/>
    </row>
    <row r="11118" spans="19:19" ht="60" customHeight="1" x14ac:dyDescent="0.25">
      <c r="S11118" s="188"/>
    </row>
    <row r="11119" spans="19:19" ht="60" customHeight="1" x14ac:dyDescent="0.25">
      <c r="S11119" s="188"/>
    </row>
    <row r="11120" spans="19:19" ht="60" customHeight="1" x14ac:dyDescent="0.25">
      <c r="S11120" s="188"/>
    </row>
    <row r="11121" spans="19:19" ht="60" customHeight="1" x14ac:dyDescent="0.25">
      <c r="S11121" s="188"/>
    </row>
    <row r="11122" spans="19:19" ht="60" customHeight="1" x14ac:dyDescent="0.25">
      <c r="S11122" s="188"/>
    </row>
    <row r="11123" spans="19:19" ht="60" customHeight="1" x14ac:dyDescent="0.25">
      <c r="S11123" s="188"/>
    </row>
    <row r="11124" spans="19:19" ht="60" customHeight="1" x14ac:dyDescent="0.25">
      <c r="S11124" s="188"/>
    </row>
    <row r="11125" spans="19:19" ht="60" customHeight="1" x14ac:dyDescent="0.25">
      <c r="S11125" s="188"/>
    </row>
    <row r="11126" spans="19:19" ht="60" customHeight="1" x14ac:dyDescent="0.25">
      <c r="S11126" s="188"/>
    </row>
    <row r="11127" spans="19:19" ht="60" customHeight="1" x14ac:dyDescent="0.25">
      <c r="S11127" s="188"/>
    </row>
    <row r="11128" spans="19:19" ht="60" customHeight="1" x14ac:dyDescent="0.25">
      <c r="S11128" s="188"/>
    </row>
    <row r="11129" spans="19:19" ht="60" customHeight="1" x14ac:dyDescent="0.25">
      <c r="S11129" s="188"/>
    </row>
    <row r="11130" spans="19:19" ht="60" customHeight="1" x14ac:dyDescent="0.25">
      <c r="S11130" s="188"/>
    </row>
    <row r="11131" spans="19:19" ht="60" customHeight="1" x14ac:dyDescent="0.25">
      <c r="S11131" s="188"/>
    </row>
    <row r="11132" spans="19:19" ht="60" customHeight="1" x14ac:dyDescent="0.25">
      <c r="S11132" s="188"/>
    </row>
    <row r="11133" spans="19:19" ht="60" customHeight="1" x14ac:dyDescent="0.25">
      <c r="S11133" s="188"/>
    </row>
    <row r="11134" spans="19:19" ht="60" customHeight="1" x14ac:dyDescent="0.25">
      <c r="S11134" s="188"/>
    </row>
    <row r="11135" spans="19:19" ht="60" customHeight="1" x14ac:dyDescent="0.25">
      <c r="S11135" s="188"/>
    </row>
    <row r="11136" spans="19:19" ht="60" customHeight="1" x14ac:dyDescent="0.25">
      <c r="S11136" s="188"/>
    </row>
    <row r="11137" spans="19:19" ht="60" customHeight="1" x14ac:dyDescent="0.25">
      <c r="S11137" s="188"/>
    </row>
    <row r="11138" spans="19:19" ht="60" customHeight="1" x14ac:dyDescent="0.25">
      <c r="S11138" s="188"/>
    </row>
    <row r="11139" spans="19:19" ht="60" customHeight="1" x14ac:dyDescent="0.25">
      <c r="S11139" s="188"/>
    </row>
    <row r="11140" spans="19:19" ht="60" customHeight="1" x14ac:dyDescent="0.25">
      <c r="S11140" s="188"/>
    </row>
    <row r="11141" spans="19:19" ht="60" customHeight="1" x14ac:dyDescent="0.25">
      <c r="S11141" s="188"/>
    </row>
    <row r="11142" spans="19:19" ht="60" customHeight="1" x14ac:dyDescent="0.25">
      <c r="S11142" s="188"/>
    </row>
    <row r="11143" spans="19:19" ht="60" customHeight="1" x14ac:dyDescent="0.25">
      <c r="S11143" s="188"/>
    </row>
    <row r="11144" spans="19:19" ht="60" customHeight="1" x14ac:dyDescent="0.25">
      <c r="S11144" s="188"/>
    </row>
    <row r="11145" spans="19:19" ht="60" customHeight="1" x14ac:dyDescent="0.25">
      <c r="S11145" s="188"/>
    </row>
    <row r="11146" spans="19:19" ht="60" customHeight="1" x14ac:dyDescent="0.25">
      <c r="S11146" s="188"/>
    </row>
    <row r="11147" spans="19:19" ht="60" customHeight="1" x14ac:dyDescent="0.25">
      <c r="S11147" s="188"/>
    </row>
    <row r="11148" spans="19:19" ht="60" customHeight="1" x14ac:dyDescent="0.25">
      <c r="S11148" s="188"/>
    </row>
    <row r="11149" spans="19:19" ht="60" customHeight="1" x14ac:dyDescent="0.25">
      <c r="S11149" s="188"/>
    </row>
    <row r="11150" spans="19:19" ht="60" customHeight="1" x14ac:dyDescent="0.25">
      <c r="S11150" s="188"/>
    </row>
    <row r="11151" spans="19:19" ht="60" customHeight="1" x14ac:dyDescent="0.25">
      <c r="S11151" s="188"/>
    </row>
    <row r="11152" spans="19:19" ht="60" customHeight="1" x14ac:dyDescent="0.25">
      <c r="S11152" s="188"/>
    </row>
    <row r="11153" spans="19:19" ht="60" customHeight="1" x14ac:dyDescent="0.25">
      <c r="S11153" s="188"/>
    </row>
    <row r="11154" spans="19:19" ht="60" customHeight="1" x14ac:dyDescent="0.25">
      <c r="S11154" s="188"/>
    </row>
    <row r="11155" spans="19:19" ht="60" customHeight="1" x14ac:dyDescent="0.25">
      <c r="S11155" s="188"/>
    </row>
    <row r="11156" spans="19:19" ht="60" customHeight="1" x14ac:dyDescent="0.25">
      <c r="S11156" s="188"/>
    </row>
    <row r="11157" spans="19:19" ht="60" customHeight="1" x14ac:dyDescent="0.25">
      <c r="S11157" s="188"/>
    </row>
    <row r="11158" spans="19:19" ht="60" customHeight="1" x14ac:dyDescent="0.25">
      <c r="S11158" s="188"/>
    </row>
    <row r="11159" spans="19:19" ht="60" customHeight="1" x14ac:dyDescent="0.25">
      <c r="S11159" s="188"/>
    </row>
    <row r="11160" spans="19:19" ht="60" customHeight="1" x14ac:dyDescent="0.25">
      <c r="S11160" s="188"/>
    </row>
    <row r="11161" spans="19:19" ht="60" customHeight="1" x14ac:dyDescent="0.25">
      <c r="S11161" s="188"/>
    </row>
    <row r="11162" spans="19:19" ht="60" customHeight="1" x14ac:dyDescent="0.25">
      <c r="S11162" s="188"/>
    </row>
    <row r="11163" spans="19:19" ht="60" customHeight="1" x14ac:dyDescent="0.25">
      <c r="S11163" s="188"/>
    </row>
    <row r="11164" spans="19:19" ht="60" customHeight="1" x14ac:dyDescent="0.25">
      <c r="S11164" s="188"/>
    </row>
    <row r="11165" spans="19:19" ht="60" customHeight="1" x14ac:dyDescent="0.25">
      <c r="S11165" s="188"/>
    </row>
    <row r="11166" spans="19:19" ht="60" customHeight="1" x14ac:dyDescent="0.25">
      <c r="S11166" s="188"/>
    </row>
    <row r="11167" spans="19:19" ht="60" customHeight="1" x14ac:dyDescent="0.25">
      <c r="S11167" s="188"/>
    </row>
    <row r="11168" spans="19:19" ht="60" customHeight="1" x14ac:dyDescent="0.25">
      <c r="S11168" s="188"/>
    </row>
    <row r="11169" spans="19:19" ht="60" customHeight="1" x14ac:dyDescent="0.25">
      <c r="S11169" s="188"/>
    </row>
    <row r="11170" spans="19:19" ht="60" customHeight="1" x14ac:dyDescent="0.25">
      <c r="S11170" s="188"/>
    </row>
    <row r="11171" spans="19:19" ht="60" customHeight="1" x14ac:dyDescent="0.25">
      <c r="S11171" s="188"/>
    </row>
    <row r="11172" spans="19:19" ht="60" customHeight="1" x14ac:dyDescent="0.25">
      <c r="S11172" s="188"/>
    </row>
    <row r="11173" spans="19:19" ht="60" customHeight="1" x14ac:dyDescent="0.25">
      <c r="S11173" s="188"/>
    </row>
    <row r="11174" spans="19:19" ht="60" customHeight="1" x14ac:dyDescent="0.25">
      <c r="S11174" s="188"/>
    </row>
    <row r="11175" spans="19:19" ht="60" customHeight="1" x14ac:dyDescent="0.25">
      <c r="S11175" s="188"/>
    </row>
    <row r="11176" spans="19:19" ht="60" customHeight="1" x14ac:dyDescent="0.25">
      <c r="S11176" s="188"/>
    </row>
    <row r="11177" spans="19:19" ht="60" customHeight="1" x14ac:dyDescent="0.25">
      <c r="S11177" s="188"/>
    </row>
    <row r="11178" spans="19:19" ht="60" customHeight="1" x14ac:dyDescent="0.25">
      <c r="S11178" s="188"/>
    </row>
    <row r="11179" spans="19:19" ht="60" customHeight="1" x14ac:dyDescent="0.25">
      <c r="S11179" s="188"/>
    </row>
    <row r="11180" spans="19:19" ht="60" customHeight="1" x14ac:dyDescent="0.25">
      <c r="S11180" s="188"/>
    </row>
    <row r="11181" spans="19:19" ht="60" customHeight="1" x14ac:dyDescent="0.25">
      <c r="S11181" s="188"/>
    </row>
    <row r="11182" spans="19:19" ht="60" customHeight="1" x14ac:dyDescent="0.25">
      <c r="S11182" s="188"/>
    </row>
    <row r="11183" spans="19:19" ht="60" customHeight="1" x14ac:dyDescent="0.25">
      <c r="S11183" s="188"/>
    </row>
    <row r="11184" spans="19:19" ht="60" customHeight="1" x14ac:dyDescent="0.25">
      <c r="S11184" s="188"/>
    </row>
    <row r="11185" spans="19:19" ht="60" customHeight="1" x14ac:dyDescent="0.25">
      <c r="S11185" s="188"/>
    </row>
    <row r="11186" spans="19:19" ht="60" customHeight="1" x14ac:dyDescent="0.25">
      <c r="S11186" s="188"/>
    </row>
    <row r="11187" spans="19:19" ht="60" customHeight="1" x14ac:dyDescent="0.25">
      <c r="S11187" s="188"/>
    </row>
    <row r="11188" spans="19:19" ht="60" customHeight="1" x14ac:dyDescent="0.25">
      <c r="S11188" s="188"/>
    </row>
    <row r="11189" spans="19:19" ht="60" customHeight="1" x14ac:dyDescent="0.25">
      <c r="S11189" s="188"/>
    </row>
    <row r="11190" spans="19:19" ht="60" customHeight="1" x14ac:dyDescent="0.25">
      <c r="S11190" s="188"/>
    </row>
    <row r="11191" spans="19:19" ht="60" customHeight="1" x14ac:dyDescent="0.25">
      <c r="S11191" s="188"/>
    </row>
    <row r="11192" spans="19:19" ht="60" customHeight="1" x14ac:dyDescent="0.25">
      <c r="S11192" s="188"/>
    </row>
    <row r="11193" spans="19:19" ht="60" customHeight="1" x14ac:dyDescent="0.25">
      <c r="S11193" s="188"/>
    </row>
    <row r="11194" spans="19:19" ht="60" customHeight="1" x14ac:dyDescent="0.25">
      <c r="S11194" s="188"/>
    </row>
    <row r="11195" spans="19:19" ht="60" customHeight="1" x14ac:dyDescent="0.25">
      <c r="S11195" s="188"/>
    </row>
    <row r="11196" spans="19:19" ht="60" customHeight="1" x14ac:dyDescent="0.25">
      <c r="S11196" s="188"/>
    </row>
    <row r="11197" spans="19:19" ht="60" customHeight="1" x14ac:dyDescent="0.25">
      <c r="S11197" s="188"/>
    </row>
    <row r="11198" spans="19:19" ht="60" customHeight="1" x14ac:dyDescent="0.25">
      <c r="S11198" s="188"/>
    </row>
    <row r="11199" spans="19:19" ht="60" customHeight="1" x14ac:dyDescent="0.25">
      <c r="S11199" s="188"/>
    </row>
    <row r="11200" spans="19:19" ht="60" customHeight="1" x14ac:dyDescent="0.25">
      <c r="S11200" s="188"/>
    </row>
    <row r="11201" spans="19:19" ht="60" customHeight="1" x14ac:dyDescent="0.25">
      <c r="S11201" s="188"/>
    </row>
    <row r="11202" spans="19:19" ht="60" customHeight="1" x14ac:dyDescent="0.25">
      <c r="S11202" s="188"/>
    </row>
    <row r="11203" spans="19:19" ht="60" customHeight="1" x14ac:dyDescent="0.25">
      <c r="S11203" s="188"/>
    </row>
    <row r="11204" spans="19:19" ht="60" customHeight="1" x14ac:dyDescent="0.25">
      <c r="S11204" s="188"/>
    </row>
    <row r="11205" spans="19:19" ht="60" customHeight="1" x14ac:dyDescent="0.25">
      <c r="S11205" s="188"/>
    </row>
    <row r="11206" spans="19:19" ht="60" customHeight="1" x14ac:dyDescent="0.25">
      <c r="S11206" s="188"/>
    </row>
    <row r="11207" spans="19:19" ht="60" customHeight="1" x14ac:dyDescent="0.25">
      <c r="S11207" s="188"/>
    </row>
    <row r="11208" spans="19:19" ht="60" customHeight="1" x14ac:dyDescent="0.25">
      <c r="S11208" s="188"/>
    </row>
    <row r="11209" spans="19:19" ht="60" customHeight="1" x14ac:dyDescent="0.25">
      <c r="S11209" s="188"/>
    </row>
    <row r="11210" spans="19:19" ht="60" customHeight="1" x14ac:dyDescent="0.25">
      <c r="S11210" s="188"/>
    </row>
    <row r="11211" spans="19:19" ht="60" customHeight="1" x14ac:dyDescent="0.25">
      <c r="S11211" s="188"/>
    </row>
    <row r="11212" spans="19:19" ht="60" customHeight="1" x14ac:dyDescent="0.25">
      <c r="S11212" s="188"/>
    </row>
    <row r="11213" spans="19:19" ht="60" customHeight="1" x14ac:dyDescent="0.25">
      <c r="S11213" s="188"/>
    </row>
    <row r="11214" spans="19:19" ht="60" customHeight="1" x14ac:dyDescent="0.25">
      <c r="S11214" s="188"/>
    </row>
    <row r="11215" spans="19:19" ht="60" customHeight="1" x14ac:dyDescent="0.25">
      <c r="S11215" s="188"/>
    </row>
    <row r="11216" spans="19:19" ht="60" customHeight="1" x14ac:dyDescent="0.25">
      <c r="S11216" s="188"/>
    </row>
    <row r="11217" spans="19:19" ht="60" customHeight="1" x14ac:dyDescent="0.25">
      <c r="S11217" s="188"/>
    </row>
    <row r="11218" spans="19:19" ht="60" customHeight="1" x14ac:dyDescent="0.25">
      <c r="S11218" s="188"/>
    </row>
    <row r="11219" spans="19:19" ht="60" customHeight="1" x14ac:dyDescent="0.25">
      <c r="S11219" s="188"/>
    </row>
    <row r="11220" spans="19:19" ht="60" customHeight="1" x14ac:dyDescent="0.25">
      <c r="S11220" s="188"/>
    </row>
    <row r="11221" spans="19:19" ht="60" customHeight="1" x14ac:dyDescent="0.25">
      <c r="S11221" s="188"/>
    </row>
    <row r="11222" spans="19:19" ht="60" customHeight="1" x14ac:dyDescent="0.25">
      <c r="S11222" s="188"/>
    </row>
    <row r="11223" spans="19:19" ht="60" customHeight="1" x14ac:dyDescent="0.25">
      <c r="S11223" s="188"/>
    </row>
    <row r="11224" spans="19:19" ht="60" customHeight="1" x14ac:dyDescent="0.25">
      <c r="S11224" s="188"/>
    </row>
    <row r="11225" spans="19:19" ht="60" customHeight="1" x14ac:dyDescent="0.25">
      <c r="S11225" s="188"/>
    </row>
    <row r="11226" spans="19:19" ht="60" customHeight="1" x14ac:dyDescent="0.25">
      <c r="S11226" s="188"/>
    </row>
    <row r="11227" spans="19:19" ht="60" customHeight="1" x14ac:dyDescent="0.25">
      <c r="S11227" s="188"/>
    </row>
    <row r="11228" spans="19:19" ht="60" customHeight="1" x14ac:dyDescent="0.25">
      <c r="S11228" s="188"/>
    </row>
    <row r="11229" spans="19:19" ht="60" customHeight="1" x14ac:dyDescent="0.25">
      <c r="S11229" s="188"/>
    </row>
    <row r="11230" spans="19:19" ht="60" customHeight="1" x14ac:dyDescent="0.25">
      <c r="S11230" s="188"/>
    </row>
    <row r="11231" spans="19:19" ht="60" customHeight="1" x14ac:dyDescent="0.25">
      <c r="S11231" s="188"/>
    </row>
    <row r="11232" spans="19:19" ht="60" customHeight="1" x14ac:dyDescent="0.25">
      <c r="S11232" s="188"/>
    </row>
    <row r="11233" spans="19:19" ht="60" customHeight="1" x14ac:dyDescent="0.25">
      <c r="S11233" s="188"/>
    </row>
    <row r="11234" spans="19:19" ht="60" customHeight="1" x14ac:dyDescent="0.25">
      <c r="S11234" s="188"/>
    </row>
    <row r="11235" spans="19:19" ht="60" customHeight="1" x14ac:dyDescent="0.25">
      <c r="S11235" s="188"/>
    </row>
    <row r="11236" spans="19:19" ht="60" customHeight="1" x14ac:dyDescent="0.25">
      <c r="S11236" s="188"/>
    </row>
    <row r="11237" spans="19:19" ht="60" customHeight="1" x14ac:dyDescent="0.25">
      <c r="S11237" s="188"/>
    </row>
    <row r="11238" spans="19:19" ht="60" customHeight="1" x14ac:dyDescent="0.25">
      <c r="S11238" s="188"/>
    </row>
    <row r="11239" spans="19:19" ht="60" customHeight="1" x14ac:dyDescent="0.25">
      <c r="S11239" s="188"/>
    </row>
    <row r="11240" spans="19:19" ht="60" customHeight="1" x14ac:dyDescent="0.25">
      <c r="S11240" s="188"/>
    </row>
    <row r="11241" spans="19:19" ht="60" customHeight="1" x14ac:dyDescent="0.25">
      <c r="S11241" s="188"/>
    </row>
    <row r="11242" spans="19:19" ht="60" customHeight="1" x14ac:dyDescent="0.25">
      <c r="S11242" s="188"/>
    </row>
    <row r="11243" spans="19:19" ht="60" customHeight="1" x14ac:dyDescent="0.25">
      <c r="S11243" s="188"/>
    </row>
    <row r="11244" spans="19:19" ht="60" customHeight="1" x14ac:dyDescent="0.25">
      <c r="S11244" s="188"/>
    </row>
    <row r="11245" spans="19:19" ht="60" customHeight="1" x14ac:dyDescent="0.25">
      <c r="S11245" s="188"/>
    </row>
    <row r="11246" spans="19:19" ht="60" customHeight="1" x14ac:dyDescent="0.25">
      <c r="S11246" s="188"/>
    </row>
    <row r="11247" spans="19:19" ht="60" customHeight="1" x14ac:dyDescent="0.25">
      <c r="S11247" s="188"/>
    </row>
    <row r="11248" spans="19:19" ht="60" customHeight="1" x14ac:dyDescent="0.25">
      <c r="S11248" s="188"/>
    </row>
    <row r="11249" spans="19:19" ht="60" customHeight="1" x14ac:dyDescent="0.25">
      <c r="S11249" s="188"/>
    </row>
    <row r="11250" spans="19:19" ht="60" customHeight="1" x14ac:dyDescent="0.25">
      <c r="S11250" s="188"/>
    </row>
    <row r="11251" spans="19:19" ht="60" customHeight="1" x14ac:dyDescent="0.25">
      <c r="S11251" s="188"/>
    </row>
    <row r="11252" spans="19:19" ht="60" customHeight="1" x14ac:dyDescent="0.25">
      <c r="S11252" s="188"/>
    </row>
    <row r="11253" spans="19:19" ht="60" customHeight="1" x14ac:dyDescent="0.25">
      <c r="S11253" s="188"/>
    </row>
    <row r="11254" spans="19:19" ht="60" customHeight="1" x14ac:dyDescent="0.25">
      <c r="S11254" s="188"/>
    </row>
    <row r="11255" spans="19:19" ht="60" customHeight="1" x14ac:dyDescent="0.25">
      <c r="S11255" s="188"/>
    </row>
    <row r="11256" spans="19:19" ht="60" customHeight="1" x14ac:dyDescent="0.25">
      <c r="S11256" s="188"/>
    </row>
    <row r="11257" spans="19:19" ht="60" customHeight="1" x14ac:dyDescent="0.25">
      <c r="S11257" s="188"/>
    </row>
    <row r="11258" spans="19:19" ht="60" customHeight="1" x14ac:dyDescent="0.25">
      <c r="S11258" s="188"/>
    </row>
    <row r="11259" spans="19:19" ht="60" customHeight="1" x14ac:dyDescent="0.25">
      <c r="S11259" s="188"/>
    </row>
    <row r="11260" spans="19:19" ht="60" customHeight="1" x14ac:dyDescent="0.25">
      <c r="S11260" s="188"/>
    </row>
    <row r="11261" spans="19:19" ht="60" customHeight="1" x14ac:dyDescent="0.25">
      <c r="S11261" s="188"/>
    </row>
    <row r="11262" spans="19:19" ht="60" customHeight="1" x14ac:dyDescent="0.25">
      <c r="S11262" s="188"/>
    </row>
    <row r="11263" spans="19:19" ht="60" customHeight="1" x14ac:dyDescent="0.25">
      <c r="S11263" s="188"/>
    </row>
    <row r="11264" spans="19:19" ht="60" customHeight="1" x14ac:dyDescent="0.25">
      <c r="S11264" s="188"/>
    </row>
    <row r="11265" spans="19:19" ht="60" customHeight="1" x14ac:dyDescent="0.25">
      <c r="S11265" s="188"/>
    </row>
    <row r="11266" spans="19:19" ht="60" customHeight="1" x14ac:dyDescent="0.25">
      <c r="S11266" s="188"/>
    </row>
    <row r="11267" spans="19:19" ht="60" customHeight="1" x14ac:dyDescent="0.25">
      <c r="S11267" s="188"/>
    </row>
    <row r="11268" spans="19:19" ht="60" customHeight="1" x14ac:dyDescent="0.25">
      <c r="S11268" s="188"/>
    </row>
    <row r="11269" spans="19:19" ht="60" customHeight="1" x14ac:dyDescent="0.25">
      <c r="S11269" s="188"/>
    </row>
    <row r="11270" spans="19:19" ht="60" customHeight="1" x14ac:dyDescent="0.25">
      <c r="S11270" s="188"/>
    </row>
    <row r="11271" spans="19:19" ht="60" customHeight="1" x14ac:dyDescent="0.25">
      <c r="S11271" s="188"/>
    </row>
    <row r="11272" spans="19:19" ht="60" customHeight="1" x14ac:dyDescent="0.25">
      <c r="S11272" s="188"/>
    </row>
    <row r="11273" spans="19:19" ht="60" customHeight="1" x14ac:dyDescent="0.25">
      <c r="S11273" s="188"/>
    </row>
    <row r="11274" spans="19:19" ht="60" customHeight="1" x14ac:dyDescent="0.25">
      <c r="S11274" s="188"/>
    </row>
    <row r="11275" spans="19:19" ht="60" customHeight="1" x14ac:dyDescent="0.25">
      <c r="S11275" s="188"/>
    </row>
    <row r="11276" spans="19:19" ht="60" customHeight="1" x14ac:dyDescent="0.25">
      <c r="S11276" s="188"/>
    </row>
    <row r="11277" spans="19:19" ht="60" customHeight="1" x14ac:dyDescent="0.25">
      <c r="S11277" s="188"/>
    </row>
    <row r="11278" spans="19:19" ht="60" customHeight="1" x14ac:dyDescent="0.25">
      <c r="S11278" s="188"/>
    </row>
    <row r="11279" spans="19:19" ht="60" customHeight="1" x14ac:dyDescent="0.25">
      <c r="S11279" s="188"/>
    </row>
    <row r="11280" spans="19:19" ht="60" customHeight="1" x14ac:dyDescent="0.25">
      <c r="S11280" s="188"/>
    </row>
    <row r="11281" spans="19:19" ht="60" customHeight="1" x14ac:dyDescent="0.25">
      <c r="S11281" s="188"/>
    </row>
    <row r="11282" spans="19:19" ht="60" customHeight="1" x14ac:dyDescent="0.25">
      <c r="S11282" s="188"/>
    </row>
    <row r="11283" spans="19:19" ht="60" customHeight="1" x14ac:dyDescent="0.25">
      <c r="S11283" s="188"/>
    </row>
    <row r="11284" spans="19:19" ht="60" customHeight="1" x14ac:dyDescent="0.25">
      <c r="S11284" s="188"/>
    </row>
    <row r="11285" spans="19:19" ht="60" customHeight="1" x14ac:dyDescent="0.25">
      <c r="S11285" s="188"/>
    </row>
    <row r="11286" spans="19:19" ht="60" customHeight="1" x14ac:dyDescent="0.25">
      <c r="S11286" s="188"/>
    </row>
    <row r="11287" spans="19:19" ht="60" customHeight="1" x14ac:dyDescent="0.25">
      <c r="S11287" s="188"/>
    </row>
    <row r="11288" spans="19:19" ht="60" customHeight="1" x14ac:dyDescent="0.25">
      <c r="S11288" s="188"/>
    </row>
    <row r="11289" spans="19:19" ht="60" customHeight="1" x14ac:dyDescent="0.25">
      <c r="S11289" s="188"/>
    </row>
    <row r="11290" spans="19:19" ht="60" customHeight="1" x14ac:dyDescent="0.25">
      <c r="S11290" s="188"/>
    </row>
    <row r="11291" spans="19:19" ht="60" customHeight="1" x14ac:dyDescent="0.25">
      <c r="S11291" s="188"/>
    </row>
    <row r="11292" spans="19:19" ht="60" customHeight="1" x14ac:dyDescent="0.25">
      <c r="S11292" s="188"/>
    </row>
    <row r="11293" spans="19:19" ht="60" customHeight="1" x14ac:dyDescent="0.25">
      <c r="S11293" s="188"/>
    </row>
    <row r="11294" spans="19:19" ht="60" customHeight="1" x14ac:dyDescent="0.25">
      <c r="S11294" s="188"/>
    </row>
    <row r="11295" spans="19:19" ht="60" customHeight="1" x14ac:dyDescent="0.25">
      <c r="S11295" s="188"/>
    </row>
    <row r="11296" spans="19:19" ht="60" customHeight="1" x14ac:dyDescent="0.25">
      <c r="S11296" s="188"/>
    </row>
    <row r="11297" spans="19:19" ht="60" customHeight="1" x14ac:dyDescent="0.25">
      <c r="S11297" s="188"/>
    </row>
    <row r="11298" spans="19:19" ht="60" customHeight="1" x14ac:dyDescent="0.25">
      <c r="S11298" s="188"/>
    </row>
    <row r="11299" spans="19:19" ht="60" customHeight="1" x14ac:dyDescent="0.25">
      <c r="S11299" s="188"/>
    </row>
    <row r="11300" spans="19:19" ht="60" customHeight="1" x14ac:dyDescent="0.25">
      <c r="S11300" s="188"/>
    </row>
    <row r="11301" spans="19:19" ht="60" customHeight="1" x14ac:dyDescent="0.25">
      <c r="S11301" s="188"/>
    </row>
    <row r="11302" spans="19:19" ht="60" customHeight="1" x14ac:dyDescent="0.25">
      <c r="S11302" s="188"/>
    </row>
    <row r="11303" spans="19:19" ht="60" customHeight="1" x14ac:dyDescent="0.25">
      <c r="S11303" s="188"/>
    </row>
    <row r="11304" spans="19:19" ht="60" customHeight="1" x14ac:dyDescent="0.25">
      <c r="S11304" s="188"/>
    </row>
    <row r="11305" spans="19:19" ht="60" customHeight="1" x14ac:dyDescent="0.25">
      <c r="S11305" s="188"/>
    </row>
    <row r="11306" spans="19:19" ht="60" customHeight="1" x14ac:dyDescent="0.25">
      <c r="S11306" s="188"/>
    </row>
    <row r="11307" spans="19:19" ht="60" customHeight="1" x14ac:dyDescent="0.25">
      <c r="S11307" s="188"/>
    </row>
    <row r="11308" spans="19:19" ht="60" customHeight="1" x14ac:dyDescent="0.25">
      <c r="S11308" s="188"/>
    </row>
    <row r="11309" spans="19:19" ht="60" customHeight="1" x14ac:dyDescent="0.25">
      <c r="S11309" s="188"/>
    </row>
    <row r="11310" spans="19:19" ht="60" customHeight="1" x14ac:dyDescent="0.25">
      <c r="S11310" s="188"/>
    </row>
    <row r="11311" spans="19:19" ht="60" customHeight="1" x14ac:dyDescent="0.25">
      <c r="S11311" s="188"/>
    </row>
    <row r="11312" spans="19:19" ht="60" customHeight="1" x14ac:dyDescent="0.25">
      <c r="S11312" s="188"/>
    </row>
    <row r="11313" spans="19:19" ht="60" customHeight="1" x14ac:dyDescent="0.25">
      <c r="S11313" s="188"/>
    </row>
    <row r="11314" spans="19:19" ht="60" customHeight="1" x14ac:dyDescent="0.25">
      <c r="S11314" s="188"/>
    </row>
    <row r="11315" spans="19:19" ht="60" customHeight="1" x14ac:dyDescent="0.25">
      <c r="S11315" s="188"/>
    </row>
    <row r="11316" spans="19:19" ht="60" customHeight="1" x14ac:dyDescent="0.25">
      <c r="S11316" s="188"/>
    </row>
    <row r="11317" spans="19:19" ht="60" customHeight="1" x14ac:dyDescent="0.25">
      <c r="S11317" s="188"/>
    </row>
    <row r="11318" spans="19:19" ht="60" customHeight="1" x14ac:dyDescent="0.25">
      <c r="S11318" s="188"/>
    </row>
    <row r="11319" spans="19:19" ht="60" customHeight="1" x14ac:dyDescent="0.25">
      <c r="S11319" s="188"/>
    </row>
    <row r="11320" spans="19:19" ht="60" customHeight="1" x14ac:dyDescent="0.25">
      <c r="S11320" s="188"/>
    </row>
    <row r="11321" spans="19:19" ht="60" customHeight="1" x14ac:dyDescent="0.25">
      <c r="S11321" s="188"/>
    </row>
    <row r="11322" spans="19:19" ht="60" customHeight="1" x14ac:dyDescent="0.25">
      <c r="S11322" s="188"/>
    </row>
    <row r="11323" spans="19:19" ht="60" customHeight="1" x14ac:dyDescent="0.25">
      <c r="S11323" s="188"/>
    </row>
    <row r="11324" spans="19:19" ht="60" customHeight="1" x14ac:dyDescent="0.25">
      <c r="S11324" s="188"/>
    </row>
    <row r="11325" spans="19:19" ht="60" customHeight="1" x14ac:dyDescent="0.25">
      <c r="S11325" s="188"/>
    </row>
    <row r="11326" spans="19:19" ht="60" customHeight="1" x14ac:dyDescent="0.25">
      <c r="S11326" s="188"/>
    </row>
    <row r="11327" spans="19:19" ht="60" customHeight="1" x14ac:dyDescent="0.25">
      <c r="S11327" s="188"/>
    </row>
    <row r="11328" spans="19:19" ht="60" customHeight="1" x14ac:dyDescent="0.25">
      <c r="S11328" s="188"/>
    </row>
    <row r="11329" spans="19:19" ht="60" customHeight="1" x14ac:dyDescent="0.25">
      <c r="S11329" s="188"/>
    </row>
    <row r="11330" spans="19:19" ht="60" customHeight="1" x14ac:dyDescent="0.25">
      <c r="S11330" s="188"/>
    </row>
    <row r="11331" spans="19:19" ht="60" customHeight="1" x14ac:dyDescent="0.25">
      <c r="S11331" s="188"/>
    </row>
    <row r="11332" spans="19:19" ht="60" customHeight="1" x14ac:dyDescent="0.25">
      <c r="S11332" s="188"/>
    </row>
    <row r="11333" spans="19:19" ht="60" customHeight="1" x14ac:dyDescent="0.25">
      <c r="S11333" s="188"/>
    </row>
    <row r="11334" spans="19:19" ht="60" customHeight="1" x14ac:dyDescent="0.25">
      <c r="S11334" s="188"/>
    </row>
    <row r="11335" spans="19:19" ht="60" customHeight="1" x14ac:dyDescent="0.25">
      <c r="S11335" s="188"/>
    </row>
    <row r="11336" spans="19:19" ht="60" customHeight="1" x14ac:dyDescent="0.25">
      <c r="S11336" s="188"/>
    </row>
    <row r="11337" spans="19:19" ht="60" customHeight="1" x14ac:dyDescent="0.25">
      <c r="S11337" s="188"/>
    </row>
    <row r="11338" spans="19:19" ht="60" customHeight="1" x14ac:dyDescent="0.25">
      <c r="S11338" s="188"/>
    </row>
    <row r="11339" spans="19:19" ht="60" customHeight="1" x14ac:dyDescent="0.25">
      <c r="S11339" s="188"/>
    </row>
    <row r="11340" spans="19:19" ht="60" customHeight="1" x14ac:dyDescent="0.25">
      <c r="S11340" s="188"/>
    </row>
    <row r="11341" spans="19:19" ht="60" customHeight="1" x14ac:dyDescent="0.25">
      <c r="S11341" s="188"/>
    </row>
    <row r="11342" spans="19:19" ht="60" customHeight="1" x14ac:dyDescent="0.25">
      <c r="S11342" s="188"/>
    </row>
    <row r="11343" spans="19:19" ht="60" customHeight="1" x14ac:dyDescent="0.25">
      <c r="S11343" s="188"/>
    </row>
    <row r="11344" spans="19:19" ht="60" customHeight="1" x14ac:dyDescent="0.25">
      <c r="S11344" s="188"/>
    </row>
    <row r="11345" spans="19:19" ht="60" customHeight="1" x14ac:dyDescent="0.25">
      <c r="S11345" s="188"/>
    </row>
    <row r="11346" spans="19:19" ht="60" customHeight="1" x14ac:dyDescent="0.25">
      <c r="S11346" s="188"/>
    </row>
    <row r="11347" spans="19:19" ht="60" customHeight="1" x14ac:dyDescent="0.25">
      <c r="S11347" s="188"/>
    </row>
    <row r="11348" spans="19:19" ht="60" customHeight="1" x14ac:dyDescent="0.25">
      <c r="S11348" s="188"/>
    </row>
    <row r="11349" spans="19:19" ht="60" customHeight="1" x14ac:dyDescent="0.25">
      <c r="S11349" s="188"/>
    </row>
    <row r="11350" spans="19:19" ht="60" customHeight="1" x14ac:dyDescent="0.25">
      <c r="S11350" s="188"/>
    </row>
    <row r="11351" spans="19:19" ht="60" customHeight="1" x14ac:dyDescent="0.25">
      <c r="S11351" s="188"/>
    </row>
    <row r="11352" spans="19:19" ht="60" customHeight="1" x14ac:dyDescent="0.25">
      <c r="S11352" s="188"/>
    </row>
    <row r="11353" spans="19:19" ht="60" customHeight="1" x14ac:dyDescent="0.25">
      <c r="S11353" s="188"/>
    </row>
    <row r="11354" spans="19:19" ht="60" customHeight="1" x14ac:dyDescent="0.25">
      <c r="S11354" s="188"/>
    </row>
    <row r="11355" spans="19:19" ht="60" customHeight="1" x14ac:dyDescent="0.25">
      <c r="S11355" s="188"/>
    </row>
    <row r="11356" spans="19:19" ht="60" customHeight="1" x14ac:dyDescent="0.25">
      <c r="S11356" s="188"/>
    </row>
    <row r="11357" spans="19:19" ht="60" customHeight="1" x14ac:dyDescent="0.25">
      <c r="S11357" s="188"/>
    </row>
    <row r="11358" spans="19:19" ht="60" customHeight="1" x14ac:dyDescent="0.25">
      <c r="S11358" s="188"/>
    </row>
    <row r="11359" spans="19:19" ht="60" customHeight="1" x14ac:dyDescent="0.25">
      <c r="S11359" s="188"/>
    </row>
    <row r="11360" spans="19:19" ht="60" customHeight="1" x14ac:dyDescent="0.25">
      <c r="S11360" s="188"/>
    </row>
    <row r="11361" spans="19:19" ht="60" customHeight="1" x14ac:dyDescent="0.25">
      <c r="S11361" s="188"/>
    </row>
    <row r="11362" spans="19:19" ht="60" customHeight="1" x14ac:dyDescent="0.25">
      <c r="S11362" s="188"/>
    </row>
    <row r="11363" spans="19:19" ht="60" customHeight="1" x14ac:dyDescent="0.25">
      <c r="S11363" s="188"/>
    </row>
    <row r="11364" spans="19:19" ht="60" customHeight="1" x14ac:dyDescent="0.25">
      <c r="S11364" s="188"/>
    </row>
    <row r="11365" spans="19:19" ht="60" customHeight="1" x14ac:dyDescent="0.25">
      <c r="S11365" s="188"/>
    </row>
    <row r="11366" spans="19:19" ht="60" customHeight="1" x14ac:dyDescent="0.25">
      <c r="S11366" s="188"/>
    </row>
    <row r="11367" spans="19:19" ht="60" customHeight="1" x14ac:dyDescent="0.25">
      <c r="S11367" s="188"/>
    </row>
    <row r="11368" spans="19:19" ht="60" customHeight="1" x14ac:dyDescent="0.25">
      <c r="S11368" s="188"/>
    </row>
    <row r="11369" spans="19:19" ht="60" customHeight="1" x14ac:dyDescent="0.25">
      <c r="S11369" s="188"/>
    </row>
    <row r="11370" spans="19:19" ht="60" customHeight="1" x14ac:dyDescent="0.25">
      <c r="S11370" s="188"/>
    </row>
    <row r="11371" spans="19:19" ht="60" customHeight="1" x14ac:dyDescent="0.25">
      <c r="S11371" s="188"/>
    </row>
    <row r="11372" spans="19:19" ht="60" customHeight="1" x14ac:dyDescent="0.25">
      <c r="S11372" s="188"/>
    </row>
    <row r="11373" spans="19:19" ht="60" customHeight="1" x14ac:dyDescent="0.25">
      <c r="S11373" s="188"/>
    </row>
    <row r="11374" spans="19:19" ht="60" customHeight="1" x14ac:dyDescent="0.25">
      <c r="S11374" s="188"/>
    </row>
    <row r="11375" spans="19:19" ht="60" customHeight="1" x14ac:dyDescent="0.25">
      <c r="S11375" s="188"/>
    </row>
    <row r="11376" spans="19:19" ht="60" customHeight="1" x14ac:dyDescent="0.25">
      <c r="S11376" s="188"/>
    </row>
    <row r="11377" spans="19:19" ht="60" customHeight="1" x14ac:dyDescent="0.25">
      <c r="S11377" s="188"/>
    </row>
    <row r="11378" spans="19:19" ht="60" customHeight="1" x14ac:dyDescent="0.25">
      <c r="S11378" s="188"/>
    </row>
    <row r="11379" spans="19:19" ht="60" customHeight="1" x14ac:dyDescent="0.25">
      <c r="S11379" s="188"/>
    </row>
    <row r="11380" spans="19:19" ht="60" customHeight="1" x14ac:dyDescent="0.25">
      <c r="S11380" s="188"/>
    </row>
    <row r="11381" spans="19:19" ht="60" customHeight="1" x14ac:dyDescent="0.25">
      <c r="S11381" s="188"/>
    </row>
    <row r="11382" spans="19:19" ht="60" customHeight="1" x14ac:dyDescent="0.25">
      <c r="S11382" s="188"/>
    </row>
    <row r="11383" spans="19:19" ht="60" customHeight="1" x14ac:dyDescent="0.25">
      <c r="S11383" s="188"/>
    </row>
    <row r="11384" spans="19:19" ht="60" customHeight="1" x14ac:dyDescent="0.25">
      <c r="S11384" s="188"/>
    </row>
    <row r="11385" spans="19:19" ht="60" customHeight="1" x14ac:dyDescent="0.25">
      <c r="S11385" s="188"/>
    </row>
    <row r="11386" spans="19:19" ht="60" customHeight="1" x14ac:dyDescent="0.25">
      <c r="S11386" s="188"/>
    </row>
    <row r="11387" spans="19:19" ht="60" customHeight="1" x14ac:dyDescent="0.25">
      <c r="S11387" s="188"/>
    </row>
    <row r="11388" spans="19:19" ht="60" customHeight="1" x14ac:dyDescent="0.25">
      <c r="S11388" s="188"/>
    </row>
    <row r="11389" spans="19:19" ht="60" customHeight="1" x14ac:dyDescent="0.25">
      <c r="S11389" s="188"/>
    </row>
    <row r="11390" spans="19:19" ht="60" customHeight="1" x14ac:dyDescent="0.25">
      <c r="S11390" s="188"/>
    </row>
    <row r="11391" spans="19:19" ht="60" customHeight="1" x14ac:dyDescent="0.25">
      <c r="S11391" s="188"/>
    </row>
    <row r="11392" spans="19:19" ht="60" customHeight="1" x14ac:dyDescent="0.25">
      <c r="S11392" s="188"/>
    </row>
    <row r="11393" spans="19:19" ht="60" customHeight="1" x14ac:dyDescent="0.25">
      <c r="S11393" s="188"/>
    </row>
    <row r="11394" spans="19:19" ht="60" customHeight="1" x14ac:dyDescent="0.25">
      <c r="S11394" s="188"/>
    </row>
    <row r="11395" spans="19:19" ht="60" customHeight="1" x14ac:dyDescent="0.25">
      <c r="S11395" s="188"/>
    </row>
    <row r="11396" spans="19:19" ht="60" customHeight="1" x14ac:dyDescent="0.25">
      <c r="S11396" s="188"/>
    </row>
    <row r="11397" spans="19:19" ht="60" customHeight="1" x14ac:dyDescent="0.25">
      <c r="S11397" s="188"/>
    </row>
    <row r="11398" spans="19:19" ht="60" customHeight="1" x14ac:dyDescent="0.25">
      <c r="S11398" s="188"/>
    </row>
    <row r="11399" spans="19:19" ht="60" customHeight="1" x14ac:dyDescent="0.25">
      <c r="S11399" s="188"/>
    </row>
    <row r="11400" spans="19:19" ht="60" customHeight="1" x14ac:dyDescent="0.25">
      <c r="S11400" s="188"/>
    </row>
    <row r="11401" spans="19:19" ht="60" customHeight="1" x14ac:dyDescent="0.25">
      <c r="S11401" s="188"/>
    </row>
    <row r="11402" spans="19:19" ht="60" customHeight="1" x14ac:dyDescent="0.25">
      <c r="S11402" s="188"/>
    </row>
    <row r="11403" spans="19:19" ht="60" customHeight="1" x14ac:dyDescent="0.25">
      <c r="S11403" s="188"/>
    </row>
    <row r="11404" spans="19:19" ht="60" customHeight="1" x14ac:dyDescent="0.25">
      <c r="S11404" s="188"/>
    </row>
    <row r="11405" spans="19:19" ht="60" customHeight="1" x14ac:dyDescent="0.25">
      <c r="S11405" s="188"/>
    </row>
    <row r="11406" spans="19:19" ht="60" customHeight="1" x14ac:dyDescent="0.25">
      <c r="S11406" s="188"/>
    </row>
    <row r="11407" spans="19:19" ht="60" customHeight="1" x14ac:dyDescent="0.25">
      <c r="S11407" s="188"/>
    </row>
    <row r="11408" spans="19:19" ht="60" customHeight="1" x14ac:dyDescent="0.25">
      <c r="S11408" s="188"/>
    </row>
    <row r="11409" spans="19:19" ht="60" customHeight="1" x14ac:dyDescent="0.25">
      <c r="S11409" s="188"/>
    </row>
    <row r="11410" spans="19:19" ht="60" customHeight="1" x14ac:dyDescent="0.25">
      <c r="S11410" s="188"/>
    </row>
    <row r="11411" spans="19:19" ht="60" customHeight="1" x14ac:dyDescent="0.25">
      <c r="S11411" s="188"/>
    </row>
    <row r="11412" spans="19:19" ht="60" customHeight="1" x14ac:dyDescent="0.25">
      <c r="S11412" s="188"/>
    </row>
    <row r="11413" spans="19:19" ht="60" customHeight="1" x14ac:dyDescent="0.25">
      <c r="S11413" s="188"/>
    </row>
    <row r="11414" spans="19:19" ht="60" customHeight="1" x14ac:dyDescent="0.25">
      <c r="S11414" s="188"/>
    </row>
    <row r="11415" spans="19:19" ht="60" customHeight="1" x14ac:dyDescent="0.25">
      <c r="S11415" s="188"/>
    </row>
    <row r="11416" spans="19:19" ht="60" customHeight="1" x14ac:dyDescent="0.25">
      <c r="S11416" s="188"/>
    </row>
    <row r="11417" spans="19:19" ht="60" customHeight="1" x14ac:dyDescent="0.25">
      <c r="S11417" s="188"/>
    </row>
    <row r="11418" spans="19:19" ht="60" customHeight="1" x14ac:dyDescent="0.25">
      <c r="S11418" s="188"/>
    </row>
    <row r="11419" spans="19:19" ht="60" customHeight="1" x14ac:dyDescent="0.25">
      <c r="S11419" s="188"/>
    </row>
    <row r="11420" spans="19:19" ht="60" customHeight="1" x14ac:dyDescent="0.25">
      <c r="S11420" s="188"/>
    </row>
    <row r="11421" spans="19:19" ht="60" customHeight="1" x14ac:dyDescent="0.25">
      <c r="S11421" s="188"/>
    </row>
    <row r="11422" spans="19:19" ht="60" customHeight="1" x14ac:dyDescent="0.25">
      <c r="S11422" s="188"/>
    </row>
    <row r="11423" spans="19:19" ht="60" customHeight="1" x14ac:dyDescent="0.25">
      <c r="S11423" s="188"/>
    </row>
    <row r="11424" spans="19:19" ht="60" customHeight="1" x14ac:dyDescent="0.25">
      <c r="S11424" s="188"/>
    </row>
    <row r="11425" spans="19:19" ht="60" customHeight="1" x14ac:dyDescent="0.25">
      <c r="S11425" s="188"/>
    </row>
    <row r="11426" spans="19:19" ht="60" customHeight="1" x14ac:dyDescent="0.25">
      <c r="S11426" s="188"/>
    </row>
    <row r="11427" spans="19:19" ht="60" customHeight="1" x14ac:dyDescent="0.25">
      <c r="S11427" s="188"/>
    </row>
    <row r="11428" spans="19:19" ht="60" customHeight="1" x14ac:dyDescent="0.25">
      <c r="S11428" s="188"/>
    </row>
    <row r="11429" spans="19:19" ht="60" customHeight="1" x14ac:dyDescent="0.25">
      <c r="S11429" s="188"/>
    </row>
    <row r="11430" spans="19:19" ht="60" customHeight="1" x14ac:dyDescent="0.25">
      <c r="S11430" s="188"/>
    </row>
    <row r="11431" spans="19:19" ht="60" customHeight="1" x14ac:dyDescent="0.25">
      <c r="S11431" s="188"/>
    </row>
    <row r="11432" spans="19:19" ht="60" customHeight="1" x14ac:dyDescent="0.25">
      <c r="S11432" s="188"/>
    </row>
    <row r="11433" spans="19:19" ht="60" customHeight="1" x14ac:dyDescent="0.25">
      <c r="S11433" s="188"/>
    </row>
    <row r="11434" spans="19:19" ht="60" customHeight="1" x14ac:dyDescent="0.25">
      <c r="S11434" s="188"/>
    </row>
    <row r="11435" spans="19:19" ht="60" customHeight="1" x14ac:dyDescent="0.25">
      <c r="S11435" s="188"/>
    </row>
    <row r="11436" spans="19:19" ht="60" customHeight="1" x14ac:dyDescent="0.25">
      <c r="S11436" s="188"/>
    </row>
    <row r="11437" spans="19:19" ht="60" customHeight="1" x14ac:dyDescent="0.25">
      <c r="S11437" s="188"/>
    </row>
    <row r="11438" spans="19:19" ht="60" customHeight="1" x14ac:dyDescent="0.25">
      <c r="S11438" s="188"/>
    </row>
    <row r="11439" spans="19:19" ht="60" customHeight="1" x14ac:dyDescent="0.25">
      <c r="S11439" s="188"/>
    </row>
    <row r="11440" spans="19:19" ht="60" customHeight="1" x14ac:dyDescent="0.25">
      <c r="S11440" s="188"/>
    </row>
    <row r="11441" spans="19:19" ht="60" customHeight="1" x14ac:dyDescent="0.25">
      <c r="S11441" s="188"/>
    </row>
    <row r="11442" spans="19:19" ht="60" customHeight="1" x14ac:dyDescent="0.25">
      <c r="S11442" s="188"/>
    </row>
    <row r="11443" spans="19:19" ht="60" customHeight="1" x14ac:dyDescent="0.25">
      <c r="S11443" s="188"/>
    </row>
    <row r="11444" spans="19:19" ht="60" customHeight="1" x14ac:dyDescent="0.25">
      <c r="S11444" s="188"/>
    </row>
    <row r="11445" spans="19:19" ht="60" customHeight="1" x14ac:dyDescent="0.25">
      <c r="S11445" s="188"/>
    </row>
    <row r="11446" spans="19:19" ht="60" customHeight="1" x14ac:dyDescent="0.25">
      <c r="S11446" s="188"/>
    </row>
    <row r="11447" spans="19:19" ht="60" customHeight="1" x14ac:dyDescent="0.25">
      <c r="S11447" s="188"/>
    </row>
    <row r="11448" spans="19:19" ht="60" customHeight="1" x14ac:dyDescent="0.25">
      <c r="S11448" s="188"/>
    </row>
    <row r="11449" spans="19:19" ht="60" customHeight="1" x14ac:dyDescent="0.25">
      <c r="S11449" s="188"/>
    </row>
    <row r="11450" spans="19:19" ht="60" customHeight="1" x14ac:dyDescent="0.25">
      <c r="S11450" s="188"/>
    </row>
    <row r="11451" spans="19:19" ht="60" customHeight="1" x14ac:dyDescent="0.25">
      <c r="S11451" s="188"/>
    </row>
    <row r="11452" spans="19:19" ht="60" customHeight="1" x14ac:dyDescent="0.25">
      <c r="S11452" s="188"/>
    </row>
    <row r="11453" spans="19:19" ht="60" customHeight="1" x14ac:dyDescent="0.25">
      <c r="S11453" s="188"/>
    </row>
    <row r="11454" spans="19:19" ht="60" customHeight="1" x14ac:dyDescent="0.25">
      <c r="S11454" s="188"/>
    </row>
    <row r="11455" spans="19:19" ht="60" customHeight="1" x14ac:dyDescent="0.25">
      <c r="S11455" s="188"/>
    </row>
    <row r="11456" spans="19:19" ht="60" customHeight="1" x14ac:dyDescent="0.25">
      <c r="S11456" s="188"/>
    </row>
    <row r="11457" spans="19:19" ht="60" customHeight="1" x14ac:dyDescent="0.25">
      <c r="S11457" s="188"/>
    </row>
    <row r="11458" spans="19:19" ht="60" customHeight="1" x14ac:dyDescent="0.25">
      <c r="S11458" s="188"/>
    </row>
    <row r="11459" spans="19:19" ht="60" customHeight="1" x14ac:dyDescent="0.25">
      <c r="S11459" s="188"/>
    </row>
    <row r="11460" spans="19:19" ht="60" customHeight="1" x14ac:dyDescent="0.25">
      <c r="S11460" s="188"/>
    </row>
    <row r="11461" spans="19:19" ht="60" customHeight="1" x14ac:dyDescent="0.25">
      <c r="S11461" s="188"/>
    </row>
    <row r="11462" spans="19:19" ht="60" customHeight="1" x14ac:dyDescent="0.25">
      <c r="S11462" s="188"/>
    </row>
    <row r="11463" spans="19:19" ht="60" customHeight="1" x14ac:dyDescent="0.25">
      <c r="S11463" s="188"/>
    </row>
    <row r="11464" spans="19:19" ht="60" customHeight="1" x14ac:dyDescent="0.25">
      <c r="S11464" s="188"/>
    </row>
    <row r="11465" spans="19:19" ht="60" customHeight="1" x14ac:dyDescent="0.25">
      <c r="S11465" s="188"/>
    </row>
    <row r="11466" spans="19:19" ht="60" customHeight="1" x14ac:dyDescent="0.25">
      <c r="S11466" s="188"/>
    </row>
    <row r="11467" spans="19:19" ht="60" customHeight="1" x14ac:dyDescent="0.25">
      <c r="S11467" s="188"/>
    </row>
    <row r="11468" spans="19:19" ht="60" customHeight="1" x14ac:dyDescent="0.25">
      <c r="S11468" s="188"/>
    </row>
    <row r="11469" spans="19:19" ht="60" customHeight="1" x14ac:dyDescent="0.25">
      <c r="S11469" s="188"/>
    </row>
    <row r="11470" spans="19:19" ht="60" customHeight="1" x14ac:dyDescent="0.25">
      <c r="S11470" s="188"/>
    </row>
    <row r="11471" spans="19:19" ht="60" customHeight="1" x14ac:dyDescent="0.25">
      <c r="S11471" s="188"/>
    </row>
    <row r="11472" spans="19:19" ht="60" customHeight="1" x14ac:dyDescent="0.25">
      <c r="S11472" s="188"/>
    </row>
    <row r="11473" spans="19:19" ht="60" customHeight="1" x14ac:dyDescent="0.25">
      <c r="S11473" s="188"/>
    </row>
    <row r="11474" spans="19:19" ht="60" customHeight="1" x14ac:dyDescent="0.25">
      <c r="S11474" s="188"/>
    </row>
    <row r="11475" spans="19:19" ht="60" customHeight="1" x14ac:dyDescent="0.25">
      <c r="S11475" s="188"/>
    </row>
    <row r="11476" spans="19:19" ht="60" customHeight="1" x14ac:dyDescent="0.25">
      <c r="S11476" s="188"/>
    </row>
    <row r="11477" spans="19:19" ht="60" customHeight="1" x14ac:dyDescent="0.25">
      <c r="S11477" s="188"/>
    </row>
    <row r="11478" spans="19:19" ht="60" customHeight="1" x14ac:dyDescent="0.25">
      <c r="S11478" s="188"/>
    </row>
    <row r="11479" spans="19:19" ht="60" customHeight="1" x14ac:dyDescent="0.25">
      <c r="S11479" s="188"/>
    </row>
    <row r="11480" spans="19:19" ht="60" customHeight="1" x14ac:dyDescent="0.25">
      <c r="S11480" s="188"/>
    </row>
    <row r="11481" spans="19:19" ht="60" customHeight="1" x14ac:dyDescent="0.25">
      <c r="S11481" s="188"/>
    </row>
    <row r="11482" spans="19:19" ht="60" customHeight="1" x14ac:dyDescent="0.25">
      <c r="S11482" s="188"/>
    </row>
    <row r="11483" spans="19:19" ht="60" customHeight="1" x14ac:dyDescent="0.25">
      <c r="S11483" s="188"/>
    </row>
    <row r="11484" spans="19:19" ht="60" customHeight="1" x14ac:dyDescent="0.25">
      <c r="S11484" s="188"/>
    </row>
    <row r="11485" spans="19:19" ht="60" customHeight="1" x14ac:dyDescent="0.25">
      <c r="S11485" s="188"/>
    </row>
    <row r="11486" spans="19:19" ht="60" customHeight="1" x14ac:dyDescent="0.25">
      <c r="S11486" s="188"/>
    </row>
    <row r="11487" spans="19:19" ht="60" customHeight="1" x14ac:dyDescent="0.25">
      <c r="S11487" s="188"/>
    </row>
    <row r="11488" spans="19:19" ht="60" customHeight="1" x14ac:dyDescent="0.25">
      <c r="S11488" s="188"/>
    </row>
    <row r="11489" spans="19:19" ht="60" customHeight="1" x14ac:dyDescent="0.25">
      <c r="S11489" s="188"/>
    </row>
    <row r="11490" spans="19:19" ht="60" customHeight="1" x14ac:dyDescent="0.25">
      <c r="S11490" s="188"/>
    </row>
    <row r="11491" spans="19:19" ht="60" customHeight="1" x14ac:dyDescent="0.25">
      <c r="S11491" s="188"/>
    </row>
    <row r="11492" spans="19:19" ht="60" customHeight="1" x14ac:dyDescent="0.25">
      <c r="S11492" s="188"/>
    </row>
    <row r="11493" spans="19:19" ht="60" customHeight="1" x14ac:dyDescent="0.25">
      <c r="S11493" s="188"/>
    </row>
    <row r="11494" spans="19:19" ht="60" customHeight="1" x14ac:dyDescent="0.25">
      <c r="S11494" s="188"/>
    </row>
    <row r="11495" spans="19:19" ht="60" customHeight="1" x14ac:dyDescent="0.25">
      <c r="S11495" s="188"/>
    </row>
    <row r="11496" spans="19:19" ht="60" customHeight="1" x14ac:dyDescent="0.25">
      <c r="S11496" s="188"/>
    </row>
    <row r="11497" spans="19:19" ht="60" customHeight="1" x14ac:dyDescent="0.25">
      <c r="S11497" s="188"/>
    </row>
    <row r="11498" spans="19:19" ht="60" customHeight="1" x14ac:dyDescent="0.25">
      <c r="S11498" s="188"/>
    </row>
    <row r="11499" spans="19:19" ht="60" customHeight="1" x14ac:dyDescent="0.25">
      <c r="S11499" s="188"/>
    </row>
    <row r="11500" spans="19:19" ht="60" customHeight="1" x14ac:dyDescent="0.25">
      <c r="S11500" s="188"/>
    </row>
    <row r="11501" spans="19:19" ht="60" customHeight="1" x14ac:dyDescent="0.25">
      <c r="S11501" s="188"/>
    </row>
    <row r="11502" spans="19:19" ht="60" customHeight="1" x14ac:dyDescent="0.25">
      <c r="S11502" s="188"/>
    </row>
    <row r="11503" spans="19:19" ht="60" customHeight="1" x14ac:dyDescent="0.25">
      <c r="S11503" s="188"/>
    </row>
    <row r="11504" spans="19:19" ht="60" customHeight="1" x14ac:dyDescent="0.25">
      <c r="S11504" s="188"/>
    </row>
    <row r="11505" spans="19:19" ht="60" customHeight="1" x14ac:dyDescent="0.25">
      <c r="S11505" s="188"/>
    </row>
    <row r="11506" spans="19:19" ht="60" customHeight="1" x14ac:dyDescent="0.25">
      <c r="S11506" s="188"/>
    </row>
    <row r="11507" spans="19:19" ht="60" customHeight="1" x14ac:dyDescent="0.25">
      <c r="S11507" s="188"/>
    </row>
    <row r="11508" spans="19:19" ht="60" customHeight="1" x14ac:dyDescent="0.25">
      <c r="S11508" s="188"/>
    </row>
    <row r="11509" spans="19:19" ht="60" customHeight="1" x14ac:dyDescent="0.25">
      <c r="S11509" s="188"/>
    </row>
    <row r="11510" spans="19:19" ht="60" customHeight="1" x14ac:dyDescent="0.25">
      <c r="S11510" s="188"/>
    </row>
    <row r="11511" spans="19:19" ht="60" customHeight="1" x14ac:dyDescent="0.25">
      <c r="S11511" s="188"/>
    </row>
    <row r="11512" spans="19:19" ht="60" customHeight="1" x14ac:dyDescent="0.25">
      <c r="S11512" s="188"/>
    </row>
    <row r="11513" spans="19:19" ht="60" customHeight="1" x14ac:dyDescent="0.25">
      <c r="S11513" s="188"/>
    </row>
    <row r="11514" spans="19:19" ht="60" customHeight="1" x14ac:dyDescent="0.25">
      <c r="S11514" s="188"/>
    </row>
    <row r="11515" spans="19:19" ht="60" customHeight="1" x14ac:dyDescent="0.25">
      <c r="S11515" s="188"/>
    </row>
    <row r="11516" spans="19:19" ht="60" customHeight="1" x14ac:dyDescent="0.25">
      <c r="S11516" s="188"/>
    </row>
    <row r="11517" spans="19:19" ht="60" customHeight="1" x14ac:dyDescent="0.25">
      <c r="S11517" s="188"/>
    </row>
    <row r="11518" spans="19:19" ht="60" customHeight="1" x14ac:dyDescent="0.25">
      <c r="S11518" s="188"/>
    </row>
    <row r="11519" spans="19:19" ht="60" customHeight="1" x14ac:dyDescent="0.25">
      <c r="S11519" s="188"/>
    </row>
    <row r="11520" spans="19:19" ht="60" customHeight="1" x14ac:dyDescent="0.25">
      <c r="S11520" s="188"/>
    </row>
    <row r="11521" spans="19:19" ht="60" customHeight="1" x14ac:dyDescent="0.25">
      <c r="S11521" s="188"/>
    </row>
    <row r="11522" spans="19:19" ht="60" customHeight="1" x14ac:dyDescent="0.25">
      <c r="S11522" s="188"/>
    </row>
    <row r="11523" spans="19:19" ht="60" customHeight="1" x14ac:dyDescent="0.25">
      <c r="S11523" s="188"/>
    </row>
    <row r="11524" spans="19:19" ht="60" customHeight="1" x14ac:dyDescent="0.25">
      <c r="S11524" s="188"/>
    </row>
    <row r="11525" spans="19:19" ht="60" customHeight="1" x14ac:dyDescent="0.25">
      <c r="S11525" s="188"/>
    </row>
    <row r="11526" spans="19:19" ht="60" customHeight="1" x14ac:dyDescent="0.25">
      <c r="S11526" s="188"/>
    </row>
    <row r="11527" spans="19:19" ht="60" customHeight="1" x14ac:dyDescent="0.25">
      <c r="S11527" s="188"/>
    </row>
    <row r="11528" spans="19:19" ht="60" customHeight="1" x14ac:dyDescent="0.25">
      <c r="S11528" s="188"/>
    </row>
    <row r="11529" spans="19:19" ht="60" customHeight="1" x14ac:dyDescent="0.25">
      <c r="S11529" s="188"/>
    </row>
    <row r="11530" spans="19:19" ht="60" customHeight="1" x14ac:dyDescent="0.25">
      <c r="S11530" s="188"/>
    </row>
    <row r="11531" spans="19:19" ht="60" customHeight="1" x14ac:dyDescent="0.25">
      <c r="S11531" s="188"/>
    </row>
    <row r="11532" spans="19:19" ht="60" customHeight="1" x14ac:dyDescent="0.25">
      <c r="S11532" s="188"/>
    </row>
    <row r="11533" spans="19:19" ht="60" customHeight="1" x14ac:dyDescent="0.25">
      <c r="S11533" s="188"/>
    </row>
    <row r="11534" spans="19:19" ht="60" customHeight="1" x14ac:dyDescent="0.25">
      <c r="S11534" s="188"/>
    </row>
    <row r="11535" spans="19:19" ht="60" customHeight="1" x14ac:dyDescent="0.25">
      <c r="S11535" s="188"/>
    </row>
    <row r="11536" spans="19:19" ht="60" customHeight="1" x14ac:dyDescent="0.25">
      <c r="S11536" s="188"/>
    </row>
    <row r="11537" spans="19:19" ht="60" customHeight="1" x14ac:dyDescent="0.25">
      <c r="S11537" s="188"/>
    </row>
    <row r="11538" spans="19:19" ht="60" customHeight="1" x14ac:dyDescent="0.25">
      <c r="S11538" s="188"/>
    </row>
    <row r="11539" spans="19:19" ht="60" customHeight="1" x14ac:dyDescent="0.25">
      <c r="S11539" s="188"/>
    </row>
    <row r="11540" spans="19:19" ht="60" customHeight="1" x14ac:dyDescent="0.25">
      <c r="S11540" s="188"/>
    </row>
    <row r="11541" spans="19:19" ht="60" customHeight="1" x14ac:dyDescent="0.25">
      <c r="S11541" s="188"/>
    </row>
    <row r="11542" spans="19:19" ht="60" customHeight="1" x14ac:dyDescent="0.25">
      <c r="S11542" s="188"/>
    </row>
    <row r="11543" spans="19:19" ht="60" customHeight="1" x14ac:dyDescent="0.25">
      <c r="S11543" s="188"/>
    </row>
    <row r="11544" spans="19:19" ht="60" customHeight="1" x14ac:dyDescent="0.25">
      <c r="S11544" s="188"/>
    </row>
    <row r="11545" spans="19:19" ht="60" customHeight="1" x14ac:dyDescent="0.25">
      <c r="S11545" s="188"/>
    </row>
    <row r="11546" spans="19:19" ht="60" customHeight="1" x14ac:dyDescent="0.25">
      <c r="S11546" s="188"/>
    </row>
    <row r="11547" spans="19:19" ht="60" customHeight="1" x14ac:dyDescent="0.25">
      <c r="S11547" s="188"/>
    </row>
    <row r="11548" spans="19:19" ht="60" customHeight="1" x14ac:dyDescent="0.25">
      <c r="S11548" s="188"/>
    </row>
    <row r="11549" spans="19:19" ht="60" customHeight="1" x14ac:dyDescent="0.25">
      <c r="S11549" s="188"/>
    </row>
    <row r="11550" spans="19:19" ht="60" customHeight="1" x14ac:dyDescent="0.25">
      <c r="S11550" s="188"/>
    </row>
    <row r="11551" spans="19:19" ht="60" customHeight="1" x14ac:dyDescent="0.25">
      <c r="S11551" s="188"/>
    </row>
    <row r="11552" spans="19:19" ht="60" customHeight="1" x14ac:dyDescent="0.25">
      <c r="S11552" s="188"/>
    </row>
    <row r="11553" spans="19:19" ht="60" customHeight="1" x14ac:dyDescent="0.25">
      <c r="S11553" s="188"/>
    </row>
    <row r="11554" spans="19:19" ht="60" customHeight="1" x14ac:dyDescent="0.25">
      <c r="S11554" s="188"/>
    </row>
    <row r="11555" spans="19:19" ht="60" customHeight="1" x14ac:dyDescent="0.25">
      <c r="S11555" s="188"/>
    </row>
    <row r="11556" spans="19:19" ht="60" customHeight="1" x14ac:dyDescent="0.25">
      <c r="S11556" s="188"/>
    </row>
    <row r="11557" spans="19:19" ht="60" customHeight="1" x14ac:dyDescent="0.25">
      <c r="S11557" s="188"/>
    </row>
    <row r="11558" spans="19:19" ht="60" customHeight="1" x14ac:dyDescent="0.25">
      <c r="S11558" s="188"/>
    </row>
    <row r="11559" spans="19:19" ht="60" customHeight="1" x14ac:dyDescent="0.25">
      <c r="S11559" s="188"/>
    </row>
    <row r="11560" spans="19:19" ht="60" customHeight="1" x14ac:dyDescent="0.25">
      <c r="S11560" s="188"/>
    </row>
    <row r="11561" spans="19:19" ht="60" customHeight="1" x14ac:dyDescent="0.25">
      <c r="S11561" s="188"/>
    </row>
    <row r="11562" spans="19:19" ht="60" customHeight="1" x14ac:dyDescent="0.25">
      <c r="S11562" s="188"/>
    </row>
    <row r="11563" spans="19:19" ht="60" customHeight="1" x14ac:dyDescent="0.25">
      <c r="S11563" s="188"/>
    </row>
    <row r="11564" spans="19:19" ht="60" customHeight="1" x14ac:dyDescent="0.25">
      <c r="S11564" s="188"/>
    </row>
    <row r="11565" spans="19:19" ht="60" customHeight="1" x14ac:dyDescent="0.25">
      <c r="S11565" s="188"/>
    </row>
    <row r="11566" spans="19:19" ht="60" customHeight="1" x14ac:dyDescent="0.25">
      <c r="S11566" s="188"/>
    </row>
    <row r="11567" spans="19:19" ht="60" customHeight="1" x14ac:dyDescent="0.25">
      <c r="S11567" s="188"/>
    </row>
    <row r="11568" spans="19:19" ht="60" customHeight="1" x14ac:dyDescent="0.25">
      <c r="S11568" s="188"/>
    </row>
    <row r="11569" spans="19:19" ht="60" customHeight="1" x14ac:dyDescent="0.25">
      <c r="S11569" s="188"/>
    </row>
    <row r="11570" spans="19:19" ht="60" customHeight="1" x14ac:dyDescent="0.25">
      <c r="S11570" s="188"/>
    </row>
    <row r="11571" spans="19:19" ht="60" customHeight="1" x14ac:dyDescent="0.25">
      <c r="S11571" s="188"/>
    </row>
    <row r="11572" spans="19:19" ht="60" customHeight="1" x14ac:dyDescent="0.25">
      <c r="S11572" s="188"/>
    </row>
    <row r="11573" spans="19:19" ht="60" customHeight="1" x14ac:dyDescent="0.25">
      <c r="S11573" s="188"/>
    </row>
    <row r="11574" spans="19:19" ht="60" customHeight="1" x14ac:dyDescent="0.25">
      <c r="S11574" s="188"/>
    </row>
    <row r="11575" spans="19:19" ht="60" customHeight="1" x14ac:dyDescent="0.25">
      <c r="S11575" s="188"/>
    </row>
    <row r="11576" spans="19:19" ht="60" customHeight="1" x14ac:dyDescent="0.25">
      <c r="S11576" s="188"/>
    </row>
    <row r="11577" spans="19:19" ht="60" customHeight="1" x14ac:dyDescent="0.25">
      <c r="S11577" s="188"/>
    </row>
    <row r="11578" spans="19:19" ht="60" customHeight="1" x14ac:dyDescent="0.25">
      <c r="S11578" s="188"/>
    </row>
    <row r="11579" spans="19:19" ht="60" customHeight="1" x14ac:dyDescent="0.25">
      <c r="S11579" s="188"/>
    </row>
    <row r="11580" spans="19:19" ht="60" customHeight="1" x14ac:dyDescent="0.25">
      <c r="S11580" s="188"/>
    </row>
    <row r="11581" spans="19:19" ht="60" customHeight="1" x14ac:dyDescent="0.25">
      <c r="S11581" s="188"/>
    </row>
    <row r="11582" spans="19:19" ht="60" customHeight="1" x14ac:dyDescent="0.25">
      <c r="S11582" s="188"/>
    </row>
    <row r="11583" spans="19:19" ht="60" customHeight="1" x14ac:dyDescent="0.25">
      <c r="S11583" s="188"/>
    </row>
    <row r="11584" spans="19:19" ht="60" customHeight="1" x14ac:dyDescent="0.25">
      <c r="S11584" s="188"/>
    </row>
    <row r="11585" spans="19:19" ht="60" customHeight="1" x14ac:dyDescent="0.25">
      <c r="S11585" s="188"/>
    </row>
    <row r="11586" spans="19:19" ht="60" customHeight="1" x14ac:dyDescent="0.25">
      <c r="S11586" s="188"/>
    </row>
    <row r="11587" spans="19:19" ht="60" customHeight="1" x14ac:dyDescent="0.25">
      <c r="S11587" s="188"/>
    </row>
    <row r="11588" spans="19:19" ht="60" customHeight="1" x14ac:dyDescent="0.25">
      <c r="S11588" s="188"/>
    </row>
    <row r="11589" spans="19:19" ht="60" customHeight="1" x14ac:dyDescent="0.25">
      <c r="S11589" s="188"/>
    </row>
    <row r="11590" spans="19:19" ht="60" customHeight="1" x14ac:dyDescent="0.25">
      <c r="S11590" s="188"/>
    </row>
    <row r="11591" spans="19:19" ht="60" customHeight="1" x14ac:dyDescent="0.25">
      <c r="S11591" s="188"/>
    </row>
    <row r="11592" spans="19:19" ht="60" customHeight="1" x14ac:dyDescent="0.25">
      <c r="S11592" s="188"/>
    </row>
    <row r="11593" spans="19:19" ht="60" customHeight="1" x14ac:dyDescent="0.25">
      <c r="S11593" s="188"/>
    </row>
    <row r="11594" spans="19:19" ht="60" customHeight="1" x14ac:dyDescent="0.25">
      <c r="S11594" s="188"/>
    </row>
    <row r="11595" spans="19:19" ht="60" customHeight="1" x14ac:dyDescent="0.25">
      <c r="S11595" s="188"/>
    </row>
    <row r="11596" spans="19:19" ht="60" customHeight="1" x14ac:dyDescent="0.25">
      <c r="S11596" s="188"/>
    </row>
    <row r="11597" spans="19:19" ht="60" customHeight="1" x14ac:dyDescent="0.25">
      <c r="S11597" s="188"/>
    </row>
    <row r="11598" spans="19:19" ht="60" customHeight="1" x14ac:dyDescent="0.25">
      <c r="S11598" s="188"/>
    </row>
    <row r="11599" spans="19:19" ht="60" customHeight="1" x14ac:dyDescent="0.25">
      <c r="S11599" s="188"/>
    </row>
    <row r="11600" spans="19:19" ht="60" customHeight="1" x14ac:dyDescent="0.25">
      <c r="S11600" s="188"/>
    </row>
    <row r="11601" spans="19:19" ht="60" customHeight="1" x14ac:dyDescent="0.25">
      <c r="S11601" s="188"/>
    </row>
    <row r="11602" spans="19:19" ht="60" customHeight="1" x14ac:dyDescent="0.25">
      <c r="S11602" s="188"/>
    </row>
    <row r="11603" spans="19:19" ht="60" customHeight="1" x14ac:dyDescent="0.25">
      <c r="S11603" s="188"/>
    </row>
    <row r="11604" spans="19:19" ht="60" customHeight="1" x14ac:dyDescent="0.25">
      <c r="S11604" s="188"/>
    </row>
    <row r="11605" spans="19:19" ht="60" customHeight="1" x14ac:dyDescent="0.25">
      <c r="S11605" s="188"/>
    </row>
    <row r="11606" spans="19:19" ht="60" customHeight="1" x14ac:dyDescent="0.25">
      <c r="S11606" s="188"/>
    </row>
    <row r="11607" spans="19:19" ht="60" customHeight="1" x14ac:dyDescent="0.25">
      <c r="S11607" s="188"/>
    </row>
    <row r="11608" spans="19:19" ht="60" customHeight="1" x14ac:dyDescent="0.25">
      <c r="S11608" s="188"/>
    </row>
    <row r="11609" spans="19:19" ht="60" customHeight="1" x14ac:dyDescent="0.25">
      <c r="S11609" s="188"/>
    </row>
    <row r="11610" spans="19:19" ht="60" customHeight="1" x14ac:dyDescent="0.25">
      <c r="S11610" s="188"/>
    </row>
    <row r="11611" spans="19:19" ht="60" customHeight="1" x14ac:dyDescent="0.25">
      <c r="S11611" s="188"/>
    </row>
    <row r="11612" spans="19:19" ht="60" customHeight="1" x14ac:dyDescent="0.25">
      <c r="S11612" s="188"/>
    </row>
    <row r="11613" spans="19:19" ht="60" customHeight="1" x14ac:dyDescent="0.25">
      <c r="S11613" s="188"/>
    </row>
    <row r="11614" spans="19:19" ht="60" customHeight="1" x14ac:dyDescent="0.25">
      <c r="S11614" s="188"/>
    </row>
    <row r="11615" spans="19:19" ht="60" customHeight="1" x14ac:dyDescent="0.25">
      <c r="S11615" s="188"/>
    </row>
    <row r="11616" spans="19:19" ht="60" customHeight="1" x14ac:dyDescent="0.25">
      <c r="S11616" s="188"/>
    </row>
    <row r="11617" spans="19:19" ht="60" customHeight="1" x14ac:dyDescent="0.25">
      <c r="S11617" s="188"/>
    </row>
    <row r="11618" spans="19:19" ht="60" customHeight="1" x14ac:dyDescent="0.25">
      <c r="S11618" s="188"/>
    </row>
    <row r="11619" spans="19:19" ht="60" customHeight="1" x14ac:dyDescent="0.25">
      <c r="S11619" s="188"/>
    </row>
    <row r="11620" spans="19:19" ht="60" customHeight="1" x14ac:dyDescent="0.25">
      <c r="S11620" s="188"/>
    </row>
    <row r="11621" spans="19:19" ht="60" customHeight="1" x14ac:dyDescent="0.25">
      <c r="S11621" s="188"/>
    </row>
    <row r="11622" spans="19:19" ht="60" customHeight="1" x14ac:dyDescent="0.25">
      <c r="S11622" s="188"/>
    </row>
    <row r="11623" spans="19:19" ht="60" customHeight="1" x14ac:dyDescent="0.25">
      <c r="S11623" s="188"/>
    </row>
    <row r="11624" spans="19:19" ht="60" customHeight="1" x14ac:dyDescent="0.25">
      <c r="S11624" s="188"/>
    </row>
    <row r="11625" spans="19:19" ht="60" customHeight="1" x14ac:dyDescent="0.25">
      <c r="S11625" s="188"/>
    </row>
    <row r="11626" spans="19:19" ht="60" customHeight="1" x14ac:dyDescent="0.25">
      <c r="S11626" s="188"/>
    </row>
    <row r="11627" spans="19:19" ht="60" customHeight="1" x14ac:dyDescent="0.25">
      <c r="S11627" s="188"/>
    </row>
    <row r="11628" spans="19:19" ht="60" customHeight="1" x14ac:dyDescent="0.25">
      <c r="S11628" s="188"/>
    </row>
    <row r="11629" spans="19:19" ht="60" customHeight="1" x14ac:dyDescent="0.25">
      <c r="S11629" s="188"/>
    </row>
    <row r="11630" spans="19:19" ht="60" customHeight="1" x14ac:dyDescent="0.25">
      <c r="S11630" s="188"/>
    </row>
    <row r="11631" spans="19:19" ht="60" customHeight="1" x14ac:dyDescent="0.25">
      <c r="S11631" s="188"/>
    </row>
    <row r="11632" spans="19:19" ht="60" customHeight="1" x14ac:dyDescent="0.25">
      <c r="S11632" s="188"/>
    </row>
    <row r="11633" spans="19:19" ht="60" customHeight="1" x14ac:dyDescent="0.25">
      <c r="S11633" s="188"/>
    </row>
    <row r="11634" spans="19:19" ht="60" customHeight="1" x14ac:dyDescent="0.25">
      <c r="S11634" s="188"/>
    </row>
    <row r="11635" spans="19:19" ht="60" customHeight="1" x14ac:dyDescent="0.25">
      <c r="S11635" s="188"/>
    </row>
    <row r="11636" spans="19:19" ht="60" customHeight="1" x14ac:dyDescent="0.25">
      <c r="S11636" s="188"/>
    </row>
    <row r="11637" spans="19:19" ht="60" customHeight="1" x14ac:dyDescent="0.25">
      <c r="S11637" s="188"/>
    </row>
    <row r="11638" spans="19:19" ht="60" customHeight="1" x14ac:dyDescent="0.25">
      <c r="S11638" s="188"/>
    </row>
    <row r="11639" spans="19:19" ht="60" customHeight="1" x14ac:dyDescent="0.25">
      <c r="S11639" s="188"/>
    </row>
    <row r="11640" spans="19:19" ht="60" customHeight="1" x14ac:dyDescent="0.25">
      <c r="S11640" s="188"/>
    </row>
    <row r="11641" spans="19:19" ht="60" customHeight="1" x14ac:dyDescent="0.25">
      <c r="S11641" s="188"/>
    </row>
    <row r="11642" spans="19:19" ht="60" customHeight="1" x14ac:dyDescent="0.25">
      <c r="S11642" s="188"/>
    </row>
    <row r="11643" spans="19:19" ht="60" customHeight="1" x14ac:dyDescent="0.25">
      <c r="S11643" s="188"/>
    </row>
    <row r="11644" spans="19:19" ht="60" customHeight="1" x14ac:dyDescent="0.25">
      <c r="S11644" s="188"/>
    </row>
    <row r="11645" spans="19:19" ht="60" customHeight="1" x14ac:dyDescent="0.25">
      <c r="S11645" s="188"/>
    </row>
    <row r="11646" spans="19:19" ht="60" customHeight="1" x14ac:dyDescent="0.25">
      <c r="S11646" s="188"/>
    </row>
    <row r="11647" spans="19:19" ht="60" customHeight="1" x14ac:dyDescent="0.25">
      <c r="S11647" s="188"/>
    </row>
    <row r="11648" spans="19:19" ht="60" customHeight="1" x14ac:dyDescent="0.25">
      <c r="S11648" s="188"/>
    </row>
    <row r="11649" spans="19:19" ht="60" customHeight="1" x14ac:dyDescent="0.25">
      <c r="S11649" s="188"/>
    </row>
    <row r="11650" spans="19:19" ht="60" customHeight="1" x14ac:dyDescent="0.25">
      <c r="S11650" s="188"/>
    </row>
    <row r="11651" spans="19:19" ht="60" customHeight="1" x14ac:dyDescent="0.25">
      <c r="S11651" s="188"/>
    </row>
    <row r="11652" spans="19:19" ht="60" customHeight="1" x14ac:dyDescent="0.25">
      <c r="S11652" s="188"/>
    </row>
    <row r="11653" spans="19:19" ht="60" customHeight="1" x14ac:dyDescent="0.25">
      <c r="S11653" s="188"/>
    </row>
    <row r="11654" spans="19:19" ht="60" customHeight="1" x14ac:dyDescent="0.25">
      <c r="S11654" s="188"/>
    </row>
    <row r="11655" spans="19:19" ht="60" customHeight="1" x14ac:dyDescent="0.25">
      <c r="S11655" s="188"/>
    </row>
    <row r="11656" spans="19:19" ht="60" customHeight="1" x14ac:dyDescent="0.25">
      <c r="S11656" s="188"/>
    </row>
    <row r="11657" spans="19:19" ht="60" customHeight="1" x14ac:dyDescent="0.25">
      <c r="S11657" s="188"/>
    </row>
    <row r="11658" spans="19:19" ht="60" customHeight="1" x14ac:dyDescent="0.25">
      <c r="S11658" s="188"/>
    </row>
    <row r="11659" spans="19:19" ht="60" customHeight="1" x14ac:dyDescent="0.25">
      <c r="S11659" s="188"/>
    </row>
    <row r="11660" spans="19:19" ht="60" customHeight="1" x14ac:dyDescent="0.25">
      <c r="S11660" s="188"/>
    </row>
    <row r="11661" spans="19:19" ht="60" customHeight="1" x14ac:dyDescent="0.25">
      <c r="S11661" s="188"/>
    </row>
    <row r="11662" spans="19:19" ht="60" customHeight="1" x14ac:dyDescent="0.25">
      <c r="S11662" s="188"/>
    </row>
    <row r="11663" spans="19:19" ht="60" customHeight="1" x14ac:dyDescent="0.25">
      <c r="S11663" s="188"/>
    </row>
    <row r="11664" spans="19:19" ht="60" customHeight="1" x14ac:dyDescent="0.25">
      <c r="S11664" s="188"/>
    </row>
    <row r="11665" spans="19:19" ht="60" customHeight="1" x14ac:dyDescent="0.25">
      <c r="S11665" s="188"/>
    </row>
    <row r="11666" spans="19:19" ht="60" customHeight="1" x14ac:dyDescent="0.25">
      <c r="S11666" s="188"/>
    </row>
    <row r="11667" spans="19:19" ht="60" customHeight="1" x14ac:dyDescent="0.25">
      <c r="S11667" s="188"/>
    </row>
    <row r="11668" spans="19:19" ht="60" customHeight="1" x14ac:dyDescent="0.25">
      <c r="S11668" s="188"/>
    </row>
    <row r="11669" spans="19:19" ht="60" customHeight="1" x14ac:dyDescent="0.25">
      <c r="S11669" s="188"/>
    </row>
    <row r="11670" spans="19:19" ht="60" customHeight="1" x14ac:dyDescent="0.25">
      <c r="S11670" s="188"/>
    </row>
    <row r="11671" spans="19:19" ht="60" customHeight="1" x14ac:dyDescent="0.25">
      <c r="S11671" s="188"/>
    </row>
    <row r="11672" spans="19:19" ht="60" customHeight="1" x14ac:dyDescent="0.25">
      <c r="S11672" s="188"/>
    </row>
    <row r="11673" spans="19:19" ht="60" customHeight="1" x14ac:dyDescent="0.25">
      <c r="S11673" s="188"/>
    </row>
    <row r="11674" spans="19:19" ht="60" customHeight="1" x14ac:dyDescent="0.25">
      <c r="S11674" s="188"/>
    </row>
    <row r="11675" spans="19:19" ht="60" customHeight="1" x14ac:dyDescent="0.25">
      <c r="S11675" s="188"/>
    </row>
    <row r="11676" spans="19:19" ht="60" customHeight="1" x14ac:dyDescent="0.25">
      <c r="S11676" s="188"/>
    </row>
    <row r="11677" spans="19:19" ht="60" customHeight="1" x14ac:dyDescent="0.25">
      <c r="S11677" s="188"/>
    </row>
    <row r="11678" spans="19:19" ht="60" customHeight="1" x14ac:dyDescent="0.25">
      <c r="S11678" s="188"/>
    </row>
    <row r="11679" spans="19:19" ht="60" customHeight="1" x14ac:dyDescent="0.25">
      <c r="S11679" s="188"/>
    </row>
    <row r="11680" spans="19:19" ht="60" customHeight="1" x14ac:dyDescent="0.25">
      <c r="S11680" s="188"/>
    </row>
    <row r="11681" spans="19:19" ht="60" customHeight="1" x14ac:dyDescent="0.25">
      <c r="S11681" s="188"/>
    </row>
    <row r="11682" spans="19:19" ht="60" customHeight="1" x14ac:dyDescent="0.25">
      <c r="S11682" s="188"/>
    </row>
    <row r="11683" spans="19:19" ht="60" customHeight="1" x14ac:dyDescent="0.25">
      <c r="S11683" s="188"/>
    </row>
    <row r="11684" spans="19:19" ht="60" customHeight="1" x14ac:dyDescent="0.25">
      <c r="S11684" s="188"/>
    </row>
    <row r="11685" spans="19:19" ht="60" customHeight="1" x14ac:dyDescent="0.25">
      <c r="S11685" s="188"/>
    </row>
    <row r="11686" spans="19:19" ht="60" customHeight="1" x14ac:dyDescent="0.25">
      <c r="S11686" s="188"/>
    </row>
    <row r="11687" spans="19:19" ht="60" customHeight="1" x14ac:dyDescent="0.25">
      <c r="S11687" s="188"/>
    </row>
    <row r="11688" spans="19:19" ht="60" customHeight="1" x14ac:dyDescent="0.25">
      <c r="S11688" s="188"/>
    </row>
    <row r="11689" spans="19:19" ht="60" customHeight="1" x14ac:dyDescent="0.25">
      <c r="S11689" s="188"/>
    </row>
    <row r="11690" spans="19:19" ht="60" customHeight="1" x14ac:dyDescent="0.25">
      <c r="S11690" s="188"/>
    </row>
    <row r="11691" spans="19:19" ht="60" customHeight="1" x14ac:dyDescent="0.25">
      <c r="S11691" s="188"/>
    </row>
    <row r="11692" spans="19:19" ht="60" customHeight="1" x14ac:dyDescent="0.25">
      <c r="S11692" s="188"/>
    </row>
    <row r="11693" spans="19:19" ht="60" customHeight="1" x14ac:dyDescent="0.25">
      <c r="S11693" s="188"/>
    </row>
    <row r="11694" spans="19:19" ht="60" customHeight="1" x14ac:dyDescent="0.25">
      <c r="S11694" s="188"/>
    </row>
    <row r="11695" spans="19:19" ht="60" customHeight="1" x14ac:dyDescent="0.25">
      <c r="S11695" s="188"/>
    </row>
    <row r="11696" spans="19:19" ht="60" customHeight="1" x14ac:dyDescent="0.25">
      <c r="S11696" s="188"/>
    </row>
    <row r="11697" spans="19:19" ht="60" customHeight="1" x14ac:dyDescent="0.25">
      <c r="S11697" s="188"/>
    </row>
    <row r="11698" spans="19:19" ht="60" customHeight="1" x14ac:dyDescent="0.25">
      <c r="S11698" s="188"/>
    </row>
    <row r="11699" spans="19:19" ht="60" customHeight="1" x14ac:dyDescent="0.25">
      <c r="S11699" s="188"/>
    </row>
    <row r="11700" spans="19:19" ht="60" customHeight="1" x14ac:dyDescent="0.25">
      <c r="S11700" s="188"/>
    </row>
    <row r="11701" spans="19:19" ht="60" customHeight="1" x14ac:dyDescent="0.25">
      <c r="S11701" s="188"/>
    </row>
    <row r="11702" spans="19:19" ht="60" customHeight="1" x14ac:dyDescent="0.25">
      <c r="S11702" s="188"/>
    </row>
    <row r="11703" spans="19:19" ht="60" customHeight="1" x14ac:dyDescent="0.25">
      <c r="S11703" s="188"/>
    </row>
    <row r="11704" spans="19:19" ht="60" customHeight="1" x14ac:dyDescent="0.25">
      <c r="S11704" s="188"/>
    </row>
    <row r="11705" spans="19:19" ht="60" customHeight="1" x14ac:dyDescent="0.25">
      <c r="S11705" s="188"/>
    </row>
    <row r="11706" spans="19:19" ht="60" customHeight="1" x14ac:dyDescent="0.25">
      <c r="S11706" s="188"/>
    </row>
    <row r="11707" spans="19:19" ht="60" customHeight="1" x14ac:dyDescent="0.25">
      <c r="S11707" s="188"/>
    </row>
    <row r="11708" spans="19:19" ht="60" customHeight="1" x14ac:dyDescent="0.25">
      <c r="S11708" s="188"/>
    </row>
    <row r="11709" spans="19:19" ht="60" customHeight="1" x14ac:dyDescent="0.25">
      <c r="S11709" s="188"/>
    </row>
    <row r="11710" spans="19:19" ht="60" customHeight="1" x14ac:dyDescent="0.25">
      <c r="S11710" s="188"/>
    </row>
    <row r="11711" spans="19:19" ht="60" customHeight="1" x14ac:dyDescent="0.25">
      <c r="S11711" s="188"/>
    </row>
    <row r="11712" spans="19:19" ht="60" customHeight="1" x14ac:dyDescent="0.25">
      <c r="S11712" s="188"/>
    </row>
    <row r="11713" spans="19:19" ht="60" customHeight="1" x14ac:dyDescent="0.25">
      <c r="S11713" s="188"/>
    </row>
    <row r="11714" spans="19:19" ht="60" customHeight="1" x14ac:dyDescent="0.25">
      <c r="S11714" s="188"/>
    </row>
    <row r="11715" spans="19:19" ht="60" customHeight="1" x14ac:dyDescent="0.25">
      <c r="S11715" s="188"/>
    </row>
    <row r="11716" spans="19:19" ht="60" customHeight="1" x14ac:dyDescent="0.25">
      <c r="S11716" s="188"/>
    </row>
    <row r="11717" spans="19:19" ht="60" customHeight="1" x14ac:dyDescent="0.25">
      <c r="S11717" s="188"/>
    </row>
    <row r="11718" spans="19:19" ht="60" customHeight="1" x14ac:dyDescent="0.25">
      <c r="S11718" s="188"/>
    </row>
    <row r="11719" spans="19:19" ht="60" customHeight="1" x14ac:dyDescent="0.25">
      <c r="S11719" s="188"/>
    </row>
    <row r="11720" spans="19:19" ht="60" customHeight="1" x14ac:dyDescent="0.25">
      <c r="S11720" s="188"/>
    </row>
    <row r="11721" spans="19:19" ht="60" customHeight="1" x14ac:dyDescent="0.25">
      <c r="S11721" s="188"/>
    </row>
    <row r="11722" spans="19:19" ht="60" customHeight="1" x14ac:dyDescent="0.25">
      <c r="S11722" s="188"/>
    </row>
    <row r="11723" spans="19:19" ht="60" customHeight="1" x14ac:dyDescent="0.25">
      <c r="S11723" s="188"/>
    </row>
    <row r="11724" spans="19:19" ht="60" customHeight="1" x14ac:dyDescent="0.25">
      <c r="S11724" s="188"/>
    </row>
    <row r="11725" spans="19:19" ht="60" customHeight="1" x14ac:dyDescent="0.25">
      <c r="S11725" s="188"/>
    </row>
    <row r="11726" spans="19:19" ht="60" customHeight="1" x14ac:dyDescent="0.25">
      <c r="S11726" s="188"/>
    </row>
    <row r="11727" spans="19:19" ht="60" customHeight="1" x14ac:dyDescent="0.25">
      <c r="S11727" s="188"/>
    </row>
    <row r="11728" spans="19:19" ht="60" customHeight="1" x14ac:dyDescent="0.25">
      <c r="S11728" s="188"/>
    </row>
    <row r="11729" spans="19:19" ht="60" customHeight="1" x14ac:dyDescent="0.25">
      <c r="S11729" s="188"/>
    </row>
    <row r="11730" spans="19:19" ht="60" customHeight="1" x14ac:dyDescent="0.25">
      <c r="S11730" s="188"/>
    </row>
    <row r="11731" spans="19:19" ht="60" customHeight="1" x14ac:dyDescent="0.25">
      <c r="S11731" s="188"/>
    </row>
    <row r="11732" spans="19:19" ht="60" customHeight="1" x14ac:dyDescent="0.25">
      <c r="S11732" s="188"/>
    </row>
    <row r="11733" spans="19:19" ht="60" customHeight="1" x14ac:dyDescent="0.25">
      <c r="S11733" s="188"/>
    </row>
    <row r="11734" spans="19:19" ht="60" customHeight="1" x14ac:dyDescent="0.25">
      <c r="S11734" s="188"/>
    </row>
    <row r="11735" spans="19:19" ht="60" customHeight="1" x14ac:dyDescent="0.25">
      <c r="S11735" s="188"/>
    </row>
    <row r="11736" spans="19:19" ht="60" customHeight="1" x14ac:dyDescent="0.25">
      <c r="S11736" s="188"/>
    </row>
    <row r="11737" spans="19:19" ht="60" customHeight="1" x14ac:dyDescent="0.25">
      <c r="S11737" s="188"/>
    </row>
    <row r="11738" spans="19:19" ht="60" customHeight="1" x14ac:dyDescent="0.25">
      <c r="S11738" s="188"/>
    </row>
    <row r="11739" spans="19:19" ht="60" customHeight="1" x14ac:dyDescent="0.25">
      <c r="S11739" s="188"/>
    </row>
    <row r="11740" spans="19:19" ht="60" customHeight="1" x14ac:dyDescent="0.25">
      <c r="S11740" s="188"/>
    </row>
    <row r="11741" spans="19:19" ht="60" customHeight="1" x14ac:dyDescent="0.25">
      <c r="S11741" s="188"/>
    </row>
    <row r="11742" spans="19:19" ht="60" customHeight="1" x14ac:dyDescent="0.25">
      <c r="S11742" s="188"/>
    </row>
    <row r="11743" spans="19:19" ht="60" customHeight="1" x14ac:dyDescent="0.25">
      <c r="S11743" s="188"/>
    </row>
    <row r="11744" spans="19:19" ht="60" customHeight="1" x14ac:dyDescent="0.25">
      <c r="S11744" s="188"/>
    </row>
    <row r="11745" spans="19:19" ht="60" customHeight="1" x14ac:dyDescent="0.25">
      <c r="S11745" s="188"/>
    </row>
    <row r="11746" spans="19:19" ht="60" customHeight="1" x14ac:dyDescent="0.25">
      <c r="S11746" s="188"/>
    </row>
    <row r="11747" spans="19:19" ht="60" customHeight="1" x14ac:dyDescent="0.25">
      <c r="S11747" s="188"/>
    </row>
    <row r="11748" spans="19:19" ht="60" customHeight="1" x14ac:dyDescent="0.25">
      <c r="S11748" s="188"/>
    </row>
    <row r="11749" spans="19:19" ht="60" customHeight="1" x14ac:dyDescent="0.25">
      <c r="S11749" s="188"/>
    </row>
    <row r="11750" spans="19:19" ht="60" customHeight="1" x14ac:dyDescent="0.25">
      <c r="S11750" s="188"/>
    </row>
    <row r="11751" spans="19:19" ht="60" customHeight="1" x14ac:dyDescent="0.25">
      <c r="S11751" s="188"/>
    </row>
    <row r="11752" spans="19:19" ht="60" customHeight="1" x14ac:dyDescent="0.25">
      <c r="S11752" s="188"/>
    </row>
    <row r="11753" spans="19:19" ht="60" customHeight="1" x14ac:dyDescent="0.25">
      <c r="S11753" s="188"/>
    </row>
    <row r="11754" spans="19:19" ht="60" customHeight="1" x14ac:dyDescent="0.25">
      <c r="S11754" s="188"/>
    </row>
    <row r="11755" spans="19:19" ht="60" customHeight="1" x14ac:dyDescent="0.25">
      <c r="S11755" s="188"/>
    </row>
    <row r="11756" spans="19:19" ht="60" customHeight="1" x14ac:dyDescent="0.25">
      <c r="S11756" s="188"/>
    </row>
    <row r="11757" spans="19:19" ht="60" customHeight="1" x14ac:dyDescent="0.25">
      <c r="S11757" s="188"/>
    </row>
    <row r="11758" spans="19:19" ht="60" customHeight="1" x14ac:dyDescent="0.25">
      <c r="S11758" s="188"/>
    </row>
    <row r="11759" spans="19:19" ht="60" customHeight="1" x14ac:dyDescent="0.25">
      <c r="S11759" s="188"/>
    </row>
    <row r="11760" spans="19:19" ht="60" customHeight="1" x14ac:dyDescent="0.25">
      <c r="S11760" s="188"/>
    </row>
    <row r="11761" spans="19:19" ht="60" customHeight="1" x14ac:dyDescent="0.25">
      <c r="S11761" s="188"/>
    </row>
    <row r="11762" spans="19:19" ht="60" customHeight="1" x14ac:dyDescent="0.25">
      <c r="S11762" s="188"/>
    </row>
    <row r="11763" spans="19:19" ht="60" customHeight="1" x14ac:dyDescent="0.25">
      <c r="S11763" s="188"/>
    </row>
    <row r="11764" spans="19:19" ht="60" customHeight="1" x14ac:dyDescent="0.25">
      <c r="S11764" s="188"/>
    </row>
    <row r="11765" spans="19:19" ht="60" customHeight="1" x14ac:dyDescent="0.25">
      <c r="S11765" s="188"/>
    </row>
    <row r="11766" spans="19:19" ht="60" customHeight="1" x14ac:dyDescent="0.25">
      <c r="S11766" s="188"/>
    </row>
    <row r="11767" spans="19:19" ht="60" customHeight="1" x14ac:dyDescent="0.25">
      <c r="S11767" s="188"/>
    </row>
    <row r="11768" spans="19:19" ht="60" customHeight="1" x14ac:dyDescent="0.25">
      <c r="S11768" s="188"/>
    </row>
    <row r="11769" spans="19:19" ht="60" customHeight="1" x14ac:dyDescent="0.25">
      <c r="S11769" s="188"/>
    </row>
    <row r="11770" spans="19:19" ht="60" customHeight="1" x14ac:dyDescent="0.25">
      <c r="S11770" s="188"/>
    </row>
    <row r="11771" spans="19:19" ht="60" customHeight="1" x14ac:dyDescent="0.25">
      <c r="S11771" s="188"/>
    </row>
    <row r="11772" spans="19:19" ht="60" customHeight="1" x14ac:dyDescent="0.25">
      <c r="S11772" s="188"/>
    </row>
    <row r="11773" spans="19:19" ht="60" customHeight="1" x14ac:dyDescent="0.25">
      <c r="S11773" s="188"/>
    </row>
    <row r="11774" spans="19:19" ht="60" customHeight="1" x14ac:dyDescent="0.25">
      <c r="S11774" s="188"/>
    </row>
    <row r="11775" spans="19:19" ht="60" customHeight="1" x14ac:dyDescent="0.25">
      <c r="S11775" s="188"/>
    </row>
    <row r="11776" spans="19:19" ht="60" customHeight="1" x14ac:dyDescent="0.25">
      <c r="S11776" s="188"/>
    </row>
    <row r="11777" spans="19:19" ht="60" customHeight="1" x14ac:dyDescent="0.25">
      <c r="S11777" s="188"/>
    </row>
    <row r="11778" spans="19:19" ht="60" customHeight="1" x14ac:dyDescent="0.25">
      <c r="S11778" s="188"/>
    </row>
    <row r="11779" spans="19:19" ht="60" customHeight="1" x14ac:dyDescent="0.25">
      <c r="S11779" s="188"/>
    </row>
    <row r="11780" spans="19:19" ht="60" customHeight="1" x14ac:dyDescent="0.25">
      <c r="S11780" s="188"/>
    </row>
    <row r="11781" spans="19:19" ht="60" customHeight="1" x14ac:dyDescent="0.25">
      <c r="S11781" s="188"/>
    </row>
    <row r="11782" spans="19:19" ht="60" customHeight="1" x14ac:dyDescent="0.25">
      <c r="S11782" s="188"/>
    </row>
    <row r="11783" spans="19:19" ht="60" customHeight="1" x14ac:dyDescent="0.25">
      <c r="S11783" s="188"/>
    </row>
    <row r="11784" spans="19:19" ht="60" customHeight="1" x14ac:dyDescent="0.25">
      <c r="S11784" s="188"/>
    </row>
    <row r="11785" spans="19:19" ht="60" customHeight="1" x14ac:dyDescent="0.25">
      <c r="S11785" s="188"/>
    </row>
    <row r="11786" spans="19:19" ht="60" customHeight="1" x14ac:dyDescent="0.25">
      <c r="S11786" s="188"/>
    </row>
    <row r="11787" spans="19:19" ht="60" customHeight="1" x14ac:dyDescent="0.25">
      <c r="S11787" s="188"/>
    </row>
    <row r="11788" spans="19:19" ht="60" customHeight="1" x14ac:dyDescent="0.25">
      <c r="S11788" s="188"/>
    </row>
    <row r="11789" spans="19:19" ht="60" customHeight="1" x14ac:dyDescent="0.25">
      <c r="S11789" s="188"/>
    </row>
    <row r="11790" spans="19:19" ht="60" customHeight="1" x14ac:dyDescent="0.25">
      <c r="S11790" s="188"/>
    </row>
    <row r="11791" spans="19:19" ht="60" customHeight="1" x14ac:dyDescent="0.25">
      <c r="S11791" s="188"/>
    </row>
    <row r="11792" spans="19:19" ht="60" customHeight="1" x14ac:dyDescent="0.25">
      <c r="S11792" s="188"/>
    </row>
    <row r="11793" spans="19:19" ht="60" customHeight="1" x14ac:dyDescent="0.25">
      <c r="S11793" s="188"/>
    </row>
    <row r="11794" spans="19:19" ht="60" customHeight="1" x14ac:dyDescent="0.25">
      <c r="S11794" s="188"/>
    </row>
    <row r="11795" spans="19:19" ht="60" customHeight="1" x14ac:dyDescent="0.25">
      <c r="S11795" s="188"/>
    </row>
    <row r="11796" spans="19:19" ht="60" customHeight="1" x14ac:dyDescent="0.25">
      <c r="S11796" s="188"/>
    </row>
    <row r="11797" spans="19:19" ht="60" customHeight="1" x14ac:dyDescent="0.25">
      <c r="S11797" s="188"/>
    </row>
    <row r="11798" spans="19:19" ht="60" customHeight="1" x14ac:dyDescent="0.25">
      <c r="S11798" s="188"/>
    </row>
    <row r="11799" spans="19:19" ht="60" customHeight="1" x14ac:dyDescent="0.25">
      <c r="S11799" s="188"/>
    </row>
    <row r="11800" spans="19:19" ht="60" customHeight="1" x14ac:dyDescent="0.25">
      <c r="S11800" s="188"/>
    </row>
    <row r="11801" spans="19:19" ht="60" customHeight="1" x14ac:dyDescent="0.25">
      <c r="S11801" s="188"/>
    </row>
    <row r="11802" spans="19:19" ht="60" customHeight="1" x14ac:dyDescent="0.25">
      <c r="S11802" s="188"/>
    </row>
    <row r="11803" spans="19:19" ht="60" customHeight="1" x14ac:dyDescent="0.25">
      <c r="S11803" s="188"/>
    </row>
    <row r="11804" spans="19:19" ht="60" customHeight="1" x14ac:dyDescent="0.25">
      <c r="S11804" s="188"/>
    </row>
    <row r="11805" spans="19:19" ht="60" customHeight="1" x14ac:dyDescent="0.25">
      <c r="S11805" s="188"/>
    </row>
    <row r="11806" spans="19:19" ht="60" customHeight="1" x14ac:dyDescent="0.25">
      <c r="S11806" s="188"/>
    </row>
    <row r="11807" spans="19:19" ht="60" customHeight="1" x14ac:dyDescent="0.25">
      <c r="S11807" s="188"/>
    </row>
    <row r="11808" spans="19:19" ht="60" customHeight="1" x14ac:dyDescent="0.25">
      <c r="S11808" s="188"/>
    </row>
    <row r="11809" spans="19:19" ht="60" customHeight="1" x14ac:dyDescent="0.25">
      <c r="S11809" s="188"/>
    </row>
    <row r="11810" spans="19:19" ht="60" customHeight="1" x14ac:dyDescent="0.25">
      <c r="S11810" s="188"/>
    </row>
    <row r="11811" spans="19:19" ht="60" customHeight="1" x14ac:dyDescent="0.25">
      <c r="S11811" s="188"/>
    </row>
    <row r="11812" spans="19:19" ht="60" customHeight="1" x14ac:dyDescent="0.25">
      <c r="S11812" s="188"/>
    </row>
    <row r="11813" spans="19:19" ht="60" customHeight="1" x14ac:dyDescent="0.25">
      <c r="S11813" s="188"/>
    </row>
    <row r="11814" spans="19:19" ht="60" customHeight="1" x14ac:dyDescent="0.25">
      <c r="S11814" s="188"/>
    </row>
    <row r="11815" spans="19:19" ht="60" customHeight="1" x14ac:dyDescent="0.25">
      <c r="S11815" s="188"/>
    </row>
    <row r="11816" spans="19:19" ht="60" customHeight="1" x14ac:dyDescent="0.25">
      <c r="S11816" s="188"/>
    </row>
    <row r="11817" spans="19:19" ht="60" customHeight="1" x14ac:dyDescent="0.25">
      <c r="S11817" s="188"/>
    </row>
    <row r="11818" spans="19:19" ht="60" customHeight="1" x14ac:dyDescent="0.25">
      <c r="S11818" s="188"/>
    </row>
    <row r="11819" spans="19:19" ht="60" customHeight="1" x14ac:dyDescent="0.25">
      <c r="S11819" s="188"/>
    </row>
    <row r="11820" spans="19:19" ht="60" customHeight="1" x14ac:dyDescent="0.25">
      <c r="S11820" s="188"/>
    </row>
    <row r="11821" spans="19:19" ht="60" customHeight="1" x14ac:dyDescent="0.25">
      <c r="S11821" s="188"/>
    </row>
    <row r="11822" spans="19:19" ht="60" customHeight="1" x14ac:dyDescent="0.25">
      <c r="S11822" s="188"/>
    </row>
    <row r="11823" spans="19:19" ht="60" customHeight="1" x14ac:dyDescent="0.25">
      <c r="S11823" s="188"/>
    </row>
    <row r="11824" spans="19:19" ht="60" customHeight="1" x14ac:dyDescent="0.25">
      <c r="S11824" s="188"/>
    </row>
    <row r="11825" spans="19:19" ht="60" customHeight="1" x14ac:dyDescent="0.25">
      <c r="S11825" s="188"/>
    </row>
    <row r="11826" spans="19:19" ht="60" customHeight="1" x14ac:dyDescent="0.25">
      <c r="S11826" s="188"/>
    </row>
    <row r="11827" spans="19:19" ht="60" customHeight="1" x14ac:dyDescent="0.25">
      <c r="S11827" s="188"/>
    </row>
    <row r="11828" spans="19:19" ht="60" customHeight="1" x14ac:dyDescent="0.25">
      <c r="S11828" s="188"/>
    </row>
    <row r="11829" spans="19:19" ht="60" customHeight="1" x14ac:dyDescent="0.25">
      <c r="S11829" s="188"/>
    </row>
    <row r="11830" spans="19:19" ht="60" customHeight="1" x14ac:dyDescent="0.25">
      <c r="S11830" s="188"/>
    </row>
    <row r="11831" spans="19:19" ht="60" customHeight="1" x14ac:dyDescent="0.25">
      <c r="S11831" s="188"/>
    </row>
    <row r="11832" spans="19:19" ht="60" customHeight="1" x14ac:dyDescent="0.25">
      <c r="S11832" s="188"/>
    </row>
    <row r="11833" spans="19:19" ht="60" customHeight="1" x14ac:dyDescent="0.25">
      <c r="S11833" s="188"/>
    </row>
    <row r="11834" spans="19:19" ht="60" customHeight="1" x14ac:dyDescent="0.25">
      <c r="S11834" s="188"/>
    </row>
    <row r="11835" spans="19:19" ht="60" customHeight="1" x14ac:dyDescent="0.25">
      <c r="S11835" s="188"/>
    </row>
    <row r="11836" spans="19:19" ht="60" customHeight="1" x14ac:dyDescent="0.25">
      <c r="S11836" s="188"/>
    </row>
    <row r="11837" spans="19:19" ht="60" customHeight="1" x14ac:dyDescent="0.25">
      <c r="S11837" s="188"/>
    </row>
    <row r="11838" spans="19:19" ht="60" customHeight="1" x14ac:dyDescent="0.25">
      <c r="S11838" s="188"/>
    </row>
    <row r="11839" spans="19:19" ht="60" customHeight="1" x14ac:dyDescent="0.25">
      <c r="S11839" s="188"/>
    </row>
    <row r="11840" spans="19:19" ht="60" customHeight="1" x14ac:dyDescent="0.25">
      <c r="S11840" s="188"/>
    </row>
    <row r="11841" spans="19:19" ht="60" customHeight="1" x14ac:dyDescent="0.25">
      <c r="S11841" s="188"/>
    </row>
    <row r="11842" spans="19:19" ht="60" customHeight="1" x14ac:dyDescent="0.25">
      <c r="S11842" s="188"/>
    </row>
    <row r="11843" spans="19:19" ht="60" customHeight="1" x14ac:dyDescent="0.25">
      <c r="S11843" s="188"/>
    </row>
    <row r="11844" spans="19:19" ht="60" customHeight="1" x14ac:dyDescent="0.25">
      <c r="S11844" s="188"/>
    </row>
    <row r="11845" spans="19:19" ht="60" customHeight="1" x14ac:dyDescent="0.25">
      <c r="S11845" s="188"/>
    </row>
    <row r="11846" spans="19:19" ht="60" customHeight="1" x14ac:dyDescent="0.25">
      <c r="S11846" s="188"/>
    </row>
    <row r="11847" spans="19:19" ht="60" customHeight="1" x14ac:dyDescent="0.25">
      <c r="S11847" s="188"/>
    </row>
    <row r="11848" spans="19:19" ht="60" customHeight="1" x14ac:dyDescent="0.25">
      <c r="S11848" s="188"/>
    </row>
    <row r="11849" spans="19:19" ht="60" customHeight="1" x14ac:dyDescent="0.25">
      <c r="S11849" s="188"/>
    </row>
    <row r="11850" spans="19:19" ht="60" customHeight="1" x14ac:dyDescent="0.25">
      <c r="S11850" s="188"/>
    </row>
    <row r="11851" spans="19:19" ht="60" customHeight="1" x14ac:dyDescent="0.25">
      <c r="S11851" s="188"/>
    </row>
    <row r="11852" spans="19:19" ht="60" customHeight="1" x14ac:dyDescent="0.25">
      <c r="S11852" s="188"/>
    </row>
    <row r="11853" spans="19:19" ht="60" customHeight="1" x14ac:dyDescent="0.25">
      <c r="S11853" s="188"/>
    </row>
    <row r="11854" spans="19:19" ht="60" customHeight="1" x14ac:dyDescent="0.25">
      <c r="S11854" s="188"/>
    </row>
    <row r="11855" spans="19:19" ht="60" customHeight="1" x14ac:dyDescent="0.25">
      <c r="S11855" s="188"/>
    </row>
    <row r="11856" spans="19:19" ht="60" customHeight="1" x14ac:dyDescent="0.25">
      <c r="S11856" s="188"/>
    </row>
    <row r="11857" spans="19:19" ht="60" customHeight="1" x14ac:dyDescent="0.25">
      <c r="S11857" s="188"/>
    </row>
    <row r="11858" spans="19:19" ht="60" customHeight="1" x14ac:dyDescent="0.25">
      <c r="S11858" s="188"/>
    </row>
    <row r="11859" spans="19:19" ht="60" customHeight="1" x14ac:dyDescent="0.25">
      <c r="S11859" s="188"/>
    </row>
    <row r="11860" spans="19:19" ht="60" customHeight="1" x14ac:dyDescent="0.25">
      <c r="S11860" s="188"/>
    </row>
    <row r="11861" spans="19:19" ht="60" customHeight="1" x14ac:dyDescent="0.25">
      <c r="S11861" s="188"/>
    </row>
    <row r="11862" spans="19:19" ht="60" customHeight="1" x14ac:dyDescent="0.25">
      <c r="S11862" s="188"/>
    </row>
    <row r="11863" spans="19:19" ht="60" customHeight="1" x14ac:dyDescent="0.25">
      <c r="S11863" s="188"/>
    </row>
    <row r="11864" spans="19:19" ht="60" customHeight="1" x14ac:dyDescent="0.25">
      <c r="S11864" s="188"/>
    </row>
    <row r="11865" spans="19:19" ht="60" customHeight="1" x14ac:dyDescent="0.25">
      <c r="S11865" s="188"/>
    </row>
    <row r="11866" spans="19:19" ht="60" customHeight="1" x14ac:dyDescent="0.25">
      <c r="S11866" s="188"/>
    </row>
    <row r="11867" spans="19:19" ht="60" customHeight="1" x14ac:dyDescent="0.25">
      <c r="S11867" s="188"/>
    </row>
    <row r="11868" spans="19:19" ht="60" customHeight="1" x14ac:dyDescent="0.25">
      <c r="S11868" s="188"/>
    </row>
    <row r="11869" spans="19:19" ht="60" customHeight="1" x14ac:dyDescent="0.25">
      <c r="S11869" s="188"/>
    </row>
    <row r="11870" spans="19:19" ht="60" customHeight="1" x14ac:dyDescent="0.25">
      <c r="S11870" s="188"/>
    </row>
    <row r="11871" spans="19:19" ht="60" customHeight="1" x14ac:dyDescent="0.25">
      <c r="S11871" s="188"/>
    </row>
    <row r="11872" spans="19:19" ht="60" customHeight="1" x14ac:dyDescent="0.25">
      <c r="S11872" s="188"/>
    </row>
    <row r="11873" spans="19:19" ht="60" customHeight="1" x14ac:dyDescent="0.25">
      <c r="S11873" s="188"/>
    </row>
    <row r="11874" spans="19:19" ht="60" customHeight="1" x14ac:dyDescent="0.25">
      <c r="S11874" s="188"/>
    </row>
    <row r="11875" spans="19:19" ht="60" customHeight="1" x14ac:dyDescent="0.25">
      <c r="S11875" s="188"/>
    </row>
    <row r="11876" spans="19:19" ht="60" customHeight="1" x14ac:dyDescent="0.25">
      <c r="S11876" s="188"/>
    </row>
    <row r="11877" spans="19:19" ht="60" customHeight="1" x14ac:dyDescent="0.25">
      <c r="S11877" s="188"/>
    </row>
    <row r="11878" spans="19:19" ht="60" customHeight="1" x14ac:dyDescent="0.25">
      <c r="S11878" s="188"/>
    </row>
    <row r="11879" spans="19:19" ht="60" customHeight="1" x14ac:dyDescent="0.25">
      <c r="S11879" s="188"/>
    </row>
    <row r="11880" spans="19:19" ht="60" customHeight="1" x14ac:dyDescent="0.25">
      <c r="S11880" s="188"/>
    </row>
    <row r="11881" spans="19:19" ht="60" customHeight="1" x14ac:dyDescent="0.25">
      <c r="S11881" s="188"/>
    </row>
    <row r="11882" spans="19:19" ht="60" customHeight="1" x14ac:dyDescent="0.25">
      <c r="S11882" s="188"/>
    </row>
    <row r="11883" spans="19:19" ht="60" customHeight="1" x14ac:dyDescent="0.25">
      <c r="S11883" s="188"/>
    </row>
    <row r="11884" spans="19:19" ht="60" customHeight="1" x14ac:dyDescent="0.25">
      <c r="S11884" s="188"/>
    </row>
    <row r="11885" spans="19:19" ht="60" customHeight="1" x14ac:dyDescent="0.25">
      <c r="S11885" s="188"/>
    </row>
    <row r="11886" spans="19:19" ht="60" customHeight="1" x14ac:dyDescent="0.25">
      <c r="S11886" s="188"/>
    </row>
    <row r="11887" spans="19:19" ht="60" customHeight="1" x14ac:dyDescent="0.25">
      <c r="S11887" s="188"/>
    </row>
    <row r="11888" spans="19:19" ht="60" customHeight="1" x14ac:dyDescent="0.25">
      <c r="S11888" s="188"/>
    </row>
    <row r="11889" spans="19:19" ht="60" customHeight="1" x14ac:dyDescent="0.25">
      <c r="S11889" s="188"/>
    </row>
    <row r="11890" spans="19:19" ht="60" customHeight="1" x14ac:dyDescent="0.25">
      <c r="S11890" s="188"/>
    </row>
    <row r="11891" spans="19:19" ht="60" customHeight="1" x14ac:dyDescent="0.25">
      <c r="S11891" s="188"/>
    </row>
    <row r="11892" spans="19:19" ht="60" customHeight="1" x14ac:dyDescent="0.25">
      <c r="S11892" s="188"/>
    </row>
    <row r="11893" spans="19:19" ht="60" customHeight="1" x14ac:dyDescent="0.25">
      <c r="S11893" s="188"/>
    </row>
    <row r="11894" spans="19:19" ht="60" customHeight="1" x14ac:dyDescent="0.25">
      <c r="S11894" s="188"/>
    </row>
    <row r="11895" spans="19:19" ht="60" customHeight="1" x14ac:dyDescent="0.25">
      <c r="S11895" s="188"/>
    </row>
    <row r="11896" spans="19:19" ht="60" customHeight="1" x14ac:dyDescent="0.25">
      <c r="S11896" s="188"/>
    </row>
    <row r="11897" spans="19:19" ht="60" customHeight="1" x14ac:dyDescent="0.25">
      <c r="S11897" s="188"/>
    </row>
    <row r="11898" spans="19:19" ht="60" customHeight="1" x14ac:dyDescent="0.25">
      <c r="S11898" s="188"/>
    </row>
    <row r="11899" spans="19:19" ht="60" customHeight="1" x14ac:dyDescent="0.25">
      <c r="S11899" s="188"/>
    </row>
    <row r="11900" spans="19:19" ht="60" customHeight="1" x14ac:dyDescent="0.25">
      <c r="S11900" s="188"/>
    </row>
    <row r="11901" spans="19:19" ht="60" customHeight="1" x14ac:dyDescent="0.25">
      <c r="S11901" s="188"/>
    </row>
    <row r="11902" spans="19:19" ht="60" customHeight="1" x14ac:dyDescent="0.25">
      <c r="S11902" s="188"/>
    </row>
    <row r="11903" spans="19:19" ht="60" customHeight="1" x14ac:dyDescent="0.25">
      <c r="S11903" s="188"/>
    </row>
    <row r="11904" spans="19:19" ht="60" customHeight="1" x14ac:dyDescent="0.25">
      <c r="S11904" s="188"/>
    </row>
    <row r="11905" spans="19:19" ht="60" customHeight="1" x14ac:dyDescent="0.25">
      <c r="S11905" s="188"/>
    </row>
    <row r="11906" spans="19:19" ht="60" customHeight="1" x14ac:dyDescent="0.25">
      <c r="S11906" s="188"/>
    </row>
    <row r="11907" spans="19:19" ht="60" customHeight="1" x14ac:dyDescent="0.25">
      <c r="S11907" s="188"/>
    </row>
    <row r="11908" spans="19:19" ht="60" customHeight="1" x14ac:dyDescent="0.25">
      <c r="S11908" s="188"/>
    </row>
    <row r="11909" spans="19:19" ht="60" customHeight="1" x14ac:dyDescent="0.25">
      <c r="S11909" s="188"/>
    </row>
    <row r="11910" spans="19:19" ht="60" customHeight="1" x14ac:dyDescent="0.25">
      <c r="S11910" s="188"/>
    </row>
    <row r="11911" spans="19:19" ht="60" customHeight="1" x14ac:dyDescent="0.25">
      <c r="S11911" s="188"/>
    </row>
    <row r="11912" spans="19:19" ht="60" customHeight="1" x14ac:dyDescent="0.25">
      <c r="S11912" s="188"/>
    </row>
    <row r="11913" spans="19:19" ht="60" customHeight="1" x14ac:dyDescent="0.25">
      <c r="S11913" s="188"/>
    </row>
    <row r="11914" spans="19:19" ht="60" customHeight="1" x14ac:dyDescent="0.25">
      <c r="S11914" s="188"/>
    </row>
    <row r="11915" spans="19:19" ht="60" customHeight="1" x14ac:dyDescent="0.25">
      <c r="S11915" s="188"/>
    </row>
    <row r="11916" spans="19:19" ht="60" customHeight="1" x14ac:dyDescent="0.25">
      <c r="S11916" s="188"/>
    </row>
    <row r="11917" spans="19:19" ht="60" customHeight="1" x14ac:dyDescent="0.25">
      <c r="S11917" s="188"/>
    </row>
    <row r="11918" spans="19:19" ht="60" customHeight="1" x14ac:dyDescent="0.25">
      <c r="S11918" s="188"/>
    </row>
    <row r="11919" spans="19:19" ht="60" customHeight="1" x14ac:dyDescent="0.25">
      <c r="S11919" s="188"/>
    </row>
    <row r="11920" spans="19:19" ht="60" customHeight="1" x14ac:dyDescent="0.25">
      <c r="S11920" s="188"/>
    </row>
    <row r="11921" spans="19:19" ht="60" customHeight="1" x14ac:dyDescent="0.25">
      <c r="S11921" s="188"/>
    </row>
    <row r="11922" spans="19:19" ht="60" customHeight="1" x14ac:dyDescent="0.25">
      <c r="S11922" s="188"/>
    </row>
    <row r="11923" spans="19:19" ht="60" customHeight="1" x14ac:dyDescent="0.25">
      <c r="S11923" s="188"/>
    </row>
    <row r="11924" spans="19:19" ht="60" customHeight="1" x14ac:dyDescent="0.25">
      <c r="S11924" s="188"/>
    </row>
    <row r="11925" spans="19:19" ht="60" customHeight="1" x14ac:dyDescent="0.25">
      <c r="S11925" s="188"/>
    </row>
    <row r="11926" spans="19:19" ht="60" customHeight="1" x14ac:dyDescent="0.25">
      <c r="S11926" s="188"/>
    </row>
    <row r="11927" spans="19:19" ht="60" customHeight="1" x14ac:dyDescent="0.25">
      <c r="S11927" s="188"/>
    </row>
    <row r="11928" spans="19:19" ht="60" customHeight="1" x14ac:dyDescent="0.25">
      <c r="S11928" s="188"/>
    </row>
    <row r="11929" spans="19:19" ht="60" customHeight="1" x14ac:dyDescent="0.25">
      <c r="S11929" s="188"/>
    </row>
    <row r="11930" spans="19:19" ht="60" customHeight="1" x14ac:dyDescent="0.25">
      <c r="S11930" s="188"/>
    </row>
    <row r="11931" spans="19:19" ht="60" customHeight="1" x14ac:dyDescent="0.25">
      <c r="S11931" s="188"/>
    </row>
    <row r="11932" spans="19:19" ht="60" customHeight="1" x14ac:dyDescent="0.25">
      <c r="S11932" s="188"/>
    </row>
    <row r="11933" spans="19:19" ht="60" customHeight="1" x14ac:dyDescent="0.25">
      <c r="S11933" s="188"/>
    </row>
    <row r="11934" spans="19:19" ht="60" customHeight="1" x14ac:dyDescent="0.25">
      <c r="S11934" s="188"/>
    </row>
    <row r="11935" spans="19:19" ht="60" customHeight="1" x14ac:dyDescent="0.25">
      <c r="S11935" s="188"/>
    </row>
    <row r="11936" spans="19:19" ht="60" customHeight="1" x14ac:dyDescent="0.25">
      <c r="S11936" s="188"/>
    </row>
    <row r="11937" spans="19:19" ht="60" customHeight="1" x14ac:dyDescent="0.25">
      <c r="S11937" s="188"/>
    </row>
    <row r="11938" spans="19:19" ht="60" customHeight="1" x14ac:dyDescent="0.25">
      <c r="S11938" s="188"/>
    </row>
    <row r="11939" spans="19:19" ht="60" customHeight="1" x14ac:dyDescent="0.25">
      <c r="S11939" s="188"/>
    </row>
    <row r="11940" spans="19:19" ht="60" customHeight="1" x14ac:dyDescent="0.25">
      <c r="S11940" s="188"/>
    </row>
    <row r="11941" spans="19:19" ht="60" customHeight="1" x14ac:dyDescent="0.25">
      <c r="S11941" s="188"/>
    </row>
    <row r="11942" spans="19:19" ht="60" customHeight="1" x14ac:dyDescent="0.25">
      <c r="S11942" s="188"/>
    </row>
    <row r="11943" spans="19:19" ht="60" customHeight="1" x14ac:dyDescent="0.25">
      <c r="S11943" s="188"/>
    </row>
    <row r="11944" spans="19:19" ht="60" customHeight="1" x14ac:dyDescent="0.25">
      <c r="S11944" s="188"/>
    </row>
    <row r="11945" spans="19:19" ht="60" customHeight="1" x14ac:dyDescent="0.25">
      <c r="S11945" s="188"/>
    </row>
    <row r="11946" spans="19:19" ht="60" customHeight="1" x14ac:dyDescent="0.25">
      <c r="S11946" s="188"/>
    </row>
    <row r="11947" spans="19:19" ht="60" customHeight="1" x14ac:dyDescent="0.25">
      <c r="S11947" s="188"/>
    </row>
    <row r="11948" spans="19:19" ht="60" customHeight="1" x14ac:dyDescent="0.25">
      <c r="S11948" s="188"/>
    </row>
    <row r="11949" spans="19:19" ht="60" customHeight="1" x14ac:dyDescent="0.25">
      <c r="S11949" s="188"/>
    </row>
    <row r="11950" spans="19:19" ht="60" customHeight="1" x14ac:dyDescent="0.25">
      <c r="S11950" s="188"/>
    </row>
    <row r="11951" spans="19:19" ht="60" customHeight="1" x14ac:dyDescent="0.25">
      <c r="S11951" s="188"/>
    </row>
    <row r="11952" spans="19:19" ht="60" customHeight="1" x14ac:dyDescent="0.25">
      <c r="S11952" s="188"/>
    </row>
    <row r="11953" spans="19:19" ht="60" customHeight="1" x14ac:dyDescent="0.25">
      <c r="S11953" s="188"/>
    </row>
    <row r="11954" spans="19:19" ht="60" customHeight="1" x14ac:dyDescent="0.25">
      <c r="S11954" s="188"/>
    </row>
    <row r="11955" spans="19:19" ht="60" customHeight="1" x14ac:dyDescent="0.25">
      <c r="S11955" s="188"/>
    </row>
    <row r="11956" spans="19:19" ht="60" customHeight="1" x14ac:dyDescent="0.25">
      <c r="S11956" s="188"/>
    </row>
    <row r="11957" spans="19:19" ht="60" customHeight="1" x14ac:dyDescent="0.25">
      <c r="S11957" s="188"/>
    </row>
    <row r="11958" spans="19:19" ht="60" customHeight="1" x14ac:dyDescent="0.25">
      <c r="S11958" s="188"/>
    </row>
    <row r="11959" spans="19:19" ht="60" customHeight="1" x14ac:dyDescent="0.25">
      <c r="S11959" s="188"/>
    </row>
    <row r="11960" spans="19:19" ht="60" customHeight="1" x14ac:dyDescent="0.25">
      <c r="S11960" s="188"/>
    </row>
    <row r="11961" spans="19:19" ht="60" customHeight="1" x14ac:dyDescent="0.25">
      <c r="S11961" s="188"/>
    </row>
    <row r="11962" spans="19:19" ht="60" customHeight="1" x14ac:dyDescent="0.25">
      <c r="S11962" s="188"/>
    </row>
    <row r="11963" spans="19:19" ht="60" customHeight="1" x14ac:dyDescent="0.25">
      <c r="S11963" s="188"/>
    </row>
    <row r="11964" spans="19:19" ht="60" customHeight="1" x14ac:dyDescent="0.25">
      <c r="S11964" s="188"/>
    </row>
    <row r="11965" spans="19:19" ht="60" customHeight="1" x14ac:dyDescent="0.25">
      <c r="S11965" s="188"/>
    </row>
    <row r="11966" spans="19:19" ht="60" customHeight="1" x14ac:dyDescent="0.25">
      <c r="S11966" s="188"/>
    </row>
    <row r="11967" spans="19:19" ht="60" customHeight="1" x14ac:dyDescent="0.25">
      <c r="S11967" s="188"/>
    </row>
    <row r="11968" spans="19:19" ht="60" customHeight="1" x14ac:dyDescent="0.25">
      <c r="S11968" s="188"/>
    </row>
    <row r="11969" spans="19:19" ht="60" customHeight="1" x14ac:dyDescent="0.25">
      <c r="S11969" s="188"/>
    </row>
    <row r="11970" spans="19:19" ht="60" customHeight="1" x14ac:dyDescent="0.25">
      <c r="S11970" s="188"/>
    </row>
    <row r="11971" spans="19:19" ht="60" customHeight="1" x14ac:dyDescent="0.25">
      <c r="S11971" s="188"/>
    </row>
    <row r="11972" spans="19:19" ht="60" customHeight="1" x14ac:dyDescent="0.25">
      <c r="S11972" s="188"/>
    </row>
    <row r="11973" spans="19:19" ht="60" customHeight="1" x14ac:dyDescent="0.25">
      <c r="S11973" s="188"/>
    </row>
    <row r="11974" spans="19:19" ht="60" customHeight="1" x14ac:dyDescent="0.25">
      <c r="S11974" s="188"/>
    </row>
    <row r="11975" spans="19:19" ht="60" customHeight="1" x14ac:dyDescent="0.25">
      <c r="S11975" s="188"/>
    </row>
    <row r="11976" spans="19:19" ht="60" customHeight="1" x14ac:dyDescent="0.25">
      <c r="S11976" s="188"/>
    </row>
    <row r="11977" spans="19:19" ht="60" customHeight="1" x14ac:dyDescent="0.25">
      <c r="S11977" s="188"/>
    </row>
    <row r="11978" spans="19:19" ht="60" customHeight="1" x14ac:dyDescent="0.25">
      <c r="S11978" s="188"/>
    </row>
    <row r="11979" spans="19:19" ht="60" customHeight="1" x14ac:dyDescent="0.25">
      <c r="S11979" s="188"/>
    </row>
    <row r="11980" spans="19:19" ht="60" customHeight="1" x14ac:dyDescent="0.25">
      <c r="S11980" s="188"/>
    </row>
    <row r="11981" spans="19:19" ht="60" customHeight="1" x14ac:dyDescent="0.25">
      <c r="S11981" s="188"/>
    </row>
    <row r="11982" spans="19:19" ht="60" customHeight="1" x14ac:dyDescent="0.25">
      <c r="S11982" s="188"/>
    </row>
    <row r="11983" spans="19:19" ht="60" customHeight="1" x14ac:dyDescent="0.25">
      <c r="S11983" s="188"/>
    </row>
    <row r="11984" spans="19:19" ht="60" customHeight="1" x14ac:dyDescent="0.25">
      <c r="S11984" s="188"/>
    </row>
    <row r="11985" spans="19:19" ht="60" customHeight="1" x14ac:dyDescent="0.25">
      <c r="S11985" s="188"/>
    </row>
    <row r="11986" spans="19:19" ht="60" customHeight="1" x14ac:dyDescent="0.25">
      <c r="S11986" s="188"/>
    </row>
    <row r="11987" spans="19:19" ht="60" customHeight="1" x14ac:dyDescent="0.25">
      <c r="S11987" s="188"/>
    </row>
    <row r="11988" spans="19:19" ht="60" customHeight="1" x14ac:dyDescent="0.25">
      <c r="S11988" s="188"/>
    </row>
    <row r="11989" spans="19:19" ht="60" customHeight="1" x14ac:dyDescent="0.25">
      <c r="S11989" s="188"/>
    </row>
    <row r="11990" spans="19:19" ht="60" customHeight="1" x14ac:dyDescent="0.25">
      <c r="S11990" s="188"/>
    </row>
    <row r="11991" spans="19:19" ht="60" customHeight="1" x14ac:dyDescent="0.25">
      <c r="S11991" s="188"/>
    </row>
    <row r="11992" spans="19:19" ht="60" customHeight="1" x14ac:dyDescent="0.25">
      <c r="S11992" s="188"/>
    </row>
    <row r="11993" spans="19:19" ht="60" customHeight="1" x14ac:dyDescent="0.25">
      <c r="S11993" s="188"/>
    </row>
    <row r="11994" spans="19:19" ht="60" customHeight="1" x14ac:dyDescent="0.25">
      <c r="S11994" s="188"/>
    </row>
    <row r="11995" spans="19:19" ht="60" customHeight="1" x14ac:dyDescent="0.25">
      <c r="S11995" s="188"/>
    </row>
    <row r="11996" spans="19:19" ht="60" customHeight="1" x14ac:dyDescent="0.25">
      <c r="S11996" s="188"/>
    </row>
    <row r="11997" spans="19:19" ht="60" customHeight="1" x14ac:dyDescent="0.25">
      <c r="S11997" s="188"/>
    </row>
    <row r="11998" spans="19:19" ht="60" customHeight="1" x14ac:dyDescent="0.25">
      <c r="S11998" s="188"/>
    </row>
    <row r="11999" spans="19:19" ht="60" customHeight="1" x14ac:dyDescent="0.25">
      <c r="S11999" s="188"/>
    </row>
    <row r="12000" spans="19:19" ht="60" customHeight="1" x14ac:dyDescent="0.25">
      <c r="S12000" s="188"/>
    </row>
    <row r="12001" spans="19:19" ht="60" customHeight="1" x14ac:dyDescent="0.25">
      <c r="S12001" s="188"/>
    </row>
    <row r="12002" spans="19:19" ht="60" customHeight="1" x14ac:dyDescent="0.25">
      <c r="S12002" s="188"/>
    </row>
    <row r="12003" spans="19:19" ht="60" customHeight="1" x14ac:dyDescent="0.25">
      <c r="S12003" s="188"/>
    </row>
    <row r="12004" spans="19:19" ht="60" customHeight="1" x14ac:dyDescent="0.25">
      <c r="S12004" s="188"/>
    </row>
    <row r="12005" spans="19:19" ht="60" customHeight="1" x14ac:dyDescent="0.25">
      <c r="S12005" s="188"/>
    </row>
    <row r="12006" spans="19:19" ht="60" customHeight="1" x14ac:dyDescent="0.25">
      <c r="S12006" s="188"/>
    </row>
    <row r="12007" spans="19:19" ht="60" customHeight="1" x14ac:dyDescent="0.25">
      <c r="S12007" s="188"/>
    </row>
    <row r="12008" spans="19:19" ht="60" customHeight="1" x14ac:dyDescent="0.25">
      <c r="S12008" s="188"/>
    </row>
    <row r="12009" spans="19:19" ht="60" customHeight="1" x14ac:dyDescent="0.25">
      <c r="S12009" s="188"/>
    </row>
    <row r="12010" spans="19:19" ht="60" customHeight="1" x14ac:dyDescent="0.25">
      <c r="S12010" s="188"/>
    </row>
    <row r="12011" spans="19:19" ht="60" customHeight="1" x14ac:dyDescent="0.25">
      <c r="S12011" s="188"/>
    </row>
    <row r="12012" spans="19:19" ht="60" customHeight="1" x14ac:dyDescent="0.25">
      <c r="S12012" s="188"/>
    </row>
    <row r="12013" spans="19:19" ht="60" customHeight="1" x14ac:dyDescent="0.25">
      <c r="S12013" s="188"/>
    </row>
    <row r="12014" spans="19:19" ht="60" customHeight="1" x14ac:dyDescent="0.25">
      <c r="S12014" s="188"/>
    </row>
    <row r="12015" spans="19:19" ht="60" customHeight="1" x14ac:dyDescent="0.25">
      <c r="S12015" s="188"/>
    </row>
    <row r="12016" spans="19:19" ht="60" customHeight="1" x14ac:dyDescent="0.25">
      <c r="S12016" s="188"/>
    </row>
    <row r="12017" spans="19:19" ht="60" customHeight="1" x14ac:dyDescent="0.25">
      <c r="S12017" s="188"/>
    </row>
    <row r="12018" spans="19:19" ht="60" customHeight="1" x14ac:dyDescent="0.25">
      <c r="S12018" s="188"/>
    </row>
    <row r="12019" spans="19:19" ht="60" customHeight="1" x14ac:dyDescent="0.25">
      <c r="S12019" s="188"/>
    </row>
    <row r="12020" spans="19:19" ht="60" customHeight="1" x14ac:dyDescent="0.25">
      <c r="S12020" s="188"/>
    </row>
    <row r="12021" spans="19:19" ht="60" customHeight="1" x14ac:dyDescent="0.25">
      <c r="S12021" s="188"/>
    </row>
    <row r="12022" spans="19:19" ht="60" customHeight="1" x14ac:dyDescent="0.25">
      <c r="S12022" s="188"/>
    </row>
    <row r="12023" spans="19:19" ht="60" customHeight="1" x14ac:dyDescent="0.25">
      <c r="S12023" s="188"/>
    </row>
    <row r="12024" spans="19:19" ht="60" customHeight="1" x14ac:dyDescent="0.25">
      <c r="S12024" s="188"/>
    </row>
    <row r="12025" spans="19:19" ht="60" customHeight="1" x14ac:dyDescent="0.25">
      <c r="S12025" s="188"/>
    </row>
    <row r="12026" spans="19:19" ht="60" customHeight="1" x14ac:dyDescent="0.25">
      <c r="S12026" s="188"/>
    </row>
    <row r="12027" spans="19:19" ht="60" customHeight="1" x14ac:dyDescent="0.25">
      <c r="S12027" s="188"/>
    </row>
    <row r="12028" spans="19:19" ht="60" customHeight="1" x14ac:dyDescent="0.25">
      <c r="S12028" s="188"/>
    </row>
    <row r="12029" spans="19:19" ht="60" customHeight="1" x14ac:dyDescent="0.25">
      <c r="S12029" s="188"/>
    </row>
    <row r="12030" spans="19:19" ht="60" customHeight="1" x14ac:dyDescent="0.25">
      <c r="S12030" s="188"/>
    </row>
    <row r="12031" spans="19:19" ht="60" customHeight="1" x14ac:dyDescent="0.25">
      <c r="S12031" s="188"/>
    </row>
    <row r="12032" spans="19:19" ht="60" customHeight="1" x14ac:dyDescent="0.25">
      <c r="S12032" s="188"/>
    </row>
    <row r="12033" spans="19:19" ht="60" customHeight="1" x14ac:dyDescent="0.25">
      <c r="S12033" s="188"/>
    </row>
    <row r="12034" spans="19:19" ht="60" customHeight="1" x14ac:dyDescent="0.25">
      <c r="S12034" s="188"/>
    </row>
    <row r="12035" spans="19:19" ht="60" customHeight="1" x14ac:dyDescent="0.25">
      <c r="S12035" s="188"/>
    </row>
    <row r="12036" spans="19:19" ht="60" customHeight="1" x14ac:dyDescent="0.25">
      <c r="S12036" s="188"/>
    </row>
    <row r="12037" spans="19:19" ht="60" customHeight="1" x14ac:dyDescent="0.25">
      <c r="S12037" s="188"/>
    </row>
    <row r="12038" spans="19:19" ht="60" customHeight="1" x14ac:dyDescent="0.25">
      <c r="S12038" s="188"/>
    </row>
    <row r="12039" spans="19:19" ht="60" customHeight="1" x14ac:dyDescent="0.25">
      <c r="S12039" s="188"/>
    </row>
    <row r="12040" spans="19:19" ht="60" customHeight="1" x14ac:dyDescent="0.25">
      <c r="S12040" s="188"/>
    </row>
    <row r="12041" spans="19:19" ht="60" customHeight="1" x14ac:dyDescent="0.25">
      <c r="S12041" s="188"/>
    </row>
    <row r="12042" spans="19:19" ht="60" customHeight="1" x14ac:dyDescent="0.25">
      <c r="S12042" s="188"/>
    </row>
    <row r="12043" spans="19:19" ht="60" customHeight="1" x14ac:dyDescent="0.25">
      <c r="S12043" s="188"/>
    </row>
    <row r="12044" spans="19:19" ht="60" customHeight="1" x14ac:dyDescent="0.25">
      <c r="S12044" s="188"/>
    </row>
    <row r="12045" spans="19:19" ht="60" customHeight="1" x14ac:dyDescent="0.25">
      <c r="S12045" s="188"/>
    </row>
    <row r="12046" spans="19:19" ht="60" customHeight="1" x14ac:dyDescent="0.25">
      <c r="S12046" s="188"/>
    </row>
    <row r="12047" spans="19:19" ht="60" customHeight="1" x14ac:dyDescent="0.25">
      <c r="S12047" s="188"/>
    </row>
    <row r="12048" spans="19:19" ht="60" customHeight="1" x14ac:dyDescent="0.25">
      <c r="S12048" s="188"/>
    </row>
    <row r="12049" spans="19:19" ht="60" customHeight="1" x14ac:dyDescent="0.25">
      <c r="S12049" s="188"/>
    </row>
    <row r="12050" spans="19:19" ht="60" customHeight="1" x14ac:dyDescent="0.25">
      <c r="S12050" s="188"/>
    </row>
    <row r="12051" spans="19:19" ht="60" customHeight="1" x14ac:dyDescent="0.25">
      <c r="S12051" s="188"/>
    </row>
    <row r="12052" spans="19:19" ht="60" customHeight="1" x14ac:dyDescent="0.25">
      <c r="S12052" s="188"/>
    </row>
    <row r="12053" spans="19:19" ht="60" customHeight="1" x14ac:dyDescent="0.25">
      <c r="S12053" s="188"/>
    </row>
    <row r="12054" spans="19:19" ht="60" customHeight="1" x14ac:dyDescent="0.25">
      <c r="S12054" s="188"/>
    </row>
    <row r="12055" spans="19:19" ht="60" customHeight="1" x14ac:dyDescent="0.25">
      <c r="S12055" s="188"/>
    </row>
    <row r="12056" spans="19:19" ht="60" customHeight="1" x14ac:dyDescent="0.25">
      <c r="S12056" s="188"/>
    </row>
    <row r="12057" spans="19:19" ht="60" customHeight="1" x14ac:dyDescent="0.25">
      <c r="S12057" s="188"/>
    </row>
    <row r="12058" spans="19:19" ht="60" customHeight="1" x14ac:dyDescent="0.25">
      <c r="S12058" s="188"/>
    </row>
    <row r="12059" spans="19:19" ht="60" customHeight="1" x14ac:dyDescent="0.25">
      <c r="S12059" s="188"/>
    </row>
    <row r="12060" spans="19:19" ht="60" customHeight="1" x14ac:dyDescent="0.25">
      <c r="S12060" s="188"/>
    </row>
    <row r="12061" spans="19:19" ht="60" customHeight="1" x14ac:dyDescent="0.25">
      <c r="S12061" s="188"/>
    </row>
    <row r="12062" spans="19:19" ht="60" customHeight="1" x14ac:dyDescent="0.25">
      <c r="S12062" s="188"/>
    </row>
    <row r="12063" spans="19:19" ht="60" customHeight="1" x14ac:dyDescent="0.25">
      <c r="S12063" s="188"/>
    </row>
    <row r="12064" spans="19:19" ht="60" customHeight="1" x14ac:dyDescent="0.25">
      <c r="S12064" s="188"/>
    </row>
    <row r="12065" spans="19:19" ht="60" customHeight="1" x14ac:dyDescent="0.25">
      <c r="S12065" s="188"/>
    </row>
    <row r="12066" spans="19:19" ht="60" customHeight="1" x14ac:dyDescent="0.25">
      <c r="S12066" s="188"/>
    </row>
    <row r="12067" spans="19:19" ht="60" customHeight="1" x14ac:dyDescent="0.25">
      <c r="S12067" s="188"/>
    </row>
    <row r="12068" spans="19:19" ht="60" customHeight="1" x14ac:dyDescent="0.25">
      <c r="S12068" s="188"/>
    </row>
    <row r="12069" spans="19:19" ht="60" customHeight="1" x14ac:dyDescent="0.25">
      <c r="S12069" s="188"/>
    </row>
    <row r="12070" spans="19:19" ht="60" customHeight="1" x14ac:dyDescent="0.25">
      <c r="S12070" s="188"/>
    </row>
    <row r="12071" spans="19:19" ht="60" customHeight="1" x14ac:dyDescent="0.25">
      <c r="S12071" s="188"/>
    </row>
    <row r="12072" spans="19:19" ht="60" customHeight="1" x14ac:dyDescent="0.25">
      <c r="S12072" s="188"/>
    </row>
    <row r="12073" spans="19:19" ht="60" customHeight="1" x14ac:dyDescent="0.25">
      <c r="S12073" s="188"/>
    </row>
    <row r="12074" spans="19:19" ht="60" customHeight="1" x14ac:dyDescent="0.25">
      <c r="S12074" s="188"/>
    </row>
    <row r="12075" spans="19:19" ht="60" customHeight="1" x14ac:dyDescent="0.25">
      <c r="S12075" s="188"/>
    </row>
    <row r="12076" spans="19:19" ht="60" customHeight="1" x14ac:dyDescent="0.25">
      <c r="S12076" s="188"/>
    </row>
    <row r="12077" spans="19:19" ht="60" customHeight="1" x14ac:dyDescent="0.25">
      <c r="S12077" s="188"/>
    </row>
    <row r="12078" spans="19:19" ht="60" customHeight="1" x14ac:dyDescent="0.25">
      <c r="S12078" s="188"/>
    </row>
    <row r="12079" spans="19:19" ht="60" customHeight="1" x14ac:dyDescent="0.25">
      <c r="S12079" s="188"/>
    </row>
    <row r="12080" spans="19:19" ht="60" customHeight="1" x14ac:dyDescent="0.25">
      <c r="S12080" s="188"/>
    </row>
    <row r="12081" spans="19:19" ht="60" customHeight="1" x14ac:dyDescent="0.25">
      <c r="S12081" s="188"/>
    </row>
    <row r="12082" spans="19:19" ht="60" customHeight="1" x14ac:dyDescent="0.25">
      <c r="S12082" s="188"/>
    </row>
    <row r="12083" spans="19:19" ht="60" customHeight="1" x14ac:dyDescent="0.25">
      <c r="S12083" s="188"/>
    </row>
    <row r="12084" spans="19:19" ht="60" customHeight="1" x14ac:dyDescent="0.25">
      <c r="S12084" s="188"/>
    </row>
    <row r="12085" spans="19:19" ht="60" customHeight="1" x14ac:dyDescent="0.25">
      <c r="S12085" s="188"/>
    </row>
    <row r="12086" spans="19:19" ht="60" customHeight="1" x14ac:dyDescent="0.25">
      <c r="S12086" s="188"/>
    </row>
    <row r="12087" spans="19:19" ht="60" customHeight="1" x14ac:dyDescent="0.25">
      <c r="S12087" s="188"/>
    </row>
    <row r="12088" spans="19:19" ht="60" customHeight="1" x14ac:dyDescent="0.25">
      <c r="S12088" s="188"/>
    </row>
    <row r="12089" spans="19:19" ht="60" customHeight="1" x14ac:dyDescent="0.25">
      <c r="S12089" s="188"/>
    </row>
    <row r="12090" spans="19:19" ht="60" customHeight="1" x14ac:dyDescent="0.25">
      <c r="S12090" s="188"/>
    </row>
    <row r="12091" spans="19:19" ht="60" customHeight="1" x14ac:dyDescent="0.25">
      <c r="S12091" s="188"/>
    </row>
    <row r="12092" spans="19:19" ht="60" customHeight="1" x14ac:dyDescent="0.25">
      <c r="S12092" s="188"/>
    </row>
    <row r="12093" spans="19:19" ht="60" customHeight="1" x14ac:dyDescent="0.25">
      <c r="S12093" s="188"/>
    </row>
    <row r="12094" spans="19:19" ht="60" customHeight="1" x14ac:dyDescent="0.25">
      <c r="S12094" s="188"/>
    </row>
    <row r="12095" spans="19:19" ht="60" customHeight="1" x14ac:dyDescent="0.25">
      <c r="S12095" s="188"/>
    </row>
    <row r="12096" spans="19:19" ht="60" customHeight="1" x14ac:dyDescent="0.25">
      <c r="S12096" s="188"/>
    </row>
    <row r="12097" spans="19:19" ht="60" customHeight="1" x14ac:dyDescent="0.25">
      <c r="S12097" s="188"/>
    </row>
    <row r="12098" spans="19:19" ht="60" customHeight="1" x14ac:dyDescent="0.25">
      <c r="S12098" s="188"/>
    </row>
    <row r="12099" spans="19:19" ht="60" customHeight="1" x14ac:dyDescent="0.25">
      <c r="S12099" s="188"/>
    </row>
    <row r="12100" spans="19:19" ht="60" customHeight="1" x14ac:dyDescent="0.25">
      <c r="S12100" s="188"/>
    </row>
    <row r="12101" spans="19:19" ht="60" customHeight="1" x14ac:dyDescent="0.25">
      <c r="S12101" s="188"/>
    </row>
    <row r="12102" spans="19:19" ht="60" customHeight="1" x14ac:dyDescent="0.25">
      <c r="S12102" s="188"/>
    </row>
    <row r="12103" spans="19:19" ht="60" customHeight="1" x14ac:dyDescent="0.25">
      <c r="S12103" s="188"/>
    </row>
    <row r="12104" spans="19:19" ht="60" customHeight="1" x14ac:dyDescent="0.25">
      <c r="S12104" s="188"/>
    </row>
    <row r="12105" spans="19:19" ht="60" customHeight="1" x14ac:dyDescent="0.25">
      <c r="S12105" s="188"/>
    </row>
    <row r="12106" spans="19:19" ht="60" customHeight="1" x14ac:dyDescent="0.25">
      <c r="S12106" s="188"/>
    </row>
    <row r="12107" spans="19:19" ht="60" customHeight="1" x14ac:dyDescent="0.25">
      <c r="S12107" s="188"/>
    </row>
    <row r="12108" spans="19:19" ht="60" customHeight="1" x14ac:dyDescent="0.25">
      <c r="S12108" s="188"/>
    </row>
    <row r="12109" spans="19:19" ht="60" customHeight="1" x14ac:dyDescent="0.25">
      <c r="S12109" s="188"/>
    </row>
    <row r="12110" spans="19:19" ht="60" customHeight="1" x14ac:dyDescent="0.25">
      <c r="S12110" s="188"/>
    </row>
    <row r="12111" spans="19:19" ht="60" customHeight="1" x14ac:dyDescent="0.25">
      <c r="S12111" s="188"/>
    </row>
    <row r="12112" spans="19:19" ht="60" customHeight="1" x14ac:dyDescent="0.25">
      <c r="S12112" s="188"/>
    </row>
    <row r="12113" spans="19:19" ht="60" customHeight="1" x14ac:dyDescent="0.25">
      <c r="S12113" s="188"/>
    </row>
    <row r="12114" spans="19:19" ht="60" customHeight="1" x14ac:dyDescent="0.25">
      <c r="S12114" s="188"/>
    </row>
    <row r="12115" spans="19:19" ht="60" customHeight="1" x14ac:dyDescent="0.25">
      <c r="S12115" s="188"/>
    </row>
    <row r="12116" spans="19:19" ht="60" customHeight="1" x14ac:dyDescent="0.25">
      <c r="S12116" s="188"/>
    </row>
    <row r="12117" spans="19:19" ht="60" customHeight="1" x14ac:dyDescent="0.25">
      <c r="S12117" s="188"/>
    </row>
    <row r="12118" spans="19:19" ht="60" customHeight="1" x14ac:dyDescent="0.25">
      <c r="S12118" s="188"/>
    </row>
    <row r="12119" spans="19:19" ht="60" customHeight="1" x14ac:dyDescent="0.25">
      <c r="S12119" s="188"/>
    </row>
    <row r="12120" spans="19:19" ht="60" customHeight="1" x14ac:dyDescent="0.25">
      <c r="S12120" s="188"/>
    </row>
    <row r="12121" spans="19:19" ht="60" customHeight="1" x14ac:dyDescent="0.25">
      <c r="S12121" s="188"/>
    </row>
    <row r="12122" spans="19:19" ht="60" customHeight="1" x14ac:dyDescent="0.25">
      <c r="S12122" s="188"/>
    </row>
    <row r="12123" spans="19:19" ht="60" customHeight="1" x14ac:dyDescent="0.25">
      <c r="S12123" s="188"/>
    </row>
    <row r="12124" spans="19:19" ht="60" customHeight="1" x14ac:dyDescent="0.25">
      <c r="S12124" s="188"/>
    </row>
    <row r="12125" spans="19:19" ht="60" customHeight="1" x14ac:dyDescent="0.25">
      <c r="S12125" s="188"/>
    </row>
    <row r="12126" spans="19:19" ht="60" customHeight="1" x14ac:dyDescent="0.25">
      <c r="S12126" s="188"/>
    </row>
    <row r="12127" spans="19:19" ht="60" customHeight="1" x14ac:dyDescent="0.25">
      <c r="S12127" s="188"/>
    </row>
    <row r="12128" spans="19:19" ht="60" customHeight="1" x14ac:dyDescent="0.25">
      <c r="S12128" s="188"/>
    </row>
    <row r="12129" spans="19:19" ht="60" customHeight="1" x14ac:dyDescent="0.25">
      <c r="S12129" s="188"/>
    </row>
    <row r="12130" spans="19:19" ht="60" customHeight="1" x14ac:dyDescent="0.25">
      <c r="S12130" s="188"/>
    </row>
    <row r="12131" spans="19:19" ht="60" customHeight="1" x14ac:dyDescent="0.25">
      <c r="S12131" s="188"/>
    </row>
    <row r="12132" spans="19:19" ht="60" customHeight="1" x14ac:dyDescent="0.25">
      <c r="S12132" s="188"/>
    </row>
    <row r="12133" spans="19:19" ht="60" customHeight="1" x14ac:dyDescent="0.25">
      <c r="S12133" s="188"/>
    </row>
    <row r="12134" spans="19:19" ht="60" customHeight="1" x14ac:dyDescent="0.25">
      <c r="S12134" s="188"/>
    </row>
    <row r="12135" spans="19:19" ht="60" customHeight="1" x14ac:dyDescent="0.25">
      <c r="S12135" s="188"/>
    </row>
    <row r="12136" spans="19:19" ht="60" customHeight="1" x14ac:dyDescent="0.25">
      <c r="S12136" s="188"/>
    </row>
    <row r="12137" spans="19:19" ht="60" customHeight="1" x14ac:dyDescent="0.25">
      <c r="S12137" s="188"/>
    </row>
    <row r="12138" spans="19:19" ht="60" customHeight="1" x14ac:dyDescent="0.25">
      <c r="S12138" s="188"/>
    </row>
    <row r="12139" spans="19:19" ht="60" customHeight="1" x14ac:dyDescent="0.25">
      <c r="S12139" s="188"/>
    </row>
    <row r="12140" spans="19:19" ht="60" customHeight="1" x14ac:dyDescent="0.25">
      <c r="S12140" s="188"/>
    </row>
    <row r="12141" spans="19:19" ht="60" customHeight="1" x14ac:dyDescent="0.25">
      <c r="S12141" s="188"/>
    </row>
    <row r="12142" spans="19:19" ht="60" customHeight="1" x14ac:dyDescent="0.25">
      <c r="S12142" s="188"/>
    </row>
    <row r="12143" spans="19:19" ht="60" customHeight="1" x14ac:dyDescent="0.25">
      <c r="S12143" s="188"/>
    </row>
    <row r="12144" spans="19:19" ht="60" customHeight="1" x14ac:dyDescent="0.25">
      <c r="S12144" s="188"/>
    </row>
    <row r="12145" spans="19:19" ht="60" customHeight="1" x14ac:dyDescent="0.25">
      <c r="S12145" s="188"/>
    </row>
    <row r="12146" spans="19:19" ht="60" customHeight="1" x14ac:dyDescent="0.25">
      <c r="S12146" s="188"/>
    </row>
    <row r="12147" spans="19:19" ht="60" customHeight="1" x14ac:dyDescent="0.25">
      <c r="S12147" s="188"/>
    </row>
    <row r="12148" spans="19:19" ht="60" customHeight="1" x14ac:dyDescent="0.25">
      <c r="S12148" s="188"/>
    </row>
    <row r="12149" spans="19:19" ht="60" customHeight="1" x14ac:dyDescent="0.25">
      <c r="S12149" s="188"/>
    </row>
    <row r="12150" spans="19:19" ht="60" customHeight="1" x14ac:dyDescent="0.25">
      <c r="S12150" s="188"/>
    </row>
    <row r="12151" spans="19:19" ht="60" customHeight="1" x14ac:dyDescent="0.25">
      <c r="S12151" s="188"/>
    </row>
    <row r="12152" spans="19:19" ht="60" customHeight="1" x14ac:dyDescent="0.25">
      <c r="S12152" s="188"/>
    </row>
    <row r="12153" spans="19:19" ht="60" customHeight="1" x14ac:dyDescent="0.25">
      <c r="S12153" s="188"/>
    </row>
    <row r="12154" spans="19:19" ht="60" customHeight="1" x14ac:dyDescent="0.25">
      <c r="S12154" s="188"/>
    </row>
    <row r="12155" spans="19:19" ht="60" customHeight="1" x14ac:dyDescent="0.25">
      <c r="S12155" s="188"/>
    </row>
    <row r="12156" spans="19:19" ht="60" customHeight="1" x14ac:dyDescent="0.25">
      <c r="S12156" s="188"/>
    </row>
    <row r="12157" spans="19:19" ht="60" customHeight="1" x14ac:dyDescent="0.25">
      <c r="S12157" s="188"/>
    </row>
    <row r="12158" spans="19:19" ht="60" customHeight="1" x14ac:dyDescent="0.25">
      <c r="S12158" s="188"/>
    </row>
    <row r="12159" spans="19:19" ht="60" customHeight="1" x14ac:dyDescent="0.25">
      <c r="S12159" s="188"/>
    </row>
    <row r="12160" spans="19:19" ht="60" customHeight="1" x14ac:dyDescent="0.25">
      <c r="S12160" s="188"/>
    </row>
    <row r="12161" spans="19:19" ht="60" customHeight="1" x14ac:dyDescent="0.25">
      <c r="S12161" s="188"/>
    </row>
    <row r="12162" spans="19:19" ht="60" customHeight="1" x14ac:dyDescent="0.25">
      <c r="S12162" s="188"/>
    </row>
    <row r="12163" spans="19:19" ht="60" customHeight="1" x14ac:dyDescent="0.25">
      <c r="S12163" s="188"/>
    </row>
    <row r="12164" spans="19:19" ht="60" customHeight="1" x14ac:dyDescent="0.25">
      <c r="S12164" s="188"/>
    </row>
    <row r="12165" spans="19:19" ht="60" customHeight="1" x14ac:dyDescent="0.25">
      <c r="S12165" s="188"/>
    </row>
    <row r="12166" spans="19:19" ht="60" customHeight="1" x14ac:dyDescent="0.25">
      <c r="S12166" s="188"/>
    </row>
    <row r="12167" spans="19:19" ht="60" customHeight="1" x14ac:dyDescent="0.25">
      <c r="S12167" s="188"/>
    </row>
    <row r="12168" spans="19:19" ht="60" customHeight="1" x14ac:dyDescent="0.25">
      <c r="S12168" s="188"/>
    </row>
    <row r="12169" spans="19:19" ht="60" customHeight="1" x14ac:dyDescent="0.25">
      <c r="S12169" s="188"/>
    </row>
    <row r="12170" spans="19:19" ht="60" customHeight="1" x14ac:dyDescent="0.25">
      <c r="S12170" s="188"/>
    </row>
    <row r="12171" spans="19:19" ht="60" customHeight="1" x14ac:dyDescent="0.25">
      <c r="S12171" s="188"/>
    </row>
    <row r="12172" spans="19:19" ht="60" customHeight="1" x14ac:dyDescent="0.25">
      <c r="S12172" s="188"/>
    </row>
    <row r="12173" spans="19:19" ht="60" customHeight="1" x14ac:dyDescent="0.25">
      <c r="S12173" s="188"/>
    </row>
    <row r="12174" spans="19:19" ht="60" customHeight="1" x14ac:dyDescent="0.25">
      <c r="S12174" s="188"/>
    </row>
    <row r="12175" spans="19:19" ht="60" customHeight="1" x14ac:dyDescent="0.25">
      <c r="S12175" s="188"/>
    </row>
    <row r="12176" spans="19:19" ht="60" customHeight="1" x14ac:dyDescent="0.25">
      <c r="S12176" s="188"/>
    </row>
    <row r="12177" spans="19:19" ht="60" customHeight="1" x14ac:dyDescent="0.25">
      <c r="S12177" s="188"/>
    </row>
    <row r="12178" spans="19:19" ht="60" customHeight="1" x14ac:dyDescent="0.25">
      <c r="S12178" s="188"/>
    </row>
    <row r="12179" spans="19:19" ht="60" customHeight="1" x14ac:dyDescent="0.25">
      <c r="S12179" s="188"/>
    </row>
    <row r="12180" spans="19:19" ht="60" customHeight="1" x14ac:dyDescent="0.25">
      <c r="S12180" s="188"/>
    </row>
    <row r="12181" spans="19:19" ht="60" customHeight="1" x14ac:dyDescent="0.25">
      <c r="S12181" s="188"/>
    </row>
    <row r="12182" spans="19:19" ht="60" customHeight="1" x14ac:dyDescent="0.25">
      <c r="S12182" s="188"/>
    </row>
    <row r="12183" spans="19:19" ht="60" customHeight="1" x14ac:dyDescent="0.25">
      <c r="S12183" s="188"/>
    </row>
    <row r="12184" spans="19:19" ht="60" customHeight="1" x14ac:dyDescent="0.25">
      <c r="S12184" s="188"/>
    </row>
    <row r="12185" spans="19:19" ht="60" customHeight="1" x14ac:dyDescent="0.25">
      <c r="S12185" s="188"/>
    </row>
    <row r="12186" spans="19:19" ht="60" customHeight="1" x14ac:dyDescent="0.25">
      <c r="S12186" s="188"/>
    </row>
    <row r="12187" spans="19:19" ht="60" customHeight="1" x14ac:dyDescent="0.25">
      <c r="S12187" s="188"/>
    </row>
    <row r="12188" spans="19:19" ht="60" customHeight="1" x14ac:dyDescent="0.25">
      <c r="S12188" s="188"/>
    </row>
    <row r="12189" spans="19:19" ht="60" customHeight="1" x14ac:dyDescent="0.25">
      <c r="S12189" s="188"/>
    </row>
    <row r="12190" spans="19:19" ht="60" customHeight="1" x14ac:dyDescent="0.25">
      <c r="S12190" s="188"/>
    </row>
    <row r="12191" spans="19:19" ht="60" customHeight="1" x14ac:dyDescent="0.25">
      <c r="S12191" s="188"/>
    </row>
    <row r="12192" spans="19:19" ht="60" customHeight="1" x14ac:dyDescent="0.25">
      <c r="S12192" s="188"/>
    </row>
    <row r="12193" spans="19:19" ht="60" customHeight="1" x14ac:dyDescent="0.25">
      <c r="S12193" s="188"/>
    </row>
    <row r="12194" spans="19:19" ht="60" customHeight="1" x14ac:dyDescent="0.25">
      <c r="S12194" s="188"/>
    </row>
    <row r="12195" spans="19:19" ht="60" customHeight="1" x14ac:dyDescent="0.25">
      <c r="S12195" s="188"/>
    </row>
    <row r="12196" spans="19:19" ht="60" customHeight="1" x14ac:dyDescent="0.25">
      <c r="S12196" s="188"/>
    </row>
    <row r="12197" spans="19:19" ht="60" customHeight="1" x14ac:dyDescent="0.25">
      <c r="S12197" s="188"/>
    </row>
    <row r="12198" spans="19:19" ht="60" customHeight="1" x14ac:dyDescent="0.25">
      <c r="S12198" s="188"/>
    </row>
    <row r="12199" spans="19:19" ht="60" customHeight="1" x14ac:dyDescent="0.25">
      <c r="S12199" s="188"/>
    </row>
    <row r="12200" spans="19:19" ht="60" customHeight="1" x14ac:dyDescent="0.25">
      <c r="S12200" s="188"/>
    </row>
    <row r="12201" spans="19:19" ht="60" customHeight="1" x14ac:dyDescent="0.25">
      <c r="S12201" s="188"/>
    </row>
    <row r="12202" spans="19:19" ht="60" customHeight="1" x14ac:dyDescent="0.25">
      <c r="S12202" s="188"/>
    </row>
    <row r="12203" spans="19:19" ht="60" customHeight="1" x14ac:dyDescent="0.25">
      <c r="S12203" s="188"/>
    </row>
    <row r="12204" spans="19:19" ht="60" customHeight="1" x14ac:dyDescent="0.25">
      <c r="S12204" s="188"/>
    </row>
    <row r="12205" spans="19:19" ht="60" customHeight="1" x14ac:dyDescent="0.25">
      <c r="S12205" s="188"/>
    </row>
    <row r="12206" spans="19:19" ht="60" customHeight="1" x14ac:dyDescent="0.25">
      <c r="S12206" s="188"/>
    </row>
    <row r="12207" spans="19:19" ht="60" customHeight="1" x14ac:dyDescent="0.25">
      <c r="S12207" s="188"/>
    </row>
    <row r="12208" spans="19:19" ht="60" customHeight="1" x14ac:dyDescent="0.25">
      <c r="S12208" s="188"/>
    </row>
    <row r="12209" spans="19:19" ht="60" customHeight="1" x14ac:dyDescent="0.25">
      <c r="S12209" s="188"/>
    </row>
    <row r="12210" spans="19:19" ht="60" customHeight="1" x14ac:dyDescent="0.25">
      <c r="S12210" s="188"/>
    </row>
    <row r="12211" spans="19:19" ht="60" customHeight="1" x14ac:dyDescent="0.25">
      <c r="S12211" s="188"/>
    </row>
    <row r="12212" spans="19:19" ht="60" customHeight="1" x14ac:dyDescent="0.25">
      <c r="S12212" s="188"/>
    </row>
    <row r="12213" spans="19:19" ht="60" customHeight="1" x14ac:dyDescent="0.25">
      <c r="S12213" s="188"/>
    </row>
    <row r="12214" spans="19:19" ht="60" customHeight="1" x14ac:dyDescent="0.25">
      <c r="S12214" s="188"/>
    </row>
    <row r="12215" spans="19:19" ht="60" customHeight="1" x14ac:dyDescent="0.25">
      <c r="S12215" s="188"/>
    </row>
    <row r="12216" spans="19:19" ht="60" customHeight="1" x14ac:dyDescent="0.25">
      <c r="S12216" s="188"/>
    </row>
    <row r="12217" spans="19:19" ht="60" customHeight="1" x14ac:dyDescent="0.25">
      <c r="S12217" s="188"/>
    </row>
    <row r="12218" spans="19:19" ht="60" customHeight="1" x14ac:dyDescent="0.25">
      <c r="S12218" s="188"/>
    </row>
    <row r="12219" spans="19:19" ht="60" customHeight="1" x14ac:dyDescent="0.25">
      <c r="S12219" s="188"/>
    </row>
    <row r="12220" spans="19:19" ht="60" customHeight="1" x14ac:dyDescent="0.25">
      <c r="S12220" s="188"/>
    </row>
    <row r="12221" spans="19:19" ht="60" customHeight="1" x14ac:dyDescent="0.25">
      <c r="S12221" s="188"/>
    </row>
    <row r="12222" spans="19:19" ht="60" customHeight="1" x14ac:dyDescent="0.25">
      <c r="S12222" s="188"/>
    </row>
    <row r="12223" spans="19:19" ht="60" customHeight="1" x14ac:dyDescent="0.25">
      <c r="S12223" s="188"/>
    </row>
    <row r="12224" spans="19:19" ht="60" customHeight="1" x14ac:dyDescent="0.25">
      <c r="S12224" s="188"/>
    </row>
    <row r="12225" spans="19:19" ht="60" customHeight="1" x14ac:dyDescent="0.25">
      <c r="S12225" s="188"/>
    </row>
    <row r="12226" spans="19:19" ht="60" customHeight="1" x14ac:dyDescent="0.25">
      <c r="S12226" s="188"/>
    </row>
    <row r="12227" spans="19:19" ht="60" customHeight="1" x14ac:dyDescent="0.25">
      <c r="S12227" s="188"/>
    </row>
    <row r="12228" spans="19:19" ht="60" customHeight="1" x14ac:dyDescent="0.25">
      <c r="S12228" s="188"/>
    </row>
    <row r="12229" spans="19:19" ht="60" customHeight="1" x14ac:dyDescent="0.25">
      <c r="S12229" s="188"/>
    </row>
    <row r="12230" spans="19:19" ht="60" customHeight="1" x14ac:dyDescent="0.25">
      <c r="S12230" s="188"/>
    </row>
    <row r="12231" spans="19:19" ht="60" customHeight="1" x14ac:dyDescent="0.25">
      <c r="S12231" s="188"/>
    </row>
    <row r="12232" spans="19:19" ht="60" customHeight="1" x14ac:dyDescent="0.25">
      <c r="S12232" s="188"/>
    </row>
    <row r="12233" spans="19:19" ht="60" customHeight="1" x14ac:dyDescent="0.25">
      <c r="S12233" s="188"/>
    </row>
    <row r="12234" spans="19:19" ht="60" customHeight="1" x14ac:dyDescent="0.25">
      <c r="S12234" s="188"/>
    </row>
    <row r="12235" spans="19:19" ht="60" customHeight="1" x14ac:dyDescent="0.25">
      <c r="S12235" s="188"/>
    </row>
    <row r="12236" spans="19:19" ht="60" customHeight="1" x14ac:dyDescent="0.25">
      <c r="S12236" s="188"/>
    </row>
    <row r="12237" spans="19:19" ht="60" customHeight="1" x14ac:dyDescent="0.25">
      <c r="S12237" s="188"/>
    </row>
    <row r="12238" spans="19:19" ht="60" customHeight="1" x14ac:dyDescent="0.25">
      <c r="S12238" s="188"/>
    </row>
    <row r="12239" spans="19:19" ht="60" customHeight="1" x14ac:dyDescent="0.25">
      <c r="S12239" s="188"/>
    </row>
    <row r="12240" spans="19:19" ht="60" customHeight="1" x14ac:dyDescent="0.25">
      <c r="S12240" s="188"/>
    </row>
    <row r="12241" spans="19:19" ht="60" customHeight="1" x14ac:dyDescent="0.25">
      <c r="S12241" s="188"/>
    </row>
    <row r="12242" spans="19:19" ht="60" customHeight="1" x14ac:dyDescent="0.25">
      <c r="S12242" s="188"/>
    </row>
    <row r="12243" spans="19:19" ht="60" customHeight="1" x14ac:dyDescent="0.25">
      <c r="S12243" s="188"/>
    </row>
    <row r="12244" spans="19:19" ht="60" customHeight="1" x14ac:dyDescent="0.25">
      <c r="S12244" s="188"/>
    </row>
    <row r="12245" spans="19:19" ht="60" customHeight="1" x14ac:dyDescent="0.25">
      <c r="S12245" s="188"/>
    </row>
    <row r="12246" spans="19:19" ht="60" customHeight="1" x14ac:dyDescent="0.25">
      <c r="S12246" s="188"/>
    </row>
    <row r="12247" spans="19:19" ht="60" customHeight="1" x14ac:dyDescent="0.25">
      <c r="S12247" s="188"/>
    </row>
    <row r="12248" spans="19:19" ht="60" customHeight="1" x14ac:dyDescent="0.25">
      <c r="S12248" s="188"/>
    </row>
    <row r="12249" spans="19:19" ht="60" customHeight="1" x14ac:dyDescent="0.25">
      <c r="S12249" s="188"/>
    </row>
    <row r="12250" spans="19:19" ht="60" customHeight="1" x14ac:dyDescent="0.25">
      <c r="S12250" s="188"/>
    </row>
    <row r="12251" spans="19:19" ht="60" customHeight="1" x14ac:dyDescent="0.25">
      <c r="S12251" s="188"/>
    </row>
    <row r="12252" spans="19:19" ht="60" customHeight="1" x14ac:dyDescent="0.25">
      <c r="S12252" s="188"/>
    </row>
    <row r="12253" spans="19:19" ht="60" customHeight="1" x14ac:dyDescent="0.25">
      <c r="S12253" s="188"/>
    </row>
    <row r="12254" spans="19:19" ht="60" customHeight="1" x14ac:dyDescent="0.25">
      <c r="S12254" s="188"/>
    </row>
    <row r="12255" spans="19:19" ht="60" customHeight="1" x14ac:dyDescent="0.25">
      <c r="S12255" s="188"/>
    </row>
    <row r="12256" spans="19:19" ht="60" customHeight="1" x14ac:dyDescent="0.25">
      <c r="S12256" s="188"/>
    </row>
    <row r="12257" spans="19:19" ht="60" customHeight="1" x14ac:dyDescent="0.25">
      <c r="S12257" s="188"/>
    </row>
    <row r="12258" spans="19:19" ht="60" customHeight="1" x14ac:dyDescent="0.25">
      <c r="S12258" s="188"/>
    </row>
    <row r="12259" spans="19:19" ht="60" customHeight="1" x14ac:dyDescent="0.25">
      <c r="S12259" s="188"/>
    </row>
    <row r="12260" spans="19:19" ht="60" customHeight="1" x14ac:dyDescent="0.25">
      <c r="S12260" s="188"/>
    </row>
    <row r="12261" spans="19:19" ht="60" customHeight="1" x14ac:dyDescent="0.25">
      <c r="S12261" s="188"/>
    </row>
    <row r="12262" spans="19:19" ht="60" customHeight="1" x14ac:dyDescent="0.25">
      <c r="S12262" s="188"/>
    </row>
    <row r="12263" spans="19:19" ht="60" customHeight="1" x14ac:dyDescent="0.25">
      <c r="S12263" s="188"/>
    </row>
    <row r="12264" spans="19:19" ht="60" customHeight="1" x14ac:dyDescent="0.25">
      <c r="S12264" s="188"/>
    </row>
    <row r="12265" spans="19:19" ht="60" customHeight="1" x14ac:dyDescent="0.25">
      <c r="S12265" s="188"/>
    </row>
    <row r="12266" spans="19:19" ht="60" customHeight="1" x14ac:dyDescent="0.25">
      <c r="S12266" s="188"/>
    </row>
    <row r="12267" spans="19:19" ht="60" customHeight="1" x14ac:dyDescent="0.25">
      <c r="S12267" s="188"/>
    </row>
    <row r="12268" spans="19:19" ht="60" customHeight="1" x14ac:dyDescent="0.25">
      <c r="S12268" s="188"/>
    </row>
    <row r="12269" spans="19:19" ht="60" customHeight="1" x14ac:dyDescent="0.25">
      <c r="S12269" s="188"/>
    </row>
    <row r="12270" spans="19:19" ht="60" customHeight="1" x14ac:dyDescent="0.25">
      <c r="S12270" s="188"/>
    </row>
    <row r="12271" spans="19:19" ht="60" customHeight="1" x14ac:dyDescent="0.25">
      <c r="S12271" s="188"/>
    </row>
    <row r="12272" spans="19:19" ht="60" customHeight="1" x14ac:dyDescent="0.25">
      <c r="S12272" s="188"/>
    </row>
    <row r="12273" spans="19:19" ht="60" customHeight="1" x14ac:dyDescent="0.25">
      <c r="S12273" s="188"/>
    </row>
    <row r="12274" spans="19:19" ht="60" customHeight="1" x14ac:dyDescent="0.25">
      <c r="S12274" s="188"/>
    </row>
    <row r="12275" spans="19:19" ht="60" customHeight="1" x14ac:dyDescent="0.25">
      <c r="S12275" s="188"/>
    </row>
    <row r="12276" spans="19:19" ht="60" customHeight="1" x14ac:dyDescent="0.25">
      <c r="S12276" s="188"/>
    </row>
    <row r="12277" spans="19:19" ht="60" customHeight="1" x14ac:dyDescent="0.25">
      <c r="S12277" s="188"/>
    </row>
    <row r="12278" spans="19:19" ht="60" customHeight="1" x14ac:dyDescent="0.25">
      <c r="S12278" s="188"/>
    </row>
    <row r="12279" spans="19:19" ht="60" customHeight="1" x14ac:dyDescent="0.25">
      <c r="S12279" s="188"/>
    </row>
    <row r="12280" spans="19:19" ht="60" customHeight="1" x14ac:dyDescent="0.25">
      <c r="S12280" s="188"/>
    </row>
    <row r="12281" spans="19:19" ht="60" customHeight="1" x14ac:dyDescent="0.25">
      <c r="S12281" s="188"/>
    </row>
    <row r="12282" spans="19:19" ht="60" customHeight="1" x14ac:dyDescent="0.25">
      <c r="S12282" s="188"/>
    </row>
    <row r="12283" spans="19:19" ht="60" customHeight="1" x14ac:dyDescent="0.25">
      <c r="S12283" s="188"/>
    </row>
    <row r="12284" spans="19:19" ht="60" customHeight="1" x14ac:dyDescent="0.25">
      <c r="S12284" s="188"/>
    </row>
    <row r="12285" spans="19:19" ht="60" customHeight="1" x14ac:dyDescent="0.25">
      <c r="S12285" s="188"/>
    </row>
    <row r="12286" spans="19:19" ht="60" customHeight="1" x14ac:dyDescent="0.25">
      <c r="S12286" s="188"/>
    </row>
    <row r="12287" spans="19:19" ht="60" customHeight="1" x14ac:dyDescent="0.25">
      <c r="S12287" s="188"/>
    </row>
    <row r="12288" spans="19:19" ht="60" customHeight="1" x14ac:dyDescent="0.25">
      <c r="S12288" s="188"/>
    </row>
    <row r="12289" spans="19:19" ht="60" customHeight="1" x14ac:dyDescent="0.25">
      <c r="S12289" s="188"/>
    </row>
    <row r="12290" spans="19:19" ht="60" customHeight="1" x14ac:dyDescent="0.25">
      <c r="S12290" s="188"/>
    </row>
    <row r="12291" spans="19:19" ht="60" customHeight="1" x14ac:dyDescent="0.25">
      <c r="S12291" s="188"/>
    </row>
    <row r="12292" spans="19:19" ht="60" customHeight="1" x14ac:dyDescent="0.25">
      <c r="S12292" s="188"/>
    </row>
    <row r="12293" spans="19:19" ht="60" customHeight="1" x14ac:dyDescent="0.25">
      <c r="S12293" s="188"/>
    </row>
    <row r="12294" spans="19:19" ht="60" customHeight="1" x14ac:dyDescent="0.25">
      <c r="S12294" s="188"/>
    </row>
    <row r="12295" spans="19:19" ht="60" customHeight="1" x14ac:dyDescent="0.25">
      <c r="S12295" s="188"/>
    </row>
    <row r="12296" spans="19:19" ht="60" customHeight="1" x14ac:dyDescent="0.25">
      <c r="S12296" s="188"/>
    </row>
    <row r="12297" spans="19:19" ht="60" customHeight="1" x14ac:dyDescent="0.25">
      <c r="S12297" s="188"/>
    </row>
    <row r="12298" spans="19:19" ht="60" customHeight="1" x14ac:dyDescent="0.25">
      <c r="S12298" s="188"/>
    </row>
    <row r="12299" spans="19:19" ht="60" customHeight="1" x14ac:dyDescent="0.25">
      <c r="S12299" s="188"/>
    </row>
    <row r="12300" spans="19:19" ht="60" customHeight="1" x14ac:dyDescent="0.25">
      <c r="S12300" s="188"/>
    </row>
    <row r="12301" spans="19:19" ht="60" customHeight="1" x14ac:dyDescent="0.25">
      <c r="S12301" s="188"/>
    </row>
    <row r="12302" spans="19:19" ht="60" customHeight="1" x14ac:dyDescent="0.25">
      <c r="S12302" s="188"/>
    </row>
    <row r="12303" spans="19:19" ht="60" customHeight="1" x14ac:dyDescent="0.25">
      <c r="S12303" s="188"/>
    </row>
    <row r="12304" spans="19:19" ht="60" customHeight="1" x14ac:dyDescent="0.25">
      <c r="S12304" s="188"/>
    </row>
    <row r="12305" spans="19:19" ht="60" customHeight="1" x14ac:dyDescent="0.25">
      <c r="S12305" s="188"/>
    </row>
    <row r="12306" spans="19:19" ht="60" customHeight="1" x14ac:dyDescent="0.25">
      <c r="S12306" s="188"/>
    </row>
    <row r="12307" spans="19:19" ht="60" customHeight="1" x14ac:dyDescent="0.25">
      <c r="S12307" s="188"/>
    </row>
    <row r="12308" spans="19:19" ht="60" customHeight="1" x14ac:dyDescent="0.25">
      <c r="S12308" s="188"/>
    </row>
    <row r="12309" spans="19:19" ht="60" customHeight="1" x14ac:dyDescent="0.25">
      <c r="S12309" s="188"/>
    </row>
    <row r="12310" spans="19:19" ht="60" customHeight="1" x14ac:dyDescent="0.25">
      <c r="S12310" s="188"/>
    </row>
    <row r="12311" spans="19:19" ht="60" customHeight="1" x14ac:dyDescent="0.25">
      <c r="S12311" s="188"/>
    </row>
    <row r="12312" spans="19:19" ht="60" customHeight="1" x14ac:dyDescent="0.25">
      <c r="S12312" s="188"/>
    </row>
    <row r="12313" spans="19:19" ht="60" customHeight="1" x14ac:dyDescent="0.25">
      <c r="S12313" s="188"/>
    </row>
    <row r="12314" spans="19:19" ht="60" customHeight="1" x14ac:dyDescent="0.25">
      <c r="S12314" s="188"/>
    </row>
    <row r="12315" spans="19:19" ht="60" customHeight="1" x14ac:dyDescent="0.25">
      <c r="S12315" s="188"/>
    </row>
    <row r="12316" spans="19:19" ht="60" customHeight="1" x14ac:dyDescent="0.25">
      <c r="S12316" s="188"/>
    </row>
    <row r="12317" spans="19:19" ht="60" customHeight="1" x14ac:dyDescent="0.25">
      <c r="S12317" s="188"/>
    </row>
    <row r="12318" spans="19:19" ht="60" customHeight="1" x14ac:dyDescent="0.25">
      <c r="S12318" s="188"/>
    </row>
    <row r="12319" spans="19:19" ht="60" customHeight="1" x14ac:dyDescent="0.25">
      <c r="S12319" s="188"/>
    </row>
    <row r="12320" spans="19:19" ht="60" customHeight="1" x14ac:dyDescent="0.25">
      <c r="S12320" s="188"/>
    </row>
    <row r="12321" spans="19:19" ht="60" customHeight="1" x14ac:dyDescent="0.25">
      <c r="S12321" s="188"/>
    </row>
    <row r="12322" spans="19:19" ht="60" customHeight="1" x14ac:dyDescent="0.25">
      <c r="S12322" s="188"/>
    </row>
    <row r="12323" spans="19:19" ht="60" customHeight="1" x14ac:dyDescent="0.25">
      <c r="S12323" s="188"/>
    </row>
    <row r="12324" spans="19:19" ht="60" customHeight="1" x14ac:dyDescent="0.25">
      <c r="S12324" s="188"/>
    </row>
    <row r="12325" spans="19:19" ht="60" customHeight="1" x14ac:dyDescent="0.25">
      <c r="S12325" s="188"/>
    </row>
    <row r="12326" spans="19:19" ht="60" customHeight="1" x14ac:dyDescent="0.25">
      <c r="S12326" s="188"/>
    </row>
    <row r="12327" spans="19:19" ht="60" customHeight="1" x14ac:dyDescent="0.25">
      <c r="S12327" s="188"/>
    </row>
    <row r="12328" spans="19:19" ht="60" customHeight="1" x14ac:dyDescent="0.25">
      <c r="S12328" s="188"/>
    </row>
    <row r="12329" spans="19:19" ht="60" customHeight="1" x14ac:dyDescent="0.25">
      <c r="S12329" s="188"/>
    </row>
    <row r="12330" spans="19:19" ht="60" customHeight="1" x14ac:dyDescent="0.25">
      <c r="S12330" s="188"/>
    </row>
    <row r="12331" spans="19:19" ht="60" customHeight="1" x14ac:dyDescent="0.25">
      <c r="S12331" s="188"/>
    </row>
    <row r="12332" spans="19:19" ht="60" customHeight="1" x14ac:dyDescent="0.25">
      <c r="S12332" s="188"/>
    </row>
    <row r="12333" spans="19:19" ht="60" customHeight="1" x14ac:dyDescent="0.25">
      <c r="S12333" s="188"/>
    </row>
    <row r="12334" spans="19:19" ht="60" customHeight="1" x14ac:dyDescent="0.25">
      <c r="S12334" s="188"/>
    </row>
    <row r="12335" spans="19:19" ht="60" customHeight="1" x14ac:dyDescent="0.25">
      <c r="S12335" s="188"/>
    </row>
    <row r="12336" spans="19:19" ht="60" customHeight="1" x14ac:dyDescent="0.25">
      <c r="S12336" s="188"/>
    </row>
    <row r="12337" spans="19:19" ht="60" customHeight="1" x14ac:dyDescent="0.25">
      <c r="S12337" s="188"/>
    </row>
    <row r="12338" spans="19:19" ht="60" customHeight="1" x14ac:dyDescent="0.25">
      <c r="S12338" s="188"/>
    </row>
    <row r="12339" spans="19:19" ht="60" customHeight="1" x14ac:dyDescent="0.25">
      <c r="S12339" s="188"/>
    </row>
    <row r="12340" spans="19:19" ht="60" customHeight="1" x14ac:dyDescent="0.25">
      <c r="S12340" s="188"/>
    </row>
    <row r="12341" spans="19:19" ht="60" customHeight="1" x14ac:dyDescent="0.25">
      <c r="S12341" s="188"/>
    </row>
    <row r="12342" spans="19:19" ht="60" customHeight="1" x14ac:dyDescent="0.25">
      <c r="S12342" s="188"/>
    </row>
    <row r="12343" spans="19:19" ht="60" customHeight="1" x14ac:dyDescent="0.25">
      <c r="S12343" s="188"/>
    </row>
    <row r="12344" spans="19:19" ht="60" customHeight="1" x14ac:dyDescent="0.25">
      <c r="S12344" s="188"/>
    </row>
    <row r="12345" spans="19:19" ht="60" customHeight="1" x14ac:dyDescent="0.25">
      <c r="S12345" s="188"/>
    </row>
    <row r="12346" spans="19:19" ht="60" customHeight="1" x14ac:dyDescent="0.25">
      <c r="S12346" s="188"/>
    </row>
    <row r="12347" spans="19:19" ht="60" customHeight="1" x14ac:dyDescent="0.25">
      <c r="S12347" s="188"/>
    </row>
    <row r="12348" spans="19:19" ht="60" customHeight="1" x14ac:dyDescent="0.25">
      <c r="S12348" s="188"/>
    </row>
    <row r="12349" spans="19:19" ht="60" customHeight="1" x14ac:dyDescent="0.25">
      <c r="S12349" s="188"/>
    </row>
    <row r="12350" spans="19:19" ht="60" customHeight="1" x14ac:dyDescent="0.25">
      <c r="S12350" s="188"/>
    </row>
    <row r="12351" spans="19:19" ht="60" customHeight="1" x14ac:dyDescent="0.25">
      <c r="S12351" s="188"/>
    </row>
    <row r="12352" spans="19:19" ht="60" customHeight="1" x14ac:dyDescent="0.25">
      <c r="S12352" s="188"/>
    </row>
    <row r="12353" spans="19:19" ht="60" customHeight="1" x14ac:dyDescent="0.25">
      <c r="S12353" s="188"/>
    </row>
    <row r="12354" spans="19:19" ht="60" customHeight="1" x14ac:dyDescent="0.25">
      <c r="S12354" s="188"/>
    </row>
    <row r="12355" spans="19:19" ht="60" customHeight="1" x14ac:dyDescent="0.25">
      <c r="S12355" s="188"/>
    </row>
    <row r="12356" spans="19:19" ht="60" customHeight="1" x14ac:dyDescent="0.25">
      <c r="S12356" s="188"/>
    </row>
    <row r="12357" spans="19:19" ht="60" customHeight="1" x14ac:dyDescent="0.25">
      <c r="S12357" s="188"/>
    </row>
    <row r="12358" spans="19:19" ht="60" customHeight="1" x14ac:dyDescent="0.25">
      <c r="S12358" s="188"/>
    </row>
    <row r="12359" spans="19:19" ht="60" customHeight="1" x14ac:dyDescent="0.25">
      <c r="S12359" s="188"/>
    </row>
    <row r="12360" spans="19:19" ht="60" customHeight="1" x14ac:dyDescent="0.25">
      <c r="S12360" s="188"/>
    </row>
    <row r="12361" spans="19:19" ht="60" customHeight="1" x14ac:dyDescent="0.25">
      <c r="S12361" s="188"/>
    </row>
    <row r="12362" spans="19:19" ht="60" customHeight="1" x14ac:dyDescent="0.25">
      <c r="S12362" s="188"/>
    </row>
    <row r="12363" spans="19:19" ht="60" customHeight="1" x14ac:dyDescent="0.25">
      <c r="S12363" s="188"/>
    </row>
    <row r="12364" spans="19:19" ht="60" customHeight="1" x14ac:dyDescent="0.25">
      <c r="S12364" s="188"/>
    </row>
    <row r="12365" spans="19:19" ht="60" customHeight="1" x14ac:dyDescent="0.25">
      <c r="S12365" s="188"/>
    </row>
    <row r="12366" spans="19:19" ht="60" customHeight="1" x14ac:dyDescent="0.25">
      <c r="S12366" s="188"/>
    </row>
    <row r="12367" spans="19:19" ht="60" customHeight="1" x14ac:dyDescent="0.25">
      <c r="S12367" s="188"/>
    </row>
    <row r="12368" spans="19:19" ht="60" customHeight="1" x14ac:dyDescent="0.25">
      <c r="S12368" s="188"/>
    </row>
    <row r="12369" spans="19:19" ht="60" customHeight="1" x14ac:dyDescent="0.25">
      <c r="S12369" s="188"/>
    </row>
    <row r="12370" spans="19:19" ht="60" customHeight="1" x14ac:dyDescent="0.25">
      <c r="S12370" s="188"/>
    </row>
    <row r="12371" spans="19:19" ht="60" customHeight="1" x14ac:dyDescent="0.25">
      <c r="S12371" s="188"/>
    </row>
    <row r="12372" spans="19:19" ht="60" customHeight="1" x14ac:dyDescent="0.25">
      <c r="S12372" s="188"/>
    </row>
    <row r="12373" spans="19:19" ht="60" customHeight="1" x14ac:dyDescent="0.25">
      <c r="S12373" s="188"/>
    </row>
    <row r="12374" spans="19:19" ht="60" customHeight="1" x14ac:dyDescent="0.25">
      <c r="S12374" s="188"/>
    </row>
    <row r="12375" spans="19:19" ht="60" customHeight="1" x14ac:dyDescent="0.25">
      <c r="S12375" s="188"/>
    </row>
    <row r="12376" spans="19:19" ht="60" customHeight="1" x14ac:dyDescent="0.25">
      <c r="S12376" s="188"/>
    </row>
    <row r="12377" spans="19:19" ht="60" customHeight="1" x14ac:dyDescent="0.25">
      <c r="S12377" s="188"/>
    </row>
    <row r="12378" spans="19:19" ht="60" customHeight="1" x14ac:dyDescent="0.25">
      <c r="S12378" s="188"/>
    </row>
    <row r="12379" spans="19:19" ht="60" customHeight="1" x14ac:dyDescent="0.25">
      <c r="S12379" s="188"/>
    </row>
    <row r="12380" spans="19:19" ht="60" customHeight="1" x14ac:dyDescent="0.25">
      <c r="S12380" s="188"/>
    </row>
    <row r="12381" spans="19:19" ht="60" customHeight="1" x14ac:dyDescent="0.25">
      <c r="S12381" s="188"/>
    </row>
    <row r="12382" spans="19:19" ht="60" customHeight="1" x14ac:dyDescent="0.25">
      <c r="S12382" s="188"/>
    </row>
    <row r="12383" spans="19:19" ht="60" customHeight="1" x14ac:dyDescent="0.25">
      <c r="S12383" s="188"/>
    </row>
    <row r="12384" spans="19:19" ht="60" customHeight="1" x14ac:dyDescent="0.25">
      <c r="S12384" s="188"/>
    </row>
    <row r="12385" spans="19:19" ht="60" customHeight="1" x14ac:dyDescent="0.25">
      <c r="S12385" s="188"/>
    </row>
    <row r="12386" spans="19:19" ht="60" customHeight="1" x14ac:dyDescent="0.25">
      <c r="S12386" s="188"/>
    </row>
    <row r="12387" spans="19:19" ht="60" customHeight="1" x14ac:dyDescent="0.25">
      <c r="S12387" s="188"/>
    </row>
    <row r="12388" spans="19:19" ht="60" customHeight="1" x14ac:dyDescent="0.25">
      <c r="S12388" s="188"/>
    </row>
    <row r="12389" spans="19:19" ht="60" customHeight="1" x14ac:dyDescent="0.25">
      <c r="S12389" s="188"/>
    </row>
    <row r="12390" spans="19:19" ht="60" customHeight="1" x14ac:dyDescent="0.25">
      <c r="S12390" s="188"/>
    </row>
    <row r="12391" spans="19:19" ht="60" customHeight="1" x14ac:dyDescent="0.25">
      <c r="S12391" s="188"/>
    </row>
    <row r="12392" spans="19:19" ht="60" customHeight="1" x14ac:dyDescent="0.25">
      <c r="S12392" s="188"/>
    </row>
    <row r="12393" spans="19:19" ht="60" customHeight="1" x14ac:dyDescent="0.25">
      <c r="S12393" s="188"/>
    </row>
    <row r="12394" spans="19:19" ht="60" customHeight="1" x14ac:dyDescent="0.25">
      <c r="S12394" s="188"/>
    </row>
    <row r="12395" spans="19:19" ht="60" customHeight="1" x14ac:dyDescent="0.25">
      <c r="S12395" s="188"/>
    </row>
    <row r="12396" spans="19:19" ht="60" customHeight="1" x14ac:dyDescent="0.25">
      <c r="S12396" s="188"/>
    </row>
    <row r="12397" spans="19:19" ht="60" customHeight="1" x14ac:dyDescent="0.25">
      <c r="S12397" s="188"/>
    </row>
    <row r="12398" spans="19:19" ht="60" customHeight="1" x14ac:dyDescent="0.25">
      <c r="S12398" s="188"/>
    </row>
    <row r="12399" spans="19:19" ht="60" customHeight="1" x14ac:dyDescent="0.25">
      <c r="S12399" s="188"/>
    </row>
    <row r="12400" spans="19:19" ht="60" customHeight="1" x14ac:dyDescent="0.25">
      <c r="S12400" s="188"/>
    </row>
    <row r="12401" spans="19:19" ht="60" customHeight="1" x14ac:dyDescent="0.25">
      <c r="S12401" s="188"/>
    </row>
    <row r="12402" spans="19:19" ht="60" customHeight="1" x14ac:dyDescent="0.25">
      <c r="S12402" s="188"/>
    </row>
    <row r="12403" spans="19:19" ht="60" customHeight="1" x14ac:dyDescent="0.25">
      <c r="S12403" s="188"/>
    </row>
    <row r="12404" spans="19:19" ht="60" customHeight="1" x14ac:dyDescent="0.25">
      <c r="S12404" s="188"/>
    </row>
    <row r="12405" spans="19:19" ht="60" customHeight="1" x14ac:dyDescent="0.25">
      <c r="S12405" s="188"/>
    </row>
    <row r="12406" spans="19:19" ht="60" customHeight="1" x14ac:dyDescent="0.25">
      <c r="S12406" s="188"/>
    </row>
    <row r="12407" spans="19:19" ht="60" customHeight="1" x14ac:dyDescent="0.25">
      <c r="S12407" s="188"/>
    </row>
    <row r="12408" spans="19:19" ht="60" customHeight="1" x14ac:dyDescent="0.25">
      <c r="S12408" s="188"/>
    </row>
    <row r="12409" spans="19:19" ht="60" customHeight="1" x14ac:dyDescent="0.25">
      <c r="S12409" s="188"/>
    </row>
    <row r="12410" spans="19:19" ht="60" customHeight="1" x14ac:dyDescent="0.25">
      <c r="S12410" s="188"/>
    </row>
    <row r="12411" spans="19:19" ht="60" customHeight="1" x14ac:dyDescent="0.25">
      <c r="S12411" s="188"/>
    </row>
    <row r="12412" spans="19:19" ht="60" customHeight="1" x14ac:dyDescent="0.25">
      <c r="S12412" s="188"/>
    </row>
    <row r="12413" spans="19:19" ht="60" customHeight="1" x14ac:dyDescent="0.25">
      <c r="S12413" s="188"/>
    </row>
    <row r="12414" spans="19:19" ht="60" customHeight="1" x14ac:dyDescent="0.25">
      <c r="S12414" s="188"/>
    </row>
    <row r="12415" spans="19:19" ht="60" customHeight="1" x14ac:dyDescent="0.25">
      <c r="S12415" s="188"/>
    </row>
    <row r="12416" spans="19:19" ht="60" customHeight="1" x14ac:dyDescent="0.25">
      <c r="S12416" s="188"/>
    </row>
    <row r="12417" spans="19:19" ht="60" customHeight="1" x14ac:dyDescent="0.25">
      <c r="S12417" s="188"/>
    </row>
    <row r="12418" spans="19:19" ht="60" customHeight="1" x14ac:dyDescent="0.25">
      <c r="S12418" s="188"/>
    </row>
    <row r="12419" spans="19:19" ht="60" customHeight="1" x14ac:dyDescent="0.25">
      <c r="S12419" s="188"/>
    </row>
    <row r="12420" spans="19:19" ht="60" customHeight="1" x14ac:dyDescent="0.25">
      <c r="S12420" s="188"/>
    </row>
    <row r="12421" spans="19:19" ht="60" customHeight="1" x14ac:dyDescent="0.25">
      <c r="S12421" s="188"/>
    </row>
    <row r="12422" spans="19:19" ht="60" customHeight="1" x14ac:dyDescent="0.25">
      <c r="S12422" s="188"/>
    </row>
    <row r="12423" spans="19:19" ht="60" customHeight="1" x14ac:dyDescent="0.25">
      <c r="S12423" s="188"/>
    </row>
    <row r="12424" spans="19:19" ht="60" customHeight="1" x14ac:dyDescent="0.25">
      <c r="S12424" s="188"/>
    </row>
    <row r="12425" spans="19:19" ht="60" customHeight="1" x14ac:dyDescent="0.25">
      <c r="S12425" s="188"/>
    </row>
    <row r="12426" spans="19:19" ht="60" customHeight="1" x14ac:dyDescent="0.25">
      <c r="S12426" s="188"/>
    </row>
    <row r="12427" spans="19:19" ht="60" customHeight="1" x14ac:dyDescent="0.25">
      <c r="S12427" s="188"/>
    </row>
    <row r="12428" spans="19:19" ht="60" customHeight="1" x14ac:dyDescent="0.25">
      <c r="S12428" s="188"/>
    </row>
    <row r="12429" spans="19:19" ht="60" customHeight="1" x14ac:dyDescent="0.25">
      <c r="S12429" s="188"/>
    </row>
    <row r="12430" spans="19:19" ht="60" customHeight="1" x14ac:dyDescent="0.25">
      <c r="S12430" s="188"/>
    </row>
    <row r="12431" spans="19:19" ht="60" customHeight="1" x14ac:dyDescent="0.25">
      <c r="S12431" s="188"/>
    </row>
    <row r="12432" spans="19:19" ht="60" customHeight="1" x14ac:dyDescent="0.25">
      <c r="S12432" s="188"/>
    </row>
    <row r="12433" spans="19:19" ht="60" customHeight="1" x14ac:dyDescent="0.25">
      <c r="S12433" s="188"/>
    </row>
    <row r="12434" spans="19:19" ht="60" customHeight="1" x14ac:dyDescent="0.25">
      <c r="S12434" s="188"/>
    </row>
    <row r="12435" spans="19:19" ht="60" customHeight="1" x14ac:dyDescent="0.25">
      <c r="S12435" s="188"/>
    </row>
    <row r="12436" spans="19:19" ht="60" customHeight="1" x14ac:dyDescent="0.25">
      <c r="S12436" s="188"/>
    </row>
    <row r="12437" spans="19:19" ht="60" customHeight="1" x14ac:dyDescent="0.25">
      <c r="S12437" s="188"/>
    </row>
    <row r="12438" spans="19:19" ht="60" customHeight="1" x14ac:dyDescent="0.25">
      <c r="S12438" s="188"/>
    </row>
    <row r="12439" spans="19:19" ht="60" customHeight="1" x14ac:dyDescent="0.25">
      <c r="S12439" s="188"/>
    </row>
    <row r="12440" spans="19:19" ht="60" customHeight="1" x14ac:dyDescent="0.25">
      <c r="S12440" s="188"/>
    </row>
    <row r="12441" spans="19:19" ht="60" customHeight="1" x14ac:dyDescent="0.25">
      <c r="S12441" s="188"/>
    </row>
    <row r="12442" spans="19:19" ht="60" customHeight="1" x14ac:dyDescent="0.25">
      <c r="S12442" s="188"/>
    </row>
    <row r="12443" spans="19:19" ht="60" customHeight="1" x14ac:dyDescent="0.25">
      <c r="S12443" s="188"/>
    </row>
    <row r="12444" spans="19:19" ht="60" customHeight="1" x14ac:dyDescent="0.25">
      <c r="S12444" s="188"/>
    </row>
    <row r="12445" spans="19:19" ht="60" customHeight="1" x14ac:dyDescent="0.25">
      <c r="S12445" s="188"/>
    </row>
    <row r="12446" spans="19:19" ht="60" customHeight="1" x14ac:dyDescent="0.25">
      <c r="S12446" s="188"/>
    </row>
    <row r="12447" spans="19:19" ht="60" customHeight="1" x14ac:dyDescent="0.25">
      <c r="S12447" s="188"/>
    </row>
    <row r="12448" spans="19:19" ht="60" customHeight="1" x14ac:dyDescent="0.25">
      <c r="S12448" s="188"/>
    </row>
    <row r="12449" spans="19:19" ht="60" customHeight="1" x14ac:dyDescent="0.25">
      <c r="S12449" s="188"/>
    </row>
    <row r="12450" spans="19:19" ht="60" customHeight="1" x14ac:dyDescent="0.25">
      <c r="S12450" s="188"/>
    </row>
    <row r="12451" spans="19:19" ht="60" customHeight="1" x14ac:dyDescent="0.25">
      <c r="S12451" s="188"/>
    </row>
    <row r="12452" spans="19:19" ht="60" customHeight="1" x14ac:dyDescent="0.25">
      <c r="S12452" s="188"/>
    </row>
    <row r="12453" spans="19:19" ht="60" customHeight="1" x14ac:dyDescent="0.25">
      <c r="S12453" s="188"/>
    </row>
    <row r="12454" spans="19:19" ht="60" customHeight="1" x14ac:dyDescent="0.25">
      <c r="S12454" s="188"/>
    </row>
    <row r="12455" spans="19:19" ht="60" customHeight="1" x14ac:dyDescent="0.25">
      <c r="S12455" s="188"/>
    </row>
    <row r="12456" spans="19:19" ht="60" customHeight="1" x14ac:dyDescent="0.25">
      <c r="S12456" s="188"/>
    </row>
    <row r="12457" spans="19:19" ht="60" customHeight="1" x14ac:dyDescent="0.25">
      <c r="S12457" s="188"/>
    </row>
    <row r="12458" spans="19:19" ht="60" customHeight="1" x14ac:dyDescent="0.25">
      <c r="S12458" s="188"/>
    </row>
    <row r="12459" spans="19:19" ht="60" customHeight="1" x14ac:dyDescent="0.25">
      <c r="S12459" s="188"/>
    </row>
    <row r="12460" spans="19:19" ht="60" customHeight="1" x14ac:dyDescent="0.25">
      <c r="S12460" s="188"/>
    </row>
    <row r="12461" spans="19:19" ht="60" customHeight="1" x14ac:dyDescent="0.25">
      <c r="S12461" s="188"/>
    </row>
    <row r="12462" spans="19:19" ht="60" customHeight="1" x14ac:dyDescent="0.25">
      <c r="S12462" s="188"/>
    </row>
    <row r="12463" spans="19:19" ht="60" customHeight="1" x14ac:dyDescent="0.25">
      <c r="S12463" s="188"/>
    </row>
    <row r="12464" spans="19:19" ht="60" customHeight="1" x14ac:dyDescent="0.25">
      <c r="S12464" s="188"/>
    </row>
    <row r="12465" spans="19:19" ht="60" customHeight="1" x14ac:dyDescent="0.25">
      <c r="S12465" s="188"/>
    </row>
    <row r="12466" spans="19:19" ht="60" customHeight="1" x14ac:dyDescent="0.25">
      <c r="S12466" s="188"/>
    </row>
    <row r="12467" spans="19:19" ht="60" customHeight="1" x14ac:dyDescent="0.25">
      <c r="S12467" s="188"/>
    </row>
    <row r="12468" spans="19:19" ht="60" customHeight="1" x14ac:dyDescent="0.25">
      <c r="S12468" s="188"/>
    </row>
    <row r="12469" spans="19:19" ht="60" customHeight="1" x14ac:dyDescent="0.25">
      <c r="S12469" s="188"/>
    </row>
    <row r="12470" spans="19:19" ht="60" customHeight="1" x14ac:dyDescent="0.25">
      <c r="S12470" s="188"/>
    </row>
    <row r="12471" spans="19:19" ht="60" customHeight="1" x14ac:dyDescent="0.25">
      <c r="S12471" s="188"/>
    </row>
    <row r="12472" spans="19:19" ht="60" customHeight="1" x14ac:dyDescent="0.25">
      <c r="S12472" s="188"/>
    </row>
    <row r="12473" spans="19:19" ht="60" customHeight="1" x14ac:dyDescent="0.25">
      <c r="S12473" s="188"/>
    </row>
    <row r="12474" spans="19:19" ht="60" customHeight="1" x14ac:dyDescent="0.25">
      <c r="S12474" s="188"/>
    </row>
    <row r="12475" spans="19:19" ht="60" customHeight="1" x14ac:dyDescent="0.25">
      <c r="S12475" s="188"/>
    </row>
    <row r="12476" spans="19:19" ht="60" customHeight="1" x14ac:dyDescent="0.25">
      <c r="S12476" s="188"/>
    </row>
    <row r="12477" spans="19:19" ht="60" customHeight="1" x14ac:dyDescent="0.25">
      <c r="S12477" s="188"/>
    </row>
    <row r="12478" spans="19:19" ht="60" customHeight="1" x14ac:dyDescent="0.25">
      <c r="S12478" s="188"/>
    </row>
    <row r="12479" spans="19:19" ht="60" customHeight="1" x14ac:dyDescent="0.25">
      <c r="S12479" s="188"/>
    </row>
    <row r="12480" spans="19:19" ht="60" customHeight="1" x14ac:dyDescent="0.25">
      <c r="S12480" s="188"/>
    </row>
    <row r="12481" spans="19:19" ht="60" customHeight="1" x14ac:dyDescent="0.25">
      <c r="S12481" s="188"/>
    </row>
    <row r="12482" spans="19:19" ht="60" customHeight="1" x14ac:dyDescent="0.25">
      <c r="S12482" s="188"/>
    </row>
    <row r="12483" spans="19:19" ht="60" customHeight="1" x14ac:dyDescent="0.25">
      <c r="S12483" s="188"/>
    </row>
    <row r="12484" spans="19:19" ht="60" customHeight="1" x14ac:dyDescent="0.25">
      <c r="S12484" s="188"/>
    </row>
    <row r="12485" spans="19:19" ht="60" customHeight="1" x14ac:dyDescent="0.25">
      <c r="S12485" s="188"/>
    </row>
    <row r="12486" spans="19:19" ht="60" customHeight="1" x14ac:dyDescent="0.25">
      <c r="S12486" s="188"/>
    </row>
    <row r="12487" spans="19:19" ht="60" customHeight="1" x14ac:dyDescent="0.25">
      <c r="S12487" s="188"/>
    </row>
    <row r="12488" spans="19:19" ht="60" customHeight="1" x14ac:dyDescent="0.25">
      <c r="S12488" s="188"/>
    </row>
    <row r="12489" spans="19:19" ht="60" customHeight="1" x14ac:dyDescent="0.25">
      <c r="S12489" s="188"/>
    </row>
    <row r="12490" spans="19:19" ht="60" customHeight="1" x14ac:dyDescent="0.25">
      <c r="S12490" s="188"/>
    </row>
    <row r="12491" spans="19:19" ht="60" customHeight="1" x14ac:dyDescent="0.25">
      <c r="S12491" s="188"/>
    </row>
    <row r="12492" spans="19:19" ht="60" customHeight="1" x14ac:dyDescent="0.25">
      <c r="S12492" s="188"/>
    </row>
    <row r="12493" spans="19:19" ht="60" customHeight="1" x14ac:dyDescent="0.25">
      <c r="S12493" s="188"/>
    </row>
    <row r="12494" spans="19:19" ht="60" customHeight="1" x14ac:dyDescent="0.25">
      <c r="S12494" s="188"/>
    </row>
    <row r="12495" spans="19:19" ht="60" customHeight="1" x14ac:dyDescent="0.25">
      <c r="S12495" s="188"/>
    </row>
    <row r="12496" spans="19:19" ht="60" customHeight="1" x14ac:dyDescent="0.25">
      <c r="S12496" s="188"/>
    </row>
    <row r="12497" spans="19:19" ht="60" customHeight="1" x14ac:dyDescent="0.25">
      <c r="S12497" s="188"/>
    </row>
    <row r="12498" spans="19:19" ht="60" customHeight="1" x14ac:dyDescent="0.25">
      <c r="S12498" s="188"/>
    </row>
    <row r="12499" spans="19:19" ht="60" customHeight="1" x14ac:dyDescent="0.25">
      <c r="S12499" s="188"/>
    </row>
    <row r="12500" spans="19:19" ht="60" customHeight="1" x14ac:dyDescent="0.25">
      <c r="S12500" s="188"/>
    </row>
    <row r="12501" spans="19:19" ht="60" customHeight="1" x14ac:dyDescent="0.25">
      <c r="S12501" s="188"/>
    </row>
    <row r="12502" spans="19:19" ht="60" customHeight="1" x14ac:dyDescent="0.25">
      <c r="S12502" s="188"/>
    </row>
    <row r="12503" spans="19:19" ht="60" customHeight="1" x14ac:dyDescent="0.25">
      <c r="S12503" s="188"/>
    </row>
    <row r="12504" spans="19:19" ht="60" customHeight="1" x14ac:dyDescent="0.25">
      <c r="S12504" s="188"/>
    </row>
    <row r="12505" spans="19:19" ht="60" customHeight="1" x14ac:dyDescent="0.25">
      <c r="S12505" s="188"/>
    </row>
    <row r="12506" spans="19:19" ht="60" customHeight="1" x14ac:dyDescent="0.25">
      <c r="S12506" s="188"/>
    </row>
    <row r="12507" spans="19:19" ht="60" customHeight="1" x14ac:dyDescent="0.25">
      <c r="S12507" s="188"/>
    </row>
    <row r="12508" spans="19:19" ht="60" customHeight="1" x14ac:dyDescent="0.25">
      <c r="S12508" s="188"/>
    </row>
    <row r="12509" spans="19:19" ht="60" customHeight="1" x14ac:dyDescent="0.25">
      <c r="S12509" s="188"/>
    </row>
    <row r="12510" spans="19:19" ht="60" customHeight="1" x14ac:dyDescent="0.25">
      <c r="S12510" s="188"/>
    </row>
    <row r="12511" spans="19:19" ht="60" customHeight="1" x14ac:dyDescent="0.25">
      <c r="S12511" s="188"/>
    </row>
    <row r="12512" spans="19:19" ht="60" customHeight="1" x14ac:dyDescent="0.25">
      <c r="S12512" s="188"/>
    </row>
    <row r="12513" spans="19:19" ht="60" customHeight="1" x14ac:dyDescent="0.25">
      <c r="S12513" s="188"/>
    </row>
    <row r="12514" spans="19:19" ht="60" customHeight="1" x14ac:dyDescent="0.25">
      <c r="S12514" s="188"/>
    </row>
    <row r="12515" spans="19:19" ht="60" customHeight="1" x14ac:dyDescent="0.25">
      <c r="S12515" s="188"/>
    </row>
    <row r="12516" spans="19:19" ht="60" customHeight="1" x14ac:dyDescent="0.25">
      <c r="S12516" s="188"/>
    </row>
    <row r="12517" spans="19:19" ht="60" customHeight="1" x14ac:dyDescent="0.25">
      <c r="S12517" s="188"/>
    </row>
    <row r="12518" spans="19:19" ht="60" customHeight="1" x14ac:dyDescent="0.25">
      <c r="S12518" s="188"/>
    </row>
    <row r="12519" spans="19:19" ht="60" customHeight="1" x14ac:dyDescent="0.25">
      <c r="S12519" s="188"/>
    </row>
    <row r="12520" spans="19:19" ht="60" customHeight="1" x14ac:dyDescent="0.25">
      <c r="S12520" s="188"/>
    </row>
    <row r="12521" spans="19:19" ht="60" customHeight="1" x14ac:dyDescent="0.25">
      <c r="S12521" s="188"/>
    </row>
    <row r="12522" spans="19:19" ht="60" customHeight="1" x14ac:dyDescent="0.25">
      <c r="S12522" s="188"/>
    </row>
    <row r="12523" spans="19:19" ht="60" customHeight="1" x14ac:dyDescent="0.25">
      <c r="S12523" s="188"/>
    </row>
    <row r="12524" spans="19:19" ht="60" customHeight="1" x14ac:dyDescent="0.25">
      <c r="S12524" s="188"/>
    </row>
    <row r="12525" spans="19:19" ht="60" customHeight="1" x14ac:dyDescent="0.25">
      <c r="S12525" s="188"/>
    </row>
    <row r="12526" spans="19:19" ht="60" customHeight="1" x14ac:dyDescent="0.25">
      <c r="S12526" s="188"/>
    </row>
    <row r="12527" spans="19:19" ht="60" customHeight="1" x14ac:dyDescent="0.25">
      <c r="S12527" s="188"/>
    </row>
    <row r="12528" spans="19:19" ht="60" customHeight="1" x14ac:dyDescent="0.25">
      <c r="S12528" s="188"/>
    </row>
    <row r="12529" spans="19:19" ht="60" customHeight="1" x14ac:dyDescent="0.25">
      <c r="S12529" s="188"/>
    </row>
    <row r="12530" spans="19:19" ht="60" customHeight="1" x14ac:dyDescent="0.25">
      <c r="S12530" s="188"/>
    </row>
    <row r="12531" spans="19:19" ht="60" customHeight="1" x14ac:dyDescent="0.25">
      <c r="S12531" s="188"/>
    </row>
    <row r="12532" spans="19:19" ht="60" customHeight="1" x14ac:dyDescent="0.25">
      <c r="S12532" s="188"/>
    </row>
    <row r="12533" spans="19:19" ht="60" customHeight="1" x14ac:dyDescent="0.25">
      <c r="S12533" s="188"/>
    </row>
    <row r="12534" spans="19:19" ht="60" customHeight="1" x14ac:dyDescent="0.25">
      <c r="S12534" s="188"/>
    </row>
    <row r="12535" spans="19:19" ht="60" customHeight="1" x14ac:dyDescent="0.25">
      <c r="S12535" s="188"/>
    </row>
    <row r="12536" spans="19:19" ht="60" customHeight="1" x14ac:dyDescent="0.25">
      <c r="S12536" s="188"/>
    </row>
    <row r="12537" spans="19:19" ht="60" customHeight="1" x14ac:dyDescent="0.25">
      <c r="S12537" s="188"/>
    </row>
    <row r="12538" spans="19:19" ht="60" customHeight="1" x14ac:dyDescent="0.25">
      <c r="S12538" s="188"/>
    </row>
    <row r="12539" spans="19:19" ht="60" customHeight="1" x14ac:dyDescent="0.25">
      <c r="S12539" s="188"/>
    </row>
    <row r="12540" spans="19:19" ht="60" customHeight="1" x14ac:dyDescent="0.25">
      <c r="S12540" s="188"/>
    </row>
    <row r="12541" spans="19:19" ht="60" customHeight="1" x14ac:dyDescent="0.25">
      <c r="S12541" s="188"/>
    </row>
    <row r="12542" spans="19:19" ht="60" customHeight="1" x14ac:dyDescent="0.25">
      <c r="S12542" s="188"/>
    </row>
    <row r="12543" spans="19:19" ht="60" customHeight="1" x14ac:dyDescent="0.25">
      <c r="S12543" s="188"/>
    </row>
    <row r="12544" spans="19:19" ht="60" customHeight="1" x14ac:dyDescent="0.25">
      <c r="S12544" s="188"/>
    </row>
    <row r="12545" spans="19:19" ht="60" customHeight="1" x14ac:dyDescent="0.25">
      <c r="S12545" s="188"/>
    </row>
    <row r="12546" spans="19:19" ht="60" customHeight="1" x14ac:dyDescent="0.25">
      <c r="S12546" s="188"/>
    </row>
    <row r="12547" spans="19:19" ht="60" customHeight="1" x14ac:dyDescent="0.25">
      <c r="S12547" s="188"/>
    </row>
    <row r="12548" spans="19:19" ht="60" customHeight="1" x14ac:dyDescent="0.25">
      <c r="S12548" s="188"/>
    </row>
    <row r="12549" spans="19:19" ht="60" customHeight="1" x14ac:dyDescent="0.25">
      <c r="S12549" s="188"/>
    </row>
    <row r="12550" spans="19:19" ht="60" customHeight="1" x14ac:dyDescent="0.25">
      <c r="S12550" s="188"/>
    </row>
    <row r="12551" spans="19:19" ht="60" customHeight="1" x14ac:dyDescent="0.25">
      <c r="S12551" s="188"/>
    </row>
    <row r="12552" spans="19:19" ht="60" customHeight="1" x14ac:dyDescent="0.25">
      <c r="S12552" s="188"/>
    </row>
    <row r="12553" spans="19:19" ht="60" customHeight="1" x14ac:dyDescent="0.25">
      <c r="S12553" s="188"/>
    </row>
    <row r="12554" spans="19:19" ht="60" customHeight="1" x14ac:dyDescent="0.25">
      <c r="S12554" s="188"/>
    </row>
    <row r="12555" spans="19:19" ht="60" customHeight="1" x14ac:dyDescent="0.25">
      <c r="S12555" s="188"/>
    </row>
    <row r="12556" spans="19:19" ht="60" customHeight="1" x14ac:dyDescent="0.25">
      <c r="S12556" s="188"/>
    </row>
    <row r="12557" spans="19:19" ht="60" customHeight="1" x14ac:dyDescent="0.25">
      <c r="S12557" s="188"/>
    </row>
    <row r="12558" spans="19:19" ht="60" customHeight="1" x14ac:dyDescent="0.25">
      <c r="S12558" s="188"/>
    </row>
    <row r="12559" spans="19:19" ht="60" customHeight="1" x14ac:dyDescent="0.25">
      <c r="S12559" s="188"/>
    </row>
    <row r="12560" spans="19:19" ht="60" customHeight="1" x14ac:dyDescent="0.25">
      <c r="S12560" s="188"/>
    </row>
    <row r="12561" spans="19:19" ht="60" customHeight="1" x14ac:dyDescent="0.25">
      <c r="S12561" s="188"/>
    </row>
    <row r="12562" spans="19:19" ht="60" customHeight="1" x14ac:dyDescent="0.25">
      <c r="S12562" s="188"/>
    </row>
    <row r="12563" spans="19:19" ht="60" customHeight="1" x14ac:dyDescent="0.25">
      <c r="S12563" s="188"/>
    </row>
    <row r="12564" spans="19:19" ht="60" customHeight="1" x14ac:dyDescent="0.25">
      <c r="S12564" s="188"/>
    </row>
    <row r="12565" spans="19:19" ht="60" customHeight="1" x14ac:dyDescent="0.25">
      <c r="S12565" s="188"/>
    </row>
    <row r="12566" spans="19:19" ht="60" customHeight="1" x14ac:dyDescent="0.25">
      <c r="S12566" s="188"/>
    </row>
    <row r="12567" spans="19:19" ht="60" customHeight="1" x14ac:dyDescent="0.25">
      <c r="S12567" s="188"/>
    </row>
    <row r="12568" spans="19:19" ht="60" customHeight="1" x14ac:dyDescent="0.25">
      <c r="S12568" s="188"/>
    </row>
    <row r="12569" spans="19:19" ht="60" customHeight="1" x14ac:dyDescent="0.25">
      <c r="S12569" s="188"/>
    </row>
    <row r="12570" spans="19:19" ht="60" customHeight="1" x14ac:dyDescent="0.25">
      <c r="S12570" s="188"/>
    </row>
    <row r="12571" spans="19:19" ht="60" customHeight="1" x14ac:dyDescent="0.25">
      <c r="S12571" s="188"/>
    </row>
    <row r="12572" spans="19:19" ht="60" customHeight="1" x14ac:dyDescent="0.25">
      <c r="S12572" s="188"/>
    </row>
    <row r="12573" spans="19:19" ht="60" customHeight="1" x14ac:dyDescent="0.25">
      <c r="S12573" s="188"/>
    </row>
    <row r="12574" spans="19:19" ht="60" customHeight="1" x14ac:dyDescent="0.25">
      <c r="S12574" s="188"/>
    </row>
    <row r="12575" spans="19:19" ht="60" customHeight="1" x14ac:dyDescent="0.25">
      <c r="S12575" s="188"/>
    </row>
    <row r="12576" spans="19:19" ht="60" customHeight="1" x14ac:dyDescent="0.25">
      <c r="S12576" s="188"/>
    </row>
    <row r="12577" spans="19:19" ht="60" customHeight="1" x14ac:dyDescent="0.25">
      <c r="S12577" s="188"/>
    </row>
    <row r="12578" spans="19:19" ht="60" customHeight="1" x14ac:dyDescent="0.25">
      <c r="S12578" s="188"/>
    </row>
    <row r="12579" spans="19:19" ht="60" customHeight="1" x14ac:dyDescent="0.25">
      <c r="S12579" s="188"/>
    </row>
    <row r="12580" spans="19:19" ht="60" customHeight="1" x14ac:dyDescent="0.25">
      <c r="S12580" s="188"/>
    </row>
    <row r="12581" spans="19:19" ht="60" customHeight="1" x14ac:dyDescent="0.25">
      <c r="S12581" s="188"/>
    </row>
    <row r="12582" spans="19:19" ht="60" customHeight="1" x14ac:dyDescent="0.25">
      <c r="S12582" s="188"/>
    </row>
    <row r="12583" spans="19:19" ht="60" customHeight="1" x14ac:dyDescent="0.25">
      <c r="S12583" s="188"/>
    </row>
    <row r="12584" spans="19:19" ht="60" customHeight="1" x14ac:dyDescent="0.25">
      <c r="S12584" s="188"/>
    </row>
    <row r="12585" spans="19:19" ht="60" customHeight="1" x14ac:dyDescent="0.25">
      <c r="S12585" s="188"/>
    </row>
    <row r="12586" spans="19:19" ht="60" customHeight="1" x14ac:dyDescent="0.25">
      <c r="S12586" s="188"/>
    </row>
    <row r="12587" spans="19:19" ht="60" customHeight="1" x14ac:dyDescent="0.25">
      <c r="S12587" s="188"/>
    </row>
    <row r="12588" spans="19:19" ht="60" customHeight="1" x14ac:dyDescent="0.25">
      <c r="S12588" s="188"/>
    </row>
    <row r="12589" spans="19:19" ht="60" customHeight="1" x14ac:dyDescent="0.25">
      <c r="S12589" s="188"/>
    </row>
    <row r="12590" spans="19:19" ht="60" customHeight="1" x14ac:dyDescent="0.25">
      <c r="S12590" s="188"/>
    </row>
    <row r="12591" spans="19:19" ht="60" customHeight="1" x14ac:dyDescent="0.25">
      <c r="S12591" s="188"/>
    </row>
    <row r="12592" spans="19:19" ht="60" customHeight="1" x14ac:dyDescent="0.25">
      <c r="S12592" s="188"/>
    </row>
    <row r="12593" spans="19:19" ht="60" customHeight="1" x14ac:dyDescent="0.25">
      <c r="S12593" s="188"/>
    </row>
    <row r="12594" spans="19:19" ht="60" customHeight="1" x14ac:dyDescent="0.25">
      <c r="S12594" s="188"/>
    </row>
    <row r="12595" spans="19:19" ht="60" customHeight="1" x14ac:dyDescent="0.25">
      <c r="S12595" s="188"/>
    </row>
    <row r="12596" spans="19:19" ht="60" customHeight="1" x14ac:dyDescent="0.25">
      <c r="S12596" s="188"/>
    </row>
    <row r="12597" spans="19:19" ht="60" customHeight="1" x14ac:dyDescent="0.25">
      <c r="S12597" s="188"/>
    </row>
    <row r="12598" spans="19:19" ht="60" customHeight="1" x14ac:dyDescent="0.25">
      <c r="S12598" s="188"/>
    </row>
    <row r="12599" spans="19:19" ht="60" customHeight="1" x14ac:dyDescent="0.25">
      <c r="S12599" s="188"/>
    </row>
    <row r="12600" spans="19:19" ht="60" customHeight="1" x14ac:dyDescent="0.25">
      <c r="S12600" s="188"/>
    </row>
    <row r="12601" spans="19:19" ht="60" customHeight="1" x14ac:dyDescent="0.25">
      <c r="S12601" s="188"/>
    </row>
    <row r="12602" spans="19:19" ht="60" customHeight="1" x14ac:dyDescent="0.25">
      <c r="S12602" s="188"/>
    </row>
    <row r="12603" spans="19:19" ht="60" customHeight="1" x14ac:dyDescent="0.25">
      <c r="S12603" s="188"/>
    </row>
    <row r="12604" spans="19:19" ht="60" customHeight="1" x14ac:dyDescent="0.25">
      <c r="S12604" s="188"/>
    </row>
    <row r="12605" spans="19:19" ht="60" customHeight="1" x14ac:dyDescent="0.25">
      <c r="S12605" s="188"/>
    </row>
    <row r="12606" spans="19:19" ht="60" customHeight="1" x14ac:dyDescent="0.25">
      <c r="S12606" s="188"/>
    </row>
    <row r="12607" spans="19:19" ht="60" customHeight="1" x14ac:dyDescent="0.25">
      <c r="S12607" s="188"/>
    </row>
    <row r="12608" spans="19:19" ht="60" customHeight="1" x14ac:dyDescent="0.25">
      <c r="S12608" s="188"/>
    </row>
    <row r="12609" spans="19:19" ht="60" customHeight="1" x14ac:dyDescent="0.25">
      <c r="S12609" s="188"/>
    </row>
    <row r="12610" spans="19:19" ht="60" customHeight="1" x14ac:dyDescent="0.25">
      <c r="S12610" s="188"/>
    </row>
    <row r="12611" spans="19:19" ht="60" customHeight="1" x14ac:dyDescent="0.25">
      <c r="S12611" s="188"/>
    </row>
    <row r="12612" spans="19:19" ht="60" customHeight="1" x14ac:dyDescent="0.25">
      <c r="S12612" s="188"/>
    </row>
    <row r="12613" spans="19:19" ht="60" customHeight="1" x14ac:dyDescent="0.25">
      <c r="S12613" s="188"/>
    </row>
    <row r="12614" spans="19:19" ht="60" customHeight="1" x14ac:dyDescent="0.25">
      <c r="S12614" s="188"/>
    </row>
    <row r="12615" spans="19:19" ht="60" customHeight="1" x14ac:dyDescent="0.25">
      <c r="S12615" s="188"/>
    </row>
    <row r="12616" spans="19:19" ht="60" customHeight="1" x14ac:dyDescent="0.25">
      <c r="S12616" s="188"/>
    </row>
    <row r="12617" spans="19:19" ht="60" customHeight="1" x14ac:dyDescent="0.25">
      <c r="S12617" s="188"/>
    </row>
    <row r="12618" spans="19:19" ht="60" customHeight="1" x14ac:dyDescent="0.25">
      <c r="S12618" s="188"/>
    </row>
    <row r="12619" spans="19:19" ht="60" customHeight="1" x14ac:dyDescent="0.25">
      <c r="S12619" s="188"/>
    </row>
    <row r="12620" spans="19:19" ht="60" customHeight="1" x14ac:dyDescent="0.25">
      <c r="S12620" s="188"/>
    </row>
    <row r="12621" spans="19:19" ht="60" customHeight="1" x14ac:dyDescent="0.25">
      <c r="S12621" s="188"/>
    </row>
    <row r="12622" spans="19:19" ht="60" customHeight="1" x14ac:dyDescent="0.25">
      <c r="S12622" s="188"/>
    </row>
    <row r="12623" spans="19:19" ht="60" customHeight="1" x14ac:dyDescent="0.25">
      <c r="S12623" s="188"/>
    </row>
    <row r="12624" spans="19:19" ht="60" customHeight="1" x14ac:dyDescent="0.25">
      <c r="S12624" s="188"/>
    </row>
    <row r="12625" spans="19:19" ht="60" customHeight="1" x14ac:dyDescent="0.25">
      <c r="S12625" s="188"/>
    </row>
    <row r="12626" spans="19:19" ht="60" customHeight="1" x14ac:dyDescent="0.25">
      <c r="S12626" s="188"/>
    </row>
    <row r="12627" spans="19:19" ht="60" customHeight="1" x14ac:dyDescent="0.25">
      <c r="S12627" s="188"/>
    </row>
    <row r="12628" spans="19:19" ht="60" customHeight="1" x14ac:dyDescent="0.25">
      <c r="S12628" s="188"/>
    </row>
    <row r="12629" spans="19:19" ht="60" customHeight="1" x14ac:dyDescent="0.25">
      <c r="S12629" s="188"/>
    </row>
    <row r="12630" spans="19:19" ht="60" customHeight="1" x14ac:dyDescent="0.25">
      <c r="S12630" s="188"/>
    </row>
    <row r="12631" spans="19:19" ht="60" customHeight="1" x14ac:dyDescent="0.25">
      <c r="S12631" s="188"/>
    </row>
    <row r="12632" spans="19:19" ht="60" customHeight="1" x14ac:dyDescent="0.25">
      <c r="S12632" s="188"/>
    </row>
    <row r="12633" spans="19:19" ht="60" customHeight="1" x14ac:dyDescent="0.25">
      <c r="S12633" s="188"/>
    </row>
    <row r="12634" spans="19:19" ht="60" customHeight="1" x14ac:dyDescent="0.25">
      <c r="S12634" s="188"/>
    </row>
    <row r="12635" spans="19:19" ht="60" customHeight="1" x14ac:dyDescent="0.25">
      <c r="S12635" s="188"/>
    </row>
    <row r="12636" spans="19:19" ht="60" customHeight="1" x14ac:dyDescent="0.25">
      <c r="S12636" s="188"/>
    </row>
    <row r="12637" spans="19:19" ht="60" customHeight="1" x14ac:dyDescent="0.25">
      <c r="S12637" s="188"/>
    </row>
    <row r="12638" spans="19:19" ht="60" customHeight="1" x14ac:dyDescent="0.25">
      <c r="S12638" s="188"/>
    </row>
    <row r="12639" spans="19:19" ht="60" customHeight="1" x14ac:dyDescent="0.25">
      <c r="S12639" s="188"/>
    </row>
    <row r="12640" spans="19:19" ht="60" customHeight="1" x14ac:dyDescent="0.25">
      <c r="S12640" s="188"/>
    </row>
    <row r="12641" spans="19:19" ht="60" customHeight="1" x14ac:dyDescent="0.25">
      <c r="S12641" s="188"/>
    </row>
    <row r="12642" spans="19:19" ht="60" customHeight="1" x14ac:dyDescent="0.25">
      <c r="S12642" s="188"/>
    </row>
    <row r="12643" spans="19:19" ht="60" customHeight="1" x14ac:dyDescent="0.25">
      <c r="S12643" s="188"/>
    </row>
    <row r="12644" spans="19:19" ht="60" customHeight="1" x14ac:dyDescent="0.25">
      <c r="S12644" s="188"/>
    </row>
    <row r="12645" spans="19:19" ht="60" customHeight="1" x14ac:dyDescent="0.25">
      <c r="S12645" s="188"/>
    </row>
    <row r="12646" spans="19:19" ht="60" customHeight="1" x14ac:dyDescent="0.25">
      <c r="S12646" s="188"/>
    </row>
    <row r="12647" spans="19:19" ht="60" customHeight="1" x14ac:dyDescent="0.25">
      <c r="S12647" s="188"/>
    </row>
    <row r="12648" spans="19:19" ht="60" customHeight="1" x14ac:dyDescent="0.25">
      <c r="S12648" s="188"/>
    </row>
    <row r="12649" spans="19:19" ht="60" customHeight="1" x14ac:dyDescent="0.25">
      <c r="S12649" s="188"/>
    </row>
    <row r="12650" spans="19:19" ht="60" customHeight="1" x14ac:dyDescent="0.25">
      <c r="S12650" s="188"/>
    </row>
    <row r="12651" spans="19:19" ht="60" customHeight="1" x14ac:dyDescent="0.25">
      <c r="S12651" s="188"/>
    </row>
    <row r="12652" spans="19:19" ht="60" customHeight="1" x14ac:dyDescent="0.25">
      <c r="S12652" s="188"/>
    </row>
    <row r="12653" spans="19:19" ht="60" customHeight="1" x14ac:dyDescent="0.25">
      <c r="S12653" s="188"/>
    </row>
    <row r="12654" spans="19:19" ht="60" customHeight="1" x14ac:dyDescent="0.25">
      <c r="S12654" s="188"/>
    </row>
    <row r="12655" spans="19:19" ht="60" customHeight="1" x14ac:dyDescent="0.25">
      <c r="S12655" s="188"/>
    </row>
    <row r="12656" spans="19:19" ht="60" customHeight="1" x14ac:dyDescent="0.25">
      <c r="S12656" s="188"/>
    </row>
    <row r="12657" spans="19:19" ht="60" customHeight="1" x14ac:dyDescent="0.25">
      <c r="S12657" s="188"/>
    </row>
    <row r="12658" spans="19:19" ht="60" customHeight="1" x14ac:dyDescent="0.25">
      <c r="S12658" s="188"/>
    </row>
    <row r="12659" spans="19:19" ht="60" customHeight="1" x14ac:dyDescent="0.25">
      <c r="S12659" s="188"/>
    </row>
    <row r="12660" spans="19:19" ht="60" customHeight="1" x14ac:dyDescent="0.25">
      <c r="S12660" s="188"/>
    </row>
    <row r="12661" spans="19:19" ht="60" customHeight="1" x14ac:dyDescent="0.25">
      <c r="S12661" s="188"/>
    </row>
    <row r="12662" spans="19:19" ht="60" customHeight="1" x14ac:dyDescent="0.25">
      <c r="S12662" s="188"/>
    </row>
    <row r="12663" spans="19:19" ht="60" customHeight="1" x14ac:dyDescent="0.25">
      <c r="S12663" s="188"/>
    </row>
    <row r="12664" spans="19:19" ht="60" customHeight="1" x14ac:dyDescent="0.25">
      <c r="S12664" s="188"/>
    </row>
    <row r="12665" spans="19:19" ht="60" customHeight="1" x14ac:dyDescent="0.25">
      <c r="S12665" s="188"/>
    </row>
    <row r="12666" spans="19:19" ht="60" customHeight="1" x14ac:dyDescent="0.25">
      <c r="S12666" s="188"/>
    </row>
    <row r="12667" spans="19:19" ht="60" customHeight="1" x14ac:dyDescent="0.25">
      <c r="S12667" s="188"/>
    </row>
    <row r="12668" spans="19:19" ht="60" customHeight="1" x14ac:dyDescent="0.25">
      <c r="S12668" s="188"/>
    </row>
    <row r="12669" spans="19:19" ht="60" customHeight="1" x14ac:dyDescent="0.25">
      <c r="S12669" s="188"/>
    </row>
    <row r="12670" spans="19:19" ht="60" customHeight="1" x14ac:dyDescent="0.25">
      <c r="S12670" s="188"/>
    </row>
    <row r="12671" spans="19:19" ht="60" customHeight="1" x14ac:dyDescent="0.25">
      <c r="S12671" s="188"/>
    </row>
    <row r="12672" spans="19:19" ht="60" customHeight="1" x14ac:dyDescent="0.25">
      <c r="S12672" s="188"/>
    </row>
    <row r="12673" spans="19:19" ht="60" customHeight="1" x14ac:dyDescent="0.25">
      <c r="S12673" s="188"/>
    </row>
    <row r="12674" spans="19:19" ht="60" customHeight="1" x14ac:dyDescent="0.25">
      <c r="S12674" s="188"/>
    </row>
    <row r="12675" spans="19:19" ht="60" customHeight="1" x14ac:dyDescent="0.25">
      <c r="S12675" s="188"/>
    </row>
    <row r="12676" spans="19:19" ht="60" customHeight="1" x14ac:dyDescent="0.25">
      <c r="S12676" s="188"/>
    </row>
    <row r="12677" spans="19:19" ht="60" customHeight="1" x14ac:dyDescent="0.25">
      <c r="S12677" s="188"/>
    </row>
    <row r="12678" spans="19:19" ht="60" customHeight="1" x14ac:dyDescent="0.25">
      <c r="S12678" s="188"/>
    </row>
    <row r="12679" spans="19:19" ht="60" customHeight="1" x14ac:dyDescent="0.25">
      <c r="S12679" s="188"/>
    </row>
    <row r="12680" spans="19:19" ht="60" customHeight="1" x14ac:dyDescent="0.25">
      <c r="S12680" s="188"/>
    </row>
    <row r="12681" spans="19:19" ht="60" customHeight="1" x14ac:dyDescent="0.25">
      <c r="S12681" s="188"/>
    </row>
    <row r="12682" spans="19:19" ht="60" customHeight="1" x14ac:dyDescent="0.25">
      <c r="S12682" s="188"/>
    </row>
    <row r="12683" spans="19:19" ht="60" customHeight="1" x14ac:dyDescent="0.25">
      <c r="S12683" s="188"/>
    </row>
    <row r="12684" spans="19:19" ht="60" customHeight="1" x14ac:dyDescent="0.25">
      <c r="S12684" s="188"/>
    </row>
    <row r="12685" spans="19:19" ht="60" customHeight="1" x14ac:dyDescent="0.25">
      <c r="S12685" s="188"/>
    </row>
    <row r="12686" spans="19:19" ht="60" customHeight="1" x14ac:dyDescent="0.25">
      <c r="S12686" s="188"/>
    </row>
    <row r="12687" spans="19:19" ht="60" customHeight="1" x14ac:dyDescent="0.25">
      <c r="S12687" s="188"/>
    </row>
    <row r="12688" spans="19:19" ht="60" customHeight="1" x14ac:dyDescent="0.25">
      <c r="S12688" s="188"/>
    </row>
    <row r="12689" spans="19:19" ht="60" customHeight="1" x14ac:dyDescent="0.25">
      <c r="S12689" s="188"/>
    </row>
    <row r="12690" spans="19:19" ht="60" customHeight="1" x14ac:dyDescent="0.25">
      <c r="S12690" s="188"/>
    </row>
    <row r="12691" spans="19:19" ht="60" customHeight="1" x14ac:dyDescent="0.25">
      <c r="S12691" s="188"/>
    </row>
    <row r="12692" spans="19:19" ht="60" customHeight="1" x14ac:dyDescent="0.25">
      <c r="S12692" s="188"/>
    </row>
    <row r="12693" spans="19:19" ht="60" customHeight="1" x14ac:dyDescent="0.25">
      <c r="S12693" s="188"/>
    </row>
    <row r="12694" spans="19:19" ht="60" customHeight="1" x14ac:dyDescent="0.25">
      <c r="S12694" s="188"/>
    </row>
    <row r="12695" spans="19:19" ht="60" customHeight="1" x14ac:dyDescent="0.25">
      <c r="S12695" s="188"/>
    </row>
    <row r="12696" spans="19:19" ht="60" customHeight="1" x14ac:dyDescent="0.25">
      <c r="S12696" s="188"/>
    </row>
    <row r="12697" spans="19:19" ht="60" customHeight="1" x14ac:dyDescent="0.25">
      <c r="S12697" s="188"/>
    </row>
    <row r="12698" spans="19:19" ht="60" customHeight="1" x14ac:dyDescent="0.25">
      <c r="S12698" s="188"/>
    </row>
    <row r="12699" spans="19:19" ht="60" customHeight="1" x14ac:dyDescent="0.25">
      <c r="S12699" s="188"/>
    </row>
    <row r="12700" spans="19:19" ht="60" customHeight="1" x14ac:dyDescent="0.25">
      <c r="S12700" s="188"/>
    </row>
    <row r="12701" spans="19:19" ht="60" customHeight="1" x14ac:dyDescent="0.25">
      <c r="S12701" s="188"/>
    </row>
    <row r="12702" spans="19:19" ht="60" customHeight="1" x14ac:dyDescent="0.25">
      <c r="S12702" s="188"/>
    </row>
    <row r="12703" spans="19:19" ht="60" customHeight="1" x14ac:dyDescent="0.25">
      <c r="S12703" s="188"/>
    </row>
    <row r="12704" spans="19:19" ht="60" customHeight="1" x14ac:dyDescent="0.25">
      <c r="S12704" s="188"/>
    </row>
    <row r="12705" spans="19:19" ht="60" customHeight="1" x14ac:dyDescent="0.25">
      <c r="S12705" s="188"/>
    </row>
    <row r="12706" spans="19:19" ht="60" customHeight="1" x14ac:dyDescent="0.25">
      <c r="S12706" s="188"/>
    </row>
    <row r="12707" spans="19:19" ht="60" customHeight="1" x14ac:dyDescent="0.25">
      <c r="S12707" s="188"/>
    </row>
    <row r="12708" spans="19:19" ht="60" customHeight="1" x14ac:dyDescent="0.25">
      <c r="S12708" s="188"/>
    </row>
    <row r="12709" spans="19:19" ht="60" customHeight="1" x14ac:dyDescent="0.25">
      <c r="S12709" s="188"/>
    </row>
    <row r="12710" spans="19:19" ht="60" customHeight="1" x14ac:dyDescent="0.25">
      <c r="S12710" s="188"/>
    </row>
    <row r="12711" spans="19:19" ht="60" customHeight="1" x14ac:dyDescent="0.25">
      <c r="S12711" s="188"/>
    </row>
    <row r="12712" spans="19:19" ht="60" customHeight="1" x14ac:dyDescent="0.25">
      <c r="S12712" s="188"/>
    </row>
    <row r="12713" spans="19:19" ht="60" customHeight="1" x14ac:dyDescent="0.25">
      <c r="S12713" s="188"/>
    </row>
    <row r="12714" spans="19:19" ht="60" customHeight="1" x14ac:dyDescent="0.25">
      <c r="S12714" s="188"/>
    </row>
    <row r="12715" spans="19:19" ht="60" customHeight="1" x14ac:dyDescent="0.25">
      <c r="S12715" s="188"/>
    </row>
    <row r="12716" spans="19:19" ht="60" customHeight="1" x14ac:dyDescent="0.25">
      <c r="S12716" s="188"/>
    </row>
    <row r="12717" spans="19:19" ht="60" customHeight="1" x14ac:dyDescent="0.25">
      <c r="S12717" s="188"/>
    </row>
    <row r="12718" spans="19:19" ht="60" customHeight="1" x14ac:dyDescent="0.25">
      <c r="S12718" s="188"/>
    </row>
    <row r="12719" spans="19:19" ht="60" customHeight="1" x14ac:dyDescent="0.25">
      <c r="S12719" s="188"/>
    </row>
    <row r="12720" spans="19:19" ht="60" customHeight="1" x14ac:dyDescent="0.25">
      <c r="S12720" s="188"/>
    </row>
    <row r="12721" spans="19:19" ht="60" customHeight="1" x14ac:dyDescent="0.25">
      <c r="S12721" s="188"/>
    </row>
    <row r="12722" spans="19:19" ht="60" customHeight="1" x14ac:dyDescent="0.25">
      <c r="S12722" s="188"/>
    </row>
    <row r="12723" spans="19:19" ht="60" customHeight="1" x14ac:dyDescent="0.25">
      <c r="S12723" s="188"/>
    </row>
    <row r="12724" spans="19:19" ht="60" customHeight="1" x14ac:dyDescent="0.25">
      <c r="S12724" s="188"/>
    </row>
    <row r="12725" spans="19:19" ht="60" customHeight="1" x14ac:dyDescent="0.25">
      <c r="S12725" s="188"/>
    </row>
    <row r="12726" spans="19:19" ht="60" customHeight="1" x14ac:dyDescent="0.25">
      <c r="S12726" s="188"/>
    </row>
    <row r="12727" spans="19:19" ht="60" customHeight="1" x14ac:dyDescent="0.25">
      <c r="S12727" s="188"/>
    </row>
    <row r="12728" spans="19:19" ht="60" customHeight="1" x14ac:dyDescent="0.25">
      <c r="S12728" s="188"/>
    </row>
    <row r="12729" spans="19:19" ht="60" customHeight="1" x14ac:dyDescent="0.25">
      <c r="S12729" s="188"/>
    </row>
    <row r="12730" spans="19:19" ht="60" customHeight="1" x14ac:dyDescent="0.25">
      <c r="S12730" s="188"/>
    </row>
    <row r="12731" spans="19:19" ht="60" customHeight="1" x14ac:dyDescent="0.25">
      <c r="S12731" s="188"/>
    </row>
    <row r="12732" spans="19:19" ht="60" customHeight="1" x14ac:dyDescent="0.25">
      <c r="S12732" s="188"/>
    </row>
    <row r="12733" spans="19:19" ht="60" customHeight="1" x14ac:dyDescent="0.25">
      <c r="S12733" s="188"/>
    </row>
    <row r="12734" spans="19:19" ht="60" customHeight="1" x14ac:dyDescent="0.25">
      <c r="S12734" s="188"/>
    </row>
    <row r="12735" spans="19:19" ht="60" customHeight="1" x14ac:dyDescent="0.25">
      <c r="S12735" s="188"/>
    </row>
    <row r="12736" spans="19:19" ht="60" customHeight="1" x14ac:dyDescent="0.25">
      <c r="S12736" s="188"/>
    </row>
    <row r="12737" spans="19:19" ht="60" customHeight="1" x14ac:dyDescent="0.25">
      <c r="S12737" s="188"/>
    </row>
    <row r="12738" spans="19:19" ht="60" customHeight="1" x14ac:dyDescent="0.25">
      <c r="S12738" s="188"/>
    </row>
    <row r="12739" spans="19:19" ht="60" customHeight="1" x14ac:dyDescent="0.25">
      <c r="S12739" s="188"/>
    </row>
    <row r="12740" spans="19:19" ht="60" customHeight="1" x14ac:dyDescent="0.25">
      <c r="S12740" s="188"/>
    </row>
    <row r="12741" spans="19:19" ht="60" customHeight="1" x14ac:dyDescent="0.25">
      <c r="S12741" s="188"/>
    </row>
    <row r="12742" spans="19:19" ht="60" customHeight="1" x14ac:dyDescent="0.25">
      <c r="S12742" s="188"/>
    </row>
    <row r="12743" spans="19:19" ht="60" customHeight="1" x14ac:dyDescent="0.25">
      <c r="S12743" s="188"/>
    </row>
    <row r="12744" spans="19:19" ht="60" customHeight="1" x14ac:dyDescent="0.25">
      <c r="S12744" s="188"/>
    </row>
    <row r="12745" spans="19:19" ht="60" customHeight="1" x14ac:dyDescent="0.25">
      <c r="S12745" s="188"/>
    </row>
    <row r="12746" spans="19:19" ht="60" customHeight="1" x14ac:dyDescent="0.25">
      <c r="S12746" s="188"/>
    </row>
    <row r="12747" spans="19:19" ht="60" customHeight="1" x14ac:dyDescent="0.25">
      <c r="S12747" s="188"/>
    </row>
    <row r="12748" spans="19:19" ht="60" customHeight="1" x14ac:dyDescent="0.25">
      <c r="S12748" s="188"/>
    </row>
    <row r="12749" spans="19:19" ht="60" customHeight="1" x14ac:dyDescent="0.25">
      <c r="S12749" s="188"/>
    </row>
    <row r="12750" spans="19:19" ht="60" customHeight="1" x14ac:dyDescent="0.25">
      <c r="S12750" s="188"/>
    </row>
    <row r="12751" spans="19:19" ht="60" customHeight="1" x14ac:dyDescent="0.25">
      <c r="S12751" s="188"/>
    </row>
    <row r="12752" spans="19:19" ht="60" customHeight="1" x14ac:dyDescent="0.25">
      <c r="S12752" s="188"/>
    </row>
    <row r="12753" spans="19:19" ht="60" customHeight="1" x14ac:dyDescent="0.25">
      <c r="S12753" s="188"/>
    </row>
    <row r="12754" spans="19:19" ht="60" customHeight="1" x14ac:dyDescent="0.25">
      <c r="S12754" s="188"/>
    </row>
    <row r="12755" spans="19:19" ht="60" customHeight="1" x14ac:dyDescent="0.25">
      <c r="S12755" s="188"/>
    </row>
    <row r="12756" spans="19:19" ht="60" customHeight="1" x14ac:dyDescent="0.25">
      <c r="S12756" s="188"/>
    </row>
    <row r="12757" spans="19:19" ht="60" customHeight="1" x14ac:dyDescent="0.25">
      <c r="S12757" s="188"/>
    </row>
    <row r="12758" spans="19:19" ht="60" customHeight="1" x14ac:dyDescent="0.25">
      <c r="S12758" s="188"/>
    </row>
    <row r="12759" spans="19:19" ht="60" customHeight="1" x14ac:dyDescent="0.25">
      <c r="S12759" s="188"/>
    </row>
    <row r="12760" spans="19:19" ht="60" customHeight="1" x14ac:dyDescent="0.25">
      <c r="S12760" s="188"/>
    </row>
    <row r="12761" spans="19:19" ht="60" customHeight="1" x14ac:dyDescent="0.25">
      <c r="S12761" s="188"/>
    </row>
    <row r="12762" spans="19:19" ht="60" customHeight="1" x14ac:dyDescent="0.25">
      <c r="S12762" s="188"/>
    </row>
    <row r="12763" spans="19:19" ht="60" customHeight="1" x14ac:dyDescent="0.25">
      <c r="S12763" s="188"/>
    </row>
    <row r="12764" spans="19:19" ht="60" customHeight="1" x14ac:dyDescent="0.25">
      <c r="S12764" s="188"/>
    </row>
    <row r="12765" spans="19:19" ht="60" customHeight="1" x14ac:dyDescent="0.25">
      <c r="S12765" s="188"/>
    </row>
    <row r="12766" spans="19:19" ht="60" customHeight="1" x14ac:dyDescent="0.25">
      <c r="S12766" s="188"/>
    </row>
    <row r="12767" spans="19:19" ht="60" customHeight="1" x14ac:dyDescent="0.25">
      <c r="S12767" s="188"/>
    </row>
    <row r="12768" spans="19:19" ht="60" customHeight="1" x14ac:dyDescent="0.25">
      <c r="S12768" s="188"/>
    </row>
    <row r="12769" spans="19:19" ht="60" customHeight="1" x14ac:dyDescent="0.25">
      <c r="S12769" s="188"/>
    </row>
    <row r="12770" spans="19:19" ht="60" customHeight="1" x14ac:dyDescent="0.25">
      <c r="S12770" s="188"/>
    </row>
    <row r="12771" spans="19:19" ht="60" customHeight="1" x14ac:dyDescent="0.25">
      <c r="S12771" s="188"/>
    </row>
    <row r="12772" spans="19:19" ht="60" customHeight="1" x14ac:dyDescent="0.25">
      <c r="S12772" s="188"/>
    </row>
    <row r="12773" spans="19:19" ht="60" customHeight="1" x14ac:dyDescent="0.25">
      <c r="S12773" s="188"/>
    </row>
    <row r="12774" spans="19:19" ht="60" customHeight="1" x14ac:dyDescent="0.25">
      <c r="S12774" s="188"/>
    </row>
    <row r="12775" spans="19:19" ht="60" customHeight="1" x14ac:dyDescent="0.25">
      <c r="S12775" s="188"/>
    </row>
    <row r="12776" spans="19:19" ht="60" customHeight="1" x14ac:dyDescent="0.25">
      <c r="S12776" s="188"/>
    </row>
    <row r="12777" spans="19:19" ht="60" customHeight="1" x14ac:dyDescent="0.25">
      <c r="S12777" s="188"/>
    </row>
    <row r="12778" spans="19:19" ht="60" customHeight="1" x14ac:dyDescent="0.25">
      <c r="S12778" s="188"/>
    </row>
    <row r="12779" spans="19:19" ht="60" customHeight="1" x14ac:dyDescent="0.25">
      <c r="S12779" s="188"/>
    </row>
    <row r="12780" spans="19:19" ht="60" customHeight="1" x14ac:dyDescent="0.25">
      <c r="S12780" s="188"/>
    </row>
    <row r="12781" spans="19:19" ht="60" customHeight="1" x14ac:dyDescent="0.25">
      <c r="S12781" s="188"/>
    </row>
    <row r="12782" spans="19:19" ht="60" customHeight="1" x14ac:dyDescent="0.25">
      <c r="S12782" s="188"/>
    </row>
    <row r="12783" spans="19:19" ht="60" customHeight="1" x14ac:dyDescent="0.25">
      <c r="S12783" s="188"/>
    </row>
    <row r="12784" spans="19:19" ht="60" customHeight="1" x14ac:dyDescent="0.25">
      <c r="S12784" s="188"/>
    </row>
    <row r="12785" spans="19:19" ht="60" customHeight="1" x14ac:dyDescent="0.25">
      <c r="S12785" s="188"/>
    </row>
    <row r="12786" spans="19:19" ht="60" customHeight="1" x14ac:dyDescent="0.25">
      <c r="S12786" s="188"/>
    </row>
    <row r="12787" spans="19:19" ht="60" customHeight="1" x14ac:dyDescent="0.25">
      <c r="S12787" s="188"/>
    </row>
    <row r="12788" spans="19:19" ht="60" customHeight="1" x14ac:dyDescent="0.25">
      <c r="S12788" s="188"/>
    </row>
    <row r="12789" spans="19:19" ht="60" customHeight="1" x14ac:dyDescent="0.25">
      <c r="S12789" s="188"/>
    </row>
    <row r="12790" spans="19:19" ht="60" customHeight="1" x14ac:dyDescent="0.25">
      <c r="S12790" s="188"/>
    </row>
    <row r="12791" spans="19:19" ht="60" customHeight="1" x14ac:dyDescent="0.25">
      <c r="S12791" s="188"/>
    </row>
    <row r="12792" spans="19:19" ht="60" customHeight="1" x14ac:dyDescent="0.25">
      <c r="S12792" s="188"/>
    </row>
    <row r="12793" spans="19:19" ht="60" customHeight="1" x14ac:dyDescent="0.25">
      <c r="S12793" s="188"/>
    </row>
    <row r="12794" spans="19:19" ht="60" customHeight="1" x14ac:dyDescent="0.25">
      <c r="S12794" s="188"/>
    </row>
    <row r="12795" spans="19:19" ht="60" customHeight="1" x14ac:dyDescent="0.25">
      <c r="S12795" s="188"/>
    </row>
    <row r="12796" spans="19:19" ht="60" customHeight="1" x14ac:dyDescent="0.25">
      <c r="S12796" s="188"/>
    </row>
    <row r="12797" spans="19:19" ht="60" customHeight="1" x14ac:dyDescent="0.25">
      <c r="S12797" s="188"/>
    </row>
    <row r="12798" spans="19:19" ht="60" customHeight="1" x14ac:dyDescent="0.25">
      <c r="S12798" s="188"/>
    </row>
    <row r="12799" spans="19:19" ht="60" customHeight="1" x14ac:dyDescent="0.25">
      <c r="S12799" s="188"/>
    </row>
    <row r="12800" spans="19:19" ht="60" customHeight="1" x14ac:dyDescent="0.25">
      <c r="S12800" s="188"/>
    </row>
    <row r="12801" spans="19:19" ht="60" customHeight="1" x14ac:dyDescent="0.25">
      <c r="S12801" s="188"/>
    </row>
    <row r="12802" spans="19:19" ht="60" customHeight="1" x14ac:dyDescent="0.25">
      <c r="S12802" s="188"/>
    </row>
    <row r="12803" spans="19:19" ht="60" customHeight="1" x14ac:dyDescent="0.25">
      <c r="S12803" s="188"/>
    </row>
    <row r="12804" spans="19:19" ht="60" customHeight="1" x14ac:dyDescent="0.25">
      <c r="S12804" s="188"/>
    </row>
    <row r="12805" spans="19:19" ht="60" customHeight="1" x14ac:dyDescent="0.25">
      <c r="S12805" s="188"/>
    </row>
    <row r="12806" spans="19:19" ht="60" customHeight="1" x14ac:dyDescent="0.25">
      <c r="S12806" s="188"/>
    </row>
    <row r="12807" spans="19:19" ht="60" customHeight="1" x14ac:dyDescent="0.25">
      <c r="S12807" s="188"/>
    </row>
    <row r="12808" spans="19:19" ht="60" customHeight="1" x14ac:dyDescent="0.25">
      <c r="S12808" s="188"/>
    </row>
    <row r="12809" spans="19:19" ht="60" customHeight="1" x14ac:dyDescent="0.25">
      <c r="S12809" s="188"/>
    </row>
    <row r="12810" spans="19:19" ht="60" customHeight="1" x14ac:dyDescent="0.25">
      <c r="S12810" s="188"/>
    </row>
    <row r="12811" spans="19:19" ht="60" customHeight="1" x14ac:dyDescent="0.25">
      <c r="S12811" s="188"/>
    </row>
    <row r="12812" spans="19:19" ht="60" customHeight="1" x14ac:dyDescent="0.25">
      <c r="S12812" s="188"/>
    </row>
    <row r="12813" spans="19:19" ht="60" customHeight="1" x14ac:dyDescent="0.25">
      <c r="S12813" s="188"/>
    </row>
    <row r="12814" spans="19:19" ht="60" customHeight="1" x14ac:dyDescent="0.25">
      <c r="S12814" s="188"/>
    </row>
    <row r="12815" spans="19:19" ht="60" customHeight="1" x14ac:dyDescent="0.25">
      <c r="S12815" s="188"/>
    </row>
    <row r="12816" spans="19:19" ht="60" customHeight="1" x14ac:dyDescent="0.25">
      <c r="S12816" s="188"/>
    </row>
    <row r="12817" spans="19:19" ht="60" customHeight="1" x14ac:dyDescent="0.25">
      <c r="S12817" s="188"/>
    </row>
    <row r="12818" spans="19:19" ht="60" customHeight="1" x14ac:dyDescent="0.25">
      <c r="S12818" s="188"/>
    </row>
    <row r="12819" spans="19:19" ht="60" customHeight="1" x14ac:dyDescent="0.25">
      <c r="S12819" s="188"/>
    </row>
    <row r="12820" spans="19:19" ht="60" customHeight="1" x14ac:dyDescent="0.25">
      <c r="S12820" s="188"/>
    </row>
    <row r="12821" spans="19:19" ht="60" customHeight="1" x14ac:dyDescent="0.25">
      <c r="S12821" s="188"/>
    </row>
    <row r="12822" spans="19:19" ht="60" customHeight="1" x14ac:dyDescent="0.25">
      <c r="S12822" s="188"/>
    </row>
    <row r="12823" spans="19:19" ht="60" customHeight="1" x14ac:dyDescent="0.25">
      <c r="S12823" s="188"/>
    </row>
    <row r="12824" spans="19:19" ht="60" customHeight="1" x14ac:dyDescent="0.25">
      <c r="S12824" s="188"/>
    </row>
    <row r="12825" spans="19:19" ht="60" customHeight="1" x14ac:dyDescent="0.25">
      <c r="S12825" s="188"/>
    </row>
    <row r="12826" spans="19:19" ht="60" customHeight="1" x14ac:dyDescent="0.25">
      <c r="S12826" s="188"/>
    </row>
    <row r="12827" spans="19:19" ht="60" customHeight="1" x14ac:dyDescent="0.25">
      <c r="S12827" s="188"/>
    </row>
    <row r="12828" spans="19:19" ht="60" customHeight="1" x14ac:dyDescent="0.25">
      <c r="S12828" s="188"/>
    </row>
    <row r="12829" spans="19:19" ht="60" customHeight="1" x14ac:dyDescent="0.25">
      <c r="S12829" s="188"/>
    </row>
    <row r="12830" spans="19:19" ht="60" customHeight="1" x14ac:dyDescent="0.25">
      <c r="S12830" s="188"/>
    </row>
    <row r="12831" spans="19:19" ht="60" customHeight="1" x14ac:dyDescent="0.25">
      <c r="S12831" s="188"/>
    </row>
    <row r="12832" spans="19:19" ht="60" customHeight="1" x14ac:dyDescent="0.25">
      <c r="S12832" s="188"/>
    </row>
    <row r="12833" spans="19:19" ht="60" customHeight="1" x14ac:dyDescent="0.25">
      <c r="S12833" s="188"/>
    </row>
    <row r="12834" spans="19:19" ht="60" customHeight="1" x14ac:dyDescent="0.25">
      <c r="S12834" s="188"/>
    </row>
    <row r="12835" spans="19:19" ht="60" customHeight="1" x14ac:dyDescent="0.25">
      <c r="S12835" s="188"/>
    </row>
    <row r="12836" spans="19:19" ht="60" customHeight="1" x14ac:dyDescent="0.25">
      <c r="S12836" s="188"/>
    </row>
    <row r="12837" spans="19:19" ht="60" customHeight="1" x14ac:dyDescent="0.25">
      <c r="S12837" s="188"/>
    </row>
    <row r="12838" spans="19:19" ht="60" customHeight="1" x14ac:dyDescent="0.25">
      <c r="S12838" s="188"/>
    </row>
    <row r="12839" spans="19:19" ht="60" customHeight="1" x14ac:dyDescent="0.25">
      <c r="S12839" s="188"/>
    </row>
    <row r="12840" spans="19:19" ht="60" customHeight="1" x14ac:dyDescent="0.25">
      <c r="S12840" s="188"/>
    </row>
    <row r="12841" spans="19:19" ht="60" customHeight="1" x14ac:dyDescent="0.25">
      <c r="S12841" s="188"/>
    </row>
    <row r="12842" spans="19:19" ht="60" customHeight="1" x14ac:dyDescent="0.25">
      <c r="S12842" s="188"/>
    </row>
    <row r="12843" spans="19:19" ht="60" customHeight="1" x14ac:dyDescent="0.25">
      <c r="S12843" s="188"/>
    </row>
    <row r="12844" spans="19:19" ht="60" customHeight="1" x14ac:dyDescent="0.25">
      <c r="S12844" s="188"/>
    </row>
    <row r="12845" spans="19:19" ht="60" customHeight="1" x14ac:dyDescent="0.25">
      <c r="S12845" s="188"/>
    </row>
    <row r="12846" spans="19:19" ht="60" customHeight="1" x14ac:dyDescent="0.25">
      <c r="S12846" s="188"/>
    </row>
    <row r="12847" spans="19:19" ht="60" customHeight="1" x14ac:dyDescent="0.25">
      <c r="S12847" s="188"/>
    </row>
    <row r="12848" spans="19:19" ht="60" customHeight="1" x14ac:dyDescent="0.25">
      <c r="S12848" s="188"/>
    </row>
    <row r="12849" spans="19:19" ht="60" customHeight="1" x14ac:dyDescent="0.25">
      <c r="S12849" s="188"/>
    </row>
    <row r="12850" spans="19:19" ht="60" customHeight="1" x14ac:dyDescent="0.25">
      <c r="S12850" s="188"/>
    </row>
    <row r="12851" spans="19:19" ht="60" customHeight="1" x14ac:dyDescent="0.25">
      <c r="S12851" s="188"/>
    </row>
    <row r="12852" spans="19:19" ht="60" customHeight="1" x14ac:dyDescent="0.25">
      <c r="S12852" s="188"/>
    </row>
    <row r="12853" spans="19:19" ht="60" customHeight="1" x14ac:dyDescent="0.25">
      <c r="S12853" s="188"/>
    </row>
    <row r="12854" spans="19:19" ht="60" customHeight="1" x14ac:dyDescent="0.25">
      <c r="S12854" s="188"/>
    </row>
    <row r="12855" spans="19:19" ht="60" customHeight="1" x14ac:dyDescent="0.25">
      <c r="S12855" s="188"/>
    </row>
    <row r="12856" spans="19:19" ht="60" customHeight="1" x14ac:dyDescent="0.25">
      <c r="S12856" s="188"/>
    </row>
    <row r="12857" spans="19:19" ht="60" customHeight="1" x14ac:dyDescent="0.25">
      <c r="S12857" s="188"/>
    </row>
    <row r="12858" spans="19:19" ht="60" customHeight="1" x14ac:dyDescent="0.25">
      <c r="S12858" s="188"/>
    </row>
    <row r="12859" spans="19:19" ht="60" customHeight="1" x14ac:dyDescent="0.25">
      <c r="S12859" s="188"/>
    </row>
    <row r="12860" spans="19:19" ht="60" customHeight="1" x14ac:dyDescent="0.25">
      <c r="S12860" s="188"/>
    </row>
    <row r="12861" spans="19:19" ht="60" customHeight="1" x14ac:dyDescent="0.25">
      <c r="S12861" s="188"/>
    </row>
    <row r="12862" spans="19:19" ht="60" customHeight="1" x14ac:dyDescent="0.25">
      <c r="S12862" s="188"/>
    </row>
    <row r="12863" spans="19:19" ht="60" customHeight="1" x14ac:dyDescent="0.25">
      <c r="S12863" s="188"/>
    </row>
    <row r="12864" spans="19:19" ht="60" customHeight="1" x14ac:dyDescent="0.25">
      <c r="S12864" s="188"/>
    </row>
    <row r="12865" spans="19:19" ht="60" customHeight="1" x14ac:dyDescent="0.25">
      <c r="S12865" s="188"/>
    </row>
    <row r="12866" spans="19:19" ht="60" customHeight="1" x14ac:dyDescent="0.25">
      <c r="S12866" s="188"/>
    </row>
    <row r="12867" spans="19:19" ht="60" customHeight="1" x14ac:dyDescent="0.25">
      <c r="S12867" s="188"/>
    </row>
    <row r="12868" spans="19:19" ht="60" customHeight="1" x14ac:dyDescent="0.25">
      <c r="S12868" s="188"/>
    </row>
    <row r="12869" spans="19:19" ht="60" customHeight="1" x14ac:dyDescent="0.25">
      <c r="S12869" s="188"/>
    </row>
    <row r="12870" spans="19:19" ht="60" customHeight="1" x14ac:dyDescent="0.25">
      <c r="S12870" s="188"/>
    </row>
    <row r="12871" spans="19:19" ht="60" customHeight="1" x14ac:dyDescent="0.25">
      <c r="S12871" s="188"/>
    </row>
    <row r="12872" spans="19:19" ht="60" customHeight="1" x14ac:dyDescent="0.25">
      <c r="S12872" s="188"/>
    </row>
    <row r="12873" spans="19:19" ht="60" customHeight="1" x14ac:dyDescent="0.25">
      <c r="S12873" s="188"/>
    </row>
    <row r="12874" spans="19:19" ht="60" customHeight="1" x14ac:dyDescent="0.25">
      <c r="S12874" s="188"/>
    </row>
    <row r="12875" spans="19:19" ht="60" customHeight="1" x14ac:dyDescent="0.25">
      <c r="S12875" s="188"/>
    </row>
    <row r="12876" spans="19:19" ht="60" customHeight="1" x14ac:dyDescent="0.25">
      <c r="S12876" s="188"/>
    </row>
    <row r="12877" spans="19:19" ht="60" customHeight="1" x14ac:dyDescent="0.25">
      <c r="S12877" s="188"/>
    </row>
    <row r="12878" spans="19:19" ht="60" customHeight="1" x14ac:dyDescent="0.25">
      <c r="S12878" s="188"/>
    </row>
    <row r="12879" spans="19:19" ht="60" customHeight="1" x14ac:dyDescent="0.25">
      <c r="S12879" s="188"/>
    </row>
    <row r="12880" spans="19:19" ht="60" customHeight="1" x14ac:dyDescent="0.25">
      <c r="S12880" s="188"/>
    </row>
    <row r="12881" spans="19:19" ht="60" customHeight="1" x14ac:dyDescent="0.25">
      <c r="S12881" s="188"/>
    </row>
    <row r="12882" spans="19:19" ht="60" customHeight="1" x14ac:dyDescent="0.25">
      <c r="S12882" s="188"/>
    </row>
    <row r="12883" spans="19:19" ht="60" customHeight="1" x14ac:dyDescent="0.25">
      <c r="S12883" s="188"/>
    </row>
    <row r="12884" spans="19:19" ht="60" customHeight="1" x14ac:dyDescent="0.25">
      <c r="S12884" s="188"/>
    </row>
    <row r="12885" spans="19:19" ht="60" customHeight="1" x14ac:dyDescent="0.25">
      <c r="S12885" s="188"/>
    </row>
    <row r="12886" spans="19:19" ht="60" customHeight="1" x14ac:dyDescent="0.25">
      <c r="S12886" s="188"/>
    </row>
    <row r="12887" spans="19:19" ht="60" customHeight="1" x14ac:dyDescent="0.25">
      <c r="S12887" s="188"/>
    </row>
    <row r="12888" spans="19:19" ht="60" customHeight="1" x14ac:dyDescent="0.25">
      <c r="S12888" s="188"/>
    </row>
    <row r="12889" spans="19:19" ht="60" customHeight="1" x14ac:dyDescent="0.25">
      <c r="S12889" s="188"/>
    </row>
    <row r="12890" spans="19:19" ht="60" customHeight="1" x14ac:dyDescent="0.25">
      <c r="S12890" s="188"/>
    </row>
    <row r="12891" spans="19:19" ht="60" customHeight="1" x14ac:dyDescent="0.25">
      <c r="S12891" s="188"/>
    </row>
    <row r="12892" spans="19:19" ht="60" customHeight="1" x14ac:dyDescent="0.25">
      <c r="S12892" s="188"/>
    </row>
    <row r="12893" spans="19:19" ht="60" customHeight="1" x14ac:dyDescent="0.25">
      <c r="S12893" s="188"/>
    </row>
    <row r="12894" spans="19:19" ht="60" customHeight="1" x14ac:dyDescent="0.25">
      <c r="S12894" s="188"/>
    </row>
    <row r="12895" spans="19:19" ht="60" customHeight="1" x14ac:dyDescent="0.25">
      <c r="S12895" s="188"/>
    </row>
    <row r="12896" spans="19:19" ht="60" customHeight="1" x14ac:dyDescent="0.25">
      <c r="S12896" s="188"/>
    </row>
    <row r="12897" spans="19:19" ht="60" customHeight="1" x14ac:dyDescent="0.25">
      <c r="S12897" s="188"/>
    </row>
    <row r="12898" spans="19:19" ht="60" customHeight="1" x14ac:dyDescent="0.25">
      <c r="S12898" s="188"/>
    </row>
    <row r="12899" spans="19:19" ht="60" customHeight="1" x14ac:dyDescent="0.25">
      <c r="S12899" s="188"/>
    </row>
    <row r="12900" spans="19:19" ht="60" customHeight="1" x14ac:dyDescent="0.25">
      <c r="S12900" s="188"/>
    </row>
    <row r="12901" spans="19:19" ht="60" customHeight="1" x14ac:dyDescent="0.25">
      <c r="S12901" s="188"/>
    </row>
    <row r="12902" spans="19:19" ht="60" customHeight="1" x14ac:dyDescent="0.25">
      <c r="S12902" s="188"/>
    </row>
    <row r="12903" spans="19:19" ht="60" customHeight="1" x14ac:dyDescent="0.25">
      <c r="S12903" s="188"/>
    </row>
    <row r="12904" spans="19:19" ht="60" customHeight="1" x14ac:dyDescent="0.25">
      <c r="S12904" s="188"/>
    </row>
    <row r="12905" spans="19:19" ht="60" customHeight="1" x14ac:dyDescent="0.25">
      <c r="S12905" s="188"/>
    </row>
    <row r="12906" spans="19:19" ht="60" customHeight="1" x14ac:dyDescent="0.25">
      <c r="S12906" s="188"/>
    </row>
    <row r="12907" spans="19:19" ht="60" customHeight="1" x14ac:dyDescent="0.25">
      <c r="S12907" s="188"/>
    </row>
    <row r="12908" spans="19:19" ht="60" customHeight="1" x14ac:dyDescent="0.25">
      <c r="S12908" s="188"/>
    </row>
    <row r="12909" spans="19:19" ht="60" customHeight="1" x14ac:dyDescent="0.25">
      <c r="S12909" s="188"/>
    </row>
    <row r="12910" spans="19:19" ht="60" customHeight="1" x14ac:dyDescent="0.25">
      <c r="S12910" s="188"/>
    </row>
    <row r="12911" spans="19:19" ht="60" customHeight="1" x14ac:dyDescent="0.25">
      <c r="S12911" s="188"/>
    </row>
    <row r="12912" spans="19:19" ht="60" customHeight="1" x14ac:dyDescent="0.25">
      <c r="S12912" s="188"/>
    </row>
    <row r="12913" spans="19:19" ht="60" customHeight="1" x14ac:dyDescent="0.25">
      <c r="S12913" s="188"/>
    </row>
    <row r="12914" spans="19:19" ht="60" customHeight="1" x14ac:dyDescent="0.25">
      <c r="S12914" s="188"/>
    </row>
    <row r="12915" spans="19:19" ht="60" customHeight="1" x14ac:dyDescent="0.25">
      <c r="S12915" s="188"/>
    </row>
    <row r="12916" spans="19:19" ht="60" customHeight="1" x14ac:dyDescent="0.25">
      <c r="S12916" s="188"/>
    </row>
    <row r="12917" spans="19:19" ht="60" customHeight="1" x14ac:dyDescent="0.25">
      <c r="S12917" s="188"/>
    </row>
    <row r="12918" spans="19:19" ht="60" customHeight="1" x14ac:dyDescent="0.25">
      <c r="S12918" s="188"/>
    </row>
    <row r="12919" spans="19:19" ht="60" customHeight="1" x14ac:dyDescent="0.25">
      <c r="S12919" s="188"/>
    </row>
    <row r="12920" spans="19:19" ht="60" customHeight="1" x14ac:dyDescent="0.25">
      <c r="S12920" s="188"/>
    </row>
    <row r="12921" spans="19:19" ht="60" customHeight="1" x14ac:dyDescent="0.25">
      <c r="S12921" s="188"/>
    </row>
    <row r="12922" spans="19:19" ht="60" customHeight="1" x14ac:dyDescent="0.25">
      <c r="S12922" s="188"/>
    </row>
    <row r="12923" spans="19:19" ht="60" customHeight="1" x14ac:dyDescent="0.25">
      <c r="S12923" s="188"/>
    </row>
    <row r="12924" spans="19:19" ht="60" customHeight="1" x14ac:dyDescent="0.25">
      <c r="S12924" s="188"/>
    </row>
    <row r="12925" spans="19:19" ht="60" customHeight="1" x14ac:dyDescent="0.25">
      <c r="S12925" s="188"/>
    </row>
    <row r="12926" spans="19:19" ht="60" customHeight="1" x14ac:dyDescent="0.25">
      <c r="S12926" s="188"/>
    </row>
    <row r="12927" spans="19:19" ht="60" customHeight="1" x14ac:dyDescent="0.25">
      <c r="S12927" s="188"/>
    </row>
    <row r="12928" spans="19:19" ht="60" customHeight="1" x14ac:dyDescent="0.25">
      <c r="S12928" s="188"/>
    </row>
    <row r="12929" spans="19:19" ht="60" customHeight="1" x14ac:dyDescent="0.25">
      <c r="S12929" s="188"/>
    </row>
    <row r="12930" spans="19:19" ht="60" customHeight="1" x14ac:dyDescent="0.25">
      <c r="S12930" s="188"/>
    </row>
    <row r="12931" spans="19:19" ht="60" customHeight="1" x14ac:dyDescent="0.25">
      <c r="S12931" s="188"/>
    </row>
    <row r="12932" spans="19:19" ht="60" customHeight="1" x14ac:dyDescent="0.25">
      <c r="S12932" s="188"/>
    </row>
    <row r="12933" spans="19:19" ht="60" customHeight="1" x14ac:dyDescent="0.25">
      <c r="S12933" s="188"/>
    </row>
    <row r="12934" spans="19:19" ht="60" customHeight="1" x14ac:dyDescent="0.25">
      <c r="S12934" s="188"/>
    </row>
    <row r="12935" spans="19:19" ht="60" customHeight="1" x14ac:dyDescent="0.25">
      <c r="S12935" s="188"/>
    </row>
    <row r="12936" spans="19:19" ht="60" customHeight="1" x14ac:dyDescent="0.25">
      <c r="S12936" s="188"/>
    </row>
    <row r="12937" spans="19:19" ht="60" customHeight="1" x14ac:dyDescent="0.25">
      <c r="S12937" s="188"/>
    </row>
    <row r="12938" spans="19:19" ht="60" customHeight="1" x14ac:dyDescent="0.25">
      <c r="S12938" s="188"/>
    </row>
    <row r="12939" spans="19:19" ht="60" customHeight="1" x14ac:dyDescent="0.25">
      <c r="S12939" s="188"/>
    </row>
    <row r="12940" spans="19:19" ht="60" customHeight="1" x14ac:dyDescent="0.25">
      <c r="S12940" s="188"/>
    </row>
    <row r="12941" spans="19:19" ht="60" customHeight="1" x14ac:dyDescent="0.25">
      <c r="S12941" s="188"/>
    </row>
    <row r="12942" spans="19:19" ht="60" customHeight="1" x14ac:dyDescent="0.25">
      <c r="S12942" s="188"/>
    </row>
    <row r="12943" spans="19:19" ht="60" customHeight="1" x14ac:dyDescent="0.25">
      <c r="S12943" s="188"/>
    </row>
    <row r="12944" spans="19:19" ht="60" customHeight="1" x14ac:dyDescent="0.25">
      <c r="S12944" s="188"/>
    </row>
    <row r="12945" spans="19:19" ht="60" customHeight="1" x14ac:dyDescent="0.25">
      <c r="S12945" s="188"/>
    </row>
    <row r="12946" spans="19:19" ht="60" customHeight="1" x14ac:dyDescent="0.25">
      <c r="S12946" s="188"/>
    </row>
    <row r="12947" spans="19:19" ht="60" customHeight="1" x14ac:dyDescent="0.25">
      <c r="S12947" s="188"/>
    </row>
    <row r="12948" spans="19:19" ht="60" customHeight="1" x14ac:dyDescent="0.25">
      <c r="S12948" s="188"/>
    </row>
    <row r="12949" spans="19:19" ht="60" customHeight="1" x14ac:dyDescent="0.25">
      <c r="S12949" s="188"/>
    </row>
    <row r="12950" spans="19:19" ht="60" customHeight="1" x14ac:dyDescent="0.25">
      <c r="S12950" s="188"/>
    </row>
    <row r="12951" spans="19:19" ht="60" customHeight="1" x14ac:dyDescent="0.25">
      <c r="S12951" s="188"/>
    </row>
    <row r="12952" spans="19:19" ht="60" customHeight="1" x14ac:dyDescent="0.25">
      <c r="S12952" s="188"/>
    </row>
    <row r="12953" spans="19:19" ht="60" customHeight="1" x14ac:dyDescent="0.25">
      <c r="S12953" s="188"/>
    </row>
    <row r="12954" spans="19:19" ht="60" customHeight="1" x14ac:dyDescent="0.25">
      <c r="S12954" s="188"/>
    </row>
    <row r="12955" spans="19:19" ht="60" customHeight="1" x14ac:dyDescent="0.25">
      <c r="S12955" s="188"/>
    </row>
    <row r="12956" spans="19:19" ht="60" customHeight="1" x14ac:dyDescent="0.25">
      <c r="S12956" s="188"/>
    </row>
    <row r="12957" spans="19:19" ht="60" customHeight="1" x14ac:dyDescent="0.25">
      <c r="S12957" s="188"/>
    </row>
    <row r="12958" spans="19:19" ht="60" customHeight="1" x14ac:dyDescent="0.25">
      <c r="S12958" s="188"/>
    </row>
    <row r="12959" spans="19:19" ht="60" customHeight="1" x14ac:dyDescent="0.25">
      <c r="S12959" s="188"/>
    </row>
    <row r="12960" spans="19:19" ht="60" customHeight="1" x14ac:dyDescent="0.25">
      <c r="S12960" s="188"/>
    </row>
    <row r="12961" spans="19:19" ht="60" customHeight="1" x14ac:dyDescent="0.25">
      <c r="S12961" s="188"/>
    </row>
    <row r="12962" spans="19:19" ht="60" customHeight="1" x14ac:dyDescent="0.25">
      <c r="S12962" s="188"/>
    </row>
    <row r="12963" spans="19:19" ht="60" customHeight="1" x14ac:dyDescent="0.25">
      <c r="S12963" s="188"/>
    </row>
    <row r="12964" spans="19:19" ht="60" customHeight="1" x14ac:dyDescent="0.25">
      <c r="S12964" s="188"/>
    </row>
    <row r="12965" spans="19:19" ht="60" customHeight="1" x14ac:dyDescent="0.25">
      <c r="S12965" s="188"/>
    </row>
    <row r="12966" spans="19:19" ht="60" customHeight="1" x14ac:dyDescent="0.25">
      <c r="S12966" s="188"/>
    </row>
    <row r="12967" spans="19:19" ht="60" customHeight="1" x14ac:dyDescent="0.25">
      <c r="S12967" s="188"/>
    </row>
    <row r="12968" spans="19:19" ht="60" customHeight="1" x14ac:dyDescent="0.25">
      <c r="S12968" s="188"/>
    </row>
    <row r="12969" spans="19:19" ht="60" customHeight="1" x14ac:dyDescent="0.25">
      <c r="S12969" s="188"/>
    </row>
    <row r="12970" spans="19:19" ht="60" customHeight="1" x14ac:dyDescent="0.25">
      <c r="S12970" s="188"/>
    </row>
    <row r="12971" spans="19:19" ht="60" customHeight="1" x14ac:dyDescent="0.25">
      <c r="S12971" s="188"/>
    </row>
    <row r="12972" spans="19:19" ht="60" customHeight="1" x14ac:dyDescent="0.25">
      <c r="S12972" s="188"/>
    </row>
    <row r="12973" spans="19:19" ht="60" customHeight="1" x14ac:dyDescent="0.25">
      <c r="S12973" s="188"/>
    </row>
    <row r="12974" spans="19:19" ht="60" customHeight="1" x14ac:dyDescent="0.25">
      <c r="S12974" s="188"/>
    </row>
    <row r="12975" spans="19:19" ht="60" customHeight="1" x14ac:dyDescent="0.25">
      <c r="S12975" s="188"/>
    </row>
    <row r="12976" spans="19:19" ht="60" customHeight="1" x14ac:dyDescent="0.25">
      <c r="S12976" s="188"/>
    </row>
    <row r="12977" spans="19:19" ht="60" customHeight="1" x14ac:dyDescent="0.25">
      <c r="S12977" s="188"/>
    </row>
    <row r="12978" spans="19:19" ht="60" customHeight="1" x14ac:dyDescent="0.25">
      <c r="S12978" s="188"/>
    </row>
    <row r="12979" spans="19:19" ht="60" customHeight="1" x14ac:dyDescent="0.25">
      <c r="S12979" s="188"/>
    </row>
    <row r="12980" spans="19:19" ht="60" customHeight="1" x14ac:dyDescent="0.25">
      <c r="S12980" s="188"/>
    </row>
    <row r="12981" spans="19:19" ht="60" customHeight="1" x14ac:dyDescent="0.25">
      <c r="S12981" s="188"/>
    </row>
    <row r="12982" spans="19:19" ht="60" customHeight="1" x14ac:dyDescent="0.25">
      <c r="S12982" s="188"/>
    </row>
    <row r="12983" spans="19:19" ht="60" customHeight="1" x14ac:dyDescent="0.25">
      <c r="S12983" s="188"/>
    </row>
    <row r="12984" spans="19:19" ht="60" customHeight="1" x14ac:dyDescent="0.25">
      <c r="S12984" s="188"/>
    </row>
    <row r="12985" spans="19:19" ht="60" customHeight="1" x14ac:dyDescent="0.25">
      <c r="S12985" s="188"/>
    </row>
    <row r="12986" spans="19:19" ht="60" customHeight="1" x14ac:dyDescent="0.25">
      <c r="S12986" s="188"/>
    </row>
    <row r="12987" spans="19:19" ht="60" customHeight="1" x14ac:dyDescent="0.25">
      <c r="S12987" s="188"/>
    </row>
    <row r="12988" spans="19:19" ht="60" customHeight="1" x14ac:dyDescent="0.25">
      <c r="S12988" s="188"/>
    </row>
    <row r="12989" spans="19:19" ht="60" customHeight="1" x14ac:dyDescent="0.25">
      <c r="S12989" s="188"/>
    </row>
    <row r="12990" spans="19:19" ht="60" customHeight="1" x14ac:dyDescent="0.25">
      <c r="S12990" s="188"/>
    </row>
    <row r="12991" spans="19:19" ht="60" customHeight="1" x14ac:dyDescent="0.25">
      <c r="S12991" s="188"/>
    </row>
    <row r="12992" spans="19:19" ht="60" customHeight="1" x14ac:dyDescent="0.25">
      <c r="S12992" s="188"/>
    </row>
    <row r="12993" spans="19:19" ht="60" customHeight="1" x14ac:dyDescent="0.25">
      <c r="S12993" s="188"/>
    </row>
    <row r="12994" spans="19:19" ht="60" customHeight="1" x14ac:dyDescent="0.25">
      <c r="S12994" s="188"/>
    </row>
    <row r="12995" spans="19:19" ht="60" customHeight="1" x14ac:dyDescent="0.25">
      <c r="S12995" s="188"/>
    </row>
    <row r="12996" spans="19:19" ht="60" customHeight="1" x14ac:dyDescent="0.25">
      <c r="S12996" s="188"/>
    </row>
    <row r="12997" spans="19:19" ht="60" customHeight="1" x14ac:dyDescent="0.25">
      <c r="S12997" s="188"/>
    </row>
    <row r="12998" spans="19:19" ht="60" customHeight="1" x14ac:dyDescent="0.25">
      <c r="S12998" s="188"/>
    </row>
    <row r="12999" spans="19:19" ht="60" customHeight="1" x14ac:dyDescent="0.25">
      <c r="S12999" s="188"/>
    </row>
    <row r="13000" spans="19:19" ht="60" customHeight="1" x14ac:dyDescent="0.25">
      <c r="S13000" s="188"/>
    </row>
    <row r="13001" spans="19:19" ht="60" customHeight="1" x14ac:dyDescent="0.25">
      <c r="S13001" s="188"/>
    </row>
    <row r="13002" spans="19:19" ht="60" customHeight="1" x14ac:dyDescent="0.25">
      <c r="S13002" s="188"/>
    </row>
    <row r="13003" spans="19:19" ht="60" customHeight="1" x14ac:dyDescent="0.25">
      <c r="S13003" s="188"/>
    </row>
    <row r="13004" spans="19:19" ht="60" customHeight="1" x14ac:dyDescent="0.25">
      <c r="S13004" s="188"/>
    </row>
    <row r="13005" spans="19:19" ht="60" customHeight="1" x14ac:dyDescent="0.25">
      <c r="S13005" s="188"/>
    </row>
    <row r="13006" spans="19:19" ht="60" customHeight="1" x14ac:dyDescent="0.25">
      <c r="S13006" s="188"/>
    </row>
    <row r="13007" spans="19:19" ht="60" customHeight="1" x14ac:dyDescent="0.25">
      <c r="S13007" s="188"/>
    </row>
    <row r="13008" spans="19:19" ht="60" customHeight="1" x14ac:dyDescent="0.25">
      <c r="S13008" s="188"/>
    </row>
    <row r="13009" spans="19:19" ht="60" customHeight="1" x14ac:dyDescent="0.25">
      <c r="S13009" s="188"/>
    </row>
    <row r="13010" spans="19:19" ht="60" customHeight="1" x14ac:dyDescent="0.25">
      <c r="S13010" s="188"/>
    </row>
    <row r="13011" spans="19:19" ht="60" customHeight="1" x14ac:dyDescent="0.25">
      <c r="S13011" s="188"/>
    </row>
    <row r="13012" spans="19:19" ht="60" customHeight="1" x14ac:dyDescent="0.25">
      <c r="S13012" s="188"/>
    </row>
    <row r="13013" spans="19:19" ht="60" customHeight="1" x14ac:dyDescent="0.25">
      <c r="S13013" s="188"/>
    </row>
    <row r="13014" spans="19:19" ht="60" customHeight="1" x14ac:dyDescent="0.25">
      <c r="S13014" s="188"/>
    </row>
    <row r="13015" spans="19:19" ht="60" customHeight="1" x14ac:dyDescent="0.25">
      <c r="S13015" s="188"/>
    </row>
    <row r="13016" spans="19:19" ht="60" customHeight="1" x14ac:dyDescent="0.25">
      <c r="S13016" s="188"/>
    </row>
    <row r="13017" spans="19:19" ht="60" customHeight="1" x14ac:dyDescent="0.25">
      <c r="S13017" s="188"/>
    </row>
    <row r="13018" spans="19:19" ht="60" customHeight="1" x14ac:dyDescent="0.25">
      <c r="S13018" s="188"/>
    </row>
    <row r="13019" spans="19:19" ht="60" customHeight="1" x14ac:dyDescent="0.25">
      <c r="S13019" s="188"/>
    </row>
    <row r="13020" spans="19:19" ht="60" customHeight="1" x14ac:dyDescent="0.25">
      <c r="S13020" s="188"/>
    </row>
    <row r="13021" spans="19:19" ht="60" customHeight="1" x14ac:dyDescent="0.25">
      <c r="S13021" s="188"/>
    </row>
    <row r="13022" spans="19:19" ht="60" customHeight="1" x14ac:dyDescent="0.25">
      <c r="S13022" s="188"/>
    </row>
    <row r="13023" spans="19:19" ht="60" customHeight="1" x14ac:dyDescent="0.25">
      <c r="S13023" s="188"/>
    </row>
    <row r="13024" spans="19:19" ht="60" customHeight="1" x14ac:dyDescent="0.25">
      <c r="S13024" s="188"/>
    </row>
    <row r="13025" spans="19:19" ht="60" customHeight="1" x14ac:dyDescent="0.25">
      <c r="S13025" s="188"/>
    </row>
    <row r="13026" spans="19:19" ht="60" customHeight="1" x14ac:dyDescent="0.25">
      <c r="S13026" s="188"/>
    </row>
    <row r="13027" spans="19:19" ht="60" customHeight="1" x14ac:dyDescent="0.25">
      <c r="S13027" s="188"/>
    </row>
    <row r="13028" spans="19:19" ht="60" customHeight="1" x14ac:dyDescent="0.25">
      <c r="S13028" s="188"/>
    </row>
    <row r="13029" spans="19:19" ht="60" customHeight="1" x14ac:dyDescent="0.25">
      <c r="S13029" s="188"/>
    </row>
    <row r="13030" spans="19:19" ht="60" customHeight="1" x14ac:dyDescent="0.25">
      <c r="S13030" s="188"/>
    </row>
    <row r="13031" spans="19:19" ht="60" customHeight="1" x14ac:dyDescent="0.25">
      <c r="S13031" s="188"/>
    </row>
    <row r="13032" spans="19:19" ht="60" customHeight="1" x14ac:dyDescent="0.25">
      <c r="S13032" s="188"/>
    </row>
    <row r="13033" spans="19:19" ht="60" customHeight="1" x14ac:dyDescent="0.25">
      <c r="S13033" s="188"/>
    </row>
    <row r="13034" spans="19:19" ht="60" customHeight="1" x14ac:dyDescent="0.25">
      <c r="S13034" s="188"/>
    </row>
    <row r="13035" spans="19:19" ht="60" customHeight="1" x14ac:dyDescent="0.25">
      <c r="S13035" s="188"/>
    </row>
    <row r="13036" spans="19:19" ht="60" customHeight="1" x14ac:dyDescent="0.25">
      <c r="S13036" s="188"/>
    </row>
    <row r="13037" spans="19:19" ht="60" customHeight="1" x14ac:dyDescent="0.25">
      <c r="S13037" s="188"/>
    </row>
    <row r="13038" spans="19:19" ht="60" customHeight="1" x14ac:dyDescent="0.25">
      <c r="S13038" s="188"/>
    </row>
    <row r="13039" spans="19:19" ht="60" customHeight="1" x14ac:dyDescent="0.25">
      <c r="S13039" s="188"/>
    </row>
    <row r="13040" spans="19:19" ht="60" customHeight="1" x14ac:dyDescent="0.25">
      <c r="S13040" s="188"/>
    </row>
    <row r="13041" spans="19:19" ht="60" customHeight="1" x14ac:dyDescent="0.25">
      <c r="S13041" s="188"/>
    </row>
    <row r="13042" spans="19:19" ht="60" customHeight="1" x14ac:dyDescent="0.25">
      <c r="S13042" s="188"/>
    </row>
    <row r="13043" spans="19:19" ht="60" customHeight="1" x14ac:dyDescent="0.25">
      <c r="S13043" s="188"/>
    </row>
    <row r="13044" spans="19:19" ht="60" customHeight="1" x14ac:dyDescent="0.25">
      <c r="S13044" s="188"/>
    </row>
    <row r="13045" spans="19:19" ht="60" customHeight="1" x14ac:dyDescent="0.25">
      <c r="S13045" s="188"/>
    </row>
    <row r="13046" spans="19:19" ht="60" customHeight="1" x14ac:dyDescent="0.25">
      <c r="S13046" s="188"/>
    </row>
    <row r="13047" spans="19:19" ht="60" customHeight="1" x14ac:dyDescent="0.25">
      <c r="S13047" s="188"/>
    </row>
    <row r="13048" spans="19:19" ht="60" customHeight="1" x14ac:dyDescent="0.25">
      <c r="S13048" s="188"/>
    </row>
    <row r="13049" spans="19:19" ht="60" customHeight="1" x14ac:dyDescent="0.25">
      <c r="S13049" s="188"/>
    </row>
    <row r="13050" spans="19:19" ht="60" customHeight="1" x14ac:dyDescent="0.25">
      <c r="S13050" s="188"/>
    </row>
    <row r="13051" spans="19:19" ht="60" customHeight="1" x14ac:dyDescent="0.25">
      <c r="S13051" s="188"/>
    </row>
    <row r="13052" spans="19:19" ht="60" customHeight="1" x14ac:dyDescent="0.25">
      <c r="S13052" s="188"/>
    </row>
    <row r="13053" spans="19:19" ht="60" customHeight="1" x14ac:dyDescent="0.25">
      <c r="S13053" s="188"/>
    </row>
    <row r="13054" spans="19:19" ht="60" customHeight="1" x14ac:dyDescent="0.25">
      <c r="S13054" s="188"/>
    </row>
    <row r="13055" spans="19:19" ht="60" customHeight="1" x14ac:dyDescent="0.25">
      <c r="S13055" s="188"/>
    </row>
    <row r="13056" spans="19:19" ht="60" customHeight="1" x14ac:dyDescent="0.25">
      <c r="S13056" s="188"/>
    </row>
    <row r="13057" spans="19:19" ht="60" customHeight="1" x14ac:dyDescent="0.25">
      <c r="S13057" s="188"/>
    </row>
    <row r="13058" spans="19:19" ht="60" customHeight="1" x14ac:dyDescent="0.25">
      <c r="S13058" s="188"/>
    </row>
    <row r="13059" spans="19:19" ht="60" customHeight="1" x14ac:dyDescent="0.25">
      <c r="S13059" s="188"/>
    </row>
    <row r="13060" spans="19:19" ht="60" customHeight="1" x14ac:dyDescent="0.25">
      <c r="S13060" s="188"/>
    </row>
    <row r="13061" spans="19:19" ht="60" customHeight="1" x14ac:dyDescent="0.25">
      <c r="S13061" s="188"/>
    </row>
    <row r="13062" spans="19:19" ht="60" customHeight="1" x14ac:dyDescent="0.25">
      <c r="S13062" s="188"/>
    </row>
    <row r="13063" spans="19:19" ht="60" customHeight="1" x14ac:dyDescent="0.25">
      <c r="S13063" s="188"/>
    </row>
    <row r="13064" spans="19:19" ht="60" customHeight="1" x14ac:dyDescent="0.25">
      <c r="S13064" s="188"/>
    </row>
    <row r="13065" spans="19:19" ht="60" customHeight="1" x14ac:dyDescent="0.25">
      <c r="S13065" s="188"/>
    </row>
    <row r="13066" spans="19:19" ht="60" customHeight="1" x14ac:dyDescent="0.25">
      <c r="S13066" s="188"/>
    </row>
    <row r="13067" spans="19:19" ht="60" customHeight="1" x14ac:dyDescent="0.25">
      <c r="S13067" s="188"/>
    </row>
    <row r="13068" spans="19:19" ht="60" customHeight="1" x14ac:dyDescent="0.25">
      <c r="S13068" s="188"/>
    </row>
    <row r="13069" spans="19:19" ht="60" customHeight="1" x14ac:dyDescent="0.25">
      <c r="S13069" s="188"/>
    </row>
    <row r="13070" spans="19:19" ht="60" customHeight="1" x14ac:dyDescent="0.25">
      <c r="S13070" s="188"/>
    </row>
    <row r="13071" spans="19:19" ht="60" customHeight="1" x14ac:dyDescent="0.25">
      <c r="S13071" s="188"/>
    </row>
    <row r="13072" spans="19:19" ht="60" customHeight="1" x14ac:dyDescent="0.25">
      <c r="S13072" s="188"/>
    </row>
    <row r="13073" spans="19:19" ht="60" customHeight="1" x14ac:dyDescent="0.25">
      <c r="S13073" s="188"/>
    </row>
    <row r="13074" spans="19:19" ht="60" customHeight="1" x14ac:dyDescent="0.25">
      <c r="S13074" s="188"/>
    </row>
    <row r="13075" spans="19:19" ht="60" customHeight="1" x14ac:dyDescent="0.25">
      <c r="S13075" s="188"/>
    </row>
    <row r="13076" spans="19:19" ht="60" customHeight="1" x14ac:dyDescent="0.25">
      <c r="S13076" s="188"/>
    </row>
    <row r="13077" spans="19:19" ht="60" customHeight="1" x14ac:dyDescent="0.25">
      <c r="S13077" s="188"/>
    </row>
    <row r="13078" spans="19:19" ht="60" customHeight="1" x14ac:dyDescent="0.25">
      <c r="S13078" s="188"/>
    </row>
    <row r="13079" spans="19:19" ht="60" customHeight="1" x14ac:dyDescent="0.25">
      <c r="S13079" s="188"/>
    </row>
    <row r="13080" spans="19:19" ht="60" customHeight="1" x14ac:dyDescent="0.25">
      <c r="S13080" s="188"/>
    </row>
    <row r="13081" spans="19:19" ht="60" customHeight="1" x14ac:dyDescent="0.25">
      <c r="S13081" s="188"/>
    </row>
    <row r="13082" spans="19:19" ht="60" customHeight="1" x14ac:dyDescent="0.25">
      <c r="S13082" s="188"/>
    </row>
    <row r="13083" spans="19:19" ht="60" customHeight="1" x14ac:dyDescent="0.25">
      <c r="S13083" s="188"/>
    </row>
    <row r="13084" spans="19:19" ht="60" customHeight="1" x14ac:dyDescent="0.25">
      <c r="S13084" s="188"/>
    </row>
    <row r="13085" spans="19:19" ht="60" customHeight="1" x14ac:dyDescent="0.25">
      <c r="S13085" s="188"/>
    </row>
    <row r="13086" spans="19:19" ht="60" customHeight="1" x14ac:dyDescent="0.25">
      <c r="S13086" s="188"/>
    </row>
    <row r="13087" spans="19:19" ht="60" customHeight="1" x14ac:dyDescent="0.25">
      <c r="S13087" s="188"/>
    </row>
    <row r="13088" spans="19:19" ht="60" customHeight="1" x14ac:dyDescent="0.25">
      <c r="S13088" s="188"/>
    </row>
    <row r="13089" spans="19:19" ht="60" customHeight="1" x14ac:dyDescent="0.25">
      <c r="S13089" s="188"/>
    </row>
    <row r="13090" spans="19:19" ht="60" customHeight="1" x14ac:dyDescent="0.25">
      <c r="S13090" s="188"/>
    </row>
    <row r="13091" spans="19:19" ht="60" customHeight="1" x14ac:dyDescent="0.25">
      <c r="S13091" s="188"/>
    </row>
    <row r="13092" spans="19:19" ht="60" customHeight="1" x14ac:dyDescent="0.25">
      <c r="S13092" s="188"/>
    </row>
    <row r="13093" spans="19:19" ht="60" customHeight="1" x14ac:dyDescent="0.25">
      <c r="S13093" s="188"/>
    </row>
    <row r="13094" spans="19:19" ht="60" customHeight="1" x14ac:dyDescent="0.25">
      <c r="S13094" s="188"/>
    </row>
    <row r="13095" spans="19:19" ht="60" customHeight="1" x14ac:dyDescent="0.25">
      <c r="S13095" s="188"/>
    </row>
    <row r="13096" spans="19:19" ht="60" customHeight="1" x14ac:dyDescent="0.25">
      <c r="S13096" s="188"/>
    </row>
    <row r="13097" spans="19:19" ht="60" customHeight="1" x14ac:dyDescent="0.25">
      <c r="S13097" s="188"/>
    </row>
    <row r="13098" spans="19:19" ht="60" customHeight="1" x14ac:dyDescent="0.25">
      <c r="S13098" s="188"/>
    </row>
    <row r="13099" spans="19:19" ht="60" customHeight="1" x14ac:dyDescent="0.25">
      <c r="S13099" s="188"/>
    </row>
    <row r="13100" spans="19:19" ht="60" customHeight="1" x14ac:dyDescent="0.25">
      <c r="S13100" s="188"/>
    </row>
    <row r="13101" spans="19:19" ht="60" customHeight="1" x14ac:dyDescent="0.25">
      <c r="S13101" s="188"/>
    </row>
    <row r="13102" spans="19:19" ht="60" customHeight="1" x14ac:dyDescent="0.25">
      <c r="S13102" s="188"/>
    </row>
    <row r="13103" spans="19:19" ht="60" customHeight="1" x14ac:dyDescent="0.25">
      <c r="S13103" s="188"/>
    </row>
    <row r="13104" spans="19:19" ht="60" customHeight="1" x14ac:dyDescent="0.25">
      <c r="S13104" s="188"/>
    </row>
    <row r="13105" spans="19:19" ht="60" customHeight="1" x14ac:dyDescent="0.25">
      <c r="S13105" s="188"/>
    </row>
    <row r="13106" spans="19:19" ht="60" customHeight="1" x14ac:dyDescent="0.25">
      <c r="S13106" s="188"/>
    </row>
    <row r="13107" spans="19:19" ht="60" customHeight="1" x14ac:dyDescent="0.25">
      <c r="S13107" s="188"/>
    </row>
    <row r="13108" spans="19:19" ht="60" customHeight="1" x14ac:dyDescent="0.25">
      <c r="S13108" s="188"/>
    </row>
    <row r="13109" spans="19:19" ht="60" customHeight="1" x14ac:dyDescent="0.25">
      <c r="S13109" s="188"/>
    </row>
    <row r="13110" spans="19:19" ht="60" customHeight="1" x14ac:dyDescent="0.25">
      <c r="S13110" s="188"/>
    </row>
    <row r="13111" spans="19:19" ht="60" customHeight="1" x14ac:dyDescent="0.25">
      <c r="S13111" s="188"/>
    </row>
    <row r="13112" spans="19:19" ht="60" customHeight="1" x14ac:dyDescent="0.25">
      <c r="S13112" s="188"/>
    </row>
    <row r="13113" spans="19:19" ht="60" customHeight="1" x14ac:dyDescent="0.25">
      <c r="S13113" s="188"/>
    </row>
    <row r="13114" spans="19:19" ht="60" customHeight="1" x14ac:dyDescent="0.25">
      <c r="S13114" s="188"/>
    </row>
    <row r="13115" spans="19:19" ht="60" customHeight="1" x14ac:dyDescent="0.25">
      <c r="S13115" s="188"/>
    </row>
    <row r="13116" spans="19:19" ht="60" customHeight="1" x14ac:dyDescent="0.25">
      <c r="S13116" s="188"/>
    </row>
    <row r="13117" spans="19:19" ht="60" customHeight="1" x14ac:dyDescent="0.25">
      <c r="S13117" s="188"/>
    </row>
    <row r="13118" spans="19:19" ht="60" customHeight="1" x14ac:dyDescent="0.25">
      <c r="S13118" s="188"/>
    </row>
    <row r="13119" spans="19:19" ht="60" customHeight="1" x14ac:dyDescent="0.25">
      <c r="S13119" s="188"/>
    </row>
    <row r="13120" spans="19:19" ht="60" customHeight="1" x14ac:dyDescent="0.25">
      <c r="S13120" s="188"/>
    </row>
    <row r="13121" spans="19:19" ht="60" customHeight="1" x14ac:dyDescent="0.25">
      <c r="S13121" s="188"/>
    </row>
    <row r="13122" spans="19:19" ht="60" customHeight="1" x14ac:dyDescent="0.25">
      <c r="S13122" s="188"/>
    </row>
    <row r="13123" spans="19:19" ht="60" customHeight="1" x14ac:dyDescent="0.25">
      <c r="S13123" s="188"/>
    </row>
    <row r="13124" spans="19:19" ht="60" customHeight="1" x14ac:dyDescent="0.25">
      <c r="S13124" s="188"/>
    </row>
    <row r="13125" spans="19:19" ht="60" customHeight="1" x14ac:dyDescent="0.25">
      <c r="S13125" s="188"/>
    </row>
    <row r="13126" spans="19:19" ht="60" customHeight="1" x14ac:dyDescent="0.25">
      <c r="S13126" s="188"/>
    </row>
    <row r="13127" spans="19:19" ht="60" customHeight="1" x14ac:dyDescent="0.25">
      <c r="S13127" s="188"/>
    </row>
    <row r="13128" spans="19:19" ht="60" customHeight="1" x14ac:dyDescent="0.25">
      <c r="S13128" s="188"/>
    </row>
    <row r="13129" spans="19:19" ht="60" customHeight="1" x14ac:dyDescent="0.25">
      <c r="S13129" s="188"/>
    </row>
    <row r="13130" spans="19:19" ht="60" customHeight="1" x14ac:dyDescent="0.25">
      <c r="S13130" s="188"/>
    </row>
    <row r="13131" spans="19:19" ht="60" customHeight="1" x14ac:dyDescent="0.25">
      <c r="S13131" s="188"/>
    </row>
    <row r="13132" spans="19:19" ht="60" customHeight="1" x14ac:dyDescent="0.25">
      <c r="S13132" s="188"/>
    </row>
    <row r="13133" spans="19:19" ht="60" customHeight="1" x14ac:dyDescent="0.25">
      <c r="S13133" s="188"/>
    </row>
    <row r="13134" spans="19:19" ht="60" customHeight="1" x14ac:dyDescent="0.25">
      <c r="S13134" s="188"/>
    </row>
    <row r="13135" spans="19:19" ht="60" customHeight="1" x14ac:dyDescent="0.25">
      <c r="S13135" s="188"/>
    </row>
    <row r="13136" spans="19:19" ht="60" customHeight="1" x14ac:dyDescent="0.25">
      <c r="S13136" s="188"/>
    </row>
  </sheetData>
  <sheetProtection selectLockedCells="1" selectUnlockedCells="1"/>
  <sortState xmlns:xlrd2="http://schemas.microsoft.com/office/spreadsheetml/2017/richdata2" ref="A2:JE1048576">
    <sortCondition ref="C2:C1048576"/>
    <sortCondition ref="A2:A1048576"/>
  </sortState>
  <mergeCells count="1">
    <mergeCell ref="T1:V1"/>
  </mergeCells>
  <conditionalFormatting sqref="F98">
    <cfRule type="cellIs" dxfId="5" priority="6" operator="equal">
      <formula>""</formula>
    </cfRule>
  </conditionalFormatting>
  <conditionalFormatting sqref="F152">
    <cfRule type="cellIs" dxfId="4" priority="5" operator="equal">
      <formula>""</formula>
    </cfRule>
  </conditionalFormatting>
  <conditionalFormatting sqref="F154">
    <cfRule type="cellIs" dxfId="3" priority="4" operator="equal">
      <formula>""</formula>
    </cfRule>
  </conditionalFormatting>
  <conditionalFormatting sqref="G163">
    <cfRule type="cellIs" dxfId="2" priority="3" operator="equal">
      <formula>""</formula>
    </cfRule>
  </conditionalFormatting>
  <conditionalFormatting sqref="F198">
    <cfRule type="cellIs" dxfId="1" priority="2" operator="equal">
      <formula>""</formula>
    </cfRule>
  </conditionalFormatting>
  <conditionalFormatting sqref="F232">
    <cfRule type="cellIs" dxfId="0" priority="1" operator="equal">
      <formula>""</formula>
    </cfRule>
  </conditionalFormatting>
  <dataValidations count="3">
    <dataValidation type="list" allowBlank="1" showInputMessage="1" showErrorMessage="1" sqref="F98 F204 F240 F208 F156 F232" xr:uid="{00000000-0002-0000-0700-000000000000}">
      <formula1>Anneaux</formula1>
    </dataValidation>
    <dataValidation type="list" allowBlank="1" showInputMessage="1" showErrorMessage="1" sqref="D143" xr:uid="{00000000-0002-0000-0700-000001000000}">
      <formula1>Loup</formula1>
    </dataValidation>
    <dataValidation type="list" allowBlank="1" showInputMessage="1" showErrorMessage="1" sqref="D208" xr:uid="{00000000-0002-0000-0700-000002000000}">
      <formula1>Traits</formula1>
    </dataValidation>
  </dataValidations>
  <hyperlinks>
    <hyperlink ref="J10" r:id="rId1" display="http://www.voixrokugan.org/Forum/viewtopic.php?t=2801" xr:uid="{00000000-0004-0000-0700-000000000000}"/>
  </hyperlinks>
  <pageMargins left="0.78740157480314965" right="0.78740157480314965" top="1.0236220472440944" bottom="1.0236220472440944" header="0.78740157480314965" footer="0.78740157480314965"/>
  <pageSetup firstPageNumber="0" orientation="landscape" horizontalDpi="300" verticalDpi="300" r:id="rId2"/>
  <headerFooter alignWithMargins="0">
    <oddHeader>&amp;C&amp;A</oddHeader>
    <oddFooter>&amp;CPage &amp;P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3000000}">
          <x14:formula1>
            <xm:f>Tableaux!$D$3:$D$6</xm:f>
          </x14:formula1>
          <xm:sqref>F152 F154 F198</xm:sqref>
        </x14:dataValidation>
        <x14:dataValidation type="list" allowBlank="1" showInputMessage="1" showErrorMessage="1" xr:uid="{00000000-0002-0000-0700-000004000000}">
          <x14:formula1>
            <xm:f>Tableaux!$A$16:$A$17</xm:f>
          </x14:formula1>
          <xm:sqref>G163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1072"/>
  <sheetViews>
    <sheetView zoomScaleNormal="100" workbookViewId="0">
      <pane xSplit="2" ySplit="2" topLeftCell="D3" activePane="bottomRight" state="frozen"/>
      <selection activeCell="B1" sqref="B1"/>
      <selection pane="topRight" activeCell="C1" sqref="C1"/>
      <selection pane="bottomLeft" activeCell="B3" sqref="B3"/>
      <selection pane="bottomRight" activeCell="B1" sqref="B1:B2"/>
    </sheetView>
  </sheetViews>
  <sheetFormatPr baseColWidth="10" defaultRowHeight="47.25" customHeight="1" x14ac:dyDescent="0.25"/>
  <cols>
    <col min="1" max="1" width="16.44140625" style="162" hidden="1" customWidth="1"/>
    <col min="2" max="2" width="16.44140625" style="162" customWidth="1"/>
    <col min="3" max="3" width="16.44140625" style="162" hidden="1" customWidth="1"/>
    <col min="4" max="4" width="11.33203125" style="388" customWidth="1"/>
    <col min="5" max="5" width="5.109375" style="13" hidden="1" customWidth="1"/>
    <col min="6" max="6" width="5.5546875" style="199" customWidth="1"/>
    <col min="7" max="7" width="5.33203125" style="13" customWidth="1"/>
    <col min="8" max="8" width="14.44140625" style="162" customWidth="1"/>
    <col min="9" max="9" width="14.44140625" style="129" customWidth="1"/>
    <col min="10" max="10" width="2.109375" style="146" customWidth="1"/>
    <col min="11" max="11" width="2.109375" style="147" customWidth="1"/>
    <col min="12" max="12" width="2.109375" style="148" customWidth="1"/>
    <col min="13" max="13" width="2.109375" style="149" customWidth="1"/>
    <col min="14" max="14" width="2.44140625" style="150" customWidth="1"/>
    <col min="15" max="21" width="2.109375" style="130" customWidth="1"/>
    <col min="22" max="22" width="2.109375" style="524" customWidth="1"/>
    <col min="23" max="26" width="2.109375" style="130" customWidth="1"/>
    <col min="27" max="27" width="14.44140625" style="159" customWidth="1"/>
    <col min="28" max="28" width="12.33203125" style="159" hidden="1" customWidth="1"/>
    <col min="29" max="29" width="9.5546875" style="159" hidden="1" customWidth="1"/>
    <col min="30" max="30" width="3.6640625" style="159" hidden="1" customWidth="1"/>
    <col min="31" max="31" width="4.5546875" style="159" hidden="1" customWidth="1"/>
    <col min="32" max="32" width="12.33203125" style="159" hidden="1" customWidth="1"/>
    <col min="33" max="33" width="9.5546875" style="159" hidden="1" customWidth="1"/>
    <col min="34" max="34" width="3.6640625" style="159" hidden="1" customWidth="1"/>
    <col min="35" max="35" width="4.5546875" style="159" hidden="1" customWidth="1"/>
    <col min="36" max="36" width="12.33203125" style="159" hidden="1" customWidth="1"/>
    <col min="37" max="37" width="9.5546875" style="159" hidden="1" customWidth="1"/>
    <col min="38" max="38" width="3.6640625" style="159" hidden="1" customWidth="1"/>
    <col min="39" max="39" width="4.5546875" style="159" hidden="1" customWidth="1"/>
    <col min="40" max="40" width="12.33203125" style="159" hidden="1" customWidth="1"/>
    <col min="41" max="41" width="9.5546875" style="159" hidden="1" customWidth="1"/>
    <col min="42" max="42" width="3.6640625" style="159" hidden="1" customWidth="1"/>
    <col min="43" max="43" width="4.5546875" style="159" hidden="1" customWidth="1"/>
    <col min="44" max="44" width="9.5546875" style="159" hidden="1" customWidth="1"/>
    <col min="45" max="45" width="4.5546875" style="159" hidden="1" customWidth="1"/>
    <col min="46" max="46" width="9.5546875" style="159" hidden="1" customWidth="1"/>
    <col min="47" max="47" width="4.5546875" style="159" hidden="1" customWidth="1"/>
    <col min="48" max="48" width="6.33203125" style="159" hidden="1" customWidth="1"/>
    <col min="49" max="49" width="14.44140625" style="159" customWidth="1"/>
    <col min="50" max="50" width="11.5546875" style="162" customWidth="1"/>
    <col min="51" max="51" width="4.88671875" style="15" customWidth="1"/>
    <col min="52" max="52" width="119.5546875" style="555" customWidth="1"/>
    <col min="53" max="53" width="4.5546875" style="559" hidden="1" customWidth="1"/>
    <col min="54" max="60" width="4.5546875" style="12" hidden="1" customWidth="1"/>
    <col min="61" max="61" width="4.5546875" style="557" hidden="1" customWidth="1"/>
    <col min="62" max="63" width="12.44140625" hidden="1" customWidth="1"/>
    <col min="64" max="64" width="12.44140625" style="295" hidden="1" customWidth="1"/>
    <col min="65" max="65" width="15.77734375" style="91" customWidth="1"/>
    <col min="66" max="304" width="12.44140625" customWidth="1"/>
  </cols>
  <sheetData>
    <row r="1" spans="1:65" s="26" customFormat="1" ht="47.25" customHeight="1" x14ac:dyDescent="0.25">
      <c r="A1" s="947" t="s">
        <v>3538</v>
      </c>
      <c r="B1" s="947" t="s">
        <v>379</v>
      </c>
      <c r="C1" s="947" t="s">
        <v>8232</v>
      </c>
      <c r="D1" s="947" t="s">
        <v>8233</v>
      </c>
      <c r="E1" s="955" t="s">
        <v>5217</v>
      </c>
      <c r="F1" s="948" t="s">
        <v>462</v>
      </c>
      <c r="G1" s="948" t="s">
        <v>57</v>
      </c>
      <c r="H1" s="947" t="s">
        <v>187</v>
      </c>
      <c r="I1" s="949" t="s">
        <v>3134</v>
      </c>
      <c r="J1" s="956" t="s">
        <v>2551</v>
      </c>
      <c r="K1" s="957"/>
      <c r="L1" s="957"/>
      <c r="M1" s="957"/>
      <c r="N1" s="958"/>
      <c r="O1" s="959" t="s">
        <v>2552</v>
      </c>
      <c r="P1" s="960"/>
      <c r="Q1" s="960"/>
      <c r="R1" s="960"/>
      <c r="S1" s="960"/>
      <c r="T1" s="960"/>
      <c r="U1" s="960"/>
      <c r="V1" s="960"/>
      <c r="W1" s="525"/>
      <c r="X1" s="961" t="s">
        <v>8090</v>
      </c>
      <c r="Y1" s="961"/>
      <c r="Z1" s="961"/>
      <c r="AA1" s="954" t="s">
        <v>2554</v>
      </c>
      <c r="AB1" s="952" t="s">
        <v>6353</v>
      </c>
      <c r="AC1" s="950" t="s">
        <v>6356</v>
      </c>
      <c r="AD1" s="950" t="s">
        <v>6394</v>
      </c>
      <c r="AE1" s="951" t="s">
        <v>6397</v>
      </c>
      <c r="AF1" s="952" t="s">
        <v>6354</v>
      </c>
      <c r="AG1" s="950" t="s">
        <v>6357</v>
      </c>
      <c r="AH1" s="950" t="s">
        <v>6395</v>
      </c>
      <c r="AI1" s="951" t="s">
        <v>6398</v>
      </c>
      <c r="AJ1" s="952" t="s">
        <v>6355</v>
      </c>
      <c r="AK1" s="950" t="s">
        <v>6358</v>
      </c>
      <c r="AL1" s="950" t="s">
        <v>6396</v>
      </c>
      <c r="AM1" s="951" t="s">
        <v>6399</v>
      </c>
      <c r="AN1" s="952" t="s">
        <v>6369</v>
      </c>
      <c r="AO1" s="950" t="s">
        <v>6370</v>
      </c>
      <c r="AP1" s="950" t="s">
        <v>6401</v>
      </c>
      <c r="AQ1" s="951" t="s">
        <v>6400</v>
      </c>
      <c r="AR1" s="950" t="s">
        <v>8234</v>
      </c>
      <c r="AS1" s="951" t="s">
        <v>8235</v>
      </c>
      <c r="AT1" s="950" t="s">
        <v>8237</v>
      </c>
      <c r="AU1" s="951" t="s">
        <v>8236</v>
      </c>
      <c r="AV1" s="951" t="s">
        <v>6402</v>
      </c>
      <c r="AW1" s="954" t="s">
        <v>2561</v>
      </c>
      <c r="AX1" s="954" t="s">
        <v>0</v>
      </c>
      <c r="AY1" s="953" t="s">
        <v>1</v>
      </c>
      <c r="AZ1" s="953" t="s">
        <v>1246</v>
      </c>
      <c r="BA1" s="944" t="s">
        <v>8360</v>
      </c>
      <c r="BB1" s="945"/>
      <c r="BC1" s="945"/>
      <c r="BD1" s="945"/>
      <c r="BE1" s="945"/>
      <c r="BF1" s="945"/>
      <c r="BG1" s="945"/>
      <c r="BH1" s="945"/>
      <c r="BI1" s="946"/>
      <c r="BJ1" s="941" t="s">
        <v>9127</v>
      </c>
      <c r="BK1" s="942"/>
      <c r="BL1" s="943"/>
      <c r="BM1" s="25"/>
    </row>
    <row r="2" spans="1:65" s="26" customFormat="1" ht="47.25" customHeight="1" x14ac:dyDescent="0.25">
      <c r="A2" s="947"/>
      <c r="B2" s="947"/>
      <c r="C2" s="947"/>
      <c r="D2" s="947"/>
      <c r="E2" s="955"/>
      <c r="F2" s="948"/>
      <c r="G2" s="948"/>
      <c r="H2" s="947"/>
      <c r="I2" s="949"/>
      <c r="J2" s="122" t="s">
        <v>100</v>
      </c>
      <c r="K2" s="123" t="s">
        <v>578</v>
      </c>
      <c r="L2" s="124" t="s">
        <v>579</v>
      </c>
      <c r="M2" s="125" t="s">
        <v>577</v>
      </c>
      <c r="N2" s="126" t="s">
        <v>328</v>
      </c>
      <c r="O2" s="145" t="s">
        <v>1929</v>
      </c>
      <c r="P2" s="145" t="s">
        <v>1930</v>
      </c>
      <c r="Q2" s="145" t="s">
        <v>1257</v>
      </c>
      <c r="R2" s="145" t="s">
        <v>1210</v>
      </c>
      <c r="S2" s="145" t="s">
        <v>1931</v>
      </c>
      <c r="T2" s="145" t="s">
        <v>1258</v>
      </c>
      <c r="U2" s="145" t="s">
        <v>1249</v>
      </c>
      <c r="V2" s="523" t="s">
        <v>1205</v>
      </c>
      <c r="W2" s="145" t="s">
        <v>8085</v>
      </c>
      <c r="X2" s="145" t="s">
        <v>1935</v>
      </c>
      <c r="Y2" s="145" t="s">
        <v>8088</v>
      </c>
      <c r="Z2" s="145" t="s">
        <v>8089</v>
      </c>
      <c r="AA2" s="954"/>
      <c r="AB2" s="952"/>
      <c r="AC2" s="950"/>
      <c r="AD2" s="950"/>
      <c r="AE2" s="951"/>
      <c r="AF2" s="952"/>
      <c r="AG2" s="950"/>
      <c r="AH2" s="950"/>
      <c r="AI2" s="951"/>
      <c r="AJ2" s="952"/>
      <c r="AK2" s="950"/>
      <c r="AL2" s="950"/>
      <c r="AM2" s="951"/>
      <c r="AN2" s="952"/>
      <c r="AO2" s="950"/>
      <c r="AP2" s="950"/>
      <c r="AQ2" s="951"/>
      <c r="AR2" s="950"/>
      <c r="AS2" s="951"/>
      <c r="AT2" s="950"/>
      <c r="AU2" s="951"/>
      <c r="AV2" s="951"/>
      <c r="AW2" s="954"/>
      <c r="AX2" s="954"/>
      <c r="AY2" s="953"/>
      <c r="AZ2" s="953"/>
      <c r="BA2" s="558" t="s">
        <v>8361</v>
      </c>
      <c r="BB2" s="552" t="s">
        <v>8362</v>
      </c>
      <c r="BC2" s="552" t="s">
        <v>8363</v>
      </c>
      <c r="BD2" s="552" t="s">
        <v>8364</v>
      </c>
      <c r="BE2" s="552" t="s">
        <v>8365</v>
      </c>
      <c r="BF2" s="552" t="s">
        <v>8366</v>
      </c>
      <c r="BG2" s="552" t="s">
        <v>8367</v>
      </c>
      <c r="BH2" s="552" t="s">
        <v>8368</v>
      </c>
      <c r="BI2" s="556" t="s">
        <v>8369</v>
      </c>
      <c r="BL2" s="516"/>
      <c r="BM2" s="576"/>
    </row>
    <row r="3" spans="1:65" s="196" customFormat="1" ht="47.25" customHeight="1" x14ac:dyDescent="0.25">
      <c r="A3" s="162" t="str">
        <f>IF(AND(Réputation&gt;Voies!E3-1,OR(C3=TRUE,Calculs!$I$8&gt;0),Air&gt;Voies!J3-1,Eau&gt;Voies!K3-1,Feu&gt;Voies!L3-1,Terre&gt;Voies!M3-1,Vide&gt;Voies!N3-1,Constitution&gt;Voies!O3-1,Volonté&gt;Voies!P3-1,Force&gt;Voies!Q3-1,Perception&gt;Voies!R3-1,Reflexes&gt;Voies!S3-1,Agilité&gt;Voies!T3-1,Intuition&gt;Voies!U3-1,Intelligence&gt;Voies!V3-1,Souillure&gt;Voies!W3-1,Honneur&gt;X3-1,Statut&gt;Y3-1,Gloire&gt;Z3-1,AV3=TRUE),Voies!B3,"")</f>
        <v/>
      </c>
      <c r="B3" s="162" t="s">
        <v>7158</v>
      </c>
      <c r="C3" s="162" t="b">
        <f>IF(Clan=Voies!D3,TRUE,FALSE)</f>
        <v>0</v>
      </c>
      <c r="D3" s="388" t="s">
        <v>6795</v>
      </c>
      <c r="E3" s="199">
        <v>1</v>
      </c>
      <c r="F3" s="199">
        <v>1</v>
      </c>
      <c r="G3" s="199" t="s">
        <v>2052</v>
      </c>
      <c r="H3" s="162" t="s">
        <v>6974</v>
      </c>
      <c r="I3" s="129" t="str">
        <f>IF(B3="","","Rien")</f>
        <v>Rien</v>
      </c>
      <c r="J3" s="146">
        <v>0</v>
      </c>
      <c r="K3" s="147">
        <v>0</v>
      </c>
      <c r="L3" s="148">
        <v>0</v>
      </c>
      <c r="M3" s="149">
        <v>0</v>
      </c>
      <c r="N3" s="150">
        <v>0</v>
      </c>
      <c r="O3" s="130">
        <v>0</v>
      </c>
      <c r="P3" s="130">
        <v>0</v>
      </c>
      <c r="Q3" s="130">
        <v>0</v>
      </c>
      <c r="R3" s="130">
        <v>0</v>
      </c>
      <c r="S3" s="130">
        <v>0</v>
      </c>
      <c r="T3" s="130">
        <v>0</v>
      </c>
      <c r="U3" s="130">
        <v>0</v>
      </c>
      <c r="V3" s="524">
        <v>0</v>
      </c>
      <c r="W3" s="130">
        <v>0</v>
      </c>
      <c r="X3" s="130">
        <v>0</v>
      </c>
      <c r="Y3" s="130">
        <v>0</v>
      </c>
      <c r="Z3" s="130">
        <v>0</v>
      </c>
      <c r="AA3" s="158" t="s">
        <v>2078</v>
      </c>
      <c r="AB3" s="158"/>
      <c r="AC3" s="158"/>
      <c r="AD3" s="158"/>
      <c r="AE3" s="158" t="b">
        <f>IF(AB3="",TRUE,IF(IF(AC3="",VLOOKUP(AB3,Calculs!$A$19:$S$425,19,FALSE),VLOOKUP(AC3,Calculs!$A$19:$S$425,19,FALSE))&gt;=AD3,TRUE,FALSE))</f>
        <v>1</v>
      </c>
      <c r="AF3" s="158"/>
      <c r="AG3" s="158"/>
      <c r="AH3" s="158"/>
      <c r="AI3" s="158" t="b">
        <f>IF(AF3="",TRUE,IF(IF(AG3="",VLOOKUP(AF3,Calculs!$A$19:$S$425,19,FALSE),VLOOKUP(AG3,Calculs!$A$19:$S$425,19,FALSE))&gt;=AH3,TRUE,FALSE))</f>
        <v>1</v>
      </c>
      <c r="AJ3" s="158"/>
      <c r="AK3" s="158"/>
      <c r="AL3" s="158"/>
      <c r="AM3" s="158" t="b">
        <f>IF(AJ3="",TRUE,IF(IF(AK3="",VLOOKUP(AJ3,Calculs!$A$19:$S$425,19,FALSE),VLOOKUP(AK3,Calculs!$A$19:$S$425,19,FALSE))&gt;=AL3,TRUE,FALSE))</f>
        <v>1</v>
      </c>
      <c r="AN3" s="158"/>
      <c r="AO3" s="158"/>
      <c r="AP3" s="158"/>
      <c r="AQ3" s="158" t="b">
        <f>IF(AN3="",TRUE,IF(IF(AO3="",VLOOKUP(AN3,Calculs!$A$19:$S$425,19,FALSE),VLOOKUP(AO3,Calculs!$A$19:$S$425,19,FALSE))&gt;=AP3,TRUE,FALSE))</f>
        <v>1</v>
      </c>
      <c r="AR3" s="158"/>
      <c r="AS3" s="158" t="b">
        <f>IF(AR3="",TRUE,IF(VLOOKUP(AR3,Calculs!$A$427:$G$738,7,FALSE)&gt;0,TRUE,FALSE))</f>
        <v>1</v>
      </c>
      <c r="AT3" s="158"/>
      <c r="AU3" s="158" t="b">
        <f>IF(AT3="",TRUE,IF(VLOOKUP(AT3,Calculs!$A$740:$G$912,7,FALSE)&gt;0,TRUE,FALSE))</f>
        <v>1</v>
      </c>
      <c r="AV3" s="158" t="b">
        <f t="shared" ref="AV3:AV66" si="0">IF(AND(AE3=TRUE,AI3=TRUE,AM3=TRUE,AQ3=TRUE,AS3=TRUE,AU3=TRUE),TRUE,FALSE)</f>
        <v>1</v>
      </c>
      <c r="AW3" s="158" t="s">
        <v>2078</v>
      </c>
      <c r="AX3" s="162" t="s">
        <v>6816</v>
      </c>
      <c r="AY3" s="15">
        <v>126</v>
      </c>
      <c r="AZ3" s="566" t="s">
        <v>8510</v>
      </c>
      <c r="BA3" s="559">
        <f>IF(Verso!$B$10=Voies!$B3,1,0)</f>
        <v>0</v>
      </c>
      <c r="BB3" s="12">
        <f>IF(Verso!$B$11=Voies!$B3,1,0)</f>
        <v>0</v>
      </c>
      <c r="BC3" s="12">
        <f>IF(Verso!$B$12=Voies!$B3,1,0)</f>
        <v>0</v>
      </c>
      <c r="BD3" s="12">
        <f>IF(Verso!$B$13=Voies!$B3,1,0)</f>
        <v>0</v>
      </c>
      <c r="BE3" s="12">
        <f>IF(Verso!$B$14=Voies!$B3,1,0)</f>
        <v>0</v>
      </c>
      <c r="BF3" s="12">
        <f>IF(Verso!$B$15=Voies!$B3,1,0)</f>
        <v>0</v>
      </c>
      <c r="BG3" s="12">
        <f>IF(Verso!$B$16=Voies!$B3,1,0)</f>
        <v>0</v>
      </c>
      <c r="BH3" s="12">
        <f>IF(Verso!$B$17=Voies!$B3,1,0)</f>
        <v>0</v>
      </c>
      <c r="BI3" s="557">
        <f t="shared" ref="BI3:BI66" si="1">SUM(BA3:BH3)</f>
        <v>0</v>
      </c>
      <c r="BJ3" s="196" t="str">
        <f>IF(A3="","",ROW())</f>
        <v/>
      </c>
      <c r="BK3" s="196">
        <f>IFERROR(SMALL(BJ:BJ,ROW()-2),"")</f>
        <v>8</v>
      </c>
      <c r="BL3" s="295" t="str">
        <f>IFERROR(INDEX(A:A,BK3),"")</f>
        <v>La Méthode d'Iuchiban</v>
      </c>
      <c r="BM3" s="91"/>
    </row>
    <row r="4" spans="1:65" s="196" customFormat="1" ht="47.25" customHeight="1" x14ac:dyDescent="0.25">
      <c r="A4" s="162" t="str">
        <f>IF(AND(Réputation&gt;Voies!E4-1,OR(C4=TRUE,Calculs!$I$8&gt;0),Air&gt;Voies!J4-1,Eau&gt;Voies!K4-1,Feu&gt;Voies!L4-1,Terre&gt;Voies!M4-1,Vide&gt;Voies!N4-1,Constitution&gt;Voies!O4-1,Volonté&gt;Voies!P4-1,Force&gt;Voies!Q4-1,Perception&gt;Voies!R4-1,Reflexes&gt;Voies!S4-1,Agilité&gt;Voies!T4-1,Intuition&gt;Voies!U4-1,Intelligence&gt;Voies!V4-1,Souillure&gt;Voies!W4-1,Honneur&gt;X4-1,Statut&gt;Y4-1,Gloire&gt;Z4-1,AV4=TRUE),Voies!B4,"")</f>
        <v/>
      </c>
      <c r="B4" s="162" t="s">
        <v>7159</v>
      </c>
      <c r="C4" s="162" t="b">
        <f>IF(Clan=Voies!D4,TRUE,FALSE)</f>
        <v>0</v>
      </c>
      <c r="D4" s="388" t="s">
        <v>6795</v>
      </c>
      <c r="E4" s="199">
        <v>2</v>
      </c>
      <c r="F4" s="199">
        <v>2</v>
      </c>
      <c r="G4" s="199" t="s">
        <v>2052</v>
      </c>
      <c r="H4" s="162" t="s">
        <v>6974</v>
      </c>
      <c r="I4" s="129" t="str">
        <f>IF(B4="","","Rien")</f>
        <v>Rien</v>
      </c>
      <c r="J4" s="146">
        <v>0</v>
      </c>
      <c r="K4" s="147">
        <v>0</v>
      </c>
      <c r="L4" s="148">
        <v>0</v>
      </c>
      <c r="M4" s="149">
        <v>0</v>
      </c>
      <c r="N4" s="150">
        <v>0</v>
      </c>
      <c r="O4" s="130">
        <v>0</v>
      </c>
      <c r="P4" s="130">
        <v>0</v>
      </c>
      <c r="Q4" s="130">
        <v>0</v>
      </c>
      <c r="R4" s="130">
        <v>0</v>
      </c>
      <c r="S4" s="130">
        <v>0</v>
      </c>
      <c r="T4" s="130">
        <v>0</v>
      </c>
      <c r="U4" s="130">
        <v>0</v>
      </c>
      <c r="V4" s="524">
        <v>0</v>
      </c>
      <c r="W4" s="130">
        <v>0</v>
      </c>
      <c r="X4" s="130">
        <v>0</v>
      </c>
      <c r="Y4" s="130">
        <v>0</v>
      </c>
      <c r="Z4" s="130">
        <v>0</v>
      </c>
      <c r="AA4" s="158" t="s">
        <v>2078</v>
      </c>
      <c r="AB4" s="158"/>
      <c r="AC4" s="158"/>
      <c r="AD4" s="158"/>
      <c r="AE4" s="158" t="b">
        <f>IF(AB4="",TRUE,IF(IF(AC4="",VLOOKUP(AB4,Calculs!$A$19:$S$425,19,FALSE),VLOOKUP(AC4,Calculs!$A$19:$S$425,19,FALSE))&gt;=AD4,TRUE,FALSE))</f>
        <v>1</v>
      </c>
      <c r="AF4" s="158"/>
      <c r="AG4" s="158"/>
      <c r="AH4" s="158"/>
      <c r="AI4" s="158" t="b">
        <f>IF(AF4="",TRUE,IF(IF(AG4="",VLOOKUP(AF4,Calculs!$A$19:$S$425,19,FALSE),VLOOKUP(AG4,Calculs!$A$19:$S$425,19,FALSE))&gt;=AH4,TRUE,FALSE))</f>
        <v>1</v>
      </c>
      <c r="AJ4" s="158"/>
      <c r="AK4" s="158"/>
      <c r="AL4" s="158"/>
      <c r="AM4" s="158" t="b">
        <f>IF(AJ4="",TRUE,IF(IF(AK4="",VLOOKUP(AJ4,Calculs!$A$19:$S$425,19,FALSE),VLOOKUP(AK4,Calculs!$A$19:$S$425,19,FALSE))&gt;=AL4,TRUE,FALSE))</f>
        <v>1</v>
      </c>
      <c r="AN4" s="158"/>
      <c r="AO4" s="158"/>
      <c r="AP4" s="158"/>
      <c r="AQ4" s="158" t="b">
        <f>IF(AN4="",TRUE,IF(IF(AO4="",VLOOKUP(AN4,Calculs!$A$19:$S$425,19,FALSE),VLOOKUP(AO4,Calculs!$A$19:$S$425,19,FALSE))&gt;=AP4,TRUE,FALSE))</f>
        <v>1</v>
      </c>
      <c r="AR4" s="158"/>
      <c r="AS4" s="158" t="b">
        <f>IF(AR4="",TRUE,IF(VLOOKUP(AR4,Calculs!$A$427:$G$738,7,FALSE)&gt;0,TRUE,FALSE))</f>
        <v>1</v>
      </c>
      <c r="AT4" s="158"/>
      <c r="AU4" s="158" t="b">
        <f>IF(AT4="",TRUE,IF(VLOOKUP(AT4,Calculs!$A$740:$G$912,7,FALSE)&gt;0,TRUE,FALSE))</f>
        <v>1</v>
      </c>
      <c r="AV4" s="158" t="b">
        <f t="shared" si="0"/>
        <v>1</v>
      </c>
      <c r="AW4" s="158" t="s">
        <v>2078</v>
      </c>
      <c r="AX4" s="162" t="s">
        <v>6816</v>
      </c>
      <c r="AY4" s="15">
        <v>126</v>
      </c>
      <c r="AZ4" s="555" t="s">
        <v>7163</v>
      </c>
      <c r="BA4" s="559">
        <f>IF(Verso!$B$10=Voies!$B4,1,0)</f>
        <v>0</v>
      </c>
      <c r="BB4" s="12">
        <f>IF(Verso!$B$11=Voies!$B4,1,0)</f>
        <v>0</v>
      </c>
      <c r="BC4" s="12">
        <f>IF(Verso!$B$12=Voies!$B4,1,0)</f>
        <v>0</v>
      </c>
      <c r="BD4" s="12">
        <f>IF(Verso!$B$13=Voies!$B4,1,0)</f>
        <v>0</v>
      </c>
      <c r="BE4" s="12">
        <f>IF(Verso!$B$14=Voies!$B4,1,0)</f>
        <v>0</v>
      </c>
      <c r="BF4" s="12">
        <f>IF(Verso!$B$15=Voies!$B4,1,0)</f>
        <v>0</v>
      </c>
      <c r="BG4" s="12">
        <f>IF(Verso!$B$16=Voies!$B4,1,0)</f>
        <v>0</v>
      </c>
      <c r="BH4" s="12">
        <f>IF(Verso!$B$17=Voies!$B4,1,0)</f>
        <v>0</v>
      </c>
      <c r="BI4" s="557">
        <f t="shared" si="1"/>
        <v>0</v>
      </c>
      <c r="BJ4" s="196" t="str">
        <f t="shared" ref="BJ4:BJ67" si="2">IF(A4="","",ROW())</f>
        <v/>
      </c>
      <c r="BK4" s="196">
        <f t="shared" ref="BK4:BK67" si="3">IFERROR(SMALL(BJ:BJ,ROW()-2),"")</f>
        <v>471</v>
      </c>
      <c r="BL4" s="295" t="str">
        <f t="shared" ref="BL4:BL67" si="4">IFERROR(INDEX(A:A,BK4),"")</f>
        <v>L'Aile du Tonnerre</v>
      </c>
      <c r="BM4" s="91"/>
    </row>
    <row r="5" spans="1:65" s="196" customFormat="1" ht="47.25" customHeight="1" x14ac:dyDescent="0.25">
      <c r="A5" s="162" t="str">
        <f>IF(AND(Réputation&gt;Voies!E5-1,OR(C5=TRUE,Calculs!$I$8&gt;0),Air&gt;Voies!J5-1,Eau&gt;Voies!K5-1,Feu&gt;Voies!L5-1,Terre&gt;Voies!M5-1,Vide&gt;Voies!N5-1,Constitution&gt;Voies!O5-1,Volonté&gt;Voies!P5-1,Force&gt;Voies!Q5-1,Perception&gt;Voies!R5-1,Reflexes&gt;Voies!S5-1,Agilité&gt;Voies!T5-1,Intuition&gt;Voies!U5-1,Intelligence&gt;Voies!V5-1,Souillure&gt;Voies!W5-1,Honneur&gt;X5-1,Statut&gt;Y5-1,Gloire&gt;Z5-1,AV5=TRUE),Voies!B5,"")</f>
        <v/>
      </c>
      <c r="B5" s="162" t="s">
        <v>7160</v>
      </c>
      <c r="C5" s="162" t="b">
        <f>IF(Clan=Voies!D5,TRUE,FALSE)</f>
        <v>0</v>
      </c>
      <c r="D5" s="388" t="s">
        <v>6795</v>
      </c>
      <c r="E5" s="199">
        <v>3</v>
      </c>
      <c r="F5" s="199">
        <v>3</v>
      </c>
      <c r="G5" s="199" t="s">
        <v>2052</v>
      </c>
      <c r="H5" s="162" t="s">
        <v>6974</v>
      </c>
      <c r="I5" s="129" t="str">
        <f>IF(B5="","","Rien")</f>
        <v>Rien</v>
      </c>
      <c r="J5" s="146">
        <v>0</v>
      </c>
      <c r="K5" s="147">
        <v>0</v>
      </c>
      <c r="L5" s="148">
        <v>0</v>
      </c>
      <c r="M5" s="149">
        <v>0</v>
      </c>
      <c r="N5" s="150">
        <v>0</v>
      </c>
      <c r="O5" s="130">
        <v>0</v>
      </c>
      <c r="P5" s="130">
        <v>0</v>
      </c>
      <c r="Q5" s="130">
        <v>0</v>
      </c>
      <c r="R5" s="130">
        <v>0</v>
      </c>
      <c r="S5" s="130">
        <v>0</v>
      </c>
      <c r="T5" s="130">
        <v>0</v>
      </c>
      <c r="U5" s="130">
        <v>0</v>
      </c>
      <c r="V5" s="524">
        <v>0</v>
      </c>
      <c r="W5" s="130">
        <v>0</v>
      </c>
      <c r="X5" s="130">
        <v>0</v>
      </c>
      <c r="Y5" s="130">
        <v>0</v>
      </c>
      <c r="Z5" s="130">
        <v>0</v>
      </c>
      <c r="AA5" s="158" t="s">
        <v>2078</v>
      </c>
      <c r="AB5" s="158"/>
      <c r="AC5" s="158"/>
      <c r="AD5" s="158"/>
      <c r="AE5" s="158" t="b">
        <f>IF(AB5="",TRUE,IF(IF(AC5="",VLOOKUP(AB5,Calculs!$A$19:$S$425,19,FALSE),VLOOKUP(AC5,Calculs!$A$19:$S$425,19,FALSE))&gt;=AD5,TRUE,FALSE))</f>
        <v>1</v>
      </c>
      <c r="AF5" s="158"/>
      <c r="AG5" s="158"/>
      <c r="AH5" s="158"/>
      <c r="AI5" s="158" t="b">
        <f>IF(AF5="",TRUE,IF(IF(AG5="",VLOOKUP(AF5,Calculs!$A$19:$S$425,19,FALSE),VLOOKUP(AG5,Calculs!$A$19:$S$425,19,FALSE))&gt;=AH5,TRUE,FALSE))</f>
        <v>1</v>
      </c>
      <c r="AJ5" s="158"/>
      <c r="AK5" s="158"/>
      <c r="AL5" s="158"/>
      <c r="AM5" s="158" t="b">
        <f>IF(AJ5="",TRUE,IF(IF(AK5="",VLOOKUP(AJ5,Calculs!$A$19:$S$425,19,FALSE),VLOOKUP(AK5,Calculs!$A$19:$S$425,19,FALSE))&gt;=AL5,TRUE,FALSE))</f>
        <v>1</v>
      </c>
      <c r="AN5" s="158"/>
      <c r="AO5" s="158"/>
      <c r="AP5" s="158"/>
      <c r="AQ5" s="158" t="b">
        <f>IF(AN5="",TRUE,IF(IF(AO5="",VLOOKUP(AN5,Calculs!$A$19:$S$425,19,FALSE),VLOOKUP(AO5,Calculs!$A$19:$S$425,19,FALSE))&gt;=AP5,TRUE,FALSE))</f>
        <v>1</v>
      </c>
      <c r="AR5" s="158"/>
      <c r="AS5" s="158" t="b">
        <f>IF(AR5="",TRUE,IF(VLOOKUP(AR5,Calculs!$A$427:$G$738,7,FALSE)&gt;0,TRUE,FALSE))</f>
        <v>1</v>
      </c>
      <c r="AT5" s="158"/>
      <c r="AU5" s="158" t="b">
        <f>IF(AT5="",TRUE,IF(VLOOKUP(AT5,Calculs!$A$740:$G$912,7,FALSE)&gt;0,TRUE,FALSE))</f>
        <v>1</v>
      </c>
      <c r="AV5" s="158" t="b">
        <f t="shared" si="0"/>
        <v>1</v>
      </c>
      <c r="AW5" s="158" t="s">
        <v>2078</v>
      </c>
      <c r="AX5" s="162" t="s">
        <v>6816</v>
      </c>
      <c r="AY5" s="15">
        <v>126</v>
      </c>
      <c r="AZ5" s="555" t="s">
        <v>7164</v>
      </c>
      <c r="BA5" s="559">
        <f>IF(Verso!$B$10=Voies!$B5,1,0)</f>
        <v>0</v>
      </c>
      <c r="BB5" s="12">
        <f>IF(Verso!$B$11=Voies!$B5,1,0)</f>
        <v>0</v>
      </c>
      <c r="BC5" s="12">
        <f>IF(Verso!$B$12=Voies!$B5,1,0)</f>
        <v>0</v>
      </c>
      <c r="BD5" s="12">
        <f>IF(Verso!$B$13=Voies!$B5,1,0)</f>
        <v>0</v>
      </c>
      <c r="BE5" s="12">
        <f>IF(Verso!$B$14=Voies!$B5,1,0)</f>
        <v>0</v>
      </c>
      <c r="BF5" s="12">
        <f>IF(Verso!$B$15=Voies!$B5,1,0)</f>
        <v>0</v>
      </c>
      <c r="BG5" s="12">
        <f>IF(Verso!$B$16=Voies!$B5,1,0)</f>
        <v>0</v>
      </c>
      <c r="BH5" s="12">
        <f>IF(Verso!$B$17=Voies!$B5,1,0)</f>
        <v>0</v>
      </c>
      <c r="BI5" s="557">
        <f t="shared" si="1"/>
        <v>0</v>
      </c>
      <c r="BJ5" s="196" t="str">
        <f t="shared" si="2"/>
        <v/>
      </c>
      <c r="BK5" s="196">
        <f t="shared" si="3"/>
        <v>748</v>
      </c>
      <c r="BL5" s="295" t="str">
        <f t="shared" si="4"/>
        <v>Manteau de la Nuit</v>
      </c>
      <c r="BM5" s="91"/>
    </row>
    <row r="6" spans="1:65" s="196" customFormat="1" ht="47.25" customHeight="1" x14ac:dyDescent="0.25">
      <c r="A6" s="162" t="str">
        <f>IF(AND(Réputation&gt;Voies!E6-1,OR(C6=TRUE,Calculs!$I$8&gt;0),Air&gt;Voies!J6-1,Eau&gt;Voies!K6-1,Feu&gt;Voies!L6-1,Terre&gt;Voies!M6-1,Vide&gt;Voies!N6-1,Constitution&gt;Voies!O6-1,Volonté&gt;Voies!P6-1,Force&gt;Voies!Q6-1,Perception&gt;Voies!R6-1,Reflexes&gt;Voies!S6-1,Agilité&gt;Voies!T6-1,Intuition&gt;Voies!U6-1,Intelligence&gt;Voies!V6-1,Souillure&gt;Voies!W6-1,Honneur&gt;X6-1,Statut&gt;Y6-1,Gloire&gt;Z6-1,AV6=TRUE),Voies!B6,"")</f>
        <v/>
      </c>
      <c r="B6" s="162" t="s">
        <v>7161</v>
      </c>
      <c r="C6" s="162" t="b">
        <f>IF(Clan=Voies!D6,TRUE,FALSE)</f>
        <v>0</v>
      </c>
      <c r="D6" s="388" t="s">
        <v>6795</v>
      </c>
      <c r="E6" s="199">
        <v>4</v>
      </c>
      <c r="F6" s="199">
        <v>4</v>
      </c>
      <c r="G6" s="199" t="s">
        <v>2052</v>
      </c>
      <c r="H6" s="162" t="s">
        <v>6974</v>
      </c>
      <c r="I6" s="129" t="str">
        <f>IF(B6="","","Rien")</f>
        <v>Rien</v>
      </c>
      <c r="J6" s="146">
        <v>0</v>
      </c>
      <c r="K6" s="147">
        <v>0</v>
      </c>
      <c r="L6" s="148">
        <v>0</v>
      </c>
      <c r="M6" s="149">
        <v>0</v>
      </c>
      <c r="N6" s="150">
        <v>0</v>
      </c>
      <c r="O6" s="130">
        <v>0</v>
      </c>
      <c r="P6" s="130">
        <v>0</v>
      </c>
      <c r="Q6" s="130">
        <v>0</v>
      </c>
      <c r="R6" s="130">
        <v>0</v>
      </c>
      <c r="S6" s="130">
        <v>0</v>
      </c>
      <c r="T6" s="130">
        <v>0</v>
      </c>
      <c r="U6" s="130">
        <v>0</v>
      </c>
      <c r="V6" s="524">
        <v>0</v>
      </c>
      <c r="W6" s="130">
        <v>0</v>
      </c>
      <c r="X6" s="130">
        <v>0</v>
      </c>
      <c r="Y6" s="130">
        <v>0</v>
      </c>
      <c r="Z6" s="130">
        <v>0</v>
      </c>
      <c r="AA6" s="158" t="s">
        <v>2078</v>
      </c>
      <c r="AB6" s="158"/>
      <c r="AC6" s="158"/>
      <c r="AD6" s="158"/>
      <c r="AE6" s="158" t="b">
        <f>IF(AB6="",TRUE,IF(IF(AC6="",VLOOKUP(AB6,Calculs!$A$19:$S$425,19,FALSE),VLOOKUP(AC6,Calculs!$A$19:$S$425,19,FALSE))&gt;=AD6,TRUE,FALSE))</f>
        <v>1</v>
      </c>
      <c r="AF6" s="158"/>
      <c r="AG6" s="158"/>
      <c r="AH6" s="158"/>
      <c r="AI6" s="158" t="b">
        <f>IF(AF6="",TRUE,IF(IF(AG6="",VLOOKUP(AF6,Calculs!$A$19:$S$425,19,FALSE),VLOOKUP(AG6,Calculs!$A$19:$S$425,19,FALSE))&gt;=AH6,TRUE,FALSE))</f>
        <v>1</v>
      </c>
      <c r="AJ6" s="158"/>
      <c r="AK6" s="158"/>
      <c r="AL6" s="158"/>
      <c r="AM6" s="158" t="b">
        <f>IF(AJ6="",TRUE,IF(IF(AK6="",VLOOKUP(AJ6,Calculs!$A$19:$S$425,19,FALSE),VLOOKUP(AK6,Calculs!$A$19:$S$425,19,FALSE))&gt;=AL6,TRUE,FALSE))</f>
        <v>1</v>
      </c>
      <c r="AN6" s="158"/>
      <c r="AO6" s="158"/>
      <c r="AP6" s="158"/>
      <c r="AQ6" s="158" t="b">
        <f>IF(AN6="",TRUE,IF(IF(AO6="",VLOOKUP(AN6,Calculs!$A$19:$S$425,19,FALSE),VLOOKUP(AO6,Calculs!$A$19:$S$425,19,FALSE))&gt;=AP6,TRUE,FALSE))</f>
        <v>1</v>
      </c>
      <c r="AR6" s="158"/>
      <c r="AS6" s="158" t="b">
        <f>IF(AR6="",TRUE,IF(VLOOKUP(AR6,Calculs!$A$427:$G$738,7,FALSE)&gt;0,TRUE,FALSE))</f>
        <v>1</v>
      </c>
      <c r="AT6" s="158"/>
      <c r="AU6" s="158" t="b">
        <f>IF(AT6="",TRUE,IF(VLOOKUP(AT6,Calculs!$A$740:$G$912,7,FALSE)&gt;0,TRUE,FALSE))</f>
        <v>1</v>
      </c>
      <c r="AV6" s="158" t="b">
        <f t="shared" si="0"/>
        <v>1</v>
      </c>
      <c r="AW6" s="158" t="s">
        <v>2078</v>
      </c>
      <c r="AX6" s="162" t="s">
        <v>6816</v>
      </c>
      <c r="AY6" s="15">
        <v>127</v>
      </c>
      <c r="AZ6" s="555" t="s">
        <v>7165</v>
      </c>
      <c r="BA6" s="559">
        <f>IF(Verso!$B$10=Voies!$B6,1,0)</f>
        <v>0</v>
      </c>
      <c r="BB6" s="12">
        <f>IF(Verso!$B$11=Voies!$B6,1,0)</f>
        <v>0</v>
      </c>
      <c r="BC6" s="12">
        <f>IF(Verso!$B$12=Voies!$B6,1,0)</f>
        <v>0</v>
      </c>
      <c r="BD6" s="12">
        <f>IF(Verso!$B$13=Voies!$B6,1,0)</f>
        <v>0</v>
      </c>
      <c r="BE6" s="12">
        <f>IF(Verso!$B$14=Voies!$B6,1,0)</f>
        <v>0</v>
      </c>
      <c r="BF6" s="12">
        <f>IF(Verso!$B$15=Voies!$B6,1,0)</f>
        <v>0</v>
      </c>
      <c r="BG6" s="12">
        <f>IF(Verso!$B$16=Voies!$B6,1,0)</f>
        <v>0</v>
      </c>
      <c r="BH6" s="12">
        <f>IF(Verso!$B$17=Voies!$B6,1,0)</f>
        <v>0</v>
      </c>
      <c r="BI6" s="557">
        <f t="shared" si="1"/>
        <v>0</v>
      </c>
      <c r="BJ6" s="196" t="str">
        <f t="shared" si="2"/>
        <v/>
      </c>
      <c r="BK6" s="196">
        <f t="shared" si="3"/>
        <v>749</v>
      </c>
      <c r="BL6" s="295" t="str">
        <f t="shared" si="4"/>
        <v>Masque du Néant</v>
      </c>
      <c r="BM6" s="91"/>
    </row>
    <row r="7" spans="1:65" s="196" customFormat="1" ht="47.25" customHeight="1" x14ac:dyDescent="0.25">
      <c r="A7" s="162" t="str">
        <f>IF(AND(Réputation&gt;Voies!E7-1,OR(C7=TRUE,Calculs!$I$8&gt;0),Air&gt;Voies!J7-1,Eau&gt;Voies!K7-1,Feu&gt;Voies!L7-1,Terre&gt;Voies!M7-1,Vide&gt;Voies!N7-1,Constitution&gt;Voies!O7-1,Volonté&gt;Voies!P7-1,Force&gt;Voies!Q7-1,Perception&gt;Voies!R7-1,Reflexes&gt;Voies!S7-1,Agilité&gt;Voies!T7-1,Intuition&gt;Voies!U7-1,Intelligence&gt;Voies!V7-1,Souillure&gt;Voies!W7-1,Honneur&gt;X7-1,Statut&gt;Y7-1,Gloire&gt;Z7-1,AV7=TRUE),Voies!B7,"")</f>
        <v/>
      </c>
      <c r="B7" s="162" t="s">
        <v>7162</v>
      </c>
      <c r="C7" s="162" t="b">
        <f>IF(Clan=Voies!D7,TRUE,FALSE)</f>
        <v>0</v>
      </c>
      <c r="D7" s="388" t="s">
        <v>6795</v>
      </c>
      <c r="E7" s="199">
        <v>5</v>
      </c>
      <c r="F7" s="199">
        <v>5</v>
      </c>
      <c r="G7" s="199" t="s">
        <v>2052</v>
      </c>
      <c r="H7" s="162" t="s">
        <v>6974</v>
      </c>
      <c r="I7" s="129" t="str">
        <f>IF(B7="","","Rien")</f>
        <v>Rien</v>
      </c>
      <c r="J7" s="146">
        <v>0</v>
      </c>
      <c r="K7" s="147">
        <v>0</v>
      </c>
      <c r="L7" s="148">
        <v>0</v>
      </c>
      <c r="M7" s="149">
        <v>0</v>
      </c>
      <c r="N7" s="150">
        <v>0</v>
      </c>
      <c r="O7" s="130">
        <v>0</v>
      </c>
      <c r="P7" s="130">
        <v>0</v>
      </c>
      <c r="Q7" s="130">
        <v>0</v>
      </c>
      <c r="R7" s="130">
        <v>0</v>
      </c>
      <c r="S7" s="130">
        <v>0</v>
      </c>
      <c r="T7" s="130">
        <v>0</v>
      </c>
      <c r="U7" s="130">
        <v>0</v>
      </c>
      <c r="V7" s="524">
        <v>0</v>
      </c>
      <c r="W7" s="130">
        <v>0</v>
      </c>
      <c r="X7" s="130">
        <v>0</v>
      </c>
      <c r="Y7" s="130">
        <v>0</v>
      </c>
      <c r="Z7" s="130">
        <v>0</v>
      </c>
      <c r="AA7" s="158" t="s">
        <v>2078</v>
      </c>
      <c r="AB7" s="158"/>
      <c r="AC7" s="158"/>
      <c r="AD7" s="158"/>
      <c r="AE7" s="158" t="b">
        <f>IF(AB7="",TRUE,IF(IF(AC7="",VLOOKUP(AB7,Calculs!$A$19:$S$425,19,FALSE),VLOOKUP(AC7,Calculs!$A$19:$S$425,19,FALSE))&gt;=AD7,TRUE,FALSE))</f>
        <v>1</v>
      </c>
      <c r="AF7" s="158"/>
      <c r="AG7" s="158"/>
      <c r="AH7" s="158"/>
      <c r="AI7" s="158" t="b">
        <f>IF(AF7="",TRUE,IF(IF(AG7="",VLOOKUP(AF7,Calculs!$A$19:$S$425,19,FALSE),VLOOKUP(AG7,Calculs!$A$19:$S$425,19,FALSE))&gt;=AH7,TRUE,FALSE))</f>
        <v>1</v>
      </c>
      <c r="AJ7" s="158"/>
      <c r="AK7" s="158"/>
      <c r="AL7" s="158"/>
      <c r="AM7" s="158" t="b">
        <f>IF(AJ7="",TRUE,IF(IF(AK7="",VLOOKUP(AJ7,Calculs!$A$19:$S$425,19,FALSE),VLOOKUP(AK7,Calculs!$A$19:$S$425,19,FALSE))&gt;=AL7,TRUE,FALSE))</f>
        <v>1</v>
      </c>
      <c r="AN7" s="158"/>
      <c r="AO7" s="158"/>
      <c r="AP7" s="158"/>
      <c r="AQ7" s="158" t="b">
        <f>IF(AN7="",TRUE,IF(IF(AO7="",VLOOKUP(AN7,Calculs!$A$19:$S$425,19,FALSE),VLOOKUP(AO7,Calculs!$A$19:$S$425,19,FALSE))&gt;=AP7,TRUE,FALSE))</f>
        <v>1</v>
      </c>
      <c r="AR7" s="158"/>
      <c r="AS7" s="158" t="b">
        <f>IF(AR7="",TRUE,IF(VLOOKUP(AR7,Calculs!$A$427:$G$738,7,FALSE)&gt;0,TRUE,FALSE))</f>
        <v>1</v>
      </c>
      <c r="AT7" s="158"/>
      <c r="AU7" s="158" t="b">
        <f>IF(AT7="",TRUE,IF(VLOOKUP(AT7,Calculs!$A$740:$G$912,7,FALSE)&gt;0,TRUE,FALSE))</f>
        <v>1</v>
      </c>
      <c r="AV7" s="158" t="b">
        <f t="shared" si="0"/>
        <v>1</v>
      </c>
      <c r="AW7" s="158" t="s">
        <v>2078</v>
      </c>
      <c r="AX7" s="162" t="s">
        <v>6816</v>
      </c>
      <c r="AY7" s="15">
        <v>127</v>
      </c>
      <c r="AZ7" s="555" t="s">
        <v>7166</v>
      </c>
      <c r="BA7" s="559">
        <f>IF(Verso!$B$10=Voies!$B7,1,0)</f>
        <v>0</v>
      </c>
      <c r="BB7" s="12">
        <f>IF(Verso!$B$11=Voies!$B7,1,0)</f>
        <v>0</v>
      </c>
      <c r="BC7" s="12">
        <f>IF(Verso!$B$12=Voies!$B7,1,0)</f>
        <v>0</v>
      </c>
      <c r="BD7" s="12">
        <f>IF(Verso!$B$13=Voies!$B7,1,0)</f>
        <v>0</v>
      </c>
      <c r="BE7" s="12">
        <f>IF(Verso!$B$14=Voies!$B7,1,0)</f>
        <v>0</v>
      </c>
      <c r="BF7" s="12">
        <f>IF(Verso!$B$15=Voies!$B7,1,0)</f>
        <v>0</v>
      </c>
      <c r="BG7" s="12">
        <f>IF(Verso!$B$16=Voies!$B7,1,0)</f>
        <v>0</v>
      </c>
      <c r="BH7" s="12">
        <f>IF(Verso!$B$17=Voies!$B7,1,0)</f>
        <v>0</v>
      </c>
      <c r="BI7" s="557">
        <f t="shared" si="1"/>
        <v>0</v>
      </c>
      <c r="BJ7" s="196" t="str">
        <f t="shared" si="2"/>
        <v/>
      </c>
      <c r="BK7" s="196">
        <f t="shared" si="3"/>
        <v>863</v>
      </c>
      <c r="BL7" s="295" t="str">
        <f t="shared" si="4"/>
        <v>Force de Mon Père</v>
      </c>
      <c r="BM7" s="91"/>
    </row>
    <row r="8" spans="1:65" ht="47.25" customHeight="1" x14ac:dyDescent="0.25">
      <c r="A8" s="162" t="str">
        <f>IF(AND(Réputation&gt;Voies!E8-1,OR(C8=TRUE,Calculs!$I$8&gt;0),Air&gt;Voies!J8-1,Eau&gt;Voies!K8-1,Feu&gt;Voies!L8-1,Terre&gt;Voies!M8-1,Vide&gt;Voies!N8-1,Constitution&gt;Voies!O8-1,Volonté&gt;Voies!P8-1,Force&gt;Voies!Q8-1,Perception&gt;Voies!R8-1,Reflexes&gt;Voies!S8-1,Agilité&gt;Voies!T8-1,Intuition&gt;Voies!U8-1,Intelligence&gt;Voies!V8-1,Souillure&gt;Voies!W8-1,Honneur&gt;X8-1,Statut&gt;Y8-1,Gloire&gt;Z8-1,AV8=TRUE),Voies!B8,"")</f>
        <v>La Méthode d'Iuchiban</v>
      </c>
      <c r="B8" s="162" t="s">
        <v>3539</v>
      </c>
      <c r="C8" s="162" t="b">
        <v>1</v>
      </c>
      <c r="D8" s="388" t="s">
        <v>597</v>
      </c>
      <c r="E8" s="13">
        <v>0</v>
      </c>
      <c r="F8" s="199">
        <v>0</v>
      </c>
      <c r="G8" s="157" t="s">
        <v>2078</v>
      </c>
      <c r="H8" s="162" t="s">
        <v>576</v>
      </c>
      <c r="I8" s="129" t="s">
        <v>3537</v>
      </c>
      <c r="J8" s="146">
        <v>0</v>
      </c>
      <c r="K8" s="147">
        <v>0</v>
      </c>
      <c r="L8" s="148">
        <v>0</v>
      </c>
      <c r="M8" s="149">
        <v>0</v>
      </c>
      <c r="N8" s="150">
        <v>0</v>
      </c>
      <c r="O8" s="130">
        <v>0</v>
      </c>
      <c r="P8" s="130">
        <v>0</v>
      </c>
      <c r="Q8" s="130">
        <v>0</v>
      </c>
      <c r="R8" s="130">
        <v>0</v>
      </c>
      <c r="S8" s="130">
        <v>0</v>
      </c>
      <c r="T8" s="130">
        <v>0</v>
      </c>
      <c r="U8" s="130">
        <v>0</v>
      </c>
      <c r="V8" s="524">
        <v>0</v>
      </c>
      <c r="W8" s="130">
        <v>0</v>
      </c>
      <c r="X8" s="130">
        <v>0</v>
      </c>
      <c r="Y8" s="130">
        <v>0</v>
      </c>
      <c r="Z8" s="130">
        <v>0</v>
      </c>
      <c r="AA8" s="158" t="s">
        <v>2078</v>
      </c>
      <c r="AB8" s="158"/>
      <c r="AC8" s="158"/>
      <c r="AD8" s="158"/>
      <c r="AE8" s="158" t="b">
        <f>IF(AB8="",TRUE,IF(IF(AC8="",VLOOKUP(AB8,Calculs!$A$19:$S$425,19,FALSE),VLOOKUP(AC8,Calculs!$A$19:$S$425,19,FALSE))&gt;=AD8,TRUE,FALSE))</f>
        <v>1</v>
      </c>
      <c r="AF8" s="158"/>
      <c r="AG8" s="158"/>
      <c r="AH8" s="158"/>
      <c r="AI8" s="158" t="b">
        <f>IF(AF8="",TRUE,IF(IF(AG8="",VLOOKUP(AF8,Calculs!$A$19:$S$425,19,FALSE),VLOOKUP(AG8,Calculs!$A$19:$S$425,19,FALSE))&gt;=AH8,TRUE,FALSE))</f>
        <v>1</v>
      </c>
      <c r="AJ8" s="158"/>
      <c r="AK8" s="158"/>
      <c r="AL8" s="158"/>
      <c r="AM8" s="158" t="b">
        <f>IF(AJ8="",TRUE,IF(IF(AK8="",VLOOKUP(AJ8,Calculs!$A$19:$S$425,19,FALSE),VLOOKUP(AK8,Calculs!$A$19:$S$425,19,FALSE))&gt;=AL8,TRUE,FALSE))</f>
        <v>1</v>
      </c>
      <c r="AN8" s="158"/>
      <c r="AO8" s="158"/>
      <c r="AP8" s="158"/>
      <c r="AQ8" s="158" t="b">
        <f>IF(AN8="",TRUE,IF(IF(AO8="",VLOOKUP(AN8,Calculs!$A$19:$S$425,19,FALSE),VLOOKUP(AO8,Calculs!$A$19:$S$425,19,FALSE))&gt;=AP8,TRUE,FALSE))</f>
        <v>1</v>
      </c>
      <c r="AR8" s="158"/>
      <c r="AS8" s="158" t="b">
        <f>IF(AR8="",TRUE,IF(VLOOKUP(AR8,Calculs!$A$427:$G$738,7,FALSE)&gt;0,TRUE,FALSE))</f>
        <v>1</v>
      </c>
      <c r="AT8" s="158"/>
      <c r="AU8" s="158" t="b">
        <f>IF(AT8="",TRUE,IF(VLOOKUP(AT8,Calculs!$A$740:$G$912,7,FALSE)&gt;0,TRUE,FALSE))</f>
        <v>1</v>
      </c>
      <c r="AV8" s="158" t="b">
        <f t="shared" si="0"/>
        <v>1</v>
      </c>
      <c r="AW8" s="159" t="s">
        <v>3540</v>
      </c>
      <c r="AX8" s="162" t="s">
        <v>2075</v>
      </c>
      <c r="AY8" s="15">
        <v>27</v>
      </c>
      <c r="AZ8" s="555" t="s">
        <v>3541</v>
      </c>
      <c r="BA8" s="559">
        <f>IF(Verso!$B$10=Voies!$B8,1,0)</f>
        <v>0</v>
      </c>
      <c r="BB8" s="12">
        <f>IF(Verso!$B$11=Voies!$B8,1,0)</f>
        <v>0</v>
      </c>
      <c r="BC8" s="12">
        <f>IF(Verso!$B$12=Voies!$B8,1,0)</f>
        <v>0</v>
      </c>
      <c r="BD8" s="12">
        <f>IF(Verso!$B$13=Voies!$B8,1,0)</f>
        <v>0</v>
      </c>
      <c r="BE8" s="12">
        <f>IF(Verso!$B$14=Voies!$B8,1,0)</f>
        <v>0</v>
      </c>
      <c r="BF8" s="12">
        <f>IF(Verso!$B$15=Voies!$B8,1,0)</f>
        <v>0</v>
      </c>
      <c r="BG8" s="12">
        <f>IF(Verso!$B$16=Voies!$B8,1,0)</f>
        <v>0</v>
      </c>
      <c r="BH8" s="12">
        <f>IF(Verso!$B$17=Voies!$B8,1,0)</f>
        <v>0</v>
      </c>
      <c r="BI8" s="557">
        <f t="shared" si="1"/>
        <v>0</v>
      </c>
      <c r="BJ8" s="196">
        <f t="shared" si="2"/>
        <v>8</v>
      </c>
      <c r="BK8" s="196">
        <f t="shared" si="3"/>
        <v>864</v>
      </c>
      <c r="BL8" s="295" t="str">
        <f t="shared" si="4"/>
        <v>Danse des Boutons de Cerise</v>
      </c>
    </row>
    <row r="9" spans="1:65" s="196" customFormat="1" ht="47.25" customHeight="1" x14ac:dyDescent="0.25">
      <c r="A9" s="162" t="str">
        <f>IF(AND(Réputation&gt;Voies!E9-1,OR(C9=TRUE,Calculs!$I$8&gt;0),Air&gt;Voies!J9-1,Eau&gt;Voies!K9-1,Feu&gt;Voies!L9-1,Terre&gt;Voies!M9-1,Vide&gt;Voies!N9-1,Constitution&gt;Voies!O9-1,Volonté&gt;Voies!P9-1,Force&gt;Voies!Q9-1,Perception&gt;Voies!R9-1,Reflexes&gt;Voies!S9-1,Agilité&gt;Voies!T9-1,Intuition&gt;Voies!U9-1,Intelligence&gt;Voies!V9-1,Souillure&gt;Voies!W9-1,Honneur&gt;X9-1,Statut&gt;Y9-1,Gloire&gt;Z9-1,AV9=TRUE),Voies!B9,"")</f>
        <v/>
      </c>
      <c r="B9" s="162" t="s">
        <v>8051</v>
      </c>
      <c r="C9" s="162" t="b">
        <v>1</v>
      </c>
      <c r="D9" s="388" t="s">
        <v>597</v>
      </c>
      <c r="E9" s="199">
        <v>2</v>
      </c>
      <c r="F9" s="199">
        <v>2</v>
      </c>
      <c r="G9" s="157" t="s">
        <v>2078</v>
      </c>
      <c r="H9" s="162" t="s">
        <v>8054</v>
      </c>
      <c r="I9" s="129" t="s">
        <v>8055</v>
      </c>
      <c r="J9" s="146">
        <v>0</v>
      </c>
      <c r="K9" s="147">
        <v>0</v>
      </c>
      <c r="L9" s="148">
        <v>0</v>
      </c>
      <c r="M9" s="149">
        <v>0</v>
      </c>
      <c r="N9" s="150">
        <v>4</v>
      </c>
      <c r="O9" s="130">
        <v>0</v>
      </c>
      <c r="P9" s="130">
        <v>0</v>
      </c>
      <c r="Q9" s="130">
        <v>0</v>
      </c>
      <c r="R9" s="130">
        <v>0</v>
      </c>
      <c r="S9" s="130">
        <v>0</v>
      </c>
      <c r="T9" s="130">
        <v>0</v>
      </c>
      <c r="U9" s="130">
        <v>0</v>
      </c>
      <c r="V9" s="524">
        <v>0</v>
      </c>
      <c r="W9" s="130">
        <v>1</v>
      </c>
      <c r="X9" s="130">
        <v>0</v>
      </c>
      <c r="Y9" s="130">
        <v>0</v>
      </c>
      <c r="Z9" s="130">
        <v>0</v>
      </c>
      <c r="AA9" s="158" t="s">
        <v>8052</v>
      </c>
      <c r="AB9" s="158" t="s">
        <v>1301</v>
      </c>
      <c r="AC9" s="158" t="s">
        <v>6322</v>
      </c>
      <c r="AD9" s="158">
        <v>1</v>
      </c>
      <c r="AE9" s="158" t="b">
        <f>IF(AB9="",TRUE,IF(IF(AC9="",VLOOKUP(AB9,Calculs!$A$19:$S$425,19,FALSE),VLOOKUP(AC9,Calculs!$A$19:$S$425,19,FALSE))&gt;=AD9,TRUE,FALSE))</f>
        <v>0</v>
      </c>
      <c r="AF9" s="158" t="s">
        <v>3323</v>
      </c>
      <c r="AG9" s="158" t="s">
        <v>159</v>
      </c>
      <c r="AH9" s="158">
        <v>3</v>
      </c>
      <c r="AI9" s="158" t="b">
        <f>IF(AF9="",TRUE,IF(IF(AG9="",VLOOKUP(AF9,Calculs!$A$19:$S$425,19,FALSE),VLOOKUP(AG9,Calculs!$A$19:$S$425,19,FALSE))&gt;=AH9,TRUE,FALSE))</f>
        <v>0</v>
      </c>
      <c r="AJ9" s="158" t="s">
        <v>1265</v>
      </c>
      <c r="AK9" s="158"/>
      <c r="AL9" s="158">
        <v>2</v>
      </c>
      <c r="AM9" s="158" t="b">
        <f>IF(AJ9="",TRUE,IF(IF(AK9="",VLOOKUP(AJ9,Calculs!$A$19:$S$425,19,FALSE),VLOOKUP(AK9,Calculs!$A$19:$S$425,19,FALSE))&gt;=AL9,TRUE,FALSE))</f>
        <v>0</v>
      </c>
      <c r="AN9" s="158"/>
      <c r="AO9" s="158"/>
      <c r="AP9" s="158"/>
      <c r="AQ9" s="158" t="b">
        <f>IF(AN9="",TRUE,IF(IF(AO9="",VLOOKUP(AN9,Calculs!$A$19:$S$425,19,FALSE),VLOOKUP(AO9,Calculs!$A$19:$S$425,19,FALSE))&gt;=AP9,TRUE,FALSE))</f>
        <v>1</v>
      </c>
      <c r="AR9" s="158"/>
      <c r="AS9" s="158" t="b">
        <f>IF(AR9="",TRUE,IF(VLOOKUP(AR9,Calculs!$A$427:$G$738,7,FALSE)&gt;0,TRUE,FALSE))</f>
        <v>1</v>
      </c>
      <c r="AT9" s="158" t="s">
        <v>1012</v>
      </c>
      <c r="AU9" s="158" t="b">
        <f>IF(AT9="",TRUE,IF(VLOOKUP(AT9,Calculs!$A$740:$G$912,7,FALSE)&gt;0,TRUE,FALSE))</f>
        <v>0</v>
      </c>
      <c r="AV9" s="158" t="b">
        <f t="shared" si="0"/>
        <v>0</v>
      </c>
      <c r="AW9" s="158" t="s">
        <v>8086</v>
      </c>
      <c r="AX9" s="162" t="s">
        <v>8021</v>
      </c>
      <c r="AY9" s="15">
        <v>40</v>
      </c>
      <c r="AZ9" s="555" t="s">
        <v>8058</v>
      </c>
      <c r="BA9" s="559">
        <f>IF(Verso!$B$10=Voies!$B9,1,0)</f>
        <v>0</v>
      </c>
      <c r="BB9" s="12">
        <f>IF(Verso!$B$11=Voies!$B9,1,0)</f>
        <v>0</v>
      </c>
      <c r="BC9" s="12">
        <f>IF(Verso!$B$12=Voies!$B9,1,0)</f>
        <v>0</v>
      </c>
      <c r="BD9" s="12">
        <f>IF(Verso!$B$13=Voies!$B9,1,0)</f>
        <v>0</v>
      </c>
      <c r="BE9" s="12">
        <f>IF(Verso!$B$14=Voies!$B9,1,0)</f>
        <v>0</v>
      </c>
      <c r="BF9" s="12">
        <f>IF(Verso!$B$15=Voies!$B9,1,0)</f>
        <v>0</v>
      </c>
      <c r="BG9" s="12">
        <f>IF(Verso!$B$16=Voies!$B9,1,0)</f>
        <v>0</v>
      </c>
      <c r="BH9" s="12">
        <f>IF(Verso!$B$17=Voies!$B9,1,0)</f>
        <v>0</v>
      </c>
      <c r="BI9" s="557">
        <f t="shared" si="1"/>
        <v>0</v>
      </c>
      <c r="BJ9" s="196" t="str">
        <f t="shared" si="2"/>
        <v/>
      </c>
      <c r="BK9" s="196">
        <f t="shared" si="3"/>
        <v>865</v>
      </c>
      <c r="BL9" s="295" t="str">
        <f t="shared" si="4"/>
        <v>La Volonté du Peuple</v>
      </c>
      <c r="BM9" s="91"/>
    </row>
    <row r="10" spans="1:65" s="196" customFormat="1" ht="47.25" customHeight="1" x14ac:dyDescent="0.25">
      <c r="A10" s="162" t="str">
        <f>IF(AND(Réputation&gt;Voies!E10-1,OR(C10=TRUE,Calculs!$I$8&gt;0),Air&gt;Voies!J10-1,Eau&gt;Voies!K10-1,Feu&gt;Voies!L10-1,Terre&gt;Voies!M10-1,Vide&gt;Voies!N10-1,Constitution&gt;Voies!O10-1,Volonté&gt;Voies!P10-1,Force&gt;Voies!Q10-1,Perception&gt;Voies!R10-1,Reflexes&gt;Voies!S10-1,Agilité&gt;Voies!T10-1,Intuition&gt;Voies!U10-1,Intelligence&gt;Voies!V10-1,Souillure&gt;Voies!W10-1,Honneur&gt;X10-1,Statut&gt;Y10-1,Gloire&gt;Z10-1,AV10=TRUE),Voies!B10,"")</f>
        <v/>
      </c>
      <c r="B10" s="162" t="s">
        <v>8053</v>
      </c>
      <c r="C10" s="162" t="b">
        <v>1</v>
      </c>
      <c r="D10" s="388" t="s">
        <v>597</v>
      </c>
      <c r="E10" s="199">
        <v>2</v>
      </c>
      <c r="F10" s="199">
        <v>2</v>
      </c>
      <c r="G10" s="157" t="s">
        <v>2078</v>
      </c>
      <c r="H10" s="162" t="s">
        <v>8057</v>
      </c>
      <c r="I10" s="129" t="s">
        <v>8055</v>
      </c>
      <c r="J10" s="146">
        <v>0</v>
      </c>
      <c r="K10" s="147">
        <v>0</v>
      </c>
      <c r="L10" s="148">
        <v>0</v>
      </c>
      <c r="M10" s="149">
        <v>4</v>
      </c>
      <c r="N10" s="150">
        <v>0</v>
      </c>
      <c r="O10" s="130">
        <v>0</v>
      </c>
      <c r="P10" s="130">
        <v>0</v>
      </c>
      <c r="Q10" s="130">
        <v>0</v>
      </c>
      <c r="R10" s="130">
        <v>0</v>
      </c>
      <c r="S10" s="130">
        <v>0</v>
      </c>
      <c r="T10" s="130">
        <v>0</v>
      </c>
      <c r="U10" s="130">
        <v>0</v>
      </c>
      <c r="V10" s="524">
        <v>0</v>
      </c>
      <c r="W10" s="130">
        <v>1</v>
      </c>
      <c r="X10" s="130">
        <v>0</v>
      </c>
      <c r="Y10" s="130">
        <v>0</v>
      </c>
      <c r="Z10" s="130">
        <v>0</v>
      </c>
      <c r="AA10" s="158" t="s">
        <v>8056</v>
      </c>
      <c r="AB10" s="158" t="s">
        <v>1261</v>
      </c>
      <c r="AC10" s="158"/>
      <c r="AD10" s="158">
        <v>1</v>
      </c>
      <c r="AE10" s="158" t="b">
        <f>IF(AB10="",TRUE,IF(IF(AC10="",VLOOKUP(AB10,Calculs!$A$19:$S$425,19,FALSE),VLOOKUP(AC10,Calculs!$A$19:$S$425,19,FALSE))&gt;=AD10,TRUE,FALSE))</f>
        <v>0</v>
      </c>
      <c r="AF10" s="158" t="s">
        <v>3323</v>
      </c>
      <c r="AG10" s="158" t="s">
        <v>159</v>
      </c>
      <c r="AH10" s="158">
        <v>3</v>
      </c>
      <c r="AI10" s="158" t="b">
        <f>IF(AF10="",TRUE,IF(IF(AG10="",VLOOKUP(AF10,Calculs!$A$19:$S$425,19,FALSE),VLOOKUP(AG10,Calculs!$A$19:$S$425,19,FALSE))&gt;=AH10,TRUE,FALSE))</f>
        <v>0</v>
      </c>
      <c r="AJ10" s="158" t="s">
        <v>1265</v>
      </c>
      <c r="AK10" s="158"/>
      <c r="AL10" s="158">
        <v>2</v>
      </c>
      <c r="AM10" s="158" t="b">
        <f>IF(AJ10="",TRUE,IF(IF(AK10="",VLOOKUP(AJ10,Calculs!$A$19:$S$425,19,FALSE),VLOOKUP(AK10,Calculs!$A$19:$S$425,19,FALSE))&gt;=AL10,TRUE,FALSE))</f>
        <v>0</v>
      </c>
      <c r="AN10" s="158"/>
      <c r="AO10" s="158"/>
      <c r="AP10" s="158"/>
      <c r="AQ10" s="158" t="b">
        <f>IF(AN10="",TRUE,IF(IF(AO10="",VLOOKUP(AN10,Calculs!$A$19:$S$425,19,FALSE),VLOOKUP(AO10,Calculs!$A$19:$S$425,19,FALSE))&gt;=AP10,TRUE,FALSE))</f>
        <v>1</v>
      </c>
      <c r="AR10" s="158"/>
      <c r="AS10" s="158" t="b">
        <f>IF(AR10="",TRUE,IF(VLOOKUP(AR10,Calculs!$A$427:$G$738,7,FALSE)&gt;0,TRUE,FALSE))</f>
        <v>1</v>
      </c>
      <c r="AT10" s="158" t="s">
        <v>1012</v>
      </c>
      <c r="AU10" s="158" t="b">
        <f>IF(AT10="",TRUE,IF(VLOOKUP(AT10,Calculs!$A$740:$G$912,7,FALSE)&gt;0,TRUE,FALSE))</f>
        <v>0</v>
      </c>
      <c r="AV10" s="158" t="b">
        <f t="shared" si="0"/>
        <v>0</v>
      </c>
      <c r="AW10" s="158" t="s">
        <v>8086</v>
      </c>
      <c r="AX10" s="162" t="s">
        <v>8021</v>
      </c>
      <c r="AY10" s="15">
        <v>40</v>
      </c>
      <c r="AZ10" s="555" t="s">
        <v>8059</v>
      </c>
      <c r="BA10" s="559">
        <f>IF(Verso!$B$10=Voies!$B10,1,0)</f>
        <v>0</v>
      </c>
      <c r="BB10" s="12">
        <f>IF(Verso!$B$11=Voies!$B10,1,0)</f>
        <v>0</v>
      </c>
      <c r="BC10" s="12">
        <f>IF(Verso!$B$12=Voies!$B10,1,0)</f>
        <v>0</v>
      </c>
      <c r="BD10" s="12">
        <f>IF(Verso!$B$13=Voies!$B10,1,0)</f>
        <v>0</v>
      </c>
      <c r="BE10" s="12">
        <f>IF(Verso!$B$14=Voies!$B10,1,0)</f>
        <v>0</v>
      </c>
      <c r="BF10" s="12">
        <f>IF(Verso!$B$15=Voies!$B10,1,0)</f>
        <v>0</v>
      </c>
      <c r="BG10" s="12">
        <f>IF(Verso!$B$16=Voies!$B10,1,0)</f>
        <v>0</v>
      </c>
      <c r="BH10" s="12">
        <f>IF(Verso!$B$17=Voies!$B10,1,0)</f>
        <v>0</v>
      </c>
      <c r="BI10" s="557">
        <f t="shared" si="1"/>
        <v>0</v>
      </c>
      <c r="BJ10" s="196" t="str">
        <f t="shared" si="2"/>
        <v/>
      </c>
      <c r="BK10" s="196">
        <f t="shared" si="3"/>
        <v>866</v>
      </c>
      <c r="BL10" s="295" t="str">
        <f t="shared" si="4"/>
        <v>Unité de But</v>
      </c>
      <c r="BM10" s="91"/>
    </row>
    <row r="11" spans="1:65" s="196" customFormat="1" ht="47.25" customHeight="1" x14ac:dyDescent="0.25">
      <c r="A11" s="162" t="str">
        <f>IF(AND(Réputation&gt;Voies!E11-1,OR(C11=TRUE,Calculs!$I$8&gt;0),Air&gt;Voies!J11-1,Eau&gt;Voies!K11-1,Feu&gt;Voies!L11-1,Terre&gt;Voies!M11-1,Vide&gt;Voies!N11-1,Constitution&gt;Voies!O11-1,Volonté&gt;Voies!P11-1,Force&gt;Voies!Q11-1,Perception&gt;Voies!R11-1,Reflexes&gt;Voies!S11-1,Agilité&gt;Voies!T11-1,Intuition&gt;Voies!U11-1,Intelligence&gt;Voies!V11-1,Souillure&gt;Voies!W11-1,Honneur&gt;X11-1,Statut&gt;Y11-1,Gloire&gt;Z11-1,AV11=TRUE),Voies!B11,"")</f>
        <v/>
      </c>
      <c r="B11" s="162" t="s">
        <v>8060</v>
      </c>
      <c r="C11" s="162" t="b">
        <v>1</v>
      </c>
      <c r="D11" s="388" t="s">
        <v>597</v>
      </c>
      <c r="E11" s="199">
        <v>3</v>
      </c>
      <c r="F11" s="199">
        <v>3</v>
      </c>
      <c r="G11" s="157" t="s">
        <v>2078</v>
      </c>
      <c r="H11" s="162" t="s">
        <v>8060</v>
      </c>
      <c r="I11" s="129" t="s">
        <v>8061</v>
      </c>
      <c r="J11" s="146">
        <v>0</v>
      </c>
      <c r="K11" s="147">
        <v>4</v>
      </c>
      <c r="L11" s="148">
        <v>0</v>
      </c>
      <c r="M11" s="149">
        <v>0</v>
      </c>
      <c r="N11" s="150">
        <v>0</v>
      </c>
      <c r="O11" s="130">
        <v>0</v>
      </c>
      <c r="P11" s="130">
        <v>0</v>
      </c>
      <c r="Q11" s="130">
        <v>0</v>
      </c>
      <c r="R11" s="130">
        <v>0</v>
      </c>
      <c r="S11" s="130">
        <v>0</v>
      </c>
      <c r="T11" s="130">
        <v>0</v>
      </c>
      <c r="U11" s="130">
        <v>0</v>
      </c>
      <c r="V11" s="524">
        <v>0</v>
      </c>
      <c r="W11" s="130">
        <v>1</v>
      </c>
      <c r="X11" s="130">
        <v>0</v>
      </c>
      <c r="Y11" s="130">
        <v>0</v>
      </c>
      <c r="Z11" s="130">
        <v>0</v>
      </c>
      <c r="AA11" s="158" t="s">
        <v>8062</v>
      </c>
      <c r="AB11" s="158" t="s">
        <v>1260</v>
      </c>
      <c r="AC11" s="158"/>
      <c r="AD11" s="158">
        <v>2</v>
      </c>
      <c r="AE11" s="158" t="b">
        <f>IF(AB11="",TRUE,IF(IF(AC11="",VLOOKUP(AB11,Calculs!$A$19:$S$425,19,FALSE),VLOOKUP(AC11,Calculs!$A$19:$S$425,19,FALSE))&gt;=AD11,TRUE,FALSE))</f>
        <v>0</v>
      </c>
      <c r="AF11" s="158" t="s">
        <v>3323</v>
      </c>
      <c r="AG11" s="158" t="s">
        <v>159</v>
      </c>
      <c r="AH11" s="158">
        <v>4</v>
      </c>
      <c r="AI11" s="158" t="b">
        <f>IF(AF11="",TRUE,IF(IF(AG11="",VLOOKUP(AF11,Calculs!$A$19:$S$425,19,FALSE),VLOOKUP(AG11,Calculs!$A$19:$S$425,19,FALSE))&gt;=AH11,TRUE,FALSE))</f>
        <v>0</v>
      </c>
      <c r="AJ11" s="158" t="s">
        <v>1265</v>
      </c>
      <c r="AK11" s="158"/>
      <c r="AL11" s="158">
        <v>2</v>
      </c>
      <c r="AM11" s="158" t="b">
        <f>IF(AJ11="",TRUE,IF(IF(AK11="",VLOOKUP(AJ11,Calculs!$A$19:$S$425,19,FALSE),VLOOKUP(AK11,Calculs!$A$19:$S$425,19,FALSE))&gt;=AL11,TRUE,FALSE))</f>
        <v>0</v>
      </c>
      <c r="AN11" s="158"/>
      <c r="AO11" s="158"/>
      <c r="AP11" s="158"/>
      <c r="AQ11" s="158" t="b">
        <f>IF(AN11="",TRUE,IF(IF(AO11="",VLOOKUP(AN11,Calculs!$A$19:$S$425,19,FALSE),VLOOKUP(AO11,Calculs!$A$19:$S$425,19,FALSE))&gt;=AP11,TRUE,FALSE))</f>
        <v>1</v>
      </c>
      <c r="AR11" s="158"/>
      <c r="AS11" s="158" t="b">
        <f>IF(AR11="",TRUE,IF(VLOOKUP(AR11,Calculs!$A$427:$G$738,7,FALSE)&gt;0,TRUE,FALSE))</f>
        <v>1</v>
      </c>
      <c r="AT11" s="158" t="s">
        <v>1012</v>
      </c>
      <c r="AU11" s="158" t="b">
        <f>IF(AT11="",TRUE,IF(VLOOKUP(AT11,Calculs!$A$740:$G$912,7,FALSE)&gt;0,TRUE,FALSE))</f>
        <v>0</v>
      </c>
      <c r="AV11" s="158" t="b">
        <f t="shared" si="0"/>
        <v>0</v>
      </c>
      <c r="AW11" s="158" t="s">
        <v>8086</v>
      </c>
      <c r="AX11" s="162" t="s">
        <v>8021</v>
      </c>
      <c r="AY11" s="15">
        <v>41</v>
      </c>
      <c r="AZ11" s="555" t="s">
        <v>8063</v>
      </c>
      <c r="BA11" s="559">
        <f>IF(Verso!$B$10=Voies!$B11,1,0)</f>
        <v>0</v>
      </c>
      <c r="BB11" s="12">
        <f>IF(Verso!$B$11=Voies!$B11,1,0)</f>
        <v>0</v>
      </c>
      <c r="BC11" s="12">
        <f>IF(Verso!$B$12=Voies!$B11,1,0)</f>
        <v>0</v>
      </c>
      <c r="BD11" s="12">
        <f>IF(Verso!$B$13=Voies!$B11,1,0)</f>
        <v>0</v>
      </c>
      <c r="BE11" s="12">
        <f>IF(Verso!$B$14=Voies!$B11,1,0)</f>
        <v>0</v>
      </c>
      <c r="BF11" s="12">
        <f>IF(Verso!$B$15=Voies!$B11,1,0)</f>
        <v>0</v>
      </c>
      <c r="BG11" s="12">
        <f>IF(Verso!$B$16=Voies!$B11,1,0)</f>
        <v>0</v>
      </c>
      <c r="BH11" s="12">
        <f>IF(Verso!$B$17=Voies!$B11,1,0)</f>
        <v>0</v>
      </c>
      <c r="BI11" s="557">
        <f t="shared" si="1"/>
        <v>0</v>
      </c>
      <c r="BJ11" s="196" t="str">
        <f t="shared" si="2"/>
        <v/>
      </c>
      <c r="BK11" s="196">
        <f t="shared" si="3"/>
        <v>867</v>
      </c>
      <c r="BL11" s="295" t="str">
        <f t="shared" si="4"/>
        <v>De la Fumée au Coup</v>
      </c>
      <c r="BM11" s="91"/>
    </row>
    <row r="12" spans="1:65" s="196" customFormat="1" ht="47.25" customHeight="1" x14ac:dyDescent="0.25">
      <c r="A12" s="162" t="str">
        <f>IF(AND(Réputation&gt;Voies!E12-1,OR(C12=TRUE,Calculs!$I$8&gt;0),Air&gt;Voies!J12-1,Eau&gt;Voies!K12-1,Feu&gt;Voies!L12-1,Terre&gt;Voies!M12-1,Vide&gt;Voies!N12-1,Constitution&gt;Voies!O12-1,Volonté&gt;Voies!P12-1,Force&gt;Voies!Q12-1,Perception&gt;Voies!R12-1,Reflexes&gt;Voies!S12-1,Agilité&gt;Voies!T12-1,Intuition&gt;Voies!U12-1,Intelligence&gt;Voies!V12-1,Souillure&gt;Voies!W12-1,Honneur&gt;X12-1,Statut&gt;Y12-1,Gloire&gt;Z12-1,AV12=TRUE),Voies!B12,"")</f>
        <v/>
      </c>
      <c r="B12" s="162" t="s">
        <v>6821</v>
      </c>
      <c r="C12" s="162" t="b">
        <f>IF(Clan=Voies!D12,TRUE,FALSE)</f>
        <v>0</v>
      </c>
      <c r="D12" s="466" t="s">
        <v>6809</v>
      </c>
      <c r="E12" s="199">
        <v>1</v>
      </c>
      <c r="F12" s="199">
        <v>1</v>
      </c>
      <c r="G12" s="199" t="s">
        <v>2049</v>
      </c>
      <c r="H12" s="162" t="s">
        <v>6817</v>
      </c>
      <c r="I12" s="129" t="str">
        <f t="shared" ref="I12:I34" si="5">IF(B12="","","Rien")</f>
        <v>Rien</v>
      </c>
      <c r="J12" s="146">
        <v>0</v>
      </c>
      <c r="K12" s="147">
        <v>0</v>
      </c>
      <c r="L12" s="148">
        <v>0</v>
      </c>
      <c r="M12" s="149">
        <v>0</v>
      </c>
      <c r="N12" s="150">
        <v>0</v>
      </c>
      <c r="O12" s="130">
        <v>0</v>
      </c>
      <c r="P12" s="130">
        <v>0</v>
      </c>
      <c r="Q12" s="130">
        <v>0</v>
      </c>
      <c r="R12" s="130">
        <v>0</v>
      </c>
      <c r="S12" s="130">
        <v>0</v>
      </c>
      <c r="T12" s="130">
        <v>0</v>
      </c>
      <c r="U12" s="130">
        <v>0</v>
      </c>
      <c r="V12" s="524">
        <v>0</v>
      </c>
      <c r="W12" s="130">
        <v>0</v>
      </c>
      <c r="X12" s="130">
        <v>0</v>
      </c>
      <c r="Y12" s="130">
        <v>0</v>
      </c>
      <c r="Z12" s="130">
        <v>0</v>
      </c>
      <c r="AA12" s="158" t="s">
        <v>2078</v>
      </c>
      <c r="AB12" s="158"/>
      <c r="AC12" s="158"/>
      <c r="AD12" s="158"/>
      <c r="AE12" s="158" t="b">
        <f>IF(AB12="",TRUE,IF(IF(AC12="",VLOOKUP(AB12,Calculs!$A$19:$S$425,19,FALSE),VLOOKUP(AC12,Calculs!$A$19:$S$425,19,FALSE))&gt;=AD12,TRUE,FALSE))</f>
        <v>1</v>
      </c>
      <c r="AF12" s="158"/>
      <c r="AG12" s="158"/>
      <c r="AH12" s="158"/>
      <c r="AI12" s="158" t="b">
        <f>IF(AF12="",TRUE,IF(IF(AG12="",VLOOKUP(AF12,Calculs!$A$19:$S$425,19,FALSE),VLOOKUP(AG12,Calculs!$A$19:$S$425,19,FALSE))&gt;=AH12,TRUE,FALSE))</f>
        <v>1</v>
      </c>
      <c r="AJ12" s="158"/>
      <c r="AK12" s="158"/>
      <c r="AL12" s="158"/>
      <c r="AM12" s="158" t="b">
        <f>IF(AJ12="",TRUE,IF(IF(AK12="",VLOOKUP(AJ12,Calculs!$A$19:$S$425,19,FALSE),VLOOKUP(AK12,Calculs!$A$19:$S$425,19,FALSE))&gt;=AL12,TRUE,FALSE))</f>
        <v>1</v>
      </c>
      <c r="AN12" s="158"/>
      <c r="AO12" s="158"/>
      <c r="AP12" s="158"/>
      <c r="AQ12" s="158" t="b">
        <f>IF(AN12="",TRUE,IF(IF(AO12="",VLOOKUP(AN12,Calculs!$A$19:$S$425,19,FALSE),VLOOKUP(AO12,Calculs!$A$19:$S$425,19,FALSE))&gt;=AP12,TRUE,FALSE))</f>
        <v>1</v>
      </c>
      <c r="AR12" s="158"/>
      <c r="AS12" s="158" t="b">
        <f>IF(AR12="",TRUE,IF(VLOOKUP(AR12,Calculs!$A$427:$G$738,7,FALSE)&gt;0,TRUE,FALSE))</f>
        <v>1</v>
      </c>
      <c r="AT12" s="158"/>
      <c r="AU12" s="158" t="b">
        <f>IF(AT12="",TRUE,IF(VLOOKUP(AT12,Calculs!$A$740:$G$912,7,FALSE)&gt;0,TRUE,FALSE))</f>
        <v>1</v>
      </c>
      <c r="AV12" s="158" t="b">
        <f t="shared" si="0"/>
        <v>1</v>
      </c>
      <c r="AW12" s="158" t="s">
        <v>2078</v>
      </c>
      <c r="AX12" s="162" t="s">
        <v>6816</v>
      </c>
      <c r="AY12" s="15">
        <v>6</v>
      </c>
      <c r="AZ12" s="555" t="s">
        <v>6826</v>
      </c>
      <c r="BA12" s="559">
        <f>IF(Verso!$B$10=Voies!$B12,1,0)</f>
        <v>0</v>
      </c>
      <c r="BB12" s="12">
        <f>IF(Verso!$B$11=Voies!$B12,1,0)</f>
        <v>0</v>
      </c>
      <c r="BC12" s="12">
        <f>IF(Verso!$B$12=Voies!$B12,1,0)</f>
        <v>0</v>
      </c>
      <c r="BD12" s="12">
        <f>IF(Verso!$B$13=Voies!$B12,1,0)</f>
        <v>0</v>
      </c>
      <c r="BE12" s="12">
        <f>IF(Verso!$B$14=Voies!$B12,1,0)</f>
        <v>0</v>
      </c>
      <c r="BF12" s="12">
        <f>IF(Verso!$B$15=Voies!$B12,1,0)</f>
        <v>0</v>
      </c>
      <c r="BG12" s="12">
        <f>IF(Verso!$B$16=Voies!$B12,1,0)</f>
        <v>0</v>
      </c>
      <c r="BH12" s="12">
        <f>IF(Verso!$B$17=Voies!$B12,1,0)</f>
        <v>0</v>
      </c>
      <c r="BI12" s="557">
        <f t="shared" si="1"/>
        <v>0</v>
      </c>
      <c r="BJ12" s="196" t="str">
        <f t="shared" si="2"/>
        <v/>
      </c>
      <c r="BK12" s="196">
        <f t="shared" si="3"/>
        <v>868</v>
      </c>
      <c r="BL12" s="295" t="str">
        <f t="shared" si="4"/>
        <v>Meute de Loups</v>
      </c>
      <c r="BM12" s="91"/>
    </row>
    <row r="13" spans="1:65" s="196" customFormat="1" ht="47.25" customHeight="1" x14ac:dyDescent="0.25">
      <c r="A13" s="162" t="str">
        <f>IF(AND(Réputation&gt;Voies!E13-1,OR(C13=TRUE,Calculs!$I$8&gt;0),Air&gt;Voies!J13-1,Eau&gt;Voies!K13-1,Feu&gt;Voies!L13-1,Terre&gt;Voies!M13-1,Vide&gt;Voies!N13-1,Constitution&gt;Voies!O13-1,Volonté&gt;Voies!P13-1,Force&gt;Voies!Q13-1,Perception&gt;Voies!R13-1,Reflexes&gt;Voies!S13-1,Agilité&gt;Voies!T13-1,Intuition&gt;Voies!U13-1,Intelligence&gt;Voies!V13-1,Souillure&gt;Voies!W13-1,Honneur&gt;X13-1,Statut&gt;Y13-1,Gloire&gt;Z13-1,AV13=TRUE),Voies!B13,"")</f>
        <v/>
      </c>
      <c r="B13" s="162" t="s">
        <v>6822</v>
      </c>
      <c r="C13" s="162" t="b">
        <f>IF(Clan=Voies!D13,TRUE,FALSE)</f>
        <v>0</v>
      </c>
      <c r="D13" s="466" t="s">
        <v>6809</v>
      </c>
      <c r="E13" s="199">
        <v>2</v>
      </c>
      <c r="F13" s="199">
        <v>2</v>
      </c>
      <c r="G13" s="199" t="s">
        <v>2049</v>
      </c>
      <c r="H13" s="162" t="s">
        <v>6817</v>
      </c>
      <c r="I13" s="129" t="str">
        <f t="shared" si="5"/>
        <v>Rien</v>
      </c>
      <c r="J13" s="146">
        <v>0</v>
      </c>
      <c r="K13" s="147">
        <v>0</v>
      </c>
      <c r="L13" s="148">
        <v>0</v>
      </c>
      <c r="M13" s="149">
        <v>0</v>
      </c>
      <c r="N13" s="150">
        <v>0</v>
      </c>
      <c r="O13" s="130">
        <v>0</v>
      </c>
      <c r="P13" s="130">
        <v>0</v>
      </c>
      <c r="Q13" s="130">
        <v>0</v>
      </c>
      <c r="R13" s="130">
        <v>0</v>
      </c>
      <c r="S13" s="130">
        <v>0</v>
      </c>
      <c r="T13" s="130">
        <v>0</v>
      </c>
      <c r="U13" s="130">
        <v>0</v>
      </c>
      <c r="V13" s="524">
        <v>0</v>
      </c>
      <c r="W13" s="130">
        <v>0</v>
      </c>
      <c r="X13" s="130">
        <v>0</v>
      </c>
      <c r="Y13" s="130">
        <v>0</v>
      </c>
      <c r="Z13" s="130">
        <v>0</v>
      </c>
      <c r="AA13" s="158" t="s">
        <v>2078</v>
      </c>
      <c r="AB13" s="158"/>
      <c r="AC13" s="158"/>
      <c r="AD13" s="158"/>
      <c r="AE13" s="158" t="b">
        <f>IF(AB13="",TRUE,IF(IF(AC13="",VLOOKUP(AB13,Calculs!$A$19:$S$425,19,FALSE),VLOOKUP(AC13,Calculs!$A$19:$S$425,19,FALSE))&gt;=AD13,TRUE,FALSE))</f>
        <v>1</v>
      </c>
      <c r="AF13" s="158"/>
      <c r="AG13" s="158"/>
      <c r="AH13" s="158"/>
      <c r="AI13" s="158" t="b">
        <f>IF(AF13="",TRUE,IF(IF(AG13="",VLOOKUP(AF13,Calculs!$A$19:$S$425,19,FALSE),VLOOKUP(AG13,Calculs!$A$19:$S$425,19,FALSE))&gt;=AH13,TRUE,FALSE))</f>
        <v>1</v>
      </c>
      <c r="AJ13" s="158"/>
      <c r="AK13" s="158"/>
      <c r="AL13" s="158"/>
      <c r="AM13" s="158" t="b">
        <f>IF(AJ13="",TRUE,IF(IF(AK13="",VLOOKUP(AJ13,Calculs!$A$19:$S$425,19,FALSE),VLOOKUP(AK13,Calculs!$A$19:$S$425,19,FALSE))&gt;=AL13,TRUE,FALSE))</f>
        <v>1</v>
      </c>
      <c r="AN13" s="158"/>
      <c r="AO13" s="158"/>
      <c r="AP13" s="158"/>
      <c r="AQ13" s="158" t="b">
        <f>IF(AN13="",TRUE,IF(IF(AO13="",VLOOKUP(AN13,Calculs!$A$19:$S$425,19,FALSE),VLOOKUP(AO13,Calculs!$A$19:$S$425,19,FALSE))&gt;=AP13,TRUE,FALSE))</f>
        <v>1</v>
      </c>
      <c r="AR13" s="158"/>
      <c r="AS13" s="158" t="b">
        <f>IF(AR13="",TRUE,IF(VLOOKUP(AR13,Calculs!$A$427:$G$738,7,FALSE)&gt;0,TRUE,FALSE))</f>
        <v>1</v>
      </c>
      <c r="AT13" s="158"/>
      <c r="AU13" s="158" t="b">
        <f>IF(AT13="",TRUE,IF(VLOOKUP(AT13,Calculs!$A$740:$G$912,7,FALSE)&gt;0,TRUE,FALSE))</f>
        <v>1</v>
      </c>
      <c r="AV13" s="158" t="b">
        <f t="shared" si="0"/>
        <v>1</v>
      </c>
      <c r="AW13" s="158" t="s">
        <v>2078</v>
      </c>
      <c r="AX13" s="162" t="s">
        <v>6816</v>
      </c>
      <c r="AY13" s="15">
        <v>7</v>
      </c>
      <c r="AZ13" s="555" t="s">
        <v>8472</v>
      </c>
      <c r="BA13" s="559">
        <f>IF(Verso!$B$10=Voies!$B13,1,0)</f>
        <v>0</v>
      </c>
      <c r="BB13" s="12">
        <f>IF(Verso!$B$11=Voies!$B13,1,0)</f>
        <v>0</v>
      </c>
      <c r="BC13" s="12">
        <f>IF(Verso!$B$12=Voies!$B13,1,0)</f>
        <v>0</v>
      </c>
      <c r="BD13" s="12">
        <f>IF(Verso!$B$13=Voies!$B13,1,0)</f>
        <v>0</v>
      </c>
      <c r="BE13" s="12">
        <f>IF(Verso!$B$14=Voies!$B13,1,0)</f>
        <v>0</v>
      </c>
      <c r="BF13" s="12">
        <f>IF(Verso!$B$15=Voies!$B13,1,0)</f>
        <v>0</v>
      </c>
      <c r="BG13" s="12">
        <f>IF(Verso!$B$16=Voies!$B13,1,0)</f>
        <v>0</v>
      </c>
      <c r="BH13" s="12">
        <f>IF(Verso!$B$17=Voies!$B13,1,0)</f>
        <v>0</v>
      </c>
      <c r="BI13" s="557">
        <f t="shared" si="1"/>
        <v>0</v>
      </c>
      <c r="BJ13" s="196" t="str">
        <f t="shared" si="2"/>
        <v/>
      </c>
      <c r="BK13" s="196">
        <f t="shared" si="3"/>
        <v>869</v>
      </c>
      <c r="BL13" s="295" t="str">
        <f t="shared" si="4"/>
        <v>Crocs de Pierre</v>
      </c>
      <c r="BM13" s="91"/>
    </row>
    <row r="14" spans="1:65" s="196" customFormat="1" ht="47.25" customHeight="1" x14ac:dyDescent="0.25">
      <c r="A14" s="162" t="str">
        <f>IF(AND(Réputation&gt;Voies!E14-1,OR(C14=TRUE,Calculs!$I$8&gt;0),Air&gt;Voies!J14-1,Eau&gt;Voies!K14-1,Feu&gt;Voies!L14-1,Terre&gt;Voies!M14-1,Vide&gt;Voies!N14-1,Constitution&gt;Voies!O14-1,Volonté&gt;Voies!P14-1,Force&gt;Voies!Q14-1,Perception&gt;Voies!R14-1,Reflexes&gt;Voies!S14-1,Agilité&gt;Voies!T14-1,Intuition&gt;Voies!U14-1,Intelligence&gt;Voies!V14-1,Souillure&gt;Voies!W14-1,Honneur&gt;X14-1,Statut&gt;Y14-1,Gloire&gt;Z14-1,AV14=TRUE),Voies!B14,"")</f>
        <v/>
      </c>
      <c r="B14" s="162" t="s">
        <v>6823</v>
      </c>
      <c r="C14" s="162" t="b">
        <f>IF(Clan=Voies!D14,TRUE,FALSE)</f>
        <v>0</v>
      </c>
      <c r="D14" s="466" t="s">
        <v>6809</v>
      </c>
      <c r="E14" s="199">
        <v>3</v>
      </c>
      <c r="F14" s="199">
        <v>3</v>
      </c>
      <c r="G14" s="199" t="s">
        <v>2049</v>
      </c>
      <c r="H14" s="162" t="s">
        <v>6817</v>
      </c>
      <c r="I14" s="129" t="str">
        <f t="shared" si="5"/>
        <v>Rien</v>
      </c>
      <c r="J14" s="146">
        <v>0</v>
      </c>
      <c r="K14" s="147">
        <v>0</v>
      </c>
      <c r="L14" s="148">
        <v>0</v>
      </c>
      <c r="M14" s="149">
        <v>0</v>
      </c>
      <c r="N14" s="150">
        <v>0</v>
      </c>
      <c r="O14" s="130">
        <v>0</v>
      </c>
      <c r="P14" s="130">
        <v>0</v>
      </c>
      <c r="Q14" s="130">
        <v>0</v>
      </c>
      <c r="R14" s="130">
        <v>0</v>
      </c>
      <c r="S14" s="130">
        <v>0</v>
      </c>
      <c r="T14" s="130">
        <v>0</v>
      </c>
      <c r="U14" s="130">
        <v>0</v>
      </c>
      <c r="V14" s="524">
        <v>0</v>
      </c>
      <c r="W14" s="130">
        <v>0</v>
      </c>
      <c r="X14" s="130">
        <v>0</v>
      </c>
      <c r="Y14" s="130">
        <v>0</v>
      </c>
      <c r="Z14" s="130">
        <v>0</v>
      </c>
      <c r="AA14" s="158" t="s">
        <v>2078</v>
      </c>
      <c r="AB14" s="158"/>
      <c r="AC14" s="158"/>
      <c r="AD14" s="158"/>
      <c r="AE14" s="158" t="b">
        <f>IF(AB14="",TRUE,IF(IF(AC14="",VLOOKUP(AB14,Calculs!$A$19:$S$425,19,FALSE),VLOOKUP(AC14,Calculs!$A$19:$S$425,19,FALSE))&gt;=AD14,TRUE,FALSE))</f>
        <v>1</v>
      </c>
      <c r="AF14" s="158"/>
      <c r="AG14" s="158"/>
      <c r="AH14" s="158"/>
      <c r="AI14" s="158" t="b">
        <f>IF(AF14="",TRUE,IF(IF(AG14="",VLOOKUP(AF14,Calculs!$A$19:$S$425,19,FALSE),VLOOKUP(AG14,Calculs!$A$19:$S$425,19,FALSE))&gt;=AH14,TRUE,FALSE))</f>
        <v>1</v>
      </c>
      <c r="AJ14" s="158"/>
      <c r="AK14" s="158"/>
      <c r="AL14" s="158"/>
      <c r="AM14" s="158" t="b">
        <f>IF(AJ14="",TRUE,IF(IF(AK14="",VLOOKUP(AJ14,Calculs!$A$19:$S$425,19,FALSE),VLOOKUP(AK14,Calculs!$A$19:$S$425,19,FALSE))&gt;=AL14,TRUE,FALSE))</f>
        <v>1</v>
      </c>
      <c r="AN14" s="158"/>
      <c r="AO14" s="158"/>
      <c r="AP14" s="158"/>
      <c r="AQ14" s="158" t="b">
        <f>IF(AN14="",TRUE,IF(IF(AO14="",VLOOKUP(AN14,Calculs!$A$19:$S$425,19,FALSE),VLOOKUP(AO14,Calculs!$A$19:$S$425,19,FALSE))&gt;=AP14,TRUE,FALSE))</f>
        <v>1</v>
      </c>
      <c r="AR14" s="158"/>
      <c r="AS14" s="158" t="b">
        <f>IF(AR14="",TRUE,IF(VLOOKUP(AR14,Calculs!$A$427:$G$738,7,FALSE)&gt;0,TRUE,FALSE))</f>
        <v>1</v>
      </c>
      <c r="AT14" s="158"/>
      <c r="AU14" s="158" t="b">
        <f>IF(AT14="",TRUE,IF(VLOOKUP(AT14,Calculs!$A$740:$G$912,7,FALSE)&gt;0,TRUE,FALSE))</f>
        <v>1</v>
      </c>
      <c r="AV14" s="158" t="b">
        <f t="shared" si="0"/>
        <v>1</v>
      </c>
      <c r="AW14" s="158" t="s">
        <v>2078</v>
      </c>
      <c r="AX14" s="162" t="s">
        <v>6816</v>
      </c>
      <c r="AY14" s="15">
        <v>7</v>
      </c>
      <c r="AZ14" s="555" t="s">
        <v>8473</v>
      </c>
      <c r="BA14" s="559">
        <f>IF(Verso!$B$10=Voies!$B14,1,0)</f>
        <v>0</v>
      </c>
      <c r="BB14" s="12">
        <f>IF(Verso!$B$11=Voies!$B14,1,0)</f>
        <v>0</v>
      </c>
      <c r="BC14" s="12">
        <f>IF(Verso!$B$12=Voies!$B14,1,0)</f>
        <v>0</v>
      </c>
      <c r="BD14" s="12">
        <f>IF(Verso!$B$13=Voies!$B14,1,0)</f>
        <v>0</v>
      </c>
      <c r="BE14" s="12">
        <f>IF(Verso!$B$14=Voies!$B14,1,0)</f>
        <v>0</v>
      </c>
      <c r="BF14" s="12">
        <f>IF(Verso!$B$15=Voies!$B14,1,0)</f>
        <v>0</v>
      </c>
      <c r="BG14" s="12">
        <f>IF(Verso!$B$16=Voies!$B14,1,0)</f>
        <v>0</v>
      </c>
      <c r="BH14" s="12">
        <f>IF(Verso!$B$17=Voies!$B14,1,0)</f>
        <v>0</v>
      </c>
      <c r="BI14" s="557">
        <f t="shared" si="1"/>
        <v>0</v>
      </c>
      <c r="BJ14" s="196" t="str">
        <f t="shared" si="2"/>
        <v/>
      </c>
      <c r="BK14" s="196">
        <f t="shared" si="3"/>
        <v>870</v>
      </c>
      <c r="BL14" s="295" t="str">
        <f t="shared" si="4"/>
        <v>Grâce des Ombres</v>
      </c>
      <c r="BM14" s="91"/>
    </row>
    <row r="15" spans="1:65" s="196" customFormat="1" ht="47.25" customHeight="1" x14ac:dyDescent="0.25">
      <c r="A15" s="162" t="str">
        <f>IF(AND(Réputation&gt;Voies!E15-1,OR(C15=TRUE,Calculs!$I$8&gt;0),Air&gt;Voies!J15-1,Eau&gt;Voies!K15-1,Feu&gt;Voies!L15-1,Terre&gt;Voies!M15-1,Vide&gt;Voies!N15-1,Constitution&gt;Voies!O15-1,Volonté&gt;Voies!P15-1,Force&gt;Voies!Q15-1,Perception&gt;Voies!R15-1,Reflexes&gt;Voies!S15-1,Agilité&gt;Voies!T15-1,Intuition&gt;Voies!U15-1,Intelligence&gt;Voies!V15-1,Souillure&gt;Voies!W15-1,Honneur&gt;X15-1,Statut&gt;Y15-1,Gloire&gt;Z15-1,AV15=TRUE),Voies!B15,"")</f>
        <v/>
      </c>
      <c r="B15" s="162" t="s">
        <v>6824</v>
      </c>
      <c r="C15" s="162" t="b">
        <f>IF(Clan=Voies!D15,TRUE,FALSE)</f>
        <v>0</v>
      </c>
      <c r="D15" s="466" t="s">
        <v>6809</v>
      </c>
      <c r="E15" s="199">
        <v>4</v>
      </c>
      <c r="F15" s="199">
        <v>4</v>
      </c>
      <c r="G15" s="199" t="s">
        <v>2049</v>
      </c>
      <c r="H15" s="162" t="s">
        <v>6817</v>
      </c>
      <c r="I15" s="129" t="str">
        <f t="shared" si="5"/>
        <v>Rien</v>
      </c>
      <c r="J15" s="146">
        <v>0</v>
      </c>
      <c r="K15" s="147">
        <v>0</v>
      </c>
      <c r="L15" s="148">
        <v>0</v>
      </c>
      <c r="M15" s="149">
        <v>0</v>
      </c>
      <c r="N15" s="150">
        <v>0</v>
      </c>
      <c r="O15" s="130">
        <v>0</v>
      </c>
      <c r="P15" s="130">
        <v>0</v>
      </c>
      <c r="Q15" s="130">
        <v>0</v>
      </c>
      <c r="R15" s="130">
        <v>0</v>
      </c>
      <c r="S15" s="130">
        <v>0</v>
      </c>
      <c r="T15" s="130">
        <v>0</v>
      </c>
      <c r="U15" s="130">
        <v>0</v>
      </c>
      <c r="V15" s="524">
        <v>0</v>
      </c>
      <c r="W15" s="130">
        <v>0</v>
      </c>
      <c r="X15" s="130">
        <v>0</v>
      </c>
      <c r="Y15" s="130">
        <v>0</v>
      </c>
      <c r="Z15" s="130">
        <v>0</v>
      </c>
      <c r="AA15" s="158" t="s">
        <v>2078</v>
      </c>
      <c r="AB15" s="158"/>
      <c r="AC15" s="158"/>
      <c r="AD15" s="158"/>
      <c r="AE15" s="158" t="b">
        <f>IF(AB15="",TRUE,IF(IF(AC15="",VLOOKUP(AB15,Calculs!$A$19:$S$425,19,FALSE),VLOOKUP(AC15,Calculs!$A$19:$S$425,19,FALSE))&gt;=AD15,TRUE,FALSE))</f>
        <v>1</v>
      </c>
      <c r="AF15" s="158"/>
      <c r="AG15" s="158"/>
      <c r="AH15" s="158"/>
      <c r="AI15" s="158" t="b">
        <f>IF(AF15="",TRUE,IF(IF(AG15="",VLOOKUP(AF15,Calculs!$A$19:$S$425,19,FALSE),VLOOKUP(AG15,Calculs!$A$19:$S$425,19,FALSE))&gt;=AH15,TRUE,FALSE))</f>
        <v>1</v>
      </c>
      <c r="AJ15" s="158"/>
      <c r="AK15" s="158"/>
      <c r="AL15" s="158"/>
      <c r="AM15" s="158" t="b">
        <f>IF(AJ15="",TRUE,IF(IF(AK15="",VLOOKUP(AJ15,Calculs!$A$19:$S$425,19,FALSE),VLOOKUP(AK15,Calculs!$A$19:$S$425,19,FALSE))&gt;=AL15,TRUE,FALSE))</f>
        <v>1</v>
      </c>
      <c r="AN15" s="158"/>
      <c r="AO15" s="158"/>
      <c r="AP15" s="158"/>
      <c r="AQ15" s="158" t="b">
        <f>IF(AN15="",TRUE,IF(IF(AO15="",VLOOKUP(AN15,Calculs!$A$19:$S$425,19,FALSE),VLOOKUP(AO15,Calculs!$A$19:$S$425,19,FALSE))&gt;=AP15,TRUE,FALSE))</f>
        <v>1</v>
      </c>
      <c r="AR15" s="158"/>
      <c r="AS15" s="158" t="b">
        <f>IF(AR15="",TRUE,IF(VLOOKUP(AR15,Calculs!$A$427:$G$738,7,FALSE)&gt;0,TRUE,FALSE))</f>
        <v>1</v>
      </c>
      <c r="AT15" s="158"/>
      <c r="AU15" s="158" t="b">
        <f>IF(AT15="",TRUE,IF(VLOOKUP(AT15,Calculs!$A$740:$G$912,7,FALSE)&gt;0,TRUE,FALSE))</f>
        <v>1</v>
      </c>
      <c r="AV15" s="158" t="b">
        <f t="shared" si="0"/>
        <v>1</v>
      </c>
      <c r="AW15" s="158" t="s">
        <v>2078</v>
      </c>
      <c r="AX15" s="162" t="s">
        <v>6816</v>
      </c>
      <c r="AY15" s="15">
        <v>7</v>
      </c>
      <c r="AZ15" s="555" t="s">
        <v>6827</v>
      </c>
      <c r="BA15" s="559">
        <f>IF(Verso!$B$10=Voies!$B15,1,0)</f>
        <v>0</v>
      </c>
      <c r="BB15" s="12">
        <f>IF(Verso!$B$11=Voies!$B15,1,0)</f>
        <v>0</v>
      </c>
      <c r="BC15" s="12">
        <f>IF(Verso!$B$12=Voies!$B15,1,0)</f>
        <v>0</v>
      </c>
      <c r="BD15" s="12">
        <f>IF(Verso!$B$13=Voies!$B15,1,0)</f>
        <v>0</v>
      </c>
      <c r="BE15" s="12">
        <f>IF(Verso!$B$14=Voies!$B15,1,0)</f>
        <v>0</v>
      </c>
      <c r="BF15" s="12">
        <f>IF(Verso!$B$15=Voies!$B15,1,0)</f>
        <v>0</v>
      </c>
      <c r="BG15" s="12">
        <f>IF(Verso!$B$16=Voies!$B15,1,0)</f>
        <v>0</v>
      </c>
      <c r="BH15" s="12">
        <f>IF(Verso!$B$17=Voies!$B15,1,0)</f>
        <v>0</v>
      </c>
      <c r="BI15" s="557">
        <f t="shared" si="1"/>
        <v>0</v>
      </c>
      <c r="BJ15" s="196" t="str">
        <f t="shared" si="2"/>
        <v/>
      </c>
      <c r="BK15" s="196">
        <f t="shared" si="3"/>
        <v>871</v>
      </c>
      <c r="BL15" s="295" t="str">
        <f t="shared" si="4"/>
        <v>La Vengeance du Peuple</v>
      </c>
      <c r="BM15" s="91"/>
    </row>
    <row r="16" spans="1:65" s="196" customFormat="1" ht="47.25" customHeight="1" x14ac:dyDescent="0.25">
      <c r="A16" s="162" t="str">
        <f>IF(AND(Réputation&gt;Voies!E16-1,OR(C16=TRUE,Calculs!$I$8&gt;0),Air&gt;Voies!J16-1,Eau&gt;Voies!K16-1,Feu&gt;Voies!L16-1,Terre&gt;Voies!M16-1,Vide&gt;Voies!N16-1,Constitution&gt;Voies!O16-1,Volonté&gt;Voies!P16-1,Force&gt;Voies!Q16-1,Perception&gt;Voies!R16-1,Reflexes&gt;Voies!S16-1,Agilité&gt;Voies!T16-1,Intuition&gt;Voies!U16-1,Intelligence&gt;Voies!V16-1,Souillure&gt;Voies!W16-1,Honneur&gt;X16-1,Statut&gt;Y16-1,Gloire&gt;Z16-1,AV16=TRUE),Voies!B16,"")</f>
        <v/>
      </c>
      <c r="B16" s="162" t="s">
        <v>6825</v>
      </c>
      <c r="C16" s="162" t="b">
        <f>IF(Clan=Voies!D16,TRUE,FALSE)</f>
        <v>0</v>
      </c>
      <c r="D16" s="466" t="s">
        <v>6809</v>
      </c>
      <c r="E16" s="199">
        <v>5</v>
      </c>
      <c r="F16" s="199">
        <v>5</v>
      </c>
      <c r="G16" s="199" t="s">
        <v>2049</v>
      </c>
      <c r="H16" s="162" t="s">
        <v>6817</v>
      </c>
      <c r="I16" s="129" t="str">
        <f t="shared" si="5"/>
        <v>Rien</v>
      </c>
      <c r="J16" s="146">
        <v>0</v>
      </c>
      <c r="K16" s="147">
        <v>0</v>
      </c>
      <c r="L16" s="148">
        <v>0</v>
      </c>
      <c r="M16" s="149">
        <v>0</v>
      </c>
      <c r="N16" s="150">
        <v>0</v>
      </c>
      <c r="O16" s="130">
        <v>0</v>
      </c>
      <c r="P16" s="130">
        <v>0</v>
      </c>
      <c r="Q16" s="130">
        <v>0</v>
      </c>
      <c r="R16" s="130">
        <v>0</v>
      </c>
      <c r="S16" s="130">
        <v>0</v>
      </c>
      <c r="T16" s="130">
        <v>0</v>
      </c>
      <c r="U16" s="130">
        <v>0</v>
      </c>
      <c r="V16" s="524">
        <v>0</v>
      </c>
      <c r="W16" s="130">
        <v>0</v>
      </c>
      <c r="X16" s="130">
        <v>0</v>
      </c>
      <c r="Y16" s="130">
        <v>0</v>
      </c>
      <c r="Z16" s="130">
        <v>0</v>
      </c>
      <c r="AA16" s="158" t="s">
        <v>2078</v>
      </c>
      <c r="AB16" s="158"/>
      <c r="AC16" s="158"/>
      <c r="AD16" s="158"/>
      <c r="AE16" s="158" t="b">
        <f>IF(AB16="",TRUE,IF(IF(AC16="",VLOOKUP(AB16,Calculs!$A$19:$S$425,19,FALSE),VLOOKUP(AC16,Calculs!$A$19:$S$425,19,FALSE))&gt;=AD16,TRUE,FALSE))</f>
        <v>1</v>
      </c>
      <c r="AF16" s="158"/>
      <c r="AG16" s="158"/>
      <c r="AH16" s="158"/>
      <c r="AI16" s="158" t="b">
        <f>IF(AF16="",TRUE,IF(IF(AG16="",VLOOKUP(AF16,Calculs!$A$19:$S$425,19,FALSE),VLOOKUP(AG16,Calculs!$A$19:$S$425,19,FALSE))&gt;=AH16,TRUE,FALSE))</f>
        <v>1</v>
      </c>
      <c r="AJ16" s="158"/>
      <c r="AK16" s="158"/>
      <c r="AL16" s="158"/>
      <c r="AM16" s="158" t="b">
        <f>IF(AJ16="",TRUE,IF(IF(AK16="",VLOOKUP(AJ16,Calculs!$A$19:$S$425,19,FALSE),VLOOKUP(AK16,Calculs!$A$19:$S$425,19,FALSE))&gt;=AL16,TRUE,FALSE))</f>
        <v>1</v>
      </c>
      <c r="AN16" s="158"/>
      <c r="AO16" s="158"/>
      <c r="AP16" s="158"/>
      <c r="AQ16" s="158" t="b">
        <f>IF(AN16="",TRUE,IF(IF(AO16="",VLOOKUP(AN16,Calculs!$A$19:$S$425,19,FALSE),VLOOKUP(AO16,Calculs!$A$19:$S$425,19,FALSE))&gt;=AP16,TRUE,FALSE))</f>
        <v>1</v>
      </c>
      <c r="AR16" s="158"/>
      <c r="AS16" s="158" t="b">
        <f>IF(AR16="",TRUE,IF(VLOOKUP(AR16,Calculs!$A$427:$G$738,7,FALSE)&gt;0,TRUE,FALSE))</f>
        <v>1</v>
      </c>
      <c r="AT16" s="158"/>
      <c r="AU16" s="158" t="b">
        <f>IF(AT16="",TRUE,IF(VLOOKUP(AT16,Calculs!$A$740:$G$912,7,FALSE)&gt;0,TRUE,FALSE))</f>
        <v>1</v>
      </c>
      <c r="AV16" s="158" t="b">
        <f t="shared" si="0"/>
        <v>1</v>
      </c>
      <c r="AW16" s="158" t="s">
        <v>2078</v>
      </c>
      <c r="AX16" s="162" t="s">
        <v>6816</v>
      </c>
      <c r="AY16" s="15">
        <v>7</v>
      </c>
      <c r="AZ16" s="555" t="s">
        <v>6828</v>
      </c>
      <c r="BA16" s="559">
        <f>IF(Verso!$B$10=Voies!$B16,1,0)</f>
        <v>0</v>
      </c>
      <c r="BB16" s="12">
        <f>IF(Verso!$B$11=Voies!$B16,1,0)</f>
        <v>0</v>
      </c>
      <c r="BC16" s="12">
        <f>IF(Verso!$B$12=Voies!$B16,1,0)</f>
        <v>0</v>
      </c>
      <c r="BD16" s="12">
        <f>IF(Verso!$B$13=Voies!$B16,1,0)</f>
        <v>0</v>
      </c>
      <c r="BE16" s="12">
        <f>IF(Verso!$B$14=Voies!$B16,1,0)</f>
        <v>0</v>
      </c>
      <c r="BF16" s="12">
        <f>IF(Verso!$B$15=Voies!$B16,1,0)</f>
        <v>0</v>
      </c>
      <c r="BG16" s="12">
        <f>IF(Verso!$B$16=Voies!$B16,1,0)</f>
        <v>0</v>
      </c>
      <c r="BH16" s="12">
        <f>IF(Verso!$B$17=Voies!$B16,1,0)</f>
        <v>0</v>
      </c>
      <c r="BI16" s="557">
        <f t="shared" si="1"/>
        <v>0</v>
      </c>
      <c r="BJ16" s="196" t="str">
        <f t="shared" si="2"/>
        <v/>
      </c>
      <c r="BK16" s="196">
        <f t="shared" si="3"/>
        <v>872</v>
      </c>
      <c r="BL16" s="295" t="str">
        <f t="shared" si="4"/>
        <v>Caresse du Vide (Mystique)</v>
      </c>
      <c r="BM16" s="91"/>
    </row>
    <row r="17" spans="1:65" s="196" customFormat="1" ht="47.25" customHeight="1" x14ac:dyDescent="0.25">
      <c r="A17" s="162" t="str">
        <f>IF(AND(Réputation&gt;Voies!E17-1,OR(C17=TRUE,Calculs!$I$8&gt;0),Air&gt;Voies!J17-1,Eau&gt;Voies!K17-1,Feu&gt;Voies!L17-1,Terre&gt;Voies!M17-1,Vide&gt;Voies!N17-1,Constitution&gt;Voies!O17-1,Volonté&gt;Voies!P17-1,Force&gt;Voies!Q17-1,Perception&gt;Voies!R17-1,Reflexes&gt;Voies!S17-1,Agilité&gt;Voies!T17-1,Intuition&gt;Voies!U17-1,Intelligence&gt;Voies!V17-1,Souillure&gt;Voies!W17-1,Honneur&gt;X17-1,Statut&gt;Y17-1,Gloire&gt;Z17-1,AV17=TRUE),Voies!B17,"")</f>
        <v/>
      </c>
      <c r="B17" s="162" t="s">
        <v>7024</v>
      </c>
      <c r="C17" s="162" t="b">
        <f>IF(Clan=Voies!D17,TRUE,FALSE)</f>
        <v>0</v>
      </c>
      <c r="D17" s="466" t="s">
        <v>6772</v>
      </c>
      <c r="E17" s="199">
        <v>1</v>
      </c>
      <c r="F17" s="199">
        <v>1</v>
      </c>
      <c r="G17" s="199" t="s">
        <v>2052</v>
      </c>
      <c r="H17" s="162" t="s">
        <v>6884</v>
      </c>
      <c r="I17" s="129" t="str">
        <f t="shared" si="5"/>
        <v>Rien</v>
      </c>
      <c r="J17" s="146">
        <v>0</v>
      </c>
      <c r="K17" s="147">
        <v>0</v>
      </c>
      <c r="L17" s="148">
        <v>0</v>
      </c>
      <c r="M17" s="149">
        <v>0</v>
      </c>
      <c r="N17" s="150">
        <v>0</v>
      </c>
      <c r="O17" s="130">
        <v>0</v>
      </c>
      <c r="P17" s="130">
        <v>0</v>
      </c>
      <c r="Q17" s="130">
        <v>0</v>
      </c>
      <c r="R17" s="130">
        <v>0</v>
      </c>
      <c r="S17" s="130">
        <v>0</v>
      </c>
      <c r="T17" s="130">
        <v>0</v>
      </c>
      <c r="U17" s="130">
        <v>0</v>
      </c>
      <c r="V17" s="524">
        <v>0</v>
      </c>
      <c r="W17" s="130">
        <v>0</v>
      </c>
      <c r="X17" s="130">
        <v>0</v>
      </c>
      <c r="Y17" s="130">
        <v>0</v>
      </c>
      <c r="Z17" s="130">
        <v>0</v>
      </c>
      <c r="AA17" s="158" t="s">
        <v>2078</v>
      </c>
      <c r="AB17" s="158"/>
      <c r="AC17" s="158"/>
      <c r="AD17" s="158"/>
      <c r="AE17" s="158" t="b">
        <f>IF(AB17="",TRUE,IF(IF(AC17="",VLOOKUP(AB17,Calculs!$A$19:$S$425,19,FALSE),VLOOKUP(AC17,Calculs!$A$19:$S$425,19,FALSE))&gt;=AD17,TRUE,FALSE))</f>
        <v>1</v>
      </c>
      <c r="AF17" s="158"/>
      <c r="AG17" s="158"/>
      <c r="AH17" s="158"/>
      <c r="AI17" s="158" t="b">
        <f>IF(AF17="",TRUE,IF(IF(AG17="",VLOOKUP(AF17,Calculs!$A$19:$S$425,19,FALSE),VLOOKUP(AG17,Calculs!$A$19:$S$425,19,FALSE))&gt;=AH17,TRUE,FALSE))</f>
        <v>1</v>
      </c>
      <c r="AJ17" s="158"/>
      <c r="AK17" s="158"/>
      <c r="AL17" s="158"/>
      <c r="AM17" s="158" t="b">
        <f>IF(AJ17="",TRUE,IF(IF(AK17="",VLOOKUP(AJ17,Calculs!$A$19:$S$425,19,FALSE),VLOOKUP(AK17,Calculs!$A$19:$S$425,19,FALSE))&gt;=AL17,TRUE,FALSE))</f>
        <v>1</v>
      </c>
      <c r="AN17" s="158"/>
      <c r="AO17" s="158"/>
      <c r="AP17" s="158"/>
      <c r="AQ17" s="158" t="b">
        <f>IF(AN17="",TRUE,IF(IF(AO17="",VLOOKUP(AN17,Calculs!$A$19:$S$425,19,FALSE),VLOOKUP(AO17,Calculs!$A$19:$S$425,19,FALSE))&gt;=AP17,TRUE,FALSE))</f>
        <v>1</v>
      </c>
      <c r="AR17" s="158"/>
      <c r="AS17" s="158" t="b">
        <f>IF(AR17="",TRUE,IF(VLOOKUP(AR17,Calculs!$A$427:$G$738,7,FALSE)&gt;0,TRUE,FALSE))</f>
        <v>1</v>
      </c>
      <c r="AT17" s="158"/>
      <c r="AU17" s="158" t="b">
        <f>IF(AT17="",TRUE,IF(VLOOKUP(AT17,Calculs!$A$740:$G$912,7,FALSE)&gt;0,TRUE,FALSE))</f>
        <v>1</v>
      </c>
      <c r="AV17" s="158" t="b">
        <f t="shared" si="0"/>
        <v>1</v>
      </c>
      <c r="AW17" s="158" t="s">
        <v>2078</v>
      </c>
      <c r="AX17" s="162" t="s">
        <v>6816</v>
      </c>
      <c r="AY17" s="15">
        <v>60</v>
      </c>
      <c r="AZ17" s="555" t="s">
        <v>7029</v>
      </c>
      <c r="BA17" s="559">
        <f>IF(Verso!$B$10=Voies!$B17,1,0)</f>
        <v>0</v>
      </c>
      <c r="BB17" s="12">
        <f>IF(Verso!$B$11=Voies!$B17,1,0)</f>
        <v>0</v>
      </c>
      <c r="BC17" s="12">
        <f>IF(Verso!$B$12=Voies!$B17,1,0)</f>
        <v>0</v>
      </c>
      <c r="BD17" s="12">
        <f>IF(Verso!$B$13=Voies!$B17,1,0)</f>
        <v>0</v>
      </c>
      <c r="BE17" s="12">
        <f>IF(Verso!$B$14=Voies!$B17,1,0)</f>
        <v>0</v>
      </c>
      <c r="BF17" s="12">
        <f>IF(Verso!$B$15=Voies!$B17,1,0)</f>
        <v>0</v>
      </c>
      <c r="BG17" s="12">
        <f>IF(Verso!$B$16=Voies!$B17,1,0)</f>
        <v>0</v>
      </c>
      <c r="BH17" s="12">
        <f>IF(Verso!$B$17=Voies!$B17,1,0)</f>
        <v>0</v>
      </c>
      <c r="BI17" s="557">
        <f t="shared" si="1"/>
        <v>0</v>
      </c>
      <c r="BJ17" s="196" t="str">
        <f t="shared" si="2"/>
        <v/>
      </c>
      <c r="BK17" s="196">
        <f t="shared" si="3"/>
        <v>873</v>
      </c>
      <c r="BL17" s="295" t="str">
        <f t="shared" si="4"/>
        <v>Âme de l'Etudiant</v>
      </c>
      <c r="BM17" s="91"/>
    </row>
    <row r="18" spans="1:65" s="196" customFormat="1" ht="47.25" customHeight="1" x14ac:dyDescent="0.25">
      <c r="A18" s="162" t="str">
        <f>IF(AND(Réputation&gt;Voies!E18-1,OR(C18=TRUE,Calculs!$I$8&gt;0),Air&gt;Voies!J18-1,Eau&gt;Voies!K18-1,Feu&gt;Voies!L18-1,Terre&gt;Voies!M18-1,Vide&gt;Voies!N18-1,Constitution&gt;Voies!O18-1,Volonté&gt;Voies!P18-1,Force&gt;Voies!Q18-1,Perception&gt;Voies!R18-1,Reflexes&gt;Voies!S18-1,Agilité&gt;Voies!T18-1,Intuition&gt;Voies!U18-1,Intelligence&gt;Voies!V18-1,Souillure&gt;Voies!W18-1,Honneur&gt;X18-1,Statut&gt;Y18-1,Gloire&gt;Z18-1,AV18=TRUE),Voies!B18,"")</f>
        <v/>
      </c>
      <c r="B18" s="162" t="s">
        <v>7025</v>
      </c>
      <c r="C18" s="162" t="b">
        <f>IF(Clan=Voies!D18,TRUE,FALSE)</f>
        <v>0</v>
      </c>
      <c r="D18" s="466" t="s">
        <v>6772</v>
      </c>
      <c r="E18" s="199">
        <v>2</v>
      </c>
      <c r="F18" s="199">
        <v>2</v>
      </c>
      <c r="G18" s="199" t="s">
        <v>2052</v>
      </c>
      <c r="H18" s="162" t="s">
        <v>6884</v>
      </c>
      <c r="I18" s="129" t="str">
        <f t="shared" si="5"/>
        <v>Rien</v>
      </c>
      <c r="J18" s="146">
        <v>0</v>
      </c>
      <c r="K18" s="147">
        <v>0</v>
      </c>
      <c r="L18" s="148">
        <v>0</v>
      </c>
      <c r="M18" s="149">
        <v>0</v>
      </c>
      <c r="N18" s="150">
        <v>0</v>
      </c>
      <c r="O18" s="130">
        <v>0</v>
      </c>
      <c r="P18" s="130">
        <v>0</v>
      </c>
      <c r="Q18" s="130">
        <v>0</v>
      </c>
      <c r="R18" s="130">
        <v>0</v>
      </c>
      <c r="S18" s="130">
        <v>0</v>
      </c>
      <c r="T18" s="130">
        <v>0</v>
      </c>
      <c r="U18" s="130">
        <v>0</v>
      </c>
      <c r="V18" s="524">
        <v>0</v>
      </c>
      <c r="W18" s="130">
        <v>0</v>
      </c>
      <c r="X18" s="130">
        <v>0</v>
      </c>
      <c r="Y18" s="130">
        <v>0</v>
      </c>
      <c r="Z18" s="130">
        <v>0</v>
      </c>
      <c r="AA18" s="158" t="s">
        <v>2078</v>
      </c>
      <c r="AB18" s="158"/>
      <c r="AC18" s="158"/>
      <c r="AD18" s="158"/>
      <c r="AE18" s="158" t="b">
        <f>IF(AB18="",TRUE,IF(IF(AC18="",VLOOKUP(AB18,Calculs!$A$19:$S$425,19,FALSE),VLOOKUP(AC18,Calculs!$A$19:$S$425,19,FALSE))&gt;=AD18,TRUE,FALSE))</f>
        <v>1</v>
      </c>
      <c r="AF18" s="158"/>
      <c r="AG18" s="158"/>
      <c r="AH18" s="158"/>
      <c r="AI18" s="158" t="b">
        <f>IF(AF18="",TRUE,IF(IF(AG18="",VLOOKUP(AF18,Calculs!$A$19:$S$425,19,FALSE),VLOOKUP(AG18,Calculs!$A$19:$S$425,19,FALSE))&gt;=AH18,TRUE,FALSE))</f>
        <v>1</v>
      </c>
      <c r="AJ18" s="158"/>
      <c r="AK18" s="158"/>
      <c r="AL18" s="158"/>
      <c r="AM18" s="158" t="b">
        <f>IF(AJ18="",TRUE,IF(IF(AK18="",VLOOKUP(AJ18,Calculs!$A$19:$S$425,19,FALSE),VLOOKUP(AK18,Calculs!$A$19:$S$425,19,FALSE))&gt;=AL18,TRUE,FALSE))</f>
        <v>1</v>
      </c>
      <c r="AN18" s="158"/>
      <c r="AO18" s="158"/>
      <c r="AP18" s="158"/>
      <c r="AQ18" s="158" t="b">
        <f>IF(AN18="",TRUE,IF(IF(AO18="",VLOOKUP(AN18,Calculs!$A$19:$S$425,19,FALSE),VLOOKUP(AO18,Calculs!$A$19:$S$425,19,FALSE))&gt;=AP18,TRUE,FALSE))</f>
        <v>1</v>
      </c>
      <c r="AR18" s="158"/>
      <c r="AS18" s="158" t="b">
        <f>IF(AR18="",TRUE,IF(VLOOKUP(AR18,Calculs!$A$427:$G$738,7,FALSE)&gt;0,TRUE,FALSE))</f>
        <v>1</v>
      </c>
      <c r="AT18" s="158"/>
      <c r="AU18" s="158" t="b">
        <f>IF(AT18="",TRUE,IF(VLOOKUP(AT18,Calculs!$A$740:$G$912,7,FALSE)&gt;0,TRUE,FALSE))</f>
        <v>1</v>
      </c>
      <c r="AV18" s="158" t="b">
        <f t="shared" si="0"/>
        <v>1</v>
      </c>
      <c r="AW18" s="158" t="s">
        <v>2078</v>
      </c>
      <c r="AX18" s="162" t="s">
        <v>6816</v>
      </c>
      <c r="AY18" s="15">
        <v>60</v>
      </c>
      <c r="AZ18" s="555" t="s">
        <v>7030</v>
      </c>
      <c r="BA18" s="559">
        <f>IF(Verso!$B$10=Voies!$B18,1,0)</f>
        <v>0</v>
      </c>
      <c r="BB18" s="12">
        <f>IF(Verso!$B$11=Voies!$B18,1,0)</f>
        <v>0</v>
      </c>
      <c r="BC18" s="12">
        <f>IF(Verso!$B$12=Voies!$B18,1,0)</f>
        <v>0</v>
      </c>
      <c r="BD18" s="12">
        <f>IF(Verso!$B$13=Voies!$B18,1,0)</f>
        <v>0</v>
      </c>
      <c r="BE18" s="12">
        <f>IF(Verso!$B$14=Voies!$B18,1,0)</f>
        <v>0</v>
      </c>
      <c r="BF18" s="12">
        <f>IF(Verso!$B$15=Voies!$B18,1,0)</f>
        <v>0</v>
      </c>
      <c r="BG18" s="12">
        <f>IF(Verso!$B$16=Voies!$B18,1,0)</f>
        <v>0</v>
      </c>
      <c r="BH18" s="12">
        <f>IF(Verso!$B$17=Voies!$B18,1,0)</f>
        <v>0</v>
      </c>
      <c r="BI18" s="557">
        <f t="shared" si="1"/>
        <v>0</v>
      </c>
      <c r="BJ18" s="196" t="str">
        <f t="shared" si="2"/>
        <v/>
      </c>
      <c r="BK18" s="196">
        <f t="shared" si="3"/>
        <v>874</v>
      </c>
      <c r="BL18" s="295" t="str">
        <f t="shared" si="4"/>
        <v>La Voie de la Discipline</v>
      </c>
      <c r="BM18" s="91"/>
    </row>
    <row r="19" spans="1:65" s="196" customFormat="1" ht="47.25" customHeight="1" x14ac:dyDescent="0.25">
      <c r="A19" s="162" t="str">
        <f>IF(AND(Réputation&gt;Voies!E19-1,OR(C19=TRUE,Calculs!$I$8&gt;0),Air&gt;Voies!J19-1,Eau&gt;Voies!K19-1,Feu&gt;Voies!L19-1,Terre&gt;Voies!M19-1,Vide&gt;Voies!N19-1,Constitution&gt;Voies!O19-1,Volonté&gt;Voies!P19-1,Force&gt;Voies!Q19-1,Perception&gt;Voies!R19-1,Reflexes&gt;Voies!S19-1,Agilité&gt;Voies!T19-1,Intuition&gt;Voies!U19-1,Intelligence&gt;Voies!V19-1,Souillure&gt;Voies!W19-1,Honneur&gt;X19-1,Statut&gt;Y19-1,Gloire&gt;Z19-1,AV19=TRUE),Voies!B19,"")</f>
        <v/>
      </c>
      <c r="B19" s="162" t="s">
        <v>7026</v>
      </c>
      <c r="C19" s="162" t="b">
        <f>IF(Clan=Voies!D19,TRUE,FALSE)</f>
        <v>0</v>
      </c>
      <c r="D19" s="466" t="s">
        <v>6772</v>
      </c>
      <c r="E19" s="199">
        <v>3</v>
      </c>
      <c r="F19" s="199">
        <v>3</v>
      </c>
      <c r="G19" s="199" t="s">
        <v>2052</v>
      </c>
      <c r="H19" s="162" t="s">
        <v>6884</v>
      </c>
      <c r="I19" s="129" t="str">
        <f t="shared" si="5"/>
        <v>Rien</v>
      </c>
      <c r="J19" s="146">
        <v>0</v>
      </c>
      <c r="K19" s="147">
        <v>0</v>
      </c>
      <c r="L19" s="148">
        <v>0</v>
      </c>
      <c r="M19" s="149">
        <v>0</v>
      </c>
      <c r="N19" s="150">
        <v>0</v>
      </c>
      <c r="O19" s="130">
        <v>0</v>
      </c>
      <c r="P19" s="130">
        <v>0</v>
      </c>
      <c r="Q19" s="130">
        <v>0</v>
      </c>
      <c r="R19" s="130">
        <v>0</v>
      </c>
      <c r="S19" s="130">
        <v>0</v>
      </c>
      <c r="T19" s="130">
        <v>0</v>
      </c>
      <c r="U19" s="130">
        <v>0</v>
      </c>
      <c r="V19" s="524">
        <v>0</v>
      </c>
      <c r="W19" s="130">
        <v>0</v>
      </c>
      <c r="X19" s="130">
        <v>0</v>
      </c>
      <c r="Y19" s="130">
        <v>0</v>
      </c>
      <c r="Z19" s="130">
        <v>0</v>
      </c>
      <c r="AA19" s="158" t="s">
        <v>2078</v>
      </c>
      <c r="AB19" s="158"/>
      <c r="AC19" s="158"/>
      <c r="AD19" s="158"/>
      <c r="AE19" s="158" t="b">
        <f>IF(AB19="",TRUE,IF(IF(AC19="",VLOOKUP(AB19,Calculs!$A$19:$S$425,19,FALSE),VLOOKUP(AC19,Calculs!$A$19:$S$425,19,FALSE))&gt;=AD19,TRUE,FALSE))</f>
        <v>1</v>
      </c>
      <c r="AF19" s="158"/>
      <c r="AG19" s="158"/>
      <c r="AH19" s="158"/>
      <c r="AI19" s="158" t="b">
        <f>IF(AF19="",TRUE,IF(IF(AG19="",VLOOKUP(AF19,Calculs!$A$19:$S$425,19,FALSE),VLOOKUP(AG19,Calculs!$A$19:$S$425,19,FALSE))&gt;=AH19,TRUE,FALSE))</f>
        <v>1</v>
      </c>
      <c r="AJ19" s="158"/>
      <c r="AK19" s="158"/>
      <c r="AL19" s="158"/>
      <c r="AM19" s="158" t="b">
        <f>IF(AJ19="",TRUE,IF(IF(AK19="",VLOOKUP(AJ19,Calculs!$A$19:$S$425,19,FALSE),VLOOKUP(AK19,Calculs!$A$19:$S$425,19,FALSE))&gt;=AL19,TRUE,FALSE))</f>
        <v>1</v>
      </c>
      <c r="AN19" s="158"/>
      <c r="AO19" s="158"/>
      <c r="AP19" s="158"/>
      <c r="AQ19" s="158" t="b">
        <f>IF(AN19="",TRUE,IF(IF(AO19="",VLOOKUP(AN19,Calculs!$A$19:$S$425,19,FALSE),VLOOKUP(AO19,Calculs!$A$19:$S$425,19,FALSE))&gt;=AP19,TRUE,FALSE))</f>
        <v>1</v>
      </c>
      <c r="AR19" s="158"/>
      <c r="AS19" s="158" t="b">
        <f>IF(AR19="",TRUE,IF(VLOOKUP(AR19,Calculs!$A$427:$G$738,7,FALSE)&gt;0,TRUE,FALSE))</f>
        <v>1</v>
      </c>
      <c r="AT19" s="158"/>
      <c r="AU19" s="158" t="b">
        <f>IF(AT19="",TRUE,IF(VLOOKUP(AT19,Calculs!$A$740:$G$912,7,FALSE)&gt;0,TRUE,FALSE))</f>
        <v>1</v>
      </c>
      <c r="AV19" s="158" t="b">
        <f t="shared" si="0"/>
        <v>1</v>
      </c>
      <c r="AW19" s="158" t="s">
        <v>2078</v>
      </c>
      <c r="AX19" s="162" t="s">
        <v>6816</v>
      </c>
      <c r="AY19" s="15">
        <v>60</v>
      </c>
      <c r="AZ19" s="555" t="s">
        <v>7031</v>
      </c>
      <c r="BA19" s="559">
        <f>IF(Verso!$B$10=Voies!$B19,1,0)</f>
        <v>0</v>
      </c>
      <c r="BB19" s="12">
        <f>IF(Verso!$B$11=Voies!$B19,1,0)</f>
        <v>0</v>
      </c>
      <c r="BC19" s="12">
        <f>IF(Verso!$B$12=Voies!$B19,1,0)</f>
        <v>0</v>
      </c>
      <c r="BD19" s="12">
        <f>IF(Verso!$B$13=Voies!$B19,1,0)</f>
        <v>0</v>
      </c>
      <c r="BE19" s="12">
        <f>IF(Verso!$B$14=Voies!$B19,1,0)</f>
        <v>0</v>
      </c>
      <c r="BF19" s="12">
        <f>IF(Verso!$B$15=Voies!$B19,1,0)</f>
        <v>0</v>
      </c>
      <c r="BG19" s="12">
        <f>IF(Verso!$B$16=Voies!$B19,1,0)</f>
        <v>0</v>
      </c>
      <c r="BH19" s="12">
        <f>IF(Verso!$B$17=Voies!$B19,1,0)</f>
        <v>0</v>
      </c>
      <c r="BI19" s="557">
        <f t="shared" si="1"/>
        <v>0</v>
      </c>
      <c r="BJ19" s="196" t="str">
        <f t="shared" si="2"/>
        <v/>
      </c>
      <c r="BK19" s="196">
        <f t="shared" si="3"/>
        <v>875</v>
      </c>
      <c r="BL19" s="295" t="str">
        <f t="shared" si="4"/>
        <v>Le Don des Kami</v>
      </c>
      <c r="BM19" s="91"/>
    </row>
    <row r="20" spans="1:65" s="196" customFormat="1" ht="47.25" customHeight="1" x14ac:dyDescent="0.25">
      <c r="A20" s="162" t="str">
        <f>IF(AND(Réputation&gt;Voies!E20-1,OR(C20=TRUE,Calculs!$I$8&gt;0),Air&gt;Voies!J20-1,Eau&gt;Voies!K20-1,Feu&gt;Voies!L20-1,Terre&gt;Voies!M20-1,Vide&gt;Voies!N20-1,Constitution&gt;Voies!O20-1,Volonté&gt;Voies!P20-1,Force&gt;Voies!Q20-1,Perception&gt;Voies!R20-1,Reflexes&gt;Voies!S20-1,Agilité&gt;Voies!T20-1,Intuition&gt;Voies!U20-1,Intelligence&gt;Voies!V20-1,Souillure&gt;Voies!W20-1,Honneur&gt;X20-1,Statut&gt;Y20-1,Gloire&gt;Z20-1,AV20=TRUE),Voies!B20,"")</f>
        <v/>
      </c>
      <c r="B20" s="162" t="s">
        <v>7027</v>
      </c>
      <c r="C20" s="162" t="b">
        <f>IF(Clan=Voies!D20,TRUE,FALSE)</f>
        <v>0</v>
      </c>
      <c r="D20" s="466" t="s">
        <v>6772</v>
      </c>
      <c r="E20" s="199">
        <v>4</v>
      </c>
      <c r="F20" s="199">
        <v>4</v>
      </c>
      <c r="G20" s="199" t="s">
        <v>2052</v>
      </c>
      <c r="H20" s="162" t="s">
        <v>6884</v>
      </c>
      <c r="I20" s="129" t="str">
        <f t="shared" si="5"/>
        <v>Rien</v>
      </c>
      <c r="J20" s="146">
        <v>0</v>
      </c>
      <c r="K20" s="147">
        <v>0</v>
      </c>
      <c r="L20" s="148">
        <v>0</v>
      </c>
      <c r="M20" s="149">
        <v>0</v>
      </c>
      <c r="N20" s="150">
        <v>0</v>
      </c>
      <c r="O20" s="130">
        <v>0</v>
      </c>
      <c r="P20" s="130">
        <v>0</v>
      </c>
      <c r="Q20" s="130">
        <v>0</v>
      </c>
      <c r="R20" s="130">
        <v>0</v>
      </c>
      <c r="S20" s="130">
        <v>0</v>
      </c>
      <c r="T20" s="130">
        <v>0</v>
      </c>
      <c r="U20" s="130">
        <v>0</v>
      </c>
      <c r="V20" s="524">
        <v>0</v>
      </c>
      <c r="W20" s="130">
        <v>0</v>
      </c>
      <c r="X20" s="130">
        <v>0</v>
      </c>
      <c r="Y20" s="130">
        <v>0</v>
      </c>
      <c r="Z20" s="130">
        <v>0</v>
      </c>
      <c r="AA20" s="158" t="s">
        <v>2078</v>
      </c>
      <c r="AB20" s="158"/>
      <c r="AC20" s="158"/>
      <c r="AD20" s="158"/>
      <c r="AE20" s="158" t="b">
        <f>IF(AB20="",TRUE,IF(IF(AC20="",VLOOKUP(AB20,Calculs!$A$19:$S$425,19,FALSE),VLOOKUP(AC20,Calculs!$A$19:$S$425,19,FALSE))&gt;=AD20,TRUE,FALSE))</f>
        <v>1</v>
      </c>
      <c r="AF20" s="158"/>
      <c r="AG20" s="158"/>
      <c r="AH20" s="158"/>
      <c r="AI20" s="158" t="b">
        <f>IF(AF20="",TRUE,IF(IF(AG20="",VLOOKUP(AF20,Calculs!$A$19:$S$425,19,FALSE),VLOOKUP(AG20,Calculs!$A$19:$S$425,19,FALSE))&gt;=AH20,TRUE,FALSE))</f>
        <v>1</v>
      </c>
      <c r="AJ20" s="158"/>
      <c r="AK20" s="158"/>
      <c r="AL20" s="158"/>
      <c r="AM20" s="158" t="b">
        <f>IF(AJ20="",TRUE,IF(IF(AK20="",VLOOKUP(AJ20,Calculs!$A$19:$S$425,19,FALSE),VLOOKUP(AK20,Calculs!$A$19:$S$425,19,FALSE))&gt;=AL20,TRUE,FALSE))</f>
        <v>1</v>
      </c>
      <c r="AN20" s="158"/>
      <c r="AO20" s="158"/>
      <c r="AP20" s="158"/>
      <c r="AQ20" s="158" t="b">
        <f>IF(AN20="",TRUE,IF(IF(AO20="",VLOOKUP(AN20,Calculs!$A$19:$S$425,19,FALSE),VLOOKUP(AO20,Calculs!$A$19:$S$425,19,FALSE))&gt;=AP20,TRUE,FALSE))</f>
        <v>1</v>
      </c>
      <c r="AR20" s="158"/>
      <c r="AS20" s="158" t="b">
        <f>IF(AR20="",TRUE,IF(VLOOKUP(AR20,Calculs!$A$427:$G$738,7,FALSE)&gt;0,TRUE,FALSE))</f>
        <v>1</v>
      </c>
      <c r="AT20" s="158"/>
      <c r="AU20" s="158" t="b">
        <f>IF(AT20="",TRUE,IF(VLOOKUP(AT20,Calculs!$A$740:$G$912,7,FALSE)&gt;0,TRUE,FALSE))</f>
        <v>1</v>
      </c>
      <c r="AV20" s="158" t="b">
        <f t="shared" si="0"/>
        <v>1</v>
      </c>
      <c r="AW20" s="158" t="s">
        <v>2078</v>
      </c>
      <c r="AX20" s="162" t="s">
        <v>6816</v>
      </c>
      <c r="AY20" s="15">
        <v>60</v>
      </c>
      <c r="AZ20" s="555" t="str">
        <f>CONCATENATE("Ajoutez 0g",Vide," à tout test coopératif auquel vous prennez part. Si les dés doivent être divisés, vous choississez la répartition.")</f>
        <v>Ajoutez 0g2 à tout test coopératif auquel vous prennez part. Si les dés doivent être divisés, vous choississez la répartition.</v>
      </c>
      <c r="BA20" s="559">
        <f>IF(Verso!$B$10=Voies!$B20,1,0)</f>
        <v>0</v>
      </c>
      <c r="BB20" s="12">
        <f>IF(Verso!$B$11=Voies!$B20,1,0)</f>
        <v>0</v>
      </c>
      <c r="BC20" s="12">
        <f>IF(Verso!$B$12=Voies!$B20,1,0)</f>
        <v>0</v>
      </c>
      <c r="BD20" s="12">
        <f>IF(Verso!$B$13=Voies!$B20,1,0)</f>
        <v>0</v>
      </c>
      <c r="BE20" s="12">
        <f>IF(Verso!$B$14=Voies!$B20,1,0)</f>
        <v>0</v>
      </c>
      <c r="BF20" s="12">
        <f>IF(Verso!$B$15=Voies!$B20,1,0)</f>
        <v>0</v>
      </c>
      <c r="BG20" s="12">
        <f>IF(Verso!$B$16=Voies!$B20,1,0)</f>
        <v>0</v>
      </c>
      <c r="BH20" s="12">
        <f>IF(Verso!$B$17=Voies!$B20,1,0)</f>
        <v>0</v>
      </c>
      <c r="BI20" s="557">
        <f t="shared" si="1"/>
        <v>0</v>
      </c>
      <c r="BJ20" s="196" t="str">
        <f t="shared" si="2"/>
        <v/>
      </c>
      <c r="BK20" s="196">
        <f t="shared" si="3"/>
        <v>1025</v>
      </c>
      <c r="BL20" s="295" t="str">
        <f t="shared" si="4"/>
        <v>Âme Prometteuse</v>
      </c>
      <c r="BM20" s="91"/>
    </row>
    <row r="21" spans="1:65" s="196" customFormat="1" ht="47.25" customHeight="1" x14ac:dyDescent="0.25">
      <c r="A21" s="162" t="str">
        <f>IF(AND(Réputation&gt;Voies!E21-1,OR(C21=TRUE,Calculs!$I$8&gt;0),Air&gt;Voies!J21-1,Eau&gt;Voies!K21-1,Feu&gt;Voies!L21-1,Terre&gt;Voies!M21-1,Vide&gt;Voies!N21-1,Constitution&gt;Voies!O21-1,Volonté&gt;Voies!P21-1,Force&gt;Voies!Q21-1,Perception&gt;Voies!R21-1,Reflexes&gt;Voies!S21-1,Agilité&gt;Voies!T21-1,Intuition&gt;Voies!U21-1,Intelligence&gt;Voies!V21-1,Souillure&gt;Voies!W21-1,Honneur&gt;X21-1,Statut&gt;Y21-1,Gloire&gt;Z21-1,AV21=TRUE),Voies!B21,"")</f>
        <v/>
      </c>
      <c r="B21" s="162" t="s">
        <v>7028</v>
      </c>
      <c r="C21" s="162" t="b">
        <f>IF(Clan=Voies!D21,TRUE,FALSE)</f>
        <v>0</v>
      </c>
      <c r="D21" s="466" t="s">
        <v>6772</v>
      </c>
      <c r="E21" s="199">
        <v>5</v>
      </c>
      <c r="F21" s="199">
        <v>5</v>
      </c>
      <c r="G21" s="199" t="s">
        <v>2052</v>
      </c>
      <c r="H21" s="162" t="s">
        <v>6884</v>
      </c>
      <c r="I21" s="129" t="str">
        <f t="shared" si="5"/>
        <v>Rien</v>
      </c>
      <c r="J21" s="146">
        <v>0</v>
      </c>
      <c r="K21" s="147">
        <v>0</v>
      </c>
      <c r="L21" s="148">
        <v>0</v>
      </c>
      <c r="M21" s="149">
        <v>0</v>
      </c>
      <c r="N21" s="150">
        <v>0</v>
      </c>
      <c r="O21" s="130">
        <v>0</v>
      </c>
      <c r="P21" s="130">
        <v>0</v>
      </c>
      <c r="Q21" s="130">
        <v>0</v>
      </c>
      <c r="R21" s="130">
        <v>0</v>
      </c>
      <c r="S21" s="130">
        <v>0</v>
      </c>
      <c r="T21" s="130">
        <v>0</v>
      </c>
      <c r="U21" s="130">
        <v>0</v>
      </c>
      <c r="V21" s="524">
        <v>0</v>
      </c>
      <c r="W21" s="130">
        <v>0</v>
      </c>
      <c r="X21" s="130">
        <v>0</v>
      </c>
      <c r="Y21" s="130">
        <v>0</v>
      </c>
      <c r="Z21" s="130">
        <v>0</v>
      </c>
      <c r="AA21" s="158" t="s">
        <v>2078</v>
      </c>
      <c r="AB21" s="158"/>
      <c r="AC21" s="158"/>
      <c r="AD21" s="158"/>
      <c r="AE21" s="158" t="b">
        <f>IF(AB21="",TRUE,IF(IF(AC21="",VLOOKUP(AB21,Calculs!$A$19:$S$425,19,FALSE),VLOOKUP(AC21,Calculs!$A$19:$S$425,19,FALSE))&gt;=AD21,TRUE,FALSE))</f>
        <v>1</v>
      </c>
      <c r="AF21" s="158"/>
      <c r="AG21" s="158"/>
      <c r="AH21" s="158"/>
      <c r="AI21" s="158" t="b">
        <f>IF(AF21="",TRUE,IF(IF(AG21="",VLOOKUP(AF21,Calculs!$A$19:$S$425,19,FALSE),VLOOKUP(AG21,Calculs!$A$19:$S$425,19,FALSE))&gt;=AH21,TRUE,FALSE))</f>
        <v>1</v>
      </c>
      <c r="AJ21" s="158"/>
      <c r="AK21" s="158"/>
      <c r="AL21" s="158"/>
      <c r="AM21" s="158" t="b">
        <f>IF(AJ21="",TRUE,IF(IF(AK21="",VLOOKUP(AJ21,Calculs!$A$19:$S$425,19,FALSE),VLOOKUP(AK21,Calculs!$A$19:$S$425,19,FALSE))&gt;=AL21,TRUE,FALSE))</f>
        <v>1</v>
      </c>
      <c r="AN21" s="158"/>
      <c r="AO21" s="158"/>
      <c r="AP21" s="158"/>
      <c r="AQ21" s="158" t="b">
        <f>IF(AN21="",TRUE,IF(IF(AO21="",VLOOKUP(AN21,Calculs!$A$19:$S$425,19,FALSE),VLOOKUP(AO21,Calculs!$A$19:$S$425,19,FALSE))&gt;=AP21,TRUE,FALSE))</f>
        <v>1</v>
      </c>
      <c r="AR21" s="158"/>
      <c r="AS21" s="158" t="b">
        <f>IF(AR21="",TRUE,IF(VLOOKUP(AR21,Calculs!$A$427:$G$738,7,FALSE)&gt;0,TRUE,FALSE))</f>
        <v>1</v>
      </c>
      <c r="AT21" s="158"/>
      <c r="AU21" s="158" t="b">
        <f>IF(AT21="",TRUE,IF(VLOOKUP(AT21,Calculs!$A$740:$G$912,7,FALSE)&gt;0,TRUE,FALSE))</f>
        <v>1</v>
      </c>
      <c r="AV21" s="158" t="b">
        <f t="shared" si="0"/>
        <v>1</v>
      </c>
      <c r="AW21" s="158" t="s">
        <v>2078</v>
      </c>
      <c r="AX21" s="162" t="s">
        <v>6816</v>
      </c>
      <c r="AY21" s="15">
        <v>60</v>
      </c>
      <c r="AZ21" s="566" t="s">
        <v>7032</v>
      </c>
      <c r="BA21" s="559">
        <f>IF(Verso!$B$10=Voies!$B21,1,0)</f>
        <v>0</v>
      </c>
      <c r="BB21" s="12">
        <f>IF(Verso!$B$11=Voies!$B21,1,0)</f>
        <v>0</v>
      </c>
      <c r="BC21" s="12">
        <f>IF(Verso!$B$12=Voies!$B21,1,0)</f>
        <v>0</v>
      </c>
      <c r="BD21" s="12">
        <f>IF(Verso!$B$13=Voies!$B21,1,0)</f>
        <v>0</v>
      </c>
      <c r="BE21" s="12">
        <f>IF(Verso!$B$14=Voies!$B21,1,0)</f>
        <v>0</v>
      </c>
      <c r="BF21" s="12">
        <f>IF(Verso!$B$15=Voies!$B21,1,0)</f>
        <v>0</v>
      </c>
      <c r="BG21" s="12">
        <f>IF(Verso!$B$16=Voies!$B21,1,0)</f>
        <v>0</v>
      </c>
      <c r="BH21" s="12">
        <f>IF(Verso!$B$17=Voies!$B21,1,0)</f>
        <v>0</v>
      </c>
      <c r="BI21" s="557">
        <f t="shared" si="1"/>
        <v>0</v>
      </c>
      <c r="BJ21" s="196" t="str">
        <f t="shared" si="2"/>
        <v/>
      </c>
      <c r="BK21" s="196">
        <f t="shared" si="3"/>
        <v>1026</v>
      </c>
      <c r="BL21" s="295" t="str">
        <f t="shared" si="4"/>
        <v>Feuille et Saule</v>
      </c>
      <c r="BM21" s="91"/>
    </row>
    <row r="22" spans="1:65" s="196" customFormat="1" ht="47.25" customHeight="1" x14ac:dyDescent="0.25">
      <c r="A22" s="162" t="str">
        <f>IF(AND(Réputation&gt;Voies!E22-1,OR(C22=TRUE,Calculs!$I$8&gt;0),Air&gt;Voies!J22-1,Eau&gt;Voies!K22-1,Feu&gt;Voies!L22-1,Terre&gt;Voies!M22-1,Vide&gt;Voies!N22-1,Constitution&gt;Voies!O22-1,Volonté&gt;Voies!P22-1,Force&gt;Voies!Q22-1,Perception&gt;Voies!R22-1,Reflexes&gt;Voies!S22-1,Agilité&gt;Voies!T22-1,Intuition&gt;Voies!U22-1,Intelligence&gt;Voies!V22-1,Souillure&gt;Voies!W22-1,Honneur&gt;X22-1,Statut&gt;Y22-1,Gloire&gt;Z22-1,AV22=TRUE),Voies!B22,"")</f>
        <v/>
      </c>
      <c r="B22" s="162" t="s">
        <v>6997</v>
      </c>
      <c r="C22" s="162" t="b">
        <f>IF(Clan=Voies!D22,TRUE,FALSE)</f>
        <v>0</v>
      </c>
      <c r="D22" s="466" t="s">
        <v>6766</v>
      </c>
      <c r="E22" s="199">
        <v>1</v>
      </c>
      <c r="F22" s="199">
        <v>1</v>
      </c>
      <c r="G22" s="199" t="s">
        <v>2052</v>
      </c>
      <c r="H22" s="162" t="s">
        <v>6874</v>
      </c>
      <c r="I22" s="129" t="str">
        <f t="shared" si="5"/>
        <v>Rien</v>
      </c>
      <c r="J22" s="146">
        <v>0</v>
      </c>
      <c r="K22" s="147">
        <v>0</v>
      </c>
      <c r="L22" s="148">
        <v>0</v>
      </c>
      <c r="M22" s="149">
        <v>0</v>
      </c>
      <c r="N22" s="150">
        <v>0</v>
      </c>
      <c r="O22" s="130">
        <v>0</v>
      </c>
      <c r="P22" s="130">
        <v>0</v>
      </c>
      <c r="Q22" s="130">
        <v>0</v>
      </c>
      <c r="R22" s="130">
        <v>0</v>
      </c>
      <c r="S22" s="130">
        <v>0</v>
      </c>
      <c r="T22" s="130">
        <v>0</v>
      </c>
      <c r="U22" s="130">
        <v>0</v>
      </c>
      <c r="V22" s="524">
        <v>0</v>
      </c>
      <c r="W22" s="130">
        <v>0</v>
      </c>
      <c r="X22" s="130">
        <v>0</v>
      </c>
      <c r="Y22" s="130">
        <v>0</v>
      </c>
      <c r="Z22" s="130">
        <v>0</v>
      </c>
      <c r="AA22" s="158" t="s">
        <v>2078</v>
      </c>
      <c r="AB22" s="158"/>
      <c r="AC22" s="158"/>
      <c r="AD22" s="158"/>
      <c r="AE22" s="158" t="b">
        <f>IF(AB22="",TRUE,IF(IF(AC22="",VLOOKUP(AB22,Calculs!$A$19:$S$425,19,FALSE),VLOOKUP(AC22,Calculs!$A$19:$S$425,19,FALSE))&gt;=AD22,TRUE,FALSE))</f>
        <v>1</v>
      </c>
      <c r="AF22" s="158"/>
      <c r="AG22" s="158"/>
      <c r="AH22" s="158"/>
      <c r="AI22" s="158" t="b">
        <f>IF(AF22="",TRUE,IF(IF(AG22="",VLOOKUP(AF22,Calculs!$A$19:$S$425,19,FALSE),VLOOKUP(AG22,Calculs!$A$19:$S$425,19,FALSE))&gt;=AH22,TRUE,FALSE))</f>
        <v>1</v>
      </c>
      <c r="AJ22" s="158"/>
      <c r="AK22" s="158"/>
      <c r="AL22" s="158"/>
      <c r="AM22" s="158" t="b">
        <f>IF(AJ22="",TRUE,IF(IF(AK22="",VLOOKUP(AJ22,Calculs!$A$19:$S$425,19,FALSE),VLOOKUP(AK22,Calculs!$A$19:$S$425,19,FALSE))&gt;=AL22,TRUE,FALSE))</f>
        <v>1</v>
      </c>
      <c r="AN22" s="158"/>
      <c r="AO22" s="158"/>
      <c r="AP22" s="158"/>
      <c r="AQ22" s="158" t="b">
        <f>IF(AN22="",TRUE,IF(IF(AO22="",VLOOKUP(AN22,Calculs!$A$19:$S$425,19,FALSE),VLOOKUP(AO22,Calculs!$A$19:$S$425,19,FALSE))&gt;=AP22,TRUE,FALSE))</f>
        <v>1</v>
      </c>
      <c r="AR22" s="158"/>
      <c r="AS22" s="158" t="b">
        <f>IF(AR22="",TRUE,IF(VLOOKUP(AR22,Calculs!$A$427:$G$738,7,FALSE)&gt;0,TRUE,FALSE))</f>
        <v>1</v>
      </c>
      <c r="AT22" s="158"/>
      <c r="AU22" s="158" t="b">
        <f>IF(AT22="",TRUE,IF(VLOOKUP(AT22,Calculs!$A$740:$G$912,7,FALSE)&gt;0,TRUE,FALSE))</f>
        <v>1</v>
      </c>
      <c r="AV22" s="158" t="b">
        <f t="shared" si="0"/>
        <v>1</v>
      </c>
      <c r="AW22" s="158" t="s">
        <v>2078</v>
      </c>
      <c r="AX22" s="162" t="s">
        <v>6816</v>
      </c>
      <c r="AY22" s="15">
        <v>37</v>
      </c>
      <c r="AZ22" s="566" t="s">
        <v>8511</v>
      </c>
      <c r="BA22" s="559">
        <f>IF(Verso!$B$10=Voies!$B22,1,0)</f>
        <v>0</v>
      </c>
      <c r="BB22" s="12">
        <f>IF(Verso!$B$11=Voies!$B22,1,0)</f>
        <v>0</v>
      </c>
      <c r="BC22" s="12">
        <f>IF(Verso!$B$12=Voies!$B22,1,0)</f>
        <v>0</v>
      </c>
      <c r="BD22" s="12">
        <f>IF(Verso!$B$13=Voies!$B22,1,0)</f>
        <v>0</v>
      </c>
      <c r="BE22" s="12">
        <f>IF(Verso!$B$14=Voies!$B22,1,0)</f>
        <v>0</v>
      </c>
      <c r="BF22" s="12">
        <f>IF(Verso!$B$15=Voies!$B22,1,0)</f>
        <v>0</v>
      </c>
      <c r="BG22" s="12">
        <f>IF(Verso!$B$16=Voies!$B22,1,0)</f>
        <v>0</v>
      </c>
      <c r="BH22" s="12">
        <f>IF(Verso!$B$17=Voies!$B22,1,0)</f>
        <v>0</v>
      </c>
      <c r="BI22" s="557">
        <f t="shared" si="1"/>
        <v>0</v>
      </c>
      <c r="BJ22" s="196" t="str">
        <f t="shared" si="2"/>
        <v/>
      </c>
      <c r="BK22" s="196">
        <f t="shared" si="3"/>
        <v>1027</v>
      </c>
      <c r="BL22" s="295" t="str">
        <f t="shared" si="4"/>
        <v>La Voie du Guerrier</v>
      </c>
      <c r="BM22" s="91"/>
    </row>
    <row r="23" spans="1:65" s="196" customFormat="1" ht="47.25" customHeight="1" x14ac:dyDescent="0.25">
      <c r="A23" s="162" t="str">
        <f>IF(AND(Réputation&gt;Voies!E23-1,OR(C23=TRUE,Calculs!$I$8&gt;0),Air&gt;Voies!J23-1,Eau&gt;Voies!K23-1,Feu&gt;Voies!L23-1,Terre&gt;Voies!M23-1,Vide&gt;Voies!N23-1,Constitution&gt;Voies!O23-1,Volonté&gt;Voies!P23-1,Force&gt;Voies!Q23-1,Perception&gt;Voies!R23-1,Reflexes&gt;Voies!S23-1,Agilité&gt;Voies!T23-1,Intuition&gt;Voies!U23-1,Intelligence&gt;Voies!V23-1,Souillure&gt;Voies!W23-1,Honneur&gt;X23-1,Statut&gt;Y23-1,Gloire&gt;Z23-1,AV23=TRUE),Voies!B23,"")</f>
        <v/>
      </c>
      <c r="B23" s="162" t="s">
        <v>7003</v>
      </c>
      <c r="C23" s="162" t="b">
        <f>IF(Clan=Voies!D23,TRUE,FALSE)</f>
        <v>0</v>
      </c>
      <c r="D23" s="466" t="s">
        <v>6766</v>
      </c>
      <c r="E23" s="199">
        <v>1</v>
      </c>
      <c r="F23" s="199">
        <v>1</v>
      </c>
      <c r="G23" s="199" t="s">
        <v>2048</v>
      </c>
      <c r="H23" s="162" t="s">
        <v>6875</v>
      </c>
      <c r="I23" s="129" t="str">
        <f t="shared" si="5"/>
        <v>Rien</v>
      </c>
      <c r="J23" s="146">
        <v>0</v>
      </c>
      <c r="K23" s="147">
        <v>0</v>
      </c>
      <c r="L23" s="148">
        <v>0</v>
      </c>
      <c r="M23" s="149">
        <v>0</v>
      </c>
      <c r="N23" s="150">
        <v>0</v>
      </c>
      <c r="O23" s="130">
        <v>0</v>
      </c>
      <c r="P23" s="130">
        <v>0</v>
      </c>
      <c r="Q23" s="130">
        <v>0</v>
      </c>
      <c r="R23" s="130">
        <v>0</v>
      </c>
      <c r="S23" s="130">
        <v>0</v>
      </c>
      <c r="T23" s="130">
        <v>0</v>
      </c>
      <c r="U23" s="130">
        <v>0</v>
      </c>
      <c r="V23" s="524">
        <v>0</v>
      </c>
      <c r="W23" s="130">
        <v>0</v>
      </c>
      <c r="X23" s="130">
        <v>0</v>
      </c>
      <c r="Y23" s="130">
        <v>0</v>
      </c>
      <c r="Z23" s="130">
        <v>0</v>
      </c>
      <c r="AA23" s="158" t="s">
        <v>2078</v>
      </c>
      <c r="AB23" s="158"/>
      <c r="AC23" s="158"/>
      <c r="AD23" s="158"/>
      <c r="AE23" s="158" t="b">
        <f>IF(AB23="",TRUE,IF(IF(AC23="",VLOOKUP(AB23,Calculs!$A$19:$S$425,19,FALSE),VLOOKUP(AC23,Calculs!$A$19:$S$425,19,FALSE))&gt;=AD23,TRUE,FALSE))</f>
        <v>1</v>
      </c>
      <c r="AF23" s="158"/>
      <c r="AG23" s="158"/>
      <c r="AH23" s="158"/>
      <c r="AI23" s="158" t="b">
        <f>IF(AF23="",TRUE,IF(IF(AG23="",VLOOKUP(AF23,Calculs!$A$19:$S$425,19,FALSE),VLOOKUP(AG23,Calculs!$A$19:$S$425,19,FALSE))&gt;=AH23,TRUE,FALSE))</f>
        <v>1</v>
      </c>
      <c r="AJ23" s="158"/>
      <c r="AK23" s="158"/>
      <c r="AL23" s="158"/>
      <c r="AM23" s="158" t="b">
        <f>IF(AJ23="",TRUE,IF(IF(AK23="",VLOOKUP(AJ23,Calculs!$A$19:$S$425,19,FALSE),VLOOKUP(AK23,Calculs!$A$19:$S$425,19,FALSE))&gt;=AL23,TRUE,FALSE))</f>
        <v>1</v>
      </c>
      <c r="AN23" s="158"/>
      <c r="AO23" s="158"/>
      <c r="AP23" s="158"/>
      <c r="AQ23" s="158" t="b">
        <f>IF(AN23="",TRUE,IF(IF(AO23="",VLOOKUP(AN23,Calculs!$A$19:$S$425,19,FALSE),VLOOKUP(AO23,Calculs!$A$19:$S$425,19,FALSE))&gt;=AP23,TRUE,FALSE))</f>
        <v>1</v>
      </c>
      <c r="AR23" s="158"/>
      <c r="AS23" s="158" t="b">
        <f>IF(AR23="",TRUE,IF(VLOOKUP(AR23,Calculs!$A$427:$G$738,7,FALSE)&gt;0,TRUE,FALSE))</f>
        <v>1</v>
      </c>
      <c r="AT23" s="158"/>
      <c r="AU23" s="158" t="b">
        <f>IF(AT23="",TRUE,IF(VLOOKUP(AT23,Calculs!$A$740:$G$912,7,FALSE)&gt;0,TRUE,FALSE))</f>
        <v>1</v>
      </c>
      <c r="AV23" s="158" t="b">
        <f t="shared" si="0"/>
        <v>1</v>
      </c>
      <c r="AW23" s="158" t="s">
        <v>2078</v>
      </c>
      <c r="AX23" s="162" t="s">
        <v>6816</v>
      </c>
      <c r="AY23" s="15">
        <v>38</v>
      </c>
      <c r="AZ23" s="555" t="s">
        <v>7007</v>
      </c>
      <c r="BA23" s="559">
        <f>IF(Verso!$B$10=Voies!$B23,1,0)</f>
        <v>0</v>
      </c>
      <c r="BB23" s="12">
        <f>IF(Verso!$B$11=Voies!$B23,1,0)</f>
        <v>0</v>
      </c>
      <c r="BC23" s="12">
        <f>IF(Verso!$B$12=Voies!$B23,1,0)</f>
        <v>0</v>
      </c>
      <c r="BD23" s="12">
        <f>IF(Verso!$B$13=Voies!$B23,1,0)</f>
        <v>0</v>
      </c>
      <c r="BE23" s="12">
        <f>IF(Verso!$B$14=Voies!$B23,1,0)</f>
        <v>0</v>
      </c>
      <c r="BF23" s="12">
        <f>IF(Verso!$B$15=Voies!$B23,1,0)</f>
        <v>0</v>
      </c>
      <c r="BG23" s="12">
        <f>IF(Verso!$B$16=Voies!$B23,1,0)</f>
        <v>0</v>
      </c>
      <c r="BH23" s="12">
        <f>IF(Verso!$B$17=Voies!$B23,1,0)</f>
        <v>0</v>
      </c>
      <c r="BI23" s="557">
        <f t="shared" si="1"/>
        <v>0</v>
      </c>
      <c r="BJ23" s="196" t="str">
        <f t="shared" si="2"/>
        <v/>
      </c>
      <c r="BK23" s="196">
        <f t="shared" si="3"/>
        <v>1028</v>
      </c>
      <c r="BL23" s="295" t="str">
        <f t="shared" si="4"/>
        <v>Maître du Dojo</v>
      </c>
      <c r="BM23" s="91"/>
    </row>
    <row r="24" spans="1:65" s="196" customFormat="1" ht="47.25" customHeight="1" x14ac:dyDescent="0.25">
      <c r="A24" s="162" t="str">
        <f>IF(AND(Réputation&gt;Voies!E24-1,OR(C24=TRUE,Calculs!$I$8&gt;0),Air&gt;Voies!J24-1,Eau&gt;Voies!K24-1,Feu&gt;Voies!L24-1,Terre&gt;Voies!M24-1,Vide&gt;Voies!N24-1,Constitution&gt;Voies!O24-1,Volonté&gt;Voies!P24-1,Force&gt;Voies!Q24-1,Perception&gt;Voies!R24-1,Reflexes&gt;Voies!S24-1,Agilité&gt;Voies!T24-1,Intuition&gt;Voies!U24-1,Intelligence&gt;Voies!V24-1,Souillure&gt;Voies!W24-1,Honneur&gt;X24-1,Statut&gt;Y24-1,Gloire&gt;Z24-1,AV24=TRUE),Voies!B24,"")</f>
        <v/>
      </c>
      <c r="B24" s="162" t="s">
        <v>6998</v>
      </c>
      <c r="C24" s="162" t="b">
        <f>IF(Clan=Voies!D24,TRUE,FALSE)</f>
        <v>0</v>
      </c>
      <c r="D24" s="466" t="s">
        <v>6766</v>
      </c>
      <c r="E24" s="199">
        <v>2</v>
      </c>
      <c r="F24" s="199">
        <v>2</v>
      </c>
      <c r="G24" s="199" t="s">
        <v>2052</v>
      </c>
      <c r="H24" s="162" t="s">
        <v>6874</v>
      </c>
      <c r="I24" s="129" t="str">
        <f t="shared" si="5"/>
        <v>Rien</v>
      </c>
      <c r="J24" s="146">
        <v>0</v>
      </c>
      <c r="K24" s="147">
        <v>0</v>
      </c>
      <c r="L24" s="148">
        <v>0</v>
      </c>
      <c r="M24" s="149">
        <v>0</v>
      </c>
      <c r="N24" s="150">
        <v>0</v>
      </c>
      <c r="O24" s="130">
        <v>0</v>
      </c>
      <c r="P24" s="130">
        <v>0</v>
      </c>
      <c r="Q24" s="130">
        <v>0</v>
      </c>
      <c r="R24" s="130">
        <v>0</v>
      </c>
      <c r="S24" s="130">
        <v>0</v>
      </c>
      <c r="T24" s="130">
        <v>0</v>
      </c>
      <c r="U24" s="130">
        <v>0</v>
      </c>
      <c r="V24" s="524">
        <v>0</v>
      </c>
      <c r="W24" s="130">
        <v>0</v>
      </c>
      <c r="X24" s="130">
        <v>0</v>
      </c>
      <c r="Y24" s="130">
        <v>0</v>
      </c>
      <c r="Z24" s="130">
        <v>0</v>
      </c>
      <c r="AA24" s="158" t="s">
        <v>2078</v>
      </c>
      <c r="AB24" s="158"/>
      <c r="AC24" s="158"/>
      <c r="AD24" s="158"/>
      <c r="AE24" s="158" t="b">
        <f>IF(AB24="",TRUE,IF(IF(AC24="",VLOOKUP(AB24,Calculs!$A$19:$S$425,19,FALSE),VLOOKUP(AC24,Calculs!$A$19:$S$425,19,FALSE))&gt;=AD24,TRUE,FALSE))</f>
        <v>1</v>
      </c>
      <c r="AF24" s="158"/>
      <c r="AG24" s="158"/>
      <c r="AH24" s="158"/>
      <c r="AI24" s="158" t="b">
        <f>IF(AF24="",TRUE,IF(IF(AG24="",VLOOKUP(AF24,Calculs!$A$19:$S$425,19,FALSE),VLOOKUP(AG24,Calculs!$A$19:$S$425,19,FALSE))&gt;=AH24,TRUE,FALSE))</f>
        <v>1</v>
      </c>
      <c r="AJ24" s="158"/>
      <c r="AK24" s="158"/>
      <c r="AL24" s="158"/>
      <c r="AM24" s="158" t="b">
        <f>IF(AJ24="",TRUE,IF(IF(AK24="",VLOOKUP(AJ24,Calculs!$A$19:$S$425,19,FALSE),VLOOKUP(AK24,Calculs!$A$19:$S$425,19,FALSE))&gt;=AL24,TRUE,FALSE))</f>
        <v>1</v>
      </c>
      <c r="AN24" s="158"/>
      <c r="AO24" s="158"/>
      <c r="AP24" s="158"/>
      <c r="AQ24" s="158" t="b">
        <f>IF(AN24="",TRUE,IF(IF(AO24="",VLOOKUP(AN24,Calculs!$A$19:$S$425,19,FALSE),VLOOKUP(AO24,Calculs!$A$19:$S$425,19,FALSE))&gt;=AP24,TRUE,FALSE))</f>
        <v>1</v>
      </c>
      <c r="AR24" s="158"/>
      <c r="AS24" s="158" t="b">
        <f>IF(AR24="",TRUE,IF(VLOOKUP(AR24,Calculs!$A$427:$G$738,7,FALSE)&gt;0,TRUE,FALSE))</f>
        <v>1</v>
      </c>
      <c r="AT24" s="158"/>
      <c r="AU24" s="158" t="b">
        <f>IF(AT24="",TRUE,IF(VLOOKUP(AT24,Calculs!$A$740:$G$912,7,FALSE)&gt;0,TRUE,FALSE))</f>
        <v>1</v>
      </c>
      <c r="AV24" s="158" t="b">
        <f t="shared" si="0"/>
        <v>1</v>
      </c>
      <c r="AW24" s="158" t="s">
        <v>2078</v>
      </c>
      <c r="AX24" s="162" t="s">
        <v>6816</v>
      </c>
      <c r="AY24" s="15">
        <v>37</v>
      </c>
      <c r="AZ24" s="566" t="s">
        <v>6999</v>
      </c>
      <c r="BA24" s="559">
        <f>IF(Verso!$B$10=Voies!$B24,1,0)</f>
        <v>0</v>
      </c>
      <c r="BB24" s="12">
        <f>IF(Verso!$B$11=Voies!$B24,1,0)</f>
        <v>0</v>
      </c>
      <c r="BC24" s="12">
        <f>IF(Verso!$B$12=Voies!$B24,1,0)</f>
        <v>0</v>
      </c>
      <c r="BD24" s="12">
        <f>IF(Verso!$B$13=Voies!$B24,1,0)</f>
        <v>0</v>
      </c>
      <c r="BE24" s="12">
        <f>IF(Verso!$B$14=Voies!$B24,1,0)</f>
        <v>0</v>
      </c>
      <c r="BF24" s="12">
        <f>IF(Verso!$B$15=Voies!$B24,1,0)</f>
        <v>0</v>
      </c>
      <c r="BG24" s="12">
        <f>IF(Verso!$B$16=Voies!$B24,1,0)</f>
        <v>0</v>
      </c>
      <c r="BH24" s="12">
        <f>IF(Verso!$B$17=Voies!$B24,1,0)</f>
        <v>0</v>
      </c>
      <c r="BI24" s="557">
        <f t="shared" si="1"/>
        <v>0</v>
      </c>
      <c r="BJ24" s="196" t="str">
        <f t="shared" si="2"/>
        <v/>
      </c>
      <c r="BK24" s="196">
        <f t="shared" si="3"/>
        <v>1029</v>
      </c>
      <c r="BL24" s="295" t="str">
        <f t="shared" si="4"/>
        <v>La Main de l'Empereur (Champion)</v>
      </c>
      <c r="BM24" s="91"/>
    </row>
    <row r="25" spans="1:65" s="196" customFormat="1" ht="47.25" customHeight="1" x14ac:dyDescent="0.25">
      <c r="A25" s="162" t="str">
        <f>IF(AND(Réputation&gt;Voies!E25-1,OR(C25=TRUE,Calculs!$I$8&gt;0),Air&gt;Voies!J25-1,Eau&gt;Voies!K25-1,Feu&gt;Voies!L25-1,Terre&gt;Voies!M25-1,Vide&gt;Voies!N25-1,Constitution&gt;Voies!O25-1,Volonté&gt;Voies!P25-1,Force&gt;Voies!Q25-1,Perception&gt;Voies!R25-1,Reflexes&gt;Voies!S25-1,Agilité&gt;Voies!T25-1,Intuition&gt;Voies!U25-1,Intelligence&gt;Voies!V25-1,Souillure&gt;Voies!W25-1,Honneur&gt;X25-1,Statut&gt;Y25-1,Gloire&gt;Z25-1,AV25=TRUE),Voies!B25,"")</f>
        <v/>
      </c>
      <c r="B25" s="162" t="s">
        <v>7000</v>
      </c>
      <c r="C25" s="162" t="b">
        <f>IF(Clan=Voies!D25,TRUE,FALSE)</f>
        <v>0</v>
      </c>
      <c r="D25" s="466" t="s">
        <v>6766</v>
      </c>
      <c r="E25" s="199">
        <v>3</v>
      </c>
      <c r="F25" s="199">
        <v>3</v>
      </c>
      <c r="G25" s="199" t="s">
        <v>2052</v>
      </c>
      <c r="H25" s="162" t="s">
        <v>6874</v>
      </c>
      <c r="I25" s="129" t="str">
        <f t="shared" si="5"/>
        <v>Rien</v>
      </c>
      <c r="J25" s="146">
        <v>0</v>
      </c>
      <c r="K25" s="147">
        <v>0</v>
      </c>
      <c r="L25" s="148">
        <v>0</v>
      </c>
      <c r="M25" s="149">
        <v>0</v>
      </c>
      <c r="N25" s="150">
        <v>0</v>
      </c>
      <c r="O25" s="130">
        <v>0</v>
      </c>
      <c r="P25" s="130">
        <v>0</v>
      </c>
      <c r="Q25" s="130">
        <v>0</v>
      </c>
      <c r="R25" s="130">
        <v>0</v>
      </c>
      <c r="S25" s="130">
        <v>0</v>
      </c>
      <c r="T25" s="130">
        <v>0</v>
      </c>
      <c r="U25" s="130">
        <v>0</v>
      </c>
      <c r="V25" s="524">
        <v>0</v>
      </c>
      <c r="W25" s="130">
        <v>0</v>
      </c>
      <c r="X25" s="130">
        <v>0</v>
      </c>
      <c r="Y25" s="130">
        <v>0</v>
      </c>
      <c r="Z25" s="130">
        <v>0</v>
      </c>
      <c r="AA25" s="158" t="s">
        <v>2078</v>
      </c>
      <c r="AB25" s="158"/>
      <c r="AC25" s="158"/>
      <c r="AD25" s="158"/>
      <c r="AE25" s="158" t="b">
        <f>IF(AB25="",TRUE,IF(IF(AC25="",VLOOKUP(AB25,Calculs!$A$19:$S$425,19,FALSE),VLOOKUP(AC25,Calculs!$A$19:$S$425,19,FALSE))&gt;=AD25,TRUE,FALSE))</f>
        <v>1</v>
      </c>
      <c r="AF25" s="158"/>
      <c r="AG25" s="158"/>
      <c r="AH25" s="158"/>
      <c r="AI25" s="158" t="b">
        <f>IF(AF25="",TRUE,IF(IF(AG25="",VLOOKUP(AF25,Calculs!$A$19:$S$425,19,FALSE),VLOOKUP(AG25,Calculs!$A$19:$S$425,19,FALSE))&gt;=AH25,TRUE,FALSE))</f>
        <v>1</v>
      </c>
      <c r="AJ25" s="158"/>
      <c r="AK25" s="158"/>
      <c r="AL25" s="158"/>
      <c r="AM25" s="158" t="b">
        <f>IF(AJ25="",TRUE,IF(IF(AK25="",VLOOKUP(AJ25,Calculs!$A$19:$S$425,19,FALSE),VLOOKUP(AK25,Calculs!$A$19:$S$425,19,FALSE))&gt;=AL25,TRUE,FALSE))</f>
        <v>1</v>
      </c>
      <c r="AN25" s="158"/>
      <c r="AO25" s="158"/>
      <c r="AP25" s="158"/>
      <c r="AQ25" s="158" t="b">
        <f>IF(AN25="",TRUE,IF(IF(AO25="",VLOOKUP(AN25,Calculs!$A$19:$S$425,19,FALSE),VLOOKUP(AO25,Calculs!$A$19:$S$425,19,FALSE))&gt;=AP25,TRUE,FALSE))</f>
        <v>1</v>
      </c>
      <c r="AR25" s="158"/>
      <c r="AS25" s="158" t="b">
        <f>IF(AR25="",TRUE,IF(VLOOKUP(AR25,Calculs!$A$427:$G$738,7,FALSE)&gt;0,TRUE,FALSE))</f>
        <v>1</v>
      </c>
      <c r="AT25" s="158"/>
      <c r="AU25" s="158" t="b">
        <f>IF(AT25="",TRUE,IF(VLOOKUP(AT25,Calculs!$A$740:$G$912,7,FALSE)&gt;0,TRUE,FALSE))</f>
        <v>1</v>
      </c>
      <c r="AV25" s="158" t="b">
        <f t="shared" si="0"/>
        <v>1</v>
      </c>
      <c r="AW25" s="158" t="s">
        <v>2078</v>
      </c>
      <c r="AX25" s="162" t="s">
        <v>6816</v>
      </c>
      <c r="AY25" s="15">
        <v>37</v>
      </c>
      <c r="AZ25" s="555" t="s">
        <v>7004</v>
      </c>
      <c r="BA25" s="559">
        <f>IF(Verso!$B$10=Voies!$B25,1,0)</f>
        <v>0</v>
      </c>
      <c r="BB25" s="12">
        <f>IF(Verso!$B$11=Voies!$B25,1,0)</f>
        <v>0</v>
      </c>
      <c r="BC25" s="12">
        <f>IF(Verso!$B$12=Voies!$B25,1,0)</f>
        <v>0</v>
      </c>
      <c r="BD25" s="12">
        <f>IF(Verso!$B$13=Voies!$B25,1,0)</f>
        <v>0</v>
      </c>
      <c r="BE25" s="12">
        <f>IF(Verso!$B$14=Voies!$B25,1,0)</f>
        <v>0</v>
      </c>
      <c r="BF25" s="12">
        <f>IF(Verso!$B$15=Voies!$B25,1,0)</f>
        <v>0</v>
      </c>
      <c r="BG25" s="12">
        <f>IF(Verso!$B$16=Voies!$B25,1,0)</f>
        <v>0</v>
      </c>
      <c r="BH25" s="12">
        <f>IF(Verso!$B$17=Voies!$B25,1,0)</f>
        <v>0</v>
      </c>
      <c r="BI25" s="557">
        <f t="shared" si="1"/>
        <v>0</v>
      </c>
      <c r="BJ25" s="196" t="str">
        <f t="shared" si="2"/>
        <v/>
      </c>
      <c r="BK25" s="196">
        <f t="shared" si="3"/>
        <v>1034</v>
      </c>
      <c r="BL25" s="295" t="str">
        <f t="shared" si="4"/>
        <v>La Voix de l'Empereur (Champion)</v>
      </c>
      <c r="BM25" s="91"/>
    </row>
    <row r="26" spans="1:65" s="196" customFormat="1" ht="47.25" customHeight="1" x14ac:dyDescent="0.25">
      <c r="A26" s="162" t="str">
        <f>IF(AND(Réputation&gt;Voies!E26-1,OR(C26=TRUE,Calculs!$I$8&gt;0),Air&gt;Voies!J26-1,Eau&gt;Voies!K26-1,Feu&gt;Voies!L26-1,Terre&gt;Voies!M26-1,Vide&gt;Voies!N26-1,Constitution&gt;Voies!O26-1,Volonté&gt;Voies!P26-1,Force&gt;Voies!Q26-1,Perception&gt;Voies!R26-1,Reflexes&gt;Voies!S26-1,Agilité&gt;Voies!T26-1,Intuition&gt;Voies!U26-1,Intelligence&gt;Voies!V26-1,Souillure&gt;Voies!W26-1,Honneur&gt;X26-1,Statut&gt;Y26-1,Gloire&gt;Z26-1,AV26=TRUE),Voies!B26,"")</f>
        <v/>
      </c>
      <c r="B26" s="162" t="s">
        <v>7001</v>
      </c>
      <c r="C26" s="162" t="b">
        <f>IF(Clan=Voies!D26,TRUE,FALSE)</f>
        <v>0</v>
      </c>
      <c r="D26" s="466" t="s">
        <v>6766</v>
      </c>
      <c r="E26" s="199">
        <v>4</v>
      </c>
      <c r="F26" s="199">
        <v>4</v>
      </c>
      <c r="G26" s="199" t="s">
        <v>2052</v>
      </c>
      <c r="H26" s="162" t="s">
        <v>6874</v>
      </c>
      <c r="I26" s="129" t="str">
        <f t="shared" si="5"/>
        <v>Rien</v>
      </c>
      <c r="J26" s="146">
        <v>0</v>
      </c>
      <c r="K26" s="147">
        <v>0</v>
      </c>
      <c r="L26" s="148">
        <v>0</v>
      </c>
      <c r="M26" s="149">
        <v>0</v>
      </c>
      <c r="N26" s="150">
        <v>0</v>
      </c>
      <c r="O26" s="130">
        <v>0</v>
      </c>
      <c r="P26" s="130">
        <v>0</v>
      </c>
      <c r="Q26" s="130">
        <v>0</v>
      </c>
      <c r="R26" s="130">
        <v>0</v>
      </c>
      <c r="S26" s="130">
        <v>0</v>
      </c>
      <c r="T26" s="130">
        <v>0</v>
      </c>
      <c r="U26" s="130">
        <v>0</v>
      </c>
      <c r="V26" s="524">
        <v>0</v>
      </c>
      <c r="W26" s="130">
        <v>0</v>
      </c>
      <c r="X26" s="130">
        <v>0</v>
      </c>
      <c r="Y26" s="130">
        <v>0</v>
      </c>
      <c r="Z26" s="130">
        <v>0</v>
      </c>
      <c r="AA26" s="158" t="s">
        <v>2078</v>
      </c>
      <c r="AB26" s="158"/>
      <c r="AC26" s="158"/>
      <c r="AD26" s="158"/>
      <c r="AE26" s="158" t="b">
        <f>IF(AB26="",TRUE,IF(IF(AC26="",VLOOKUP(AB26,Calculs!$A$19:$S$425,19,FALSE),VLOOKUP(AC26,Calculs!$A$19:$S$425,19,FALSE))&gt;=AD26,TRUE,FALSE))</f>
        <v>1</v>
      </c>
      <c r="AF26" s="158"/>
      <c r="AG26" s="158"/>
      <c r="AH26" s="158"/>
      <c r="AI26" s="158" t="b">
        <f>IF(AF26="",TRUE,IF(IF(AG26="",VLOOKUP(AF26,Calculs!$A$19:$S$425,19,FALSE),VLOOKUP(AG26,Calculs!$A$19:$S$425,19,FALSE))&gt;=AH26,TRUE,FALSE))</f>
        <v>1</v>
      </c>
      <c r="AJ26" s="158"/>
      <c r="AK26" s="158"/>
      <c r="AL26" s="158"/>
      <c r="AM26" s="158" t="b">
        <f>IF(AJ26="",TRUE,IF(IF(AK26="",VLOOKUP(AJ26,Calculs!$A$19:$S$425,19,FALSE),VLOOKUP(AK26,Calculs!$A$19:$S$425,19,FALSE))&gt;=AL26,TRUE,FALSE))</f>
        <v>1</v>
      </c>
      <c r="AN26" s="158"/>
      <c r="AO26" s="158"/>
      <c r="AP26" s="158"/>
      <c r="AQ26" s="158" t="b">
        <f>IF(AN26="",TRUE,IF(IF(AO26="",VLOOKUP(AN26,Calculs!$A$19:$S$425,19,FALSE),VLOOKUP(AO26,Calculs!$A$19:$S$425,19,FALSE))&gt;=AP26,TRUE,FALSE))</f>
        <v>1</v>
      </c>
      <c r="AR26" s="158"/>
      <c r="AS26" s="158" t="b">
        <f>IF(AR26="",TRUE,IF(VLOOKUP(AR26,Calculs!$A$427:$G$738,7,FALSE)&gt;0,TRUE,FALSE))</f>
        <v>1</v>
      </c>
      <c r="AT26" s="158"/>
      <c r="AU26" s="158" t="b">
        <f>IF(AT26="",TRUE,IF(VLOOKUP(AT26,Calculs!$A$740:$G$912,7,FALSE)&gt;0,TRUE,FALSE))</f>
        <v>1</v>
      </c>
      <c r="AV26" s="158" t="b">
        <f t="shared" si="0"/>
        <v>1</v>
      </c>
      <c r="AW26" s="158" t="s">
        <v>2078</v>
      </c>
      <c r="AX26" s="162" t="s">
        <v>6816</v>
      </c>
      <c r="AY26" s="15">
        <v>37</v>
      </c>
      <c r="AZ26" s="555" t="s">
        <v>8474</v>
      </c>
      <c r="BA26" s="559">
        <f>IF(Verso!$B$10=Voies!$B26,1,0)</f>
        <v>0</v>
      </c>
      <c r="BB26" s="12">
        <f>IF(Verso!$B$11=Voies!$B26,1,0)</f>
        <v>0</v>
      </c>
      <c r="BC26" s="12">
        <f>IF(Verso!$B$12=Voies!$B26,1,0)</f>
        <v>0</v>
      </c>
      <c r="BD26" s="12">
        <f>IF(Verso!$B$13=Voies!$B26,1,0)</f>
        <v>0</v>
      </c>
      <c r="BE26" s="12">
        <f>IF(Verso!$B$14=Voies!$B26,1,0)</f>
        <v>0</v>
      </c>
      <c r="BF26" s="12">
        <f>IF(Verso!$B$15=Voies!$B26,1,0)</f>
        <v>0</v>
      </c>
      <c r="BG26" s="12">
        <f>IF(Verso!$B$16=Voies!$B26,1,0)</f>
        <v>0</v>
      </c>
      <c r="BH26" s="12">
        <f>IF(Verso!$B$17=Voies!$B26,1,0)</f>
        <v>0</v>
      </c>
      <c r="BI26" s="557">
        <f t="shared" si="1"/>
        <v>0</v>
      </c>
      <c r="BJ26" s="196" t="str">
        <f t="shared" si="2"/>
        <v/>
      </c>
      <c r="BK26" s="196" t="str">
        <f t="shared" si="3"/>
        <v/>
      </c>
      <c r="BL26" s="295" t="str">
        <f t="shared" si="4"/>
        <v/>
      </c>
      <c r="BM26" s="91"/>
    </row>
    <row r="27" spans="1:65" s="196" customFormat="1" ht="47.25" customHeight="1" x14ac:dyDescent="0.25">
      <c r="A27" s="162" t="str">
        <f>IF(AND(Réputation&gt;Voies!E27-1,OR(C27=TRUE,Calculs!$I$8&gt;0),Air&gt;Voies!J27-1,Eau&gt;Voies!K27-1,Feu&gt;Voies!L27-1,Terre&gt;Voies!M27-1,Vide&gt;Voies!N27-1,Constitution&gt;Voies!O27-1,Volonté&gt;Voies!P27-1,Force&gt;Voies!Q27-1,Perception&gt;Voies!R27-1,Reflexes&gt;Voies!S27-1,Agilité&gt;Voies!T27-1,Intuition&gt;Voies!U27-1,Intelligence&gt;Voies!V27-1,Souillure&gt;Voies!W27-1,Honneur&gt;X27-1,Statut&gt;Y27-1,Gloire&gt;Z27-1,AV27=TRUE),Voies!B27,"")</f>
        <v/>
      </c>
      <c r="B27" s="162" t="s">
        <v>7002</v>
      </c>
      <c r="C27" s="162" t="b">
        <f>IF(Clan=Voies!D27,TRUE,FALSE)</f>
        <v>0</v>
      </c>
      <c r="D27" s="466" t="s">
        <v>6766</v>
      </c>
      <c r="E27" s="199">
        <v>5</v>
      </c>
      <c r="F27" s="199">
        <v>5</v>
      </c>
      <c r="G27" s="199" t="s">
        <v>2052</v>
      </c>
      <c r="H27" s="162" t="s">
        <v>6874</v>
      </c>
      <c r="I27" s="129" t="str">
        <f t="shared" si="5"/>
        <v>Rien</v>
      </c>
      <c r="J27" s="146">
        <v>0</v>
      </c>
      <c r="K27" s="147">
        <v>0</v>
      </c>
      <c r="L27" s="148">
        <v>0</v>
      </c>
      <c r="M27" s="149">
        <v>0</v>
      </c>
      <c r="N27" s="150">
        <v>0</v>
      </c>
      <c r="O27" s="130">
        <v>0</v>
      </c>
      <c r="P27" s="130">
        <v>0</v>
      </c>
      <c r="Q27" s="130">
        <v>0</v>
      </c>
      <c r="R27" s="130">
        <v>0</v>
      </c>
      <c r="S27" s="130">
        <v>0</v>
      </c>
      <c r="T27" s="130">
        <v>0</v>
      </c>
      <c r="U27" s="130">
        <v>0</v>
      </c>
      <c r="V27" s="524">
        <v>0</v>
      </c>
      <c r="W27" s="130">
        <v>0</v>
      </c>
      <c r="X27" s="130">
        <v>0</v>
      </c>
      <c r="Y27" s="130">
        <v>0</v>
      </c>
      <c r="Z27" s="130">
        <v>0</v>
      </c>
      <c r="AA27" s="158" t="s">
        <v>2078</v>
      </c>
      <c r="AB27" s="158"/>
      <c r="AC27" s="158"/>
      <c r="AD27" s="158"/>
      <c r="AE27" s="158" t="b">
        <f>IF(AB27="",TRUE,IF(IF(AC27="",VLOOKUP(AB27,Calculs!$A$19:$S$425,19,FALSE),VLOOKUP(AC27,Calculs!$A$19:$S$425,19,FALSE))&gt;=AD27,TRUE,FALSE))</f>
        <v>1</v>
      </c>
      <c r="AF27" s="158"/>
      <c r="AG27" s="158"/>
      <c r="AH27" s="158"/>
      <c r="AI27" s="158" t="b">
        <f>IF(AF27="",TRUE,IF(IF(AG27="",VLOOKUP(AF27,Calculs!$A$19:$S$425,19,FALSE),VLOOKUP(AG27,Calculs!$A$19:$S$425,19,FALSE))&gt;=AH27,TRUE,FALSE))</f>
        <v>1</v>
      </c>
      <c r="AJ27" s="158"/>
      <c r="AK27" s="158"/>
      <c r="AL27" s="158"/>
      <c r="AM27" s="158" t="b">
        <f>IF(AJ27="",TRUE,IF(IF(AK27="",VLOOKUP(AJ27,Calculs!$A$19:$S$425,19,FALSE),VLOOKUP(AK27,Calculs!$A$19:$S$425,19,FALSE))&gt;=AL27,TRUE,FALSE))</f>
        <v>1</v>
      </c>
      <c r="AN27" s="158"/>
      <c r="AO27" s="158"/>
      <c r="AP27" s="158"/>
      <c r="AQ27" s="158" t="b">
        <f>IF(AN27="",TRUE,IF(IF(AO27="",VLOOKUP(AN27,Calculs!$A$19:$S$425,19,FALSE),VLOOKUP(AO27,Calculs!$A$19:$S$425,19,FALSE))&gt;=AP27,TRUE,FALSE))</f>
        <v>1</v>
      </c>
      <c r="AR27" s="158"/>
      <c r="AS27" s="158" t="b">
        <f>IF(AR27="",TRUE,IF(VLOOKUP(AR27,Calculs!$A$427:$G$738,7,FALSE)&gt;0,TRUE,FALSE))</f>
        <v>1</v>
      </c>
      <c r="AT27" s="158"/>
      <c r="AU27" s="158" t="b">
        <f>IF(AT27="",TRUE,IF(VLOOKUP(AT27,Calculs!$A$740:$G$912,7,FALSE)&gt;0,TRUE,FALSE))</f>
        <v>1</v>
      </c>
      <c r="AV27" s="158" t="b">
        <f t="shared" si="0"/>
        <v>1</v>
      </c>
      <c r="AW27" s="158" t="s">
        <v>2078</v>
      </c>
      <c r="AX27" s="162" t="s">
        <v>6816</v>
      </c>
      <c r="AY27" s="15">
        <v>35</v>
      </c>
      <c r="AZ27" s="555" t="s">
        <v>7006</v>
      </c>
      <c r="BA27" s="559">
        <f>IF(Verso!$B$10=Voies!$B27,1,0)</f>
        <v>0</v>
      </c>
      <c r="BB27" s="12">
        <f>IF(Verso!$B$11=Voies!$B27,1,0)</f>
        <v>0</v>
      </c>
      <c r="BC27" s="12">
        <f>IF(Verso!$B$12=Voies!$B27,1,0)</f>
        <v>0</v>
      </c>
      <c r="BD27" s="12">
        <f>IF(Verso!$B$13=Voies!$B27,1,0)</f>
        <v>0</v>
      </c>
      <c r="BE27" s="12">
        <f>IF(Verso!$B$14=Voies!$B27,1,0)</f>
        <v>0</v>
      </c>
      <c r="BF27" s="12">
        <f>IF(Verso!$B$15=Voies!$B27,1,0)</f>
        <v>0</v>
      </c>
      <c r="BG27" s="12">
        <f>IF(Verso!$B$16=Voies!$B27,1,0)</f>
        <v>0</v>
      </c>
      <c r="BH27" s="12">
        <f>IF(Verso!$B$17=Voies!$B27,1,0)</f>
        <v>0</v>
      </c>
      <c r="BI27" s="557">
        <f t="shared" si="1"/>
        <v>0</v>
      </c>
      <c r="BJ27" s="196" t="str">
        <f t="shared" si="2"/>
        <v/>
      </c>
      <c r="BK27" s="196" t="str">
        <f t="shared" si="3"/>
        <v/>
      </c>
      <c r="BL27" s="295" t="str">
        <f t="shared" si="4"/>
        <v/>
      </c>
      <c r="BM27" s="91"/>
    </row>
    <row r="28" spans="1:65" ht="47.25" customHeight="1" x14ac:dyDescent="0.25">
      <c r="A28" s="162" t="str">
        <f>IF(AND(Réputation&gt;Voies!E28-1,OR(C28=TRUE,Calculs!$I$8&gt;0),Air&gt;Voies!J28-1,Eau&gt;Voies!K28-1,Feu&gt;Voies!L28-1,Terre&gt;Voies!M28-1,Vide&gt;Voies!N28-1,Constitution&gt;Voies!O28-1,Volonté&gt;Voies!P28-1,Force&gt;Voies!Q28-1,Perception&gt;Voies!R28-1,Reflexes&gt;Voies!S28-1,Agilité&gt;Voies!T28-1,Intuition&gt;Voies!U28-1,Intelligence&gt;Voies!V28-1,Souillure&gt;Voies!W28-1,Honneur&gt;X28-1,Statut&gt;Y28-1,Gloire&gt;Z28-1,AV28=TRUE),Voies!B28,"")</f>
        <v/>
      </c>
      <c r="B28" s="162" t="s">
        <v>2555</v>
      </c>
      <c r="C28" s="162" t="b">
        <f>IF(Clan=Voies!D28,TRUE,FALSE)</f>
        <v>0</v>
      </c>
      <c r="D28" s="387" t="s">
        <v>181</v>
      </c>
      <c r="E28" s="13">
        <v>0</v>
      </c>
      <c r="F28" s="199">
        <v>0</v>
      </c>
      <c r="G28" s="13" t="s">
        <v>2049</v>
      </c>
      <c r="H28" s="162" t="s">
        <v>426</v>
      </c>
      <c r="I28" s="129" t="str">
        <f t="shared" si="5"/>
        <v>Rien</v>
      </c>
      <c r="J28" s="146">
        <v>0</v>
      </c>
      <c r="K28" s="147">
        <v>0</v>
      </c>
      <c r="L28" s="148">
        <v>0</v>
      </c>
      <c r="M28" s="149">
        <v>4</v>
      </c>
      <c r="N28" s="150">
        <v>0</v>
      </c>
      <c r="O28" s="130">
        <v>0</v>
      </c>
      <c r="P28" s="130">
        <v>0</v>
      </c>
      <c r="Q28" s="130">
        <v>0</v>
      </c>
      <c r="R28" s="130">
        <v>0</v>
      </c>
      <c r="S28" s="130">
        <v>5</v>
      </c>
      <c r="T28" s="130">
        <v>5</v>
      </c>
      <c r="U28" s="130">
        <v>0</v>
      </c>
      <c r="V28" s="524">
        <v>0</v>
      </c>
      <c r="W28" s="130">
        <v>0</v>
      </c>
      <c r="X28" s="130">
        <v>0</v>
      </c>
      <c r="Y28" s="130">
        <v>0</v>
      </c>
      <c r="Z28" s="130">
        <v>0</v>
      </c>
      <c r="AA28" s="159" t="s">
        <v>6332</v>
      </c>
      <c r="AB28" s="159" t="s">
        <v>3325</v>
      </c>
      <c r="AC28" s="159" t="s">
        <v>3174</v>
      </c>
      <c r="AD28" s="159">
        <v>4</v>
      </c>
      <c r="AE28" s="158" t="b">
        <f>IF(AB28="",TRUE,IF(IF(AC28="",VLOOKUP(AB28,Calculs!$A$19:$S$425,19,FALSE),VLOOKUP(AC28,Calculs!$A$19:$S$425,19,FALSE))&gt;=AD28,TRUE,FALSE))</f>
        <v>0</v>
      </c>
      <c r="AF28" s="159" t="s">
        <v>1221</v>
      </c>
      <c r="AH28" s="159">
        <v>5</v>
      </c>
      <c r="AI28" s="158" t="b">
        <f>IF(AF28="",TRUE,IF(IF(AG28="",VLOOKUP(AF28,Calculs!$A$19:$S$425,19,FALSE),VLOOKUP(AG28,Calculs!$A$19:$S$425,19,FALSE))&gt;=AH28,TRUE,FALSE))</f>
        <v>0</v>
      </c>
      <c r="AJ28" s="159" t="s">
        <v>376</v>
      </c>
      <c r="AL28" s="159">
        <v>5</v>
      </c>
      <c r="AM28" s="158" t="b">
        <f>IF(AJ28="",TRUE,IF(IF(AK28="",VLOOKUP(AJ28,Calculs!$A$19:$S$425,19,FALSE),VLOOKUP(AK28,Calculs!$A$19:$S$425,19,FALSE))&gt;=AL28,TRUE,FALSE))</f>
        <v>0</v>
      </c>
      <c r="AQ28" s="158" t="b">
        <f>IF(AN28="",TRUE,IF(IF(AO28="",VLOOKUP(AN28,Calculs!$A$19:$S$425,19,FALSE),VLOOKUP(AO28,Calculs!$A$19:$S$425,19,FALSE))&gt;=AP28,TRUE,FALSE))</f>
        <v>1</v>
      </c>
      <c r="AR28" s="158"/>
      <c r="AS28" s="158" t="b">
        <f>IF(AR28="",TRUE,IF(VLOOKUP(AR28,Calculs!$A$427:$G$738,7,FALSE)&gt;0,TRUE,FALSE))</f>
        <v>1</v>
      </c>
      <c r="AT28" s="158"/>
      <c r="AU28" s="158" t="b">
        <f>IF(AT28="",TRUE,IF(VLOOKUP(AT28,Calculs!$A$740:$G$912,7,FALSE)&gt;0,TRUE,FALSE))</f>
        <v>1</v>
      </c>
      <c r="AV28" s="158" t="b">
        <f t="shared" si="0"/>
        <v>0</v>
      </c>
      <c r="AW28" s="159" t="s">
        <v>3407</v>
      </c>
      <c r="AX28" s="162" t="s">
        <v>3</v>
      </c>
      <c r="AY28" s="15">
        <v>250</v>
      </c>
      <c r="AZ28" s="555" t="s">
        <v>2558</v>
      </c>
      <c r="BA28" s="559">
        <f>IF(Verso!$B$10=Voies!$B28,1,0)</f>
        <v>0</v>
      </c>
      <c r="BB28" s="12">
        <f>IF(Verso!$B$11=Voies!$B28,1,0)</f>
        <v>0</v>
      </c>
      <c r="BC28" s="12">
        <f>IF(Verso!$B$12=Voies!$B28,1,0)</f>
        <v>0</v>
      </c>
      <c r="BD28" s="12">
        <f>IF(Verso!$B$13=Voies!$B28,1,0)</f>
        <v>0</v>
      </c>
      <c r="BE28" s="12">
        <f>IF(Verso!$B$14=Voies!$B28,1,0)</f>
        <v>0</v>
      </c>
      <c r="BF28" s="12">
        <f>IF(Verso!$B$15=Voies!$B28,1,0)</f>
        <v>0</v>
      </c>
      <c r="BG28" s="12">
        <f>IF(Verso!$B$16=Voies!$B28,1,0)</f>
        <v>0</v>
      </c>
      <c r="BH28" s="12">
        <f>IF(Verso!$B$17=Voies!$B28,1,0)</f>
        <v>0</v>
      </c>
      <c r="BI28" s="557">
        <f t="shared" si="1"/>
        <v>0</v>
      </c>
      <c r="BJ28" s="196" t="str">
        <f t="shared" si="2"/>
        <v/>
      </c>
      <c r="BK28" s="196" t="str">
        <f t="shared" si="3"/>
        <v/>
      </c>
      <c r="BL28" s="295" t="str">
        <f t="shared" si="4"/>
        <v/>
      </c>
    </row>
    <row r="29" spans="1:65" ht="47.25" customHeight="1" x14ac:dyDescent="0.25">
      <c r="A29" s="162" t="str">
        <f>IF(AND(Réputation&gt;Voies!E29-1,OR(C29=TRUE,Calculs!$I$8&gt;0),Air&gt;Voies!J29-1,Eau&gt;Voies!K29-1,Feu&gt;Voies!L29-1,Terre&gt;Voies!M29-1,Vide&gt;Voies!N29-1,Constitution&gt;Voies!O29-1,Volonté&gt;Voies!P29-1,Force&gt;Voies!Q29-1,Perception&gt;Voies!R29-1,Reflexes&gt;Voies!S29-1,Agilité&gt;Voies!T29-1,Intuition&gt;Voies!U29-1,Intelligence&gt;Voies!V29-1,Souillure&gt;Voies!W29-1,Honneur&gt;X29-1,Statut&gt;Y29-1,Gloire&gt;Z29-1,AV29=TRUE),Voies!B29,"")</f>
        <v/>
      </c>
      <c r="B29" s="162" t="s">
        <v>2556</v>
      </c>
      <c r="C29" s="162" t="b">
        <f>IF(Clan=Voies!D29,TRUE,FALSE)</f>
        <v>0</v>
      </c>
      <c r="D29" s="387" t="s">
        <v>181</v>
      </c>
      <c r="E29" s="13">
        <v>0</v>
      </c>
      <c r="F29" s="199">
        <v>0</v>
      </c>
      <c r="G29" s="13" t="s">
        <v>2049</v>
      </c>
      <c r="H29" s="162" t="s">
        <v>426</v>
      </c>
      <c r="I29" s="129" t="str">
        <f t="shared" si="5"/>
        <v>Rien</v>
      </c>
      <c r="J29" s="146">
        <v>0</v>
      </c>
      <c r="K29" s="147">
        <v>0</v>
      </c>
      <c r="L29" s="148">
        <v>0</v>
      </c>
      <c r="M29" s="149">
        <v>4</v>
      </c>
      <c r="N29" s="150">
        <v>0</v>
      </c>
      <c r="O29" s="130">
        <v>0</v>
      </c>
      <c r="P29" s="130">
        <v>0</v>
      </c>
      <c r="Q29" s="130">
        <v>0</v>
      </c>
      <c r="R29" s="130">
        <v>0</v>
      </c>
      <c r="S29" s="130">
        <v>5</v>
      </c>
      <c r="T29" s="130">
        <v>5</v>
      </c>
      <c r="U29" s="130">
        <v>0</v>
      </c>
      <c r="V29" s="524">
        <v>0</v>
      </c>
      <c r="W29" s="130">
        <v>0</v>
      </c>
      <c r="X29" s="130">
        <v>0</v>
      </c>
      <c r="Y29" s="130">
        <v>0</v>
      </c>
      <c r="Z29" s="130">
        <v>0</v>
      </c>
      <c r="AA29" s="159" t="s">
        <v>6332</v>
      </c>
      <c r="AB29" s="159" t="s">
        <v>3325</v>
      </c>
      <c r="AC29" s="159" t="s">
        <v>3174</v>
      </c>
      <c r="AD29" s="159">
        <v>4</v>
      </c>
      <c r="AE29" s="158" t="b">
        <f>IF(AB29="",TRUE,IF(IF(AC29="",VLOOKUP(AB29,Calculs!$A$19:$S$425,19,FALSE),VLOOKUP(AC29,Calculs!$A$19:$S$425,19,FALSE))&gt;=AD29,TRUE,FALSE))</f>
        <v>0</v>
      </c>
      <c r="AF29" s="159" t="s">
        <v>1221</v>
      </c>
      <c r="AH29" s="159">
        <v>5</v>
      </c>
      <c r="AI29" s="158" t="b">
        <f>IF(AF29="",TRUE,IF(IF(AG29="",VLOOKUP(AF29,Calculs!$A$19:$S$425,19,FALSE),VLOOKUP(AG29,Calculs!$A$19:$S$425,19,FALSE))&gt;=AH29,TRUE,FALSE))</f>
        <v>0</v>
      </c>
      <c r="AJ29" s="159" t="s">
        <v>376</v>
      </c>
      <c r="AM29" s="158" t="b">
        <f>IF(AJ29="",TRUE,IF(IF(AK29="",VLOOKUP(AJ29,Calculs!$A$19:$S$425,19,FALSE),VLOOKUP(AK29,Calculs!$A$19:$S$425,19,FALSE))&gt;=AL29,TRUE,FALSE))</f>
        <v>1</v>
      </c>
      <c r="AQ29" s="158" t="b">
        <f>IF(AN29="",TRUE,IF(IF(AO29="",VLOOKUP(AN29,Calculs!$A$19:$S$425,19,FALSE),VLOOKUP(AO29,Calculs!$A$19:$S$425,19,FALSE))&gt;=AP29,TRUE,FALSE))</f>
        <v>1</v>
      </c>
      <c r="AR29" s="158"/>
      <c r="AS29" s="158" t="b">
        <f>IF(AR29="",TRUE,IF(VLOOKUP(AR29,Calculs!$A$427:$G$738,7,FALSE)&gt;0,TRUE,FALSE))</f>
        <v>1</v>
      </c>
      <c r="AT29" s="158"/>
      <c r="AU29" s="158" t="b">
        <f>IF(AT29="",TRUE,IF(VLOOKUP(AT29,Calculs!$A$740:$G$912,7,FALSE)&gt;0,TRUE,FALSE))</f>
        <v>1</v>
      </c>
      <c r="AV29" s="158" t="b">
        <f t="shared" si="0"/>
        <v>0</v>
      </c>
      <c r="AW29" s="159" t="s">
        <v>3407</v>
      </c>
      <c r="AX29" s="162" t="s">
        <v>3</v>
      </c>
      <c r="AY29" s="15">
        <v>250</v>
      </c>
      <c r="AZ29" s="555" t="str">
        <f>CONCATENATE("Tous les Adversaires situés dans un rayon de 9m voient leurs jets de Dommage et de Bugei réduits de ",Souillure+Force,". Peut être ignoré en dépensant un Pvide.")</f>
        <v>Tous les Adversaires situés dans un rayon de 9m voient leurs jets de Dommage et de Bugei réduits de 2. Peut être ignoré en dépensant un Pvide.</v>
      </c>
      <c r="BA29" s="559">
        <f>IF(Verso!$B$10=Voies!$B29,1,0)</f>
        <v>0</v>
      </c>
      <c r="BB29" s="12">
        <f>IF(Verso!$B$11=Voies!$B29,1,0)</f>
        <v>0</v>
      </c>
      <c r="BC29" s="12">
        <f>IF(Verso!$B$12=Voies!$B29,1,0)</f>
        <v>0</v>
      </c>
      <c r="BD29" s="12">
        <f>IF(Verso!$B$13=Voies!$B29,1,0)</f>
        <v>0</v>
      </c>
      <c r="BE29" s="12">
        <f>IF(Verso!$B$14=Voies!$B29,1,0)</f>
        <v>0</v>
      </c>
      <c r="BF29" s="12">
        <f>IF(Verso!$B$15=Voies!$B29,1,0)</f>
        <v>0</v>
      </c>
      <c r="BG29" s="12">
        <f>IF(Verso!$B$16=Voies!$B29,1,0)</f>
        <v>0</v>
      </c>
      <c r="BH29" s="12">
        <f>IF(Verso!$B$17=Voies!$B29,1,0)</f>
        <v>0</v>
      </c>
      <c r="BI29" s="557">
        <f t="shared" si="1"/>
        <v>0</v>
      </c>
      <c r="BJ29" s="196" t="str">
        <f t="shared" si="2"/>
        <v/>
      </c>
      <c r="BK29" s="196" t="str">
        <f t="shared" si="3"/>
        <v/>
      </c>
      <c r="BL29" s="295" t="str">
        <f t="shared" si="4"/>
        <v/>
      </c>
    </row>
    <row r="30" spans="1:65" s="196" customFormat="1" ht="47.25" customHeight="1" x14ac:dyDescent="0.25">
      <c r="A30" s="162" t="str">
        <f>IF(AND(Réputation&gt;Voies!E30-1,OR(C30=TRUE,Calculs!$I$8&gt;0),Air&gt;Voies!J30-1,Eau&gt;Voies!K30-1,Feu&gt;Voies!L30-1,Terre&gt;Voies!M30-1,Vide&gt;Voies!N30-1,Constitution&gt;Voies!O30-1,Volonté&gt;Voies!P30-1,Force&gt;Voies!Q30-1,Perception&gt;Voies!R30-1,Reflexes&gt;Voies!S30-1,Agilité&gt;Voies!T30-1,Intuition&gt;Voies!U30-1,Intelligence&gt;Voies!V30-1,Souillure&gt;Voies!W30-1,Honneur&gt;X30-1,Statut&gt;Y30-1,Gloire&gt;Z30-1,AV30=TRUE),Voies!B30,"")</f>
        <v/>
      </c>
      <c r="B30" s="162" t="s">
        <v>2557</v>
      </c>
      <c r="C30" s="162" t="b">
        <f>IF(Clan=Voies!D30,TRUE,FALSE)</f>
        <v>0</v>
      </c>
      <c r="D30" s="387" t="s">
        <v>181</v>
      </c>
      <c r="E30" s="199">
        <v>0</v>
      </c>
      <c r="F30" s="199">
        <v>0</v>
      </c>
      <c r="G30" s="199" t="s">
        <v>2049</v>
      </c>
      <c r="H30" s="162" t="s">
        <v>426</v>
      </c>
      <c r="I30" s="129" t="str">
        <f t="shared" si="5"/>
        <v>Rien</v>
      </c>
      <c r="J30" s="146">
        <v>0</v>
      </c>
      <c r="K30" s="147">
        <v>0</v>
      </c>
      <c r="L30" s="148">
        <v>0</v>
      </c>
      <c r="M30" s="149">
        <v>4</v>
      </c>
      <c r="N30" s="150">
        <v>0</v>
      </c>
      <c r="O30" s="130">
        <v>0</v>
      </c>
      <c r="P30" s="130">
        <v>0</v>
      </c>
      <c r="Q30" s="130">
        <v>0</v>
      </c>
      <c r="R30" s="130">
        <v>0</v>
      </c>
      <c r="S30" s="130">
        <v>5</v>
      </c>
      <c r="T30" s="130">
        <v>5</v>
      </c>
      <c r="U30" s="130">
        <v>0</v>
      </c>
      <c r="V30" s="524">
        <v>0</v>
      </c>
      <c r="W30" s="130">
        <v>0</v>
      </c>
      <c r="X30" s="130">
        <v>0</v>
      </c>
      <c r="Y30" s="130">
        <v>0</v>
      </c>
      <c r="Z30" s="130">
        <v>0</v>
      </c>
      <c r="AA30" s="159" t="s">
        <v>6332</v>
      </c>
      <c r="AB30" s="159" t="s">
        <v>3325</v>
      </c>
      <c r="AC30" s="159" t="s">
        <v>3174</v>
      </c>
      <c r="AD30" s="159">
        <v>4</v>
      </c>
      <c r="AE30" s="158" t="b">
        <f>IF(AB30="",TRUE,IF(IF(AC30="",VLOOKUP(AB30,Calculs!$A$19:$S$425,19,FALSE),VLOOKUP(AC30,Calculs!$A$19:$S$425,19,FALSE))&gt;=AD30,TRUE,FALSE))</f>
        <v>0</v>
      </c>
      <c r="AF30" s="159" t="s">
        <v>1221</v>
      </c>
      <c r="AG30" s="159"/>
      <c r="AH30" s="159">
        <v>5</v>
      </c>
      <c r="AI30" s="158" t="b">
        <f>IF(AF30="",TRUE,IF(IF(AG30="",VLOOKUP(AF30,Calculs!$A$19:$S$425,19,FALSE),VLOOKUP(AG30,Calculs!$A$19:$S$425,19,FALSE))&gt;=AH30,TRUE,FALSE))</f>
        <v>0</v>
      </c>
      <c r="AJ30" s="159" t="s">
        <v>376</v>
      </c>
      <c r="AK30" s="159"/>
      <c r="AL30" s="159"/>
      <c r="AM30" s="158" t="b">
        <f>IF(AJ30="",TRUE,IF(IF(AK30="",VLOOKUP(AJ30,Calculs!$A$19:$S$425,19,FALSE),VLOOKUP(AK30,Calculs!$A$19:$S$425,19,FALSE))&gt;=AL30,TRUE,FALSE))</f>
        <v>1</v>
      </c>
      <c r="AN30" s="159"/>
      <c r="AO30" s="159"/>
      <c r="AP30" s="159"/>
      <c r="AQ30" s="158" t="b">
        <f>IF(AN30="",TRUE,IF(IF(AO30="",VLOOKUP(AN30,Calculs!$A$19:$S$425,19,FALSE),VLOOKUP(AO30,Calculs!$A$19:$S$425,19,FALSE))&gt;=AP30,TRUE,FALSE))</f>
        <v>1</v>
      </c>
      <c r="AR30" s="158"/>
      <c r="AS30" s="158" t="b">
        <f>IF(AR30="",TRUE,IF(VLOOKUP(AR30,Calculs!$A$427:$G$738,7,FALSE)&gt;0,TRUE,FALSE))</f>
        <v>1</v>
      </c>
      <c r="AT30" s="158"/>
      <c r="AU30" s="158" t="b">
        <f>IF(AT30="",TRUE,IF(VLOOKUP(AT30,Calculs!$A$740:$G$912,7,FALSE)&gt;0,TRUE,FALSE))</f>
        <v>1</v>
      </c>
      <c r="AV30" s="158" t="b">
        <f t="shared" si="0"/>
        <v>0</v>
      </c>
      <c r="AW30" s="159" t="s">
        <v>3407</v>
      </c>
      <c r="AX30" s="162" t="s">
        <v>3</v>
      </c>
      <c r="AY30" s="15">
        <v>250</v>
      </c>
      <c r="AZ30" s="555" t="str">
        <f>CONCATENATE("+",Souillure+Force,"g0 aux Dommages au Corps à Corps et pour résister à une Intimidation ou à un effet de Peur")</f>
        <v>+2g0 aux Dommages au Corps à Corps et pour résister à une Intimidation ou à un effet de Peur</v>
      </c>
      <c r="BA30" s="559">
        <f>IF(Verso!$B$10=Voies!$B30,1,0)</f>
        <v>0</v>
      </c>
      <c r="BB30" s="12">
        <f>IF(Verso!$B$11=Voies!$B30,1,0)</f>
        <v>0</v>
      </c>
      <c r="BC30" s="12">
        <f>IF(Verso!$B$12=Voies!$B30,1,0)</f>
        <v>0</v>
      </c>
      <c r="BD30" s="12">
        <f>IF(Verso!$B$13=Voies!$B30,1,0)</f>
        <v>0</v>
      </c>
      <c r="BE30" s="12">
        <f>IF(Verso!$B$14=Voies!$B30,1,0)</f>
        <v>0</v>
      </c>
      <c r="BF30" s="12">
        <f>IF(Verso!$B$15=Voies!$B30,1,0)</f>
        <v>0</v>
      </c>
      <c r="BG30" s="12">
        <f>IF(Verso!$B$16=Voies!$B30,1,0)</f>
        <v>0</v>
      </c>
      <c r="BH30" s="12">
        <f>IF(Verso!$B$17=Voies!$B30,1,0)</f>
        <v>0</v>
      </c>
      <c r="BI30" s="557">
        <f t="shared" si="1"/>
        <v>0</v>
      </c>
      <c r="BJ30" s="196" t="str">
        <f t="shared" si="2"/>
        <v/>
      </c>
      <c r="BK30" s="196" t="str">
        <f t="shared" si="3"/>
        <v/>
      </c>
      <c r="BL30" s="295" t="str">
        <f t="shared" si="4"/>
        <v/>
      </c>
      <c r="BM30" s="91"/>
    </row>
    <row r="31" spans="1:65" ht="47.25" customHeight="1" x14ac:dyDescent="0.25">
      <c r="A31" s="162" t="str">
        <f>IF(AND(Réputation&gt;Voies!E31-1,OR(C31=TRUE,Calculs!$I$8&gt;0),Air&gt;Voies!J31-1,Eau&gt;Voies!K31-1,Feu&gt;Voies!L31-1,Terre&gt;Voies!M31-1,Vide&gt;Voies!N31-1,Constitution&gt;Voies!O31-1,Volonté&gt;Voies!P31-1,Force&gt;Voies!Q31-1,Perception&gt;Voies!R31-1,Reflexes&gt;Voies!S31-1,Agilité&gt;Voies!T31-1,Intuition&gt;Voies!U31-1,Intelligence&gt;Voies!V31-1,Souillure&gt;Voies!W31-1,Honneur&gt;X31-1,Statut&gt;Y31-1,Gloire&gt;Z31-1,AV31=TRUE),Voies!B31,"")</f>
        <v/>
      </c>
      <c r="B31" s="162" t="s">
        <v>4809</v>
      </c>
      <c r="C31" s="162" t="b">
        <f>IF(Clan=Voies!D31,TRUE,FALSE)</f>
        <v>0</v>
      </c>
      <c r="D31" s="387" t="s">
        <v>181</v>
      </c>
      <c r="E31" s="13">
        <v>0</v>
      </c>
      <c r="F31" s="199">
        <v>0</v>
      </c>
      <c r="G31" s="13" t="s">
        <v>2050</v>
      </c>
      <c r="H31" s="162" t="s">
        <v>427</v>
      </c>
      <c r="I31" s="129" t="str">
        <f t="shared" si="5"/>
        <v>Rien</v>
      </c>
      <c r="J31" s="146">
        <v>0</v>
      </c>
      <c r="K31" s="147">
        <v>0</v>
      </c>
      <c r="L31" s="148">
        <v>0</v>
      </c>
      <c r="M31" s="149">
        <v>0</v>
      </c>
      <c r="N31" s="150">
        <v>0</v>
      </c>
      <c r="O31" s="130">
        <v>0</v>
      </c>
      <c r="P31" s="130">
        <v>0</v>
      </c>
      <c r="Q31" s="130">
        <v>0</v>
      </c>
      <c r="R31" s="130">
        <v>0</v>
      </c>
      <c r="S31" s="130">
        <v>0</v>
      </c>
      <c r="T31" s="130">
        <v>0</v>
      </c>
      <c r="U31" s="130">
        <v>0</v>
      </c>
      <c r="V31" s="524">
        <v>0</v>
      </c>
      <c r="W31" s="130">
        <v>0</v>
      </c>
      <c r="X31" s="130">
        <v>4</v>
      </c>
      <c r="Y31" s="130">
        <v>0</v>
      </c>
      <c r="Z31" s="130">
        <v>0</v>
      </c>
      <c r="AA31" s="159" t="s">
        <v>6333</v>
      </c>
      <c r="AB31" s="159" t="s">
        <v>3325</v>
      </c>
      <c r="AC31" s="159" t="s">
        <v>3214</v>
      </c>
      <c r="AD31" s="159">
        <v>4</v>
      </c>
      <c r="AE31" s="158" t="b">
        <f>IF(AB31="",TRUE,IF(IF(AC31="",VLOOKUP(AB31,Calculs!$A$19:$S$425,19,FALSE),VLOOKUP(AC31,Calculs!$A$19:$S$425,19,FALSE))&gt;=AD31,TRUE,FALSE))</f>
        <v>0</v>
      </c>
      <c r="AI31" s="158" t="b">
        <f>IF(AF31="",TRUE,IF(IF(AG31="",VLOOKUP(AF31,Calculs!$A$19:$S$425,19,FALSE),VLOOKUP(AG31,Calculs!$A$19:$S$425,19,FALSE))&gt;=AH31,TRUE,FALSE))</f>
        <v>1</v>
      </c>
      <c r="AM31" s="158" t="b">
        <f>IF(AJ31="",TRUE,IF(IF(AK31="",VLOOKUP(AJ31,Calculs!$A$19:$S$425,19,FALSE),VLOOKUP(AK31,Calculs!$A$19:$S$425,19,FALSE))&gt;=AL31,TRUE,FALSE))</f>
        <v>1</v>
      </c>
      <c r="AQ31" s="158" t="b">
        <f>IF(AN31="",TRUE,IF(IF(AO31="",VLOOKUP(AN31,Calculs!$A$19:$S$425,19,FALSE),VLOOKUP(AO31,Calculs!$A$19:$S$425,19,FALSE))&gt;=AP31,TRUE,FALSE))</f>
        <v>1</v>
      </c>
      <c r="AR31" s="158"/>
      <c r="AS31" s="158" t="b">
        <f>IF(Sombre&gt;0,TRUE,FALSE)</f>
        <v>0</v>
      </c>
      <c r="AT31" s="158"/>
      <c r="AU31" s="158" t="b">
        <f>IF(AT31="",TRUE,IF(VLOOKUP(AT31,Calculs!$A$740:$G$912,7,FALSE)&gt;0,TRUE,FALSE))</f>
        <v>1</v>
      </c>
      <c r="AV31" s="158" t="b">
        <f t="shared" si="0"/>
        <v>0</v>
      </c>
      <c r="AW31" s="159" t="s">
        <v>8239</v>
      </c>
      <c r="AX31" s="162" t="s">
        <v>5202</v>
      </c>
      <c r="AY31" s="15">
        <v>208</v>
      </c>
      <c r="AZ31" s="555" t="s">
        <v>2605</v>
      </c>
      <c r="BA31" s="559">
        <f>IF(Verso!$B$10=Voies!$B31,1,0)</f>
        <v>0</v>
      </c>
      <c r="BB31" s="12">
        <f>IF(Verso!$B$11=Voies!$B31,1,0)</f>
        <v>0</v>
      </c>
      <c r="BC31" s="12">
        <f>IF(Verso!$B$12=Voies!$B31,1,0)</f>
        <v>0</v>
      </c>
      <c r="BD31" s="12">
        <f>IF(Verso!$B$13=Voies!$B31,1,0)</f>
        <v>0</v>
      </c>
      <c r="BE31" s="12">
        <f>IF(Verso!$B$14=Voies!$B31,1,0)</f>
        <v>0</v>
      </c>
      <c r="BF31" s="12">
        <f>IF(Verso!$B$15=Voies!$B31,1,0)</f>
        <v>0</v>
      </c>
      <c r="BG31" s="12">
        <f>IF(Verso!$B$16=Voies!$B31,1,0)</f>
        <v>0</v>
      </c>
      <c r="BH31" s="12">
        <f>IF(Verso!$B$17=Voies!$B31,1,0)</f>
        <v>0</v>
      </c>
      <c r="BI31" s="557">
        <f t="shared" si="1"/>
        <v>0</v>
      </c>
      <c r="BJ31" s="196" t="str">
        <f t="shared" si="2"/>
        <v/>
      </c>
      <c r="BK31" s="196" t="str">
        <f t="shared" si="3"/>
        <v/>
      </c>
      <c r="BL31" s="295" t="str">
        <f t="shared" si="4"/>
        <v/>
      </c>
    </row>
    <row r="32" spans="1:65" ht="47.25" customHeight="1" x14ac:dyDescent="0.25">
      <c r="A32" s="162" t="str">
        <f>IF(AND(Réputation&gt;Voies!E32-1,OR(C32=TRUE,Calculs!$I$8&gt;0),Air&gt;Voies!J32-1,Eau&gt;Voies!K32-1,Feu&gt;Voies!L32-1,Terre&gt;Voies!M32-1,Vide&gt;Voies!N32-1,Constitution&gt;Voies!O32-1,Volonté&gt;Voies!P32-1,Force&gt;Voies!Q32-1,Perception&gt;Voies!R32-1,Reflexes&gt;Voies!S32-1,Agilité&gt;Voies!T32-1,Intuition&gt;Voies!U32-1,Intelligence&gt;Voies!V32-1,Souillure&gt;Voies!W32-1,Honneur&gt;X32-1,Statut&gt;Y32-1,Gloire&gt;Z32-1,AV32=TRUE),Voies!B32,"")</f>
        <v/>
      </c>
      <c r="B32" s="162" t="s">
        <v>4810</v>
      </c>
      <c r="C32" s="162" t="b">
        <f>IF(Clan=Voies!D32,TRUE,FALSE)</f>
        <v>0</v>
      </c>
      <c r="D32" s="387" t="s">
        <v>181</v>
      </c>
      <c r="E32" s="13">
        <v>0</v>
      </c>
      <c r="F32" s="199">
        <v>0</v>
      </c>
      <c r="G32" s="13" t="s">
        <v>2050</v>
      </c>
      <c r="H32" s="162" t="s">
        <v>427</v>
      </c>
      <c r="I32" s="129" t="str">
        <f t="shared" si="5"/>
        <v>Rien</v>
      </c>
      <c r="J32" s="146">
        <v>0</v>
      </c>
      <c r="K32" s="147">
        <v>0</v>
      </c>
      <c r="L32" s="148">
        <v>0</v>
      </c>
      <c r="M32" s="149">
        <v>0</v>
      </c>
      <c r="N32" s="150">
        <v>0</v>
      </c>
      <c r="O32" s="130">
        <v>0</v>
      </c>
      <c r="P32" s="130">
        <v>0</v>
      </c>
      <c r="Q32" s="130">
        <v>0</v>
      </c>
      <c r="R32" s="130">
        <v>0</v>
      </c>
      <c r="S32" s="130">
        <v>0</v>
      </c>
      <c r="T32" s="130">
        <v>0</v>
      </c>
      <c r="U32" s="130">
        <v>0</v>
      </c>
      <c r="V32" s="524">
        <v>0</v>
      </c>
      <c r="W32" s="130">
        <v>0</v>
      </c>
      <c r="X32" s="130">
        <v>4</v>
      </c>
      <c r="Y32" s="130">
        <v>0</v>
      </c>
      <c r="Z32" s="130">
        <v>0</v>
      </c>
      <c r="AA32" s="159" t="s">
        <v>6333</v>
      </c>
      <c r="AB32" s="159" t="s">
        <v>3325</v>
      </c>
      <c r="AC32" s="159" t="s">
        <v>3214</v>
      </c>
      <c r="AD32" s="159">
        <v>4</v>
      </c>
      <c r="AE32" s="158" t="b">
        <f>IF(AB32="",TRUE,IF(IF(AC32="",VLOOKUP(AB32,Calculs!$A$19:$S$425,19,FALSE),VLOOKUP(AC32,Calculs!$A$19:$S$425,19,FALSE))&gt;=AD32,TRUE,FALSE))</f>
        <v>0</v>
      </c>
      <c r="AI32" s="158" t="b">
        <f>IF(AF32="",TRUE,IF(IF(AG32="",VLOOKUP(AF32,Calculs!$A$19:$S$425,19,FALSE),VLOOKUP(AG32,Calculs!$A$19:$S$425,19,FALSE))&gt;=AH32,TRUE,FALSE))</f>
        <v>1</v>
      </c>
      <c r="AM32" s="158" t="b">
        <f>IF(AJ32="",TRUE,IF(IF(AK32="",VLOOKUP(AJ32,Calculs!$A$19:$S$425,19,FALSE),VLOOKUP(AK32,Calculs!$A$19:$S$425,19,FALSE))&gt;=AL32,TRUE,FALSE))</f>
        <v>1</v>
      </c>
      <c r="AQ32" s="158" t="b">
        <f>IF(AN32="",TRUE,IF(IF(AO32="",VLOOKUP(AN32,Calculs!$A$19:$S$425,19,FALSE),VLOOKUP(AO32,Calculs!$A$19:$S$425,19,FALSE))&gt;=AP32,TRUE,FALSE))</f>
        <v>1</v>
      </c>
      <c r="AR32" s="158"/>
      <c r="AS32" s="158" t="b">
        <f>IF(Sombre&gt;0,TRUE,FALSE)</f>
        <v>0</v>
      </c>
      <c r="AT32" s="158"/>
      <c r="AU32" s="158" t="b">
        <f>IF(AT32="",TRUE,IF(VLOOKUP(AT32,Calculs!$A$740:$G$912,7,FALSE)&gt;0,TRUE,FALSE))</f>
        <v>1</v>
      </c>
      <c r="AV32" s="158" t="b">
        <f t="shared" si="0"/>
        <v>0</v>
      </c>
      <c r="AW32" s="159" t="s">
        <v>8239</v>
      </c>
      <c r="AX32" s="162" t="s">
        <v>5202</v>
      </c>
      <c r="AY32" s="15">
        <v>208</v>
      </c>
      <c r="AZ32" s="555" t="str">
        <f>CONCATENATE(Vide," fois par session, vous pouvez immédiatement relancer un jet de Compétence Bugei raté en utilisant votre Compétence Connaissance: Théologie à la place")</f>
        <v>2 fois par session, vous pouvez immédiatement relancer un jet de Compétence Bugei raté en utilisant votre Compétence Connaissance: Théologie à la place</v>
      </c>
      <c r="BA32" s="559">
        <f>IF(Verso!$B$10=Voies!$B32,1,0)</f>
        <v>0</v>
      </c>
      <c r="BB32" s="12">
        <f>IF(Verso!$B$11=Voies!$B32,1,0)</f>
        <v>0</v>
      </c>
      <c r="BC32" s="12">
        <f>IF(Verso!$B$12=Voies!$B32,1,0)</f>
        <v>0</v>
      </c>
      <c r="BD32" s="12">
        <f>IF(Verso!$B$13=Voies!$B32,1,0)</f>
        <v>0</v>
      </c>
      <c r="BE32" s="12">
        <f>IF(Verso!$B$14=Voies!$B32,1,0)</f>
        <v>0</v>
      </c>
      <c r="BF32" s="12">
        <f>IF(Verso!$B$15=Voies!$B32,1,0)</f>
        <v>0</v>
      </c>
      <c r="BG32" s="12">
        <f>IF(Verso!$B$16=Voies!$B32,1,0)</f>
        <v>0</v>
      </c>
      <c r="BH32" s="12">
        <f>IF(Verso!$B$17=Voies!$B32,1,0)</f>
        <v>0</v>
      </c>
      <c r="BI32" s="557">
        <f t="shared" si="1"/>
        <v>0</v>
      </c>
      <c r="BJ32" s="196" t="str">
        <f t="shared" si="2"/>
        <v/>
      </c>
      <c r="BK32" s="196" t="str">
        <f t="shared" si="3"/>
        <v/>
      </c>
      <c r="BL32" s="295" t="str">
        <f t="shared" si="4"/>
        <v/>
      </c>
    </row>
    <row r="33" spans="1:65" ht="47.25" customHeight="1" x14ac:dyDescent="0.25">
      <c r="A33" s="162" t="str">
        <f>IF(AND(Réputation&gt;Voies!E33-1,OR(C33=TRUE,Calculs!$I$8&gt;0),Air&gt;Voies!J33-1,Eau&gt;Voies!K33-1,Feu&gt;Voies!L33-1,Terre&gt;Voies!M33-1,Vide&gt;Voies!N33-1,Constitution&gt;Voies!O33-1,Volonté&gt;Voies!P33-1,Force&gt;Voies!Q33-1,Perception&gt;Voies!R33-1,Reflexes&gt;Voies!S33-1,Agilité&gt;Voies!T33-1,Intuition&gt;Voies!U33-1,Intelligence&gt;Voies!V33-1,Souillure&gt;Voies!W33-1,Honneur&gt;X33-1,Statut&gt;Y33-1,Gloire&gt;Z33-1,AV33=TRUE),Voies!B33,"")</f>
        <v/>
      </c>
      <c r="B33" s="162" t="s">
        <v>4811</v>
      </c>
      <c r="C33" s="162" t="b">
        <f>IF(Clan=Voies!D33,TRUE,FALSE)</f>
        <v>0</v>
      </c>
      <c r="D33" s="387" t="s">
        <v>181</v>
      </c>
      <c r="E33" s="13">
        <v>0</v>
      </c>
      <c r="F33" s="199">
        <v>0</v>
      </c>
      <c r="G33" s="13" t="s">
        <v>2050</v>
      </c>
      <c r="H33" s="162" t="s">
        <v>427</v>
      </c>
      <c r="I33" s="129" t="str">
        <f t="shared" si="5"/>
        <v>Rien</v>
      </c>
      <c r="J33" s="146">
        <v>0</v>
      </c>
      <c r="K33" s="147">
        <v>0</v>
      </c>
      <c r="L33" s="148">
        <v>0</v>
      </c>
      <c r="M33" s="149">
        <v>0</v>
      </c>
      <c r="N33" s="150">
        <v>0</v>
      </c>
      <c r="O33" s="130">
        <v>0</v>
      </c>
      <c r="P33" s="130">
        <v>0</v>
      </c>
      <c r="Q33" s="130">
        <v>0</v>
      </c>
      <c r="R33" s="130">
        <v>0</v>
      </c>
      <c r="S33" s="130">
        <v>0</v>
      </c>
      <c r="T33" s="130">
        <v>0</v>
      </c>
      <c r="U33" s="130">
        <v>0</v>
      </c>
      <c r="V33" s="524">
        <v>0</v>
      </c>
      <c r="W33" s="130">
        <v>0</v>
      </c>
      <c r="X33" s="130">
        <v>4</v>
      </c>
      <c r="Y33" s="130">
        <v>0</v>
      </c>
      <c r="Z33" s="130">
        <v>0</v>
      </c>
      <c r="AA33" s="159" t="s">
        <v>6333</v>
      </c>
      <c r="AB33" s="159" t="s">
        <v>3325</v>
      </c>
      <c r="AC33" s="159" t="s">
        <v>3214</v>
      </c>
      <c r="AD33" s="159">
        <v>4</v>
      </c>
      <c r="AE33" s="158" t="b">
        <f>IF(AB33="",TRUE,IF(IF(AC33="",VLOOKUP(AB33,Calculs!$A$19:$S$425,19,FALSE),VLOOKUP(AC33,Calculs!$A$19:$S$425,19,FALSE))&gt;=AD33,TRUE,FALSE))</f>
        <v>0</v>
      </c>
      <c r="AI33" s="158" t="b">
        <f>IF(AF33="",TRUE,IF(IF(AG33="",VLOOKUP(AF33,Calculs!$A$19:$S$425,19,FALSE),VLOOKUP(AG33,Calculs!$A$19:$S$425,19,FALSE))&gt;=AH33,TRUE,FALSE))</f>
        <v>1</v>
      </c>
      <c r="AM33" s="158" t="b">
        <f>IF(AJ33="",TRUE,IF(IF(AK33="",VLOOKUP(AJ33,Calculs!$A$19:$S$425,19,FALSE),VLOOKUP(AK33,Calculs!$A$19:$S$425,19,FALSE))&gt;=AL33,TRUE,FALSE))</f>
        <v>1</v>
      </c>
      <c r="AQ33" s="158" t="b">
        <f>IF(AN33="",TRUE,IF(IF(AO33="",VLOOKUP(AN33,Calculs!$A$19:$S$425,19,FALSE),VLOOKUP(AO33,Calculs!$A$19:$S$425,19,FALSE))&gt;=AP33,TRUE,FALSE))</f>
        <v>1</v>
      </c>
      <c r="AR33" s="158"/>
      <c r="AS33" s="158" t="b">
        <f>IF(Sombre&gt;0,TRUE,FALSE)</f>
        <v>0</v>
      </c>
      <c r="AT33" s="158"/>
      <c r="AU33" s="158" t="b">
        <f>IF(AT33="",TRUE,IF(VLOOKUP(AT33,Calculs!$A$740:$G$912,7,FALSE)&gt;0,TRUE,FALSE))</f>
        <v>1</v>
      </c>
      <c r="AV33" s="158" t="b">
        <f t="shared" si="0"/>
        <v>0</v>
      </c>
      <c r="AW33" s="159" t="s">
        <v>8239</v>
      </c>
      <c r="AX33" s="162" t="s">
        <v>5202</v>
      </c>
      <c r="AY33" s="15">
        <v>208</v>
      </c>
      <c r="AZ33" s="555" t="s">
        <v>2606</v>
      </c>
      <c r="BA33" s="559">
        <f>IF(Verso!$B$10=Voies!$B33,1,0)</f>
        <v>0</v>
      </c>
      <c r="BB33" s="12">
        <f>IF(Verso!$B$11=Voies!$B33,1,0)</f>
        <v>0</v>
      </c>
      <c r="BC33" s="12">
        <f>IF(Verso!$B$12=Voies!$B33,1,0)</f>
        <v>0</v>
      </c>
      <c r="BD33" s="12">
        <f>IF(Verso!$B$13=Voies!$B33,1,0)</f>
        <v>0</v>
      </c>
      <c r="BE33" s="12">
        <f>IF(Verso!$B$14=Voies!$B33,1,0)</f>
        <v>0</v>
      </c>
      <c r="BF33" s="12">
        <f>IF(Verso!$B$15=Voies!$B33,1,0)</f>
        <v>0</v>
      </c>
      <c r="BG33" s="12">
        <f>IF(Verso!$B$16=Voies!$B33,1,0)</f>
        <v>0</v>
      </c>
      <c r="BH33" s="12">
        <f>IF(Verso!$B$17=Voies!$B33,1,0)</f>
        <v>0</v>
      </c>
      <c r="BI33" s="557">
        <f t="shared" si="1"/>
        <v>0</v>
      </c>
      <c r="BJ33" s="196" t="str">
        <f t="shared" si="2"/>
        <v/>
      </c>
      <c r="BK33" s="196" t="str">
        <f t="shared" si="3"/>
        <v/>
      </c>
      <c r="BL33" s="295" t="str">
        <f t="shared" si="4"/>
        <v/>
      </c>
    </row>
    <row r="34" spans="1:65" ht="47.25" customHeight="1" x14ac:dyDescent="0.25">
      <c r="A34" s="162" t="str">
        <f>IF(AND(Réputation&gt;Voies!E34-1,OR(C34=TRUE,Calculs!$I$8&gt;0),Air&gt;Voies!J34-1,Eau&gt;Voies!K34-1,Feu&gt;Voies!L34-1,Terre&gt;Voies!M34-1,Vide&gt;Voies!N34-1,Constitution&gt;Voies!O34-1,Volonté&gt;Voies!P34-1,Force&gt;Voies!Q34-1,Perception&gt;Voies!R34-1,Reflexes&gt;Voies!S34-1,Agilité&gt;Voies!T34-1,Intuition&gt;Voies!U34-1,Intelligence&gt;Voies!V34-1,Souillure&gt;Voies!W34-1,Honneur&gt;X34-1,Statut&gt;Y34-1,Gloire&gt;Z34-1,AV34=TRUE),Voies!B34,"")</f>
        <v/>
      </c>
      <c r="B34" s="162" t="s">
        <v>2104</v>
      </c>
      <c r="C34" s="162" t="b">
        <f>IF(Clan=Voies!D34,TRUE,FALSE)</f>
        <v>0</v>
      </c>
      <c r="D34" s="387" t="s">
        <v>181</v>
      </c>
      <c r="E34" s="13">
        <v>1</v>
      </c>
      <c r="F34" s="199">
        <v>1</v>
      </c>
      <c r="G34" s="13" t="s">
        <v>2049</v>
      </c>
      <c r="H34" s="162" t="s">
        <v>246</v>
      </c>
      <c r="I34" s="129" t="str">
        <f t="shared" si="5"/>
        <v>Rien</v>
      </c>
      <c r="J34" s="146">
        <v>0</v>
      </c>
      <c r="K34" s="147">
        <v>0</v>
      </c>
      <c r="L34" s="148">
        <v>0</v>
      </c>
      <c r="M34" s="149">
        <v>0</v>
      </c>
      <c r="N34" s="150">
        <v>0</v>
      </c>
      <c r="O34" s="130">
        <v>0</v>
      </c>
      <c r="P34" s="130">
        <v>0</v>
      </c>
      <c r="Q34" s="130">
        <v>0</v>
      </c>
      <c r="R34" s="130">
        <v>0</v>
      </c>
      <c r="S34" s="130">
        <v>0</v>
      </c>
      <c r="T34" s="130">
        <v>0</v>
      </c>
      <c r="U34" s="130">
        <v>0</v>
      </c>
      <c r="V34" s="524">
        <v>0</v>
      </c>
      <c r="W34" s="130">
        <v>0</v>
      </c>
      <c r="X34" s="130">
        <v>0</v>
      </c>
      <c r="Y34" s="130">
        <v>0</v>
      </c>
      <c r="Z34" s="130">
        <v>0</v>
      </c>
      <c r="AA34" s="158" t="s">
        <v>2078</v>
      </c>
      <c r="AB34" s="158"/>
      <c r="AC34" s="158"/>
      <c r="AD34" s="158"/>
      <c r="AE34" s="158" t="b">
        <f>IF(AB34="",TRUE,IF(IF(AC34="",VLOOKUP(AB34,Calculs!$A$19:$S$425,19,FALSE),VLOOKUP(AC34,Calculs!$A$19:$S$425,19,FALSE))&gt;=AD34,TRUE,FALSE))</f>
        <v>1</v>
      </c>
      <c r="AF34" s="158"/>
      <c r="AG34" s="158"/>
      <c r="AH34" s="158"/>
      <c r="AI34" s="158" t="b">
        <f>IF(AF34="",TRUE,IF(IF(AG34="",VLOOKUP(AF34,Calculs!$A$19:$S$425,19,FALSE),VLOOKUP(AG34,Calculs!$A$19:$S$425,19,FALSE))&gt;=AH34,TRUE,FALSE))</f>
        <v>1</v>
      </c>
      <c r="AJ34" s="158"/>
      <c r="AK34" s="158"/>
      <c r="AL34" s="158"/>
      <c r="AM34" s="158" t="b">
        <f>IF(AJ34="",TRUE,IF(IF(AK34="",VLOOKUP(AJ34,Calculs!$A$19:$S$425,19,FALSE),VLOOKUP(AK34,Calculs!$A$19:$S$425,19,FALSE))&gt;=AL34,TRUE,FALSE))</f>
        <v>1</v>
      </c>
      <c r="AN34" s="158"/>
      <c r="AO34" s="158"/>
      <c r="AP34" s="158"/>
      <c r="AQ34" s="158" t="b">
        <f>IF(AN34="",TRUE,IF(IF(AO34="",VLOOKUP(AN34,Calculs!$A$19:$S$425,19,FALSE),VLOOKUP(AO34,Calculs!$A$19:$S$425,19,FALSE))&gt;=AP34,TRUE,FALSE))</f>
        <v>1</v>
      </c>
      <c r="AR34" s="158"/>
      <c r="AS34" s="158" t="b">
        <f>IF(AR34="",TRUE,IF(VLOOKUP(AR34,Calculs!$A$427:$G$738,7,FALSE)&gt;0,TRUE,FALSE))</f>
        <v>1</v>
      </c>
      <c r="AT34" s="158"/>
      <c r="AU34" s="158" t="b">
        <f>IF(AT34="",TRUE,IF(VLOOKUP(AT34,Calculs!$A$740:$G$912,7,FALSE)&gt;0,TRUE,FALSE))</f>
        <v>1</v>
      </c>
      <c r="AV34" s="158" t="b">
        <f t="shared" si="0"/>
        <v>1</v>
      </c>
      <c r="AW34" s="158" t="s">
        <v>2078</v>
      </c>
      <c r="AX34" s="162" t="s">
        <v>3</v>
      </c>
      <c r="AY34" s="15">
        <v>212</v>
      </c>
      <c r="AZ34" s="555" t="str">
        <f>CONCATENATE("Peut réduire son rang de Malus de Blessure ou augmenter son jet de dommage de ",Force+Souillure," jusqu'à la fin du round. +10 au ND des Jets pour détecter la Souillure sur vous")</f>
        <v>Peut réduire son rang de Malus de Blessure ou augmenter son jet de dommage de 2 jusqu'à la fin du round. +10 au ND des Jets pour détecter la Souillure sur vous</v>
      </c>
      <c r="BA34" s="559">
        <f>IF(Verso!$B$10=Voies!$B34,1,0)</f>
        <v>0</v>
      </c>
      <c r="BB34" s="12">
        <f>IF(Verso!$B$11=Voies!$B34,1,0)</f>
        <v>0</v>
      </c>
      <c r="BC34" s="12">
        <f>IF(Verso!$B$12=Voies!$B34,1,0)</f>
        <v>0</v>
      </c>
      <c r="BD34" s="12">
        <f>IF(Verso!$B$13=Voies!$B34,1,0)</f>
        <v>0</v>
      </c>
      <c r="BE34" s="12">
        <f>IF(Verso!$B$14=Voies!$B34,1,0)</f>
        <v>0</v>
      </c>
      <c r="BF34" s="12">
        <f>IF(Verso!$B$15=Voies!$B34,1,0)</f>
        <v>0</v>
      </c>
      <c r="BG34" s="12">
        <f>IF(Verso!$B$16=Voies!$B34,1,0)</f>
        <v>0</v>
      </c>
      <c r="BH34" s="12">
        <f>IF(Verso!$B$17=Voies!$B34,1,0)</f>
        <v>0</v>
      </c>
      <c r="BI34" s="557">
        <f t="shared" si="1"/>
        <v>0</v>
      </c>
      <c r="BJ34" s="196" t="str">
        <f t="shared" si="2"/>
        <v/>
      </c>
      <c r="BK34" s="196" t="str">
        <f t="shared" si="3"/>
        <v/>
      </c>
      <c r="BL34" s="295" t="str">
        <f t="shared" si="4"/>
        <v/>
      </c>
    </row>
    <row r="35" spans="1:65" ht="47.25" customHeight="1" x14ac:dyDescent="0.25">
      <c r="A35" s="162" t="str">
        <f>IF(AND(Réputation&gt;Voies!E35-1,OR(C35=TRUE,Calculs!$I$8&gt;0),Air&gt;Voies!J35-1,Eau&gt;Voies!K35-1,Feu&gt;Voies!L35-1,Terre&gt;Voies!M35-1,Vide&gt;Voies!N35-1,Constitution&gt;Voies!O35-1,Volonté&gt;Voies!P35-1,Force&gt;Voies!Q35-1,Perception&gt;Voies!R35-1,Reflexes&gt;Voies!S35-1,Agilité&gt;Voies!T35-1,Intuition&gt;Voies!U35-1,Intelligence&gt;Voies!V35-1,Souillure&gt;Voies!W35-1,Honneur&gt;X35-1,Statut&gt;Y35-1,Gloire&gt;Z35-1,AV35=TRUE),Voies!B35,"")</f>
        <v/>
      </c>
      <c r="B35" s="162" t="s">
        <v>3258</v>
      </c>
      <c r="C35" s="162" t="b">
        <f>IF(Clan=Voies!D35,TRUE,FALSE)</f>
        <v>0</v>
      </c>
      <c r="D35" s="387" t="s">
        <v>181</v>
      </c>
      <c r="E35" s="13">
        <v>1</v>
      </c>
      <c r="F35" s="199">
        <v>1</v>
      </c>
      <c r="G35" s="13" t="s">
        <v>2049</v>
      </c>
      <c r="H35" s="162" t="s">
        <v>533</v>
      </c>
      <c r="I35" s="129" t="s">
        <v>3256</v>
      </c>
      <c r="J35" s="146">
        <v>0</v>
      </c>
      <c r="K35" s="147">
        <v>0</v>
      </c>
      <c r="L35" s="148">
        <v>0</v>
      </c>
      <c r="M35" s="149">
        <v>0</v>
      </c>
      <c r="N35" s="150">
        <v>0</v>
      </c>
      <c r="O35" s="130">
        <v>0</v>
      </c>
      <c r="P35" s="130">
        <v>0</v>
      </c>
      <c r="Q35" s="130">
        <v>0</v>
      </c>
      <c r="R35" s="130">
        <v>0</v>
      </c>
      <c r="S35" s="130">
        <v>0</v>
      </c>
      <c r="T35" s="130">
        <v>0</v>
      </c>
      <c r="U35" s="130">
        <v>0</v>
      </c>
      <c r="V35" s="524">
        <v>0</v>
      </c>
      <c r="W35" s="130">
        <v>0</v>
      </c>
      <c r="X35" s="130">
        <v>0</v>
      </c>
      <c r="Y35" s="130">
        <v>0</v>
      </c>
      <c r="Z35" s="130">
        <v>0</v>
      </c>
      <c r="AA35" s="159" t="s">
        <v>3257</v>
      </c>
      <c r="AB35" s="159" t="s">
        <v>1263</v>
      </c>
      <c r="AD35" s="159">
        <v>2</v>
      </c>
      <c r="AE35" s="158" t="b">
        <f>IF(AB35="",TRUE,IF(IF(AC35="",VLOOKUP(AB35,Calculs!$A$19:$S$425,19,FALSE),VLOOKUP(AC35,Calculs!$A$19:$S$425,19,FALSE))&gt;=AD35,TRUE,FALSE))</f>
        <v>0</v>
      </c>
      <c r="AI35" s="158" t="b">
        <f>IF(AF35="",TRUE,IF(IF(AG35="",VLOOKUP(AF35,Calculs!$A$19:$S$425,19,FALSE),VLOOKUP(AG35,Calculs!$A$19:$S$425,19,FALSE))&gt;=AH35,TRUE,FALSE))</f>
        <v>1</v>
      </c>
      <c r="AM35" s="158" t="b">
        <f>IF(AJ35="",TRUE,IF(IF(AK35="",VLOOKUP(AJ35,Calculs!$A$19:$S$425,19,FALSE),VLOOKUP(AK35,Calculs!$A$19:$S$425,19,FALSE))&gt;=AL35,TRUE,FALSE))</f>
        <v>1</v>
      </c>
      <c r="AQ35" s="158" t="b">
        <f>IF(AN35="",TRUE,IF(IF(AO35="",VLOOKUP(AN35,Calculs!$A$19:$S$425,19,FALSE),VLOOKUP(AO35,Calculs!$A$19:$S$425,19,FALSE))&gt;=AP35,TRUE,FALSE))</f>
        <v>1</v>
      </c>
      <c r="AR35" s="158"/>
      <c r="AS35" s="158" t="b">
        <f>IF(AR35="",TRUE,IF(VLOOKUP(AR35,Calculs!$A$427:$G$738,7,FALSE)&gt;0,TRUE,FALSE))</f>
        <v>1</v>
      </c>
      <c r="AT35" s="158"/>
      <c r="AU35" s="158" t="b">
        <f>IF(AT35="",TRUE,IF(VLOOKUP(AT35,Calculs!$A$740:$G$912,7,FALSE)&gt;0,TRUE,FALSE))</f>
        <v>1</v>
      </c>
      <c r="AV35" s="158" t="b">
        <f t="shared" si="0"/>
        <v>0</v>
      </c>
      <c r="AW35" s="158" t="s">
        <v>2078</v>
      </c>
      <c r="AX35" s="162" t="s">
        <v>3</v>
      </c>
      <c r="AY35" s="15">
        <v>255</v>
      </c>
      <c r="AZ35" s="555" t="s">
        <v>8475</v>
      </c>
      <c r="BA35" s="559">
        <f>IF(Verso!$B$10=Voies!$B35,1,0)</f>
        <v>0</v>
      </c>
      <c r="BB35" s="12">
        <f>IF(Verso!$B$11=Voies!$B35,1,0)</f>
        <v>0</v>
      </c>
      <c r="BC35" s="12">
        <f>IF(Verso!$B$12=Voies!$B35,1,0)</f>
        <v>0</v>
      </c>
      <c r="BD35" s="12">
        <f>IF(Verso!$B$13=Voies!$B35,1,0)</f>
        <v>0</v>
      </c>
      <c r="BE35" s="12">
        <f>IF(Verso!$B$14=Voies!$B35,1,0)</f>
        <v>0</v>
      </c>
      <c r="BF35" s="12">
        <f>IF(Verso!$B$15=Voies!$B35,1,0)</f>
        <v>0</v>
      </c>
      <c r="BG35" s="12">
        <f>IF(Verso!$B$16=Voies!$B35,1,0)</f>
        <v>0</v>
      </c>
      <c r="BH35" s="12">
        <f>IF(Verso!$B$17=Voies!$B35,1,0)</f>
        <v>0</v>
      </c>
      <c r="BI35" s="557">
        <f t="shared" si="1"/>
        <v>0</v>
      </c>
      <c r="BJ35" s="196" t="str">
        <f t="shared" si="2"/>
        <v/>
      </c>
      <c r="BK35" s="196" t="str">
        <f t="shared" si="3"/>
        <v/>
      </c>
      <c r="BL35" s="295" t="str">
        <f t="shared" si="4"/>
        <v/>
      </c>
    </row>
    <row r="36" spans="1:65" s="196" customFormat="1" ht="47.25" customHeight="1" x14ac:dyDescent="0.25">
      <c r="A36" s="162" t="str">
        <f>IF(AND(Réputation&gt;Voies!E36-1,OR(C36=TRUE,Calculs!$I$8&gt;0),Air&gt;Voies!J36-1,Eau&gt;Voies!K36-1,Feu&gt;Voies!L36-1,Terre&gt;Voies!M36-1,Vide&gt;Voies!N36-1,Constitution&gt;Voies!O36-1,Volonté&gt;Voies!P36-1,Force&gt;Voies!Q36-1,Perception&gt;Voies!R36-1,Reflexes&gt;Voies!S36-1,Agilité&gt;Voies!T36-1,Intuition&gt;Voies!U36-1,Intelligence&gt;Voies!V36-1,Souillure&gt;Voies!W36-1,Honneur&gt;X36-1,Statut&gt;Y36-1,Gloire&gt;Z36-1,AV36=TRUE),Voies!B36,"")</f>
        <v/>
      </c>
      <c r="B36" s="162" t="s">
        <v>8068</v>
      </c>
      <c r="C36" s="162" t="b">
        <f>IF(Clan=Voies!D36,TRUE,FALSE)</f>
        <v>0</v>
      </c>
      <c r="D36" s="387" t="s">
        <v>181</v>
      </c>
      <c r="E36" s="199">
        <v>1</v>
      </c>
      <c r="F36" s="199">
        <v>1</v>
      </c>
      <c r="G36" s="199" t="s">
        <v>2049</v>
      </c>
      <c r="H36" s="162" t="s">
        <v>8064</v>
      </c>
      <c r="I36" s="129" t="str">
        <f>IF(B36="","","Rien")</f>
        <v>Rien</v>
      </c>
      <c r="J36" s="146">
        <v>0</v>
      </c>
      <c r="K36" s="147">
        <v>0</v>
      </c>
      <c r="L36" s="148">
        <v>0</v>
      </c>
      <c r="M36" s="149">
        <v>0</v>
      </c>
      <c r="N36" s="150">
        <v>0</v>
      </c>
      <c r="O36" s="130">
        <v>0</v>
      </c>
      <c r="P36" s="130">
        <v>0</v>
      </c>
      <c r="Q36" s="130">
        <v>0</v>
      </c>
      <c r="R36" s="130">
        <v>0</v>
      </c>
      <c r="S36" s="130">
        <v>0</v>
      </c>
      <c r="T36" s="130">
        <v>0</v>
      </c>
      <c r="U36" s="130">
        <v>0</v>
      </c>
      <c r="V36" s="524">
        <v>0</v>
      </c>
      <c r="W36" s="130">
        <v>0</v>
      </c>
      <c r="X36" s="130">
        <v>0</v>
      </c>
      <c r="Y36" s="130">
        <v>0</v>
      </c>
      <c r="Z36" s="130">
        <v>0</v>
      </c>
      <c r="AA36" s="158" t="s">
        <v>2078</v>
      </c>
      <c r="AB36" s="158"/>
      <c r="AC36" s="158"/>
      <c r="AD36" s="158"/>
      <c r="AE36" s="158" t="b">
        <f>IF(AB36="",TRUE,IF(IF(AC36="",VLOOKUP(AB36,Calculs!$A$19:$S$425,19,FALSE),VLOOKUP(AC36,Calculs!$A$19:$S$425,19,FALSE))&gt;=AD36,TRUE,FALSE))</f>
        <v>1</v>
      </c>
      <c r="AF36" s="158"/>
      <c r="AG36" s="158"/>
      <c r="AH36" s="158"/>
      <c r="AI36" s="158" t="b">
        <f>IF(AF36="",TRUE,IF(IF(AG36="",VLOOKUP(AF36,Calculs!$A$19:$S$425,19,FALSE),VLOOKUP(AG36,Calculs!$A$19:$S$425,19,FALSE))&gt;=AH36,TRUE,FALSE))</f>
        <v>1</v>
      </c>
      <c r="AJ36" s="158"/>
      <c r="AK36" s="158"/>
      <c r="AL36" s="158"/>
      <c r="AM36" s="158" t="b">
        <f>IF(AJ36="",TRUE,IF(IF(AK36="",VLOOKUP(AJ36,Calculs!$A$19:$S$425,19,FALSE),VLOOKUP(AK36,Calculs!$A$19:$S$425,19,FALSE))&gt;=AL36,TRUE,FALSE))</f>
        <v>1</v>
      </c>
      <c r="AN36" s="158"/>
      <c r="AO36" s="158"/>
      <c r="AP36" s="158"/>
      <c r="AQ36" s="158" t="b">
        <f>IF(AN36="",TRUE,IF(IF(AO36="",VLOOKUP(AN36,Calculs!$A$19:$S$425,19,FALSE),VLOOKUP(AO36,Calculs!$A$19:$S$425,19,FALSE))&gt;=AP36,TRUE,FALSE))</f>
        <v>1</v>
      </c>
      <c r="AR36" s="158"/>
      <c r="AS36" s="158" t="b">
        <f>IF(AR36="",TRUE,IF(VLOOKUP(AR36,Calculs!$A$427:$G$738,7,FALSE)&gt;0,TRUE,FALSE))</f>
        <v>1</v>
      </c>
      <c r="AT36" s="158"/>
      <c r="AU36" s="158" t="b">
        <f>IF(AT36="",TRUE,IF(VLOOKUP(AT36,Calculs!$A$740:$G$912,7,FALSE)&gt;0,TRUE,FALSE))</f>
        <v>1</v>
      </c>
      <c r="AV36" s="158" t="b">
        <f t="shared" si="0"/>
        <v>1</v>
      </c>
      <c r="AW36" s="158" t="s">
        <v>2078</v>
      </c>
      <c r="AX36" s="162" t="s">
        <v>8065</v>
      </c>
      <c r="AY36" s="522" t="s">
        <v>2078</v>
      </c>
      <c r="AZ36" s="555" t="str">
        <f>CONCATENATE("En posture d'assaut, ajoutez ",Feu," à vos tests d'attaque.")</f>
        <v>En posture d'assaut, ajoutez 2 à vos tests d'attaque.</v>
      </c>
      <c r="BA36" s="559">
        <f>IF(Verso!$B$10=Voies!$B36,1,0)</f>
        <v>0</v>
      </c>
      <c r="BB36" s="12">
        <f>IF(Verso!$B$11=Voies!$B36,1,0)</f>
        <v>0</v>
      </c>
      <c r="BC36" s="12">
        <f>IF(Verso!$B$12=Voies!$B36,1,0)</f>
        <v>0</v>
      </c>
      <c r="BD36" s="12">
        <f>IF(Verso!$B$13=Voies!$B36,1,0)</f>
        <v>0</v>
      </c>
      <c r="BE36" s="12">
        <f>IF(Verso!$B$14=Voies!$B36,1,0)</f>
        <v>0</v>
      </c>
      <c r="BF36" s="12">
        <f>IF(Verso!$B$15=Voies!$B36,1,0)</f>
        <v>0</v>
      </c>
      <c r="BG36" s="12">
        <f>IF(Verso!$B$16=Voies!$B36,1,0)</f>
        <v>0</v>
      </c>
      <c r="BH36" s="12">
        <f>IF(Verso!$B$17=Voies!$B36,1,0)</f>
        <v>0</v>
      </c>
      <c r="BI36" s="557">
        <f t="shared" si="1"/>
        <v>0</v>
      </c>
      <c r="BJ36" s="196" t="str">
        <f t="shared" si="2"/>
        <v/>
      </c>
      <c r="BK36" s="196" t="str">
        <f t="shared" si="3"/>
        <v/>
      </c>
      <c r="BL36" s="295" t="str">
        <f t="shared" si="4"/>
        <v/>
      </c>
      <c r="BM36" s="91"/>
    </row>
    <row r="37" spans="1:65" ht="47.25" customHeight="1" x14ac:dyDescent="0.25">
      <c r="A37" s="162" t="str">
        <f>IF(AND(Réputation&gt;Voies!E37-1,OR(C37=TRUE,Calculs!$I$8&gt;0),Air&gt;Voies!J37-1,Eau&gt;Voies!K37-1,Feu&gt;Voies!L37-1,Terre&gt;Voies!M37-1,Vide&gt;Voies!N37-1,Constitution&gt;Voies!O37-1,Volonté&gt;Voies!P37-1,Force&gt;Voies!Q37-1,Perception&gt;Voies!R37-1,Reflexes&gt;Voies!S37-1,Agilité&gt;Voies!T37-1,Intuition&gt;Voies!U37-1,Intelligence&gt;Voies!V37-1,Souillure&gt;Voies!W37-1,Honneur&gt;X37-1,Statut&gt;Y37-1,Gloire&gt;Z37-1,AV37=TRUE),Voies!B37,"")</f>
        <v/>
      </c>
      <c r="B37" s="162" t="s">
        <v>2110</v>
      </c>
      <c r="C37" s="162" t="b">
        <f>IF(Clan=Voies!D37,TRUE,FALSE)</f>
        <v>0</v>
      </c>
      <c r="D37" s="387" t="s">
        <v>181</v>
      </c>
      <c r="E37" s="13">
        <v>1</v>
      </c>
      <c r="F37" s="199">
        <v>1</v>
      </c>
      <c r="G37" s="13" t="s">
        <v>2052</v>
      </c>
      <c r="H37" s="162" t="s">
        <v>247</v>
      </c>
      <c r="I37" s="129" t="str">
        <f>IF(B37="","","Rien")</f>
        <v>Rien</v>
      </c>
      <c r="J37" s="146">
        <v>0</v>
      </c>
      <c r="K37" s="147">
        <v>0</v>
      </c>
      <c r="L37" s="148">
        <v>0</v>
      </c>
      <c r="M37" s="149">
        <v>0</v>
      </c>
      <c r="N37" s="150">
        <v>0</v>
      </c>
      <c r="O37" s="130">
        <v>0</v>
      </c>
      <c r="P37" s="130">
        <v>0</v>
      </c>
      <c r="Q37" s="130">
        <v>0</v>
      </c>
      <c r="R37" s="130">
        <v>0</v>
      </c>
      <c r="S37" s="130">
        <v>0</v>
      </c>
      <c r="T37" s="130">
        <v>0</v>
      </c>
      <c r="U37" s="130">
        <v>0</v>
      </c>
      <c r="V37" s="524">
        <v>0</v>
      </c>
      <c r="W37" s="130">
        <v>0</v>
      </c>
      <c r="X37" s="130">
        <v>0</v>
      </c>
      <c r="Y37" s="130">
        <v>0</v>
      </c>
      <c r="Z37" s="130">
        <v>0</v>
      </c>
      <c r="AA37" s="158" t="s">
        <v>2078</v>
      </c>
      <c r="AB37" s="158"/>
      <c r="AC37" s="158"/>
      <c r="AD37" s="158"/>
      <c r="AE37" s="158" t="b">
        <f>IF(AB37="",TRUE,IF(IF(AC37="",VLOOKUP(AB37,Calculs!$A$19:$S$425,19,FALSE),VLOOKUP(AC37,Calculs!$A$19:$S$425,19,FALSE))&gt;=AD37,TRUE,FALSE))</f>
        <v>1</v>
      </c>
      <c r="AF37" s="158"/>
      <c r="AG37" s="158"/>
      <c r="AH37" s="158"/>
      <c r="AI37" s="158" t="b">
        <f>IF(AF37="",TRUE,IF(IF(AG37="",VLOOKUP(AF37,Calculs!$A$19:$S$425,19,FALSE),VLOOKUP(AG37,Calculs!$A$19:$S$425,19,FALSE))&gt;=AH37,TRUE,FALSE))</f>
        <v>1</v>
      </c>
      <c r="AJ37" s="158"/>
      <c r="AK37" s="158"/>
      <c r="AL37" s="158"/>
      <c r="AM37" s="158" t="b">
        <f>IF(AJ37="",TRUE,IF(IF(AK37="",VLOOKUP(AJ37,Calculs!$A$19:$S$425,19,FALSE),VLOOKUP(AK37,Calculs!$A$19:$S$425,19,FALSE))&gt;=AL37,TRUE,FALSE))</f>
        <v>1</v>
      </c>
      <c r="AN37" s="158"/>
      <c r="AO37" s="158"/>
      <c r="AP37" s="158"/>
      <c r="AQ37" s="158" t="b">
        <f>IF(AN37="",TRUE,IF(IF(AO37="",VLOOKUP(AN37,Calculs!$A$19:$S$425,19,FALSE),VLOOKUP(AO37,Calculs!$A$19:$S$425,19,FALSE))&gt;=AP37,TRUE,FALSE))</f>
        <v>1</v>
      </c>
      <c r="AR37" s="158"/>
      <c r="AS37" s="158" t="b">
        <f>IF(AR37="",TRUE,IF(VLOOKUP(AR37,Calculs!$A$427:$G$738,7,FALSE)&gt;0,TRUE,FALSE))</f>
        <v>1</v>
      </c>
      <c r="AT37" s="158"/>
      <c r="AU37" s="158" t="b">
        <f>IF(AT37="",TRUE,IF(VLOOKUP(AT37,Calculs!$A$740:$G$912,7,FALSE)&gt;0,TRUE,FALSE))</f>
        <v>1</v>
      </c>
      <c r="AV37" s="158" t="b">
        <f t="shared" si="0"/>
        <v>1</v>
      </c>
      <c r="AW37" s="158" t="s">
        <v>2078</v>
      </c>
      <c r="AX37" s="162" t="s">
        <v>3</v>
      </c>
      <c r="AY37" s="15">
        <v>213</v>
      </c>
      <c r="AZ37" s="566" t="s">
        <v>8512</v>
      </c>
      <c r="BA37" s="559">
        <f>IF(Verso!$B$10=Voies!$B37,1,0)</f>
        <v>0</v>
      </c>
      <c r="BB37" s="12">
        <f>IF(Verso!$B$11=Voies!$B37,1,0)</f>
        <v>0</v>
      </c>
      <c r="BC37" s="12">
        <f>IF(Verso!$B$12=Voies!$B37,1,0)</f>
        <v>0</v>
      </c>
      <c r="BD37" s="12">
        <f>IF(Verso!$B$13=Voies!$B37,1,0)</f>
        <v>0</v>
      </c>
      <c r="BE37" s="12">
        <f>IF(Verso!$B$14=Voies!$B37,1,0)</f>
        <v>0</v>
      </c>
      <c r="BF37" s="12">
        <f>IF(Verso!$B$15=Voies!$B37,1,0)</f>
        <v>0</v>
      </c>
      <c r="BG37" s="12">
        <f>IF(Verso!$B$16=Voies!$B37,1,0)</f>
        <v>0</v>
      </c>
      <c r="BH37" s="12">
        <f>IF(Verso!$B$17=Voies!$B37,1,0)</f>
        <v>0</v>
      </c>
      <c r="BI37" s="557">
        <f t="shared" si="1"/>
        <v>0</v>
      </c>
      <c r="BJ37" s="196" t="str">
        <f t="shared" si="2"/>
        <v/>
      </c>
      <c r="BK37" s="196" t="str">
        <f t="shared" si="3"/>
        <v/>
      </c>
      <c r="BL37" s="295" t="str">
        <f t="shared" si="4"/>
        <v/>
      </c>
    </row>
    <row r="38" spans="1:65" ht="47.25" customHeight="1" x14ac:dyDescent="0.25">
      <c r="A38" s="162" t="str">
        <f>IF(AND(Réputation&gt;Voies!E38-1,OR(C38=TRUE,Calculs!$I$8&gt;0),Air&gt;Voies!J38-1,Eau&gt;Voies!K38-1,Feu&gt;Voies!L38-1,Terre&gt;Voies!M38-1,Vide&gt;Voies!N38-1,Constitution&gt;Voies!O38-1,Volonté&gt;Voies!P38-1,Force&gt;Voies!Q38-1,Perception&gt;Voies!R38-1,Reflexes&gt;Voies!S38-1,Agilité&gt;Voies!T38-1,Intuition&gt;Voies!U38-1,Intelligence&gt;Voies!V38-1,Souillure&gt;Voies!W38-1,Honneur&gt;X38-1,Statut&gt;Y38-1,Gloire&gt;Z38-1,AV38=TRUE),Voies!B38,"")</f>
        <v/>
      </c>
      <c r="B38" s="162" t="s">
        <v>6491</v>
      </c>
      <c r="C38" s="162" t="b">
        <f>IF(Clan=Voies!D64,TRUE,FALSE)</f>
        <v>0</v>
      </c>
      <c r="D38" s="387" t="s">
        <v>181</v>
      </c>
      <c r="E38" s="13">
        <v>1</v>
      </c>
      <c r="F38" s="199">
        <v>1</v>
      </c>
      <c r="G38" s="13" t="s">
        <v>2052</v>
      </c>
      <c r="H38" s="162" t="s">
        <v>6492</v>
      </c>
      <c r="I38" s="129" t="s">
        <v>6493</v>
      </c>
      <c r="J38" s="146">
        <v>0</v>
      </c>
      <c r="K38" s="147">
        <v>0</v>
      </c>
      <c r="L38" s="148">
        <v>0</v>
      </c>
      <c r="M38" s="149">
        <v>0</v>
      </c>
      <c r="N38" s="150">
        <v>0</v>
      </c>
      <c r="O38" s="130">
        <v>0</v>
      </c>
      <c r="P38" s="130">
        <v>0</v>
      </c>
      <c r="Q38" s="130">
        <v>0</v>
      </c>
      <c r="R38" s="130">
        <v>0</v>
      </c>
      <c r="S38" s="130">
        <v>0</v>
      </c>
      <c r="T38" s="130">
        <v>0</v>
      </c>
      <c r="U38" s="130">
        <v>0</v>
      </c>
      <c r="V38" s="524">
        <v>0</v>
      </c>
      <c r="W38" s="130">
        <v>0</v>
      </c>
      <c r="X38" s="130">
        <v>0</v>
      </c>
      <c r="Y38" s="130">
        <v>0</v>
      </c>
      <c r="Z38" s="130">
        <v>0</v>
      </c>
      <c r="AA38" s="158" t="s">
        <v>2078</v>
      </c>
      <c r="AB38" s="158"/>
      <c r="AC38" s="158"/>
      <c r="AD38" s="158"/>
      <c r="AE38" s="158" t="b">
        <f>IF(AB38="",TRUE,IF(IF(AC38="",VLOOKUP(AB38,Calculs!$A$19:$S$425,19,FALSE),VLOOKUP(AC38,Calculs!$A$19:$S$425,19,FALSE))&gt;=AD38,TRUE,FALSE))</f>
        <v>1</v>
      </c>
      <c r="AF38" s="158"/>
      <c r="AG38" s="158"/>
      <c r="AH38" s="158"/>
      <c r="AI38" s="158" t="b">
        <f>IF(AF38="",TRUE,IF(IF(AG38="",VLOOKUP(AF38,Calculs!$A$19:$S$425,19,FALSE),VLOOKUP(AG38,Calculs!$A$19:$S$425,19,FALSE))&gt;=AH38,TRUE,FALSE))</f>
        <v>1</v>
      </c>
      <c r="AJ38" s="158"/>
      <c r="AK38" s="158"/>
      <c r="AL38" s="158"/>
      <c r="AM38" s="158" t="b">
        <f>IF(AJ38="",TRUE,IF(IF(AK38="",VLOOKUP(AJ38,Calculs!$A$19:$S$425,19,FALSE),VLOOKUP(AK38,Calculs!$A$19:$S$425,19,FALSE))&gt;=AL38,TRUE,FALSE))</f>
        <v>1</v>
      </c>
      <c r="AN38" s="158"/>
      <c r="AO38" s="158"/>
      <c r="AP38" s="158"/>
      <c r="AQ38" s="158" t="b">
        <f>IF(AN38="",TRUE,IF(IF(AO38="",VLOOKUP(AN38,Calculs!$A$19:$S$425,19,FALSE),VLOOKUP(AO38,Calculs!$A$19:$S$425,19,FALSE))&gt;=AP38,TRUE,FALSE))</f>
        <v>1</v>
      </c>
      <c r="AR38" s="158"/>
      <c r="AS38" s="158" t="b">
        <f>IF(AR38="",TRUE,IF(VLOOKUP(AR38,Calculs!$A$427:$G$738,7,FALSE)&gt;0,TRUE,FALSE))</f>
        <v>1</v>
      </c>
      <c r="AT38" s="158"/>
      <c r="AU38" s="158" t="b">
        <f>IF(AT38="",TRUE,IF(VLOOKUP(AT38,Calculs!$A$740:$G$912,7,FALSE)&gt;0,TRUE,FALSE))</f>
        <v>1</v>
      </c>
      <c r="AV38" s="158" t="b">
        <f t="shared" si="0"/>
        <v>1</v>
      </c>
      <c r="AW38" s="158" t="s">
        <v>2078</v>
      </c>
      <c r="AX38" s="162" t="s">
        <v>6494</v>
      </c>
      <c r="AY38" s="15">
        <v>96</v>
      </c>
      <c r="AZ38" s="555" t="s">
        <v>6495</v>
      </c>
      <c r="BA38" s="559">
        <f>IF(Verso!$B$10=Voies!$B38,1,0)</f>
        <v>0</v>
      </c>
      <c r="BB38" s="12">
        <f>IF(Verso!$B$11=Voies!$B38,1,0)</f>
        <v>0</v>
      </c>
      <c r="BC38" s="12">
        <f>IF(Verso!$B$12=Voies!$B38,1,0)</f>
        <v>0</v>
      </c>
      <c r="BD38" s="12">
        <f>IF(Verso!$B$13=Voies!$B38,1,0)</f>
        <v>0</v>
      </c>
      <c r="BE38" s="12">
        <f>IF(Verso!$B$14=Voies!$B38,1,0)</f>
        <v>0</v>
      </c>
      <c r="BF38" s="12">
        <f>IF(Verso!$B$15=Voies!$B38,1,0)</f>
        <v>0</v>
      </c>
      <c r="BG38" s="12">
        <f>IF(Verso!$B$16=Voies!$B38,1,0)</f>
        <v>0</v>
      </c>
      <c r="BH38" s="12">
        <f>IF(Verso!$B$17=Voies!$B38,1,0)</f>
        <v>0</v>
      </c>
      <c r="BI38" s="557">
        <f t="shared" si="1"/>
        <v>0</v>
      </c>
      <c r="BJ38" s="196" t="str">
        <f t="shared" si="2"/>
        <v/>
      </c>
      <c r="BK38" s="196" t="str">
        <f t="shared" si="3"/>
        <v/>
      </c>
      <c r="BL38" s="295" t="str">
        <f t="shared" si="4"/>
        <v/>
      </c>
    </row>
    <row r="39" spans="1:65" s="196" customFormat="1" ht="47.25" customHeight="1" x14ac:dyDescent="0.25">
      <c r="A39" s="162" t="str">
        <f>IF(AND(Réputation&gt;Voies!E39-1,OR(C39=TRUE,Calculs!$I$8&gt;0),Air&gt;Voies!J39-1,Eau&gt;Voies!K39-1,Feu&gt;Voies!L39-1,Terre&gt;Voies!M39-1,Vide&gt;Voies!N39-1,Constitution&gt;Voies!O39-1,Volonté&gt;Voies!P39-1,Force&gt;Voies!Q39-1,Perception&gt;Voies!R39-1,Reflexes&gt;Voies!S39-1,Agilité&gt;Voies!T39-1,Intuition&gt;Voies!U39-1,Intelligence&gt;Voies!V39-1,Souillure&gt;Voies!W39-1,Honneur&gt;X39-1,Statut&gt;Y39-1,Gloire&gt;Z39-1,AV39=TRUE),Voies!B39,"")</f>
        <v/>
      </c>
      <c r="B39" s="162" t="s">
        <v>2119</v>
      </c>
      <c r="C39" s="162" t="b">
        <f>IF(Clan=Voies!D38,TRUE,FALSE)</f>
        <v>0</v>
      </c>
      <c r="D39" s="387" t="s">
        <v>181</v>
      </c>
      <c r="E39" s="199">
        <v>1</v>
      </c>
      <c r="F39" s="199">
        <v>1</v>
      </c>
      <c r="G39" s="199" t="s">
        <v>2050</v>
      </c>
      <c r="H39" s="162" t="s">
        <v>1934</v>
      </c>
      <c r="I39" s="129" t="str">
        <f>IF(B39="","","Rien")</f>
        <v>Rien</v>
      </c>
      <c r="J39" s="146">
        <v>0</v>
      </c>
      <c r="K39" s="147">
        <v>0</v>
      </c>
      <c r="L39" s="148">
        <v>0</v>
      </c>
      <c r="M39" s="149">
        <v>0</v>
      </c>
      <c r="N39" s="150">
        <v>0</v>
      </c>
      <c r="O39" s="130">
        <v>0</v>
      </c>
      <c r="P39" s="130">
        <v>0</v>
      </c>
      <c r="Q39" s="130">
        <v>0</v>
      </c>
      <c r="R39" s="130">
        <v>0</v>
      </c>
      <c r="S39" s="130">
        <v>0</v>
      </c>
      <c r="T39" s="130">
        <v>0</v>
      </c>
      <c r="U39" s="130">
        <v>0</v>
      </c>
      <c r="V39" s="524">
        <v>0</v>
      </c>
      <c r="W39" s="130">
        <v>0</v>
      </c>
      <c r="X39" s="130">
        <v>0</v>
      </c>
      <c r="Y39" s="130">
        <v>0</v>
      </c>
      <c r="Z39" s="130">
        <v>0</v>
      </c>
      <c r="AA39" s="158" t="s">
        <v>2078</v>
      </c>
      <c r="AB39" s="158"/>
      <c r="AC39" s="158"/>
      <c r="AD39" s="158"/>
      <c r="AE39" s="158" t="b">
        <f>IF(AB39="",TRUE,IF(IF(AC39="",VLOOKUP(AB39,Calculs!$A$19:$S$425,19,FALSE),VLOOKUP(AC39,Calculs!$A$19:$S$425,19,FALSE))&gt;=AD39,TRUE,FALSE))</f>
        <v>1</v>
      </c>
      <c r="AF39" s="158"/>
      <c r="AG39" s="158"/>
      <c r="AH39" s="158"/>
      <c r="AI39" s="158" t="b">
        <f>IF(AF39="",TRUE,IF(IF(AG39="",VLOOKUP(AF39,Calculs!$A$19:$S$425,19,FALSE),VLOOKUP(AG39,Calculs!$A$19:$S$425,19,FALSE))&gt;=AH39,TRUE,FALSE))</f>
        <v>1</v>
      </c>
      <c r="AJ39" s="158"/>
      <c r="AK39" s="158"/>
      <c r="AL39" s="158"/>
      <c r="AM39" s="158" t="b">
        <f>IF(AJ39="",TRUE,IF(IF(AK39="",VLOOKUP(AJ39,Calculs!$A$19:$S$425,19,FALSE),VLOOKUP(AK39,Calculs!$A$19:$S$425,19,FALSE))&gt;=AL39,TRUE,FALSE))</f>
        <v>1</v>
      </c>
      <c r="AN39" s="158"/>
      <c r="AO39" s="158"/>
      <c r="AP39" s="158"/>
      <c r="AQ39" s="158" t="b">
        <f>IF(AN39="",TRUE,IF(IF(AO39="",VLOOKUP(AN39,Calculs!$A$19:$S$425,19,FALSE),VLOOKUP(AO39,Calculs!$A$19:$S$425,19,FALSE))&gt;=AP39,TRUE,FALSE))</f>
        <v>1</v>
      </c>
      <c r="AR39" s="158"/>
      <c r="AS39" s="158" t="b">
        <f>IF(AR39="",TRUE,IF(VLOOKUP(AR39,Calculs!$A$427:$G$738,7,FALSE)&gt;0,TRUE,FALSE))</f>
        <v>1</v>
      </c>
      <c r="AT39" s="158"/>
      <c r="AU39" s="158" t="b">
        <f>IF(AT39="",TRUE,IF(VLOOKUP(AT39,Calculs!$A$740:$G$912,7,FALSE)&gt;0,TRUE,FALSE))</f>
        <v>1</v>
      </c>
      <c r="AV39" s="158" t="b">
        <f t="shared" si="0"/>
        <v>1</v>
      </c>
      <c r="AW39" s="158" t="s">
        <v>2078</v>
      </c>
      <c r="AX39" s="162" t="s">
        <v>3</v>
      </c>
      <c r="AY39" s="15">
        <v>215</v>
      </c>
      <c r="AZ39" s="566" t="s">
        <v>8513</v>
      </c>
      <c r="BA39" s="559">
        <f>IF(Verso!$B$10=Voies!$B39,1,0)</f>
        <v>0</v>
      </c>
      <c r="BB39" s="12">
        <f>IF(Verso!$B$11=Voies!$B39,1,0)</f>
        <v>0</v>
      </c>
      <c r="BC39" s="12">
        <f>IF(Verso!$B$12=Voies!$B39,1,0)</f>
        <v>0</v>
      </c>
      <c r="BD39" s="12">
        <f>IF(Verso!$B$13=Voies!$B39,1,0)</f>
        <v>0</v>
      </c>
      <c r="BE39" s="12">
        <f>IF(Verso!$B$14=Voies!$B39,1,0)</f>
        <v>0</v>
      </c>
      <c r="BF39" s="12">
        <f>IF(Verso!$B$15=Voies!$B39,1,0)</f>
        <v>0</v>
      </c>
      <c r="BG39" s="12">
        <f>IF(Verso!$B$16=Voies!$B39,1,0)</f>
        <v>0</v>
      </c>
      <c r="BH39" s="12">
        <f>IF(Verso!$B$17=Voies!$B39,1,0)</f>
        <v>0</v>
      </c>
      <c r="BI39" s="557">
        <f t="shared" si="1"/>
        <v>0</v>
      </c>
      <c r="BJ39" s="196" t="str">
        <f t="shared" si="2"/>
        <v/>
      </c>
      <c r="BK39" s="196" t="str">
        <f t="shared" si="3"/>
        <v/>
      </c>
      <c r="BL39" s="295" t="str">
        <f t="shared" si="4"/>
        <v/>
      </c>
      <c r="BM39" s="91"/>
    </row>
    <row r="40" spans="1:65" ht="47.25" customHeight="1" x14ac:dyDescent="0.25">
      <c r="A40" s="162" t="str">
        <f>IF(AND(Réputation&gt;Voies!E40-1,OR(C40=TRUE,Calculs!$I$8&gt;0),Air&gt;Voies!J40-1,Eau&gt;Voies!K40-1,Feu&gt;Voies!L40-1,Terre&gt;Voies!M40-1,Vide&gt;Voies!N40-1,Constitution&gt;Voies!O40-1,Volonté&gt;Voies!P40-1,Force&gt;Voies!Q40-1,Perception&gt;Voies!R40-1,Reflexes&gt;Voies!S40-1,Agilité&gt;Voies!T40-1,Intuition&gt;Voies!U40-1,Intelligence&gt;Voies!V40-1,Souillure&gt;Voies!W40-1,Honneur&gt;X40-1,Statut&gt;Y40-1,Gloire&gt;Z40-1,AV40=TRUE),Voies!B40,"")</f>
        <v/>
      </c>
      <c r="B40" s="162" t="s">
        <v>8080</v>
      </c>
      <c r="C40" s="162" t="b">
        <f>IF(Clan=Voies!D39,TRUE,FALSE)</f>
        <v>0</v>
      </c>
      <c r="D40" s="387" t="s">
        <v>181</v>
      </c>
      <c r="E40" s="13">
        <v>1</v>
      </c>
      <c r="F40" s="199">
        <v>1</v>
      </c>
      <c r="G40" s="13" t="s">
        <v>2050</v>
      </c>
      <c r="H40" s="162" t="s">
        <v>8080</v>
      </c>
      <c r="I40" s="129" t="s">
        <v>8079</v>
      </c>
      <c r="J40" s="146">
        <v>0</v>
      </c>
      <c r="K40" s="147">
        <v>0</v>
      </c>
      <c r="L40" s="148">
        <v>0</v>
      </c>
      <c r="M40" s="149">
        <v>0</v>
      </c>
      <c r="N40" s="150">
        <v>0</v>
      </c>
      <c r="O40" s="130">
        <v>0</v>
      </c>
      <c r="P40" s="130">
        <v>0</v>
      </c>
      <c r="Q40" s="130">
        <v>0</v>
      </c>
      <c r="R40" s="130">
        <v>0</v>
      </c>
      <c r="S40" s="130">
        <v>0</v>
      </c>
      <c r="T40" s="130">
        <v>0</v>
      </c>
      <c r="U40" s="130">
        <v>0</v>
      </c>
      <c r="V40" s="524">
        <v>0</v>
      </c>
      <c r="W40" s="130">
        <v>1</v>
      </c>
      <c r="X40" s="130">
        <v>0</v>
      </c>
      <c r="Y40" s="130">
        <v>0</v>
      </c>
      <c r="Z40" s="130">
        <v>0</v>
      </c>
      <c r="AA40" s="158" t="s">
        <v>2078</v>
      </c>
      <c r="AB40" s="158"/>
      <c r="AC40" s="158"/>
      <c r="AD40" s="158"/>
      <c r="AE40" s="158" t="b">
        <f>IF(AB40="",TRUE,IF(IF(AC40="",VLOOKUP(AB40,Calculs!$A$19:$S$425,19,FALSE),VLOOKUP(AC40,Calculs!$A$19:$S$425,19,FALSE))&gt;=AD40,TRUE,FALSE))</f>
        <v>1</v>
      </c>
      <c r="AF40" s="158"/>
      <c r="AG40" s="158"/>
      <c r="AH40" s="158"/>
      <c r="AI40" s="158" t="b">
        <f>IF(AF40="",TRUE,IF(IF(AG40="",VLOOKUP(AF40,Calculs!$A$19:$S$425,19,FALSE),VLOOKUP(AG40,Calculs!$A$19:$S$425,19,FALSE))&gt;=AH40,TRUE,FALSE))</f>
        <v>1</v>
      </c>
      <c r="AJ40" s="158"/>
      <c r="AK40" s="158"/>
      <c r="AL40" s="158"/>
      <c r="AM40" s="158" t="b">
        <f>IF(AJ40="",TRUE,IF(IF(AK40="",VLOOKUP(AJ40,Calculs!$A$19:$S$425,19,FALSE),VLOOKUP(AK40,Calculs!$A$19:$S$425,19,FALSE))&gt;=AL40,TRUE,FALSE))</f>
        <v>1</v>
      </c>
      <c r="AN40" s="158"/>
      <c r="AO40" s="158"/>
      <c r="AP40" s="158"/>
      <c r="AQ40" s="158" t="b">
        <f>IF(AN40="",TRUE,IF(IF(AO40="",VLOOKUP(AN40,Calculs!$A$19:$S$425,19,FALSE),VLOOKUP(AO40,Calculs!$A$19:$S$425,19,FALSE))&gt;=AP40,TRUE,FALSE))</f>
        <v>1</v>
      </c>
      <c r="AR40" s="158"/>
      <c r="AS40" s="158" t="b">
        <f>IF(AR40="",TRUE,IF(VLOOKUP(AR40,Calculs!$A$427:$G$738,7,FALSE)&gt;0,TRUE,FALSE))</f>
        <v>1</v>
      </c>
      <c r="AT40" s="158"/>
      <c r="AU40" s="158" t="b">
        <f>IF(AT40="",TRUE,IF(VLOOKUP(AT40,Calculs!$A$740:$G$912,7,FALSE)&gt;0,TRUE,FALSE))</f>
        <v>1</v>
      </c>
      <c r="AV40" s="158" t="b">
        <f t="shared" si="0"/>
        <v>1</v>
      </c>
      <c r="AW40" s="158" t="s">
        <v>2078</v>
      </c>
      <c r="AX40" s="162" t="s">
        <v>8021</v>
      </c>
      <c r="AY40" s="15">
        <v>42</v>
      </c>
      <c r="AZ40" s="566" t="s">
        <v>8081</v>
      </c>
      <c r="BA40" s="559">
        <f>IF(Verso!$B$10=Voies!$B40,1,0)</f>
        <v>0</v>
      </c>
      <c r="BB40" s="12">
        <f>IF(Verso!$B$11=Voies!$B40,1,0)</f>
        <v>0</v>
      </c>
      <c r="BC40" s="12">
        <f>IF(Verso!$B$12=Voies!$B40,1,0)</f>
        <v>0</v>
      </c>
      <c r="BD40" s="12">
        <f>IF(Verso!$B$13=Voies!$B40,1,0)</f>
        <v>0</v>
      </c>
      <c r="BE40" s="12">
        <f>IF(Verso!$B$14=Voies!$B40,1,0)</f>
        <v>0</v>
      </c>
      <c r="BF40" s="12">
        <f>IF(Verso!$B$15=Voies!$B40,1,0)</f>
        <v>0</v>
      </c>
      <c r="BG40" s="12">
        <f>IF(Verso!$B$16=Voies!$B40,1,0)</f>
        <v>0</v>
      </c>
      <c r="BH40" s="12">
        <f>IF(Verso!$B$17=Voies!$B40,1,0)</f>
        <v>0</v>
      </c>
      <c r="BI40" s="557">
        <f t="shared" si="1"/>
        <v>0</v>
      </c>
      <c r="BJ40" s="196" t="str">
        <f t="shared" si="2"/>
        <v/>
      </c>
      <c r="BK40" s="196" t="str">
        <f t="shared" si="3"/>
        <v/>
      </c>
      <c r="BL40" s="295" t="str">
        <f t="shared" si="4"/>
        <v/>
      </c>
    </row>
    <row r="41" spans="1:65" ht="47.25" customHeight="1" x14ac:dyDescent="0.25">
      <c r="A41" s="162" t="str">
        <f>IF(AND(Réputation&gt;Voies!E41-1,OR(C41=TRUE,Calculs!$I$8&gt;0),Air&gt;Voies!J41-1,Eau&gt;Voies!K41-1,Feu&gt;Voies!L41-1,Terre&gt;Voies!M41-1,Vide&gt;Voies!N41-1,Constitution&gt;Voies!O41-1,Volonté&gt;Voies!P41-1,Force&gt;Voies!Q41-1,Perception&gt;Voies!R41-1,Reflexes&gt;Voies!S41-1,Agilité&gt;Voies!T41-1,Intuition&gt;Voies!U41-1,Intelligence&gt;Voies!V41-1,Souillure&gt;Voies!W41-1,Honneur&gt;X41-1,Statut&gt;Y41-1,Gloire&gt;Z41-1,AV41=TRUE),Voies!B41,"")</f>
        <v/>
      </c>
      <c r="B41" s="162" t="s">
        <v>2118</v>
      </c>
      <c r="C41" s="162" t="b">
        <f>IF(Clan=Voies!D40,TRUE,FALSE)</f>
        <v>0</v>
      </c>
      <c r="D41" s="387" t="s">
        <v>181</v>
      </c>
      <c r="E41" s="13">
        <v>1</v>
      </c>
      <c r="F41" s="199">
        <v>1</v>
      </c>
      <c r="G41" s="13" t="s">
        <v>2048</v>
      </c>
      <c r="H41" s="162" t="s">
        <v>245</v>
      </c>
      <c r="I41" s="129" t="str">
        <f>IF(B41="","","Rien")</f>
        <v>Rien</v>
      </c>
      <c r="J41" s="146">
        <v>0</v>
      </c>
      <c r="K41" s="147">
        <v>0</v>
      </c>
      <c r="L41" s="148">
        <v>0</v>
      </c>
      <c r="M41" s="149">
        <v>0</v>
      </c>
      <c r="N41" s="150">
        <v>0</v>
      </c>
      <c r="O41" s="130">
        <v>0</v>
      </c>
      <c r="P41" s="130">
        <v>0</v>
      </c>
      <c r="Q41" s="130">
        <v>0</v>
      </c>
      <c r="R41" s="130">
        <v>0</v>
      </c>
      <c r="S41" s="130">
        <v>0</v>
      </c>
      <c r="T41" s="130">
        <v>0</v>
      </c>
      <c r="U41" s="130">
        <v>0</v>
      </c>
      <c r="V41" s="524">
        <v>0</v>
      </c>
      <c r="W41" s="130">
        <v>0</v>
      </c>
      <c r="X41" s="130">
        <v>0</v>
      </c>
      <c r="Y41" s="130">
        <v>0</v>
      </c>
      <c r="Z41" s="130">
        <v>0</v>
      </c>
      <c r="AA41" s="158" t="s">
        <v>2078</v>
      </c>
      <c r="AB41" s="158"/>
      <c r="AC41" s="158"/>
      <c r="AD41" s="158"/>
      <c r="AE41" s="158" t="b">
        <f>IF(AB41="",TRUE,IF(IF(AC41="",VLOOKUP(AB41,Calculs!$A$19:$S$425,19,FALSE),VLOOKUP(AC41,Calculs!$A$19:$S$425,19,FALSE))&gt;=AD41,TRUE,FALSE))</f>
        <v>1</v>
      </c>
      <c r="AF41" s="158"/>
      <c r="AG41" s="158"/>
      <c r="AH41" s="158"/>
      <c r="AI41" s="158" t="b">
        <f>IF(AF41="",TRUE,IF(IF(AG41="",VLOOKUP(AF41,Calculs!$A$19:$S$425,19,FALSE),VLOOKUP(AG41,Calculs!$A$19:$S$425,19,FALSE))&gt;=AH41,TRUE,FALSE))</f>
        <v>1</v>
      </c>
      <c r="AJ41" s="158"/>
      <c r="AK41" s="158"/>
      <c r="AL41" s="158"/>
      <c r="AM41" s="158" t="b">
        <f>IF(AJ41="",TRUE,IF(IF(AK41="",VLOOKUP(AJ41,Calculs!$A$19:$S$425,19,FALSE),VLOOKUP(AK41,Calculs!$A$19:$S$425,19,FALSE))&gt;=AL41,TRUE,FALSE))</f>
        <v>1</v>
      </c>
      <c r="AN41" s="158"/>
      <c r="AO41" s="158"/>
      <c r="AP41" s="158"/>
      <c r="AQ41" s="158" t="b">
        <f>IF(AN41="",TRUE,IF(IF(AO41="",VLOOKUP(AN41,Calculs!$A$19:$S$425,19,FALSE),VLOOKUP(AO41,Calculs!$A$19:$S$425,19,FALSE))&gt;=AP41,TRUE,FALSE))</f>
        <v>1</v>
      </c>
      <c r="AR41" s="158"/>
      <c r="AS41" s="158" t="b">
        <f>IF(AR41="",TRUE,IF(VLOOKUP(AR41,Calculs!$A$427:$G$738,7,FALSE)&gt;0,TRUE,FALSE))</f>
        <v>1</v>
      </c>
      <c r="AT41" s="158"/>
      <c r="AU41" s="158" t="b">
        <f>IF(AT41="",TRUE,IF(VLOOKUP(AT41,Calculs!$A$740:$G$912,7,FALSE)&gt;0,TRUE,FALSE))</f>
        <v>1</v>
      </c>
      <c r="AV41" s="158" t="b">
        <f t="shared" si="0"/>
        <v>1</v>
      </c>
      <c r="AW41" s="158" t="s">
        <v>2078</v>
      </c>
      <c r="AX41" s="162" t="s">
        <v>3</v>
      </c>
      <c r="AY41" s="15">
        <v>214</v>
      </c>
      <c r="AZ41" s="555" t="s">
        <v>2125</v>
      </c>
      <c r="BA41" s="559">
        <f>IF(Verso!$B$10=Voies!$B41,1,0)</f>
        <v>0</v>
      </c>
      <c r="BB41" s="12">
        <f>IF(Verso!$B$11=Voies!$B41,1,0)</f>
        <v>0</v>
      </c>
      <c r="BC41" s="12">
        <f>IF(Verso!$B$12=Voies!$B41,1,0)</f>
        <v>0</v>
      </c>
      <c r="BD41" s="12">
        <f>IF(Verso!$B$13=Voies!$B41,1,0)</f>
        <v>0</v>
      </c>
      <c r="BE41" s="12">
        <f>IF(Verso!$B$14=Voies!$B41,1,0)</f>
        <v>0</v>
      </c>
      <c r="BF41" s="12">
        <f>IF(Verso!$B$15=Voies!$B41,1,0)</f>
        <v>0</v>
      </c>
      <c r="BG41" s="12">
        <f>IF(Verso!$B$16=Voies!$B41,1,0)</f>
        <v>0</v>
      </c>
      <c r="BH41" s="12">
        <f>IF(Verso!$B$17=Voies!$B41,1,0)</f>
        <v>0</v>
      </c>
      <c r="BI41" s="557">
        <f t="shared" si="1"/>
        <v>0</v>
      </c>
      <c r="BJ41" s="196" t="str">
        <f t="shared" si="2"/>
        <v/>
      </c>
      <c r="BK41" s="196" t="str">
        <f t="shared" si="3"/>
        <v/>
      </c>
      <c r="BL41" s="295" t="str">
        <f t="shared" si="4"/>
        <v/>
      </c>
    </row>
    <row r="42" spans="1:65" ht="47.25" customHeight="1" x14ac:dyDescent="0.25">
      <c r="A42" s="162" t="str">
        <f>IF(AND(Réputation&gt;Voies!E42-1,OR(C42=TRUE,Calculs!$I$8&gt;0),Air&gt;Voies!J42-1,Eau&gt;Voies!K42-1,Feu&gt;Voies!L42-1,Terre&gt;Voies!M42-1,Vide&gt;Voies!N42-1,Constitution&gt;Voies!O42-1,Volonté&gt;Voies!P42-1,Force&gt;Voies!Q42-1,Perception&gt;Voies!R42-1,Reflexes&gt;Voies!S42-1,Agilité&gt;Voies!T42-1,Intuition&gt;Voies!U42-1,Intelligence&gt;Voies!V42-1,Souillure&gt;Voies!W42-1,Honneur&gt;X42-1,Statut&gt;Y42-1,Gloire&gt;Z42-1,AV42=TRUE),Voies!B42,"")</f>
        <v/>
      </c>
      <c r="B42" s="162" t="s">
        <v>2105</v>
      </c>
      <c r="C42" s="162" t="b">
        <f>IF(Clan=Voies!D41,TRUE,FALSE)</f>
        <v>0</v>
      </c>
      <c r="D42" s="387" t="s">
        <v>181</v>
      </c>
      <c r="E42" s="13">
        <v>2</v>
      </c>
      <c r="F42" s="199">
        <v>2</v>
      </c>
      <c r="G42" s="13" t="s">
        <v>2049</v>
      </c>
      <c r="H42" s="162" t="s">
        <v>246</v>
      </c>
      <c r="I42" s="129" t="str">
        <f>IF(B42="","","Rien")</f>
        <v>Rien</v>
      </c>
      <c r="J42" s="146">
        <v>0</v>
      </c>
      <c r="K42" s="147">
        <v>0</v>
      </c>
      <c r="L42" s="148">
        <v>0</v>
      </c>
      <c r="M42" s="149">
        <v>0</v>
      </c>
      <c r="N42" s="150">
        <v>0</v>
      </c>
      <c r="O42" s="130">
        <v>0</v>
      </c>
      <c r="P42" s="130">
        <v>0</v>
      </c>
      <c r="Q42" s="130">
        <v>0</v>
      </c>
      <c r="R42" s="130">
        <v>0</v>
      </c>
      <c r="S42" s="130">
        <v>0</v>
      </c>
      <c r="T42" s="130">
        <v>0</v>
      </c>
      <c r="U42" s="130">
        <v>0</v>
      </c>
      <c r="V42" s="524">
        <v>0</v>
      </c>
      <c r="W42" s="130">
        <v>0</v>
      </c>
      <c r="X42" s="130">
        <v>0</v>
      </c>
      <c r="Y42" s="130">
        <v>0</v>
      </c>
      <c r="Z42" s="130">
        <v>0</v>
      </c>
      <c r="AA42" s="158" t="s">
        <v>2078</v>
      </c>
      <c r="AB42" s="158"/>
      <c r="AC42" s="158"/>
      <c r="AD42" s="158"/>
      <c r="AE42" s="158" t="b">
        <f>IF(AB42="",TRUE,IF(IF(AC42="",VLOOKUP(AB42,Calculs!$A$19:$S$425,19,FALSE),VLOOKUP(AC42,Calculs!$A$19:$S$425,19,FALSE))&gt;=AD42,TRUE,FALSE))</f>
        <v>1</v>
      </c>
      <c r="AF42" s="158"/>
      <c r="AG42" s="158"/>
      <c r="AH42" s="158"/>
      <c r="AI42" s="158" t="b">
        <f>IF(AF42="",TRUE,IF(IF(AG42="",VLOOKUP(AF42,Calculs!$A$19:$S$425,19,FALSE),VLOOKUP(AG42,Calculs!$A$19:$S$425,19,FALSE))&gt;=AH42,TRUE,FALSE))</f>
        <v>1</v>
      </c>
      <c r="AJ42" s="158"/>
      <c r="AK42" s="158"/>
      <c r="AL42" s="158"/>
      <c r="AM42" s="158" t="b">
        <f>IF(AJ42="",TRUE,IF(IF(AK42="",VLOOKUP(AJ42,Calculs!$A$19:$S$425,19,FALSE),VLOOKUP(AK42,Calculs!$A$19:$S$425,19,FALSE))&gt;=AL42,TRUE,FALSE))</f>
        <v>1</v>
      </c>
      <c r="AN42" s="158"/>
      <c r="AO42" s="158"/>
      <c r="AP42" s="158"/>
      <c r="AQ42" s="158" t="b">
        <f>IF(AN42="",TRUE,IF(IF(AO42="",VLOOKUP(AN42,Calculs!$A$19:$S$425,19,FALSE),VLOOKUP(AO42,Calculs!$A$19:$S$425,19,FALSE))&gt;=AP42,TRUE,FALSE))</f>
        <v>1</v>
      </c>
      <c r="AR42" s="158"/>
      <c r="AS42" s="158" t="b">
        <f>IF(AR42="",TRUE,IF(VLOOKUP(AR42,Calculs!$A$427:$G$738,7,FALSE)&gt;0,TRUE,FALSE))</f>
        <v>1</v>
      </c>
      <c r="AT42" s="158"/>
      <c r="AU42" s="158" t="b">
        <f>IF(AT42="",TRUE,IF(VLOOKUP(AT42,Calculs!$A$740:$G$912,7,FALSE)&gt;0,TRUE,FALSE))</f>
        <v>1</v>
      </c>
      <c r="AV42" s="158" t="b">
        <f t="shared" si="0"/>
        <v>1</v>
      </c>
      <c r="AW42" s="158" t="s">
        <v>2078</v>
      </c>
      <c r="AX42" s="162" t="s">
        <v>3</v>
      </c>
      <c r="AY42" s="15">
        <v>212</v>
      </c>
      <c r="AZ42" s="555" t="str">
        <f>CONCATENATE("Dépensez un PVide et une AS: Tous vos alliés à 5m ajoutent +2g0 à leurs dommages pendant ",Force+Souillure," rounds")</f>
        <v>Dépensez un PVide et une AS: Tous vos alliés à 5m ajoutent +2g0 à leurs dommages pendant 2 rounds</v>
      </c>
      <c r="BA42" s="559">
        <f>IF(Verso!$B$10=Voies!$B42,1,0)</f>
        <v>0</v>
      </c>
      <c r="BB42" s="12">
        <f>IF(Verso!$B$11=Voies!$B42,1,0)</f>
        <v>0</v>
      </c>
      <c r="BC42" s="12">
        <f>IF(Verso!$B$12=Voies!$B42,1,0)</f>
        <v>0</v>
      </c>
      <c r="BD42" s="12">
        <f>IF(Verso!$B$13=Voies!$B42,1,0)</f>
        <v>0</v>
      </c>
      <c r="BE42" s="12">
        <f>IF(Verso!$B$14=Voies!$B42,1,0)</f>
        <v>0</v>
      </c>
      <c r="BF42" s="12">
        <f>IF(Verso!$B$15=Voies!$B42,1,0)</f>
        <v>0</v>
      </c>
      <c r="BG42" s="12">
        <f>IF(Verso!$B$16=Voies!$B42,1,0)</f>
        <v>0</v>
      </c>
      <c r="BH42" s="12">
        <f>IF(Verso!$B$17=Voies!$B42,1,0)</f>
        <v>0</v>
      </c>
      <c r="BI42" s="557">
        <f t="shared" si="1"/>
        <v>0</v>
      </c>
      <c r="BJ42" s="196" t="str">
        <f t="shared" si="2"/>
        <v/>
      </c>
      <c r="BK42" s="196" t="str">
        <f t="shared" si="3"/>
        <v/>
      </c>
      <c r="BL42" s="295" t="str">
        <f t="shared" si="4"/>
        <v/>
      </c>
    </row>
    <row r="43" spans="1:65" s="196" customFormat="1" ht="47.25" customHeight="1" x14ac:dyDescent="0.25">
      <c r="A43" s="162" t="str">
        <f>IF(AND(Réputation&gt;Voies!E43-1,OR(C43=TRUE,Calculs!$I$8&gt;0),Air&gt;Voies!J43-1,Eau&gt;Voies!K43-1,Feu&gt;Voies!L43-1,Terre&gt;Voies!M43-1,Vide&gt;Voies!N43-1,Constitution&gt;Voies!O43-1,Volonté&gt;Voies!P43-1,Force&gt;Voies!Q43-1,Perception&gt;Voies!R43-1,Reflexes&gt;Voies!S43-1,Agilité&gt;Voies!T43-1,Intuition&gt;Voies!U43-1,Intelligence&gt;Voies!V43-1,Souillure&gt;Voies!W43-1,Honneur&gt;X43-1,Statut&gt;Y43-1,Gloire&gt;Z43-1,AV43=TRUE),Voies!B43,"")</f>
        <v/>
      </c>
      <c r="B43" s="162" t="s">
        <v>3802</v>
      </c>
      <c r="C43" s="162" t="b">
        <f>IF(Clan=Voies!D42,TRUE,FALSE)</f>
        <v>0</v>
      </c>
      <c r="D43" s="387" t="s">
        <v>181</v>
      </c>
      <c r="E43" s="199">
        <v>2</v>
      </c>
      <c r="F43" s="199">
        <v>2</v>
      </c>
      <c r="G43" s="199" t="s">
        <v>2049</v>
      </c>
      <c r="H43" s="162" t="s">
        <v>530</v>
      </c>
      <c r="I43" s="129" t="s">
        <v>3801</v>
      </c>
      <c r="J43" s="146">
        <v>0</v>
      </c>
      <c r="K43" s="147">
        <v>0</v>
      </c>
      <c r="L43" s="148">
        <v>0</v>
      </c>
      <c r="M43" s="149">
        <v>0</v>
      </c>
      <c r="N43" s="150">
        <v>0</v>
      </c>
      <c r="O43" s="130">
        <v>0</v>
      </c>
      <c r="P43" s="130">
        <v>0</v>
      </c>
      <c r="Q43" s="130">
        <v>0</v>
      </c>
      <c r="R43" s="130">
        <v>0</v>
      </c>
      <c r="S43" s="130">
        <v>0</v>
      </c>
      <c r="T43" s="130">
        <v>0</v>
      </c>
      <c r="U43" s="130">
        <v>0</v>
      </c>
      <c r="V43" s="524">
        <v>0</v>
      </c>
      <c r="W43" s="130">
        <v>0</v>
      </c>
      <c r="X43" s="130">
        <v>0</v>
      </c>
      <c r="Y43" s="130">
        <v>0</v>
      </c>
      <c r="Z43" s="130">
        <v>0</v>
      </c>
      <c r="AA43" s="159" t="s">
        <v>3151</v>
      </c>
      <c r="AB43" s="159" t="s">
        <v>1282</v>
      </c>
      <c r="AC43" s="159"/>
      <c r="AD43" s="159">
        <v>3</v>
      </c>
      <c r="AE43" s="158" t="b">
        <f>IF(AB43="",TRUE,IF(IF(AC43="",VLOOKUP(AB43,Calculs!$A$19:$S$425,19,FALSE),VLOOKUP(AC43,Calculs!$A$19:$S$425,19,FALSE))&gt;=AD43,TRUE,FALSE))</f>
        <v>0</v>
      </c>
      <c r="AF43" s="159"/>
      <c r="AG43" s="159"/>
      <c r="AH43" s="159"/>
      <c r="AI43" s="158" t="b">
        <f>IF(AF43="",TRUE,IF(IF(AG43="",VLOOKUP(AF43,Calculs!$A$19:$S$425,19,FALSE),VLOOKUP(AG43,Calculs!$A$19:$S$425,19,FALSE))&gt;=AH43,TRUE,FALSE))</f>
        <v>1</v>
      </c>
      <c r="AJ43" s="159"/>
      <c r="AK43" s="159"/>
      <c r="AL43" s="159"/>
      <c r="AM43" s="158" t="b">
        <f>IF(AJ43="",TRUE,IF(IF(AK43="",VLOOKUP(AJ43,Calculs!$A$19:$S$425,19,FALSE),VLOOKUP(AK43,Calculs!$A$19:$S$425,19,FALSE))&gt;=AL43,TRUE,FALSE))</f>
        <v>1</v>
      </c>
      <c r="AN43" s="159"/>
      <c r="AO43" s="159"/>
      <c r="AP43" s="159"/>
      <c r="AQ43" s="158" t="b">
        <f>IF(AN43="",TRUE,IF(IF(AO43="",VLOOKUP(AN43,Calculs!$A$19:$S$425,19,FALSE),VLOOKUP(AO43,Calculs!$A$19:$S$425,19,FALSE))&gt;=AP43,TRUE,FALSE))</f>
        <v>1</v>
      </c>
      <c r="AR43" s="158"/>
      <c r="AS43" s="158" t="b">
        <f>IF(AR43="",TRUE,IF(VLOOKUP(AR43,Calculs!$A$427:$G$738,7,FALSE)&gt;0,TRUE,FALSE))</f>
        <v>1</v>
      </c>
      <c r="AT43" s="158"/>
      <c r="AU43" s="158" t="b">
        <f>IF(AT43="",TRUE,IF(VLOOKUP(AT43,Calculs!$A$740:$G$912,7,FALSE)&gt;0,TRUE,FALSE))</f>
        <v>1</v>
      </c>
      <c r="AV43" s="158" t="b">
        <f t="shared" si="0"/>
        <v>0</v>
      </c>
      <c r="AW43" s="158" t="s">
        <v>2078</v>
      </c>
      <c r="AX43" s="162" t="s">
        <v>2087</v>
      </c>
      <c r="AY43" s="15">
        <v>92</v>
      </c>
      <c r="AZ43" s="555" t="s">
        <v>8476</v>
      </c>
      <c r="BA43" s="559">
        <f>IF(Verso!$B$10=Voies!$B43,1,0)</f>
        <v>0</v>
      </c>
      <c r="BB43" s="12">
        <f>IF(Verso!$B$11=Voies!$B43,1,0)</f>
        <v>0</v>
      </c>
      <c r="BC43" s="12">
        <f>IF(Verso!$B$12=Voies!$B43,1,0)</f>
        <v>0</v>
      </c>
      <c r="BD43" s="12">
        <f>IF(Verso!$B$13=Voies!$B43,1,0)</f>
        <v>0</v>
      </c>
      <c r="BE43" s="12">
        <f>IF(Verso!$B$14=Voies!$B43,1,0)</f>
        <v>0</v>
      </c>
      <c r="BF43" s="12">
        <f>IF(Verso!$B$15=Voies!$B43,1,0)</f>
        <v>0</v>
      </c>
      <c r="BG43" s="12">
        <f>IF(Verso!$B$16=Voies!$B43,1,0)</f>
        <v>0</v>
      </c>
      <c r="BH43" s="12">
        <f>IF(Verso!$B$17=Voies!$B43,1,0)</f>
        <v>0</v>
      </c>
      <c r="BI43" s="557">
        <f t="shared" si="1"/>
        <v>0</v>
      </c>
      <c r="BJ43" s="196" t="str">
        <f t="shared" si="2"/>
        <v/>
      </c>
      <c r="BK43" s="196" t="str">
        <f t="shared" si="3"/>
        <v/>
      </c>
      <c r="BL43" s="295" t="str">
        <f t="shared" si="4"/>
        <v/>
      </c>
      <c r="BM43" s="91"/>
    </row>
    <row r="44" spans="1:65" ht="47.25" customHeight="1" x14ac:dyDescent="0.25">
      <c r="A44" s="162" t="str">
        <f>IF(AND(Réputation&gt;Voies!E44-1,OR(C44=TRUE,Calculs!$I$8&gt;0),Air&gt;Voies!J44-1,Eau&gt;Voies!K44-1,Feu&gt;Voies!L44-1,Terre&gt;Voies!M44-1,Vide&gt;Voies!N44-1,Constitution&gt;Voies!O44-1,Volonté&gt;Voies!P44-1,Force&gt;Voies!Q44-1,Perception&gt;Voies!R44-1,Reflexes&gt;Voies!S44-1,Agilité&gt;Voies!T44-1,Intuition&gt;Voies!U44-1,Intelligence&gt;Voies!V44-1,Souillure&gt;Voies!W44-1,Honneur&gt;X44-1,Statut&gt;Y44-1,Gloire&gt;Z44-1,AV44=TRUE),Voies!B44,"")</f>
        <v/>
      </c>
      <c r="B44" s="162" t="s">
        <v>8069</v>
      </c>
      <c r="C44" s="162" t="b">
        <f>IF(Clan=Voies!D43,TRUE,FALSE)</f>
        <v>0</v>
      </c>
      <c r="D44" s="387" t="s">
        <v>181</v>
      </c>
      <c r="E44" s="13">
        <v>2</v>
      </c>
      <c r="F44" s="199">
        <v>2</v>
      </c>
      <c r="G44" s="13" t="s">
        <v>2049</v>
      </c>
      <c r="H44" s="162" t="s">
        <v>8064</v>
      </c>
      <c r="I44" s="129" t="str">
        <f>IF(B44="","","Rien")</f>
        <v>Rien</v>
      </c>
      <c r="J44" s="146">
        <v>0</v>
      </c>
      <c r="K44" s="147">
        <v>0</v>
      </c>
      <c r="L44" s="148">
        <v>0</v>
      </c>
      <c r="M44" s="149">
        <v>0</v>
      </c>
      <c r="N44" s="150">
        <v>0</v>
      </c>
      <c r="O44" s="130">
        <v>0</v>
      </c>
      <c r="P44" s="130">
        <v>0</v>
      </c>
      <c r="Q44" s="130">
        <v>0</v>
      </c>
      <c r="R44" s="130">
        <v>0</v>
      </c>
      <c r="S44" s="130">
        <v>0</v>
      </c>
      <c r="T44" s="130">
        <v>0</v>
      </c>
      <c r="U44" s="130">
        <v>0</v>
      </c>
      <c r="V44" s="524">
        <v>0</v>
      </c>
      <c r="W44" s="130">
        <v>0</v>
      </c>
      <c r="X44" s="130">
        <v>0</v>
      </c>
      <c r="Y44" s="130">
        <v>0</v>
      </c>
      <c r="Z44" s="130">
        <v>0</v>
      </c>
      <c r="AA44" s="158" t="s">
        <v>2078</v>
      </c>
      <c r="AB44" s="158"/>
      <c r="AC44" s="158"/>
      <c r="AD44" s="158"/>
      <c r="AE44" s="158" t="b">
        <f>IF(AB44="",TRUE,IF(IF(AC44="",VLOOKUP(AB44,Calculs!$A$19:$S$425,19,FALSE),VLOOKUP(AC44,Calculs!$A$19:$S$425,19,FALSE))&gt;=AD44,TRUE,FALSE))</f>
        <v>1</v>
      </c>
      <c r="AF44" s="158"/>
      <c r="AG44" s="158"/>
      <c r="AH44" s="158"/>
      <c r="AI44" s="158" t="b">
        <f>IF(AF44="",TRUE,IF(IF(AG44="",VLOOKUP(AF44,Calculs!$A$19:$S$425,19,FALSE),VLOOKUP(AG44,Calculs!$A$19:$S$425,19,FALSE))&gt;=AH44,TRUE,FALSE))</f>
        <v>1</v>
      </c>
      <c r="AJ44" s="158"/>
      <c r="AK44" s="158"/>
      <c r="AL44" s="158"/>
      <c r="AM44" s="158" t="b">
        <f>IF(AJ44="",TRUE,IF(IF(AK44="",VLOOKUP(AJ44,Calculs!$A$19:$S$425,19,FALSE),VLOOKUP(AK44,Calculs!$A$19:$S$425,19,FALSE))&gt;=AL44,TRUE,FALSE))</f>
        <v>1</v>
      </c>
      <c r="AN44" s="158"/>
      <c r="AO44" s="158"/>
      <c r="AP44" s="158"/>
      <c r="AQ44" s="158" t="b">
        <f>IF(AN44="",TRUE,IF(IF(AO44="",VLOOKUP(AN44,Calculs!$A$19:$S$425,19,FALSE),VLOOKUP(AO44,Calculs!$A$19:$S$425,19,FALSE))&gt;=AP44,TRUE,FALSE))</f>
        <v>1</v>
      </c>
      <c r="AR44" s="158"/>
      <c r="AS44" s="158" t="b">
        <f>IF(AR44="",TRUE,IF(VLOOKUP(AR44,Calculs!$A$427:$G$738,7,FALSE)&gt;0,TRUE,FALSE))</f>
        <v>1</v>
      </c>
      <c r="AT44" s="158"/>
      <c r="AU44" s="158" t="b">
        <f>IF(AT44="",TRUE,IF(VLOOKUP(AT44,Calculs!$A$740:$G$912,7,FALSE)&gt;0,TRUE,FALSE))</f>
        <v>1</v>
      </c>
      <c r="AV44" s="158" t="b">
        <f t="shared" si="0"/>
        <v>1</v>
      </c>
      <c r="AW44" s="158" t="s">
        <v>2078</v>
      </c>
      <c r="AX44" s="162" t="s">
        <v>8065</v>
      </c>
      <c r="AY44" s="522" t="s">
        <v>2078</v>
      </c>
      <c r="AZ44" s="555" t="str">
        <f>CONCATENATE("Vous pouvez déclarer jusqu'à ",IF(Souillure&gt;Vide,Souillure,Vide)," Augmentations maximum pour porter une attaque (le plus haut des deux entre votre Anneau de Vide et votre rang de Souillure.)")</f>
        <v>Vous pouvez déclarer jusqu'à 2 Augmentations maximum pour porter une attaque (le plus haut des deux entre votre Anneau de Vide et votre rang de Souillure.)</v>
      </c>
      <c r="BA44" s="559">
        <f>IF(Verso!$B$10=Voies!$B44,1,0)</f>
        <v>0</v>
      </c>
      <c r="BB44" s="12">
        <f>IF(Verso!$B$11=Voies!$B44,1,0)</f>
        <v>0</v>
      </c>
      <c r="BC44" s="12">
        <f>IF(Verso!$B$12=Voies!$B44,1,0)</f>
        <v>0</v>
      </c>
      <c r="BD44" s="12">
        <f>IF(Verso!$B$13=Voies!$B44,1,0)</f>
        <v>0</v>
      </c>
      <c r="BE44" s="12">
        <f>IF(Verso!$B$14=Voies!$B44,1,0)</f>
        <v>0</v>
      </c>
      <c r="BF44" s="12">
        <f>IF(Verso!$B$15=Voies!$B44,1,0)</f>
        <v>0</v>
      </c>
      <c r="BG44" s="12">
        <f>IF(Verso!$B$16=Voies!$B44,1,0)</f>
        <v>0</v>
      </c>
      <c r="BH44" s="12">
        <f>IF(Verso!$B$17=Voies!$B44,1,0)</f>
        <v>0</v>
      </c>
      <c r="BI44" s="557">
        <f t="shared" si="1"/>
        <v>0</v>
      </c>
      <c r="BJ44" s="196" t="str">
        <f t="shared" si="2"/>
        <v/>
      </c>
      <c r="BK44" s="196" t="str">
        <f t="shared" si="3"/>
        <v/>
      </c>
      <c r="BL44" s="295" t="str">
        <f t="shared" si="4"/>
        <v/>
      </c>
    </row>
    <row r="45" spans="1:65" ht="47.25" customHeight="1" x14ac:dyDescent="0.25">
      <c r="A45" s="162" t="str">
        <f>IF(AND(Réputation&gt;Voies!E45-1,OR(C45=TRUE,Calculs!$I$8&gt;0),Air&gt;Voies!J45-1,Eau&gt;Voies!K45-1,Feu&gt;Voies!L45-1,Terre&gt;Voies!M45-1,Vide&gt;Voies!N45-1,Constitution&gt;Voies!O45-1,Volonté&gt;Voies!P45-1,Force&gt;Voies!Q45-1,Perception&gt;Voies!R45-1,Reflexes&gt;Voies!S45-1,Agilité&gt;Voies!T45-1,Intuition&gt;Voies!U45-1,Intelligence&gt;Voies!V45-1,Souillure&gt;Voies!W45-1,Honneur&gt;X45-1,Statut&gt;Y45-1,Gloire&gt;Z45-1,AV45=TRUE),Voies!B45,"")</f>
        <v/>
      </c>
      <c r="B45" s="162" t="s">
        <v>2111</v>
      </c>
      <c r="C45" s="162" t="b">
        <f>IF(Clan=Voies!D44,TRUE,FALSE)</f>
        <v>0</v>
      </c>
      <c r="D45" s="387" t="s">
        <v>181</v>
      </c>
      <c r="E45" s="13">
        <v>2</v>
      </c>
      <c r="F45" s="199">
        <v>2</v>
      </c>
      <c r="G45" s="13" t="s">
        <v>2052</v>
      </c>
      <c r="H45" s="162" t="s">
        <v>247</v>
      </c>
      <c r="I45" s="129" t="str">
        <f>IF(B45="","","Rien")</f>
        <v>Rien</v>
      </c>
      <c r="J45" s="146">
        <v>0</v>
      </c>
      <c r="K45" s="147">
        <v>0</v>
      </c>
      <c r="L45" s="148">
        <v>0</v>
      </c>
      <c r="M45" s="149">
        <v>0</v>
      </c>
      <c r="N45" s="150">
        <v>0</v>
      </c>
      <c r="O45" s="130">
        <v>0</v>
      </c>
      <c r="P45" s="130">
        <v>0</v>
      </c>
      <c r="Q45" s="130">
        <v>0</v>
      </c>
      <c r="R45" s="130">
        <v>0</v>
      </c>
      <c r="S45" s="130">
        <v>0</v>
      </c>
      <c r="T45" s="130">
        <v>0</v>
      </c>
      <c r="U45" s="130">
        <v>0</v>
      </c>
      <c r="V45" s="524">
        <v>0</v>
      </c>
      <c r="W45" s="130">
        <v>0</v>
      </c>
      <c r="X45" s="130">
        <v>0</v>
      </c>
      <c r="Y45" s="130">
        <v>0</v>
      </c>
      <c r="Z45" s="130">
        <v>0</v>
      </c>
      <c r="AA45" s="158" t="s">
        <v>2078</v>
      </c>
      <c r="AB45" s="158"/>
      <c r="AC45" s="158"/>
      <c r="AD45" s="158"/>
      <c r="AE45" s="158" t="b">
        <f>IF(AB45="",TRUE,IF(IF(AC45="",VLOOKUP(AB45,Calculs!$A$19:$S$425,19,FALSE),VLOOKUP(AC45,Calculs!$A$19:$S$425,19,FALSE))&gt;=AD45,TRUE,FALSE))</f>
        <v>1</v>
      </c>
      <c r="AF45" s="158"/>
      <c r="AG45" s="158"/>
      <c r="AH45" s="158"/>
      <c r="AI45" s="158" t="b">
        <f>IF(AF45="",TRUE,IF(IF(AG45="",VLOOKUP(AF45,Calculs!$A$19:$S$425,19,FALSE),VLOOKUP(AG45,Calculs!$A$19:$S$425,19,FALSE))&gt;=AH45,TRUE,FALSE))</f>
        <v>1</v>
      </c>
      <c r="AJ45" s="158"/>
      <c r="AK45" s="158"/>
      <c r="AL45" s="158"/>
      <c r="AM45" s="158" t="b">
        <f>IF(AJ45="",TRUE,IF(IF(AK45="",VLOOKUP(AJ45,Calculs!$A$19:$S$425,19,FALSE),VLOOKUP(AK45,Calculs!$A$19:$S$425,19,FALSE))&gt;=AL45,TRUE,FALSE))</f>
        <v>1</v>
      </c>
      <c r="AN45" s="158"/>
      <c r="AO45" s="158"/>
      <c r="AP45" s="158"/>
      <c r="AQ45" s="158" t="b">
        <f>IF(AN45="",TRUE,IF(IF(AO45="",VLOOKUP(AN45,Calculs!$A$19:$S$425,19,FALSE),VLOOKUP(AO45,Calculs!$A$19:$S$425,19,FALSE))&gt;=AP45,TRUE,FALSE))</f>
        <v>1</v>
      </c>
      <c r="AR45" s="158"/>
      <c r="AS45" s="158" t="b">
        <f>IF(AR45="",TRUE,IF(VLOOKUP(AR45,Calculs!$A$427:$G$738,7,FALSE)&gt;0,TRUE,FALSE))</f>
        <v>1</v>
      </c>
      <c r="AT45" s="158"/>
      <c r="AU45" s="158" t="b">
        <f>IF(AT45="",TRUE,IF(VLOOKUP(AT45,Calculs!$A$740:$G$912,7,FALSE)&gt;0,TRUE,FALSE))</f>
        <v>1</v>
      </c>
      <c r="AV45" s="158" t="b">
        <f t="shared" si="0"/>
        <v>1</v>
      </c>
      <c r="AW45" s="158" t="s">
        <v>2078</v>
      </c>
      <c r="AX45" s="162" t="s">
        <v>3</v>
      </c>
      <c r="AY45" s="15">
        <v>213</v>
      </c>
      <c r="AZ45" s="555" t="s">
        <v>2113</v>
      </c>
      <c r="BA45" s="559">
        <f>IF(Verso!$B$10=Voies!$B45,1,0)</f>
        <v>0</v>
      </c>
      <c r="BB45" s="12">
        <f>IF(Verso!$B$11=Voies!$B45,1,0)</f>
        <v>0</v>
      </c>
      <c r="BC45" s="12">
        <f>IF(Verso!$B$12=Voies!$B45,1,0)</f>
        <v>0</v>
      </c>
      <c r="BD45" s="12">
        <f>IF(Verso!$B$13=Voies!$B45,1,0)</f>
        <v>0</v>
      </c>
      <c r="BE45" s="12">
        <f>IF(Verso!$B$14=Voies!$B45,1,0)</f>
        <v>0</v>
      </c>
      <c r="BF45" s="12">
        <f>IF(Verso!$B$15=Voies!$B45,1,0)</f>
        <v>0</v>
      </c>
      <c r="BG45" s="12">
        <f>IF(Verso!$B$16=Voies!$B45,1,0)</f>
        <v>0</v>
      </c>
      <c r="BH45" s="12">
        <f>IF(Verso!$B$17=Voies!$B45,1,0)</f>
        <v>0</v>
      </c>
      <c r="BI45" s="557">
        <f t="shared" si="1"/>
        <v>0</v>
      </c>
      <c r="BJ45" s="196" t="str">
        <f t="shared" si="2"/>
        <v/>
      </c>
      <c r="BK45" s="196" t="str">
        <f t="shared" si="3"/>
        <v/>
      </c>
      <c r="BL45" s="295" t="str">
        <f t="shared" si="4"/>
        <v/>
      </c>
    </row>
    <row r="46" spans="1:65" ht="47.25" customHeight="1" x14ac:dyDescent="0.25">
      <c r="A46" s="162" t="str">
        <f>IF(AND(Réputation&gt;Voies!E46-1,OR(C46=TRUE,Calculs!$I$8&gt;0),Air&gt;Voies!J46-1,Eau&gt;Voies!K46-1,Feu&gt;Voies!L46-1,Terre&gt;Voies!M46-1,Vide&gt;Voies!N46-1,Constitution&gt;Voies!O46-1,Volonté&gt;Voies!P46-1,Force&gt;Voies!Q46-1,Perception&gt;Voies!R46-1,Reflexes&gt;Voies!S46-1,Agilité&gt;Voies!T46-1,Intuition&gt;Voies!U46-1,Intelligence&gt;Voies!V46-1,Souillure&gt;Voies!W46-1,Honneur&gt;X46-1,Statut&gt;Y46-1,Gloire&gt;Z46-1,AV46=TRUE),Voies!B46,"")</f>
        <v/>
      </c>
      <c r="B46" s="162" t="s">
        <v>2120</v>
      </c>
      <c r="C46" s="162" t="b">
        <f>IF(Clan=Voies!D45,TRUE,FALSE)</f>
        <v>0</v>
      </c>
      <c r="D46" s="387" t="s">
        <v>181</v>
      </c>
      <c r="E46" s="13">
        <v>2</v>
      </c>
      <c r="F46" s="199">
        <v>2</v>
      </c>
      <c r="G46" s="13" t="s">
        <v>2050</v>
      </c>
      <c r="H46" s="162" t="s">
        <v>1934</v>
      </c>
      <c r="I46" s="129" t="str">
        <f>IF(B46="","","Rien")</f>
        <v>Rien</v>
      </c>
      <c r="J46" s="146">
        <v>0</v>
      </c>
      <c r="K46" s="147">
        <v>0</v>
      </c>
      <c r="L46" s="148">
        <v>0</v>
      </c>
      <c r="M46" s="149">
        <v>0</v>
      </c>
      <c r="N46" s="150">
        <v>0</v>
      </c>
      <c r="O46" s="130">
        <v>0</v>
      </c>
      <c r="P46" s="130">
        <v>0</v>
      </c>
      <c r="Q46" s="130">
        <v>0</v>
      </c>
      <c r="R46" s="130">
        <v>0</v>
      </c>
      <c r="S46" s="130">
        <v>0</v>
      </c>
      <c r="T46" s="130">
        <v>0</v>
      </c>
      <c r="U46" s="130">
        <v>0</v>
      </c>
      <c r="V46" s="524">
        <v>0</v>
      </c>
      <c r="W46" s="130">
        <v>0</v>
      </c>
      <c r="X46" s="130">
        <v>0</v>
      </c>
      <c r="Y46" s="130">
        <v>0</v>
      </c>
      <c r="Z46" s="130">
        <v>0</v>
      </c>
      <c r="AA46" s="158" t="s">
        <v>2078</v>
      </c>
      <c r="AB46" s="158"/>
      <c r="AC46" s="158"/>
      <c r="AD46" s="158"/>
      <c r="AE46" s="158" t="b">
        <f>IF(AB46="",TRUE,IF(IF(AC46="",VLOOKUP(AB46,Calculs!$A$19:$S$425,19,FALSE),VLOOKUP(AC46,Calculs!$A$19:$S$425,19,FALSE))&gt;=AD46,TRUE,FALSE))</f>
        <v>1</v>
      </c>
      <c r="AF46" s="158"/>
      <c r="AG46" s="158"/>
      <c r="AH46" s="158"/>
      <c r="AI46" s="158" t="b">
        <f>IF(AF46="",TRUE,IF(IF(AG46="",VLOOKUP(AF46,Calculs!$A$19:$S$425,19,FALSE),VLOOKUP(AG46,Calculs!$A$19:$S$425,19,FALSE))&gt;=AH46,TRUE,FALSE))</f>
        <v>1</v>
      </c>
      <c r="AJ46" s="158"/>
      <c r="AK46" s="158"/>
      <c r="AL46" s="158"/>
      <c r="AM46" s="158" t="b">
        <f>IF(AJ46="",TRUE,IF(IF(AK46="",VLOOKUP(AJ46,Calculs!$A$19:$S$425,19,FALSE),VLOOKUP(AK46,Calculs!$A$19:$S$425,19,FALSE))&gt;=AL46,TRUE,FALSE))</f>
        <v>1</v>
      </c>
      <c r="AN46" s="158"/>
      <c r="AO46" s="158"/>
      <c r="AP46" s="158"/>
      <c r="AQ46" s="158" t="b">
        <f>IF(AN46="",TRUE,IF(IF(AO46="",VLOOKUP(AN46,Calculs!$A$19:$S$425,19,FALSE),VLOOKUP(AO46,Calculs!$A$19:$S$425,19,FALSE))&gt;=AP46,TRUE,FALSE))</f>
        <v>1</v>
      </c>
      <c r="AR46" s="158"/>
      <c r="AS46" s="158" t="b">
        <f>IF(AR46="",TRUE,IF(VLOOKUP(AR46,Calculs!$A$427:$G$738,7,FALSE)&gt;0,TRUE,FALSE))</f>
        <v>1</v>
      </c>
      <c r="AT46" s="158"/>
      <c r="AU46" s="158" t="b">
        <f>IF(AT46="",TRUE,IF(VLOOKUP(AT46,Calculs!$A$740:$G$912,7,FALSE)&gt;0,TRUE,FALSE))</f>
        <v>1</v>
      </c>
      <c r="AV46" s="158" t="b">
        <f t="shared" si="0"/>
        <v>1</v>
      </c>
      <c r="AW46" s="158" t="s">
        <v>2078</v>
      </c>
      <c r="AX46" s="162" t="s">
        <v>3</v>
      </c>
      <c r="AY46" s="15">
        <v>215</v>
      </c>
      <c r="AZ46" s="555" t="str">
        <f>CONCATENATE("Vous gagnez une Réduction égale à l'Anneau de votre choix (sauf Vide) +",Souillure)</f>
        <v>Vous gagnez une Réduction égale à l'Anneau de votre choix (sauf Vide) +0</v>
      </c>
      <c r="BA46" s="559">
        <f>IF(Verso!$B$10=Voies!$B46,1,0)</f>
        <v>0</v>
      </c>
      <c r="BB46" s="12">
        <f>IF(Verso!$B$11=Voies!$B46,1,0)</f>
        <v>0</v>
      </c>
      <c r="BC46" s="12">
        <f>IF(Verso!$B$12=Voies!$B46,1,0)</f>
        <v>0</v>
      </c>
      <c r="BD46" s="12">
        <f>IF(Verso!$B$13=Voies!$B46,1,0)</f>
        <v>0</v>
      </c>
      <c r="BE46" s="12">
        <f>IF(Verso!$B$14=Voies!$B46,1,0)</f>
        <v>0</v>
      </c>
      <c r="BF46" s="12">
        <f>IF(Verso!$B$15=Voies!$B46,1,0)</f>
        <v>0</v>
      </c>
      <c r="BG46" s="12">
        <f>IF(Verso!$B$16=Voies!$B46,1,0)</f>
        <v>0</v>
      </c>
      <c r="BH46" s="12">
        <f>IF(Verso!$B$17=Voies!$B46,1,0)</f>
        <v>0</v>
      </c>
      <c r="BI46" s="557">
        <f t="shared" si="1"/>
        <v>0</v>
      </c>
      <c r="BJ46" s="196" t="str">
        <f t="shared" si="2"/>
        <v/>
      </c>
      <c r="BK46" s="196" t="str">
        <f t="shared" si="3"/>
        <v/>
      </c>
      <c r="BL46" s="295" t="str">
        <f t="shared" si="4"/>
        <v/>
      </c>
    </row>
    <row r="47" spans="1:65" ht="47.25" customHeight="1" x14ac:dyDescent="0.25">
      <c r="A47" s="162" t="str">
        <f>IF(AND(Réputation&gt;Voies!E47-1,OR(C47=TRUE,Calculs!$I$8&gt;0),Air&gt;Voies!J47-1,Eau&gt;Voies!K47-1,Feu&gt;Voies!L47-1,Terre&gt;Voies!M47-1,Vide&gt;Voies!N47-1,Constitution&gt;Voies!O47-1,Volonté&gt;Voies!P47-1,Force&gt;Voies!Q47-1,Perception&gt;Voies!R47-1,Reflexes&gt;Voies!S47-1,Agilité&gt;Voies!T47-1,Intuition&gt;Voies!U47-1,Intelligence&gt;Voies!V47-1,Souillure&gt;Voies!W47-1,Honneur&gt;X47-1,Statut&gt;Y47-1,Gloire&gt;Z47-1,AV47=TRUE),Voies!B47,"")</f>
        <v/>
      </c>
      <c r="B47" s="162" t="s">
        <v>3803</v>
      </c>
      <c r="C47" s="162" t="b">
        <f>IF(Clan=Voies!D46,TRUE,FALSE)</f>
        <v>0</v>
      </c>
      <c r="D47" s="387" t="s">
        <v>181</v>
      </c>
      <c r="E47" s="13">
        <v>2</v>
      </c>
      <c r="F47" s="199">
        <v>2</v>
      </c>
      <c r="G47" s="13" t="s">
        <v>2050</v>
      </c>
      <c r="H47" s="162" t="s">
        <v>531</v>
      </c>
      <c r="I47" s="129" t="s">
        <v>3804</v>
      </c>
      <c r="J47" s="146">
        <v>0</v>
      </c>
      <c r="K47" s="147">
        <v>0</v>
      </c>
      <c r="L47" s="148">
        <v>0</v>
      </c>
      <c r="M47" s="149">
        <v>0</v>
      </c>
      <c r="N47" s="150">
        <v>0</v>
      </c>
      <c r="O47" s="130">
        <v>0</v>
      </c>
      <c r="P47" s="130">
        <v>0</v>
      </c>
      <c r="Q47" s="130">
        <v>0</v>
      </c>
      <c r="R47" s="130">
        <v>0</v>
      </c>
      <c r="S47" s="130">
        <v>0</v>
      </c>
      <c r="T47" s="130">
        <v>0</v>
      </c>
      <c r="U47" s="130">
        <v>0</v>
      </c>
      <c r="V47" s="524">
        <v>0</v>
      </c>
      <c r="W47" s="130">
        <v>0</v>
      </c>
      <c r="X47" s="130">
        <v>0</v>
      </c>
      <c r="Y47" s="130">
        <v>0</v>
      </c>
      <c r="Z47" s="130">
        <v>0</v>
      </c>
      <c r="AA47" s="159" t="s">
        <v>3805</v>
      </c>
      <c r="AB47" s="159" t="s">
        <v>3214</v>
      </c>
      <c r="AD47" s="159">
        <v>3</v>
      </c>
      <c r="AE47" s="158" t="b">
        <f>IF(AB47="",TRUE,IF(IF(AC47="",VLOOKUP(AB47,Calculs!$A$19:$S$425,19,FALSE),VLOOKUP(AC47,Calculs!$A$19:$S$425,19,FALSE))&gt;=AD47,TRUE,FALSE))</f>
        <v>0</v>
      </c>
      <c r="AI47" s="158" t="b">
        <f>IF(AF47="",TRUE,IF(IF(AG47="",VLOOKUP(AF47,Calculs!$A$19:$S$425,19,FALSE),VLOOKUP(AG47,Calculs!$A$19:$S$425,19,FALSE))&gt;=AH47,TRUE,FALSE))</f>
        <v>1</v>
      </c>
      <c r="AM47" s="158" t="b">
        <f>IF(AJ47="",TRUE,IF(IF(AK47="",VLOOKUP(AJ47,Calculs!$A$19:$S$425,19,FALSE),VLOOKUP(AK47,Calculs!$A$19:$S$425,19,FALSE))&gt;=AL47,TRUE,FALSE))</f>
        <v>1</v>
      </c>
      <c r="AQ47" s="158" t="b">
        <f>IF(AN47="",TRUE,IF(IF(AO47="",VLOOKUP(AN47,Calculs!$A$19:$S$425,19,FALSE),VLOOKUP(AO47,Calculs!$A$19:$S$425,19,FALSE))&gt;=AP47,TRUE,FALSE))</f>
        <v>1</v>
      </c>
      <c r="AR47" s="158"/>
      <c r="AS47" s="158" t="b">
        <f>IF(AR47="",TRUE,IF(VLOOKUP(AR47,Calculs!$A$427:$G$738,7,FALSE)&gt;0,TRUE,FALSE))</f>
        <v>1</v>
      </c>
      <c r="AT47" s="158"/>
      <c r="AU47" s="158" t="b">
        <f>IF(AT47="",TRUE,IF(VLOOKUP(AT47,Calculs!$A$740:$G$912,7,FALSE)&gt;0,TRUE,FALSE))</f>
        <v>1</v>
      </c>
      <c r="AV47" s="158" t="b">
        <f t="shared" si="0"/>
        <v>0</v>
      </c>
      <c r="AW47" s="158" t="s">
        <v>2078</v>
      </c>
      <c r="AX47" s="162" t="s">
        <v>2087</v>
      </c>
      <c r="AY47" s="15">
        <v>93</v>
      </c>
      <c r="AZ47" s="555" t="s">
        <v>3806</v>
      </c>
      <c r="BA47" s="559">
        <f>IF(Verso!$B$10=Voies!$B47,1,0)</f>
        <v>0</v>
      </c>
      <c r="BB47" s="12">
        <f>IF(Verso!$B$11=Voies!$B47,1,0)</f>
        <v>0</v>
      </c>
      <c r="BC47" s="12">
        <f>IF(Verso!$B$12=Voies!$B47,1,0)</f>
        <v>0</v>
      </c>
      <c r="BD47" s="12">
        <f>IF(Verso!$B$13=Voies!$B47,1,0)</f>
        <v>0</v>
      </c>
      <c r="BE47" s="12">
        <f>IF(Verso!$B$14=Voies!$B47,1,0)</f>
        <v>0</v>
      </c>
      <c r="BF47" s="12">
        <f>IF(Verso!$B$15=Voies!$B47,1,0)</f>
        <v>0</v>
      </c>
      <c r="BG47" s="12">
        <f>IF(Verso!$B$16=Voies!$B47,1,0)</f>
        <v>0</v>
      </c>
      <c r="BH47" s="12">
        <f>IF(Verso!$B$17=Voies!$B47,1,0)</f>
        <v>0</v>
      </c>
      <c r="BI47" s="557">
        <f t="shared" si="1"/>
        <v>0</v>
      </c>
      <c r="BJ47" s="196" t="str">
        <f t="shared" si="2"/>
        <v/>
      </c>
      <c r="BK47" s="196" t="str">
        <f t="shared" si="3"/>
        <v/>
      </c>
      <c r="BL47" s="295" t="str">
        <f t="shared" si="4"/>
        <v/>
      </c>
    </row>
    <row r="48" spans="1:65" s="196" customFormat="1" ht="47.25" customHeight="1" x14ac:dyDescent="0.25">
      <c r="A48" s="162" t="str">
        <f>IF(AND(Réputation&gt;Voies!E48-1,OR(C48=TRUE,Calculs!$I$8&gt;0),Air&gt;Voies!J48-1,Eau&gt;Voies!K48-1,Feu&gt;Voies!L48-1,Terre&gt;Voies!M48-1,Vide&gt;Voies!N48-1,Constitution&gt;Voies!O48-1,Volonté&gt;Voies!P48-1,Force&gt;Voies!Q48-1,Perception&gt;Voies!R48-1,Reflexes&gt;Voies!S48-1,Agilité&gt;Voies!T48-1,Intuition&gt;Voies!U48-1,Intelligence&gt;Voies!V48-1,Souillure&gt;Voies!W48-1,Honneur&gt;X48-1,Statut&gt;Y48-1,Gloire&gt;Z48-1,AV48=TRUE),Voies!B48,"")</f>
        <v/>
      </c>
      <c r="B48" s="162" t="s">
        <v>2106</v>
      </c>
      <c r="C48" s="162" t="b">
        <f>IF(Clan=Voies!D47,TRUE,FALSE)</f>
        <v>0</v>
      </c>
      <c r="D48" s="387" t="s">
        <v>181</v>
      </c>
      <c r="E48" s="199">
        <v>3</v>
      </c>
      <c r="F48" s="199">
        <v>3</v>
      </c>
      <c r="G48" s="199" t="s">
        <v>2049</v>
      </c>
      <c r="H48" s="162" t="s">
        <v>246</v>
      </c>
      <c r="I48" s="129" t="str">
        <f>IF(B48="","","Rien")</f>
        <v>Rien</v>
      </c>
      <c r="J48" s="146">
        <v>0</v>
      </c>
      <c r="K48" s="147">
        <v>0</v>
      </c>
      <c r="L48" s="148">
        <v>0</v>
      </c>
      <c r="M48" s="149">
        <v>0</v>
      </c>
      <c r="N48" s="150">
        <v>0</v>
      </c>
      <c r="O48" s="130">
        <v>0</v>
      </c>
      <c r="P48" s="130">
        <v>0</v>
      </c>
      <c r="Q48" s="130">
        <v>0</v>
      </c>
      <c r="R48" s="130">
        <v>0</v>
      </c>
      <c r="S48" s="130">
        <v>0</v>
      </c>
      <c r="T48" s="130">
        <v>0</v>
      </c>
      <c r="U48" s="130">
        <v>0</v>
      </c>
      <c r="V48" s="524">
        <v>0</v>
      </c>
      <c r="W48" s="130">
        <v>0</v>
      </c>
      <c r="X48" s="130">
        <v>0</v>
      </c>
      <c r="Y48" s="130">
        <v>0</v>
      </c>
      <c r="Z48" s="130">
        <v>0</v>
      </c>
      <c r="AA48" s="158" t="s">
        <v>2078</v>
      </c>
      <c r="AB48" s="158"/>
      <c r="AC48" s="158"/>
      <c r="AD48" s="158"/>
      <c r="AE48" s="158" t="b">
        <f>IF(AB48="",TRUE,IF(IF(AC48="",VLOOKUP(AB48,Calculs!$A$19:$S$425,19,FALSE),VLOOKUP(AC48,Calculs!$A$19:$S$425,19,FALSE))&gt;=AD48,TRUE,FALSE))</f>
        <v>1</v>
      </c>
      <c r="AF48" s="158"/>
      <c r="AG48" s="158"/>
      <c r="AH48" s="158"/>
      <c r="AI48" s="158" t="b">
        <f>IF(AF48="",TRUE,IF(IF(AG48="",VLOOKUP(AF48,Calculs!$A$19:$S$425,19,FALSE),VLOOKUP(AG48,Calculs!$A$19:$S$425,19,FALSE))&gt;=AH48,TRUE,FALSE))</f>
        <v>1</v>
      </c>
      <c r="AJ48" s="158"/>
      <c r="AK48" s="158"/>
      <c r="AL48" s="158"/>
      <c r="AM48" s="158" t="b">
        <f>IF(AJ48="",TRUE,IF(IF(AK48="",VLOOKUP(AJ48,Calculs!$A$19:$S$425,19,FALSE),VLOOKUP(AK48,Calculs!$A$19:$S$425,19,FALSE))&gt;=AL48,TRUE,FALSE))</f>
        <v>1</v>
      </c>
      <c r="AN48" s="158"/>
      <c r="AO48" s="158"/>
      <c r="AP48" s="158"/>
      <c r="AQ48" s="158" t="b">
        <f>IF(AN48="",TRUE,IF(IF(AO48="",VLOOKUP(AN48,Calculs!$A$19:$S$425,19,FALSE),VLOOKUP(AO48,Calculs!$A$19:$S$425,19,FALSE))&gt;=AP48,TRUE,FALSE))</f>
        <v>1</v>
      </c>
      <c r="AR48" s="158"/>
      <c r="AS48" s="158" t="b">
        <f>IF(AR48="",TRUE,IF(VLOOKUP(AR48,Calculs!$A$427:$G$738,7,FALSE)&gt;0,TRUE,FALSE))</f>
        <v>1</v>
      </c>
      <c r="AT48" s="158"/>
      <c r="AU48" s="158" t="b">
        <f>IF(AT48="",TRUE,IF(VLOOKUP(AT48,Calculs!$A$740:$G$912,7,FALSE)&gt;0,TRUE,FALSE))</f>
        <v>1</v>
      </c>
      <c r="AV48" s="158" t="b">
        <f t="shared" si="0"/>
        <v>1</v>
      </c>
      <c r="AW48" s="158" t="s">
        <v>2078</v>
      </c>
      <c r="AX48" s="162" t="s">
        <v>3</v>
      </c>
      <c r="AY48" s="15">
        <v>212</v>
      </c>
      <c r="AZ48" s="555" t="s">
        <v>8477</v>
      </c>
      <c r="BA48" s="559">
        <f>IF(Verso!$B$10=Voies!$B48,1,0)</f>
        <v>0</v>
      </c>
      <c r="BB48" s="12">
        <f>IF(Verso!$B$11=Voies!$B48,1,0)</f>
        <v>0</v>
      </c>
      <c r="BC48" s="12">
        <f>IF(Verso!$B$12=Voies!$B48,1,0)</f>
        <v>0</v>
      </c>
      <c r="BD48" s="12">
        <f>IF(Verso!$B$13=Voies!$B48,1,0)</f>
        <v>0</v>
      </c>
      <c r="BE48" s="12">
        <f>IF(Verso!$B$14=Voies!$B48,1,0)</f>
        <v>0</v>
      </c>
      <c r="BF48" s="12">
        <f>IF(Verso!$B$15=Voies!$B48,1,0)</f>
        <v>0</v>
      </c>
      <c r="BG48" s="12">
        <f>IF(Verso!$B$16=Voies!$B48,1,0)</f>
        <v>0</v>
      </c>
      <c r="BH48" s="12">
        <f>IF(Verso!$B$17=Voies!$B48,1,0)</f>
        <v>0</v>
      </c>
      <c r="BI48" s="557">
        <f t="shared" si="1"/>
        <v>0</v>
      </c>
      <c r="BJ48" s="196" t="str">
        <f t="shared" si="2"/>
        <v/>
      </c>
      <c r="BK48" s="196" t="str">
        <f t="shared" si="3"/>
        <v/>
      </c>
      <c r="BL48" s="295" t="str">
        <f t="shared" si="4"/>
        <v/>
      </c>
      <c r="BM48" s="91"/>
    </row>
    <row r="49" spans="1:65" ht="47.25" customHeight="1" x14ac:dyDescent="0.25">
      <c r="A49" s="162" t="str">
        <f>IF(AND(Réputation&gt;Voies!E49-1,OR(C49=TRUE,Calculs!$I$8&gt;0),Air&gt;Voies!J49-1,Eau&gt;Voies!K49-1,Feu&gt;Voies!L49-1,Terre&gt;Voies!M49-1,Vide&gt;Voies!N49-1,Constitution&gt;Voies!O49-1,Volonté&gt;Voies!P49-1,Force&gt;Voies!Q49-1,Perception&gt;Voies!R49-1,Reflexes&gt;Voies!S49-1,Agilité&gt;Voies!T49-1,Intuition&gt;Voies!U49-1,Intelligence&gt;Voies!V49-1,Souillure&gt;Voies!W49-1,Honneur&gt;X49-1,Statut&gt;Y49-1,Gloire&gt;Z49-1,AV49=TRUE),Voies!B49,"")</f>
        <v/>
      </c>
      <c r="B49" s="162" t="s">
        <v>8070</v>
      </c>
      <c r="C49" s="162" t="b">
        <f>IF(Clan=Voies!D48,TRUE,FALSE)</f>
        <v>0</v>
      </c>
      <c r="D49" s="387" t="s">
        <v>181</v>
      </c>
      <c r="E49" s="13">
        <v>3</v>
      </c>
      <c r="F49" s="199">
        <v>3</v>
      </c>
      <c r="G49" s="13" t="s">
        <v>2049</v>
      </c>
      <c r="H49" s="162" t="s">
        <v>8064</v>
      </c>
      <c r="I49" s="129" t="str">
        <f>IF(B49="","","Rien")</f>
        <v>Rien</v>
      </c>
      <c r="J49" s="146">
        <v>0</v>
      </c>
      <c r="K49" s="147">
        <v>0</v>
      </c>
      <c r="L49" s="148">
        <v>0</v>
      </c>
      <c r="M49" s="149">
        <v>0</v>
      </c>
      <c r="N49" s="150">
        <v>0</v>
      </c>
      <c r="O49" s="130">
        <v>0</v>
      </c>
      <c r="P49" s="130">
        <v>0</v>
      </c>
      <c r="Q49" s="130">
        <v>0</v>
      </c>
      <c r="R49" s="130">
        <v>0</v>
      </c>
      <c r="S49" s="130">
        <v>0</v>
      </c>
      <c r="T49" s="130">
        <v>0</v>
      </c>
      <c r="U49" s="130">
        <v>0</v>
      </c>
      <c r="V49" s="524">
        <v>0</v>
      </c>
      <c r="W49" s="130">
        <v>0</v>
      </c>
      <c r="X49" s="130">
        <v>0</v>
      </c>
      <c r="Y49" s="130">
        <v>0</v>
      </c>
      <c r="Z49" s="130">
        <v>0</v>
      </c>
      <c r="AA49" s="158" t="s">
        <v>2078</v>
      </c>
      <c r="AB49" s="158"/>
      <c r="AC49" s="158"/>
      <c r="AD49" s="158"/>
      <c r="AE49" s="158" t="b">
        <f>IF(AB49="",TRUE,IF(IF(AC49="",VLOOKUP(AB49,Calculs!$A$19:$S$425,19,FALSE),VLOOKUP(AC49,Calculs!$A$19:$S$425,19,FALSE))&gt;=AD49,TRUE,FALSE))</f>
        <v>1</v>
      </c>
      <c r="AF49" s="158"/>
      <c r="AG49" s="158"/>
      <c r="AH49" s="158"/>
      <c r="AI49" s="158" t="b">
        <f>IF(AF49="",TRUE,IF(IF(AG49="",VLOOKUP(AF49,Calculs!$A$19:$S$425,19,FALSE),VLOOKUP(AG49,Calculs!$A$19:$S$425,19,FALSE))&gt;=AH49,TRUE,FALSE))</f>
        <v>1</v>
      </c>
      <c r="AJ49" s="158"/>
      <c r="AK49" s="158"/>
      <c r="AL49" s="158"/>
      <c r="AM49" s="158" t="b">
        <f>IF(AJ49="",TRUE,IF(IF(AK49="",VLOOKUP(AJ49,Calculs!$A$19:$S$425,19,FALSE),VLOOKUP(AK49,Calculs!$A$19:$S$425,19,FALSE))&gt;=AL49,TRUE,FALSE))</f>
        <v>1</v>
      </c>
      <c r="AN49" s="158"/>
      <c r="AO49" s="158"/>
      <c r="AP49" s="158"/>
      <c r="AQ49" s="158" t="b">
        <f>IF(AN49="",TRUE,IF(IF(AO49="",VLOOKUP(AN49,Calculs!$A$19:$S$425,19,FALSE),VLOOKUP(AO49,Calculs!$A$19:$S$425,19,FALSE))&gt;=AP49,TRUE,FALSE))</f>
        <v>1</v>
      </c>
      <c r="AR49" s="158"/>
      <c r="AS49" s="158" t="b">
        <f>IF(AR49="",TRUE,IF(VLOOKUP(AR49,Calculs!$A$427:$G$738,7,FALSE)&gt;0,TRUE,FALSE))</f>
        <v>1</v>
      </c>
      <c r="AT49" s="158"/>
      <c r="AU49" s="158" t="b">
        <f>IF(AT49="",TRUE,IF(VLOOKUP(AT49,Calculs!$A$740:$G$912,7,FALSE)&gt;0,TRUE,FALSE))</f>
        <v>1</v>
      </c>
      <c r="AV49" s="158" t="b">
        <f t="shared" si="0"/>
        <v>1</v>
      </c>
      <c r="AW49" s="158" t="s">
        <v>2078</v>
      </c>
      <c r="AX49" s="162" t="s">
        <v>8065</v>
      </c>
      <c r="AY49" s="522" t="s">
        <v>2078</v>
      </c>
      <c r="AZ49" s="555" t="s">
        <v>8477</v>
      </c>
      <c r="BA49" s="559">
        <f>IF(Verso!$B$10=Voies!$B49,1,0)</f>
        <v>0</v>
      </c>
      <c r="BB49" s="12">
        <f>IF(Verso!$B$11=Voies!$B49,1,0)</f>
        <v>0</v>
      </c>
      <c r="BC49" s="12">
        <f>IF(Verso!$B$12=Voies!$B49,1,0)</f>
        <v>0</v>
      </c>
      <c r="BD49" s="12">
        <f>IF(Verso!$B$13=Voies!$B49,1,0)</f>
        <v>0</v>
      </c>
      <c r="BE49" s="12">
        <f>IF(Verso!$B$14=Voies!$B49,1,0)</f>
        <v>0</v>
      </c>
      <c r="BF49" s="12">
        <f>IF(Verso!$B$15=Voies!$B49,1,0)</f>
        <v>0</v>
      </c>
      <c r="BG49" s="12">
        <f>IF(Verso!$B$16=Voies!$B49,1,0)</f>
        <v>0</v>
      </c>
      <c r="BH49" s="12">
        <f>IF(Verso!$B$17=Voies!$B49,1,0)</f>
        <v>0</v>
      </c>
      <c r="BI49" s="557">
        <f t="shared" si="1"/>
        <v>0</v>
      </c>
      <c r="BJ49" s="196" t="str">
        <f t="shared" si="2"/>
        <v/>
      </c>
      <c r="BK49" s="196" t="str">
        <f t="shared" si="3"/>
        <v/>
      </c>
      <c r="BL49" s="295" t="str">
        <f t="shared" si="4"/>
        <v/>
      </c>
    </row>
    <row r="50" spans="1:65" ht="47.25" customHeight="1" x14ac:dyDescent="0.25">
      <c r="A50" s="162" t="str">
        <f>IF(AND(Réputation&gt;Voies!E50-1,OR(C50=TRUE,Calculs!$I$8&gt;0),Air&gt;Voies!J50-1,Eau&gt;Voies!K50-1,Feu&gt;Voies!L50-1,Terre&gt;Voies!M50-1,Vide&gt;Voies!N50-1,Constitution&gt;Voies!O50-1,Volonté&gt;Voies!P50-1,Force&gt;Voies!Q50-1,Perception&gt;Voies!R50-1,Reflexes&gt;Voies!S50-1,Agilité&gt;Voies!T50-1,Intuition&gt;Voies!U50-1,Intelligence&gt;Voies!V50-1,Souillure&gt;Voies!W50-1,Honneur&gt;X50-1,Statut&gt;Y50-1,Gloire&gt;Z50-1,AV50=TRUE),Voies!B50,"")</f>
        <v/>
      </c>
      <c r="B50" s="162" t="s">
        <v>3739</v>
      </c>
      <c r="C50" s="162" t="b">
        <f>IF(Clan=Voies!D49,TRUE,FALSE)</f>
        <v>0</v>
      </c>
      <c r="D50" s="387" t="s">
        <v>181</v>
      </c>
      <c r="E50" s="13">
        <v>3</v>
      </c>
      <c r="F50" s="199">
        <v>3</v>
      </c>
      <c r="G50" s="13" t="s">
        <v>2049</v>
      </c>
      <c r="H50" s="162" t="s">
        <v>529</v>
      </c>
      <c r="I50" s="129" t="s">
        <v>3738</v>
      </c>
      <c r="J50" s="146">
        <v>0</v>
      </c>
      <c r="K50" s="147">
        <v>0</v>
      </c>
      <c r="L50" s="148">
        <v>0</v>
      </c>
      <c r="M50" s="149">
        <v>3</v>
      </c>
      <c r="N50" s="150">
        <v>0</v>
      </c>
      <c r="O50" s="130">
        <v>0</v>
      </c>
      <c r="P50" s="130">
        <v>0</v>
      </c>
      <c r="Q50" s="130">
        <v>3</v>
      </c>
      <c r="R50" s="130">
        <v>0</v>
      </c>
      <c r="S50" s="130">
        <v>0</v>
      </c>
      <c r="T50" s="130">
        <v>0</v>
      </c>
      <c r="U50" s="130">
        <v>0</v>
      </c>
      <c r="V50" s="524">
        <v>0</v>
      </c>
      <c r="W50" s="130">
        <v>0</v>
      </c>
      <c r="X50" s="130">
        <v>0</v>
      </c>
      <c r="Y50" s="130">
        <v>0</v>
      </c>
      <c r="Z50" s="130">
        <v>0</v>
      </c>
      <c r="AA50" s="158" t="s">
        <v>2078</v>
      </c>
      <c r="AB50" s="158"/>
      <c r="AC50" s="158"/>
      <c r="AD50" s="158"/>
      <c r="AE50" s="158" t="b">
        <f>IF(AB50="",TRUE,IF(IF(AC50="",VLOOKUP(AB50,Calculs!$A$19:$S$425,19,FALSE),VLOOKUP(AC50,Calculs!$A$19:$S$425,19,FALSE))&gt;=AD50,TRUE,FALSE))</f>
        <v>1</v>
      </c>
      <c r="AF50" s="158"/>
      <c r="AG50" s="158"/>
      <c r="AH50" s="158"/>
      <c r="AI50" s="158" t="b">
        <f>IF(AF50="",TRUE,IF(IF(AG50="",VLOOKUP(AF50,Calculs!$A$19:$S$425,19,FALSE),VLOOKUP(AG50,Calculs!$A$19:$S$425,19,FALSE))&gt;=AH50,TRUE,FALSE))</f>
        <v>1</v>
      </c>
      <c r="AJ50" s="158"/>
      <c r="AK50" s="158"/>
      <c r="AL50" s="158"/>
      <c r="AM50" s="158" t="b">
        <f>IF(AJ50="",TRUE,IF(IF(AK50="",VLOOKUP(AJ50,Calculs!$A$19:$S$425,19,FALSE),VLOOKUP(AK50,Calculs!$A$19:$S$425,19,FALSE))&gt;=AL50,TRUE,FALSE))</f>
        <v>1</v>
      </c>
      <c r="AN50" s="158"/>
      <c r="AO50" s="158"/>
      <c r="AP50" s="158"/>
      <c r="AQ50" s="158" t="b">
        <f>IF(AN50="",TRUE,IF(IF(AO50="",VLOOKUP(AN50,Calculs!$A$19:$S$425,19,FALSE),VLOOKUP(AO50,Calculs!$A$19:$S$425,19,FALSE))&gt;=AP50,TRUE,FALSE))</f>
        <v>1</v>
      </c>
      <c r="AR50" s="158"/>
      <c r="AS50" s="158" t="b">
        <f>IF(AR50="",TRUE,IF(VLOOKUP(AR50,Calculs!$A$427:$G$738,7,FALSE)&gt;0,TRUE,FALSE))</f>
        <v>1</v>
      </c>
      <c r="AT50" s="158"/>
      <c r="AU50" s="158" t="b">
        <f>IF(AT50="",TRUE,IF(VLOOKUP(AT50,Calculs!$A$740:$G$912,7,FALSE)&gt;0,TRUE,FALSE))</f>
        <v>1</v>
      </c>
      <c r="AV50" s="158" t="b">
        <f t="shared" si="0"/>
        <v>1</v>
      </c>
      <c r="AW50" s="158" t="s">
        <v>2078</v>
      </c>
      <c r="AX50" s="162" t="s">
        <v>2921</v>
      </c>
      <c r="AY50" s="15">
        <v>101</v>
      </c>
      <c r="AZ50" s="555" t="s">
        <v>3740</v>
      </c>
      <c r="BA50" s="559">
        <f>IF(Verso!$B$10=Voies!$B50,1,0)</f>
        <v>0</v>
      </c>
      <c r="BB50" s="12">
        <f>IF(Verso!$B$11=Voies!$B50,1,0)</f>
        <v>0</v>
      </c>
      <c r="BC50" s="12">
        <f>IF(Verso!$B$12=Voies!$B50,1,0)</f>
        <v>0</v>
      </c>
      <c r="BD50" s="12">
        <f>IF(Verso!$B$13=Voies!$B50,1,0)</f>
        <v>0</v>
      </c>
      <c r="BE50" s="12">
        <f>IF(Verso!$B$14=Voies!$B50,1,0)</f>
        <v>0</v>
      </c>
      <c r="BF50" s="12">
        <f>IF(Verso!$B$15=Voies!$B50,1,0)</f>
        <v>0</v>
      </c>
      <c r="BG50" s="12">
        <f>IF(Verso!$B$16=Voies!$B50,1,0)</f>
        <v>0</v>
      </c>
      <c r="BH50" s="12">
        <f>IF(Verso!$B$17=Voies!$B50,1,0)</f>
        <v>0</v>
      </c>
      <c r="BI50" s="557">
        <f t="shared" si="1"/>
        <v>0</v>
      </c>
      <c r="BJ50" s="196" t="str">
        <f t="shared" si="2"/>
        <v/>
      </c>
      <c r="BK50" s="196" t="str">
        <f t="shared" si="3"/>
        <v/>
      </c>
      <c r="BL50" s="295" t="str">
        <f t="shared" si="4"/>
        <v/>
      </c>
    </row>
    <row r="51" spans="1:65" ht="47.25" customHeight="1" x14ac:dyDescent="0.25">
      <c r="A51" s="162" t="str">
        <f>IF(AND(Réputation&gt;Voies!E51-1,OR(C51=TRUE,Calculs!$I$8&gt;0),Air&gt;Voies!J51-1,Eau&gt;Voies!K51-1,Feu&gt;Voies!L51-1,Terre&gt;Voies!M51-1,Vide&gt;Voies!N51-1,Constitution&gt;Voies!O51-1,Volonté&gt;Voies!P51-1,Force&gt;Voies!Q51-1,Perception&gt;Voies!R51-1,Reflexes&gt;Voies!S51-1,Agilité&gt;Voies!T51-1,Intuition&gt;Voies!U51-1,Intelligence&gt;Voies!V51-1,Souillure&gt;Voies!W51-1,Honneur&gt;X51-1,Statut&gt;Y51-1,Gloire&gt;Z51-1,AV51=TRUE),Voies!B51,"")</f>
        <v/>
      </c>
      <c r="B51" s="162" t="s">
        <v>2112</v>
      </c>
      <c r="C51" s="162" t="b">
        <f>IF(Clan=Voies!D50,TRUE,FALSE)</f>
        <v>0</v>
      </c>
      <c r="D51" s="387" t="s">
        <v>181</v>
      </c>
      <c r="E51" s="13">
        <v>3</v>
      </c>
      <c r="F51" s="199">
        <v>3</v>
      </c>
      <c r="G51" s="13" t="s">
        <v>2052</v>
      </c>
      <c r="H51" s="162" t="s">
        <v>247</v>
      </c>
      <c r="I51" s="129" t="str">
        <f>IF(B51="","","Rien")</f>
        <v>Rien</v>
      </c>
      <c r="J51" s="146">
        <v>0</v>
      </c>
      <c r="K51" s="147">
        <v>0</v>
      </c>
      <c r="L51" s="148">
        <v>0</v>
      </c>
      <c r="M51" s="149">
        <v>0</v>
      </c>
      <c r="N51" s="150">
        <v>0</v>
      </c>
      <c r="O51" s="130">
        <v>0</v>
      </c>
      <c r="P51" s="130">
        <v>0</v>
      </c>
      <c r="Q51" s="130">
        <v>0</v>
      </c>
      <c r="R51" s="130">
        <v>0</v>
      </c>
      <c r="S51" s="130">
        <v>0</v>
      </c>
      <c r="T51" s="130">
        <v>0</v>
      </c>
      <c r="U51" s="130">
        <v>0</v>
      </c>
      <c r="V51" s="524">
        <v>0</v>
      </c>
      <c r="W51" s="130">
        <v>0</v>
      </c>
      <c r="X51" s="130">
        <v>0</v>
      </c>
      <c r="Y51" s="130">
        <v>0</v>
      </c>
      <c r="Z51" s="130">
        <v>0</v>
      </c>
      <c r="AA51" s="158" t="s">
        <v>2078</v>
      </c>
      <c r="AB51" s="158"/>
      <c r="AC51" s="158"/>
      <c r="AD51" s="158"/>
      <c r="AE51" s="158" t="b">
        <f>IF(AB51="",TRUE,IF(IF(AC51="",VLOOKUP(AB51,Calculs!$A$19:$S$425,19,FALSE),VLOOKUP(AC51,Calculs!$A$19:$S$425,19,FALSE))&gt;=AD51,TRUE,FALSE))</f>
        <v>1</v>
      </c>
      <c r="AF51" s="158"/>
      <c r="AG51" s="158"/>
      <c r="AH51" s="158"/>
      <c r="AI51" s="158" t="b">
        <f>IF(AF51="",TRUE,IF(IF(AG51="",VLOOKUP(AF51,Calculs!$A$19:$S$425,19,FALSE),VLOOKUP(AG51,Calculs!$A$19:$S$425,19,FALSE))&gt;=AH51,TRUE,FALSE))</f>
        <v>1</v>
      </c>
      <c r="AJ51" s="158"/>
      <c r="AK51" s="158"/>
      <c r="AL51" s="158"/>
      <c r="AM51" s="158" t="b">
        <f>IF(AJ51="",TRUE,IF(IF(AK51="",VLOOKUP(AJ51,Calculs!$A$19:$S$425,19,FALSE),VLOOKUP(AK51,Calculs!$A$19:$S$425,19,FALSE))&gt;=AL51,TRUE,FALSE))</f>
        <v>1</v>
      </c>
      <c r="AN51" s="158"/>
      <c r="AO51" s="158"/>
      <c r="AP51" s="158"/>
      <c r="AQ51" s="158" t="b">
        <f>IF(AN51="",TRUE,IF(IF(AO51="",VLOOKUP(AN51,Calculs!$A$19:$S$425,19,FALSE),VLOOKUP(AO51,Calculs!$A$19:$S$425,19,FALSE))&gt;=AP51,TRUE,FALSE))</f>
        <v>1</v>
      </c>
      <c r="AR51" s="158"/>
      <c r="AS51" s="158" t="b">
        <f>IF(AR51="",TRUE,IF(VLOOKUP(AR51,Calculs!$A$427:$G$738,7,FALSE)&gt;0,TRUE,FALSE))</f>
        <v>1</v>
      </c>
      <c r="AT51" s="158"/>
      <c r="AU51" s="158" t="b">
        <f>IF(AT51="",TRUE,IF(VLOOKUP(AT51,Calculs!$A$740:$G$912,7,FALSE)&gt;0,TRUE,FALSE))</f>
        <v>1</v>
      </c>
      <c r="AV51" s="158" t="b">
        <f t="shared" si="0"/>
        <v>1</v>
      </c>
      <c r="AW51" s="158" t="s">
        <v>2078</v>
      </c>
      <c r="AX51" s="162" t="s">
        <v>3</v>
      </c>
      <c r="AY51" s="15">
        <v>213</v>
      </c>
      <c r="AZ51" s="555" t="s">
        <v>2114</v>
      </c>
      <c r="BA51" s="559">
        <f>IF(Verso!$B$10=Voies!$B51,1,0)</f>
        <v>0</v>
      </c>
      <c r="BB51" s="12">
        <f>IF(Verso!$B$11=Voies!$B51,1,0)</f>
        <v>0</v>
      </c>
      <c r="BC51" s="12">
        <f>IF(Verso!$B$12=Voies!$B51,1,0)</f>
        <v>0</v>
      </c>
      <c r="BD51" s="12">
        <f>IF(Verso!$B$13=Voies!$B51,1,0)</f>
        <v>0</v>
      </c>
      <c r="BE51" s="12">
        <f>IF(Verso!$B$14=Voies!$B51,1,0)</f>
        <v>0</v>
      </c>
      <c r="BF51" s="12">
        <f>IF(Verso!$B$15=Voies!$B51,1,0)</f>
        <v>0</v>
      </c>
      <c r="BG51" s="12">
        <f>IF(Verso!$B$16=Voies!$B51,1,0)</f>
        <v>0</v>
      </c>
      <c r="BH51" s="12">
        <f>IF(Verso!$B$17=Voies!$B51,1,0)</f>
        <v>0</v>
      </c>
      <c r="BI51" s="557">
        <f t="shared" si="1"/>
        <v>0</v>
      </c>
      <c r="BJ51" s="196" t="str">
        <f t="shared" si="2"/>
        <v/>
      </c>
      <c r="BK51" s="196" t="str">
        <f t="shared" si="3"/>
        <v/>
      </c>
      <c r="BL51" s="295" t="str">
        <f t="shared" si="4"/>
        <v/>
      </c>
    </row>
    <row r="52" spans="1:65" ht="47.25" customHeight="1" x14ac:dyDescent="0.25">
      <c r="A52" s="162" t="str">
        <f>IF(AND(Réputation&gt;Voies!E52-1,OR(C52=TRUE,Calculs!$I$8&gt;0),Air&gt;Voies!J52-1,Eau&gt;Voies!K52-1,Feu&gt;Voies!L52-1,Terre&gt;Voies!M52-1,Vide&gt;Voies!N52-1,Constitution&gt;Voies!O52-1,Volonté&gt;Voies!P52-1,Force&gt;Voies!Q52-1,Perception&gt;Voies!R52-1,Reflexes&gt;Voies!S52-1,Agilité&gt;Voies!T52-1,Intuition&gt;Voies!U52-1,Intelligence&gt;Voies!V52-1,Souillure&gt;Voies!W52-1,Honneur&gt;X52-1,Statut&gt;Y52-1,Gloire&gt;Z52-1,AV52=TRUE),Voies!B52,"")</f>
        <v/>
      </c>
      <c r="B52" s="162" t="s">
        <v>3335</v>
      </c>
      <c r="C52" s="162" t="b">
        <f>IF(Clan=Voies!D51,TRUE,FALSE)</f>
        <v>0</v>
      </c>
      <c r="D52" s="387" t="s">
        <v>181</v>
      </c>
      <c r="E52" s="13">
        <v>3</v>
      </c>
      <c r="F52" s="199">
        <v>3</v>
      </c>
      <c r="G52" s="13" t="s">
        <v>2052</v>
      </c>
      <c r="H52" s="162" t="s">
        <v>532</v>
      </c>
      <c r="I52" s="129" t="s">
        <v>3334</v>
      </c>
      <c r="J52" s="146">
        <v>0</v>
      </c>
      <c r="K52" s="147">
        <v>0</v>
      </c>
      <c r="L52" s="148">
        <v>0</v>
      </c>
      <c r="M52" s="149">
        <v>0</v>
      </c>
      <c r="N52" s="150">
        <v>0</v>
      </c>
      <c r="O52" s="130">
        <v>0</v>
      </c>
      <c r="P52" s="130">
        <v>0</v>
      </c>
      <c r="Q52" s="130">
        <v>0</v>
      </c>
      <c r="R52" s="130">
        <v>0</v>
      </c>
      <c r="S52" s="130">
        <v>0</v>
      </c>
      <c r="T52" s="130">
        <v>0</v>
      </c>
      <c r="U52" s="130">
        <v>0</v>
      </c>
      <c r="V52" s="524">
        <v>0</v>
      </c>
      <c r="W52" s="130">
        <v>0</v>
      </c>
      <c r="X52" s="130">
        <v>0</v>
      </c>
      <c r="Y52" s="130">
        <v>0</v>
      </c>
      <c r="Z52" s="130">
        <v>0</v>
      </c>
      <c r="AA52" s="158" t="s">
        <v>2078</v>
      </c>
      <c r="AB52" s="158"/>
      <c r="AC52" s="158"/>
      <c r="AD52" s="158"/>
      <c r="AE52" s="158" t="b">
        <f>IF(AB52="",TRUE,IF(IF(AC52="",VLOOKUP(AB52,Calculs!$A$19:$S$425,19,FALSE),VLOOKUP(AC52,Calculs!$A$19:$S$425,19,FALSE))&gt;=AD52,TRUE,FALSE))</f>
        <v>1</v>
      </c>
      <c r="AF52" s="158"/>
      <c r="AG52" s="158"/>
      <c r="AH52" s="158"/>
      <c r="AI52" s="158" t="b">
        <f>IF(AF52="",TRUE,IF(IF(AG52="",VLOOKUP(AF52,Calculs!$A$19:$S$425,19,FALSE),VLOOKUP(AG52,Calculs!$A$19:$S$425,19,FALSE))&gt;=AH52,TRUE,FALSE))</f>
        <v>1</v>
      </c>
      <c r="AJ52" s="158"/>
      <c r="AK52" s="158"/>
      <c r="AL52" s="158"/>
      <c r="AM52" s="158" t="b">
        <f>IF(AJ52="",TRUE,IF(IF(AK52="",VLOOKUP(AJ52,Calculs!$A$19:$S$425,19,FALSE),VLOOKUP(AK52,Calculs!$A$19:$S$425,19,FALSE))&gt;=AL52,TRUE,FALSE))</f>
        <v>1</v>
      </c>
      <c r="AN52" s="158"/>
      <c r="AO52" s="158"/>
      <c r="AP52" s="158"/>
      <c r="AQ52" s="158" t="b">
        <f>IF(AN52="",TRUE,IF(IF(AO52="",VLOOKUP(AN52,Calculs!$A$19:$S$425,19,FALSE),VLOOKUP(AO52,Calculs!$A$19:$S$425,19,FALSE))&gt;=AP52,TRUE,FALSE))</f>
        <v>1</v>
      </c>
      <c r="AR52" s="158"/>
      <c r="AS52" s="158" t="b">
        <f>IF(AR52="",TRUE,IF(VLOOKUP(AR52,Calculs!$A$427:$G$738,7,FALSE)&gt;0,TRUE,FALSE))</f>
        <v>1</v>
      </c>
      <c r="AT52" s="158"/>
      <c r="AU52" s="158" t="b">
        <f>IF(AT52="",TRUE,IF(VLOOKUP(AT52,Calculs!$A$740:$G$912,7,FALSE)&gt;0,TRUE,FALSE))</f>
        <v>1</v>
      </c>
      <c r="AV52" s="158" t="b">
        <f t="shared" si="0"/>
        <v>1</v>
      </c>
      <c r="AW52" s="159" t="s">
        <v>6430</v>
      </c>
      <c r="AX52" s="162" t="s">
        <v>118</v>
      </c>
      <c r="AY52" s="15">
        <v>178</v>
      </c>
      <c r="AZ52" s="555" t="s">
        <v>3369</v>
      </c>
      <c r="BA52" s="559">
        <f>IF(Verso!$B$10=Voies!$B52,1,0)</f>
        <v>0</v>
      </c>
      <c r="BB52" s="12">
        <f>IF(Verso!$B$11=Voies!$B52,1,0)</f>
        <v>0</v>
      </c>
      <c r="BC52" s="12">
        <f>IF(Verso!$B$12=Voies!$B52,1,0)</f>
        <v>0</v>
      </c>
      <c r="BD52" s="12">
        <f>IF(Verso!$B$13=Voies!$B52,1,0)</f>
        <v>0</v>
      </c>
      <c r="BE52" s="12">
        <f>IF(Verso!$B$14=Voies!$B52,1,0)</f>
        <v>0</v>
      </c>
      <c r="BF52" s="12">
        <f>IF(Verso!$B$15=Voies!$B52,1,0)</f>
        <v>0</v>
      </c>
      <c r="BG52" s="12">
        <f>IF(Verso!$B$16=Voies!$B52,1,0)</f>
        <v>0</v>
      </c>
      <c r="BH52" s="12">
        <f>IF(Verso!$B$17=Voies!$B52,1,0)</f>
        <v>0</v>
      </c>
      <c r="BI52" s="557">
        <f t="shared" si="1"/>
        <v>0</v>
      </c>
      <c r="BJ52" s="196" t="str">
        <f t="shared" si="2"/>
        <v/>
      </c>
      <c r="BK52" s="196" t="str">
        <f t="shared" si="3"/>
        <v/>
      </c>
      <c r="BL52" s="295" t="str">
        <f t="shared" si="4"/>
        <v/>
      </c>
    </row>
    <row r="53" spans="1:65" ht="47.25" customHeight="1" x14ac:dyDescent="0.25">
      <c r="A53" s="162" t="str">
        <f>IF(AND(Réputation&gt;Voies!E53-1,OR(C53=TRUE,Calculs!$I$8&gt;0),Air&gt;Voies!J53-1,Eau&gt;Voies!K53-1,Feu&gt;Voies!L53-1,Terre&gt;Voies!M53-1,Vide&gt;Voies!N53-1,Constitution&gt;Voies!O53-1,Volonté&gt;Voies!P53-1,Force&gt;Voies!Q53-1,Perception&gt;Voies!R53-1,Reflexes&gt;Voies!S53-1,Agilité&gt;Voies!T53-1,Intuition&gt;Voies!U53-1,Intelligence&gt;Voies!V53-1,Souillure&gt;Voies!W53-1,Honneur&gt;X53-1,Statut&gt;Y53-1,Gloire&gt;Z53-1,AV53=TRUE),Voies!B53,"")</f>
        <v/>
      </c>
      <c r="B53" s="162" t="s">
        <v>2121</v>
      </c>
      <c r="C53" s="162" t="b">
        <f>IF(Clan=Voies!D52,TRUE,FALSE)</f>
        <v>0</v>
      </c>
      <c r="D53" s="387" t="s">
        <v>181</v>
      </c>
      <c r="E53" s="13">
        <v>3</v>
      </c>
      <c r="F53" s="199">
        <v>3</v>
      </c>
      <c r="G53" s="13" t="s">
        <v>2050</v>
      </c>
      <c r="H53" s="162" t="s">
        <v>1934</v>
      </c>
      <c r="I53" s="129" t="str">
        <f>IF(B53="","","Rien")</f>
        <v>Rien</v>
      </c>
      <c r="J53" s="146">
        <v>0</v>
      </c>
      <c r="K53" s="147">
        <v>0</v>
      </c>
      <c r="L53" s="148">
        <v>0</v>
      </c>
      <c r="M53" s="149">
        <v>0</v>
      </c>
      <c r="N53" s="150">
        <v>0</v>
      </c>
      <c r="O53" s="130">
        <v>0</v>
      </c>
      <c r="P53" s="130">
        <v>0</v>
      </c>
      <c r="Q53" s="130">
        <v>0</v>
      </c>
      <c r="R53" s="130">
        <v>0</v>
      </c>
      <c r="S53" s="130">
        <v>0</v>
      </c>
      <c r="T53" s="130">
        <v>0</v>
      </c>
      <c r="U53" s="130">
        <v>0</v>
      </c>
      <c r="V53" s="524">
        <v>0</v>
      </c>
      <c r="W53" s="130">
        <v>0</v>
      </c>
      <c r="X53" s="130">
        <v>0</v>
      </c>
      <c r="Y53" s="130">
        <v>0</v>
      </c>
      <c r="Z53" s="130">
        <v>0</v>
      </c>
      <c r="AA53" s="158" t="s">
        <v>2078</v>
      </c>
      <c r="AB53" s="158"/>
      <c r="AC53" s="158"/>
      <c r="AD53" s="158"/>
      <c r="AE53" s="158" t="b">
        <f>IF(AB53="",TRUE,IF(IF(AC53="",VLOOKUP(AB53,Calculs!$A$19:$S$425,19,FALSE),VLOOKUP(AC53,Calculs!$A$19:$S$425,19,FALSE))&gt;=AD53,TRUE,FALSE))</f>
        <v>1</v>
      </c>
      <c r="AF53" s="158"/>
      <c r="AG53" s="158"/>
      <c r="AH53" s="158"/>
      <c r="AI53" s="158" t="b">
        <f>IF(AF53="",TRUE,IF(IF(AG53="",VLOOKUP(AF53,Calculs!$A$19:$S$425,19,FALSE),VLOOKUP(AG53,Calculs!$A$19:$S$425,19,FALSE))&gt;=AH53,TRUE,FALSE))</f>
        <v>1</v>
      </c>
      <c r="AJ53" s="158"/>
      <c r="AK53" s="158"/>
      <c r="AL53" s="158"/>
      <c r="AM53" s="158" t="b">
        <f>IF(AJ53="",TRUE,IF(IF(AK53="",VLOOKUP(AJ53,Calculs!$A$19:$S$425,19,FALSE),VLOOKUP(AK53,Calculs!$A$19:$S$425,19,FALSE))&gt;=AL53,TRUE,FALSE))</f>
        <v>1</v>
      </c>
      <c r="AN53" s="158"/>
      <c r="AO53" s="158"/>
      <c r="AP53" s="158"/>
      <c r="AQ53" s="158" t="b">
        <f>IF(AN53="",TRUE,IF(IF(AO53="",VLOOKUP(AN53,Calculs!$A$19:$S$425,19,FALSE),VLOOKUP(AO53,Calculs!$A$19:$S$425,19,FALSE))&gt;=AP53,TRUE,FALSE))</f>
        <v>1</v>
      </c>
      <c r="AR53" s="158"/>
      <c r="AS53" s="158" t="b">
        <f>IF(AR53="",TRUE,IF(VLOOKUP(AR53,Calculs!$A$427:$G$738,7,FALSE)&gt;0,TRUE,FALSE))</f>
        <v>1</v>
      </c>
      <c r="AT53" s="158"/>
      <c r="AU53" s="158" t="b">
        <f>IF(AT53="",TRUE,IF(VLOOKUP(AT53,Calculs!$A$740:$G$912,7,FALSE)&gt;0,TRUE,FALSE))</f>
        <v>1</v>
      </c>
      <c r="AV53" s="158" t="b">
        <f t="shared" si="0"/>
        <v>1</v>
      </c>
      <c r="AW53" s="158" t="s">
        <v>2078</v>
      </c>
      <c r="AX53" s="162" t="s">
        <v>3</v>
      </c>
      <c r="AY53" s="15">
        <v>215</v>
      </c>
      <c r="AZ53" s="555" t="s">
        <v>8478</v>
      </c>
      <c r="BA53" s="559">
        <f>IF(Verso!$B$10=Voies!$B53,1,0)</f>
        <v>0</v>
      </c>
      <c r="BB53" s="12">
        <f>IF(Verso!$B$11=Voies!$B53,1,0)</f>
        <v>0</v>
      </c>
      <c r="BC53" s="12">
        <f>IF(Verso!$B$12=Voies!$B53,1,0)</f>
        <v>0</v>
      </c>
      <c r="BD53" s="12">
        <f>IF(Verso!$B$13=Voies!$B53,1,0)</f>
        <v>0</v>
      </c>
      <c r="BE53" s="12">
        <f>IF(Verso!$B$14=Voies!$B53,1,0)</f>
        <v>0</v>
      </c>
      <c r="BF53" s="12">
        <f>IF(Verso!$B$15=Voies!$B53,1,0)</f>
        <v>0</v>
      </c>
      <c r="BG53" s="12">
        <f>IF(Verso!$B$16=Voies!$B53,1,0)</f>
        <v>0</v>
      </c>
      <c r="BH53" s="12">
        <f>IF(Verso!$B$17=Voies!$B53,1,0)</f>
        <v>0</v>
      </c>
      <c r="BI53" s="557">
        <f t="shared" si="1"/>
        <v>0</v>
      </c>
      <c r="BJ53" s="196" t="str">
        <f t="shared" si="2"/>
        <v/>
      </c>
      <c r="BK53" s="196" t="str">
        <f t="shared" si="3"/>
        <v/>
      </c>
      <c r="BL53" s="295" t="str">
        <f t="shared" si="4"/>
        <v/>
      </c>
    </row>
    <row r="54" spans="1:65" ht="47.25" customHeight="1" x14ac:dyDescent="0.25">
      <c r="A54" s="162" t="str">
        <f>IF(AND(Réputation&gt;Voies!E54-1,OR(C54=TRUE,Calculs!$I$8&gt;0),Air&gt;Voies!J54-1,Eau&gt;Voies!K54-1,Feu&gt;Voies!L54-1,Terre&gt;Voies!M54-1,Vide&gt;Voies!N54-1,Constitution&gt;Voies!O54-1,Volonté&gt;Voies!P54-1,Force&gt;Voies!Q54-1,Perception&gt;Voies!R54-1,Reflexes&gt;Voies!S54-1,Agilité&gt;Voies!T54-1,Intuition&gt;Voies!U54-1,Intelligence&gt;Voies!V54-1,Souillure&gt;Voies!W54-1,Honneur&gt;X54-1,Statut&gt;Y54-1,Gloire&gt;Z54-1,AV54=TRUE),Voies!B54,"")</f>
        <v/>
      </c>
      <c r="B54" s="162" t="s">
        <v>6114</v>
      </c>
      <c r="C54" s="162" t="b">
        <f>IF(Clan=Voies!D53,TRUE,FALSE)</f>
        <v>0</v>
      </c>
      <c r="D54" s="387" t="s">
        <v>181</v>
      </c>
      <c r="E54" s="13">
        <v>3</v>
      </c>
      <c r="F54" s="199">
        <v>3</v>
      </c>
      <c r="G54" s="13" t="s">
        <v>2048</v>
      </c>
      <c r="H54" s="162" t="s">
        <v>595</v>
      </c>
      <c r="I54" s="129" t="s">
        <v>3605</v>
      </c>
      <c r="J54" s="146">
        <v>0</v>
      </c>
      <c r="K54" s="147">
        <v>0</v>
      </c>
      <c r="L54" s="148">
        <v>0</v>
      </c>
      <c r="M54" s="149">
        <v>0</v>
      </c>
      <c r="N54" s="150">
        <v>0</v>
      </c>
      <c r="O54" s="130">
        <v>0</v>
      </c>
      <c r="P54" s="130">
        <v>0</v>
      </c>
      <c r="Q54" s="130">
        <v>0</v>
      </c>
      <c r="R54" s="130">
        <v>0</v>
      </c>
      <c r="S54" s="130">
        <v>0</v>
      </c>
      <c r="T54" s="130">
        <v>0</v>
      </c>
      <c r="U54" s="130">
        <v>0</v>
      </c>
      <c r="V54" s="524">
        <v>0</v>
      </c>
      <c r="W54" s="130">
        <v>0</v>
      </c>
      <c r="X54" s="130">
        <v>0</v>
      </c>
      <c r="Y54" s="130">
        <v>0</v>
      </c>
      <c r="Z54" s="130">
        <v>0</v>
      </c>
      <c r="AA54" s="159" t="s">
        <v>6373</v>
      </c>
      <c r="AB54" s="159" t="s">
        <v>3325</v>
      </c>
      <c r="AC54" s="159" t="s">
        <v>3170</v>
      </c>
      <c r="AD54" s="159">
        <v>3</v>
      </c>
      <c r="AE54" s="158" t="b">
        <f>IF(AB54="",TRUE,IF(IF(AC54="",VLOOKUP(AB54,Calculs!$A$19:$S$425,19,FALSE),VLOOKUP(AC54,Calculs!$A$19:$S$425,19,FALSE))&gt;=AD54,TRUE,FALSE))</f>
        <v>0</v>
      </c>
      <c r="AI54" s="158" t="b">
        <f>IF(AF54="",TRUE,IF(IF(AG54="",VLOOKUP(AF54,Calculs!$A$19:$S$425,19,FALSE),VLOOKUP(AG54,Calculs!$A$19:$S$425,19,FALSE))&gt;=AH54,TRUE,FALSE))</f>
        <v>1</v>
      </c>
      <c r="AM54" s="158" t="b">
        <f>IF(AJ54="",TRUE,IF(IF(AK54="",VLOOKUP(AJ54,Calculs!$A$19:$S$425,19,FALSE),VLOOKUP(AK54,Calculs!$A$19:$S$425,19,FALSE))&gt;=AL54,TRUE,FALSE))</f>
        <v>1</v>
      </c>
      <c r="AQ54" s="158" t="b">
        <f>IF(AN54="",TRUE,IF(IF(AO54="",VLOOKUP(AN54,Calculs!$A$19:$S$425,19,FALSE),VLOOKUP(AO54,Calculs!$A$19:$S$425,19,FALSE))&gt;=AP54,TRUE,FALSE))</f>
        <v>1</v>
      </c>
      <c r="AR54" s="158"/>
      <c r="AS54" s="158" t="b">
        <f>IF(AR54="",TRUE,IF(VLOOKUP(AR54,Calculs!$A$427:$G$738,7,FALSE)&gt;0,TRUE,FALSE))</f>
        <v>1</v>
      </c>
      <c r="AT54" s="158"/>
      <c r="AU54" s="158" t="b">
        <f>IF(AT54="",TRUE,IF(VLOOKUP(AT54,Calculs!$A$740:$G$912,7,FALSE)&gt;0,TRUE,FALSE))</f>
        <v>1</v>
      </c>
      <c r="AV54" s="158" t="b">
        <f t="shared" si="0"/>
        <v>0</v>
      </c>
      <c r="AW54" s="159" t="s">
        <v>3606</v>
      </c>
      <c r="AX54" s="162" t="s">
        <v>6061</v>
      </c>
      <c r="AY54" s="15">
        <v>282</v>
      </c>
      <c r="AZ54" s="555" t="str">
        <f>CONCATENATE("Dépensez un AS et un emplecement de Sort pr créer",Souillure,"  zombies (Stats des Zombies: Core p331). Ils obéissent à des ordre simples et durent 1 semaine où jusqu'à ce que vous les renvoyez.")</f>
        <v>Dépensez un AS et un emplecement de Sort pr créer0  zombies (Stats des Zombies: Core p331). Ils obéissent à des ordre simples et durent 1 semaine où jusqu'à ce que vous les renvoyez.</v>
      </c>
      <c r="BA54" s="559">
        <f>IF(Verso!$B$10=Voies!$B54,1,0)</f>
        <v>0</v>
      </c>
      <c r="BB54" s="12">
        <f>IF(Verso!$B$11=Voies!$B54,1,0)</f>
        <v>0</v>
      </c>
      <c r="BC54" s="12">
        <f>IF(Verso!$B$12=Voies!$B54,1,0)</f>
        <v>0</v>
      </c>
      <c r="BD54" s="12">
        <f>IF(Verso!$B$13=Voies!$B54,1,0)</f>
        <v>0</v>
      </c>
      <c r="BE54" s="12">
        <f>IF(Verso!$B$14=Voies!$B54,1,0)</f>
        <v>0</v>
      </c>
      <c r="BF54" s="12">
        <f>IF(Verso!$B$15=Voies!$B54,1,0)</f>
        <v>0</v>
      </c>
      <c r="BG54" s="12">
        <f>IF(Verso!$B$16=Voies!$B54,1,0)</f>
        <v>0</v>
      </c>
      <c r="BH54" s="12">
        <f>IF(Verso!$B$17=Voies!$B54,1,0)</f>
        <v>0</v>
      </c>
      <c r="BI54" s="557">
        <f t="shared" si="1"/>
        <v>0</v>
      </c>
      <c r="BJ54" s="196" t="str">
        <f t="shared" si="2"/>
        <v/>
      </c>
      <c r="BK54" s="196" t="str">
        <f t="shared" si="3"/>
        <v/>
      </c>
      <c r="BL54" s="295" t="str">
        <f t="shared" si="4"/>
        <v/>
      </c>
    </row>
    <row r="55" spans="1:65" s="196" customFormat="1" ht="47.25" customHeight="1" x14ac:dyDescent="0.25">
      <c r="A55" s="162" t="str">
        <f>IF(AND(Réputation&gt;Voies!E55-1,OR(C55=TRUE,Calculs!$I$8&gt;0),Air&gt;Voies!J55-1,Eau&gt;Voies!K55-1,Feu&gt;Voies!L55-1,Terre&gt;Voies!M55-1,Vide&gt;Voies!N55-1,Constitution&gt;Voies!O55-1,Volonté&gt;Voies!P55-1,Force&gt;Voies!Q55-1,Perception&gt;Voies!R55-1,Reflexes&gt;Voies!S55-1,Agilité&gt;Voies!T55-1,Intuition&gt;Voies!U55-1,Intelligence&gt;Voies!V55-1,Souillure&gt;Voies!W55-1,Honneur&gt;X55-1,Statut&gt;Y55-1,Gloire&gt;Z55-1,AV55=TRUE),Voies!B55,"")</f>
        <v/>
      </c>
      <c r="B55" s="162" t="s">
        <v>2107</v>
      </c>
      <c r="C55" s="162" t="b">
        <f>IF(Clan=Voies!D54,TRUE,FALSE)</f>
        <v>0</v>
      </c>
      <c r="D55" s="387" t="s">
        <v>181</v>
      </c>
      <c r="E55" s="199">
        <v>4</v>
      </c>
      <c r="F55" s="199">
        <v>4</v>
      </c>
      <c r="G55" s="199" t="s">
        <v>2049</v>
      </c>
      <c r="H55" s="162" t="s">
        <v>246</v>
      </c>
      <c r="I55" s="129" t="str">
        <f>IF(B55="","","Rien")</f>
        <v>Rien</v>
      </c>
      <c r="J55" s="146">
        <v>0</v>
      </c>
      <c r="K55" s="147">
        <v>0</v>
      </c>
      <c r="L55" s="148">
        <v>0</v>
      </c>
      <c r="M55" s="149">
        <v>0</v>
      </c>
      <c r="N55" s="150">
        <v>0</v>
      </c>
      <c r="O55" s="130">
        <v>0</v>
      </c>
      <c r="P55" s="130">
        <v>0</v>
      </c>
      <c r="Q55" s="130">
        <v>0</v>
      </c>
      <c r="R55" s="130">
        <v>0</v>
      </c>
      <c r="S55" s="130">
        <v>0</v>
      </c>
      <c r="T55" s="130">
        <v>0</v>
      </c>
      <c r="U55" s="130">
        <v>0</v>
      </c>
      <c r="V55" s="524">
        <v>0</v>
      </c>
      <c r="W55" s="130">
        <v>0</v>
      </c>
      <c r="X55" s="130">
        <v>0</v>
      </c>
      <c r="Y55" s="130">
        <v>0</v>
      </c>
      <c r="Z55" s="130">
        <v>0</v>
      </c>
      <c r="AA55" s="158" t="s">
        <v>2078</v>
      </c>
      <c r="AB55" s="158"/>
      <c r="AC55" s="158"/>
      <c r="AD55" s="158"/>
      <c r="AE55" s="158" t="b">
        <f>IF(AB55="",TRUE,IF(IF(AC55="",VLOOKUP(AB55,Calculs!$A$19:$S$425,19,FALSE),VLOOKUP(AC55,Calculs!$A$19:$S$425,19,FALSE))&gt;=AD55,TRUE,FALSE))</f>
        <v>1</v>
      </c>
      <c r="AF55" s="158"/>
      <c r="AG55" s="158"/>
      <c r="AH55" s="158"/>
      <c r="AI55" s="158" t="b">
        <f>IF(AF55="",TRUE,IF(IF(AG55="",VLOOKUP(AF55,Calculs!$A$19:$S$425,19,FALSE),VLOOKUP(AG55,Calculs!$A$19:$S$425,19,FALSE))&gt;=AH55,TRUE,FALSE))</f>
        <v>1</v>
      </c>
      <c r="AJ55" s="158"/>
      <c r="AK55" s="158"/>
      <c r="AL55" s="158"/>
      <c r="AM55" s="158" t="b">
        <f>IF(AJ55="",TRUE,IF(IF(AK55="",VLOOKUP(AJ55,Calculs!$A$19:$S$425,19,FALSE),VLOOKUP(AK55,Calculs!$A$19:$S$425,19,FALSE))&gt;=AL55,TRUE,FALSE))</f>
        <v>1</v>
      </c>
      <c r="AN55" s="158"/>
      <c r="AO55" s="158"/>
      <c r="AP55" s="158"/>
      <c r="AQ55" s="158" t="b">
        <f>IF(AN55="",TRUE,IF(IF(AO55="",VLOOKUP(AN55,Calculs!$A$19:$S$425,19,FALSE),VLOOKUP(AO55,Calculs!$A$19:$S$425,19,FALSE))&gt;=AP55,TRUE,FALSE))</f>
        <v>1</v>
      </c>
      <c r="AR55" s="158"/>
      <c r="AS55" s="158" t="b">
        <f>IF(AR55="",TRUE,IF(VLOOKUP(AR55,Calculs!$A$427:$G$738,7,FALSE)&gt;0,TRUE,FALSE))</f>
        <v>1</v>
      </c>
      <c r="AT55" s="158"/>
      <c r="AU55" s="158" t="b">
        <f>IF(AT55="",TRUE,IF(VLOOKUP(AT55,Calculs!$A$740:$G$912,7,FALSE)&gt;0,TRUE,FALSE))</f>
        <v>1</v>
      </c>
      <c r="AV55" s="158" t="b">
        <f t="shared" si="0"/>
        <v>1</v>
      </c>
      <c r="AW55" s="158" t="s">
        <v>2078</v>
      </c>
      <c r="AX55" s="162" t="s">
        <v>3</v>
      </c>
      <c r="AY55" s="15">
        <v>212</v>
      </c>
      <c r="AZ55" s="555" t="s">
        <v>2108</v>
      </c>
      <c r="BA55" s="559">
        <f>IF(Verso!$B$10=Voies!$B55,1,0)</f>
        <v>0</v>
      </c>
      <c r="BB55" s="12">
        <f>IF(Verso!$B$11=Voies!$B55,1,0)</f>
        <v>0</v>
      </c>
      <c r="BC55" s="12">
        <f>IF(Verso!$B$12=Voies!$B55,1,0)</f>
        <v>0</v>
      </c>
      <c r="BD55" s="12">
        <f>IF(Verso!$B$13=Voies!$B55,1,0)</f>
        <v>0</v>
      </c>
      <c r="BE55" s="12">
        <f>IF(Verso!$B$14=Voies!$B55,1,0)</f>
        <v>0</v>
      </c>
      <c r="BF55" s="12">
        <f>IF(Verso!$B$15=Voies!$B55,1,0)</f>
        <v>0</v>
      </c>
      <c r="BG55" s="12">
        <f>IF(Verso!$B$16=Voies!$B55,1,0)</f>
        <v>0</v>
      </c>
      <c r="BH55" s="12">
        <f>IF(Verso!$B$17=Voies!$B55,1,0)</f>
        <v>0</v>
      </c>
      <c r="BI55" s="557">
        <f t="shared" si="1"/>
        <v>0</v>
      </c>
      <c r="BJ55" s="196" t="str">
        <f t="shared" si="2"/>
        <v/>
      </c>
      <c r="BK55" s="196" t="str">
        <f t="shared" si="3"/>
        <v/>
      </c>
      <c r="BL55" s="295" t="str">
        <f t="shared" si="4"/>
        <v/>
      </c>
      <c r="BM55" s="91"/>
    </row>
    <row r="56" spans="1:65" s="196" customFormat="1" ht="47.25" customHeight="1" x14ac:dyDescent="0.25">
      <c r="A56" s="162" t="str">
        <f>IF(AND(Réputation&gt;Voies!E56-1,OR(C56=TRUE,Calculs!$I$8&gt;0),Air&gt;Voies!J56-1,Eau&gt;Voies!K56-1,Feu&gt;Voies!L56-1,Terre&gt;Voies!M56-1,Vide&gt;Voies!N56-1,Constitution&gt;Voies!O56-1,Volonté&gt;Voies!P56-1,Force&gt;Voies!Q56-1,Perception&gt;Voies!R56-1,Reflexes&gt;Voies!S56-1,Agilité&gt;Voies!T56-1,Intuition&gt;Voies!U56-1,Intelligence&gt;Voies!V56-1,Souillure&gt;Voies!W56-1,Honneur&gt;X56-1,Statut&gt;Y56-1,Gloire&gt;Z56-1,AV56=TRUE),Voies!B56,"")</f>
        <v/>
      </c>
      <c r="B56" s="162" t="s">
        <v>8071</v>
      </c>
      <c r="C56" s="162" t="b">
        <f>IF(Clan=Voies!D55,TRUE,FALSE)</f>
        <v>0</v>
      </c>
      <c r="D56" s="387" t="s">
        <v>181</v>
      </c>
      <c r="E56" s="199">
        <v>4</v>
      </c>
      <c r="F56" s="199">
        <v>4</v>
      </c>
      <c r="G56" s="199" t="s">
        <v>2049</v>
      </c>
      <c r="H56" s="162" t="s">
        <v>8064</v>
      </c>
      <c r="I56" s="129" t="str">
        <f>IF(B56="","","Rien")</f>
        <v>Rien</v>
      </c>
      <c r="J56" s="146">
        <v>0</v>
      </c>
      <c r="K56" s="147">
        <v>0</v>
      </c>
      <c r="L56" s="148">
        <v>0</v>
      </c>
      <c r="M56" s="149">
        <v>0</v>
      </c>
      <c r="N56" s="150">
        <v>0</v>
      </c>
      <c r="O56" s="130">
        <v>0</v>
      </c>
      <c r="P56" s="130">
        <v>0</v>
      </c>
      <c r="Q56" s="130">
        <v>0</v>
      </c>
      <c r="R56" s="130">
        <v>0</v>
      </c>
      <c r="S56" s="130">
        <v>0</v>
      </c>
      <c r="T56" s="130">
        <v>0</v>
      </c>
      <c r="U56" s="130">
        <v>0</v>
      </c>
      <c r="V56" s="524">
        <v>0</v>
      </c>
      <c r="W56" s="130">
        <v>0</v>
      </c>
      <c r="X56" s="130">
        <v>0</v>
      </c>
      <c r="Y56" s="130">
        <v>0</v>
      </c>
      <c r="Z56" s="130">
        <v>0</v>
      </c>
      <c r="AA56" s="158" t="s">
        <v>2078</v>
      </c>
      <c r="AB56" s="158"/>
      <c r="AC56" s="158"/>
      <c r="AD56" s="158"/>
      <c r="AE56" s="158" t="b">
        <f>IF(AB56="",TRUE,IF(IF(AC56="",VLOOKUP(AB56,Calculs!$A$19:$S$425,19,FALSE),VLOOKUP(AC56,Calculs!$A$19:$S$425,19,FALSE))&gt;=AD56,TRUE,FALSE))</f>
        <v>1</v>
      </c>
      <c r="AF56" s="158"/>
      <c r="AG56" s="158"/>
      <c r="AH56" s="158"/>
      <c r="AI56" s="158" t="b">
        <f>IF(AF56="",TRUE,IF(IF(AG56="",VLOOKUP(AF56,Calculs!$A$19:$S$425,19,FALSE),VLOOKUP(AG56,Calculs!$A$19:$S$425,19,FALSE))&gt;=AH56,TRUE,FALSE))</f>
        <v>1</v>
      </c>
      <c r="AJ56" s="158"/>
      <c r="AK56" s="158"/>
      <c r="AL56" s="158"/>
      <c r="AM56" s="158" t="b">
        <f>IF(AJ56="",TRUE,IF(IF(AK56="",VLOOKUP(AJ56,Calculs!$A$19:$S$425,19,FALSE),VLOOKUP(AK56,Calculs!$A$19:$S$425,19,FALSE))&gt;=AL56,TRUE,FALSE))</f>
        <v>1</v>
      </c>
      <c r="AN56" s="158"/>
      <c r="AO56" s="158"/>
      <c r="AP56" s="158"/>
      <c r="AQ56" s="158" t="b">
        <f>IF(AN56="",TRUE,IF(IF(AO56="",VLOOKUP(AN56,Calculs!$A$19:$S$425,19,FALSE),VLOOKUP(AO56,Calculs!$A$19:$S$425,19,FALSE))&gt;=AP56,TRUE,FALSE))</f>
        <v>1</v>
      </c>
      <c r="AR56" s="158"/>
      <c r="AS56" s="158" t="b">
        <f>IF(AR56="",TRUE,IF(VLOOKUP(AR56,Calculs!$A$427:$G$738,7,FALSE)&gt;0,TRUE,FALSE))</f>
        <v>1</v>
      </c>
      <c r="AT56" s="158"/>
      <c r="AU56" s="158" t="b">
        <f>IF(AT56="",TRUE,IF(VLOOKUP(AT56,Calculs!$A$740:$G$912,7,FALSE)&gt;0,TRUE,FALSE))</f>
        <v>1</v>
      </c>
      <c r="AV56" s="158" t="b">
        <f t="shared" si="0"/>
        <v>1</v>
      </c>
      <c r="AW56" s="158" t="s">
        <v>2078</v>
      </c>
      <c r="AX56" s="162" t="s">
        <v>8065</v>
      </c>
      <c r="AY56" s="522" t="s">
        <v>2078</v>
      </c>
      <c r="AZ56" s="555" t="s">
        <v>8072</v>
      </c>
      <c r="BA56" s="559">
        <f>IF(Verso!$B$10=Voies!$B56,1,0)</f>
        <v>0</v>
      </c>
      <c r="BB56" s="12">
        <f>IF(Verso!$B$11=Voies!$B56,1,0)</f>
        <v>0</v>
      </c>
      <c r="BC56" s="12">
        <f>IF(Verso!$B$12=Voies!$B56,1,0)</f>
        <v>0</v>
      </c>
      <c r="BD56" s="12">
        <f>IF(Verso!$B$13=Voies!$B56,1,0)</f>
        <v>0</v>
      </c>
      <c r="BE56" s="12">
        <f>IF(Verso!$B$14=Voies!$B56,1,0)</f>
        <v>0</v>
      </c>
      <c r="BF56" s="12">
        <f>IF(Verso!$B$15=Voies!$B56,1,0)</f>
        <v>0</v>
      </c>
      <c r="BG56" s="12">
        <f>IF(Verso!$B$16=Voies!$B56,1,0)</f>
        <v>0</v>
      </c>
      <c r="BH56" s="12">
        <f>IF(Verso!$B$17=Voies!$B56,1,0)</f>
        <v>0</v>
      </c>
      <c r="BI56" s="557">
        <f t="shared" si="1"/>
        <v>0</v>
      </c>
      <c r="BJ56" s="196" t="str">
        <f t="shared" si="2"/>
        <v/>
      </c>
      <c r="BK56" s="196" t="str">
        <f t="shared" si="3"/>
        <v/>
      </c>
      <c r="BL56" s="295" t="str">
        <f t="shared" si="4"/>
        <v/>
      </c>
      <c r="BM56" s="91"/>
    </row>
    <row r="57" spans="1:65" ht="47.25" customHeight="1" x14ac:dyDescent="0.25">
      <c r="A57" s="162" t="str">
        <f>IF(AND(Réputation&gt;Voies!E57-1,OR(C57=TRUE,Calculs!$I$8&gt;0),Air&gt;Voies!J57-1,Eau&gt;Voies!K57-1,Feu&gt;Voies!L57-1,Terre&gt;Voies!M57-1,Vide&gt;Voies!N57-1,Constitution&gt;Voies!O57-1,Volonté&gt;Voies!P57-1,Force&gt;Voies!Q57-1,Perception&gt;Voies!R57-1,Reflexes&gt;Voies!S57-1,Agilité&gt;Voies!T57-1,Intuition&gt;Voies!U57-1,Intelligence&gt;Voies!V57-1,Souillure&gt;Voies!W57-1,Honneur&gt;X57-1,Statut&gt;Y57-1,Gloire&gt;Z57-1,AV57=TRUE),Voies!B57,"")</f>
        <v/>
      </c>
      <c r="B57" s="162" t="s">
        <v>8075</v>
      </c>
      <c r="C57" s="162" t="b">
        <f>IF(Clan=Voies!D56,TRUE,FALSE)</f>
        <v>0</v>
      </c>
      <c r="D57" s="387" t="s">
        <v>181</v>
      </c>
      <c r="E57" s="13">
        <v>4</v>
      </c>
      <c r="F57" s="199">
        <v>4</v>
      </c>
      <c r="G57" s="13" t="s">
        <v>2049</v>
      </c>
      <c r="H57" s="162" t="s">
        <v>8074</v>
      </c>
      <c r="I57" s="129" t="s">
        <v>8076</v>
      </c>
      <c r="J57" s="146">
        <v>0</v>
      </c>
      <c r="K57" s="147">
        <v>0</v>
      </c>
      <c r="L57" s="148">
        <v>0</v>
      </c>
      <c r="M57" s="149">
        <v>0</v>
      </c>
      <c r="N57" s="150">
        <v>0</v>
      </c>
      <c r="O57" s="130">
        <v>0</v>
      </c>
      <c r="P57" s="130">
        <v>0</v>
      </c>
      <c r="Q57" s="130">
        <v>0</v>
      </c>
      <c r="R57" s="130">
        <v>0</v>
      </c>
      <c r="S57" s="130">
        <v>0</v>
      </c>
      <c r="T57" s="130">
        <v>0</v>
      </c>
      <c r="U57" s="130">
        <v>0</v>
      </c>
      <c r="V57" s="524">
        <v>0</v>
      </c>
      <c r="W57" s="130">
        <v>1</v>
      </c>
      <c r="X57" s="130">
        <v>0</v>
      </c>
      <c r="Y57" s="130">
        <v>0</v>
      </c>
      <c r="Z57" s="130">
        <v>0</v>
      </c>
      <c r="AA57" s="158" t="s">
        <v>2078</v>
      </c>
      <c r="AB57" s="158"/>
      <c r="AC57" s="158"/>
      <c r="AD57" s="158"/>
      <c r="AE57" s="158" t="b">
        <f>IF(AB57="",TRUE,IF(IF(AC57="",VLOOKUP(AB57,Calculs!$A$19:$S$425,19,FALSE),VLOOKUP(AC57,Calculs!$A$19:$S$425,19,FALSE))&gt;=AD57,TRUE,FALSE))</f>
        <v>1</v>
      </c>
      <c r="AF57" s="158"/>
      <c r="AG57" s="158"/>
      <c r="AH57" s="158"/>
      <c r="AI57" s="158" t="b">
        <f>IF(AF57="",TRUE,IF(IF(AG57="",VLOOKUP(AF57,Calculs!$A$19:$S$425,19,FALSE),VLOOKUP(AG57,Calculs!$A$19:$S$425,19,FALSE))&gt;=AH57,TRUE,FALSE))</f>
        <v>1</v>
      </c>
      <c r="AJ57" s="158"/>
      <c r="AK57" s="158"/>
      <c r="AL57" s="158"/>
      <c r="AM57" s="158" t="b">
        <f>IF(AJ57="",TRUE,IF(IF(AK57="",VLOOKUP(AJ57,Calculs!$A$19:$S$425,19,FALSE),VLOOKUP(AK57,Calculs!$A$19:$S$425,19,FALSE))&gt;=AL57,TRUE,FALSE))</f>
        <v>1</v>
      </c>
      <c r="AN57" s="158"/>
      <c r="AO57" s="158"/>
      <c r="AP57" s="158"/>
      <c r="AQ57" s="158" t="b">
        <f>IF(AN57="",TRUE,IF(IF(AO57="",VLOOKUP(AN57,Calculs!$A$19:$S$425,19,FALSE),VLOOKUP(AO57,Calculs!$A$19:$S$425,19,FALSE))&gt;=AP57,TRUE,FALSE))</f>
        <v>1</v>
      </c>
      <c r="AR57" s="158"/>
      <c r="AS57" s="158" t="b">
        <f>IF(AR57="",TRUE,IF(VLOOKUP(AR57,Calculs!$A$427:$G$738,7,FALSE)&gt;0,TRUE,FALSE))</f>
        <v>1</v>
      </c>
      <c r="AT57" s="158"/>
      <c r="AU57" s="158" t="b">
        <f>IF(AT57="",TRUE,IF(VLOOKUP(AT57,Calculs!$A$740:$G$912,7,FALSE)&gt;0,TRUE,FALSE))</f>
        <v>1</v>
      </c>
      <c r="AV57" s="158" t="b">
        <f t="shared" si="0"/>
        <v>1</v>
      </c>
      <c r="AW57" s="158" t="s">
        <v>2078</v>
      </c>
      <c r="AX57" s="162" t="s">
        <v>8021</v>
      </c>
      <c r="AY57" s="522">
        <v>41</v>
      </c>
      <c r="AZ57" s="555" t="str">
        <f>CONCATENATE("Vous gagnez ",Souillure," à votre ND d'armure")</f>
        <v>Vous gagnez 0 à votre ND d'armure</v>
      </c>
      <c r="BA57" s="559">
        <f>IF(Verso!$B$10=Voies!$B57,1,0)</f>
        <v>0</v>
      </c>
      <c r="BB57" s="12">
        <f>IF(Verso!$B$11=Voies!$B57,1,0)</f>
        <v>0</v>
      </c>
      <c r="BC57" s="12">
        <f>IF(Verso!$B$12=Voies!$B57,1,0)</f>
        <v>0</v>
      </c>
      <c r="BD57" s="12">
        <f>IF(Verso!$B$13=Voies!$B57,1,0)</f>
        <v>0</v>
      </c>
      <c r="BE57" s="12">
        <f>IF(Verso!$B$14=Voies!$B57,1,0)</f>
        <v>0</v>
      </c>
      <c r="BF57" s="12">
        <f>IF(Verso!$B$15=Voies!$B57,1,0)</f>
        <v>0</v>
      </c>
      <c r="BG57" s="12">
        <f>IF(Verso!$B$16=Voies!$B57,1,0)</f>
        <v>0</v>
      </c>
      <c r="BH57" s="12">
        <f>IF(Verso!$B$17=Voies!$B57,1,0)</f>
        <v>0</v>
      </c>
      <c r="BI57" s="557">
        <f t="shared" si="1"/>
        <v>0</v>
      </c>
      <c r="BJ57" s="196" t="str">
        <f t="shared" si="2"/>
        <v/>
      </c>
      <c r="BK57" s="196" t="str">
        <f t="shared" si="3"/>
        <v/>
      </c>
      <c r="BL57" s="295" t="str">
        <f t="shared" si="4"/>
        <v/>
      </c>
    </row>
    <row r="58" spans="1:65" ht="47.25" customHeight="1" x14ac:dyDescent="0.25">
      <c r="A58" s="162" t="str">
        <f>IF(AND(Réputation&gt;Voies!E58-1,OR(C58=TRUE,Calculs!$I$8&gt;0),Air&gt;Voies!J58-1,Eau&gt;Voies!K58-1,Feu&gt;Voies!L58-1,Terre&gt;Voies!M58-1,Vide&gt;Voies!N58-1,Constitution&gt;Voies!O58-1,Volonté&gt;Voies!P58-1,Force&gt;Voies!Q58-1,Perception&gt;Voies!R58-1,Reflexes&gt;Voies!S58-1,Agilité&gt;Voies!T58-1,Intuition&gt;Voies!U58-1,Intelligence&gt;Voies!V58-1,Souillure&gt;Voies!W58-1,Honneur&gt;X58-1,Statut&gt;Y58-1,Gloire&gt;Z58-1,AV58=TRUE),Voies!B58,"")</f>
        <v/>
      </c>
      <c r="B58" s="162" t="s">
        <v>2115</v>
      </c>
      <c r="C58" s="162" t="b">
        <f>IF(Clan=Voies!D57,TRUE,FALSE)</f>
        <v>0</v>
      </c>
      <c r="D58" s="387" t="s">
        <v>181</v>
      </c>
      <c r="E58" s="13">
        <v>4</v>
      </c>
      <c r="F58" s="199">
        <v>4</v>
      </c>
      <c r="G58" s="13" t="s">
        <v>2052</v>
      </c>
      <c r="H58" s="162" t="s">
        <v>247</v>
      </c>
      <c r="I58" s="129" t="str">
        <f>IF(B58="","","Rien")</f>
        <v>Rien</v>
      </c>
      <c r="J58" s="146">
        <v>0</v>
      </c>
      <c r="K58" s="147">
        <v>0</v>
      </c>
      <c r="L58" s="148">
        <v>0</v>
      </c>
      <c r="M58" s="149">
        <v>0</v>
      </c>
      <c r="N58" s="150">
        <v>0</v>
      </c>
      <c r="O58" s="130">
        <v>0</v>
      </c>
      <c r="P58" s="130">
        <v>0</v>
      </c>
      <c r="Q58" s="130">
        <v>0</v>
      </c>
      <c r="R58" s="130">
        <v>0</v>
      </c>
      <c r="S58" s="130">
        <v>0</v>
      </c>
      <c r="T58" s="130">
        <v>0</v>
      </c>
      <c r="U58" s="130">
        <v>0</v>
      </c>
      <c r="V58" s="524">
        <v>0</v>
      </c>
      <c r="W58" s="130">
        <v>0</v>
      </c>
      <c r="X58" s="130">
        <v>0</v>
      </c>
      <c r="Y58" s="130">
        <v>0</v>
      </c>
      <c r="Z58" s="130">
        <v>0</v>
      </c>
      <c r="AA58" s="158" t="s">
        <v>2078</v>
      </c>
      <c r="AB58" s="158"/>
      <c r="AC58" s="158"/>
      <c r="AD58" s="158"/>
      <c r="AE58" s="158" t="b">
        <f>IF(AB58="",TRUE,IF(IF(AC58="",VLOOKUP(AB58,Calculs!$A$19:$S$425,19,FALSE),VLOOKUP(AC58,Calculs!$A$19:$S$425,19,FALSE))&gt;=AD58,TRUE,FALSE))</f>
        <v>1</v>
      </c>
      <c r="AF58" s="158"/>
      <c r="AG58" s="158"/>
      <c r="AH58" s="158"/>
      <c r="AI58" s="158" t="b">
        <f>IF(AF58="",TRUE,IF(IF(AG58="",VLOOKUP(AF58,Calculs!$A$19:$S$425,19,FALSE),VLOOKUP(AG58,Calculs!$A$19:$S$425,19,FALSE))&gt;=AH58,TRUE,FALSE))</f>
        <v>1</v>
      </c>
      <c r="AJ58" s="158"/>
      <c r="AK58" s="158"/>
      <c r="AL58" s="158"/>
      <c r="AM58" s="158" t="b">
        <f>IF(AJ58="",TRUE,IF(IF(AK58="",VLOOKUP(AJ58,Calculs!$A$19:$S$425,19,FALSE),VLOOKUP(AK58,Calculs!$A$19:$S$425,19,FALSE))&gt;=AL58,TRUE,FALSE))</f>
        <v>1</v>
      </c>
      <c r="AN58" s="158"/>
      <c r="AO58" s="158"/>
      <c r="AP58" s="158"/>
      <c r="AQ58" s="158" t="b">
        <f>IF(AN58="",TRUE,IF(IF(AO58="",VLOOKUP(AN58,Calculs!$A$19:$S$425,19,FALSE),VLOOKUP(AO58,Calculs!$A$19:$S$425,19,FALSE))&gt;=AP58,TRUE,FALSE))</f>
        <v>1</v>
      </c>
      <c r="AR58" s="158"/>
      <c r="AS58" s="158" t="b">
        <f>IF(AR58="",TRUE,IF(VLOOKUP(AR58,Calculs!$A$427:$G$738,7,FALSE)&gt;0,TRUE,FALSE))</f>
        <v>1</v>
      </c>
      <c r="AT58" s="158"/>
      <c r="AU58" s="158" t="b">
        <f>IF(AT58="",TRUE,IF(VLOOKUP(AT58,Calculs!$A$740:$G$912,7,FALSE)&gt;0,TRUE,FALSE))</f>
        <v>1</v>
      </c>
      <c r="AV58" s="158" t="b">
        <f t="shared" si="0"/>
        <v>1</v>
      </c>
      <c r="AW58" s="158" t="s">
        <v>2078</v>
      </c>
      <c r="AX58" s="162" t="s">
        <v>3</v>
      </c>
      <c r="AY58" s="15">
        <v>213</v>
      </c>
      <c r="AZ58" s="566" t="s">
        <v>8514</v>
      </c>
      <c r="BA58" s="559">
        <f>IF(Verso!$B$10=Voies!$B58,1,0)</f>
        <v>0</v>
      </c>
      <c r="BB58" s="12">
        <f>IF(Verso!$B$11=Voies!$B58,1,0)</f>
        <v>0</v>
      </c>
      <c r="BC58" s="12">
        <f>IF(Verso!$B$12=Voies!$B58,1,0)</f>
        <v>0</v>
      </c>
      <c r="BD58" s="12">
        <f>IF(Verso!$B$13=Voies!$B58,1,0)</f>
        <v>0</v>
      </c>
      <c r="BE58" s="12">
        <f>IF(Verso!$B$14=Voies!$B58,1,0)</f>
        <v>0</v>
      </c>
      <c r="BF58" s="12">
        <f>IF(Verso!$B$15=Voies!$B58,1,0)</f>
        <v>0</v>
      </c>
      <c r="BG58" s="12">
        <f>IF(Verso!$B$16=Voies!$B58,1,0)</f>
        <v>0</v>
      </c>
      <c r="BH58" s="12">
        <f>IF(Verso!$B$17=Voies!$B58,1,0)</f>
        <v>0</v>
      </c>
      <c r="BI58" s="557">
        <f t="shared" si="1"/>
        <v>0</v>
      </c>
      <c r="BJ58" s="196" t="str">
        <f t="shared" si="2"/>
        <v/>
      </c>
      <c r="BK58" s="196" t="str">
        <f t="shared" si="3"/>
        <v/>
      </c>
      <c r="BL58" s="295" t="str">
        <f t="shared" si="4"/>
        <v/>
      </c>
    </row>
    <row r="59" spans="1:65" ht="47.25" customHeight="1" x14ac:dyDescent="0.25">
      <c r="A59" s="162" t="str">
        <f>IF(AND(Réputation&gt;Voies!E59-1,OR(C59=TRUE,Calculs!$I$8&gt;0),Air&gt;Voies!J59-1,Eau&gt;Voies!K59-1,Feu&gt;Voies!L59-1,Terre&gt;Voies!M59-1,Vide&gt;Voies!N59-1,Constitution&gt;Voies!O59-1,Volonté&gt;Voies!P59-1,Force&gt;Voies!Q59-1,Perception&gt;Voies!R59-1,Reflexes&gt;Voies!S59-1,Agilité&gt;Voies!T59-1,Intuition&gt;Voies!U59-1,Intelligence&gt;Voies!V59-1,Souillure&gt;Voies!W59-1,Honneur&gt;X59-1,Statut&gt;Y59-1,Gloire&gt;Z59-1,AV59=TRUE),Voies!B59,"")</f>
        <v/>
      </c>
      <c r="B59" s="162" t="s">
        <v>2122</v>
      </c>
      <c r="C59" s="162" t="b">
        <f>IF(Clan=Voies!D58,TRUE,FALSE)</f>
        <v>0</v>
      </c>
      <c r="D59" s="387" t="s">
        <v>181</v>
      </c>
      <c r="E59" s="13">
        <v>4</v>
      </c>
      <c r="F59" s="199">
        <v>4</v>
      </c>
      <c r="G59" s="13" t="s">
        <v>2050</v>
      </c>
      <c r="H59" s="162" t="s">
        <v>1934</v>
      </c>
      <c r="I59" s="129" t="str">
        <f>IF(B59="","","Rien")</f>
        <v>Rien</v>
      </c>
      <c r="J59" s="146">
        <v>0</v>
      </c>
      <c r="K59" s="147">
        <v>0</v>
      </c>
      <c r="L59" s="148">
        <v>0</v>
      </c>
      <c r="M59" s="149">
        <v>0</v>
      </c>
      <c r="N59" s="150">
        <v>0</v>
      </c>
      <c r="O59" s="130">
        <v>0</v>
      </c>
      <c r="P59" s="130">
        <v>0</v>
      </c>
      <c r="Q59" s="130">
        <v>0</v>
      </c>
      <c r="R59" s="130">
        <v>0</v>
      </c>
      <c r="S59" s="130">
        <v>0</v>
      </c>
      <c r="T59" s="130">
        <v>0</v>
      </c>
      <c r="U59" s="130">
        <v>0</v>
      </c>
      <c r="V59" s="524">
        <v>0</v>
      </c>
      <c r="W59" s="130">
        <v>0</v>
      </c>
      <c r="X59" s="130">
        <v>0</v>
      </c>
      <c r="Y59" s="130">
        <v>0</v>
      </c>
      <c r="Z59" s="130">
        <v>0</v>
      </c>
      <c r="AA59" s="158" t="s">
        <v>2078</v>
      </c>
      <c r="AB59" s="158"/>
      <c r="AC59" s="158"/>
      <c r="AD59" s="158"/>
      <c r="AE59" s="158" t="b">
        <f>IF(AB59="",TRUE,IF(IF(AC59="",VLOOKUP(AB59,Calculs!$A$19:$S$425,19,FALSE),VLOOKUP(AC59,Calculs!$A$19:$S$425,19,FALSE))&gt;=AD59,TRUE,FALSE))</f>
        <v>1</v>
      </c>
      <c r="AF59" s="158"/>
      <c r="AG59" s="158"/>
      <c r="AH59" s="158"/>
      <c r="AI59" s="158" t="b">
        <f>IF(AF59="",TRUE,IF(IF(AG59="",VLOOKUP(AF59,Calculs!$A$19:$S$425,19,FALSE),VLOOKUP(AG59,Calculs!$A$19:$S$425,19,FALSE))&gt;=AH59,TRUE,FALSE))</f>
        <v>1</v>
      </c>
      <c r="AJ59" s="158"/>
      <c r="AK59" s="158"/>
      <c r="AL59" s="158"/>
      <c r="AM59" s="158" t="b">
        <f>IF(AJ59="",TRUE,IF(IF(AK59="",VLOOKUP(AJ59,Calculs!$A$19:$S$425,19,FALSE),VLOOKUP(AK59,Calculs!$A$19:$S$425,19,FALSE))&gt;=AL59,TRUE,FALSE))</f>
        <v>1</v>
      </c>
      <c r="AN59" s="158"/>
      <c r="AO59" s="158"/>
      <c r="AP59" s="158"/>
      <c r="AQ59" s="158" t="b">
        <f>IF(AN59="",TRUE,IF(IF(AO59="",VLOOKUP(AN59,Calculs!$A$19:$S$425,19,FALSE),VLOOKUP(AO59,Calculs!$A$19:$S$425,19,FALSE))&gt;=AP59,TRUE,FALSE))</f>
        <v>1</v>
      </c>
      <c r="AR59" s="158"/>
      <c r="AS59" s="158" t="b">
        <f>IF(AR59="",TRUE,IF(VLOOKUP(AR59,Calculs!$A$427:$G$738,7,FALSE)&gt;0,TRUE,FALSE))</f>
        <v>1</v>
      </c>
      <c r="AT59" s="158"/>
      <c r="AU59" s="158" t="b">
        <f>IF(AT59="",TRUE,IF(VLOOKUP(AT59,Calculs!$A$740:$G$912,7,FALSE)&gt;0,TRUE,FALSE))</f>
        <v>1</v>
      </c>
      <c r="AV59" s="158" t="b">
        <f t="shared" si="0"/>
        <v>1</v>
      </c>
      <c r="AW59" s="158" t="s">
        <v>2078</v>
      </c>
      <c r="AX59" s="162" t="s">
        <v>3</v>
      </c>
      <c r="AY59" s="15">
        <v>215</v>
      </c>
      <c r="AZ59" s="555" t="str">
        <f>CONCATENATE("Vous pouvez augmenter le ND des Sorts lancés contre vous de la valeur de l'Anneau de votre choix (sauf Vide) +",Souillure)</f>
        <v>Vous pouvez augmenter le ND des Sorts lancés contre vous de la valeur de l'Anneau de votre choix (sauf Vide) +0</v>
      </c>
      <c r="BA59" s="559">
        <f>IF(Verso!$B$10=Voies!$B59,1,0)</f>
        <v>0</v>
      </c>
      <c r="BB59" s="12">
        <f>IF(Verso!$B$11=Voies!$B59,1,0)</f>
        <v>0</v>
      </c>
      <c r="BC59" s="12">
        <f>IF(Verso!$B$12=Voies!$B59,1,0)</f>
        <v>0</v>
      </c>
      <c r="BD59" s="12">
        <f>IF(Verso!$B$13=Voies!$B59,1,0)</f>
        <v>0</v>
      </c>
      <c r="BE59" s="12">
        <f>IF(Verso!$B$14=Voies!$B59,1,0)</f>
        <v>0</v>
      </c>
      <c r="BF59" s="12">
        <f>IF(Verso!$B$15=Voies!$B59,1,0)</f>
        <v>0</v>
      </c>
      <c r="BG59" s="12">
        <f>IF(Verso!$B$16=Voies!$B59,1,0)</f>
        <v>0</v>
      </c>
      <c r="BH59" s="12">
        <f>IF(Verso!$B$17=Voies!$B59,1,0)</f>
        <v>0</v>
      </c>
      <c r="BI59" s="557">
        <f t="shared" si="1"/>
        <v>0</v>
      </c>
      <c r="BJ59" s="196" t="str">
        <f t="shared" si="2"/>
        <v/>
      </c>
      <c r="BK59" s="196" t="str">
        <f t="shared" si="3"/>
        <v/>
      </c>
      <c r="BL59" s="295" t="str">
        <f t="shared" si="4"/>
        <v/>
      </c>
    </row>
    <row r="60" spans="1:65" ht="47.25" customHeight="1" x14ac:dyDescent="0.25">
      <c r="A60" s="162" t="str">
        <f>IF(AND(Réputation&gt;Voies!E60-1,OR(C60=TRUE,Calculs!$I$8&gt;0),Air&gt;Voies!J60-1,Eau&gt;Voies!K60-1,Feu&gt;Voies!L60-1,Terre&gt;Voies!M60-1,Vide&gt;Voies!N60-1,Constitution&gt;Voies!O60-1,Volonté&gt;Voies!P60-1,Force&gt;Voies!Q60-1,Perception&gt;Voies!R60-1,Reflexes&gt;Voies!S60-1,Agilité&gt;Voies!T60-1,Intuition&gt;Voies!U60-1,Intelligence&gt;Voies!V60-1,Souillure&gt;Voies!W60-1,Honneur&gt;X60-1,Statut&gt;Y60-1,Gloire&gt;Z60-1,AV60=TRUE),Voies!B60,"")</f>
        <v/>
      </c>
      <c r="B60" s="162" t="s">
        <v>3234</v>
      </c>
      <c r="C60" s="162" t="b">
        <f>IF(Clan=Voies!D59,TRUE,FALSE)</f>
        <v>0</v>
      </c>
      <c r="D60" s="387" t="s">
        <v>181</v>
      </c>
      <c r="E60" s="13">
        <v>4</v>
      </c>
      <c r="F60" s="199">
        <v>4</v>
      </c>
      <c r="G60" s="13" t="s">
        <v>2048</v>
      </c>
      <c r="H60" s="162" t="s">
        <v>596</v>
      </c>
      <c r="I60" s="129" t="s">
        <v>8050</v>
      </c>
      <c r="J60" s="146">
        <v>0</v>
      </c>
      <c r="K60" s="147">
        <v>0</v>
      </c>
      <c r="L60" s="148">
        <v>0</v>
      </c>
      <c r="M60" s="149">
        <v>0</v>
      </c>
      <c r="N60" s="150">
        <v>0</v>
      </c>
      <c r="O60" s="130">
        <v>0</v>
      </c>
      <c r="P60" s="130">
        <v>0</v>
      </c>
      <c r="Q60" s="130">
        <v>0</v>
      </c>
      <c r="R60" s="130">
        <v>0</v>
      </c>
      <c r="S60" s="130">
        <v>0</v>
      </c>
      <c r="T60" s="130">
        <v>0</v>
      </c>
      <c r="U60" s="130">
        <v>0</v>
      </c>
      <c r="V60" s="524">
        <v>0</v>
      </c>
      <c r="W60" s="130">
        <v>0</v>
      </c>
      <c r="X60" s="130">
        <v>0</v>
      </c>
      <c r="Y60" s="130">
        <v>0</v>
      </c>
      <c r="Z60" s="130">
        <v>0</v>
      </c>
      <c r="AA60" s="158" t="s">
        <v>2078</v>
      </c>
      <c r="AB60" s="158"/>
      <c r="AC60" s="158"/>
      <c r="AD60" s="158"/>
      <c r="AE60" s="158" t="b">
        <f>IF(AB60="",TRUE,IF(IF(AC60="",VLOOKUP(AB60,Calculs!$A$19:$S$425,19,FALSE),VLOOKUP(AC60,Calculs!$A$19:$S$425,19,FALSE))&gt;=AD60,TRUE,FALSE))</f>
        <v>1</v>
      </c>
      <c r="AF60" s="158"/>
      <c r="AG60" s="158"/>
      <c r="AH60" s="158"/>
      <c r="AI60" s="158" t="b">
        <f>IF(AF60="",TRUE,IF(IF(AG60="",VLOOKUP(AF60,Calculs!$A$19:$S$425,19,FALSE),VLOOKUP(AG60,Calculs!$A$19:$S$425,19,FALSE))&gt;=AH60,TRUE,FALSE))</f>
        <v>1</v>
      </c>
      <c r="AJ60" s="158"/>
      <c r="AK60" s="158"/>
      <c r="AL60" s="158"/>
      <c r="AM60" s="158" t="b">
        <f>IF(AJ60="",TRUE,IF(IF(AK60="",VLOOKUP(AJ60,Calculs!$A$19:$S$425,19,FALSE),VLOOKUP(AK60,Calculs!$A$19:$S$425,19,FALSE))&gt;=AL60,TRUE,FALSE))</f>
        <v>1</v>
      </c>
      <c r="AN60" s="158"/>
      <c r="AO60" s="158"/>
      <c r="AP60" s="158"/>
      <c r="AQ60" s="158" t="b">
        <f>IF(AN60="",TRUE,IF(IF(AO60="",VLOOKUP(AN60,Calculs!$A$19:$S$425,19,FALSE),VLOOKUP(AO60,Calculs!$A$19:$S$425,19,FALSE))&gt;=AP60,TRUE,FALSE))</f>
        <v>1</v>
      </c>
      <c r="AR60" s="158"/>
      <c r="AS60" s="158" t="b">
        <f>IF(AR60="",TRUE,IF(VLOOKUP(AR60,Calculs!$A$427:$G$738,7,FALSE)&gt;0,TRUE,FALSE))</f>
        <v>1</v>
      </c>
      <c r="AT60" s="158"/>
      <c r="AU60" s="158" t="b">
        <f>IF(AT60="",TRUE,IF(VLOOKUP(AT60,Calculs!$A$740:$G$912,7,FALSE)&gt;0,TRUE,FALSE))</f>
        <v>1</v>
      </c>
      <c r="AV60" s="158" t="b">
        <f t="shared" si="0"/>
        <v>1</v>
      </c>
      <c r="AW60" s="158" t="s">
        <v>2078</v>
      </c>
      <c r="AX60" s="162" t="s">
        <v>3</v>
      </c>
      <c r="AY60" s="15">
        <v>255</v>
      </c>
      <c r="AZ60" s="566" t="s">
        <v>8515</v>
      </c>
      <c r="BA60" s="559">
        <f>IF(Verso!$B$10=Voies!$B60,1,0)</f>
        <v>0</v>
      </c>
      <c r="BB60" s="12">
        <f>IF(Verso!$B$11=Voies!$B60,1,0)</f>
        <v>0</v>
      </c>
      <c r="BC60" s="12">
        <f>IF(Verso!$B$12=Voies!$B60,1,0)</f>
        <v>0</v>
      </c>
      <c r="BD60" s="12">
        <f>IF(Verso!$B$13=Voies!$B60,1,0)</f>
        <v>0</v>
      </c>
      <c r="BE60" s="12">
        <f>IF(Verso!$B$14=Voies!$B60,1,0)</f>
        <v>0</v>
      </c>
      <c r="BF60" s="12">
        <f>IF(Verso!$B$15=Voies!$B60,1,0)</f>
        <v>0</v>
      </c>
      <c r="BG60" s="12">
        <f>IF(Verso!$B$16=Voies!$B60,1,0)</f>
        <v>0</v>
      </c>
      <c r="BH60" s="12">
        <f>IF(Verso!$B$17=Voies!$B60,1,0)</f>
        <v>0</v>
      </c>
      <c r="BI60" s="557">
        <f t="shared" si="1"/>
        <v>0</v>
      </c>
      <c r="BJ60" s="196" t="str">
        <f t="shared" si="2"/>
        <v/>
      </c>
      <c r="BK60" s="196" t="str">
        <f t="shared" si="3"/>
        <v/>
      </c>
      <c r="BL60" s="295" t="str">
        <f t="shared" si="4"/>
        <v/>
      </c>
    </row>
    <row r="61" spans="1:65" s="196" customFormat="1" ht="47.25" customHeight="1" x14ac:dyDescent="0.25">
      <c r="A61" s="162" t="str">
        <f>IF(AND(Réputation&gt;Voies!E61-1,OR(C61=TRUE,Calculs!$I$8&gt;0),Air&gt;Voies!J61-1,Eau&gt;Voies!K61-1,Feu&gt;Voies!L61-1,Terre&gt;Voies!M61-1,Vide&gt;Voies!N61-1,Constitution&gt;Voies!O61-1,Volonté&gt;Voies!P61-1,Force&gt;Voies!Q61-1,Perception&gt;Voies!R61-1,Reflexes&gt;Voies!S61-1,Agilité&gt;Voies!T61-1,Intuition&gt;Voies!U61-1,Intelligence&gt;Voies!V61-1,Souillure&gt;Voies!W61-1,Honneur&gt;X61-1,Statut&gt;Y61-1,Gloire&gt;Z61-1,AV61=TRUE),Voies!B61,"")</f>
        <v/>
      </c>
      <c r="B61" s="162" t="s">
        <v>2109</v>
      </c>
      <c r="C61" s="162" t="b">
        <f>IF(Clan=Voies!D60,TRUE,FALSE)</f>
        <v>0</v>
      </c>
      <c r="D61" s="387" t="s">
        <v>181</v>
      </c>
      <c r="E61" s="199">
        <v>5</v>
      </c>
      <c r="F61" s="199">
        <v>5</v>
      </c>
      <c r="G61" s="199" t="s">
        <v>2049</v>
      </c>
      <c r="H61" s="162" t="s">
        <v>246</v>
      </c>
      <c r="I61" s="129" t="str">
        <f t="shared" ref="I61:I70" si="6">IF(B61="","","Rien")</f>
        <v>Rien</v>
      </c>
      <c r="J61" s="146">
        <v>0</v>
      </c>
      <c r="K61" s="147">
        <v>0</v>
      </c>
      <c r="L61" s="148">
        <v>0</v>
      </c>
      <c r="M61" s="149">
        <v>0</v>
      </c>
      <c r="N61" s="150">
        <v>0</v>
      </c>
      <c r="O61" s="130">
        <v>0</v>
      </c>
      <c r="P61" s="130">
        <v>0</v>
      </c>
      <c r="Q61" s="130">
        <v>0</v>
      </c>
      <c r="R61" s="130">
        <v>0</v>
      </c>
      <c r="S61" s="130">
        <v>0</v>
      </c>
      <c r="T61" s="130">
        <v>0</v>
      </c>
      <c r="U61" s="130">
        <v>0</v>
      </c>
      <c r="V61" s="524">
        <v>0</v>
      </c>
      <c r="W61" s="130">
        <v>0</v>
      </c>
      <c r="X61" s="130">
        <v>0</v>
      </c>
      <c r="Y61" s="130">
        <v>0</v>
      </c>
      <c r="Z61" s="130">
        <v>0</v>
      </c>
      <c r="AA61" s="158" t="s">
        <v>2078</v>
      </c>
      <c r="AB61" s="158"/>
      <c r="AC61" s="158"/>
      <c r="AD61" s="158"/>
      <c r="AE61" s="158" t="b">
        <f>IF(AB61="",TRUE,IF(IF(AC61="",VLOOKUP(AB61,Calculs!$A$19:$S$425,19,FALSE),VLOOKUP(AC61,Calculs!$A$19:$S$425,19,FALSE))&gt;=AD61,TRUE,FALSE))</f>
        <v>1</v>
      </c>
      <c r="AF61" s="158"/>
      <c r="AG61" s="158"/>
      <c r="AH61" s="158"/>
      <c r="AI61" s="158" t="b">
        <f>IF(AF61="",TRUE,IF(IF(AG61="",VLOOKUP(AF61,Calculs!$A$19:$S$425,19,FALSE),VLOOKUP(AG61,Calculs!$A$19:$S$425,19,FALSE))&gt;=AH61,TRUE,FALSE))</f>
        <v>1</v>
      </c>
      <c r="AJ61" s="158"/>
      <c r="AK61" s="158"/>
      <c r="AL61" s="158"/>
      <c r="AM61" s="158" t="b">
        <f>IF(AJ61="",TRUE,IF(IF(AK61="",VLOOKUP(AJ61,Calculs!$A$19:$S$425,19,FALSE),VLOOKUP(AK61,Calculs!$A$19:$S$425,19,FALSE))&gt;=AL61,TRUE,FALSE))</f>
        <v>1</v>
      </c>
      <c r="AN61" s="158"/>
      <c r="AO61" s="158"/>
      <c r="AP61" s="158"/>
      <c r="AQ61" s="158" t="b">
        <f>IF(AN61="",TRUE,IF(IF(AO61="",VLOOKUP(AN61,Calculs!$A$19:$S$425,19,FALSE),VLOOKUP(AO61,Calculs!$A$19:$S$425,19,FALSE))&gt;=AP61,TRUE,FALSE))</f>
        <v>1</v>
      </c>
      <c r="AR61" s="158"/>
      <c r="AS61" s="158" t="b">
        <f>IF(AR61="",TRUE,IF(VLOOKUP(AR61,Calculs!$A$427:$G$738,7,FALSE)&gt;0,TRUE,FALSE))</f>
        <v>1</v>
      </c>
      <c r="AT61" s="158"/>
      <c r="AU61" s="158" t="b">
        <f>IF(AT61="",TRUE,IF(VLOOKUP(AT61,Calculs!$A$740:$G$912,7,FALSE)&gt;0,TRUE,FALSE))</f>
        <v>1</v>
      </c>
      <c r="AV61" s="158" t="b">
        <f t="shared" si="0"/>
        <v>1</v>
      </c>
      <c r="AW61" s="158" t="s">
        <v>2078</v>
      </c>
      <c r="AX61" s="162" t="s">
        <v>3</v>
      </c>
      <c r="AY61" s="15">
        <v>212</v>
      </c>
      <c r="AZ61" s="555" t="str">
        <f>CONCATENATE("Dépensez une AC: Pendant ",Souillure+Force," rounds, toute attaque, si elle touche, ignore tout bonus, (Armure, Réduction et Posture, sauf le Malus de -10 d'Assaut)")</f>
        <v>Dépensez une AC: Pendant 2 rounds, toute attaque, si elle touche, ignore tout bonus, (Armure, Réduction et Posture, sauf le Malus de -10 d'Assaut)</v>
      </c>
      <c r="BA61" s="559">
        <f>IF(Verso!$B$10=Voies!$B61,1,0)</f>
        <v>0</v>
      </c>
      <c r="BB61" s="12">
        <f>IF(Verso!$B$11=Voies!$B61,1,0)</f>
        <v>0</v>
      </c>
      <c r="BC61" s="12">
        <f>IF(Verso!$B$12=Voies!$B61,1,0)</f>
        <v>0</v>
      </c>
      <c r="BD61" s="12">
        <f>IF(Verso!$B$13=Voies!$B61,1,0)</f>
        <v>0</v>
      </c>
      <c r="BE61" s="12">
        <f>IF(Verso!$B$14=Voies!$B61,1,0)</f>
        <v>0</v>
      </c>
      <c r="BF61" s="12">
        <f>IF(Verso!$B$15=Voies!$B61,1,0)</f>
        <v>0</v>
      </c>
      <c r="BG61" s="12">
        <f>IF(Verso!$B$16=Voies!$B61,1,0)</f>
        <v>0</v>
      </c>
      <c r="BH61" s="12">
        <f>IF(Verso!$B$17=Voies!$B61,1,0)</f>
        <v>0</v>
      </c>
      <c r="BI61" s="557">
        <f t="shared" si="1"/>
        <v>0</v>
      </c>
      <c r="BJ61" s="196" t="str">
        <f t="shared" si="2"/>
        <v/>
      </c>
      <c r="BK61" s="196" t="str">
        <f t="shared" si="3"/>
        <v/>
      </c>
      <c r="BL61" s="295" t="str">
        <f t="shared" si="4"/>
        <v/>
      </c>
      <c r="BM61" s="91"/>
    </row>
    <row r="62" spans="1:65" ht="47.25" customHeight="1" x14ac:dyDescent="0.25">
      <c r="A62" s="162" t="str">
        <f>IF(AND(Réputation&gt;Voies!E62-1,OR(C62=TRUE,Calculs!$I$8&gt;0),Air&gt;Voies!J62-1,Eau&gt;Voies!K62-1,Feu&gt;Voies!L62-1,Terre&gt;Voies!M62-1,Vide&gt;Voies!N62-1,Constitution&gt;Voies!O62-1,Volonté&gt;Voies!P62-1,Force&gt;Voies!Q62-1,Perception&gt;Voies!R62-1,Reflexes&gt;Voies!S62-1,Agilité&gt;Voies!T62-1,Intuition&gt;Voies!U62-1,Intelligence&gt;Voies!V62-1,Souillure&gt;Voies!W62-1,Honneur&gt;X62-1,Statut&gt;Y62-1,Gloire&gt;Z62-1,AV62=TRUE),Voies!B62,"")</f>
        <v/>
      </c>
      <c r="B62" s="162" t="s">
        <v>8073</v>
      </c>
      <c r="C62" s="162" t="b">
        <f>IF(Clan=Voies!D61,TRUE,FALSE)</f>
        <v>0</v>
      </c>
      <c r="D62" s="387" t="s">
        <v>181</v>
      </c>
      <c r="E62" s="199">
        <v>5</v>
      </c>
      <c r="F62" s="199">
        <v>5</v>
      </c>
      <c r="G62" s="13" t="s">
        <v>2049</v>
      </c>
      <c r="H62" s="162" t="s">
        <v>8064</v>
      </c>
      <c r="I62" s="129" t="str">
        <f t="shared" si="6"/>
        <v>Rien</v>
      </c>
      <c r="J62" s="146">
        <v>0</v>
      </c>
      <c r="K62" s="147">
        <v>0</v>
      </c>
      <c r="L62" s="148">
        <v>0</v>
      </c>
      <c r="M62" s="149">
        <v>0</v>
      </c>
      <c r="N62" s="150">
        <v>0</v>
      </c>
      <c r="O62" s="130">
        <v>0</v>
      </c>
      <c r="P62" s="130">
        <v>0</v>
      </c>
      <c r="Q62" s="130">
        <v>0</v>
      </c>
      <c r="R62" s="130">
        <v>0</v>
      </c>
      <c r="S62" s="130">
        <v>0</v>
      </c>
      <c r="T62" s="130">
        <v>0</v>
      </c>
      <c r="U62" s="130">
        <v>0</v>
      </c>
      <c r="V62" s="524">
        <v>0</v>
      </c>
      <c r="W62" s="130">
        <v>0</v>
      </c>
      <c r="X62" s="130">
        <v>0</v>
      </c>
      <c r="Y62" s="130">
        <v>0</v>
      </c>
      <c r="Z62" s="130">
        <v>0</v>
      </c>
      <c r="AA62" s="158" t="s">
        <v>2078</v>
      </c>
      <c r="AB62" s="158"/>
      <c r="AC62" s="158"/>
      <c r="AD62" s="158"/>
      <c r="AE62" s="158" t="b">
        <f>IF(AB62="",TRUE,IF(IF(AC62="",VLOOKUP(AB62,Calculs!$A$19:$S$425,19,FALSE),VLOOKUP(AC62,Calculs!$A$19:$S$425,19,FALSE))&gt;=AD62,TRUE,FALSE))</f>
        <v>1</v>
      </c>
      <c r="AF62" s="158"/>
      <c r="AG62" s="158"/>
      <c r="AH62" s="158"/>
      <c r="AI62" s="158" t="b">
        <f>IF(AF62="",TRUE,IF(IF(AG62="",VLOOKUP(AF62,Calculs!$A$19:$S$425,19,FALSE),VLOOKUP(AG62,Calculs!$A$19:$S$425,19,FALSE))&gt;=AH62,TRUE,FALSE))</f>
        <v>1</v>
      </c>
      <c r="AJ62" s="158"/>
      <c r="AK62" s="158"/>
      <c r="AL62" s="158"/>
      <c r="AM62" s="158" t="b">
        <f>IF(AJ62="",TRUE,IF(IF(AK62="",VLOOKUP(AJ62,Calculs!$A$19:$S$425,19,FALSE),VLOOKUP(AK62,Calculs!$A$19:$S$425,19,FALSE))&gt;=AL62,TRUE,FALSE))</f>
        <v>1</v>
      </c>
      <c r="AN62" s="158"/>
      <c r="AO62" s="158"/>
      <c r="AP62" s="158"/>
      <c r="AQ62" s="158" t="b">
        <f>IF(AN62="",TRUE,IF(IF(AO62="",VLOOKUP(AN62,Calculs!$A$19:$S$425,19,FALSE),VLOOKUP(AO62,Calculs!$A$19:$S$425,19,FALSE))&gt;=AP62,TRUE,FALSE))</f>
        <v>1</v>
      </c>
      <c r="AR62" s="158"/>
      <c r="AS62" s="158" t="b">
        <f>IF(AR62="",TRUE,IF(VLOOKUP(AR62,Calculs!$A$427:$G$738,7,FALSE)&gt;0,TRUE,FALSE))</f>
        <v>1</v>
      </c>
      <c r="AT62" s="158"/>
      <c r="AU62" s="158" t="b">
        <f>IF(AT62="",TRUE,IF(VLOOKUP(AT62,Calculs!$A$740:$G$912,7,FALSE)&gt;0,TRUE,FALSE))</f>
        <v>1</v>
      </c>
      <c r="AV62" s="158" t="b">
        <f t="shared" si="0"/>
        <v>1</v>
      </c>
      <c r="AW62" s="158" t="s">
        <v>2078</v>
      </c>
      <c r="AX62" s="162" t="s">
        <v>8065</v>
      </c>
      <c r="AY62" s="522" t="s">
        <v>2078</v>
      </c>
      <c r="AZ62" s="555" t="s">
        <v>8479</v>
      </c>
      <c r="BA62" s="559">
        <f>IF(Verso!$B$10=Voies!$B62,1,0)</f>
        <v>0</v>
      </c>
      <c r="BB62" s="12">
        <f>IF(Verso!$B$11=Voies!$B62,1,0)</f>
        <v>0</v>
      </c>
      <c r="BC62" s="12">
        <f>IF(Verso!$B$12=Voies!$B62,1,0)</f>
        <v>0</v>
      </c>
      <c r="BD62" s="12">
        <f>IF(Verso!$B$13=Voies!$B62,1,0)</f>
        <v>0</v>
      </c>
      <c r="BE62" s="12">
        <f>IF(Verso!$B$14=Voies!$B62,1,0)</f>
        <v>0</v>
      </c>
      <c r="BF62" s="12">
        <f>IF(Verso!$B$15=Voies!$B62,1,0)</f>
        <v>0</v>
      </c>
      <c r="BG62" s="12">
        <f>IF(Verso!$B$16=Voies!$B62,1,0)</f>
        <v>0</v>
      </c>
      <c r="BH62" s="12">
        <f>IF(Verso!$B$17=Voies!$B62,1,0)</f>
        <v>0</v>
      </c>
      <c r="BI62" s="557">
        <f t="shared" si="1"/>
        <v>0</v>
      </c>
      <c r="BJ62" s="196" t="str">
        <f t="shared" si="2"/>
        <v/>
      </c>
      <c r="BK62" s="196" t="str">
        <f t="shared" si="3"/>
        <v/>
      </c>
      <c r="BL62" s="295" t="str">
        <f t="shared" si="4"/>
        <v/>
      </c>
    </row>
    <row r="63" spans="1:65" ht="47.25" customHeight="1" x14ac:dyDescent="0.25">
      <c r="A63" s="162" t="str">
        <f>IF(AND(Réputation&gt;Voies!E63-1,OR(C63=TRUE,Calculs!$I$8&gt;0),Air&gt;Voies!J63-1,Eau&gt;Voies!K63-1,Feu&gt;Voies!L63-1,Terre&gt;Voies!M63-1,Vide&gt;Voies!N63-1,Constitution&gt;Voies!O63-1,Volonté&gt;Voies!P63-1,Force&gt;Voies!Q63-1,Perception&gt;Voies!R63-1,Reflexes&gt;Voies!S63-1,Agilité&gt;Voies!T63-1,Intuition&gt;Voies!U63-1,Intelligence&gt;Voies!V63-1,Souillure&gt;Voies!W63-1,Honneur&gt;X63-1,Statut&gt;Y63-1,Gloire&gt;Z63-1,AV63=TRUE),Voies!B63,"")</f>
        <v/>
      </c>
      <c r="B63" s="162" t="s">
        <v>2116</v>
      </c>
      <c r="C63" s="162" t="b">
        <f>IF(Clan=Voies!D62,TRUE,FALSE)</f>
        <v>0</v>
      </c>
      <c r="D63" s="387" t="s">
        <v>181</v>
      </c>
      <c r="E63" s="199">
        <v>5</v>
      </c>
      <c r="F63" s="199">
        <v>5</v>
      </c>
      <c r="G63" s="13" t="s">
        <v>2052</v>
      </c>
      <c r="H63" s="162" t="s">
        <v>247</v>
      </c>
      <c r="I63" s="129" t="str">
        <f t="shared" si="6"/>
        <v>Rien</v>
      </c>
      <c r="J63" s="146">
        <v>0</v>
      </c>
      <c r="K63" s="147">
        <v>0</v>
      </c>
      <c r="L63" s="148">
        <v>0</v>
      </c>
      <c r="M63" s="149">
        <v>0</v>
      </c>
      <c r="N63" s="150">
        <v>0</v>
      </c>
      <c r="O63" s="130">
        <v>0</v>
      </c>
      <c r="P63" s="130">
        <v>0</v>
      </c>
      <c r="Q63" s="130">
        <v>0</v>
      </c>
      <c r="R63" s="130">
        <v>0</v>
      </c>
      <c r="S63" s="130">
        <v>0</v>
      </c>
      <c r="T63" s="130">
        <v>0</v>
      </c>
      <c r="U63" s="130">
        <v>0</v>
      </c>
      <c r="V63" s="524">
        <v>0</v>
      </c>
      <c r="W63" s="130">
        <v>0</v>
      </c>
      <c r="X63" s="130">
        <v>0</v>
      </c>
      <c r="Y63" s="130">
        <v>0</v>
      </c>
      <c r="Z63" s="130">
        <v>0</v>
      </c>
      <c r="AA63" s="158" t="s">
        <v>2078</v>
      </c>
      <c r="AB63" s="158"/>
      <c r="AC63" s="158"/>
      <c r="AD63" s="158"/>
      <c r="AE63" s="158" t="b">
        <f>IF(AB63="",TRUE,IF(IF(AC63="",VLOOKUP(AB63,Calculs!$A$19:$S$425,19,FALSE),VLOOKUP(AC63,Calculs!$A$19:$S$425,19,FALSE))&gt;=AD63,TRUE,FALSE))</f>
        <v>1</v>
      </c>
      <c r="AF63" s="158"/>
      <c r="AG63" s="158"/>
      <c r="AH63" s="158"/>
      <c r="AI63" s="158" t="b">
        <f>IF(AF63="",TRUE,IF(IF(AG63="",VLOOKUP(AF63,Calculs!$A$19:$S$425,19,FALSE),VLOOKUP(AG63,Calculs!$A$19:$S$425,19,FALSE))&gt;=AH63,TRUE,FALSE))</f>
        <v>1</v>
      </c>
      <c r="AJ63" s="158"/>
      <c r="AK63" s="158"/>
      <c r="AL63" s="158"/>
      <c r="AM63" s="158" t="b">
        <f>IF(AJ63="",TRUE,IF(IF(AK63="",VLOOKUP(AJ63,Calculs!$A$19:$S$425,19,FALSE),VLOOKUP(AK63,Calculs!$A$19:$S$425,19,FALSE))&gt;=AL63,TRUE,FALSE))</f>
        <v>1</v>
      </c>
      <c r="AN63" s="158"/>
      <c r="AO63" s="158"/>
      <c r="AP63" s="158"/>
      <c r="AQ63" s="158" t="b">
        <f>IF(AN63="",TRUE,IF(IF(AO63="",VLOOKUP(AN63,Calculs!$A$19:$S$425,19,FALSE),VLOOKUP(AO63,Calculs!$A$19:$S$425,19,FALSE))&gt;=AP63,TRUE,FALSE))</f>
        <v>1</v>
      </c>
      <c r="AR63" s="158"/>
      <c r="AS63" s="158" t="b">
        <f>IF(AR63="",TRUE,IF(VLOOKUP(AR63,Calculs!$A$427:$G$738,7,FALSE)&gt;0,TRUE,FALSE))</f>
        <v>1</v>
      </c>
      <c r="AT63" s="158"/>
      <c r="AU63" s="158" t="b">
        <f>IF(AT63="",TRUE,IF(VLOOKUP(AT63,Calculs!$A$740:$G$912,7,FALSE)&gt;0,TRUE,FALSE))</f>
        <v>1</v>
      </c>
      <c r="AV63" s="158" t="b">
        <f t="shared" si="0"/>
        <v>1</v>
      </c>
      <c r="AW63" s="158" t="s">
        <v>2078</v>
      </c>
      <c r="AX63" s="162" t="s">
        <v>3</v>
      </c>
      <c r="AY63" s="15">
        <v>214</v>
      </c>
      <c r="AZ63" s="555" t="s">
        <v>2117</v>
      </c>
      <c r="BA63" s="559">
        <f>IF(Verso!$B$10=Voies!$B63,1,0)</f>
        <v>0</v>
      </c>
      <c r="BB63" s="12">
        <f>IF(Verso!$B$11=Voies!$B63,1,0)</f>
        <v>0</v>
      </c>
      <c r="BC63" s="12">
        <f>IF(Verso!$B$12=Voies!$B63,1,0)</f>
        <v>0</v>
      </c>
      <c r="BD63" s="12">
        <f>IF(Verso!$B$13=Voies!$B63,1,0)</f>
        <v>0</v>
      </c>
      <c r="BE63" s="12">
        <f>IF(Verso!$B$14=Voies!$B63,1,0)</f>
        <v>0</v>
      </c>
      <c r="BF63" s="12">
        <f>IF(Verso!$B$15=Voies!$B63,1,0)</f>
        <v>0</v>
      </c>
      <c r="BG63" s="12">
        <f>IF(Verso!$B$16=Voies!$B63,1,0)</f>
        <v>0</v>
      </c>
      <c r="BH63" s="12">
        <f>IF(Verso!$B$17=Voies!$B63,1,0)</f>
        <v>0</v>
      </c>
      <c r="BI63" s="557">
        <f t="shared" si="1"/>
        <v>0</v>
      </c>
      <c r="BJ63" s="196" t="str">
        <f t="shared" si="2"/>
        <v/>
      </c>
      <c r="BK63" s="196" t="str">
        <f t="shared" si="3"/>
        <v/>
      </c>
      <c r="BL63" s="295" t="str">
        <f t="shared" si="4"/>
        <v/>
      </c>
    </row>
    <row r="64" spans="1:65" ht="47.25" customHeight="1" x14ac:dyDescent="0.25">
      <c r="A64" s="162" t="str">
        <f>IF(AND(Réputation&gt;Voies!E64-1,OR(C64=TRUE,Calculs!$I$8&gt;0),Air&gt;Voies!J64-1,Eau&gt;Voies!K64-1,Feu&gt;Voies!L64-1,Terre&gt;Voies!M64-1,Vide&gt;Voies!N64-1,Constitution&gt;Voies!O64-1,Volonté&gt;Voies!P64-1,Force&gt;Voies!Q64-1,Perception&gt;Voies!R64-1,Reflexes&gt;Voies!S64-1,Agilité&gt;Voies!T64-1,Intuition&gt;Voies!U64-1,Intelligence&gt;Voies!V64-1,Souillure&gt;Voies!W64-1,Honneur&gt;X64-1,Statut&gt;Y64-1,Gloire&gt;Z64-1,AV64=TRUE),Voies!B64,"")</f>
        <v/>
      </c>
      <c r="B64" s="162" t="s">
        <v>2123</v>
      </c>
      <c r="C64" s="162" t="b">
        <f>IF(Clan=Voies!D63,TRUE,FALSE)</f>
        <v>0</v>
      </c>
      <c r="D64" s="387" t="s">
        <v>181</v>
      </c>
      <c r="E64" s="199">
        <v>5</v>
      </c>
      <c r="F64" s="199">
        <v>5</v>
      </c>
      <c r="G64" s="13" t="s">
        <v>2050</v>
      </c>
      <c r="H64" s="162" t="s">
        <v>1934</v>
      </c>
      <c r="I64" s="129" t="str">
        <f t="shared" si="6"/>
        <v>Rien</v>
      </c>
      <c r="J64" s="146">
        <v>0</v>
      </c>
      <c r="K64" s="147">
        <v>0</v>
      </c>
      <c r="L64" s="148">
        <v>0</v>
      </c>
      <c r="M64" s="149">
        <v>0</v>
      </c>
      <c r="N64" s="150">
        <v>0</v>
      </c>
      <c r="O64" s="130">
        <v>0</v>
      </c>
      <c r="P64" s="130">
        <v>0</v>
      </c>
      <c r="Q64" s="130">
        <v>0</v>
      </c>
      <c r="R64" s="130">
        <v>0</v>
      </c>
      <c r="S64" s="130">
        <v>0</v>
      </c>
      <c r="T64" s="130">
        <v>0</v>
      </c>
      <c r="U64" s="130">
        <v>0</v>
      </c>
      <c r="V64" s="524">
        <v>0</v>
      </c>
      <c r="W64" s="130">
        <v>0</v>
      </c>
      <c r="X64" s="130">
        <v>0</v>
      </c>
      <c r="Y64" s="130">
        <v>0</v>
      </c>
      <c r="Z64" s="130">
        <v>0</v>
      </c>
      <c r="AA64" s="158" t="s">
        <v>2078</v>
      </c>
      <c r="AB64" s="158"/>
      <c r="AC64" s="158"/>
      <c r="AD64" s="158"/>
      <c r="AE64" s="158" t="b">
        <f>IF(AB64="",TRUE,IF(IF(AC64="",VLOOKUP(AB64,Calculs!$A$19:$S$425,19,FALSE),VLOOKUP(AC64,Calculs!$A$19:$S$425,19,FALSE))&gt;=AD64,TRUE,FALSE))</f>
        <v>1</v>
      </c>
      <c r="AF64" s="158"/>
      <c r="AG64" s="158"/>
      <c r="AH64" s="158"/>
      <c r="AI64" s="158" t="b">
        <f>IF(AF64="",TRUE,IF(IF(AG64="",VLOOKUP(AF64,Calculs!$A$19:$S$425,19,FALSE),VLOOKUP(AG64,Calculs!$A$19:$S$425,19,FALSE))&gt;=AH64,TRUE,FALSE))</f>
        <v>1</v>
      </c>
      <c r="AJ64" s="158"/>
      <c r="AK64" s="158"/>
      <c r="AL64" s="158"/>
      <c r="AM64" s="158" t="b">
        <f>IF(AJ64="",TRUE,IF(IF(AK64="",VLOOKUP(AJ64,Calculs!$A$19:$S$425,19,FALSE),VLOOKUP(AK64,Calculs!$A$19:$S$425,19,FALSE))&gt;=AL64,TRUE,FALSE))</f>
        <v>1</v>
      </c>
      <c r="AN64" s="158"/>
      <c r="AO64" s="158"/>
      <c r="AP64" s="158"/>
      <c r="AQ64" s="158" t="b">
        <f>IF(AN64="",TRUE,IF(IF(AO64="",VLOOKUP(AN64,Calculs!$A$19:$S$425,19,FALSE),VLOOKUP(AO64,Calculs!$A$19:$S$425,19,FALSE))&gt;=AP64,TRUE,FALSE))</f>
        <v>1</v>
      </c>
      <c r="AR64" s="158"/>
      <c r="AS64" s="158" t="b">
        <f>IF(AR64="",TRUE,IF(VLOOKUP(AR64,Calculs!$A$427:$G$738,7,FALSE)&gt;0,TRUE,FALSE))</f>
        <v>1</v>
      </c>
      <c r="AT64" s="158"/>
      <c r="AU64" s="158" t="b">
        <f>IF(AT64="",TRUE,IF(VLOOKUP(AT64,Calculs!$A$740:$G$912,7,FALSE)&gt;0,TRUE,FALSE))</f>
        <v>1</v>
      </c>
      <c r="AV64" s="158" t="b">
        <f t="shared" si="0"/>
        <v>1</v>
      </c>
      <c r="AW64" s="158" t="s">
        <v>2078</v>
      </c>
      <c r="AX64" s="162" t="s">
        <v>3</v>
      </c>
      <c r="AY64" s="15">
        <v>215</v>
      </c>
      <c r="AZ64" s="555" t="str">
        <f>CONCATENATE("Vous gagnez  ",IF(Terre&lt;Souillure,Souillure,Terre)," Points de vide. Vous pouvez les dépenser pour ajouter +1g1 au total de tous vos jets de Dommages")</f>
        <v>Vous gagnez  2 Points de vide. Vous pouvez les dépenser pour ajouter +1g1 au total de tous vos jets de Dommages</v>
      </c>
      <c r="BA64" s="559">
        <f>IF(Verso!$B$10=Voies!$B64,1,0)</f>
        <v>0</v>
      </c>
      <c r="BB64" s="12">
        <f>IF(Verso!$B$11=Voies!$B64,1,0)</f>
        <v>0</v>
      </c>
      <c r="BC64" s="12">
        <f>IF(Verso!$B$12=Voies!$B64,1,0)</f>
        <v>0</v>
      </c>
      <c r="BD64" s="12">
        <f>IF(Verso!$B$13=Voies!$B64,1,0)</f>
        <v>0</v>
      </c>
      <c r="BE64" s="12">
        <f>IF(Verso!$B$14=Voies!$B64,1,0)</f>
        <v>0</v>
      </c>
      <c r="BF64" s="12">
        <f>IF(Verso!$B$15=Voies!$B64,1,0)</f>
        <v>0</v>
      </c>
      <c r="BG64" s="12">
        <f>IF(Verso!$B$16=Voies!$B64,1,0)</f>
        <v>0</v>
      </c>
      <c r="BH64" s="12">
        <f>IF(Verso!$B$17=Voies!$B64,1,0)</f>
        <v>0</v>
      </c>
      <c r="BI64" s="557">
        <f t="shared" si="1"/>
        <v>0</v>
      </c>
      <c r="BJ64" s="196" t="str">
        <f t="shared" si="2"/>
        <v/>
      </c>
      <c r="BK64" s="196" t="str">
        <f t="shared" si="3"/>
        <v/>
      </c>
      <c r="BL64" s="295" t="str">
        <f t="shared" si="4"/>
        <v/>
      </c>
    </row>
    <row r="65" spans="1:65" s="196" customFormat="1" ht="47.25" customHeight="1" x14ac:dyDescent="0.25">
      <c r="A65" s="162" t="str">
        <f>IF(AND(Réputation&gt;Voies!E65-1,OR(C65=TRUE,Calculs!$I$8&gt;0),Air&gt;Voies!J65-1,Eau&gt;Voies!K65-1,Feu&gt;Voies!L65-1,Terre&gt;Voies!M65-1,Vide&gt;Voies!N65-1,Constitution&gt;Voies!O65-1,Volonté&gt;Voies!P65-1,Force&gt;Voies!Q65-1,Perception&gt;Voies!R65-1,Reflexes&gt;Voies!S65-1,Agilité&gt;Voies!T65-1,Intuition&gt;Voies!U65-1,Intelligence&gt;Voies!V65-1,Souillure&gt;Voies!W65-1,Honneur&gt;X65-1,Statut&gt;Y65-1,Gloire&gt;Z65-1,AV65=TRUE),Voies!B65,"")</f>
        <v/>
      </c>
      <c r="B65" s="162" t="s">
        <v>7247</v>
      </c>
      <c r="C65" s="162" t="b">
        <f>IF(Clan=Voies!D65,TRUE,FALSE)</f>
        <v>0</v>
      </c>
      <c r="D65" s="387" t="s">
        <v>7225</v>
      </c>
      <c r="E65" s="199">
        <v>1</v>
      </c>
      <c r="F65" s="199">
        <v>1</v>
      </c>
      <c r="G65" s="199" t="s">
        <v>2052</v>
      </c>
      <c r="H65" s="162" t="s">
        <v>7232</v>
      </c>
      <c r="I65" s="129" t="str">
        <f t="shared" si="6"/>
        <v>Rien</v>
      </c>
      <c r="J65" s="146">
        <v>0</v>
      </c>
      <c r="K65" s="147">
        <v>0</v>
      </c>
      <c r="L65" s="148">
        <v>0</v>
      </c>
      <c r="M65" s="149">
        <v>0</v>
      </c>
      <c r="N65" s="150">
        <v>0</v>
      </c>
      <c r="O65" s="130">
        <v>0</v>
      </c>
      <c r="P65" s="130">
        <v>0</v>
      </c>
      <c r="Q65" s="130">
        <v>0</v>
      </c>
      <c r="R65" s="130">
        <v>0</v>
      </c>
      <c r="S65" s="130">
        <v>0</v>
      </c>
      <c r="T65" s="130">
        <v>0</v>
      </c>
      <c r="U65" s="130">
        <v>0</v>
      </c>
      <c r="V65" s="524">
        <v>0</v>
      </c>
      <c r="W65" s="130">
        <v>0</v>
      </c>
      <c r="X65" s="130">
        <v>0</v>
      </c>
      <c r="Y65" s="130">
        <v>0</v>
      </c>
      <c r="Z65" s="130">
        <v>0</v>
      </c>
      <c r="AA65" s="158" t="s">
        <v>2078</v>
      </c>
      <c r="AB65" s="158"/>
      <c r="AC65" s="158"/>
      <c r="AD65" s="158"/>
      <c r="AE65" s="158" t="b">
        <f>IF(AB65="",TRUE,IF(IF(AC65="",VLOOKUP(AB65,Calculs!$A$19:$S$425,19,FALSE),VLOOKUP(AC65,Calculs!$A$19:$S$425,19,FALSE))&gt;=AD65,TRUE,FALSE))</f>
        <v>1</v>
      </c>
      <c r="AF65" s="158"/>
      <c r="AG65" s="158"/>
      <c r="AH65" s="158"/>
      <c r="AI65" s="158" t="b">
        <f>IF(AF65="",TRUE,IF(IF(AG65="",VLOOKUP(AF65,Calculs!$A$19:$S$425,19,FALSE),VLOOKUP(AG65,Calculs!$A$19:$S$425,19,FALSE))&gt;=AH65,TRUE,FALSE))</f>
        <v>1</v>
      </c>
      <c r="AJ65" s="158"/>
      <c r="AK65" s="158"/>
      <c r="AL65" s="158"/>
      <c r="AM65" s="158" t="b">
        <f>IF(AJ65="",TRUE,IF(IF(AK65="",VLOOKUP(AJ65,Calculs!$A$19:$S$425,19,FALSE),VLOOKUP(AK65,Calculs!$A$19:$S$425,19,FALSE))&gt;=AL65,TRUE,FALSE))</f>
        <v>1</v>
      </c>
      <c r="AN65" s="158"/>
      <c r="AO65" s="158"/>
      <c r="AP65" s="158"/>
      <c r="AQ65" s="158" t="b">
        <f>IF(AN65="",TRUE,IF(IF(AO65="",VLOOKUP(AN65,Calculs!$A$19:$S$425,19,FALSE),VLOOKUP(AO65,Calculs!$A$19:$S$425,19,FALSE))&gt;=AP65,TRUE,FALSE))</f>
        <v>1</v>
      </c>
      <c r="AR65" s="158"/>
      <c r="AS65" s="158" t="b">
        <f>IF(AR65="",TRUE,IF(VLOOKUP(AR65,Calculs!$A$427:$G$738,7,FALSE)&gt;0,TRUE,FALSE))</f>
        <v>1</v>
      </c>
      <c r="AT65" s="158"/>
      <c r="AU65" s="158" t="b">
        <f>IF(AT65="",TRUE,IF(VLOOKUP(AT65,Calculs!$A$740:$G$912,7,FALSE)&gt;0,TRUE,FALSE))</f>
        <v>1</v>
      </c>
      <c r="AV65" s="158" t="b">
        <f t="shared" si="0"/>
        <v>1</v>
      </c>
      <c r="AW65" s="158" t="s">
        <v>2078</v>
      </c>
      <c r="AX65" s="162" t="s">
        <v>7226</v>
      </c>
      <c r="AY65" s="15">
        <v>57</v>
      </c>
      <c r="AZ65" s="566" t="s">
        <v>8516</v>
      </c>
      <c r="BA65" s="559">
        <f>IF(Verso!$B$10=Voies!$B65,1,0)</f>
        <v>0</v>
      </c>
      <c r="BB65" s="12">
        <f>IF(Verso!$B$11=Voies!$B65,1,0)</f>
        <v>0</v>
      </c>
      <c r="BC65" s="12">
        <f>IF(Verso!$B$12=Voies!$B65,1,0)</f>
        <v>0</v>
      </c>
      <c r="BD65" s="12">
        <f>IF(Verso!$B$13=Voies!$B65,1,0)</f>
        <v>0</v>
      </c>
      <c r="BE65" s="12">
        <f>IF(Verso!$B$14=Voies!$B65,1,0)</f>
        <v>0</v>
      </c>
      <c r="BF65" s="12">
        <f>IF(Verso!$B$15=Voies!$B65,1,0)</f>
        <v>0</v>
      </c>
      <c r="BG65" s="12">
        <f>IF(Verso!$B$16=Voies!$B65,1,0)</f>
        <v>0</v>
      </c>
      <c r="BH65" s="12">
        <f>IF(Verso!$B$17=Voies!$B65,1,0)</f>
        <v>0</v>
      </c>
      <c r="BI65" s="557">
        <f t="shared" si="1"/>
        <v>0</v>
      </c>
      <c r="BJ65" s="196" t="str">
        <f t="shared" si="2"/>
        <v/>
      </c>
      <c r="BK65" s="196" t="str">
        <f t="shared" si="3"/>
        <v/>
      </c>
      <c r="BL65" s="295" t="str">
        <f t="shared" si="4"/>
        <v/>
      </c>
      <c r="BM65" s="91"/>
    </row>
    <row r="66" spans="1:65" s="196" customFormat="1" ht="47.25" customHeight="1" x14ac:dyDescent="0.25">
      <c r="A66" s="162" t="str">
        <f>IF(AND(Réputation&gt;Voies!E66-1,OR(C66=TRUE,Calculs!$I$8&gt;0),Air&gt;Voies!J66-1,Eau&gt;Voies!K66-1,Feu&gt;Voies!L66-1,Terre&gt;Voies!M66-1,Vide&gt;Voies!N66-1,Constitution&gt;Voies!O66-1,Volonté&gt;Voies!P66-1,Force&gt;Voies!Q66-1,Perception&gt;Voies!R66-1,Reflexes&gt;Voies!S66-1,Agilité&gt;Voies!T66-1,Intuition&gt;Voies!U66-1,Intelligence&gt;Voies!V66-1,Souillure&gt;Voies!W66-1,Honneur&gt;X66-1,Statut&gt;Y66-1,Gloire&gt;Z66-1,AV66=TRUE),Voies!B66,"")</f>
        <v/>
      </c>
      <c r="B66" s="162" t="s">
        <v>7248</v>
      </c>
      <c r="C66" s="162" t="b">
        <f>IF(Clan=Voies!D66,TRUE,FALSE)</f>
        <v>0</v>
      </c>
      <c r="D66" s="387" t="s">
        <v>7225</v>
      </c>
      <c r="E66" s="199">
        <v>2</v>
      </c>
      <c r="F66" s="199">
        <v>2</v>
      </c>
      <c r="G66" s="199" t="s">
        <v>2052</v>
      </c>
      <c r="H66" s="162" t="s">
        <v>7232</v>
      </c>
      <c r="I66" s="129" t="str">
        <f t="shared" si="6"/>
        <v>Rien</v>
      </c>
      <c r="J66" s="146">
        <v>0</v>
      </c>
      <c r="K66" s="147">
        <v>0</v>
      </c>
      <c r="L66" s="148">
        <v>0</v>
      </c>
      <c r="M66" s="149">
        <v>0</v>
      </c>
      <c r="N66" s="150">
        <v>0</v>
      </c>
      <c r="O66" s="130">
        <v>0</v>
      </c>
      <c r="P66" s="130">
        <v>0</v>
      </c>
      <c r="Q66" s="130">
        <v>0</v>
      </c>
      <c r="R66" s="130">
        <v>0</v>
      </c>
      <c r="S66" s="130">
        <v>0</v>
      </c>
      <c r="T66" s="130">
        <v>0</v>
      </c>
      <c r="U66" s="130">
        <v>0</v>
      </c>
      <c r="V66" s="524">
        <v>0</v>
      </c>
      <c r="W66" s="130">
        <v>0</v>
      </c>
      <c r="X66" s="130">
        <v>0</v>
      </c>
      <c r="Y66" s="130">
        <v>0</v>
      </c>
      <c r="Z66" s="130">
        <v>0</v>
      </c>
      <c r="AA66" s="158" t="s">
        <v>2078</v>
      </c>
      <c r="AB66" s="158"/>
      <c r="AC66" s="158"/>
      <c r="AD66" s="158"/>
      <c r="AE66" s="158" t="b">
        <f>IF(AB66="",TRUE,IF(IF(AC66="",VLOOKUP(AB66,Calculs!$A$19:$S$425,19,FALSE),VLOOKUP(AC66,Calculs!$A$19:$S$425,19,FALSE))&gt;=AD66,TRUE,FALSE))</f>
        <v>1</v>
      </c>
      <c r="AF66" s="158"/>
      <c r="AG66" s="158"/>
      <c r="AH66" s="158"/>
      <c r="AI66" s="158" t="b">
        <f>IF(AF66="",TRUE,IF(IF(AG66="",VLOOKUP(AF66,Calculs!$A$19:$S$425,19,FALSE),VLOOKUP(AG66,Calculs!$A$19:$S$425,19,FALSE))&gt;=AH66,TRUE,FALSE))</f>
        <v>1</v>
      </c>
      <c r="AJ66" s="158"/>
      <c r="AK66" s="158"/>
      <c r="AL66" s="158"/>
      <c r="AM66" s="158" t="b">
        <f>IF(AJ66="",TRUE,IF(IF(AK66="",VLOOKUP(AJ66,Calculs!$A$19:$S$425,19,FALSE),VLOOKUP(AK66,Calculs!$A$19:$S$425,19,FALSE))&gt;=AL66,TRUE,FALSE))</f>
        <v>1</v>
      </c>
      <c r="AN66" s="158"/>
      <c r="AO66" s="158"/>
      <c r="AP66" s="158"/>
      <c r="AQ66" s="158" t="b">
        <f>IF(AN66="",TRUE,IF(IF(AO66="",VLOOKUP(AN66,Calculs!$A$19:$S$425,19,FALSE),VLOOKUP(AO66,Calculs!$A$19:$S$425,19,FALSE))&gt;=AP66,TRUE,FALSE))</f>
        <v>1</v>
      </c>
      <c r="AR66" s="158"/>
      <c r="AS66" s="158" t="b">
        <f>IF(AR66="",TRUE,IF(VLOOKUP(AR66,Calculs!$A$427:$G$738,7,FALSE)&gt;0,TRUE,FALSE))</f>
        <v>1</v>
      </c>
      <c r="AT66" s="158"/>
      <c r="AU66" s="158" t="b">
        <f>IF(AT66="",TRUE,IF(VLOOKUP(AT66,Calculs!$A$740:$G$912,7,FALSE)&gt;0,TRUE,FALSE))</f>
        <v>1</v>
      </c>
      <c r="AV66" s="158" t="b">
        <f t="shared" si="0"/>
        <v>1</v>
      </c>
      <c r="AW66" s="158" t="s">
        <v>2078</v>
      </c>
      <c r="AX66" s="162" t="s">
        <v>7226</v>
      </c>
      <c r="AY66" s="15">
        <v>57</v>
      </c>
      <c r="AZ66" s="555" t="s">
        <v>7252</v>
      </c>
      <c r="BA66" s="559">
        <f>IF(Verso!$B$10=Voies!$B66,1,0)</f>
        <v>0</v>
      </c>
      <c r="BB66" s="12">
        <f>IF(Verso!$B$11=Voies!$B66,1,0)</f>
        <v>0</v>
      </c>
      <c r="BC66" s="12">
        <f>IF(Verso!$B$12=Voies!$B66,1,0)</f>
        <v>0</v>
      </c>
      <c r="BD66" s="12">
        <f>IF(Verso!$B$13=Voies!$B66,1,0)</f>
        <v>0</v>
      </c>
      <c r="BE66" s="12">
        <f>IF(Verso!$B$14=Voies!$B66,1,0)</f>
        <v>0</v>
      </c>
      <c r="BF66" s="12">
        <f>IF(Verso!$B$15=Voies!$B66,1,0)</f>
        <v>0</v>
      </c>
      <c r="BG66" s="12">
        <f>IF(Verso!$B$16=Voies!$B66,1,0)</f>
        <v>0</v>
      </c>
      <c r="BH66" s="12">
        <f>IF(Verso!$B$17=Voies!$B66,1,0)</f>
        <v>0</v>
      </c>
      <c r="BI66" s="557">
        <f t="shared" si="1"/>
        <v>0</v>
      </c>
      <c r="BJ66" s="196" t="str">
        <f t="shared" si="2"/>
        <v/>
      </c>
      <c r="BK66" s="196" t="str">
        <f t="shared" si="3"/>
        <v/>
      </c>
      <c r="BL66" s="295" t="str">
        <f t="shared" si="4"/>
        <v/>
      </c>
      <c r="BM66" s="91"/>
    </row>
    <row r="67" spans="1:65" s="196" customFormat="1" ht="47.25" customHeight="1" x14ac:dyDescent="0.25">
      <c r="A67" s="162" t="str">
        <f>IF(AND(Réputation&gt;Voies!E67-1,OR(C67=TRUE,Calculs!$I$8&gt;0),Air&gt;Voies!J67-1,Eau&gt;Voies!K67-1,Feu&gt;Voies!L67-1,Terre&gt;Voies!M67-1,Vide&gt;Voies!N67-1,Constitution&gt;Voies!O67-1,Volonté&gt;Voies!P67-1,Force&gt;Voies!Q67-1,Perception&gt;Voies!R67-1,Reflexes&gt;Voies!S67-1,Agilité&gt;Voies!T67-1,Intuition&gt;Voies!U67-1,Intelligence&gt;Voies!V67-1,Souillure&gt;Voies!W67-1,Honneur&gt;X67-1,Statut&gt;Y67-1,Gloire&gt;Z67-1,AV67=TRUE),Voies!B67,"")</f>
        <v/>
      </c>
      <c r="B67" s="162" t="s">
        <v>7249</v>
      </c>
      <c r="C67" s="162" t="b">
        <f>IF(Clan=Voies!D67,TRUE,FALSE)</f>
        <v>0</v>
      </c>
      <c r="D67" s="387" t="s">
        <v>7225</v>
      </c>
      <c r="E67" s="199">
        <v>3</v>
      </c>
      <c r="F67" s="199">
        <v>3</v>
      </c>
      <c r="G67" s="199" t="s">
        <v>2052</v>
      </c>
      <c r="H67" s="162" t="s">
        <v>7232</v>
      </c>
      <c r="I67" s="129" t="str">
        <f t="shared" si="6"/>
        <v>Rien</v>
      </c>
      <c r="J67" s="146">
        <v>0</v>
      </c>
      <c r="K67" s="147">
        <v>0</v>
      </c>
      <c r="L67" s="148">
        <v>0</v>
      </c>
      <c r="M67" s="149">
        <v>0</v>
      </c>
      <c r="N67" s="150">
        <v>0</v>
      </c>
      <c r="O67" s="130">
        <v>0</v>
      </c>
      <c r="P67" s="130">
        <v>0</v>
      </c>
      <c r="Q67" s="130">
        <v>0</v>
      </c>
      <c r="R67" s="130">
        <v>0</v>
      </c>
      <c r="S67" s="130">
        <v>0</v>
      </c>
      <c r="T67" s="130">
        <v>0</v>
      </c>
      <c r="U67" s="130">
        <v>0</v>
      </c>
      <c r="V67" s="524">
        <v>0</v>
      </c>
      <c r="W67" s="130">
        <v>0</v>
      </c>
      <c r="X67" s="130">
        <v>0</v>
      </c>
      <c r="Y67" s="130">
        <v>0</v>
      </c>
      <c r="Z67" s="130">
        <v>0</v>
      </c>
      <c r="AA67" s="158" t="s">
        <v>2078</v>
      </c>
      <c r="AB67" s="158"/>
      <c r="AC67" s="158"/>
      <c r="AD67" s="158"/>
      <c r="AE67" s="158" t="b">
        <f>IF(AB67="",TRUE,IF(IF(AC67="",VLOOKUP(AB67,Calculs!$A$19:$S$425,19,FALSE),VLOOKUP(AC67,Calculs!$A$19:$S$425,19,FALSE))&gt;=AD67,TRUE,FALSE))</f>
        <v>1</v>
      </c>
      <c r="AF67" s="158"/>
      <c r="AG67" s="158"/>
      <c r="AH67" s="158"/>
      <c r="AI67" s="158" t="b">
        <f>IF(AF67="",TRUE,IF(IF(AG67="",VLOOKUP(AF67,Calculs!$A$19:$S$425,19,FALSE),VLOOKUP(AG67,Calculs!$A$19:$S$425,19,FALSE))&gt;=AH67,TRUE,FALSE))</f>
        <v>1</v>
      </c>
      <c r="AJ67" s="158"/>
      <c r="AK67" s="158"/>
      <c r="AL67" s="158"/>
      <c r="AM67" s="158" t="b">
        <f>IF(AJ67="",TRUE,IF(IF(AK67="",VLOOKUP(AJ67,Calculs!$A$19:$S$425,19,FALSE),VLOOKUP(AK67,Calculs!$A$19:$S$425,19,FALSE))&gt;=AL67,TRUE,FALSE))</f>
        <v>1</v>
      </c>
      <c r="AN67" s="158"/>
      <c r="AO67" s="158"/>
      <c r="AP67" s="158"/>
      <c r="AQ67" s="158" t="b">
        <f>IF(AN67="",TRUE,IF(IF(AO67="",VLOOKUP(AN67,Calculs!$A$19:$S$425,19,FALSE),VLOOKUP(AO67,Calculs!$A$19:$S$425,19,FALSE))&gt;=AP67,TRUE,FALSE))</f>
        <v>1</v>
      </c>
      <c r="AR67" s="158"/>
      <c r="AS67" s="158" t="b">
        <f>IF(AR67="",TRUE,IF(VLOOKUP(AR67,Calculs!$A$427:$G$738,7,FALSE)&gt;0,TRUE,FALSE))</f>
        <v>1</v>
      </c>
      <c r="AT67" s="158"/>
      <c r="AU67" s="158" t="b">
        <f>IF(AT67="",TRUE,IF(VLOOKUP(AT67,Calculs!$A$740:$G$912,7,FALSE)&gt;0,TRUE,FALSE))</f>
        <v>1</v>
      </c>
      <c r="AV67" s="158" t="b">
        <f t="shared" ref="AV67:AV130" si="7">IF(AND(AE67=TRUE,AI67=TRUE,AM67=TRUE,AQ67=TRUE,AS67=TRUE,AU67=TRUE),TRUE,FALSE)</f>
        <v>1</v>
      </c>
      <c r="AW67" s="158" t="s">
        <v>2078</v>
      </c>
      <c r="AX67" s="162" t="s">
        <v>7226</v>
      </c>
      <c r="AY67" s="15">
        <v>57</v>
      </c>
      <c r="AZ67" s="555" t="s">
        <v>7253</v>
      </c>
      <c r="BA67" s="559">
        <f>IF(Verso!$B$10=Voies!$B67,1,0)</f>
        <v>0</v>
      </c>
      <c r="BB67" s="12">
        <f>IF(Verso!$B$11=Voies!$B67,1,0)</f>
        <v>0</v>
      </c>
      <c r="BC67" s="12">
        <f>IF(Verso!$B$12=Voies!$B67,1,0)</f>
        <v>0</v>
      </c>
      <c r="BD67" s="12">
        <f>IF(Verso!$B$13=Voies!$B67,1,0)</f>
        <v>0</v>
      </c>
      <c r="BE67" s="12">
        <f>IF(Verso!$B$14=Voies!$B67,1,0)</f>
        <v>0</v>
      </c>
      <c r="BF67" s="12">
        <f>IF(Verso!$B$15=Voies!$B67,1,0)</f>
        <v>0</v>
      </c>
      <c r="BG67" s="12">
        <f>IF(Verso!$B$16=Voies!$B67,1,0)</f>
        <v>0</v>
      </c>
      <c r="BH67" s="12">
        <f>IF(Verso!$B$17=Voies!$B67,1,0)</f>
        <v>0</v>
      </c>
      <c r="BI67" s="557">
        <f t="shared" ref="BI67:BI130" si="8">SUM(BA67:BH67)</f>
        <v>0</v>
      </c>
      <c r="BJ67" s="196" t="str">
        <f t="shared" si="2"/>
        <v/>
      </c>
      <c r="BK67" s="196" t="str">
        <f t="shared" si="3"/>
        <v/>
      </c>
      <c r="BL67" s="295" t="str">
        <f t="shared" si="4"/>
        <v/>
      </c>
      <c r="BM67" s="91"/>
    </row>
    <row r="68" spans="1:65" s="196" customFormat="1" ht="47.25" customHeight="1" x14ac:dyDescent="0.25">
      <c r="A68" s="162" t="str">
        <f>IF(AND(Réputation&gt;Voies!E68-1,OR(C68=TRUE,Calculs!$I$8&gt;0),Air&gt;Voies!J68-1,Eau&gt;Voies!K68-1,Feu&gt;Voies!L68-1,Terre&gt;Voies!M68-1,Vide&gt;Voies!N68-1,Constitution&gt;Voies!O68-1,Volonté&gt;Voies!P68-1,Force&gt;Voies!Q68-1,Perception&gt;Voies!R68-1,Reflexes&gt;Voies!S68-1,Agilité&gt;Voies!T68-1,Intuition&gt;Voies!U68-1,Intelligence&gt;Voies!V68-1,Souillure&gt;Voies!W68-1,Honneur&gt;X68-1,Statut&gt;Y68-1,Gloire&gt;Z68-1,AV68=TRUE),Voies!B68,"")</f>
        <v/>
      </c>
      <c r="B68" s="162" t="s">
        <v>7250</v>
      </c>
      <c r="C68" s="162" t="b">
        <f>IF(Clan=Voies!D68,TRUE,FALSE)</f>
        <v>0</v>
      </c>
      <c r="D68" s="387" t="s">
        <v>7225</v>
      </c>
      <c r="E68" s="199">
        <v>3</v>
      </c>
      <c r="F68" s="199">
        <v>3</v>
      </c>
      <c r="G68" s="199" t="s">
        <v>2052</v>
      </c>
      <c r="H68" s="162" t="s">
        <v>7232</v>
      </c>
      <c r="I68" s="129" t="str">
        <f t="shared" si="6"/>
        <v>Rien</v>
      </c>
      <c r="J68" s="146">
        <v>0</v>
      </c>
      <c r="K68" s="147">
        <v>0</v>
      </c>
      <c r="L68" s="148">
        <v>0</v>
      </c>
      <c r="M68" s="149">
        <v>0</v>
      </c>
      <c r="N68" s="150">
        <v>0</v>
      </c>
      <c r="O68" s="130">
        <v>0</v>
      </c>
      <c r="P68" s="130">
        <v>0</v>
      </c>
      <c r="Q68" s="130">
        <v>0</v>
      </c>
      <c r="R68" s="130">
        <v>0</v>
      </c>
      <c r="S68" s="130">
        <v>0</v>
      </c>
      <c r="T68" s="130">
        <v>0</v>
      </c>
      <c r="U68" s="130">
        <v>0</v>
      </c>
      <c r="V68" s="524">
        <v>0</v>
      </c>
      <c r="W68" s="130">
        <v>0</v>
      </c>
      <c r="X68" s="130">
        <v>0</v>
      </c>
      <c r="Y68" s="130">
        <v>0</v>
      </c>
      <c r="Z68" s="130">
        <v>0</v>
      </c>
      <c r="AA68" s="158" t="s">
        <v>2078</v>
      </c>
      <c r="AB68" s="158"/>
      <c r="AC68" s="158"/>
      <c r="AD68" s="158"/>
      <c r="AE68" s="158" t="b">
        <f>IF(AB68="",TRUE,IF(IF(AC68="",VLOOKUP(AB68,Calculs!$A$19:$S$425,19,FALSE),VLOOKUP(AC68,Calculs!$A$19:$S$425,19,FALSE))&gt;=AD68,TRUE,FALSE))</f>
        <v>1</v>
      </c>
      <c r="AF68" s="158"/>
      <c r="AG68" s="158"/>
      <c r="AH68" s="158"/>
      <c r="AI68" s="158" t="b">
        <f>IF(AF68="",TRUE,IF(IF(AG68="",VLOOKUP(AF68,Calculs!$A$19:$S$425,19,FALSE),VLOOKUP(AG68,Calculs!$A$19:$S$425,19,FALSE))&gt;=AH68,TRUE,FALSE))</f>
        <v>1</v>
      </c>
      <c r="AJ68" s="158"/>
      <c r="AK68" s="158"/>
      <c r="AL68" s="158"/>
      <c r="AM68" s="158" t="b">
        <f>IF(AJ68="",TRUE,IF(IF(AK68="",VLOOKUP(AJ68,Calculs!$A$19:$S$425,19,FALSE),VLOOKUP(AK68,Calculs!$A$19:$S$425,19,FALSE))&gt;=AL68,TRUE,FALSE))</f>
        <v>1</v>
      </c>
      <c r="AN68" s="158"/>
      <c r="AO68" s="158"/>
      <c r="AP68" s="158"/>
      <c r="AQ68" s="158" t="b">
        <f>IF(AN68="",TRUE,IF(IF(AO68="",VLOOKUP(AN68,Calculs!$A$19:$S$425,19,FALSE),VLOOKUP(AO68,Calculs!$A$19:$S$425,19,FALSE))&gt;=AP68,TRUE,FALSE))</f>
        <v>1</v>
      </c>
      <c r="AR68" s="158"/>
      <c r="AS68" s="158" t="b">
        <f>IF(AR68="",TRUE,IF(VLOOKUP(AR68,Calculs!$A$427:$G$738,7,FALSE)&gt;0,TRUE,FALSE))</f>
        <v>1</v>
      </c>
      <c r="AT68" s="158"/>
      <c r="AU68" s="158" t="b">
        <f>IF(AT68="",TRUE,IF(VLOOKUP(AT68,Calculs!$A$740:$G$912,7,FALSE)&gt;0,TRUE,FALSE))</f>
        <v>1</v>
      </c>
      <c r="AV68" s="158" t="b">
        <f t="shared" si="7"/>
        <v>1</v>
      </c>
      <c r="AW68" s="158" t="s">
        <v>2078</v>
      </c>
      <c r="AX68" s="162" t="s">
        <v>7226</v>
      </c>
      <c r="AY68" s="15">
        <v>57</v>
      </c>
      <c r="AZ68" s="555" t="s">
        <v>8517</v>
      </c>
      <c r="BA68" s="559">
        <f>IF(Verso!$B$10=Voies!$B68,1,0)</f>
        <v>0</v>
      </c>
      <c r="BB68" s="12">
        <f>IF(Verso!$B$11=Voies!$B68,1,0)</f>
        <v>0</v>
      </c>
      <c r="BC68" s="12">
        <f>IF(Verso!$B$12=Voies!$B68,1,0)</f>
        <v>0</v>
      </c>
      <c r="BD68" s="12">
        <f>IF(Verso!$B$13=Voies!$B68,1,0)</f>
        <v>0</v>
      </c>
      <c r="BE68" s="12">
        <f>IF(Verso!$B$14=Voies!$B68,1,0)</f>
        <v>0</v>
      </c>
      <c r="BF68" s="12">
        <f>IF(Verso!$B$15=Voies!$B68,1,0)</f>
        <v>0</v>
      </c>
      <c r="BG68" s="12">
        <f>IF(Verso!$B$16=Voies!$B68,1,0)</f>
        <v>0</v>
      </c>
      <c r="BH68" s="12">
        <f>IF(Verso!$B$17=Voies!$B68,1,0)</f>
        <v>0</v>
      </c>
      <c r="BI68" s="557">
        <f t="shared" si="8"/>
        <v>0</v>
      </c>
      <c r="BJ68" s="196" t="str">
        <f t="shared" ref="BJ68:BJ131" si="9">IF(A68="","",ROW())</f>
        <v/>
      </c>
      <c r="BK68" s="196" t="str">
        <f t="shared" ref="BK68:BK131" si="10">IFERROR(SMALL(BJ:BJ,ROW()-2),"")</f>
        <v/>
      </c>
      <c r="BL68" s="295" t="str">
        <f t="shared" ref="BL68:BL131" si="11">IFERROR(INDEX(A:A,BK68),"")</f>
        <v/>
      </c>
      <c r="BM68" s="91"/>
    </row>
    <row r="69" spans="1:65" s="196" customFormat="1" ht="47.25" customHeight="1" x14ac:dyDescent="0.25">
      <c r="A69" s="162" t="str">
        <f>IF(AND(Réputation&gt;Voies!E69-1,OR(C69=TRUE,Calculs!$I$8&gt;0),Air&gt;Voies!J69-1,Eau&gt;Voies!K69-1,Feu&gt;Voies!L69-1,Terre&gt;Voies!M69-1,Vide&gt;Voies!N69-1,Constitution&gt;Voies!O69-1,Volonté&gt;Voies!P69-1,Force&gt;Voies!Q69-1,Perception&gt;Voies!R69-1,Reflexes&gt;Voies!S69-1,Agilité&gt;Voies!T69-1,Intuition&gt;Voies!U69-1,Intelligence&gt;Voies!V69-1,Souillure&gt;Voies!W69-1,Honneur&gt;X69-1,Statut&gt;Y69-1,Gloire&gt;Z69-1,AV69=TRUE),Voies!B69,"")</f>
        <v/>
      </c>
      <c r="B69" s="162" t="s">
        <v>7251</v>
      </c>
      <c r="C69" s="162" t="b">
        <f>IF(Clan=Voies!D69,TRUE,FALSE)</f>
        <v>0</v>
      </c>
      <c r="D69" s="387" t="s">
        <v>7225</v>
      </c>
      <c r="E69" s="199">
        <v>4</v>
      </c>
      <c r="F69" s="199">
        <v>4</v>
      </c>
      <c r="G69" s="199" t="s">
        <v>2052</v>
      </c>
      <c r="H69" s="162" t="s">
        <v>7232</v>
      </c>
      <c r="I69" s="129" t="str">
        <f t="shared" si="6"/>
        <v>Rien</v>
      </c>
      <c r="J69" s="146">
        <v>0</v>
      </c>
      <c r="K69" s="147">
        <v>0</v>
      </c>
      <c r="L69" s="148">
        <v>0</v>
      </c>
      <c r="M69" s="149">
        <v>0</v>
      </c>
      <c r="N69" s="150">
        <v>0</v>
      </c>
      <c r="O69" s="130">
        <v>0</v>
      </c>
      <c r="P69" s="130">
        <v>0</v>
      </c>
      <c r="Q69" s="130">
        <v>0</v>
      </c>
      <c r="R69" s="130">
        <v>0</v>
      </c>
      <c r="S69" s="130">
        <v>0</v>
      </c>
      <c r="T69" s="130">
        <v>0</v>
      </c>
      <c r="U69" s="130">
        <v>0</v>
      </c>
      <c r="V69" s="524">
        <v>0</v>
      </c>
      <c r="W69" s="130">
        <v>0</v>
      </c>
      <c r="X69" s="130">
        <v>0</v>
      </c>
      <c r="Y69" s="130">
        <v>0</v>
      </c>
      <c r="Z69" s="130">
        <v>0</v>
      </c>
      <c r="AA69" s="158" t="s">
        <v>2078</v>
      </c>
      <c r="AB69" s="158"/>
      <c r="AC69" s="158"/>
      <c r="AD69" s="158"/>
      <c r="AE69" s="158" t="b">
        <f>IF(AB69="",TRUE,IF(IF(AC69="",VLOOKUP(AB69,Calculs!$A$19:$S$425,19,FALSE),VLOOKUP(AC69,Calculs!$A$19:$S$425,19,FALSE))&gt;=AD69,TRUE,FALSE))</f>
        <v>1</v>
      </c>
      <c r="AF69" s="158"/>
      <c r="AG69" s="158"/>
      <c r="AH69" s="158"/>
      <c r="AI69" s="158" t="b">
        <f>IF(AF69="",TRUE,IF(IF(AG69="",VLOOKUP(AF69,Calculs!$A$19:$S$425,19,FALSE),VLOOKUP(AG69,Calculs!$A$19:$S$425,19,FALSE))&gt;=AH69,TRUE,FALSE))</f>
        <v>1</v>
      </c>
      <c r="AJ69" s="158"/>
      <c r="AK69" s="158"/>
      <c r="AL69" s="158"/>
      <c r="AM69" s="158" t="b">
        <f>IF(AJ69="",TRUE,IF(IF(AK69="",VLOOKUP(AJ69,Calculs!$A$19:$S$425,19,FALSE),VLOOKUP(AK69,Calculs!$A$19:$S$425,19,FALSE))&gt;=AL69,TRUE,FALSE))</f>
        <v>1</v>
      </c>
      <c r="AN69" s="158"/>
      <c r="AO69" s="158"/>
      <c r="AP69" s="158"/>
      <c r="AQ69" s="158" t="b">
        <f>IF(AN69="",TRUE,IF(IF(AO69="",VLOOKUP(AN69,Calculs!$A$19:$S$425,19,FALSE),VLOOKUP(AO69,Calculs!$A$19:$S$425,19,FALSE))&gt;=AP69,TRUE,FALSE))</f>
        <v>1</v>
      </c>
      <c r="AR69" s="158"/>
      <c r="AS69" s="158" t="b">
        <f>IF(AR69="",TRUE,IF(VLOOKUP(AR69,Calculs!$A$427:$G$738,7,FALSE)&gt;0,TRUE,FALSE))</f>
        <v>1</v>
      </c>
      <c r="AT69" s="158"/>
      <c r="AU69" s="158" t="b">
        <f>IF(AT69="",TRUE,IF(VLOOKUP(AT69,Calculs!$A$740:$G$912,7,FALSE)&gt;0,TRUE,FALSE))</f>
        <v>1</v>
      </c>
      <c r="AV69" s="158" t="b">
        <f t="shared" si="7"/>
        <v>1</v>
      </c>
      <c r="AW69" s="158" t="s">
        <v>2078</v>
      </c>
      <c r="AX69" s="162" t="s">
        <v>7226</v>
      </c>
      <c r="AY69" s="15">
        <v>57</v>
      </c>
      <c r="AZ69" s="555" t="s">
        <v>7254</v>
      </c>
      <c r="BA69" s="559">
        <f>IF(Verso!$B$10=Voies!$B69,1,0)</f>
        <v>0</v>
      </c>
      <c r="BB69" s="12">
        <f>IF(Verso!$B$11=Voies!$B69,1,0)</f>
        <v>0</v>
      </c>
      <c r="BC69" s="12">
        <f>IF(Verso!$B$12=Voies!$B69,1,0)</f>
        <v>0</v>
      </c>
      <c r="BD69" s="12">
        <f>IF(Verso!$B$13=Voies!$B69,1,0)</f>
        <v>0</v>
      </c>
      <c r="BE69" s="12">
        <f>IF(Verso!$B$14=Voies!$B69,1,0)</f>
        <v>0</v>
      </c>
      <c r="BF69" s="12">
        <f>IF(Verso!$B$15=Voies!$B69,1,0)</f>
        <v>0</v>
      </c>
      <c r="BG69" s="12">
        <f>IF(Verso!$B$16=Voies!$B69,1,0)</f>
        <v>0</v>
      </c>
      <c r="BH69" s="12">
        <f>IF(Verso!$B$17=Voies!$B69,1,0)</f>
        <v>0</v>
      </c>
      <c r="BI69" s="557">
        <f t="shared" si="8"/>
        <v>0</v>
      </c>
      <c r="BJ69" s="196" t="str">
        <f t="shared" si="9"/>
        <v/>
      </c>
      <c r="BK69" s="196" t="str">
        <f t="shared" si="10"/>
        <v/>
      </c>
      <c r="BL69" s="295" t="str">
        <f t="shared" si="11"/>
        <v/>
      </c>
      <c r="BM69" s="91"/>
    </row>
    <row r="70" spans="1:65" ht="47.25" customHeight="1" x14ac:dyDescent="0.25">
      <c r="A70" s="162" t="str">
        <f>IF(AND(Réputation&gt;Voies!E70-1,OR(C70=TRUE,Calculs!$I$8&gt;0),Air&gt;Voies!J70-1,Eau&gt;Voies!K70-1,Feu&gt;Voies!L70-1,Terre&gt;Voies!M70-1,Vide&gt;Voies!N70-1,Constitution&gt;Voies!O70-1,Volonté&gt;Voies!P70-1,Force&gt;Voies!Q70-1,Perception&gt;Voies!R70-1,Reflexes&gt;Voies!S70-1,Agilité&gt;Voies!T70-1,Intuition&gt;Voies!U70-1,Intelligence&gt;Voies!V70-1,Souillure&gt;Voies!W70-1,Honneur&gt;X70-1,Statut&gt;Y70-1,Gloire&gt;Z70-1,AV70=TRUE),Voies!B70,"")</f>
        <v/>
      </c>
      <c r="B70" s="162" t="s">
        <v>7753</v>
      </c>
      <c r="C70" s="162" t="b">
        <f>IF(Clan=Voies!D70,TRUE,FALSE)</f>
        <v>0</v>
      </c>
      <c r="D70" s="388" t="s">
        <v>180</v>
      </c>
      <c r="E70" s="199">
        <v>1</v>
      </c>
      <c r="F70" s="199">
        <v>1</v>
      </c>
      <c r="G70" s="13" t="s">
        <v>2052</v>
      </c>
      <c r="H70" s="162" t="s">
        <v>7749</v>
      </c>
      <c r="I70" s="129" t="str">
        <f t="shared" si="6"/>
        <v>Rien</v>
      </c>
      <c r="J70" s="146">
        <v>0</v>
      </c>
      <c r="K70" s="147">
        <v>0</v>
      </c>
      <c r="L70" s="148">
        <v>0</v>
      </c>
      <c r="M70" s="149">
        <v>0</v>
      </c>
      <c r="N70" s="150">
        <v>0</v>
      </c>
      <c r="O70" s="130">
        <v>0</v>
      </c>
      <c r="P70" s="130">
        <v>0</v>
      </c>
      <c r="Q70" s="130">
        <v>0</v>
      </c>
      <c r="R70" s="130">
        <v>0</v>
      </c>
      <c r="S70" s="130">
        <v>0</v>
      </c>
      <c r="T70" s="130">
        <v>0</v>
      </c>
      <c r="U70" s="130">
        <v>0</v>
      </c>
      <c r="V70" s="524">
        <v>0</v>
      </c>
      <c r="W70" s="130">
        <v>0</v>
      </c>
      <c r="X70" s="130">
        <v>0</v>
      </c>
      <c r="Y70" s="130">
        <v>0</v>
      </c>
      <c r="Z70" s="130">
        <v>0</v>
      </c>
      <c r="AA70" s="158" t="s">
        <v>2078</v>
      </c>
      <c r="AB70" s="158"/>
      <c r="AC70" s="158"/>
      <c r="AD70" s="158"/>
      <c r="AE70" s="158" t="b">
        <f>IF(AB70="",TRUE,IF(IF(AC70="",VLOOKUP(AB70,Calculs!$A$19:$S$425,19,FALSE),VLOOKUP(AC70,Calculs!$A$19:$S$425,19,FALSE))&gt;=AD70,TRUE,FALSE))</f>
        <v>1</v>
      </c>
      <c r="AF70" s="158"/>
      <c r="AG70" s="158"/>
      <c r="AH70" s="158"/>
      <c r="AI70" s="158" t="b">
        <f>IF(AF70="",TRUE,IF(IF(AG70="",VLOOKUP(AF70,Calculs!$A$19:$S$425,19,FALSE),VLOOKUP(AG70,Calculs!$A$19:$S$425,19,FALSE))&gt;=AH70,TRUE,FALSE))</f>
        <v>1</v>
      </c>
      <c r="AJ70" s="158"/>
      <c r="AK70" s="158"/>
      <c r="AL70" s="158"/>
      <c r="AM70" s="158" t="b">
        <f>IF(AJ70="",TRUE,IF(IF(AK70="",VLOOKUP(AJ70,Calculs!$A$19:$S$425,19,FALSE),VLOOKUP(AK70,Calculs!$A$19:$S$425,19,FALSE))&gt;=AL70,TRUE,FALSE))</f>
        <v>1</v>
      </c>
      <c r="AN70" s="158"/>
      <c r="AO70" s="158"/>
      <c r="AP70" s="158"/>
      <c r="AQ70" s="158" t="b">
        <f>IF(AN70="",TRUE,IF(IF(AO70="",VLOOKUP(AN70,Calculs!$A$19:$S$425,19,FALSE),VLOOKUP(AO70,Calculs!$A$19:$S$425,19,FALSE))&gt;=AP70,TRUE,FALSE))</f>
        <v>1</v>
      </c>
      <c r="AR70" s="158"/>
      <c r="AS70" s="158" t="b">
        <f>IF(AR70="",TRUE,IF(VLOOKUP(AR70,Calculs!$A$427:$G$738,7,FALSE)&gt;0,TRUE,FALSE))</f>
        <v>1</v>
      </c>
      <c r="AT70" s="158"/>
      <c r="AU70" s="158" t="b">
        <f>IF(AT70="",TRUE,IF(VLOOKUP(AT70,Calculs!$A$740:$G$912,7,FALSE)&gt;0,TRUE,FALSE))</f>
        <v>1</v>
      </c>
      <c r="AV70" s="158" t="b">
        <f t="shared" si="7"/>
        <v>1</v>
      </c>
      <c r="AW70" s="158" t="s">
        <v>2078</v>
      </c>
      <c r="AX70" s="162" t="s">
        <v>7226</v>
      </c>
      <c r="AY70" s="15">
        <v>55</v>
      </c>
      <c r="AZ70" s="555" t="s">
        <v>8480</v>
      </c>
      <c r="BA70" s="559">
        <f>IF(Verso!$B$10=Voies!$B70,1,0)</f>
        <v>0</v>
      </c>
      <c r="BB70" s="12">
        <f>IF(Verso!$B$11=Voies!$B70,1,0)</f>
        <v>0</v>
      </c>
      <c r="BC70" s="12">
        <f>IF(Verso!$B$12=Voies!$B70,1,0)</f>
        <v>0</v>
      </c>
      <c r="BD70" s="12">
        <f>IF(Verso!$B$13=Voies!$B70,1,0)</f>
        <v>0</v>
      </c>
      <c r="BE70" s="12">
        <f>IF(Verso!$B$14=Voies!$B70,1,0)</f>
        <v>0</v>
      </c>
      <c r="BF70" s="12">
        <f>IF(Verso!$B$15=Voies!$B70,1,0)</f>
        <v>0</v>
      </c>
      <c r="BG70" s="12">
        <f>IF(Verso!$B$16=Voies!$B70,1,0)</f>
        <v>0</v>
      </c>
      <c r="BH70" s="12">
        <f>IF(Verso!$B$17=Voies!$B70,1,0)</f>
        <v>0</v>
      </c>
      <c r="BI70" s="557">
        <f t="shared" si="8"/>
        <v>0</v>
      </c>
      <c r="BJ70" s="196" t="str">
        <f t="shared" si="9"/>
        <v/>
      </c>
      <c r="BK70" s="196" t="str">
        <f t="shared" si="10"/>
        <v/>
      </c>
      <c r="BL70" s="295" t="str">
        <f t="shared" si="11"/>
        <v/>
      </c>
    </row>
    <row r="71" spans="1:65" ht="47.25" customHeight="1" x14ac:dyDescent="0.25">
      <c r="A71" s="162" t="str">
        <f>IF(AND(Réputation&gt;Voies!E71-1,OR(C71=TRUE,Calculs!$I$8&gt;0),Air&gt;Voies!J71-1,Eau&gt;Voies!K71-1,Feu&gt;Voies!L71-1,Terre&gt;Voies!M71-1,Vide&gt;Voies!N71-1,Constitution&gt;Voies!O71-1,Volonté&gt;Voies!P71-1,Force&gt;Voies!Q71-1,Perception&gt;Voies!R71-1,Reflexes&gt;Voies!S71-1,Agilité&gt;Voies!T71-1,Intuition&gt;Voies!U71-1,Intelligence&gt;Voies!V71-1,Souillure&gt;Voies!W71-1,Honneur&gt;X71-1,Statut&gt;Y71-1,Gloire&gt;Z71-1,AV71=TRUE),Voies!B71,"")</f>
        <v/>
      </c>
      <c r="B71" s="162" t="s">
        <v>7389</v>
      </c>
      <c r="C71" s="162" t="b">
        <f>IF(Clan=Voies!D71,TRUE,FALSE)</f>
        <v>0</v>
      </c>
      <c r="D71" s="388" t="s">
        <v>180</v>
      </c>
      <c r="E71" s="13">
        <v>1</v>
      </c>
      <c r="F71" s="199">
        <v>1</v>
      </c>
      <c r="G71" s="13" t="s">
        <v>2048</v>
      </c>
      <c r="H71" s="162" t="s">
        <v>7387</v>
      </c>
      <c r="I71" s="129" t="s">
        <v>7388</v>
      </c>
      <c r="J71" s="146">
        <v>0</v>
      </c>
      <c r="K71" s="147">
        <v>0</v>
      </c>
      <c r="L71" s="148">
        <v>0</v>
      </c>
      <c r="M71" s="149">
        <v>0</v>
      </c>
      <c r="N71" s="150">
        <v>0</v>
      </c>
      <c r="O71" s="130">
        <v>0</v>
      </c>
      <c r="P71" s="130">
        <v>0</v>
      </c>
      <c r="Q71" s="130">
        <v>0</v>
      </c>
      <c r="R71" s="130">
        <v>0</v>
      </c>
      <c r="S71" s="130">
        <v>0</v>
      </c>
      <c r="T71" s="130">
        <v>0</v>
      </c>
      <c r="U71" s="130">
        <v>0</v>
      </c>
      <c r="V71" s="524">
        <v>0</v>
      </c>
      <c r="W71" s="130">
        <v>0</v>
      </c>
      <c r="X71" s="130">
        <v>0</v>
      </c>
      <c r="Y71" s="130">
        <v>0</v>
      </c>
      <c r="Z71" s="130">
        <v>0</v>
      </c>
      <c r="AA71" s="158" t="s">
        <v>2078</v>
      </c>
      <c r="AB71" s="158"/>
      <c r="AC71" s="158"/>
      <c r="AD71" s="158"/>
      <c r="AE71" s="158" t="b">
        <f>IF(AB71="",TRUE,IF(IF(AC71="",VLOOKUP(AB71,Calculs!$A$19:$S$425,19,FALSE),VLOOKUP(AC71,Calculs!$A$19:$S$425,19,FALSE))&gt;=AD71,TRUE,FALSE))</f>
        <v>1</v>
      </c>
      <c r="AF71" s="158"/>
      <c r="AG71" s="158"/>
      <c r="AH71" s="158"/>
      <c r="AI71" s="158" t="b">
        <f>IF(AF71="",TRUE,IF(IF(AG71="",VLOOKUP(AF71,Calculs!$A$19:$S$425,19,FALSE),VLOOKUP(AG71,Calculs!$A$19:$S$425,19,FALSE))&gt;=AH71,TRUE,FALSE))</f>
        <v>1</v>
      </c>
      <c r="AJ71" s="158"/>
      <c r="AK71" s="158"/>
      <c r="AL71" s="158"/>
      <c r="AM71" s="158" t="b">
        <f>IF(AJ71="",TRUE,IF(IF(AK71="",VLOOKUP(AJ71,Calculs!$A$19:$S$425,19,FALSE),VLOOKUP(AK71,Calculs!$A$19:$S$425,19,FALSE))&gt;=AL71,TRUE,FALSE))</f>
        <v>1</v>
      </c>
      <c r="AN71" s="158"/>
      <c r="AO71" s="158"/>
      <c r="AP71" s="158"/>
      <c r="AQ71" s="158" t="b">
        <f>IF(AN71="",TRUE,IF(IF(AO71="",VLOOKUP(AN71,Calculs!$A$19:$S$425,19,FALSE),VLOOKUP(AO71,Calculs!$A$19:$S$425,19,FALSE))&gt;=AP71,TRUE,FALSE))</f>
        <v>1</v>
      </c>
      <c r="AR71" s="158"/>
      <c r="AS71" s="158" t="b">
        <f>IF(AR71="",TRUE,IF(VLOOKUP(AR71,Calculs!$A$427:$G$738,7,FALSE)&gt;0,TRUE,FALSE))</f>
        <v>1</v>
      </c>
      <c r="AT71" s="158"/>
      <c r="AU71" s="158" t="b">
        <f>IF(AT71="",TRUE,IF(VLOOKUP(AT71,Calculs!$A$740:$G$912,7,FALSE)&gt;0,TRUE,FALSE))</f>
        <v>1</v>
      </c>
      <c r="AV71" s="158" t="b">
        <f t="shared" si="7"/>
        <v>1</v>
      </c>
      <c r="AW71" s="158" t="s">
        <v>2078</v>
      </c>
      <c r="AX71" s="162" t="s">
        <v>7226</v>
      </c>
      <c r="AY71" s="15">
        <v>54</v>
      </c>
      <c r="AZ71" s="555" t="s">
        <v>8481</v>
      </c>
      <c r="BA71" s="559">
        <f>IF(Verso!$B$10=Voies!$B71,1,0)</f>
        <v>0</v>
      </c>
      <c r="BB71" s="12">
        <f>IF(Verso!$B$11=Voies!$B71,1,0)</f>
        <v>0</v>
      </c>
      <c r="BC71" s="12">
        <f>IF(Verso!$B$12=Voies!$B71,1,0)</f>
        <v>0</v>
      </c>
      <c r="BD71" s="12">
        <f>IF(Verso!$B$13=Voies!$B71,1,0)</f>
        <v>0</v>
      </c>
      <c r="BE71" s="12">
        <f>IF(Verso!$B$14=Voies!$B71,1,0)</f>
        <v>0</v>
      </c>
      <c r="BF71" s="12">
        <f>IF(Verso!$B$15=Voies!$B71,1,0)</f>
        <v>0</v>
      </c>
      <c r="BG71" s="12">
        <f>IF(Verso!$B$16=Voies!$B71,1,0)</f>
        <v>0</v>
      </c>
      <c r="BH71" s="12">
        <f>IF(Verso!$B$17=Voies!$B71,1,0)</f>
        <v>0</v>
      </c>
      <c r="BI71" s="557">
        <f t="shared" si="8"/>
        <v>0</v>
      </c>
      <c r="BJ71" s="196" t="str">
        <f t="shared" si="9"/>
        <v/>
      </c>
      <c r="BK71" s="196" t="str">
        <f t="shared" si="10"/>
        <v/>
      </c>
      <c r="BL71" s="295" t="str">
        <f t="shared" si="11"/>
        <v/>
      </c>
    </row>
    <row r="72" spans="1:65" s="3" customFormat="1" ht="47.25" customHeight="1" x14ac:dyDescent="0.25">
      <c r="A72" s="162" t="str">
        <f>IF(AND(Réputation&gt;Voies!E72-1,OR(C72=TRUE,Calculs!$I$8&gt;0),Air&gt;Voies!J72-1,Eau&gt;Voies!K72-1,Feu&gt;Voies!L72-1,Terre&gt;Voies!M72-1,Vide&gt;Voies!N72-1,Constitution&gt;Voies!O72-1,Volonté&gt;Voies!P72-1,Force&gt;Voies!Q72-1,Perception&gt;Voies!R72-1,Reflexes&gt;Voies!S72-1,Agilité&gt;Voies!T72-1,Intuition&gt;Voies!U72-1,Intelligence&gt;Voies!V72-1,Souillure&gt;Voies!W72-1,Honneur&gt;X72-1,Statut&gt;Y72-1,Gloire&gt;Z72-1,AV72=TRUE),Voies!B72,"")</f>
        <v/>
      </c>
      <c r="B72" s="162" t="s">
        <v>2134</v>
      </c>
      <c r="C72" s="162" t="b">
        <f>IF(Clan=Voies!D72,TRUE,FALSE)</f>
        <v>0</v>
      </c>
      <c r="D72" s="388" t="s">
        <v>180</v>
      </c>
      <c r="E72" s="13">
        <v>2</v>
      </c>
      <c r="F72" s="199">
        <v>2</v>
      </c>
      <c r="G72" s="13" t="s">
        <v>2049</v>
      </c>
      <c r="H72" s="162" t="s">
        <v>403</v>
      </c>
      <c r="I72" s="129" t="str">
        <f>IF(B72="","","Rien")</f>
        <v>Rien</v>
      </c>
      <c r="J72" s="146">
        <v>0</v>
      </c>
      <c r="K72" s="147">
        <v>0</v>
      </c>
      <c r="L72" s="148">
        <v>0</v>
      </c>
      <c r="M72" s="149">
        <v>0</v>
      </c>
      <c r="N72" s="150">
        <v>0</v>
      </c>
      <c r="O72" s="130">
        <v>0</v>
      </c>
      <c r="P72" s="130">
        <v>0</v>
      </c>
      <c r="Q72" s="130">
        <v>0</v>
      </c>
      <c r="R72" s="130">
        <v>0</v>
      </c>
      <c r="S72" s="130">
        <v>0</v>
      </c>
      <c r="T72" s="130">
        <v>0</v>
      </c>
      <c r="U72" s="130">
        <v>0</v>
      </c>
      <c r="V72" s="524">
        <v>0</v>
      </c>
      <c r="W72" s="130">
        <v>0</v>
      </c>
      <c r="X72" s="130">
        <v>0</v>
      </c>
      <c r="Y72" s="130">
        <v>0</v>
      </c>
      <c r="Z72" s="130">
        <v>0</v>
      </c>
      <c r="AA72" s="158" t="s">
        <v>2078</v>
      </c>
      <c r="AB72" s="158"/>
      <c r="AC72" s="158"/>
      <c r="AD72" s="158"/>
      <c r="AE72" s="158" t="b">
        <f>IF(AB72="",TRUE,IF(IF(AC72="",VLOOKUP(AB72,Calculs!$A$19:$S$425,19,FALSE),VLOOKUP(AC72,Calculs!$A$19:$S$425,19,FALSE))&gt;=AD72,TRUE,FALSE))</f>
        <v>1</v>
      </c>
      <c r="AF72" s="158"/>
      <c r="AG72" s="158"/>
      <c r="AH72" s="158"/>
      <c r="AI72" s="158" t="b">
        <f>IF(AF72="",TRUE,IF(IF(AG72="",VLOOKUP(AF72,Calculs!$A$19:$S$425,19,FALSE),VLOOKUP(AG72,Calculs!$A$19:$S$425,19,FALSE))&gt;=AH72,TRUE,FALSE))</f>
        <v>1</v>
      </c>
      <c r="AJ72" s="158"/>
      <c r="AK72" s="158"/>
      <c r="AL72" s="158"/>
      <c r="AM72" s="158" t="b">
        <f>IF(AJ72="",TRUE,IF(IF(AK72="",VLOOKUP(AJ72,Calculs!$A$19:$S$425,19,FALSE),VLOOKUP(AK72,Calculs!$A$19:$S$425,19,FALSE))&gt;=AL72,TRUE,FALSE))</f>
        <v>1</v>
      </c>
      <c r="AN72" s="158"/>
      <c r="AO72" s="158"/>
      <c r="AP72" s="158"/>
      <c r="AQ72" s="158" t="b">
        <f>IF(AN72="",TRUE,IF(IF(AO72="",VLOOKUP(AN72,Calculs!$A$19:$S$425,19,FALSE),VLOOKUP(AO72,Calculs!$A$19:$S$425,19,FALSE))&gt;=AP72,TRUE,FALSE))</f>
        <v>1</v>
      </c>
      <c r="AR72" s="158"/>
      <c r="AS72" s="158" t="b">
        <f>IF(AR72="",TRUE,IF(VLOOKUP(AR72,Calculs!$A$427:$G$738,7,FALSE)&gt;0,TRUE,FALSE))</f>
        <v>1</v>
      </c>
      <c r="AT72" s="158"/>
      <c r="AU72" s="158" t="b">
        <f>IF(AT72="",TRUE,IF(VLOOKUP(AT72,Calculs!$A$740:$G$912,7,FALSE)&gt;0,TRUE,FALSE))</f>
        <v>1</v>
      </c>
      <c r="AV72" s="158" t="b">
        <f t="shared" si="7"/>
        <v>1</v>
      </c>
      <c r="AW72" s="158" t="s">
        <v>2078</v>
      </c>
      <c r="AX72" s="162" t="s">
        <v>3</v>
      </c>
      <c r="AY72" s="15">
        <v>216</v>
      </c>
      <c r="AZ72" s="555" t="str">
        <f>CONCATENATE(Force," fois par jour, vous pouvez relancer un jet de Dommages et garder le résultat de votre choix")</f>
        <v>2 fois par jour, vous pouvez relancer un jet de Dommages et garder le résultat de votre choix</v>
      </c>
      <c r="BA72" s="559">
        <f>IF(Verso!$B$10=Voies!$B72,1,0)</f>
        <v>0</v>
      </c>
      <c r="BB72" s="12">
        <f>IF(Verso!$B$11=Voies!$B72,1,0)</f>
        <v>0</v>
      </c>
      <c r="BC72" s="12">
        <f>IF(Verso!$B$12=Voies!$B72,1,0)</f>
        <v>0</v>
      </c>
      <c r="BD72" s="12">
        <f>IF(Verso!$B$13=Voies!$B72,1,0)</f>
        <v>0</v>
      </c>
      <c r="BE72" s="12">
        <f>IF(Verso!$B$14=Voies!$B72,1,0)</f>
        <v>0</v>
      </c>
      <c r="BF72" s="12">
        <f>IF(Verso!$B$15=Voies!$B72,1,0)</f>
        <v>0</v>
      </c>
      <c r="BG72" s="12">
        <f>IF(Verso!$B$16=Voies!$B72,1,0)</f>
        <v>0</v>
      </c>
      <c r="BH72" s="12">
        <f>IF(Verso!$B$17=Voies!$B72,1,0)</f>
        <v>0</v>
      </c>
      <c r="BI72" s="557">
        <f t="shared" si="8"/>
        <v>0</v>
      </c>
      <c r="BJ72" s="196" t="str">
        <f t="shared" si="9"/>
        <v/>
      </c>
      <c r="BK72" s="196" t="str">
        <f t="shared" si="10"/>
        <v/>
      </c>
      <c r="BL72" s="295" t="str">
        <f t="shared" si="11"/>
        <v/>
      </c>
      <c r="BM72" s="577"/>
    </row>
    <row r="73" spans="1:65" s="3" customFormat="1" ht="47.25" customHeight="1" x14ac:dyDescent="0.25">
      <c r="A73" s="162" t="str">
        <f>IF(AND(Réputation&gt;Voies!E73-1,OR(C73=TRUE,Calculs!$I$8&gt;0),Air&gt;Voies!J73-1,Eau&gt;Voies!K73-1,Feu&gt;Voies!L73-1,Terre&gt;Voies!M73-1,Vide&gt;Voies!N73-1,Constitution&gt;Voies!O73-1,Volonté&gt;Voies!P73-1,Force&gt;Voies!Q73-1,Perception&gt;Voies!R73-1,Reflexes&gt;Voies!S73-1,Agilité&gt;Voies!T73-1,Intuition&gt;Voies!U73-1,Intelligence&gt;Voies!V73-1,Souillure&gt;Voies!W73-1,Honneur&gt;X73-1,Statut&gt;Y73-1,Gloire&gt;Z73-1,AV73=TRUE),Voies!B73,"")</f>
        <v/>
      </c>
      <c r="B73" s="162" t="s">
        <v>7754</v>
      </c>
      <c r="C73" s="162" t="b">
        <f>IF(Clan=Voies!D73,TRUE,FALSE)</f>
        <v>0</v>
      </c>
      <c r="D73" s="388" t="s">
        <v>180</v>
      </c>
      <c r="E73" s="13">
        <v>2</v>
      </c>
      <c r="F73" s="199">
        <v>2</v>
      </c>
      <c r="G73" s="13" t="s">
        <v>2052</v>
      </c>
      <c r="H73" s="162" t="s">
        <v>7749</v>
      </c>
      <c r="I73" s="129" t="str">
        <f>IF(B73="","","Rien")</f>
        <v>Rien</v>
      </c>
      <c r="J73" s="146">
        <v>0</v>
      </c>
      <c r="K73" s="147">
        <v>0</v>
      </c>
      <c r="L73" s="148">
        <v>0</v>
      </c>
      <c r="M73" s="149">
        <v>0</v>
      </c>
      <c r="N73" s="150">
        <v>0</v>
      </c>
      <c r="O73" s="130">
        <v>0</v>
      </c>
      <c r="P73" s="130">
        <v>0</v>
      </c>
      <c r="Q73" s="130">
        <v>0</v>
      </c>
      <c r="R73" s="130">
        <v>0</v>
      </c>
      <c r="S73" s="130">
        <v>0</v>
      </c>
      <c r="T73" s="130">
        <v>0</v>
      </c>
      <c r="U73" s="130">
        <v>0</v>
      </c>
      <c r="V73" s="524">
        <v>0</v>
      </c>
      <c r="W73" s="130">
        <v>0</v>
      </c>
      <c r="X73" s="130">
        <v>0</v>
      </c>
      <c r="Y73" s="130">
        <v>0</v>
      </c>
      <c r="Z73" s="130">
        <v>0</v>
      </c>
      <c r="AA73" s="158" t="s">
        <v>2078</v>
      </c>
      <c r="AB73" s="158"/>
      <c r="AC73" s="158"/>
      <c r="AD73" s="158"/>
      <c r="AE73" s="158" t="b">
        <f>IF(AB73="",TRUE,IF(IF(AC73="",VLOOKUP(AB73,Calculs!$A$19:$S$425,19,FALSE),VLOOKUP(AC73,Calculs!$A$19:$S$425,19,FALSE))&gt;=AD73,TRUE,FALSE))</f>
        <v>1</v>
      </c>
      <c r="AF73" s="158"/>
      <c r="AG73" s="158"/>
      <c r="AH73" s="158"/>
      <c r="AI73" s="158" t="b">
        <f>IF(AF73="",TRUE,IF(IF(AG73="",VLOOKUP(AF73,Calculs!$A$19:$S$425,19,FALSE),VLOOKUP(AG73,Calculs!$A$19:$S$425,19,FALSE))&gt;=AH73,TRUE,FALSE))</f>
        <v>1</v>
      </c>
      <c r="AJ73" s="158"/>
      <c r="AK73" s="158"/>
      <c r="AL73" s="158"/>
      <c r="AM73" s="158" t="b">
        <f>IF(AJ73="",TRUE,IF(IF(AK73="",VLOOKUP(AJ73,Calculs!$A$19:$S$425,19,FALSE),VLOOKUP(AK73,Calculs!$A$19:$S$425,19,FALSE))&gt;=AL73,TRUE,FALSE))</f>
        <v>1</v>
      </c>
      <c r="AN73" s="158"/>
      <c r="AO73" s="158"/>
      <c r="AP73" s="158"/>
      <c r="AQ73" s="158" t="b">
        <f>IF(AN73="",TRUE,IF(IF(AO73="",VLOOKUP(AN73,Calculs!$A$19:$S$425,19,FALSE),VLOOKUP(AO73,Calculs!$A$19:$S$425,19,FALSE))&gt;=AP73,TRUE,FALSE))</f>
        <v>1</v>
      </c>
      <c r="AR73" s="158"/>
      <c r="AS73" s="158" t="b">
        <f>IF(AR73="",TRUE,IF(VLOOKUP(AR73,Calculs!$A$427:$G$738,7,FALSE)&gt;0,TRUE,FALSE))</f>
        <v>1</v>
      </c>
      <c r="AT73" s="158"/>
      <c r="AU73" s="158" t="b">
        <f>IF(AT73="",TRUE,IF(VLOOKUP(AT73,Calculs!$A$740:$G$912,7,FALSE)&gt;0,TRUE,FALSE))</f>
        <v>1</v>
      </c>
      <c r="AV73" s="158" t="b">
        <f t="shared" si="7"/>
        <v>1</v>
      </c>
      <c r="AW73" s="158" t="s">
        <v>2078</v>
      </c>
      <c r="AX73" s="162" t="s">
        <v>7226</v>
      </c>
      <c r="AY73" s="15">
        <v>55</v>
      </c>
      <c r="AZ73" s="555" t="s">
        <v>8518</v>
      </c>
      <c r="BA73" s="559">
        <f>IF(Verso!$B$10=Voies!$B73,1,0)</f>
        <v>0</v>
      </c>
      <c r="BB73" s="12">
        <f>IF(Verso!$B$11=Voies!$B73,1,0)</f>
        <v>0</v>
      </c>
      <c r="BC73" s="12">
        <f>IF(Verso!$B$12=Voies!$B73,1,0)</f>
        <v>0</v>
      </c>
      <c r="BD73" s="12">
        <f>IF(Verso!$B$13=Voies!$B73,1,0)</f>
        <v>0</v>
      </c>
      <c r="BE73" s="12">
        <f>IF(Verso!$B$14=Voies!$B73,1,0)</f>
        <v>0</v>
      </c>
      <c r="BF73" s="12">
        <f>IF(Verso!$B$15=Voies!$B73,1,0)</f>
        <v>0</v>
      </c>
      <c r="BG73" s="12">
        <f>IF(Verso!$B$16=Voies!$B73,1,0)</f>
        <v>0</v>
      </c>
      <c r="BH73" s="12">
        <f>IF(Verso!$B$17=Voies!$B73,1,0)</f>
        <v>0</v>
      </c>
      <c r="BI73" s="557">
        <f t="shared" si="8"/>
        <v>0</v>
      </c>
      <c r="BJ73" s="196" t="str">
        <f t="shared" si="9"/>
        <v/>
      </c>
      <c r="BK73" s="196" t="str">
        <f t="shared" si="10"/>
        <v/>
      </c>
      <c r="BL73" s="295" t="str">
        <f t="shared" si="11"/>
        <v/>
      </c>
      <c r="BM73" s="577"/>
    </row>
    <row r="74" spans="1:65" s="3" customFormat="1" ht="47.25" customHeight="1" x14ac:dyDescent="0.25">
      <c r="A74" s="162" t="str">
        <f>IF(AND(Réputation&gt;Voies!E74-1,OR(C74=TRUE,Calculs!$I$8&gt;0),Air&gt;Voies!J74-1,Eau&gt;Voies!K74-1,Feu&gt;Voies!L74-1,Terre&gt;Voies!M74-1,Vide&gt;Voies!N74-1,Constitution&gt;Voies!O74-1,Volonté&gt;Voies!P74-1,Force&gt;Voies!Q74-1,Perception&gt;Voies!R74-1,Reflexes&gt;Voies!S74-1,Agilité&gt;Voies!T74-1,Intuition&gt;Voies!U74-1,Intelligence&gt;Voies!V74-1,Souillure&gt;Voies!W74-1,Honneur&gt;X74-1,Statut&gt;Y74-1,Gloire&gt;Z74-1,AV74=TRUE),Voies!B74,"")</f>
        <v/>
      </c>
      <c r="B74" s="162" t="s">
        <v>2135</v>
      </c>
      <c r="C74" s="162" t="b">
        <f>IF(Clan=Voies!D74,TRUE,FALSE)</f>
        <v>0</v>
      </c>
      <c r="D74" s="388" t="s">
        <v>180</v>
      </c>
      <c r="E74" s="13">
        <v>3</v>
      </c>
      <c r="F74" s="199">
        <v>3</v>
      </c>
      <c r="G74" s="13" t="s">
        <v>2049</v>
      </c>
      <c r="H74" s="162" t="s">
        <v>403</v>
      </c>
      <c r="I74" s="129" t="str">
        <f>IF(B74="","","Rien")</f>
        <v>Rien</v>
      </c>
      <c r="J74" s="146">
        <v>0</v>
      </c>
      <c r="K74" s="147">
        <v>0</v>
      </c>
      <c r="L74" s="148">
        <v>0</v>
      </c>
      <c r="M74" s="149">
        <v>0</v>
      </c>
      <c r="N74" s="150">
        <v>0</v>
      </c>
      <c r="O74" s="130">
        <v>0</v>
      </c>
      <c r="P74" s="130">
        <v>0</v>
      </c>
      <c r="Q74" s="130">
        <v>0</v>
      </c>
      <c r="R74" s="130">
        <v>0</v>
      </c>
      <c r="S74" s="130">
        <v>0</v>
      </c>
      <c r="T74" s="130">
        <v>0</v>
      </c>
      <c r="U74" s="130">
        <v>0</v>
      </c>
      <c r="V74" s="524">
        <v>0</v>
      </c>
      <c r="W74" s="130">
        <v>0</v>
      </c>
      <c r="X74" s="130">
        <v>0</v>
      </c>
      <c r="Y74" s="130">
        <v>0</v>
      </c>
      <c r="Z74" s="130">
        <v>0</v>
      </c>
      <c r="AA74" s="158" t="s">
        <v>2078</v>
      </c>
      <c r="AB74" s="158"/>
      <c r="AC74" s="158"/>
      <c r="AD74" s="158"/>
      <c r="AE74" s="158" t="b">
        <f>IF(AB74="",TRUE,IF(IF(AC74="",VLOOKUP(AB74,Calculs!$A$19:$S$425,19,FALSE),VLOOKUP(AC74,Calculs!$A$19:$S$425,19,FALSE))&gt;=AD74,TRUE,FALSE))</f>
        <v>1</v>
      </c>
      <c r="AF74" s="158"/>
      <c r="AG74" s="158"/>
      <c r="AH74" s="158"/>
      <c r="AI74" s="158" t="b">
        <f>IF(AF74="",TRUE,IF(IF(AG74="",VLOOKUP(AF74,Calculs!$A$19:$S$425,19,FALSE),VLOOKUP(AG74,Calculs!$A$19:$S$425,19,FALSE))&gt;=AH74,TRUE,FALSE))</f>
        <v>1</v>
      </c>
      <c r="AJ74" s="158"/>
      <c r="AK74" s="158"/>
      <c r="AL74" s="158"/>
      <c r="AM74" s="158" t="b">
        <f>IF(AJ74="",TRUE,IF(IF(AK74="",VLOOKUP(AJ74,Calculs!$A$19:$S$425,19,FALSE),VLOOKUP(AK74,Calculs!$A$19:$S$425,19,FALSE))&gt;=AL74,TRUE,FALSE))</f>
        <v>1</v>
      </c>
      <c r="AN74" s="158"/>
      <c r="AO74" s="158"/>
      <c r="AP74" s="158"/>
      <c r="AQ74" s="158" t="b">
        <f>IF(AN74="",TRUE,IF(IF(AO74="",VLOOKUP(AN74,Calculs!$A$19:$S$425,19,FALSE),VLOOKUP(AO74,Calculs!$A$19:$S$425,19,FALSE))&gt;=AP74,TRUE,FALSE))</f>
        <v>1</v>
      </c>
      <c r="AR74" s="158"/>
      <c r="AS74" s="158" t="b">
        <f>IF(AR74="",TRUE,IF(VLOOKUP(AR74,Calculs!$A$427:$G$738,7,FALSE)&gt;0,TRUE,FALSE))</f>
        <v>1</v>
      </c>
      <c r="AT74" s="158"/>
      <c r="AU74" s="158" t="b">
        <f>IF(AT74="",TRUE,IF(VLOOKUP(AT74,Calculs!$A$740:$G$912,7,FALSE)&gt;0,TRUE,FALSE))</f>
        <v>1</v>
      </c>
      <c r="AV74" s="158" t="b">
        <f t="shared" si="7"/>
        <v>1</v>
      </c>
      <c r="AW74" s="158" t="s">
        <v>2078</v>
      </c>
      <c r="AX74" s="162" t="s">
        <v>3</v>
      </c>
      <c r="AY74" s="15">
        <v>216</v>
      </c>
      <c r="AZ74" s="555" t="s">
        <v>8482</v>
      </c>
      <c r="BA74" s="559">
        <f>IF(Verso!$B$10=Voies!$B74,1,0)</f>
        <v>0</v>
      </c>
      <c r="BB74" s="12">
        <f>IF(Verso!$B$11=Voies!$B74,1,0)</f>
        <v>0</v>
      </c>
      <c r="BC74" s="12">
        <f>IF(Verso!$B$12=Voies!$B74,1,0)</f>
        <v>0</v>
      </c>
      <c r="BD74" s="12">
        <f>IF(Verso!$B$13=Voies!$B74,1,0)</f>
        <v>0</v>
      </c>
      <c r="BE74" s="12">
        <f>IF(Verso!$B$14=Voies!$B74,1,0)</f>
        <v>0</v>
      </c>
      <c r="BF74" s="12">
        <f>IF(Verso!$B$15=Voies!$B74,1,0)</f>
        <v>0</v>
      </c>
      <c r="BG74" s="12">
        <f>IF(Verso!$B$16=Voies!$B74,1,0)</f>
        <v>0</v>
      </c>
      <c r="BH74" s="12">
        <f>IF(Verso!$B$17=Voies!$B74,1,0)</f>
        <v>0</v>
      </c>
      <c r="BI74" s="557">
        <f t="shared" si="8"/>
        <v>0</v>
      </c>
      <c r="BJ74" s="196" t="str">
        <f t="shared" si="9"/>
        <v/>
      </c>
      <c r="BK74" s="196" t="str">
        <f t="shared" si="10"/>
        <v/>
      </c>
      <c r="BL74" s="295" t="str">
        <f t="shared" si="11"/>
        <v/>
      </c>
      <c r="BM74" s="577"/>
    </row>
    <row r="75" spans="1:65" ht="47.25" customHeight="1" x14ac:dyDescent="0.25">
      <c r="A75" s="162" t="str">
        <f>IF(AND(Réputation&gt;Voies!E75-1,OR(C75=TRUE,Calculs!$I$8&gt;0),Air&gt;Voies!J75-1,Eau&gt;Voies!K75-1,Feu&gt;Voies!L75-1,Terre&gt;Voies!M75-1,Vide&gt;Voies!N75-1,Constitution&gt;Voies!O75-1,Volonté&gt;Voies!P75-1,Force&gt;Voies!Q75-1,Perception&gt;Voies!R75-1,Reflexes&gt;Voies!S75-1,Agilité&gt;Voies!T75-1,Intuition&gt;Voies!U75-1,Intelligence&gt;Voies!V75-1,Souillure&gt;Voies!W75-1,Honneur&gt;X75-1,Statut&gt;Y75-1,Gloire&gt;Z75-1,AV75=TRUE),Voies!B75,"")</f>
        <v/>
      </c>
      <c r="B75" s="162" t="s">
        <v>3752</v>
      </c>
      <c r="C75" s="162" t="b">
        <f>IF(Clan=Voies!D75,TRUE,FALSE)</f>
        <v>0</v>
      </c>
      <c r="D75" s="388" t="s">
        <v>180</v>
      </c>
      <c r="E75" s="13">
        <v>3</v>
      </c>
      <c r="F75" s="199">
        <v>3</v>
      </c>
      <c r="G75" s="13" t="s">
        <v>2049</v>
      </c>
      <c r="H75" s="162" t="s">
        <v>544</v>
      </c>
      <c r="I75" s="129" t="s">
        <v>3750</v>
      </c>
      <c r="J75" s="146">
        <v>0</v>
      </c>
      <c r="K75" s="147">
        <v>0</v>
      </c>
      <c r="L75" s="148">
        <v>0</v>
      </c>
      <c r="M75" s="149">
        <v>0</v>
      </c>
      <c r="N75" s="150">
        <v>0</v>
      </c>
      <c r="O75" s="130">
        <v>0</v>
      </c>
      <c r="P75" s="130">
        <v>0</v>
      </c>
      <c r="Q75" s="130">
        <v>4</v>
      </c>
      <c r="R75" s="130">
        <v>0</v>
      </c>
      <c r="S75" s="130">
        <v>0</v>
      </c>
      <c r="T75" s="130">
        <v>0</v>
      </c>
      <c r="U75" s="130">
        <v>0</v>
      </c>
      <c r="V75" s="524">
        <v>0</v>
      </c>
      <c r="W75" s="130">
        <v>0</v>
      </c>
      <c r="X75" s="130">
        <v>0</v>
      </c>
      <c r="Y75" s="130">
        <v>0</v>
      </c>
      <c r="Z75" s="130">
        <v>0</v>
      </c>
      <c r="AA75" s="159" t="s">
        <v>3751</v>
      </c>
      <c r="AB75" s="159" t="s">
        <v>1267</v>
      </c>
      <c r="AD75" s="159">
        <v>4</v>
      </c>
      <c r="AE75" s="158" t="b">
        <f>IF(AB75="",TRUE,IF(IF(AC75="",VLOOKUP(AB75,Calculs!$A$19:$S$425,19,FALSE),VLOOKUP(AC75,Calculs!$A$19:$S$425,19,FALSE))&gt;=AD75,TRUE,FALSE))</f>
        <v>0</v>
      </c>
      <c r="AF75" s="159" t="s">
        <v>1275</v>
      </c>
      <c r="AH75" s="159">
        <v>4</v>
      </c>
      <c r="AI75" s="158" t="b">
        <f>IF(AF75="",TRUE,IF(IF(AG75="",VLOOKUP(AF75,Calculs!$A$19:$S$425,19,FALSE),VLOOKUP(AG75,Calculs!$A$19:$S$425,19,FALSE))&gt;=AH75,TRUE,FALSE))</f>
        <v>0</v>
      </c>
      <c r="AM75" s="158" t="b">
        <f>IF(AJ75="",TRUE,IF(IF(AK75="",VLOOKUP(AJ75,Calculs!$A$19:$S$425,19,FALSE),VLOOKUP(AK75,Calculs!$A$19:$S$425,19,FALSE))&gt;=AL75,TRUE,FALSE))</f>
        <v>1</v>
      </c>
      <c r="AQ75" s="158" t="b">
        <f>IF(AN75="",TRUE,IF(IF(AO75="",VLOOKUP(AN75,Calculs!$A$19:$S$425,19,FALSE),VLOOKUP(AO75,Calculs!$A$19:$S$425,19,FALSE))&gt;=AP75,TRUE,FALSE))</f>
        <v>1</v>
      </c>
      <c r="AR75" s="158"/>
      <c r="AS75" s="158" t="b">
        <f>IF(AR75="",TRUE,IF(VLOOKUP(AR75,Calculs!$A$427:$G$738,7,FALSE)&gt;0,TRUE,FALSE))</f>
        <v>1</v>
      </c>
      <c r="AT75" s="158"/>
      <c r="AU75" s="158" t="b">
        <f>IF(AT75="",TRUE,IF(VLOOKUP(AT75,Calculs!$A$740:$G$912,7,FALSE)&gt;0,TRUE,FALSE))</f>
        <v>1</v>
      </c>
      <c r="AV75" s="158" t="b">
        <f t="shared" si="7"/>
        <v>0</v>
      </c>
      <c r="AW75" s="158" t="s">
        <v>2078</v>
      </c>
      <c r="AX75" s="162" t="s">
        <v>2080</v>
      </c>
      <c r="AY75" s="15">
        <v>237</v>
      </c>
      <c r="AZ75" s="555" t="s">
        <v>3753</v>
      </c>
      <c r="BA75" s="559">
        <f>IF(Verso!$B$10=Voies!$B75,1,0)</f>
        <v>0</v>
      </c>
      <c r="BB75" s="12">
        <f>IF(Verso!$B$11=Voies!$B75,1,0)</f>
        <v>0</v>
      </c>
      <c r="BC75" s="12">
        <f>IF(Verso!$B$12=Voies!$B75,1,0)</f>
        <v>0</v>
      </c>
      <c r="BD75" s="12">
        <f>IF(Verso!$B$13=Voies!$B75,1,0)</f>
        <v>0</v>
      </c>
      <c r="BE75" s="12">
        <f>IF(Verso!$B$14=Voies!$B75,1,0)</f>
        <v>0</v>
      </c>
      <c r="BF75" s="12">
        <f>IF(Verso!$B$15=Voies!$B75,1,0)</f>
        <v>0</v>
      </c>
      <c r="BG75" s="12">
        <f>IF(Verso!$B$16=Voies!$B75,1,0)</f>
        <v>0</v>
      </c>
      <c r="BH75" s="12">
        <f>IF(Verso!$B$17=Voies!$B75,1,0)</f>
        <v>0</v>
      </c>
      <c r="BI75" s="557">
        <f t="shared" si="8"/>
        <v>0</v>
      </c>
      <c r="BJ75" s="196" t="str">
        <f t="shared" si="9"/>
        <v/>
      </c>
      <c r="BK75" s="196" t="str">
        <f t="shared" si="10"/>
        <v/>
      </c>
      <c r="BL75" s="295" t="str">
        <f t="shared" si="11"/>
        <v/>
      </c>
    </row>
    <row r="76" spans="1:65" ht="47.25" customHeight="1" x14ac:dyDescent="0.25">
      <c r="A76" s="162" t="str">
        <f>IF(AND(Réputation&gt;Voies!E76-1,OR(C76=TRUE,Calculs!$I$8&gt;0),Air&gt;Voies!J76-1,Eau&gt;Voies!K76-1,Feu&gt;Voies!L76-1,Terre&gt;Voies!M76-1,Vide&gt;Voies!N76-1,Constitution&gt;Voies!O76-1,Volonté&gt;Voies!P76-1,Force&gt;Voies!Q76-1,Perception&gt;Voies!R76-1,Reflexes&gt;Voies!S76-1,Agilité&gt;Voies!T76-1,Intuition&gt;Voies!U76-1,Intelligence&gt;Voies!V76-1,Souillure&gt;Voies!W76-1,Honneur&gt;X76-1,Statut&gt;Y76-1,Gloire&gt;Z76-1,AV76=TRUE),Voies!B76,"")</f>
        <v/>
      </c>
      <c r="B76" s="162" t="s">
        <v>7755</v>
      </c>
      <c r="C76" s="162" t="b">
        <f>IF(Clan=Voies!D76,TRUE,FALSE)</f>
        <v>0</v>
      </c>
      <c r="D76" s="388" t="s">
        <v>180</v>
      </c>
      <c r="E76" s="13">
        <v>3</v>
      </c>
      <c r="F76" s="199">
        <v>3</v>
      </c>
      <c r="G76" s="13" t="s">
        <v>2052</v>
      </c>
      <c r="H76" s="162" t="s">
        <v>7749</v>
      </c>
      <c r="I76" s="129" t="str">
        <f t="shared" ref="I76:I84" si="12">IF(B76="","","Rien")</f>
        <v>Rien</v>
      </c>
      <c r="J76" s="146">
        <v>0</v>
      </c>
      <c r="K76" s="147">
        <v>0</v>
      </c>
      <c r="L76" s="148">
        <v>0</v>
      </c>
      <c r="M76" s="149">
        <v>0</v>
      </c>
      <c r="N76" s="150">
        <v>0</v>
      </c>
      <c r="O76" s="130">
        <v>0</v>
      </c>
      <c r="P76" s="130">
        <v>0</v>
      </c>
      <c r="Q76" s="130">
        <v>0</v>
      </c>
      <c r="R76" s="130">
        <v>0</v>
      </c>
      <c r="S76" s="130">
        <v>0</v>
      </c>
      <c r="T76" s="130">
        <v>0</v>
      </c>
      <c r="U76" s="130">
        <v>0</v>
      </c>
      <c r="V76" s="524">
        <v>0</v>
      </c>
      <c r="W76" s="130">
        <v>0</v>
      </c>
      <c r="X76" s="130">
        <v>0</v>
      </c>
      <c r="Y76" s="130">
        <v>0</v>
      </c>
      <c r="Z76" s="130">
        <v>0</v>
      </c>
      <c r="AA76" s="158" t="s">
        <v>2078</v>
      </c>
      <c r="AB76" s="158"/>
      <c r="AC76" s="158"/>
      <c r="AD76" s="158"/>
      <c r="AE76" s="158" t="b">
        <f>IF(AB76="",TRUE,IF(IF(AC76="",VLOOKUP(AB76,Calculs!$A$19:$S$425,19,FALSE),VLOOKUP(AC76,Calculs!$A$19:$S$425,19,FALSE))&gt;=AD76,TRUE,FALSE))</f>
        <v>1</v>
      </c>
      <c r="AF76" s="158"/>
      <c r="AG76" s="158"/>
      <c r="AH76" s="158"/>
      <c r="AI76" s="158" t="b">
        <f>IF(AF76="",TRUE,IF(IF(AG76="",VLOOKUP(AF76,Calculs!$A$19:$S$425,19,FALSE),VLOOKUP(AG76,Calculs!$A$19:$S$425,19,FALSE))&gt;=AH76,TRUE,FALSE))</f>
        <v>1</v>
      </c>
      <c r="AJ76" s="158"/>
      <c r="AK76" s="158"/>
      <c r="AL76" s="158"/>
      <c r="AM76" s="158" t="b">
        <f>IF(AJ76="",TRUE,IF(IF(AK76="",VLOOKUP(AJ76,Calculs!$A$19:$S$425,19,FALSE),VLOOKUP(AK76,Calculs!$A$19:$S$425,19,FALSE))&gt;=AL76,TRUE,FALSE))</f>
        <v>1</v>
      </c>
      <c r="AN76" s="158"/>
      <c r="AO76" s="158"/>
      <c r="AP76" s="158"/>
      <c r="AQ76" s="158" t="b">
        <f>IF(AN76="",TRUE,IF(IF(AO76="",VLOOKUP(AN76,Calculs!$A$19:$S$425,19,FALSE),VLOOKUP(AO76,Calculs!$A$19:$S$425,19,FALSE))&gt;=AP76,TRUE,FALSE))</f>
        <v>1</v>
      </c>
      <c r="AR76" s="158"/>
      <c r="AS76" s="158" t="b">
        <f>IF(AR76="",TRUE,IF(VLOOKUP(AR76,Calculs!$A$427:$G$738,7,FALSE)&gt;0,TRUE,FALSE))</f>
        <v>1</v>
      </c>
      <c r="AT76" s="158"/>
      <c r="AU76" s="158" t="b">
        <f>IF(AT76="",TRUE,IF(VLOOKUP(AT76,Calculs!$A$740:$G$912,7,FALSE)&gt;0,TRUE,FALSE))</f>
        <v>1</v>
      </c>
      <c r="AV76" s="158" t="b">
        <f t="shared" si="7"/>
        <v>1</v>
      </c>
      <c r="AW76" s="158" t="s">
        <v>2078</v>
      </c>
      <c r="AX76" s="162" t="s">
        <v>7226</v>
      </c>
      <c r="AY76" s="15">
        <v>55</v>
      </c>
      <c r="AZ76" s="566" t="s">
        <v>8483</v>
      </c>
      <c r="BA76" s="559">
        <f>IF(Verso!$B$10=Voies!$B76,1,0)</f>
        <v>0</v>
      </c>
      <c r="BB76" s="12">
        <f>IF(Verso!$B$11=Voies!$B76,1,0)</f>
        <v>0</v>
      </c>
      <c r="BC76" s="12">
        <f>IF(Verso!$B$12=Voies!$B76,1,0)</f>
        <v>0</v>
      </c>
      <c r="BD76" s="12">
        <f>IF(Verso!$B$13=Voies!$B76,1,0)</f>
        <v>0</v>
      </c>
      <c r="BE76" s="12">
        <f>IF(Verso!$B$14=Voies!$B76,1,0)</f>
        <v>0</v>
      </c>
      <c r="BF76" s="12">
        <f>IF(Verso!$B$15=Voies!$B76,1,0)</f>
        <v>0</v>
      </c>
      <c r="BG76" s="12">
        <f>IF(Verso!$B$16=Voies!$B76,1,0)</f>
        <v>0</v>
      </c>
      <c r="BH76" s="12">
        <f>IF(Verso!$B$17=Voies!$B76,1,0)</f>
        <v>0</v>
      </c>
      <c r="BI76" s="557">
        <f t="shared" si="8"/>
        <v>0</v>
      </c>
      <c r="BJ76" s="196" t="str">
        <f t="shared" si="9"/>
        <v/>
      </c>
      <c r="BK76" s="196" t="str">
        <f t="shared" si="10"/>
        <v/>
      </c>
      <c r="BL76" s="295" t="str">
        <f t="shared" si="11"/>
        <v/>
      </c>
    </row>
    <row r="77" spans="1:65" ht="47.25" customHeight="1" x14ac:dyDescent="0.25">
      <c r="A77" s="162" t="str">
        <f>IF(AND(Réputation&gt;Voies!E77-1,OR(C77=TRUE,Calculs!$I$8&gt;0),Air&gt;Voies!J77-1,Eau&gt;Voies!K77-1,Feu&gt;Voies!L77-1,Terre&gt;Voies!M77-1,Vide&gt;Voies!N77-1,Constitution&gt;Voies!O77-1,Volonté&gt;Voies!P77-1,Force&gt;Voies!Q77-1,Perception&gt;Voies!R77-1,Reflexes&gt;Voies!S77-1,Agilité&gt;Voies!T77-1,Intuition&gt;Voies!U77-1,Intelligence&gt;Voies!V77-1,Souillure&gt;Voies!W77-1,Honneur&gt;X77-1,Statut&gt;Y77-1,Gloire&gt;Z77-1,AV77=TRUE),Voies!B77,"")</f>
        <v/>
      </c>
      <c r="B77" s="162" t="s">
        <v>2136</v>
      </c>
      <c r="C77" s="162" t="b">
        <f>IF(Clan=Voies!D77,TRUE,FALSE)</f>
        <v>0</v>
      </c>
      <c r="D77" s="388" t="s">
        <v>180</v>
      </c>
      <c r="E77" s="13">
        <v>4</v>
      </c>
      <c r="F77" s="199">
        <v>4</v>
      </c>
      <c r="G77" s="199" t="s">
        <v>2049</v>
      </c>
      <c r="H77" s="162" t="s">
        <v>403</v>
      </c>
      <c r="I77" s="129" t="str">
        <f t="shared" si="12"/>
        <v>Rien</v>
      </c>
      <c r="J77" s="146">
        <v>0</v>
      </c>
      <c r="K77" s="147">
        <v>0</v>
      </c>
      <c r="L77" s="148">
        <v>0</v>
      </c>
      <c r="M77" s="149">
        <v>0</v>
      </c>
      <c r="N77" s="150">
        <v>0</v>
      </c>
      <c r="O77" s="130">
        <v>0</v>
      </c>
      <c r="P77" s="130">
        <v>0</v>
      </c>
      <c r="Q77" s="130">
        <v>0</v>
      </c>
      <c r="R77" s="130">
        <v>0</v>
      </c>
      <c r="S77" s="130">
        <v>0</v>
      </c>
      <c r="T77" s="130">
        <v>0</v>
      </c>
      <c r="U77" s="130">
        <v>0</v>
      </c>
      <c r="V77" s="524">
        <v>0</v>
      </c>
      <c r="W77" s="130">
        <v>0</v>
      </c>
      <c r="X77" s="130">
        <v>0</v>
      </c>
      <c r="Y77" s="130">
        <v>0</v>
      </c>
      <c r="Z77" s="130">
        <v>0</v>
      </c>
      <c r="AA77" s="158" t="s">
        <v>2078</v>
      </c>
      <c r="AB77" s="158"/>
      <c r="AC77" s="158"/>
      <c r="AD77" s="158"/>
      <c r="AE77" s="158" t="b">
        <f>IF(AB77="",TRUE,IF(IF(AC77="",VLOOKUP(AB77,Calculs!$A$19:$S$425,19,FALSE),VLOOKUP(AC77,Calculs!$A$19:$S$425,19,FALSE))&gt;=AD77,TRUE,FALSE))</f>
        <v>1</v>
      </c>
      <c r="AF77" s="158"/>
      <c r="AG77" s="158"/>
      <c r="AH77" s="158"/>
      <c r="AI77" s="158" t="b">
        <f>IF(AF77="",TRUE,IF(IF(AG77="",VLOOKUP(AF77,Calculs!$A$19:$S$425,19,FALSE),VLOOKUP(AG77,Calculs!$A$19:$S$425,19,FALSE))&gt;=AH77,TRUE,FALSE))</f>
        <v>1</v>
      </c>
      <c r="AJ77" s="158"/>
      <c r="AK77" s="158"/>
      <c r="AL77" s="158"/>
      <c r="AM77" s="158" t="b">
        <f>IF(AJ77="",TRUE,IF(IF(AK77="",VLOOKUP(AJ77,Calculs!$A$19:$S$425,19,FALSE),VLOOKUP(AK77,Calculs!$A$19:$S$425,19,FALSE))&gt;=AL77,TRUE,FALSE))</f>
        <v>1</v>
      </c>
      <c r="AN77" s="158"/>
      <c r="AO77" s="158"/>
      <c r="AP77" s="158"/>
      <c r="AQ77" s="158" t="b">
        <f>IF(AN77="",TRUE,IF(IF(AO77="",VLOOKUP(AN77,Calculs!$A$19:$S$425,19,FALSE),VLOOKUP(AO77,Calculs!$A$19:$S$425,19,FALSE))&gt;=AP77,TRUE,FALSE))</f>
        <v>1</v>
      </c>
      <c r="AR77" s="158"/>
      <c r="AS77" s="158" t="b">
        <f>IF(AR77="",TRUE,IF(VLOOKUP(AR77,Calculs!$A$427:$G$738,7,FALSE)&gt;0,TRUE,FALSE))</f>
        <v>1</v>
      </c>
      <c r="AT77" s="158"/>
      <c r="AU77" s="158" t="b">
        <f>IF(AT77="",TRUE,IF(VLOOKUP(AT77,Calculs!$A$740:$G$912,7,FALSE)&gt;0,TRUE,FALSE))</f>
        <v>1</v>
      </c>
      <c r="AV77" s="158" t="b">
        <f t="shared" si="7"/>
        <v>1</v>
      </c>
      <c r="AW77" s="158" t="s">
        <v>2078</v>
      </c>
      <c r="AX77" s="162" t="s">
        <v>3</v>
      </c>
      <c r="AY77" s="15">
        <v>216</v>
      </c>
      <c r="AZ77" s="555" t="s">
        <v>6912</v>
      </c>
      <c r="BA77" s="559">
        <f>IF(Verso!$B$10=Voies!$B77,1,0)</f>
        <v>0</v>
      </c>
      <c r="BB77" s="12">
        <f>IF(Verso!$B$11=Voies!$B77,1,0)</f>
        <v>0</v>
      </c>
      <c r="BC77" s="12">
        <f>IF(Verso!$B$12=Voies!$B77,1,0)</f>
        <v>0</v>
      </c>
      <c r="BD77" s="12">
        <f>IF(Verso!$B$13=Voies!$B77,1,0)</f>
        <v>0</v>
      </c>
      <c r="BE77" s="12">
        <f>IF(Verso!$B$14=Voies!$B77,1,0)</f>
        <v>0</v>
      </c>
      <c r="BF77" s="12">
        <f>IF(Verso!$B$15=Voies!$B77,1,0)</f>
        <v>0</v>
      </c>
      <c r="BG77" s="12">
        <f>IF(Verso!$B$16=Voies!$B77,1,0)</f>
        <v>0</v>
      </c>
      <c r="BH77" s="12">
        <f>IF(Verso!$B$17=Voies!$B77,1,0)</f>
        <v>0</v>
      </c>
      <c r="BI77" s="557">
        <f t="shared" si="8"/>
        <v>0</v>
      </c>
      <c r="BJ77" s="196" t="str">
        <f t="shared" si="9"/>
        <v/>
      </c>
      <c r="BK77" s="196" t="str">
        <f t="shared" si="10"/>
        <v/>
      </c>
      <c r="BL77" s="295" t="str">
        <f t="shared" si="11"/>
        <v/>
      </c>
    </row>
    <row r="78" spans="1:65" ht="47.25" customHeight="1" x14ac:dyDescent="0.25">
      <c r="A78" s="162" t="str">
        <f>IF(AND(Réputation&gt;Voies!E78-1,OR(C78=TRUE,Calculs!$I$8&gt;0),Air&gt;Voies!J78-1,Eau&gt;Voies!K78-1,Feu&gt;Voies!L78-1,Terre&gt;Voies!M78-1,Vide&gt;Voies!N78-1,Constitution&gt;Voies!O78-1,Volonté&gt;Voies!P78-1,Force&gt;Voies!Q78-1,Perception&gt;Voies!R78-1,Reflexes&gt;Voies!S78-1,Agilité&gt;Voies!T78-1,Intuition&gt;Voies!U78-1,Intelligence&gt;Voies!V78-1,Souillure&gt;Voies!W78-1,Honneur&gt;X78-1,Statut&gt;Y78-1,Gloire&gt;Z78-1,AV78=TRUE),Voies!B78,"")</f>
        <v/>
      </c>
      <c r="B78" s="162" t="s">
        <v>7756</v>
      </c>
      <c r="C78" s="162" t="b">
        <f>IF(Clan=Voies!D78,TRUE,FALSE)</f>
        <v>0</v>
      </c>
      <c r="D78" s="388" t="s">
        <v>180</v>
      </c>
      <c r="E78" s="13">
        <v>4</v>
      </c>
      <c r="F78" s="199">
        <v>4</v>
      </c>
      <c r="G78" s="199" t="s">
        <v>2052</v>
      </c>
      <c r="H78" s="162" t="s">
        <v>7749</v>
      </c>
      <c r="I78" s="129" t="str">
        <f t="shared" si="12"/>
        <v>Rien</v>
      </c>
      <c r="J78" s="146">
        <v>0</v>
      </c>
      <c r="K78" s="147">
        <v>0</v>
      </c>
      <c r="L78" s="148">
        <v>0</v>
      </c>
      <c r="M78" s="149">
        <v>0</v>
      </c>
      <c r="N78" s="150">
        <v>0</v>
      </c>
      <c r="O78" s="130">
        <v>0</v>
      </c>
      <c r="P78" s="130">
        <v>0</v>
      </c>
      <c r="Q78" s="130">
        <v>0</v>
      </c>
      <c r="R78" s="130">
        <v>0</v>
      </c>
      <c r="S78" s="130">
        <v>0</v>
      </c>
      <c r="T78" s="130">
        <v>0</v>
      </c>
      <c r="U78" s="130">
        <v>0</v>
      </c>
      <c r="V78" s="524">
        <v>0</v>
      </c>
      <c r="W78" s="130">
        <v>0</v>
      </c>
      <c r="X78" s="130">
        <v>0</v>
      </c>
      <c r="Y78" s="130">
        <v>0</v>
      </c>
      <c r="Z78" s="130">
        <v>0</v>
      </c>
      <c r="AA78" s="158" t="s">
        <v>2078</v>
      </c>
      <c r="AB78" s="158"/>
      <c r="AC78" s="158"/>
      <c r="AD78" s="158"/>
      <c r="AE78" s="158" t="b">
        <f>IF(AB78="",TRUE,IF(IF(AC78="",VLOOKUP(AB78,Calculs!$A$19:$S$425,19,FALSE),VLOOKUP(AC78,Calculs!$A$19:$S$425,19,FALSE))&gt;=AD78,TRUE,FALSE))</f>
        <v>1</v>
      </c>
      <c r="AF78" s="158"/>
      <c r="AG78" s="158"/>
      <c r="AH78" s="158"/>
      <c r="AI78" s="158" t="b">
        <f>IF(AF78="",TRUE,IF(IF(AG78="",VLOOKUP(AF78,Calculs!$A$19:$S$425,19,FALSE),VLOOKUP(AG78,Calculs!$A$19:$S$425,19,FALSE))&gt;=AH78,TRUE,FALSE))</f>
        <v>1</v>
      </c>
      <c r="AJ78" s="158"/>
      <c r="AK78" s="158"/>
      <c r="AL78" s="158"/>
      <c r="AM78" s="158" t="b">
        <f>IF(AJ78="",TRUE,IF(IF(AK78="",VLOOKUP(AJ78,Calculs!$A$19:$S$425,19,FALSE),VLOOKUP(AK78,Calculs!$A$19:$S$425,19,FALSE))&gt;=AL78,TRUE,FALSE))</f>
        <v>1</v>
      </c>
      <c r="AN78" s="158"/>
      <c r="AO78" s="158"/>
      <c r="AP78" s="158"/>
      <c r="AQ78" s="158" t="b">
        <f>IF(AN78="",TRUE,IF(IF(AO78="",VLOOKUP(AN78,Calculs!$A$19:$S$425,19,FALSE),VLOOKUP(AO78,Calculs!$A$19:$S$425,19,FALSE))&gt;=AP78,TRUE,FALSE))</f>
        <v>1</v>
      </c>
      <c r="AR78" s="158"/>
      <c r="AS78" s="158" t="b">
        <f>IF(AR78="",TRUE,IF(VLOOKUP(AR78,Calculs!$A$427:$G$738,7,FALSE)&gt;0,TRUE,FALSE))</f>
        <v>1</v>
      </c>
      <c r="AT78" s="158"/>
      <c r="AU78" s="158" t="b">
        <f>IF(AT78="",TRUE,IF(VLOOKUP(AT78,Calculs!$A$740:$G$912,7,FALSE)&gt;0,TRUE,FALSE))</f>
        <v>1</v>
      </c>
      <c r="AV78" s="158" t="b">
        <f t="shared" si="7"/>
        <v>1</v>
      </c>
      <c r="AW78" s="158" t="s">
        <v>2078</v>
      </c>
      <c r="AX78" s="162" t="s">
        <v>7226</v>
      </c>
      <c r="AY78" s="15">
        <v>55</v>
      </c>
      <c r="AZ78" s="555" t="s">
        <v>8519</v>
      </c>
      <c r="BA78" s="559">
        <f>IF(Verso!$B$10=Voies!$B78,1,0)</f>
        <v>0</v>
      </c>
      <c r="BB78" s="12">
        <f>IF(Verso!$B$11=Voies!$B78,1,0)</f>
        <v>0</v>
      </c>
      <c r="BC78" s="12">
        <f>IF(Verso!$B$12=Voies!$B78,1,0)</f>
        <v>0</v>
      </c>
      <c r="BD78" s="12">
        <f>IF(Verso!$B$13=Voies!$B78,1,0)</f>
        <v>0</v>
      </c>
      <c r="BE78" s="12">
        <f>IF(Verso!$B$14=Voies!$B78,1,0)</f>
        <v>0</v>
      </c>
      <c r="BF78" s="12">
        <f>IF(Verso!$B$15=Voies!$B78,1,0)</f>
        <v>0</v>
      </c>
      <c r="BG78" s="12">
        <f>IF(Verso!$B$16=Voies!$B78,1,0)</f>
        <v>0</v>
      </c>
      <c r="BH78" s="12">
        <f>IF(Verso!$B$17=Voies!$B78,1,0)</f>
        <v>0</v>
      </c>
      <c r="BI78" s="557">
        <f t="shared" si="8"/>
        <v>0</v>
      </c>
      <c r="BJ78" s="196" t="str">
        <f t="shared" si="9"/>
        <v/>
      </c>
      <c r="BK78" s="196" t="str">
        <f t="shared" si="10"/>
        <v/>
      </c>
      <c r="BL78" s="295" t="str">
        <f t="shared" si="11"/>
        <v/>
      </c>
    </row>
    <row r="79" spans="1:65" ht="47.25" customHeight="1" x14ac:dyDescent="0.25">
      <c r="A79" s="162" t="str">
        <f>IF(AND(Réputation&gt;Voies!E79-1,OR(C79=TRUE,Calculs!$I$8&gt;0),Air&gt;Voies!J79-1,Eau&gt;Voies!K79-1,Feu&gt;Voies!L79-1,Terre&gt;Voies!M79-1,Vide&gt;Voies!N79-1,Constitution&gt;Voies!O79-1,Volonté&gt;Voies!P79-1,Force&gt;Voies!Q79-1,Perception&gt;Voies!R79-1,Reflexes&gt;Voies!S79-1,Agilité&gt;Voies!T79-1,Intuition&gt;Voies!U79-1,Intelligence&gt;Voies!V79-1,Souillure&gt;Voies!W79-1,Honneur&gt;X79-1,Statut&gt;Y79-1,Gloire&gt;Z79-1,AV79=TRUE),Voies!B79,"")</f>
        <v/>
      </c>
      <c r="B79" s="162" t="s">
        <v>2133</v>
      </c>
      <c r="C79" s="162" t="b">
        <f>IF(Clan=Voies!D79,TRUE,FALSE)</f>
        <v>0</v>
      </c>
      <c r="D79" s="388" t="s">
        <v>180</v>
      </c>
      <c r="E79" s="13">
        <v>5</v>
      </c>
      <c r="F79" s="199">
        <v>5</v>
      </c>
      <c r="G79" s="199" t="s">
        <v>2049</v>
      </c>
      <c r="H79" s="162" t="s">
        <v>403</v>
      </c>
      <c r="I79" s="129" t="str">
        <f t="shared" si="12"/>
        <v>Rien</v>
      </c>
      <c r="J79" s="146">
        <v>0</v>
      </c>
      <c r="K79" s="147">
        <v>0</v>
      </c>
      <c r="L79" s="148">
        <v>0</v>
      </c>
      <c r="M79" s="149">
        <v>0</v>
      </c>
      <c r="N79" s="150">
        <v>0</v>
      </c>
      <c r="O79" s="130">
        <v>0</v>
      </c>
      <c r="P79" s="130">
        <v>0</v>
      </c>
      <c r="Q79" s="130">
        <v>0</v>
      </c>
      <c r="R79" s="130">
        <v>0</v>
      </c>
      <c r="S79" s="130">
        <v>0</v>
      </c>
      <c r="T79" s="130">
        <v>0</v>
      </c>
      <c r="U79" s="130">
        <v>0</v>
      </c>
      <c r="V79" s="524">
        <v>0</v>
      </c>
      <c r="W79" s="130">
        <v>0</v>
      </c>
      <c r="X79" s="130">
        <v>0</v>
      </c>
      <c r="Y79" s="130">
        <v>0</v>
      </c>
      <c r="Z79" s="130">
        <v>0</v>
      </c>
      <c r="AA79" s="158" t="s">
        <v>2078</v>
      </c>
      <c r="AB79" s="158"/>
      <c r="AC79" s="158"/>
      <c r="AD79" s="158"/>
      <c r="AE79" s="158" t="b">
        <f>IF(AB79="",TRUE,IF(IF(AC79="",VLOOKUP(AB79,Calculs!$A$19:$S$425,19,FALSE),VLOOKUP(AC79,Calculs!$A$19:$S$425,19,FALSE))&gt;=AD79,TRUE,FALSE))</f>
        <v>1</v>
      </c>
      <c r="AF79" s="158"/>
      <c r="AG79" s="158"/>
      <c r="AH79" s="158"/>
      <c r="AI79" s="158" t="b">
        <f>IF(AF79="",TRUE,IF(IF(AG79="",VLOOKUP(AF79,Calculs!$A$19:$S$425,19,FALSE),VLOOKUP(AG79,Calculs!$A$19:$S$425,19,FALSE))&gt;=AH79,TRUE,FALSE))</f>
        <v>1</v>
      </c>
      <c r="AJ79" s="158"/>
      <c r="AK79" s="158"/>
      <c r="AL79" s="158"/>
      <c r="AM79" s="158" t="b">
        <f>IF(AJ79="",TRUE,IF(IF(AK79="",VLOOKUP(AJ79,Calculs!$A$19:$S$425,19,FALSE),VLOOKUP(AK79,Calculs!$A$19:$S$425,19,FALSE))&gt;=AL79,TRUE,FALSE))</f>
        <v>1</v>
      </c>
      <c r="AN79" s="158"/>
      <c r="AO79" s="158"/>
      <c r="AP79" s="158"/>
      <c r="AQ79" s="158" t="b">
        <f>IF(AN79="",TRUE,IF(IF(AO79="",VLOOKUP(AN79,Calculs!$A$19:$S$425,19,FALSE),VLOOKUP(AO79,Calculs!$A$19:$S$425,19,FALSE))&gt;=AP79,TRUE,FALSE))</f>
        <v>1</v>
      </c>
      <c r="AR79" s="158"/>
      <c r="AS79" s="158" t="b">
        <f>IF(AR79="",TRUE,IF(VLOOKUP(AR79,Calculs!$A$427:$G$738,7,FALSE)&gt;0,TRUE,FALSE))</f>
        <v>1</v>
      </c>
      <c r="AT79" s="158"/>
      <c r="AU79" s="158" t="b">
        <f>IF(AT79="",TRUE,IF(VLOOKUP(AT79,Calculs!$A$740:$G$912,7,FALSE)&gt;0,TRUE,FALSE))</f>
        <v>1</v>
      </c>
      <c r="AV79" s="158" t="b">
        <f t="shared" si="7"/>
        <v>1</v>
      </c>
      <c r="AW79" s="158" t="s">
        <v>2078</v>
      </c>
      <c r="AX79" s="162" t="s">
        <v>3</v>
      </c>
      <c r="AY79" s="15">
        <v>216</v>
      </c>
      <c r="AZ79" s="555" t="s">
        <v>8484</v>
      </c>
      <c r="BA79" s="559">
        <f>IF(Verso!$B$10=Voies!$B79,1,0)</f>
        <v>0</v>
      </c>
      <c r="BB79" s="12">
        <f>IF(Verso!$B$11=Voies!$B79,1,0)</f>
        <v>0</v>
      </c>
      <c r="BC79" s="12">
        <f>IF(Verso!$B$12=Voies!$B79,1,0)</f>
        <v>0</v>
      </c>
      <c r="BD79" s="12">
        <f>IF(Verso!$B$13=Voies!$B79,1,0)</f>
        <v>0</v>
      </c>
      <c r="BE79" s="12">
        <f>IF(Verso!$B$14=Voies!$B79,1,0)</f>
        <v>0</v>
      </c>
      <c r="BF79" s="12">
        <f>IF(Verso!$B$15=Voies!$B79,1,0)</f>
        <v>0</v>
      </c>
      <c r="BG79" s="12">
        <f>IF(Verso!$B$16=Voies!$B79,1,0)</f>
        <v>0</v>
      </c>
      <c r="BH79" s="12">
        <f>IF(Verso!$B$17=Voies!$B79,1,0)</f>
        <v>0</v>
      </c>
      <c r="BI79" s="557">
        <f t="shared" si="8"/>
        <v>0</v>
      </c>
      <c r="BJ79" s="196" t="str">
        <f t="shared" si="9"/>
        <v/>
      </c>
      <c r="BK79" s="196" t="str">
        <f t="shared" si="10"/>
        <v/>
      </c>
      <c r="BL79" s="295" t="str">
        <f t="shared" si="11"/>
        <v/>
      </c>
    </row>
    <row r="80" spans="1:65" ht="47.25" customHeight="1" x14ac:dyDescent="0.25">
      <c r="A80" s="162" t="str">
        <f>IF(AND(Réputation&gt;Voies!E80-1,OR(C80=TRUE,Calculs!$I$8&gt;0),Air&gt;Voies!J80-1,Eau&gt;Voies!K80-1,Feu&gt;Voies!L80-1,Terre&gt;Voies!M80-1,Vide&gt;Voies!N80-1,Constitution&gt;Voies!O80-1,Volonté&gt;Voies!P80-1,Force&gt;Voies!Q80-1,Perception&gt;Voies!R80-1,Reflexes&gt;Voies!S80-1,Agilité&gt;Voies!T80-1,Intuition&gt;Voies!U80-1,Intelligence&gt;Voies!V80-1,Souillure&gt;Voies!W80-1,Honneur&gt;X80-1,Statut&gt;Y80-1,Gloire&gt;Z80-1,AV80=TRUE),Voies!B80,"")</f>
        <v/>
      </c>
      <c r="B80" s="162" t="s">
        <v>2137</v>
      </c>
      <c r="C80" s="162" t="b">
        <f>IF(Clan=Voies!D80,TRUE,FALSE)</f>
        <v>0</v>
      </c>
      <c r="D80" s="388" t="s">
        <v>180</v>
      </c>
      <c r="E80" s="13">
        <v>5</v>
      </c>
      <c r="F80" s="199">
        <v>5</v>
      </c>
      <c r="G80" s="199" t="s">
        <v>2049</v>
      </c>
      <c r="H80" s="162" t="s">
        <v>403</v>
      </c>
      <c r="I80" s="129" t="str">
        <f t="shared" si="12"/>
        <v>Rien</v>
      </c>
      <c r="J80" s="146">
        <v>0</v>
      </c>
      <c r="K80" s="147">
        <v>0</v>
      </c>
      <c r="L80" s="148">
        <v>0</v>
      </c>
      <c r="M80" s="149">
        <v>0</v>
      </c>
      <c r="N80" s="150">
        <v>0</v>
      </c>
      <c r="O80" s="130">
        <v>0</v>
      </c>
      <c r="P80" s="130">
        <v>0</v>
      </c>
      <c r="Q80" s="130">
        <v>0</v>
      </c>
      <c r="R80" s="130">
        <v>0</v>
      </c>
      <c r="S80" s="130">
        <v>0</v>
      </c>
      <c r="T80" s="130">
        <v>0</v>
      </c>
      <c r="U80" s="130">
        <v>0</v>
      </c>
      <c r="V80" s="524">
        <v>0</v>
      </c>
      <c r="W80" s="130">
        <v>0</v>
      </c>
      <c r="X80" s="130">
        <v>0</v>
      </c>
      <c r="Y80" s="130">
        <v>0</v>
      </c>
      <c r="Z80" s="130">
        <v>0</v>
      </c>
      <c r="AA80" s="158" t="s">
        <v>2078</v>
      </c>
      <c r="AB80" s="158"/>
      <c r="AC80" s="158"/>
      <c r="AD80" s="158"/>
      <c r="AE80" s="158" t="b">
        <f>IF(AB80="",TRUE,IF(IF(AC80="",VLOOKUP(AB80,Calculs!$A$19:$S$425,19,FALSE),VLOOKUP(AC80,Calculs!$A$19:$S$425,19,FALSE))&gt;=AD80,TRUE,FALSE))</f>
        <v>1</v>
      </c>
      <c r="AF80" s="158"/>
      <c r="AG80" s="158"/>
      <c r="AH80" s="158"/>
      <c r="AI80" s="158" t="b">
        <f>IF(AF80="",TRUE,IF(IF(AG80="",VLOOKUP(AF80,Calculs!$A$19:$S$425,19,FALSE),VLOOKUP(AG80,Calculs!$A$19:$S$425,19,FALSE))&gt;=AH80,TRUE,FALSE))</f>
        <v>1</v>
      </c>
      <c r="AJ80" s="158"/>
      <c r="AK80" s="158"/>
      <c r="AL80" s="158"/>
      <c r="AM80" s="158" t="b">
        <f>IF(AJ80="",TRUE,IF(IF(AK80="",VLOOKUP(AJ80,Calculs!$A$19:$S$425,19,FALSE),VLOOKUP(AK80,Calculs!$A$19:$S$425,19,FALSE))&gt;=AL80,TRUE,FALSE))</f>
        <v>1</v>
      </c>
      <c r="AN80" s="158"/>
      <c r="AO80" s="158"/>
      <c r="AP80" s="158"/>
      <c r="AQ80" s="158" t="b">
        <f>IF(AN80="",TRUE,IF(IF(AO80="",VLOOKUP(AN80,Calculs!$A$19:$S$425,19,FALSE),VLOOKUP(AO80,Calculs!$A$19:$S$425,19,FALSE))&gt;=AP80,TRUE,FALSE))</f>
        <v>1</v>
      </c>
      <c r="AR80" s="158"/>
      <c r="AS80" s="158" t="b">
        <f>IF(AR80="",TRUE,IF(VLOOKUP(AR80,Calculs!$A$427:$G$738,7,FALSE)&gt;0,TRUE,FALSE))</f>
        <v>1</v>
      </c>
      <c r="AT80" s="158"/>
      <c r="AU80" s="158" t="b">
        <f>IF(AT80="",TRUE,IF(VLOOKUP(AT80,Calculs!$A$740:$G$912,7,FALSE)&gt;0,TRUE,FALSE))</f>
        <v>1</v>
      </c>
      <c r="AV80" s="158" t="b">
        <f t="shared" si="7"/>
        <v>1</v>
      </c>
      <c r="AW80" s="158" t="s">
        <v>2078</v>
      </c>
      <c r="AX80" s="162" t="s">
        <v>3</v>
      </c>
      <c r="AY80" s="15">
        <v>216</v>
      </c>
      <c r="AZ80" s="555" t="str">
        <f>CONCATENATE("Avant l'Initiative, vous pouvez réduire votre Initiative de 20. Durant 2 Rounds, vous lancez +",Force,"g0 à tous vos jets d'Attaque et Dommages")</f>
        <v>Avant l'Initiative, vous pouvez réduire votre Initiative de 20. Durant 2 Rounds, vous lancez +2g0 à tous vos jets d'Attaque et Dommages</v>
      </c>
      <c r="BA80" s="559">
        <f>IF(Verso!$B$10=Voies!$B80,1,0)</f>
        <v>0</v>
      </c>
      <c r="BB80" s="12">
        <f>IF(Verso!$B$11=Voies!$B80,1,0)</f>
        <v>0</v>
      </c>
      <c r="BC80" s="12">
        <f>IF(Verso!$B$12=Voies!$B80,1,0)</f>
        <v>0</v>
      </c>
      <c r="BD80" s="12">
        <f>IF(Verso!$B$13=Voies!$B80,1,0)</f>
        <v>0</v>
      </c>
      <c r="BE80" s="12">
        <f>IF(Verso!$B$14=Voies!$B80,1,0)</f>
        <v>0</v>
      </c>
      <c r="BF80" s="12">
        <f>IF(Verso!$B$15=Voies!$B80,1,0)</f>
        <v>0</v>
      </c>
      <c r="BG80" s="12">
        <f>IF(Verso!$B$16=Voies!$B80,1,0)</f>
        <v>0</v>
      </c>
      <c r="BH80" s="12">
        <f>IF(Verso!$B$17=Voies!$B80,1,0)</f>
        <v>0</v>
      </c>
      <c r="BI80" s="557">
        <f t="shared" si="8"/>
        <v>0</v>
      </c>
      <c r="BJ80" s="196" t="str">
        <f t="shared" si="9"/>
        <v/>
      </c>
      <c r="BK80" s="196" t="str">
        <f t="shared" si="10"/>
        <v/>
      </c>
      <c r="BL80" s="295" t="str">
        <f t="shared" si="11"/>
        <v/>
      </c>
    </row>
    <row r="81" spans="1:65" ht="47.25" customHeight="1" x14ac:dyDescent="0.25">
      <c r="A81" s="162" t="str">
        <f>IF(AND(Réputation&gt;Voies!E81-1,OR(C81=TRUE,Calculs!$I$8&gt;0),Air&gt;Voies!J81-1,Eau&gt;Voies!K81-1,Feu&gt;Voies!L81-1,Terre&gt;Voies!M81-1,Vide&gt;Voies!N81-1,Constitution&gt;Voies!O81-1,Volonté&gt;Voies!P81-1,Force&gt;Voies!Q81-1,Perception&gt;Voies!R81-1,Reflexes&gt;Voies!S81-1,Agilité&gt;Voies!T81-1,Intuition&gt;Voies!U81-1,Intelligence&gt;Voies!V81-1,Souillure&gt;Voies!W81-1,Honneur&gt;X81-1,Statut&gt;Y81-1,Gloire&gt;Z81-1,AV81=TRUE),Voies!B81,"")</f>
        <v/>
      </c>
      <c r="B81" s="162" t="s">
        <v>7757</v>
      </c>
      <c r="C81" s="162" t="b">
        <f>IF(Clan=Voies!D81,TRUE,FALSE)</f>
        <v>0</v>
      </c>
      <c r="D81" s="388" t="s">
        <v>180</v>
      </c>
      <c r="E81" s="13">
        <v>5</v>
      </c>
      <c r="F81" s="199">
        <v>5</v>
      </c>
      <c r="G81" s="13" t="s">
        <v>2052</v>
      </c>
      <c r="H81" s="162" t="s">
        <v>7749</v>
      </c>
      <c r="I81" s="129" t="str">
        <f t="shared" si="12"/>
        <v>Rien</v>
      </c>
      <c r="J81" s="146">
        <v>0</v>
      </c>
      <c r="K81" s="147">
        <v>0</v>
      </c>
      <c r="L81" s="148">
        <v>0</v>
      </c>
      <c r="M81" s="149">
        <v>0</v>
      </c>
      <c r="N81" s="150">
        <v>0</v>
      </c>
      <c r="O81" s="130">
        <v>0</v>
      </c>
      <c r="P81" s="130">
        <v>0</v>
      </c>
      <c r="Q81" s="130">
        <v>0</v>
      </c>
      <c r="R81" s="130">
        <v>0</v>
      </c>
      <c r="S81" s="130">
        <v>0</v>
      </c>
      <c r="T81" s="130">
        <v>0</v>
      </c>
      <c r="U81" s="130">
        <v>0</v>
      </c>
      <c r="V81" s="524">
        <v>0</v>
      </c>
      <c r="W81" s="130">
        <v>0</v>
      </c>
      <c r="X81" s="130">
        <v>0</v>
      </c>
      <c r="Y81" s="130">
        <v>0</v>
      </c>
      <c r="Z81" s="130">
        <v>0</v>
      </c>
      <c r="AA81" s="158" t="s">
        <v>2078</v>
      </c>
      <c r="AB81" s="158"/>
      <c r="AC81" s="158"/>
      <c r="AD81" s="158"/>
      <c r="AE81" s="158" t="b">
        <f>IF(AB81="",TRUE,IF(IF(AC81="",VLOOKUP(AB81,Calculs!$A$19:$S$425,19,FALSE),VLOOKUP(AC81,Calculs!$A$19:$S$425,19,FALSE))&gt;=AD81,TRUE,FALSE))</f>
        <v>1</v>
      </c>
      <c r="AF81" s="158"/>
      <c r="AG81" s="158"/>
      <c r="AH81" s="158"/>
      <c r="AI81" s="158" t="b">
        <f>IF(AF81="",TRUE,IF(IF(AG81="",VLOOKUP(AF81,Calculs!$A$19:$S$425,19,FALSE),VLOOKUP(AG81,Calculs!$A$19:$S$425,19,FALSE))&gt;=AH81,TRUE,FALSE))</f>
        <v>1</v>
      </c>
      <c r="AJ81" s="158"/>
      <c r="AK81" s="158"/>
      <c r="AL81" s="158"/>
      <c r="AM81" s="158" t="b">
        <f>IF(AJ81="",TRUE,IF(IF(AK81="",VLOOKUP(AJ81,Calculs!$A$19:$S$425,19,FALSE),VLOOKUP(AK81,Calculs!$A$19:$S$425,19,FALSE))&gt;=AL81,TRUE,FALSE))</f>
        <v>1</v>
      </c>
      <c r="AN81" s="158"/>
      <c r="AO81" s="158"/>
      <c r="AP81" s="158"/>
      <c r="AQ81" s="158" t="b">
        <f>IF(AN81="",TRUE,IF(IF(AO81="",VLOOKUP(AN81,Calculs!$A$19:$S$425,19,FALSE),VLOOKUP(AO81,Calculs!$A$19:$S$425,19,FALSE))&gt;=AP81,TRUE,FALSE))</f>
        <v>1</v>
      </c>
      <c r="AR81" s="158"/>
      <c r="AS81" s="158" t="b">
        <f>IF(AR81="",TRUE,IF(VLOOKUP(AR81,Calculs!$A$427:$G$738,7,FALSE)&gt;0,TRUE,FALSE))</f>
        <v>1</v>
      </c>
      <c r="AT81" s="158"/>
      <c r="AU81" s="158" t="b">
        <f>IF(AT81="",TRUE,IF(VLOOKUP(AT81,Calculs!$A$740:$G$912,7,FALSE)&gt;0,TRUE,FALSE))</f>
        <v>1</v>
      </c>
      <c r="AV81" s="158" t="b">
        <f t="shared" si="7"/>
        <v>1</v>
      </c>
      <c r="AW81" s="158" t="s">
        <v>2078</v>
      </c>
      <c r="AX81" s="162" t="s">
        <v>7226</v>
      </c>
      <c r="AY81" s="15">
        <v>55</v>
      </c>
      <c r="AZ81" s="555" t="s">
        <v>8485</v>
      </c>
      <c r="BA81" s="559">
        <f>IF(Verso!$B$10=Voies!$B81,1,0)</f>
        <v>0</v>
      </c>
      <c r="BB81" s="12">
        <f>IF(Verso!$B$11=Voies!$B81,1,0)</f>
        <v>0</v>
      </c>
      <c r="BC81" s="12">
        <f>IF(Verso!$B$12=Voies!$B81,1,0)</f>
        <v>0</v>
      </c>
      <c r="BD81" s="12">
        <f>IF(Verso!$B$13=Voies!$B81,1,0)</f>
        <v>0</v>
      </c>
      <c r="BE81" s="12">
        <f>IF(Verso!$B$14=Voies!$B81,1,0)</f>
        <v>0</v>
      </c>
      <c r="BF81" s="12">
        <f>IF(Verso!$B$15=Voies!$B81,1,0)</f>
        <v>0</v>
      </c>
      <c r="BG81" s="12">
        <f>IF(Verso!$B$16=Voies!$B81,1,0)</f>
        <v>0</v>
      </c>
      <c r="BH81" s="12">
        <f>IF(Verso!$B$17=Voies!$B81,1,0)</f>
        <v>0</v>
      </c>
      <c r="BI81" s="557">
        <f t="shared" si="8"/>
        <v>0</v>
      </c>
      <c r="BJ81" s="196" t="str">
        <f t="shared" si="9"/>
        <v/>
      </c>
      <c r="BK81" s="196" t="str">
        <f t="shared" si="10"/>
        <v/>
      </c>
      <c r="BL81" s="295" t="str">
        <f t="shared" si="11"/>
        <v/>
      </c>
    </row>
    <row r="82" spans="1:65" ht="47.25" customHeight="1" x14ac:dyDescent="0.25">
      <c r="A82" s="162" t="str">
        <f>IF(AND(Réputation&gt;Voies!E82-1,OR(C82=TRUE,Calculs!$I$8&gt;0),Air&gt;Voies!J82-1,Eau&gt;Voies!K82-1,Feu&gt;Voies!L82-1,Terre&gt;Voies!M82-1,Vide&gt;Voies!N82-1,Constitution&gt;Voies!O82-1,Volonté&gt;Voies!P82-1,Force&gt;Voies!Q82-1,Perception&gt;Voies!R82-1,Reflexes&gt;Voies!S82-1,Agilité&gt;Voies!T82-1,Intuition&gt;Voies!U82-1,Intelligence&gt;Voies!V82-1,Souillure&gt;Voies!W82-1,Honneur&gt;X82-1,Statut&gt;Y82-1,Gloire&gt;Z82-1,AV82=TRUE),Voies!B82,"")</f>
        <v/>
      </c>
      <c r="B82" s="162" t="s">
        <v>2140</v>
      </c>
      <c r="C82" s="162" t="b">
        <f>IF(Clan=Voies!D82,TRUE,FALSE)</f>
        <v>0</v>
      </c>
      <c r="D82" s="388" t="s">
        <v>338</v>
      </c>
      <c r="E82" s="13">
        <v>1</v>
      </c>
      <c r="F82" s="199">
        <v>1</v>
      </c>
      <c r="G82" s="13" t="s">
        <v>2049</v>
      </c>
      <c r="H82" s="162" t="s">
        <v>404</v>
      </c>
      <c r="I82" s="129" t="str">
        <f t="shared" si="12"/>
        <v>Rien</v>
      </c>
      <c r="J82" s="146">
        <v>0</v>
      </c>
      <c r="K82" s="147">
        <v>0</v>
      </c>
      <c r="L82" s="148">
        <v>0</v>
      </c>
      <c r="M82" s="149">
        <v>0</v>
      </c>
      <c r="N82" s="150">
        <v>0</v>
      </c>
      <c r="O82" s="130">
        <v>0</v>
      </c>
      <c r="P82" s="130">
        <v>0</v>
      </c>
      <c r="Q82" s="130">
        <v>0</v>
      </c>
      <c r="R82" s="130">
        <v>0</v>
      </c>
      <c r="S82" s="130">
        <v>0</v>
      </c>
      <c r="T82" s="130">
        <v>0</v>
      </c>
      <c r="U82" s="130">
        <v>0</v>
      </c>
      <c r="V82" s="524">
        <v>0</v>
      </c>
      <c r="W82" s="130">
        <v>0</v>
      </c>
      <c r="X82" s="130">
        <v>0</v>
      </c>
      <c r="Y82" s="130">
        <v>0</v>
      </c>
      <c r="Z82" s="130">
        <v>0</v>
      </c>
      <c r="AA82" s="158" t="s">
        <v>2078</v>
      </c>
      <c r="AB82" s="158"/>
      <c r="AC82" s="158"/>
      <c r="AD82" s="158"/>
      <c r="AE82" s="158" t="b">
        <f>IF(AB82="",TRUE,IF(IF(AC82="",VLOOKUP(AB82,Calculs!$A$19:$S$425,19,FALSE),VLOOKUP(AC82,Calculs!$A$19:$S$425,19,FALSE))&gt;=AD82,TRUE,FALSE))</f>
        <v>1</v>
      </c>
      <c r="AF82" s="158"/>
      <c r="AG82" s="158"/>
      <c r="AH82" s="158"/>
      <c r="AI82" s="158" t="b">
        <f>IF(AF82="",TRUE,IF(IF(AG82="",VLOOKUP(AF82,Calculs!$A$19:$S$425,19,FALSE),VLOOKUP(AG82,Calculs!$A$19:$S$425,19,FALSE))&gt;=AH82,TRUE,FALSE))</f>
        <v>1</v>
      </c>
      <c r="AJ82" s="158"/>
      <c r="AK82" s="158"/>
      <c r="AL82" s="158"/>
      <c r="AM82" s="158" t="b">
        <f>IF(AJ82="",TRUE,IF(IF(AK82="",VLOOKUP(AJ82,Calculs!$A$19:$S$425,19,FALSE),VLOOKUP(AK82,Calculs!$A$19:$S$425,19,FALSE))&gt;=AL82,TRUE,FALSE))</f>
        <v>1</v>
      </c>
      <c r="AN82" s="158"/>
      <c r="AO82" s="158"/>
      <c r="AP82" s="158"/>
      <c r="AQ82" s="158" t="b">
        <f>IF(AN82="",TRUE,IF(IF(AO82="",VLOOKUP(AN82,Calculs!$A$19:$S$425,19,FALSE),VLOOKUP(AO82,Calculs!$A$19:$S$425,19,FALSE))&gt;=AP82,TRUE,FALSE))</f>
        <v>1</v>
      </c>
      <c r="AR82" s="158"/>
      <c r="AS82" s="158" t="b">
        <f>IF(AR82="",TRUE,IF(VLOOKUP(AR82,Calculs!$A$427:$G$738,7,FALSE)&gt;0,TRUE,FALSE))</f>
        <v>1</v>
      </c>
      <c r="AT82" s="158"/>
      <c r="AU82" s="158" t="b">
        <f>IF(AT82="",TRUE,IF(VLOOKUP(AT82,Calculs!$A$740:$G$912,7,FALSE)&gt;0,TRUE,FALSE))</f>
        <v>1</v>
      </c>
      <c r="AV82" s="158" t="b">
        <f t="shared" si="7"/>
        <v>1</v>
      </c>
      <c r="AW82" s="158" t="s">
        <v>2078</v>
      </c>
      <c r="AX82" s="162" t="s">
        <v>3</v>
      </c>
      <c r="AY82" s="15">
        <v>216</v>
      </c>
      <c r="AZ82" s="566" t="s">
        <v>2145</v>
      </c>
      <c r="BA82" s="559">
        <f>IF(Verso!$B$10=Voies!$B82,1,0)</f>
        <v>0</v>
      </c>
      <c r="BB82" s="12">
        <f>IF(Verso!$B$11=Voies!$B82,1,0)</f>
        <v>0</v>
      </c>
      <c r="BC82" s="12">
        <f>IF(Verso!$B$12=Voies!$B82,1,0)</f>
        <v>0</v>
      </c>
      <c r="BD82" s="12">
        <f>IF(Verso!$B$13=Voies!$B82,1,0)</f>
        <v>0</v>
      </c>
      <c r="BE82" s="12">
        <f>IF(Verso!$B$14=Voies!$B82,1,0)</f>
        <v>0</v>
      </c>
      <c r="BF82" s="12">
        <f>IF(Verso!$B$15=Voies!$B82,1,0)</f>
        <v>0</v>
      </c>
      <c r="BG82" s="12">
        <f>IF(Verso!$B$16=Voies!$B82,1,0)</f>
        <v>0</v>
      </c>
      <c r="BH82" s="12">
        <f>IF(Verso!$B$17=Voies!$B82,1,0)</f>
        <v>0</v>
      </c>
      <c r="BI82" s="557">
        <f t="shared" si="8"/>
        <v>0</v>
      </c>
      <c r="BJ82" s="196" t="str">
        <f t="shared" si="9"/>
        <v/>
      </c>
      <c r="BK82" s="196" t="str">
        <f t="shared" si="10"/>
        <v/>
      </c>
      <c r="BL82" s="295" t="str">
        <f t="shared" si="11"/>
        <v/>
      </c>
    </row>
    <row r="83" spans="1:65" ht="47.25" customHeight="1" x14ac:dyDescent="0.25">
      <c r="A83" s="162" t="str">
        <f>IF(AND(Réputation&gt;Voies!E83-1,OR(C83=TRUE,Calculs!$I$8&gt;0),Air&gt;Voies!J83-1,Eau&gt;Voies!K83-1,Feu&gt;Voies!L83-1,Terre&gt;Voies!M83-1,Vide&gt;Voies!N83-1,Constitution&gt;Voies!O83-1,Volonté&gt;Voies!P83-1,Force&gt;Voies!Q83-1,Perception&gt;Voies!R83-1,Reflexes&gt;Voies!S83-1,Agilité&gt;Voies!T83-1,Intuition&gt;Voies!U83-1,Intelligence&gt;Voies!V83-1,Souillure&gt;Voies!W83-1,Honneur&gt;X83-1,Statut&gt;Y83-1,Gloire&gt;Z83-1,AV83=TRUE),Voies!B83,"")</f>
        <v/>
      </c>
      <c r="B83" s="162" t="s">
        <v>2141</v>
      </c>
      <c r="C83" s="162" t="b">
        <f>IF(Clan=Voies!D83,TRUE,FALSE)</f>
        <v>0</v>
      </c>
      <c r="D83" s="388" t="s">
        <v>338</v>
      </c>
      <c r="E83" s="13">
        <v>2</v>
      </c>
      <c r="F83" s="199">
        <v>2</v>
      </c>
      <c r="G83" s="13" t="s">
        <v>2049</v>
      </c>
      <c r="H83" s="162" t="s">
        <v>404</v>
      </c>
      <c r="I83" s="129" t="str">
        <f t="shared" si="12"/>
        <v>Rien</v>
      </c>
      <c r="J83" s="146">
        <v>0</v>
      </c>
      <c r="K83" s="147">
        <v>0</v>
      </c>
      <c r="L83" s="148">
        <v>0</v>
      </c>
      <c r="M83" s="149">
        <v>0</v>
      </c>
      <c r="N83" s="150">
        <v>0</v>
      </c>
      <c r="O83" s="130">
        <v>0</v>
      </c>
      <c r="P83" s="130">
        <v>0</v>
      </c>
      <c r="Q83" s="130">
        <v>0</v>
      </c>
      <c r="R83" s="130">
        <v>0</v>
      </c>
      <c r="S83" s="130">
        <v>0</v>
      </c>
      <c r="T83" s="130">
        <v>0</v>
      </c>
      <c r="U83" s="130">
        <v>0</v>
      </c>
      <c r="V83" s="524">
        <v>0</v>
      </c>
      <c r="W83" s="130">
        <v>0</v>
      </c>
      <c r="X83" s="130">
        <v>0</v>
      </c>
      <c r="Y83" s="130">
        <v>0</v>
      </c>
      <c r="Z83" s="130">
        <v>0</v>
      </c>
      <c r="AA83" s="158" t="s">
        <v>2078</v>
      </c>
      <c r="AB83" s="158"/>
      <c r="AC83" s="158"/>
      <c r="AD83" s="158"/>
      <c r="AE83" s="158" t="b">
        <f>IF(AB83="",TRUE,IF(IF(AC83="",VLOOKUP(AB83,Calculs!$A$19:$S$425,19,FALSE),VLOOKUP(AC83,Calculs!$A$19:$S$425,19,FALSE))&gt;=AD83,TRUE,FALSE))</f>
        <v>1</v>
      </c>
      <c r="AF83" s="158"/>
      <c r="AG83" s="158"/>
      <c r="AH83" s="158"/>
      <c r="AI83" s="158" t="b">
        <f>IF(AF83="",TRUE,IF(IF(AG83="",VLOOKUP(AF83,Calculs!$A$19:$S$425,19,FALSE),VLOOKUP(AG83,Calculs!$A$19:$S$425,19,FALSE))&gt;=AH83,TRUE,FALSE))</f>
        <v>1</v>
      </c>
      <c r="AJ83" s="158"/>
      <c r="AK83" s="158"/>
      <c r="AL83" s="158"/>
      <c r="AM83" s="158" t="b">
        <f>IF(AJ83="",TRUE,IF(IF(AK83="",VLOOKUP(AJ83,Calculs!$A$19:$S$425,19,FALSE),VLOOKUP(AK83,Calculs!$A$19:$S$425,19,FALSE))&gt;=AL83,TRUE,FALSE))</f>
        <v>1</v>
      </c>
      <c r="AN83" s="158"/>
      <c r="AO83" s="158"/>
      <c r="AP83" s="158"/>
      <c r="AQ83" s="158" t="b">
        <f>IF(AN83="",TRUE,IF(IF(AO83="",VLOOKUP(AN83,Calculs!$A$19:$S$425,19,FALSE),VLOOKUP(AO83,Calculs!$A$19:$S$425,19,FALSE))&gt;=AP83,TRUE,FALSE))</f>
        <v>1</v>
      </c>
      <c r="AR83" s="158"/>
      <c r="AS83" s="158" t="b">
        <f>IF(AR83="",TRUE,IF(VLOOKUP(AR83,Calculs!$A$427:$G$738,7,FALSE)&gt;0,TRUE,FALSE))</f>
        <v>1</v>
      </c>
      <c r="AT83" s="158"/>
      <c r="AU83" s="158" t="b">
        <f>IF(AT83="",TRUE,IF(VLOOKUP(AT83,Calculs!$A$740:$G$912,7,FALSE)&gt;0,TRUE,FALSE))</f>
        <v>1</v>
      </c>
      <c r="AV83" s="158" t="b">
        <f t="shared" si="7"/>
        <v>1</v>
      </c>
      <c r="AW83" s="158" t="s">
        <v>2078</v>
      </c>
      <c r="AX83" s="162" t="s">
        <v>3</v>
      </c>
      <c r="AY83" s="15">
        <v>217</v>
      </c>
      <c r="AZ83" s="555" t="s">
        <v>8520</v>
      </c>
      <c r="BA83" s="559">
        <f>IF(Verso!$B$10=Voies!$B83,1,0)</f>
        <v>0</v>
      </c>
      <c r="BB83" s="12">
        <f>IF(Verso!$B$11=Voies!$B83,1,0)</f>
        <v>0</v>
      </c>
      <c r="BC83" s="12">
        <f>IF(Verso!$B$12=Voies!$B83,1,0)</f>
        <v>0</v>
      </c>
      <c r="BD83" s="12">
        <f>IF(Verso!$B$13=Voies!$B83,1,0)</f>
        <v>0</v>
      </c>
      <c r="BE83" s="12">
        <f>IF(Verso!$B$14=Voies!$B83,1,0)</f>
        <v>0</v>
      </c>
      <c r="BF83" s="12">
        <f>IF(Verso!$B$15=Voies!$B83,1,0)</f>
        <v>0</v>
      </c>
      <c r="BG83" s="12">
        <f>IF(Verso!$B$16=Voies!$B83,1,0)</f>
        <v>0</v>
      </c>
      <c r="BH83" s="12">
        <f>IF(Verso!$B$17=Voies!$B83,1,0)</f>
        <v>0</v>
      </c>
      <c r="BI83" s="557">
        <f t="shared" si="8"/>
        <v>0</v>
      </c>
      <c r="BJ83" s="196" t="str">
        <f t="shared" si="9"/>
        <v/>
      </c>
      <c r="BK83" s="196" t="str">
        <f t="shared" si="10"/>
        <v/>
      </c>
      <c r="BL83" s="295" t="str">
        <f t="shared" si="11"/>
        <v/>
      </c>
    </row>
    <row r="84" spans="1:65" ht="47.25" customHeight="1" x14ac:dyDescent="0.25">
      <c r="A84" s="162" t="str">
        <f>IF(AND(Réputation&gt;Voies!E84-1,OR(C84=TRUE,Calculs!$I$8&gt;0),Air&gt;Voies!J84-1,Eau&gt;Voies!K84-1,Feu&gt;Voies!L84-1,Terre&gt;Voies!M84-1,Vide&gt;Voies!N84-1,Constitution&gt;Voies!O84-1,Volonté&gt;Voies!P84-1,Force&gt;Voies!Q84-1,Perception&gt;Voies!R84-1,Reflexes&gt;Voies!S84-1,Agilité&gt;Voies!T84-1,Intuition&gt;Voies!U84-1,Intelligence&gt;Voies!V84-1,Souillure&gt;Voies!W84-1,Honneur&gt;X84-1,Statut&gt;Y84-1,Gloire&gt;Z84-1,AV84=TRUE),Voies!B84,"")</f>
        <v/>
      </c>
      <c r="B84" s="162" t="s">
        <v>2142</v>
      </c>
      <c r="C84" s="162" t="b">
        <f>IF(Clan=Voies!D84,TRUE,FALSE)</f>
        <v>0</v>
      </c>
      <c r="D84" s="388" t="s">
        <v>338</v>
      </c>
      <c r="E84" s="13">
        <v>3</v>
      </c>
      <c r="F84" s="199">
        <v>3</v>
      </c>
      <c r="G84" s="199" t="s">
        <v>2049</v>
      </c>
      <c r="H84" s="162" t="s">
        <v>404</v>
      </c>
      <c r="I84" s="129" t="str">
        <f t="shared" si="12"/>
        <v>Rien</v>
      </c>
      <c r="J84" s="146">
        <v>0</v>
      </c>
      <c r="K84" s="147">
        <v>0</v>
      </c>
      <c r="L84" s="148">
        <v>0</v>
      </c>
      <c r="M84" s="149">
        <v>0</v>
      </c>
      <c r="N84" s="150">
        <v>0</v>
      </c>
      <c r="O84" s="130">
        <v>0</v>
      </c>
      <c r="P84" s="130">
        <v>0</v>
      </c>
      <c r="Q84" s="130">
        <v>0</v>
      </c>
      <c r="R84" s="130">
        <v>0</v>
      </c>
      <c r="S84" s="130">
        <v>0</v>
      </c>
      <c r="T84" s="130">
        <v>0</v>
      </c>
      <c r="U84" s="130">
        <v>0</v>
      </c>
      <c r="V84" s="524">
        <v>0</v>
      </c>
      <c r="W84" s="130">
        <v>0</v>
      </c>
      <c r="X84" s="130">
        <v>0</v>
      </c>
      <c r="Y84" s="130">
        <v>0</v>
      </c>
      <c r="Z84" s="130">
        <v>0</v>
      </c>
      <c r="AA84" s="158" t="s">
        <v>2078</v>
      </c>
      <c r="AB84" s="158"/>
      <c r="AC84" s="158"/>
      <c r="AD84" s="158"/>
      <c r="AE84" s="158" t="b">
        <f>IF(AB84="",TRUE,IF(IF(AC84="",VLOOKUP(AB84,Calculs!$A$19:$S$425,19,FALSE),VLOOKUP(AC84,Calculs!$A$19:$S$425,19,FALSE))&gt;=AD84,TRUE,FALSE))</f>
        <v>1</v>
      </c>
      <c r="AF84" s="158"/>
      <c r="AG84" s="158"/>
      <c r="AH84" s="158"/>
      <c r="AI84" s="158" t="b">
        <f>IF(AF84="",TRUE,IF(IF(AG84="",VLOOKUP(AF84,Calculs!$A$19:$S$425,19,FALSE),VLOOKUP(AG84,Calculs!$A$19:$S$425,19,FALSE))&gt;=AH84,TRUE,FALSE))</f>
        <v>1</v>
      </c>
      <c r="AJ84" s="158"/>
      <c r="AK84" s="158"/>
      <c r="AL84" s="158"/>
      <c r="AM84" s="158" t="b">
        <f>IF(AJ84="",TRUE,IF(IF(AK84="",VLOOKUP(AJ84,Calculs!$A$19:$S$425,19,FALSE),VLOOKUP(AK84,Calculs!$A$19:$S$425,19,FALSE))&gt;=AL84,TRUE,FALSE))</f>
        <v>1</v>
      </c>
      <c r="AN84" s="158"/>
      <c r="AO84" s="158"/>
      <c r="AP84" s="158"/>
      <c r="AQ84" s="158" t="b">
        <f>IF(AN84="",TRUE,IF(IF(AO84="",VLOOKUP(AN84,Calculs!$A$19:$S$425,19,FALSE),VLOOKUP(AO84,Calculs!$A$19:$S$425,19,FALSE))&gt;=AP84,TRUE,FALSE))</f>
        <v>1</v>
      </c>
      <c r="AR84" s="158"/>
      <c r="AS84" s="158" t="b">
        <f>IF(AR84="",TRUE,IF(VLOOKUP(AR84,Calculs!$A$427:$G$738,7,FALSE)&gt;0,TRUE,FALSE))</f>
        <v>1</v>
      </c>
      <c r="AT84" s="158"/>
      <c r="AU84" s="158" t="b">
        <f>IF(AT84="",TRUE,IF(VLOOKUP(AT84,Calculs!$A$740:$G$912,7,FALSE)&gt;0,TRUE,FALSE))</f>
        <v>1</v>
      </c>
      <c r="AV84" s="158" t="b">
        <f t="shared" si="7"/>
        <v>1</v>
      </c>
      <c r="AW84" s="158" t="s">
        <v>2078</v>
      </c>
      <c r="AX84" s="162" t="s">
        <v>3</v>
      </c>
      <c r="AY84" s="15">
        <v>217</v>
      </c>
      <c r="AZ84" s="555" t="s">
        <v>6911</v>
      </c>
      <c r="BA84" s="559">
        <f>IF(Verso!$B$10=Voies!$B84,1,0)</f>
        <v>0</v>
      </c>
      <c r="BB84" s="12">
        <f>IF(Verso!$B$11=Voies!$B84,1,0)</f>
        <v>0</v>
      </c>
      <c r="BC84" s="12">
        <f>IF(Verso!$B$12=Voies!$B84,1,0)</f>
        <v>0</v>
      </c>
      <c r="BD84" s="12">
        <f>IF(Verso!$B$13=Voies!$B84,1,0)</f>
        <v>0</v>
      </c>
      <c r="BE84" s="12">
        <f>IF(Verso!$B$14=Voies!$B84,1,0)</f>
        <v>0</v>
      </c>
      <c r="BF84" s="12">
        <f>IF(Verso!$B$15=Voies!$B84,1,0)</f>
        <v>0</v>
      </c>
      <c r="BG84" s="12">
        <f>IF(Verso!$B$16=Voies!$B84,1,0)</f>
        <v>0</v>
      </c>
      <c r="BH84" s="12">
        <f>IF(Verso!$B$17=Voies!$B84,1,0)</f>
        <v>0</v>
      </c>
      <c r="BI84" s="557">
        <f t="shared" si="8"/>
        <v>0</v>
      </c>
      <c r="BJ84" s="196" t="str">
        <f t="shared" si="9"/>
        <v/>
      </c>
      <c r="BK84" s="196" t="str">
        <f t="shared" si="10"/>
        <v/>
      </c>
      <c r="BL84" s="295" t="str">
        <f t="shared" si="11"/>
        <v/>
      </c>
    </row>
    <row r="85" spans="1:65" ht="47.25" customHeight="1" x14ac:dyDescent="0.25">
      <c r="A85" s="162" t="str">
        <f>IF(AND(Réputation&gt;Voies!E85-1,OR(C85=TRUE,Calculs!$I$8&gt;0),Air&gt;Voies!J85-1,Eau&gt;Voies!K85-1,Feu&gt;Voies!L85-1,Terre&gt;Voies!M85-1,Vide&gt;Voies!N85-1,Constitution&gt;Voies!O85-1,Volonté&gt;Voies!P85-1,Force&gt;Voies!Q85-1,Perception&gt;Voies!R85-1,Reflexes&gt;Voies!S85-1,Agilité&gt;Voies!T85-1,Intuition&gt;Voies!U85-1,Intelligence&gt;Voies!V85-1,Souillure&gt;Voies!W85-1,Honneur&gt;X85-1,Statut&gt;Y85-1,Gloire&gt;Z85-1,AV85=TRUE),Voies!B85,"")</f>
        <v/>
      </c>
      <c r="B85" s="162" t="s">
        <v>3758</v>
      </c>
      <c r="C85" s="162" t="b">
        <f>IF(Clan=Voies!D85,TRUE,FALSE)</f>
        <v>0</v>
      </c>
      <c r="D85" s="388" t="s">
        <v>338</v>
      </c>
      <c r="E85" s="13">
        <v>4</v>
      </c>
      <c r="F85" s="199">
        <v>4</v>
      </c>
      <c r="G85" s="157" t="s">
        <v>2049</v>
      </c>
      <c r="H85" s="162" t="s">
        <v>474</v>
      </c>
      <c r="I85" s="129" t="s">
        <v>3759</v>
      </c>
      <c r="J85" s="146">
        <v>0</v>
      </c>
      <c r="K85" s="147">
        <v>0</v>
      </c>
      <c r="L85" s="148">
        <v>0</v>
      </c>
      <c r="M85" s="149">
        <v>0</v>
      </c>
      <c r="N85" s="150">
        <v>0</v>
      </c>
      <c r="O85" s="130">
        <v>0</v>
      </c>
      <c r="P85" s="130">
        <v>0</v>
      </c>
      <c r="Q85" s="130">
        <v>4</v>
      </c>
      <c r="R85" s="130">
        <v>0</v>
      </c>
      <c r="S85" s="130">
        <v>0</v>
      </c>
      <c r="T85" s="130">
        <v>0</v>
      </c>
      <c r="U85" s="130">
        <v>0</v>
      </c>
      <c r="V85" s="524">
        <v>0</v>
      </c>
      <c r="W85" s="130">
        <v>0</v>
      </c>
      <c r="X85" s="130">
        <v>0</v>
      </c>
      <c r="Y85" s="130">
        <v>0</v>
      </c>
      <c r="Z85" s="130">
        <v>0</v>
      </c>
      <c r="AA85" s="159" t="s">
        <v>3760</v>
      </c>
      <c r="AB85" s="159" t="s">
        <v>1263</v>
      </c>
      <c r="AD85" s="159">
        <v>5</v>
      </c>
      <c r="AE85" s="158" t="b">
        <f>IF(AB85="",TRUE,IF(IF(AC85="",VLOOKUP(AB85,Calculs!$A$19:$S$425,19,FALSE),VLOOKUP(AC85,Calculs!$A$19:$S$425,19,FALSE))&gt;=AD85,TRUE,FALSE))</f>
        <v>0</v>
      </c>
      <c r="AI85" s="158" t="b">
        <f>IF(AF85="",TRUE,IF(IF(AG85="",VLOOKUP(AF85,Calculs!$A$19:$S$425,19,FALSE),VLOOKUP(AG85,Calculs!$A$19:$S$425,19,FALSE))&gt;=AH85,TRUE,FALSE))</f>
        <v>1</v>
      </c>
      <c r="AM85" s="158" t="b">
        <f>IF(AJ85="",TRUE,IF(IF(AK85="",VLOOKUP(AJ85,Calculs!$A$19:$S$425,19,FALSE),VLOOKUP(AK85,Calculs!$A$19:$S$425,19,FALSE))&gt;=AL85,TRUE,FALSE))</f>
        <v>1</v>
      </c>
      <c r="AQ85" s="158" t="b">
        <f>IF(AN85="",TRUE,IF(IF(AO85="",VLOOKUP(AN85,Calculs!$A$19:$S$425,19,FALSE),VLOOKUP(AO85,Calculs!$A$19:$S$425,19,FALSE))&gt;=AP85,TRUE,FALSE))</f>
        <v>1</v>
      </c>
      <c r="AR85" s="158"/>
      <c r="AS85" s="158" t="b">
        <f>IF(AR85="",TRUE,IF(VLOOKUP(AR85,Calculs!$A$427:$G$738,7,FALSE)&gt;0,TRUE,FALSE))</f>
        <v>1</v>
      </c>
      <c r="AT85" s="158"/>
      <c r="AU85" s="158" t="b">
        <f>IF(AT85="",TRUE,IF(VLOOKUP(AT85,Calculs!$A$740:$G$912,7,FALSE)&gt;0,TRUE,FALSE))</f>
        <v>1</v>
      </c>
      <c r="AV85" s="158" t="b">
        <f t="shared" si="7"/>
        <v>0</v>
      </c>
      <c r="AW85" s="158" t="s">
        <v>2078</v>
      </c>
      <c r="AX85" s="162" t="s">
        <v>2080</v>
      </c>
      <c r="AY85" s="15">
        <v>238</v>
      </c>
      <c r="AZ85" s="555" t="s">
        <v>3761</v>
      </c>
      <c r="BA85" s="559">
        <f>IF(Verso!$B$10=Voies!$B85,1,0)</f>
        <v>0</v>
      </c>
      <c r="BB85" s="12">
        <f>IF(Verso!$B$11=Voies!$B85,1,0)</f>
        <v>0</v>
      </c>
      <c r="BC85" s="12">
        <f>IF(Verso!$B$12=Voies!$B85,1,0)</f>
        <v>0</v>
      </c>
      <c r="BD85" s="12">
        <f>IF(Verso!$B$13=Voies!$B85,1,0)</f>
        <v>0</v>
      </c>
      <c r="BE85" s="12">
        <f>IF(Verso!$B$14=Voies!$B85,1,0)</f>
        <v>0</v>
      </c>
      <c r="BF85" s="12">
        <f>IF(Verso!$B$15=Voies!$B85,1,0)</f>
        <v>0</v>
      </c>
      <c r="BG85" s="12">
        <f>IF(Verso!$B$16=Voies!$B85,1,0)</f>
        <v>0</v>
      </c>
      <c r="BH85" s="12">
        <f>IF(Verso!$B$17=Voies!$B85,1,0)</f>
        <v>0</v>
      </c>
      <c r="BI85" s="557">
        <f t="shared" si="8"/>
        <v>0</v>
      </c>
      <c r="BJ85" s="196" t="str">
        <f t="shared" si="9"/>
        <v/>
      </c>
      <c r="BK85" s="196" t="str">
        <f t="shared" si="10"/>
        <v/>
      </c>
      <c r="BL85" s="295" t="str">
        <f t="shared" si="11"/>
        <v/>
      </c>
    </row>
    <row r="86" spans="1:65" ht="47.25" customHeight="1" x14ac:dyDescent="0.25">
      <c r="A86" s="162" t="str">
        <f>IF(AND(Réputation&gt;Voies!E86-1,OR(C86=TRUE,Calculs!$I$8&gt;0),Air&gt;Voies!J86-1,Eau&gt;Voies!K86-1,Feu&gt;Voies!L86-1,Terre&gt;Voies!M86-1,Vide&gt;Voies!N86-1,Constitution&gt;Voies!O86-1,Volonté&gt;Voies!P86-1,Force&gt;Voies!Q86-1,Perception&gt;Voies!R86-1,Reflexes&gt;Voies!S86-1,Agilité&gt;Voies!T86-1,Intuition&gt;Voies!U86-1,Intelligence&gt;Voies!V86-1,Souillure&gt;Voies!W86-1,Honneur&gt;X86-1,Statut&gt;Y86-1,Gloire&gt;Z86-1,AV86=TRUE),Voies!B86,"")</f>
        <v/>
      </c>
      <c r="B86" s="162" t="s">
        <v>2143</v>
      </c>
      <c r="C86" s="162" t="b">
        <f>IF(Clan=Voies!D86,TRUE,FALSE)</f>
        <v>0</v>
      </c>
      <c r="D86" s="388" t="s">
        <v>338</v>
      </c>
      <c r="E86" s="13">
        <v>4</v>
      </c>
      <c r="F86" s="199">
        <v>4</v>
      </c>
      <c r="G86" s="13" t="s">
        <v>2049</v>
      </c>
      <c r="H86" s="162" t="s">
        <v>404</v>
      </c>
      <c r="I86" s="129" t="str">
        <f t="shared" ref="I86:I107" si="13">IF(B86="","","Rien")</f>
        <v>Rien</v>
      </c>
      <c r="J86" s="146">
        <v>0</v>
      </c>
      <c r="K86" s="147">
        <v>0</v>
      </c>
      <c r="L86" s="148">
        <v>0</v>
      </c>
      <c r="M86" s="149">
        <v>0</v>
      </c>
      <c r="N86" s="150">
        <v>0</v>
      </c>
      <c r="O86" s="130">
        <v>0</v>
      </c>
      <c r="P86" s="130">
        <v>0</v>
      </c>
      <c r="Q86" s="130">
        <v>0</v>
      </c>
      <c r="R86" s="130">
        <v>0</v>
      </c>
      <c r="S86" s="130">
        <v>0</v>
      </c>
      <c r="T86" s="130">
        <v>0</v>
      </c>
      <c r="U86" s="130">
        <v>0</v>
      </c>
      <c r="V86" s="524">
        <v>0</v>
      </c>
      <c r="W86" s="130">
        <v>0</v>
      </c>
      <c r="X86" s="130">
        <v>0</v>
      </c>
      <c r="Y86" s="130">
        <v>0</v>
      </c>
      <c r="Z86" s="130">
        <v>0</v>
      </c>
      <c r="AA86" s="158" t="s">
        <v>2078</v>
      </c>
      <c r="AB86" s="158"/>
      <c r="AC86" s="158"/>
      <c r="AD86" s="158"/>
      <c r="AE86" s="158" t="b">
        <f>IF(AB86="",TRUE,IF(IF(AC86="",VLOOKUP(AB86,Calculs!$A$19:$S$425,19,FALSE),VLOOKUP(AC86,Calculs!$A$19:$S$425,19,FALSE))&gt;=AD86,TRUE,FALSE))</f>
        <v>1</v>
      </c>
      <c r="AF86" s="158"/>
      <c r="AG86" s="158"/>
      <c r="AH86" s="158"/>
      <c r="AI86" s="158" t="b">
        <f>IF(AF86="",TRUE,IF(IF(AG86="",VLOOKUP(AF86,Calculs!$A$19:$S$425,19,FALSE),VLOOKUP(AG86,Calculs!$A$19:$S$425,19,FALSE))&gt;=AH86,TRUE,FALSE))</f>
        <v>1</v>
      </c>
      <c r="AJ86" s="158"/>
      <c r="AK86" s="158"/>
      <c r="AL86" s="158"/>
      <c r="AM86" s="158" t="b">
        <f>IF(AJ86="",TRUE,IF(IF(AK86="",VLOOKUP(AJ86,Calculs!$A$19:$S$425,19,FALSE),VLOOKUP(AK86,Calculs!$A$19:$S$425,19,FALSE))&gt;=AL86,TRUE,FALSE))</f>
        <v>1</v>
      </c>
      <c r="AN86" s="158"/>
      <c r="AO86" s="158"/>
      <c r="AP86" s="158"/>
      <c r="AQ86" s="158" t="b">
        <f>IF(AN86="",TRUE,IF(IF(AO86="",VLOOKUP(AN86,Calculs!$A$19:$S$425,19,FALSE),VLOOKUP(AO86,Calculs!$A$19:$S$425,19,FALSE))&gt;=AP86,TRUE,FALSE))</f>
        <v>1</v>
      </c>
      <c r="AR86" s="158"/>
      <c r="AS86" s="158" t="b">
        <f>IF(AR86="",TRUE,IF(VLOOKUP(AR86,Calculs!$A$427:$G$738,7,FALSE)&gt;0,TRUE,FALSE))</f>
        <v>1</v>
      </c>
      <c r="AT86" s="158"/>
      <c r="AU86" s="158" t="b">
        <f>IF(AT86="",TRUE,IF(VLOOKUP(AT86,Calculs!$A$740:$G$912,7,FALSE)&gt;0,TRUE,FALSE))</f>
        <v>1</v>
      </c>
      <c r="AV86" s="158" t="b">
        <f t="shared" si="7"/>
        <v>1</v>
      </c>
      <c r="AW86" s="158" t="s">
        <v>2078</v>
      </c>
      <c r="AX86" s="162" t="s">
        <v>3</v>
      </c>
      <c r="AY86" s="15">
        <v>217</v>
      </c>
      <c r="AZ86" s="555" t="s">
        <v>2157</v>
      </c>
      <c r="BA86" s="559">
        <f>IF(Verso!$B$10=Voies!$B86,1,0)</f>
        <v>0</v>
      </c>
      <c r="BB86" s="12">
        <f>IF(Verso!$B$11=Voies!$B86,1,0)</f>
        <v>0</v>
      </c>
      <c r="BC86" s="12">
        <f>IF(Verso!$B$12=Voies!$B86,1,0)</f>
        <v>0</v>
      </c>
      <c r="BD86" s="12">
        <f>IF(Verso!$B$13=Voies!$B86,1,0)</f>
        <v>0</v>
      </c>
      <c r="BE86" s="12">
        <f>IF(Verso!$B$14=Voies!$B86,1,0)</f>
        <v>0</v>
      </c>
      <c r="BF86" s="12">
        <f>IF(Verso!$B$15=Voies!$B86,1,0)</f>
        <v>0</v>
      </c>
      <c r="BG86" s="12">
        <f>IF(Verso!$B$16=Voies!$B86,1,0)</f>
        <v>0</v>
      </c>
      <c r="BH86" s="12">
        <f>IF(Verso!$B$17=Voies!$B86,1,0)</f>
        <v>0</v>
      </c>
      <c r="BI86" s="557">
        <f t="shared" si="8"/>
        <v>0</v>
      </c>
      <c r="BJ86" s="196" t="str">
        <f t="shared" si="9"/>
        <v/>
      </c>
      <c r="BK86" s="196" t="str">
        <f t="shared" si="10"/>
        <v/>
      </c>
      <c r="BL86" s="295" t="str">
        <f t="shared" si="11"/>
        <v/>
      </c>
    </row>
    <row r="87" spans="1:65" s="196" customFormat="1" ht="47.25" customHeight="1" x14ac:dyDescent="0.25">
      <c r="A87" s="162" t="str">
        <f>IF(AND(Réputation&gt;Voies!E87-1,OR(C87=TRUE,Calculs!$I$8&gt;0),Air&gt;Voies!J87-1,Eau&gt;Voies!K87-1,Feu&gt;Voies!L87-1,Terre&gt;Voies!M87-1,Vide&gt;Voies!N87-1,Constitution&gt;Voies!O87-1,Volonté&gt;Voies!P87-1,Force&gt;Voies!Q87-1,Perception&gt;Voies!R87-1,Reflexes&gt;Voies!S87-1,Agilité&gt;Voies!T87-1,Intuition&gt;Voies!U87-1,Intelligence&gt;Voies!V87-1,Souillure&gt;Voies!W87-1,Honneur&gt;X87-1,Statut&gt;Y87-1,Gloire&gt;Z87-1,AV87=TRUE),Voies!B87,"")</f>
        <v/>
      </c>
      <c r="B87" s="162" t="s">
        <v>2144</v>
      </c>
      <c r="C87" s="162" t="b">
        <f>IF(Clan=Voies!D87,TRUE,FALSE)</f>
        <v>0</v>
      </c>
      <c r="D87" s="388" t="s">
        <v>338</v>
      </c>
      <c r="E87" s="199">
        <v>5</v>
      </c>
      <c r="F87" s="199">
        <v>5</v>
      </c>
      <c r="G87" s="199" t="s">
        <v>2049</v>
      </c>
      <c r="H87" s="162" t="s">
        <v>404</v>
      </c>
      <c r="I87" s="129" t="str">
        <f t="shared" si="13"/>
        <v>Rien</v>
      </c>
      <c r="J87" s="146">
        <v>0</v>
      </c>
      <c r="K87" s="147">
        <v>0</v>
      </c>
      <c r="L87" s="148">
        <v>0</v>
      </c>
      <c r="M87" s="149">
        <v>0</v>
      </c>
      <c r="N87" s="150">
        <v>0</v>
      </c>
      <c r="O87" s="130">
        <v>0</v>
      </c>
      <c r="P87" s="130">
        <v>0</v>
      </c>
      <c r="Q87" s="130">
        <v>0</v>
      </c>
      <c r="R87" s="130">
        <v>0</v>
      </c>
      <c r="S87" s="130">
        <v>0</v>
      </c>
      <c r="T87" s="130">
        <v>0</v>
      </c>
      <c r="U87" s="130">
        <v>0</v>
      </c>
      <c r="V87" s="524">
        <v>0</v>
      </c>
      <c r="W87" s="130">
        <v>0</v>
      </c>
      <c r="X87" s="130">
        <v>0</v>
      </c>
      <c r="Y87" s="130">
        <v>0</v>
      </c>
      <c r="Z87" s="130">
        <v>0</v>
      </c>
      <c r="AA87" s="158" t="s">
        <v>2078</v>
      </c>
      <c r="AB87" s="158"/>
      <c r="AC87" s="158"/>
      <c r="AD87" s="158"/>
      <c r="AE87" s="158" t="b">
        <f>IF(AB87="",TRUE,IF(IF(AC87="",VLOOKUP(AB87,Calculs!$A$19:$S$425,19,FALSE),VLOOKUP(AC87,Calculs!$A$19:$S$425,19,FALSE))&gt;=AD87,TRUE,FALSE))</f>
        <v>1</v>
      </c>
      <c r="AF87" s="158"/>
      <c r="AG87" s="158"/>
      <c r="AH87" s="158"/>
      <c r="AI87" s="158" t="b">
        <f>IF(AF87="",TRUE,IF(IF(AG87="",VLOOKUP(AF87,Calculs!$A$19:$S$425,19,FALSE),VLOOKUP(AG87,Calculs!$A$19:$S$425,19,FALSE))&gt;=AH87,TRUE,FALSE))</f>
        <v>1</v>
      </c>
      <c r="AJ87" s="158"/>
      <c r="AK87" s="158"/>
      <c r="AL87" s="158"/>
      <c r="AM87" s="158" t="b">
        <f>IF(AJ87="",TRUE,IF(IF(AK87="",VLOOKUP(AJ87,Calculs!$A$19:$S$425,19,FALSE),VLOOKUP(AK87,Calculs!$A$19:$S$425,19,FALSE))&gt;=AL87,TRUE,FALSE))</f>
        <v>1</v>
      </c>
      <c r="AN87" s="158"/>
      <c r="AO87" s="158"/>
      <c r="AP87" s="158"/>
      <c r="AQ87" s="158" t="b">
        <f>IF(AN87="",TRUE,IF(IF(AO87="",VLOOKUP(AN87,Calculs!$A$19:$S$425,19,FALSE),VLOOKUP(AO87,Calculs!$A$19:$S$425,19,FALSE))&gt;=AP87,TRUE,FALSE))</f>
        <v>1</v>
      </c>
      <c r="AR87" s="158"/>
      <c r="AS87" s="158" t="b">
        <f>IF(AR87="",TRUE,IF(VLOOKUP(AR87,Calculs!$A$427:$G$738,7,FALSE)&gt;0,TRUE,FALSE))</f>
        <v>1</v>
      </c>
      <c r="AT87" s="158"/>
      <c r="AU87" s="158" t="b">
        <f>IF(AT87="",TRUE,IF(VLOOKUP(AT87,Calculs!$A$740:$G$912,7,FALSE)&gt;0,TRUE,FALSE))</f>
        <v>1</v>
      </c>
      <c r="AV87" s="158" t="b">
        <f t="shared" si="7"/>
        <v>1</v>
      </c>
      <c r="AW87" s="158" t="s">
        <v>2078</v>
      </c>
      <c r="AX87" s="162" t="s">
        <v>3</v>
      </c>
      <c r="AY87" s="15">
        <v>217</v>
      </c>
      <c r="AZ87" s="555" t="s">
        <v>2146</v>
      </c>
      <c r="BA87" s="559">
        <f>IF(Verso!$B$10=Voies!$B87,1,0)</f>
        <v>0</v>
      </c>
      <c r="BB87" s="12">
        <f>IF(Verso!$B$11=Voies!$B87,1,0)</f>
        <v>0</v>
      </c>
      <c r="BC87" s="12">
        <f>IF(Verso!$B$12=Voies!$B87,1,0)</f>
        <v>0</v>
      </c>
      <c r="BD87" s="12">
        <f>IF(Verso!$B$13=Voies!$B87,1,0)</f>
        <v>0</v>
      </c>
      <c r="BE87" s="12">
        <f>IF(Verso!$B$14=Voies!$B87,1,0)</f>
        <v>0</v>
      </c>
      <c r="BF87" s="12">
        <f>IF(Verso!$B$15=Voies!$B87,1,0)</f>
        <v>0</v>
      </c>
      <c r="BG87" s="12">
        <f>IF(Verso!$B$16=Voies!$B87,1,0)</f>
        <v>0</v>
      </c>
      <c r="BH87" s="12">
        <f>IF(Verso!$B$17=Voies!$B87,1,0)</f>
        <v>0</v>
      </c>
      <c r="BI87" s="557">
        <f t="shared" si="8"/>
        <v>0</v>
      </c>
      <c r="BJ87" s="196" t="str">
        <f t="shared" si="9"/>
        <v/>
      </c>
      <c r="BK87" s="196" t="str">
        <f t="shared" si="10"/>
        <v/>
      </c>
      <c r="BL87" s="295" t="str">
        <f t="shared" si="11"/>
        <v/>
      </c>
      <c r="BM87" s="91"/>
    </row>
    <row r="88" spans="1:65" s="196" customFormat="1" ht="47.25" customHeight="1" x14ac:dyDescent="0.25">
      <c r="A88" s="162" t="str">
        <f>IF(AND(Réputation&gt;Voies!E88-1,OR(C88=TRUE,Calculs!$I$8&gt;0),Air&gt;Voies!J88-1,Eau&gt;Voies!K88-1,Feu&gt;Voies!L88-1,Terre&gt;Voies!M88-1,Vide&gt;Voies!N88-1,Constitution&gt;Voies!O88-1,Volonté&gt;Voies!P88-1,Force&gt;Voies!Q88-1,Perception&gt;Voies!R88-1,Reflexes&gt;Voies!S88-1,Agilité&gt;Voies!T88-1,Intuition&gt;Voies!U88-1,Intelligence&gt;Voies!V88-1,Souillure&gt;Voies!W88-1,Honneur&gt;X88-1,Statut&gt;Y88-1,Gloire&gt;Z88-1,AV88=TRUE),Voies!B88,"")</f>
        <v/>
      </c>
      <c r="B88" s="162" t="s">
        <v>7078</v>
      </c>
      <c r="C88" s="162" t="b">
        <f>IF(Clan=Voies!D88,TRUE,FALSE)</f>
        <v>0</v>
      </c>
      <c r="D88" s="466" t="s">
        <v>6783</v>
      </c>
      <c r="E88" s="199">
        <v>1</v>
      </c>
      <c r="F88" s="199">
        <v>1</v>
      </c>
      <c r="G88" s="199" t="s">
        <v>2049</v>
      </c>
      <c r="H88" s="162" t="s">
        <v>6952</v>
      </c>
      <c r="I88" s="129" t="str">
        <f t="shared" si="13"/>
        <v>Rien</v>
      </c>
      <c r="J88" s="146">
        <v>0</v>
      </c>
      <c r="K88" s="147">
        <v>0</v>
      </c>
      <c r="L88" s="148">
        <v>0</v>
      </c>
      <c r="M88" s="149">
        <v>0</v>
      </c>
      <c r="N88" s="150">
        <v>0</v>
      </c>
      <c r="O88" s="130">
        <v>0</v>
      </c>
      <c r="P88" s="130">
        <v>0</v>
      </c>
      <c r="Q88" s="130">
        <v>0</v>
      </c>
      <c r="R88" s="130">
        <v>0</v>
      </c>
      <c r="S88" s="130">
        <v>0</v>
      </c>
      <c r="T88" s="130">
        <v>0</v>
      </c>
      <c r="U88" s="130">
        <v>0</v>
      </c>
      <c r="V88" s="524">
        <v>0</v>
      </c>
      <c r="W88" s="130">
        <v>0</v>
      </c>
      <c r="X88" s="130">
        <v>0</v>
      </c>
      <c r="Y88" s="130">
        <v>0</v>
      </c>
      <c r="Z88" s="130">
        <v>0</v>
      </c>
      <c r="AA88" s="158" t="s">
        <v>2078</v>
      </c>
      <c r="AB88" s="158"/>
      <c r="AC88" s="158"/>
      <c r="AD88" s="158"/>
      <c r="AE88" s="158" t="b">
        <f>IF(AB88="",TRUE,IF(IF(AC88="",VLOOKUP(AB88,Calculs!$A$19:$S$425,19,FALSE),VLOOKUP(AC88,Calculs!$A$19:$S$425,19,FALSE))&gt;=AD88,TRUE,FALSE))</f>
        <v>1</v>
      </c>
      <c r="AF88" s="158"/>
      <c r="AG88" s="158"/>
      <c r="AH88" s="158"/>
      <c r="AI88" s="158" t="b">
        <f>IF(AF88="",TRUE,IF(IF(AG88="",VLOOKUP(AF88,Calculs!$A$19:$S$425,19,FALSE),VLOOKUP(AG88,Calculs!$A$19:$S$425,19,FALSE))&gt;=AH88,TRUE,FALSE))</f>
        <v>1</v>
      </c>
      <c r="AJ88" s="158"/>
      <c r="AK88" s="158"/>
      <c r="AL88" s="158"/>
      <c r="AM88" s="158" t="b">
        <f>IF(AJ88="",TRUE,IF(IF(AK88="",VLOOKUP(AJ88,Calculs!$A$19:$S$425,19,FALSE),VLOOKUP(AK88,Calculs!$A$19:$S$425,19,FALSE))&gt;=AL88,TRUE,FALSE))</f>
        <v>1</v>
      </c>
      <c r="AN88" s="158"/>
      <c r="AO88" s="158"/>
      <c r="AP88" s="158"/>
      <c r="AQ88" s="158" t="b">
        <f>IF(AN88="",TRUE,IF(IF(AO88="",VLOOKUP(AN88,Calculs!$A$19:$S$425,19,FALSE),VLOOKUP(AO88,Calculs!$A$19:$S$425,19,FALSE))&gt;=AP88,TRUE,FALSE))</f>
        <v>1</v>
      </c>
      <c r="AR88" s="158"/>
      <c r="AS88" s="158" t="b">
        <f>IF(AR88="",TRUE,IF(VLOOKUP(AR88,Calculs!$A$427:$G$738,7,FALSE)&gt;0,TRUE,FALSE))</f>
        <v>1</v>
      </c>
      <c r="AT88" s="158"/>
      <c r="AU88" s="158" t="b">
        <f>IF(AT88="",TRUE,IF(VLOOKUP(AT88,Calculs!$A$740:$G$912,7,FALSE)&gt;0,TRUE,FALSE))</f>
        <v>1</v>
      </c>
      <c r="AV88" s="158" t="b">
        <f t="shared" si="7"/>
        <v>1</v>
      </c>
      <c r="AW88" s="158" t="s">
        <v>2078</v>
      </c>
      <c r="AX88" s="162" t="s">
        <v>6816</v>
      </c>
      <c r="AY88" s="15">
        <v>91</v>
      </c>
      <c r="AZ88" s="555" t="s">
        <v>8521</v>
      </c>
      <c r="BA88" s="559">
        <f>IF(Verso!$B$10=Voies!$B88,1,0)</f>
        <v>0</v>
      </c>
      <c r="BB88" s="12">
        <f>IF(Verso!$B$11=Voies!$B88,1,0)</f>
        <v>0</v>
      </c>
      <c r="BC88" s="12">
        <f>IF(Verso!$B$12=Voies!$B88,1,0)</f>
        <v>0</v>
      </c>
      <c r="BD88" s="12">
        <f>IF(Verso!$B$13=Voies!$B88,1,0)</f>
        <v>0</v>
      </c>
      <c r="BE88" s="12">
        <f>IF(Verso!$B$14=Voies!$B88,1,0)</f>
        <v>0</v>
      </c>
      <c r="BF88" s="12">
        <f>IF(Verso!$B$15=Voies!$B88,1,0)</f>
        <v>0</v>
      </c>
      <c r="BG88" s="12">
        <f>IF(Verso!$B$16=Voies!$B88,1,0)</f>
        <v>0</v>
      </c>
      <c r="BH88" s="12">
        <f>IF(Verso!$B$17=Voies!$B88,1,0)</f>
        <v>0</v>
      </c>
      <c r="BI88" s="557">
        <f t="shared" si="8"/>
        <v>0</v>
      </c>
      <c r="BJ88" s="196" t="str">
        <f t="shared" si="9"/>
        <v/>
      </c>
      <c r="BK88" s="196" t="str">
        <f t="shared" si="10"/>
        <v/>
      </c>
      <c r="BL88" s="295" t="str">
        <f t="shared" si="11"/>
        <v/>
      </c>
      <c r="BM88" s="91"/>
    </row>
    <row r="89" spans="1:65" s="196" customFormat="1" ht="47.25" customHeight="1" x14ac:dyDescent="0.25">
      <c r="A89" s="162" t="str">
        <f>IF(AND(Réputation&gt;Voies!E89-1,OR(C89=TRUE,Calculs!$I$8&gt;0),Air&gt;Voies!J89-1,Eau&gt;Voies!K89-1,Feu&gt;Voies!L89-1,Terre&gt;Voies!M89-1,Vide&gt;Voies!N89-1,Constitution&gt;Voies!O89-1,Volonté&gt;Voies!P89-1,Force&gt;Voies!Q89-1,Perception&gt;Voies!R89-1,Reflexes&gt;Voies!S89-1,Agilité&gt;Voies!T89-1,Intuition&gt;Voies!U89-1,Intelligence&gt;Voies!V89-1,Souillure&gt;Voies!W89-1,Honneur&gt;X89-1,Statut&gt;Y89-1,Gloire&gt;Z89-1,AV89=TRUE),Voies!B89,"")</f>
        <v/>
      </c>
      <c r="B89" s="162" t="s">
        <v>7079</v>
      </c>
      <c r="C89" s="162" t="b">
        <f>IF(Clan=Voies!D89,TRUE,FALSE)</f>
        <v>0</v>
      </c>
      <c r="D89" s="466" t="s">
        <v>6783</v>
      </c>
      <c r="E89" s="199">
        <v>2</v>
      </c>
      <c r="F89" s="199">
        <v>2</v>
      </c>
      <c r="G89" s="199" t="s">
        <v>2049</v>
      </c>
      <c r="H89" s="162" t="s">
        <v>6952</v>
      </c>
      <c r="I89" s="129" t="str">
        <f t="shared" si="13"/>
        <v>Rien</v>
      </c>
      <c r="J89" s="146">
        <v>0</v>
      </c>
      <c r="K89" s="147">
        <v>0</v>
      </c>
      <c r="L89" s="148">
        <v>0</v>
      </c>
      <c r="M89" s="149">
        <v>0</v>
      </c>
      <c r="N89" s="150">
        <v>0</v>
      </c>
      <c r="O89" s="130">
        <v>0</v>
      </c>
      <c r="P89" s="130">
        <v>0</v>
      </c>
      <c r="Q89" s="130">
        <v>0</v>
      </c>
      <c r="R89" s="130">
        <v>0</v>
      </c>
      <c r="S89" s="130">
        <v>0</v>
      </c>
      <c r="T89" s="130">
        <v>0</v>
      </c>
      <c r="U89" s="130">
        <v>0</v>
      </c>
      <c r="V89" s="524">
        <v>0</v>
      </c>
      <c r="W89" s="130">
        <v>0</v>
      </c>
      <c r="X89" s="130">
        <v>0</v>
      </c>
      <c r="Y89" s="130">
        <v>0</v>
      </c>
      <c r="Z89" s="130">
        <v>0</v>
      </c>
      <c r="AA89" s="158" t="s">
        <v>2078</v>
      </c>
      <c r="AB89" s="158"/>
      <c r="AC89" s="158"/>
      <c r="AD89" s="158"/>
      <c r="AE89" s="158" t="b">
        <f>IF(AB89="",TRUE,IF(IF(AC89="",VLOOKUP(AB89,Calculs!$A$19:$S$425,19,FALSE),VLOOKUP(AC89,Calculs!$A$19:$S$425,19,FALSE))&gt;=AD89,TRUE,FALSE))</f>
        <v>1</v>
      </c>
      <c r="AF89" s="158"/>
      <c r="AG89" s="158"/>
      <c r="AH89" s="158"/>
      <c r="AI89" s="158" t="b">
        <f>IF(AF89="",TRUE,IF(IF(AG89="",VLOOKUP(AF89,Calculs!$A$19:$S$425,19,FALSE),VLOOKUP(AG89,Calculs!$A$19:$S$425,19,FALSE))&gt;=AH89,TRUE,FALSE))</f>
        <v>1</v>
      </c>
      <c r="AJ89" s="158"/>
      <c r="AK89" s="158"/>
      <c r="AL89" s="158"/>
      <c r="AM89" s="158" t="b">
        <f>IF(AJ89="",TRUE,IF(IF(AK89="",VLOOKUP(AJ89,Calculs!$A$19:$S$425,19,FALSE),VLOOKUP(AK89,Calculs!$A$19:$S$425,19,FALSE))&gt;=AL89,TRUE,FALSE))</f>
        <v>1</v>
      </c>
      <c r="AN89" s="158"/>
      <c r="AO89" s="158"/>
      <c r="AP89" s="158"/>
      <c r="AQ89" s="158" t="b">
        <f>IF(AN89="",TRUE,IF(IF(AO89="",VLOOKUP(AN89,Calculs!$A$19:$S$425,19,FALSE),VLOOKUP(AO89,Calculs!$A$19:$S$425,19,FALSE))&gt;=AP89,TRUE,FALSE))</f>
        <v>1</v>
      </c>
      <c r="AR89" s="158"/>
      <c r="AS89" s="158" t="b">
        <f>IF(AR89="",TRUE,IF(VLOOKUP(AR89,Calculs!$A$427:$G$738,7,FALSE)&gt;0,TRUE,FALSE))</f>
        <v>1</v>
      </c>
      <c r="AT89" s="158"/>
      <c r="AU89" s="158" t="b">
        <f>IF(AT89="",TRUE,IF(VLOOKUP(AT89,Calculs!$A$740:$G$912,7,FALSE)&gt;0,TRUE,FALSE))</f>
        <v>1</v>
      </c>
      <c r="AV89" s="158" t="b">
        <f t="shared" si="7"/>
        <v>1</v>
      </c>
      <c r="AW89" s="158" t="s">
        <v>2078</v>
      </c>
      <c r="AX89" s="162" t="s">
        <v>6816</v>
      </c>
      <c r="AY89" s="15">
        <v>91</v>
      </c>
      <c r="AZ89" s="555" t="str">
        <f>CONCATENATE("+",Terre,"g0 lorsque vous lancez des dés pour résister au poison, à la maladie ou l'intoxication. Vous gagnez l'équivalent de votre rang d'école en Réduction")</f>
        <v>+2g0 lorsque vous lancez des dés pour résister au poison, à la maladie ou l'intoxication. Vous gagnez l'équivalent de votre rang d'école en Réduction</v>
      </c>
      <c r="BA89" s="559">
        <f>IF(Verso!$B$10=Voies!$B89,1,0)</f>
        <v>0</v>
      </c>
      <c r="BB89" s="12">
        <f>IF(Verso!$B$11=Voies!$B89,1,0)</f>
        <v>0</v>
      </c>
      <c r="BC89" s="12">
        <f>IF(Verso!$B$12=Voies!$B89,1,0)</f>
        <v>0</v>
      </c>
      <c r="BD89" s="12">
        <f>IF(Verso!$B$13=Voies!$B89,1,0)</f>
        <v>0</v>
      </c>
      <c r="BE89" s="12">
        <f>IF(Verso!$B$14=Voies!$B89,1,0)</f>
        <v>0</v>
      </c>
      <c r="BF89" s="12">
        <f>IF(Verso!$B$15=Voies!$B89,1,0)</f>
        <v>0</v>
      </c>
      <c r="BG89" s="12">
        <f>IF(Verso!$B$16=Voies!$B89,1,0)</f>
        <v>0</v>
      </c>
      <c r="BH89" s="12">
        <f>IF(Verso!$B$17=Voies!$B89,1,0)</f>
        <v>0</v>
      </c>
      <c r="BI89" s="557">
        <f t="shared" si="8"/>
        <v>0</v>
      </c>
      <c r="BJ89" s="196" t="str">
        <f t="shared" si="9"/>
        <v/>
      </c>
      <c r="BK89" s="196" t="str">
        <f t="shared" si="10"/>
        <v/>
      </c>
      <c r="BL89" s="295" t="str">
        <f t="shared" si="11"/>
        <v/>
      </c>
      <c r="BM89" s="91"/>
    </row>
    <row r="90" spans="1:65" s="196" customFormat="1" ht="47.25" customHeight="1" x14ac:dyDescent="0.25">
      <c r="A90" s="162" t="str">
        <f>IF(AND(Réputation&gt;Voies!E90-1,OR(C90=TRUE,Calculs!$I$8&gt;0),Air&gt;Voies!J90-1,Eau&gt;Voies!K90-1,Feu&gt;Voies!L90-1,Terre&gt;Voies!M90-1,Vide&gt;Voies!N90-1,Constitution&gt;Voies!O90-1,Volonté&gt;Voies!P90-1,Force&gt;Voies!Q90-1,Perception&gt;Voies!R90-1,Reflexes&gt;Voies!S90-1,Agilité&gt;Voies!T90-1,Intuition&gt;Voies!U90-1,Intelligence&gt;Voies!V90-1,Souillure&gt;Voies!W90-1,Honneur&gt;X90-1,Statut&gt;Y90-1,Gloire&gt;Z90-1,AV90=TRUE),Voies!B90,"")</f>
        <v/>
      </c>
      <c r="B90" s="162" t="s">
        <v>7080</v>
      </c>
      <c r="C90" s="162" t="b">
        <f>IF(Clan=Voies!D90,TRUE,FALSE)</f>
        <v>0</v>
      </c>
      <c r="D90" s="466" t="s">
        <v>6783</v>
      </c>
      <c r="E90" s="199">
        <v>3</v>
      </c>
      <c r="F90" s="199">
        <v>3</v>
      </c>
      <c r="G90" s="199" t="s">
        <v>2049</v>
      </c>
      <c r="H90" s="162" t="s">
        <v>6952</v>
      </c>
      <c r="I90" s="129" t="str">
        <f t="shared" si="13"/>
        <v>Rien</v>
      </c>
      <c r="J90" s="146">
        <v>0</v>
      </c>
      <c r="K90" s="147">
        <v>0</v>
      </c>
      <c r="L90" s="148">
        <v>0</v>
      </c>
      <c r="M90" s="149">
        <v>0</v>
      </c>
      <c r="N90" s="150">
        <v>0</v>
      </c>
      <c r="O90" s="130">
        <v>0</v>
      </c>
      <c r="P90" s="130">
        <v>0</v>
      </c>
      <c r="Q90" s="130">
        <v>0</v>
      </c>
      <c r="R90" s="130">
        <v>0</v>
      </c>
      <c r="S90" s="130">
        <v>0</v>
      </c>
      <c r="T90" s="130">
        <v>0</v>
      </c>
      <c r="U90" s="130">
        <v>0</v>
      </c>
      <c r="V90" s="524">
        <v>0</v>
      </c>
      <c r="W90" s="130">
        <v>0</v>
      </c>
      <c r="X90" s="130">
        <v>0</v>
      </c>
      <c r="Y90" s="130">
        <v>0</v>
      </c>
      <c r="Z90" s="130">
        <v>0</v>
      </c>
      <c r="AA90" s="158" t="s">
        <v>2078</v>
      </c>
      <c r="AB90" s="158"/>
      <c r="AC90" s="158"/>
      <c r="AD90" s="158"/>
      <c r="AE90" s="158" t="b">
        <f>IF(AB90="",TRUE,IF(IF(AC90="",VLOOKUP(AB90,Calculs!$A$19:$S$425,19,FALSE),VLOOKUP(AC90,Calculs!$A$19:$S$425,19,FALSE))&gt;=AD90,TRUE,FALSE))</f>
        <v>1</v>
      </c>
      <c r="AF90" s="158"/>
      <c r="AG90" s="158"/>
      <c r="AH90" s="158"/>
      <c r="AI90" s="158" t="b">
        <f>IF(AF90="",TRUE,IF(IF(AG90="",VLOOKUP(AF90,Calculs!$A$19:$S$425,19,FALSE),VLOOKUP(AG90,Calculs!$A$19:$S$425,19,FALSE))&gt;=AH90,TRUE,FALSE))</f>
        <v>1</v>
      </c>
      <c r="AJ90" s="158"/>
      <c r="AK90" s="158"/>
      <c r="AL90" s="158"/>
      <c r="AM90" s="158" t="b">
        <f>IF(AJ90="",TRUE,IF(IF(AK90="",VLOOKUP(AJ90,Calculs!$A$19:$S$425,19,FALSE),VLOOKUP(AK90,Calculs!$A$19:$S$425,19,FALSE))&gt;=AL90,TRUE,FALSE))</f>
        <v>1</v>
      </c>
      <c r="AN90" s="158"/>
      <c r="AO90" s="158"/>
      <c r="AP90" s="158"/>
      <c r="AQ90" s="158" t="b">
        <f>IF(AN90="",TRUE,IF(IF(AO90="",VLOOKUP(AN90,Calculs!$A$19:$S$425,19,FALSE),VLOOKUP(AO90,Calculs!$A$19:$S$425,19,FALSE))&gt;=AP90,TRUE,FALSE))</f>
        <v>1</v>
      </c>
      <c r="AR90" s="158"/>
      <c r="AS90" s="158" t="b">
        <f>IF(AR90="",TRUE,IF(VLOOKUP(AR90,Calculs!$A$427:$G$738,7,FALSE)&gt;0,TRUE,FALSE))</f>
        <v>1</v>
      </c>
      <c r="AT90" s="158"/>
      <c r="AU90" s="158" t="b">
        <f>IF(AT90="",TRUE,IF(VLOOKUP(AT90,Calculs!$A$740:$G$912,7,FALSE)&gt;0,TRUE,FALSE))</f>
        <v>1</v>
      </c>
      <c r="AV90" s="158" t="b">
        <f t="shared" si="7"/>
        <v>1</v>
      </c>
      <c r="AW90" s="158" t="s">
        <v>2078</v>
      </c>
      <c r="AX90" s="162" t="s">
        <v>6816</v>
      </c>
      <c r="AY90" s="15">
        <v>91</v>
      </c>
      <c r="AZ90" s="555" t="s">
        <v>7082</v>
      </c>
      <c r="BA90" s="559">
        <f>IF(Verso!$B$10=Voies!$B90,1,0)</f>
        <v>0</v>
      </c>
      <c r="BB90" s="12">
        <f>IF(Verso!$B$11=Voies!$B90,1,0)</f>
        <v>0</v>
      </c>
      <c r="BC90" s="12">
        <f>IF(Verso!$B$12=Voies!$B90,1,0)</f>
        <v>0</v>
      </c>
      <c r="BD90" s="12">
        <f>IF(Verso!$B$13=Voies!$B90,1,0)</f>
        <v>0</v>
      </c>
      <c r="BE90" s="12">
        <f>IF(Verso!$B$14=Voies!$B90,1,0)</f>
        <v>0</v>
      </c>
      <c r="BF90" s="12">
        <f>IF(Verso!$B$15=Voies!$B90,1,0)</f>
        <v>0</v>
      </c>
      <c r="BG90" s="12">
        <f>IF(Verso!$B$16=Voies!$B90,1,0)</f>
        <v>0</v>
      </c>
      <c r="BH90" s="12">
        <f>IF(Verso!$B$17=Voies!$B90,1,0)</f>
        <v>0</v>
      </c>
      <c r="BI90" s="557">
        <f t="shared" si="8"/>
        <v>0</v>
      </c>
      <c r="BJ90" s="196" t="str">
        <f t="shared" si="9"/>
        <v/>
      </c>
      <c r="BK90" s="196" t="str">
        <f t="shared" si="10"/>
        <v/>
      </c>
      <c r="BL90" s="295" t="str">
        <f t="shared" si="11"/>
        <v/>
      </c>
      <c r="BM90" s="91"/>
    </row>
    <row r="91" spans="1:65" s="196" customFormat="1" ht="47.25" customHeight="1" x14ac:dyDescent="0.25">
      <c r="A91" s="162" t="str">
        <f>IF(AND(Réputation&gt;Voies!E91-1,OR(C91=TRUE,Calculs!$I$8&gt;0),Air&gt;Voies!J91-1,Eau&gt;Voies!K91-1,Feu&gt;Voies!L91-1,Terre&gt;Voies!M91-1,Vide&gt;Voies!N91-1,Constitution&gt;Voies!O91-1,Volonté&gt;Voies!P91-1,Force&gt;Voies!Q91-1,Perception&gt;Voies!R91-1,Reflexes&gt;Voies!S91-1,Agilité&gt;Voies!T91-1,Intuition&gt;Voies!U91-1,Intelligence&gt;Voies!V91-1,Souillure&gt;Voies!W91-1,Honneur&gt;X91-1,Statut&gt;Y91-1,Gloire&gt;Z91-1,AV91=TRUE),Voies!B91,"")</f>
        <v/>
      </c>
      <c r="B91" s="162" t="s">
        <v>7081</v>
      </c>
      <c r="C91" s="162" t="b">
        <f>IF(Clan=Voies!D91,TRUE,FALSE)</f>
        <v>0</v>
      </c>
      <c r="D91" s="466" t="s">
        <v>6783</v>
      </c>
      <c r="E91" s="199">
        <v>4</v>
      </c>
      <c r="F91" s="199">
        <v>4</v>
      </c>
      <c r="G91" s="199" t="s">
        <v>2049</v>
      </c>
      <c r="H91" s="162" t="s">
        <v>6952</v>
      </c>
      <c r="I91" s="129" t="str">
        <f t="shared" si="13"/>
        <v>Rien</v>
      </c>
      <c r="J91" s="146">
        <v>0</v>
      </c>
      <c r="K91" s="147">
        <v>0</v>
      </c>
      <c r="L91" s="148">
        <v>0</v>
      </c>
      <c r="M91" s="149">
        <v>0</v>
      </c>
      <c r="N91" s="150">
        <v>0</v>
      </c>
      <c r="O91" s="130">
        <v>0</v>
      </c>
      <c r="P91" s="130">
        <v>0</v>
      </c>
      <c r="Q91" s="130">
        <v>0</v>
      </c>
      <c r="R91" s="130">
        <v>0</v>
      </c>
      <c r="S91" s="130">
        <v>0</v>
      </c>
      <c r="T91" s="130">
        <v>0</v>
      </c>
      <c r="U91" s="130">
        <v>0</v>
      </c>
      <c r="V91" s="524">
        <v>0</v>
      </c>
      <c r="W91" s="130">
        <v>0</v>
      </c>
      <c r="X91" s="130">
        <v>0</v>
      </c>
      <c r="Y91" s="130">
        <v>0</v>
      </c>
      <c r="Z91" s="130">
        <v>0</v>
      </c>
      <c r="AA91" s="158" t="s">
        <v>2078</v>
      </c>
      <c r="AB91" s="158"/>
      <c r="AC91" s="158"/>
      <c r="AD91" s="158"/>
      <c r="AE91" s="158" t="b">
        <f>IF(AB91="",TRUE,IF(IF(AC91="",VLOOKUP(AB91,Calculs!$A$19:$S$425,19,FALSE),VLOOKUP(AC91,Calculs!$A$19:$S$425,19,FALSE))&gt;=AD91,TRUE,FALSE))</f>
        <v>1</v>
      </c>
      <c r="AF91" s="158"/>
      <c r="AG91" s="158"/>
      <c r="AH91" s="158"/>
      <c r="AI91" s="158" t="b">
        <f>IF(AF91="",TRUE,IF(IF(AG91="",VLOOKUP(AF91,Calculs!$A$19:$S$425,19,FALSE),VLOOKUP(AG91,Calculs!$A$19:$S$425,19,FALSE))&gt;=AH91,TRUE,FALSE))</f>
        <v>1</v>
      </c>
      <c r="AJ91" s="158"/>
      <c r="AK91" s="158"/>
      <c r="AL91" s="158"/>
      <c r="AM91" s="158" t="b">
        <f>IF(AJ91="",TRUE,IF(IF(AK91="",VLOOKUP(AJ91,Calculs!$A$19:$S$425,19,FALSE),VLOOKUP(AK91,Calculs!$A$19:$S$425,19,FALSE))&gt;=AL91,TRUE,FALSE))</f>
        <v>1</v>
      </c>
      <c r="AN91" s="158"/>
      <c r="AO91" s="158"/>
      <c r="AP91" s="158"/>
      <c r="AQ91" s="158" t="b">
        <f>IF(AN91="",TRUE,IF(IF(AO91="",VLOOKUP(AN91,Calculs!$A$19:$S$425,19,FALSE),VLOOKUP(AO91,Calculs!$A$19:$S$425,19,FALSE))&gt;=AP91,TRUE,FALSE))</f>
        <v>1</v>
      </c>
      <c r="AR91" s="158"/>
      <c r="AS91" s="158" t="b">
        <f>IF(AR91="",TRUE,IF(VLOOKUP(AR91,Calculs!$A$427:$G$738,7,FALSE)&gt;0,TRUE,FALSE))</f>
        <v>1</v>
      </c>
      <c r="AT91" s="158"/>
      <c r="AU91" s="158" t="b">
        <f>IF(AT91="",TRUE,IF(VLOOKUP(AT91,Calculs!$A$740:$G$912,7,FALSE)&gt;0,TRUE,FALSE))</f>
        <v>1</v>
      </c>
      <c r="AV91" s="158" t="b">
        <f t="shared" si="7"/>
        <v>1</v>
      </c>
      <c r="AW91" s="158" t="s">
        <v>2078</v>
      </c>
      <c r="AX91" s="162" t="s">
        <v>6816</v>
      </c>
      <c r="AY91" s="15">
        <v>91</v>
      </c>
      <c r="AZ91" s="555" t="str">
        <f>CONCATENATE("Votre niveau de blessure Hors de Combat est maintenant égal à ",Terre*5,". Ce bonus s'ajoute à la technique de rang 1.")</f>
        <v>Votre niveau de blessure Hors de Combat est maintenant égal à 10. Ce bonus s'ajoute à la technique de rang 1.</v>
      </c>
      <c r="BA91" s="559">
        <f>IF(Verso!$B$10=Voies!$B91,1,0)</f>
        <v>0</v>
      </c>
      <c r="BB91" s="12">
        <f>IF(Verso!$B$11=Voies!$B91,1,0)</f>
        <v>0</v>
      </c>
      <c r="BC91" s="12">
        <f>IF(Verso!$B$12=Voies!$B91,1,0)</f>
        <v>0</v>
      </c>
      <c r="BD91" s="12">
        <f>IF(Verso!$B$13=Voies!$B91,1,0)</f>
        <v>0</v>
      </c>
      <c r="BE91" s="12">
        <f>IF(Verso!$B$14=Voies!$B91,1,0)</f>
        <v>0</v>
      </c>
      <c r="BF91" s="12">
        <f>IF(Verso!$B$15=Voies!$B91,1,0)</f>
        <v>0</v>
      </c>
      <c r="BG91" s="12">
        <f>IF(Verso!$B$16=Voies!$B91,1,0)</f>
        <v>0</v>
      </c>
      <c r="BH91" s="12">
        <f>IF(Verso!$B$17=Voies!$B91,1,0)</f>
        <v>0</v>
      </c>
      <c r="BI91" s="557">
        <f t="shared" si="8"/>
        <v>0</v>
      </c>
      <c r="BJ91" s="196" t="str">
        <f t="shared" si="9"/>
        <v/>
      </c>
      <c r="BK91" s="196" t="str">
        <f t="shared" si="10"/>
        <v/>
      </c>
      <c r="BL91" s="295" t="str">
        <f t="shared" si="11"/>
        <v/>
      </c>
      <c r="BM91" s="91"/>
    </row>
    <row r="92" spans="1:65" ht="47.25" customHeight="1" x14ac:dyDescent="0.25">
      <c r="A92" s="162" t="str">
        <f>IF(AND(Réputation&gt;Voies!E92-1,OR(C92=TRUE,Calculs!$I$8&gt;0),Air&gt;Voies!J92-1,Eau&gt;Voies!K92-1,Feu&gt;Voies!L92-1,Terre&gt;Voies!M92-1,Vide&gt;Voies!N92-1,Constitution&gt;Voies!O92-1,Volonté&gt;Voies!P92-1,Force&gt;Voies!Q92-1,Perception&gt;Voies!R92-1,Reflexes&gt;Voies!S92-1,Agilité&gt;Voies!T92-1,Intuition&gt;Voies!U92-1,Intelligence&gt;Voies!V92-1,Souillure&gt;Voies!W92-1,Honneur&gt;X92-1,Statut&gt;Y92-1,Gloire&gt;Z92-1,AV92=TRUE),Voies!B92,"")</f>
        <v/>
      </c>
      <c r="B92" s="162" t="s">
        <v>8470</v>
      </c>
      <c r="C92" s="162" t="b">
        <f>IF(Clan=Voies!D92,TRUE,FALSE)</f>
        <v>0</v>
      </c>
      <c r="D92" s="466" t="s">
        <v>6783</v>
      </c>
      <c r="E92" s="13">
        <v>5</v>
      </c>
      <c r="F92" s="199">
        <v>5</v>
      </c>
      <c r="G92" s="13" t="s">
        <v>2049</v>
      </c>
      <c r="H92" s="162" t="s">
        <v>6952</v>
      </c>
      <c r="I92" s="129" t="str">
        <f t="shared" si="13"/>
        <v>Rien</v>
      </c>
      <c r="J92" s="146">
        <v>0</v>
      </c>
      <c r="K92" s="147">
        <v>0</v>
      </c>
      <c r="L92" s="148">
        <v>0</v>
      </c>
      <c r="M92" s="149">
        <v>0</v>
      </c>
      <c r="N92" s="150">
        <v>0</v>
      </c>
      <c r="O92" s="130">
        <v>0</v>
      </c>
      <c r="P92" s="130">
        <v>0</v>
      </c>
      <c r="Q92" s="130">
        <v>0</v>
      </c>
      <c r="R92" s="130">
        <v>0</v>
      </c>
      <c r="S92" s="130">
        <v>0</v>
      </c>
      <c r="T92" s="130">
        <v>0</v>
      </c>
      <c r="U92" s="130">
        <v>0</v>
      </c>
      <c r="V92" s="524">
        <v>0</v>
      </c>
      <c r="W92" s="130">
        <v>0</v>
      </c>
      <c r="X92" s="130">
        <v>0</v>
      </c>
      <c r="Y92" s="130">
        <v>0</v>
      </c>
      <c r="Z92" s="130">
        <v>0</v>
      </c>
      <c r="AA92" s="158" t="s">
        <v>2078</v>
      </c>
      <c r="AB92" s="158"/>
      <c r="AC92" s="158"/>
      <c r="AD92" s="158"/>
      <c r="AE92" s="158" t="b">
        <f>IF(AB92="",TRUE,IF(IF(AC92="",VLOOKUP(AB92,Calculs!$A$19:$S$425,19,FALSE),VLOOKUP(AC92,Calculs!$A$19:$S$425,19,FALSE))&gt;=AD92,TRUE,FALSE))</f>
        <v>1</v>
      </c>
      <c r="AF92" s="158"/>
      <c r="AG92" s="158"/>
      <c r="AH92" s="158"/>
      <c r="AI92" s="158" t="b">
        <f>IF(AF92="",TRUE,IF(IF(AG92="",VLOOKUP(AF92,Calculs!$A$19:$S$425,19,FALSE),VLOOKUP(AG92,Calculs!$A$19:$S$425,19,FALSE))&gt;=AH92,TRUE,FALSE))</f>
        <v>1</v>
      </c>
      <c r="AJ92" s="158"/>
      <c r="AK92" s="158"/>
      <c r="AL92" s="158"/>
      <c r="AM92" s="158" t="b">
        <f>IF(AJ92="",TRUE,IF(IF(AK92="",VLOOKUP(AJ92,Calculs!$A$19:$S$425,19,FALSE),VLOOKUP(AK92,Calculs!$A$19:$S$425,19,FALSE))&gt;=AL92,TRUE,FALSE))</f>
        <v>1</v>
      </c>
      <c r="AN92" s="158"/>
      <c r="AO92" s="158"/>
      <c r="AP92" s="158"/>
      <c r="AQ92" s="158" t="b">
        <f>IF(AN92="",TRUE,IF(IF(AO92="",VLOOKUP(AN92,Calculs!$A$19:$S$425,19,FALSE),VLOOKUP(AO92,Calculs!$A$19:$S$425,19,FALSE))&gt;=AP92,TRUE,FALSE))</f>
        <v>1</v>
      </c>
      <c r="AR92" s="158"/>
      <c r="AS92" s="158" t="b">
        <f>IF(AR92="",TRUE,IF(VLOOKUP(AR92,Calculs!$A$427:$G$738,7,FALSE)&gt;0,TRUE,FALSE))</f>
        <v>1</v>
      </c>
      <c r="AT92" s="158"/>
      <c r="AU92" s="158" t="b">
        <f>IF(AT92="",TRUE,IF(VLOOKUP(AT92,Calculs!$A$740:$G$912,7,FALSE)&gt;0,TRUE,FALSE))</f>
        <v>1</v>
      </c>
      <c r="AV92" s="158" t="b">
        <f t="shared" si="7"/>
        <v>1</v>
      </c>
      <c r="AW92" s="158" t="s">
        <v>2078</v>
      </c>
      <c r="AX92" s="162" t="s">
        <v>6816</v>
      </c>
      <c r="AY92" s="15">
        <v>91</v>
      </c>
      <c r="AZ92" s="555" t="str">
        <f>CONCATENATE("Dépensez un Pvide: Ignorez jusqu'à ",5+Terre*5," blessures OU Dépensez un Pvide: Ignorez vos malus de blessures pendant 2 rounds.")</f>
        <v>Dépensez un Pvide: Ignorez jusqu'à 15 blessures OU Dépensez un Pvide: Ignorez vos malus de blessures pendant 2 rounds.</v>
      </c>
      <c r="BA92" s="559">
        <f>IF(Verso!$B$10=Voies!$B92,1,0)</f>
        <v>0</v>
      </c>
      <c r="BB92" s="12">
        <f>IF(Verso!$B$11=Voies!$B92,1,0)</f>
        <v>0</v>
      </c>
      <c r="BC92" s="12">
        <f>IF(Verso!$B$12=Voies!$B92,1,0)</f>
        <v>0</v>
      </c>
      <c r="BD92" s="12">
        <f>IF(Verso!$B$13=Voies!$B92,1,0)</f>
        <v>0</v>
      </c>
      <c r="BE92" s="12">
        <f>IF(Verso!$B$14=Voies!$B92,1,0)</f>
        <v>0</v>
      </c>
      <c r="BF92" s="12">
        <f>IF(Verso!$B$15=Voies!$B92,1,0)</f>
        <v>0</v>
      </c>
      <c r="BG92" s="12">
        <f>IF(Verso!$B$16=Voies!$B92,1,0)</f>
        <v>0</v>
      </c>
      <c r="BH92" s="12">
        <f>IF(Verso!$B$17=Voies!$B92,1,0)</f>
        <v>0</v>
      </c>
      <c r="BI92" s="557">
        <f t="shared" si="8"/>
        <v>0</v>
      </c>
      <c r="BJ92" s="196" t="str">
        <f t="shared" si="9"/>
        <v/>
      </c>
      <c r="BK92" s="196" t="str">
        <f t="shared" si="10"/>
        <v/>
      </c>
      <c r="BL92" s="295" t="str">
        <f t="shared" si="11"/>
        <v/>
      </c>
    </row>
    <row r="93" spans="1:65" s="196" customFormat="1" ht="47.25" customHeight="1" x14ac:dyDescent="0.25">
      <c r="A93" s="162" t="str">
        <f>IF(AND(Réputation&gt;Voies!E93-1,OR(C93=TRUE,Calculs!$I$8&gt;0),Air&gt;Voies!J93-1,Eau&gt;Voies!K93-1,Feu&gt;Voies!L93-1,Terre&gt;Voies!M93-1,Vide&gt;Voies!N93-1,Constitution&gt;Voies!O93-1,Volonté&gt;Voies!P93-1,Force&gt;Voies!Q93-1,Perception&gt;Voies!R93-1,Reflexes&gt;Voies!S93-1,Agilité&gt;Voies!T93-1,Intuition&gt;Voies!U93-1,Intelligence&gt;Voies!V93-1,Souillure&gt;Voies!W93-1,Honneur&gt;X93-1,Statut&gt;Y93-1,Gloire&gt;Z93-1,AV93=TRUE),Voies!B93,"")</f>
        <v/>
      </c>
      <c r="B93" s="162" t="s">
        <v>7741</v>
      </c>
      <c r="C93" s="162" t="b">
        <f>IF(Clan=Voies!D93,TRUE,FALSE)</f>
        <v>0</v>
      </c>
      <c r="D93" s="388" t="s">
        <v>7727</v>
      </c>
      <c r="E93" s="199">
        <v>1</v>
      </c>
      <c r="F93" s="199">
        <v>1</v>
      </c>
      <c r="G93" s="199" t="s">
        <v>2048</v>
      </c>
      <c r="H93" s="162" t="s">
        <v>7737</v>
      </c>
      <c r="I93" s="129" t="str">
        <f t="shared" si="13"/>
        <v>Rien</v>
      </c>
      <c r="J93" s="146">
        <v>0</v>
      </c>
      <c r="K93" s="147">
        <v>0</v>
      </c>
      <c r="L93" s="148">
        <v>0</v>
      </c>
      <c r="M93" s="149">
        <v>0</v>
      </c>
      <c r="N93" s="150">
        <v>0</v>
      </c>
      <c r="O93" s="130">
        <v>0</v>
      </c>
      <c r="P93" s="130">
        <v>0</v>
      </c>
      <c r="Q93" s="130">
        <v>0</v>
      </c>
      <c r="R93" s="130">
        <v>0</v>
      </c>
      <c r="S93" s="130">
        <v>0</v>
      </c>
      <c r="T93" s="130">
        <v>0</v>
      </c>
      <c r="U93" s="130">
        <v>0</v>
      </c>
      <c r="V93" s="524">
        <v>0</v>
      </c>
      <c r="W93" s="130">
        <v>0</v>
      </c>
      <c r="X93" s="130">
        <v>0</v>
      </c>
      <c r="Y93" s="130">
        <v>0</v>
      </c>
      <c r="Z93" s="130">
        <v>0</v>
      </c>
      <c r="AA93" s="158" t="s">
        <v>2078</v>
      </c>
      <c r="AB93" s="158"/>
      <c r="AC93" s="158"/>
      <c r="AD93" s="158"/>
      <c r="AE93" s="158" t="b">
        <f>IF(AB93="",TRUE,IF(IF(AC93="",VLOOKUP(AB93,Calculs!$A$19:$S$425,19,FALSE),VLOOKUP(AC93,Calculs!$A$19:$S$425,19,FALSE))&gt;=AD93,TRUE,FALSE))</f>
        <v>1</v>
      </c>
      <c r="AF93" s="158"/>
      <c r="AG93" s="158"/>
      <c r="AH93" s="158"/>
      <c r="AI93" s="158" t="b">
        <f>IF(AF93="",TRUE,IF(IF(AG93="",VLOOKUP(AF93,Calculs!$A$19:$S$425,19,FALSE),VLOOKUP(AG93,Calculs!$A$19:$S$425,19,FALSE))&gt;=AH93,TRUE,FALSE))</f>
        <v>1</v>
      </c>
      <c r="AJ93" s="158"/>
      <c r="AK93" s="158"/>
      <c r="AL93" s="158"/>
      <c r="AM93" s="158" t="b">
        <f>IF(AJ93="",TRUE,IF(IF(AK93="",VLOOKUP(AJ93,Calculs!$A$19:$S$425,19,FALSE),VLOOKUP(AK93,Calculs!$A$19:$S$425,19,FALSE))&gt;=AL93,TRUE,FALSE))</f>
        <v>1</v>
      </c>
      <c r="AN93" s="158"/>
      <c r="AO93" s="158"/>
      <c r="AP93" s="158"/>
      <c r="AQ93" s="158" t="b">
        <f>IF(AN93="",TRUE,IF(IF(AO93="",VLOOKUP(AN93,Calculs!$A$19:$S$425,19,FALSE),VLOOKUP(AO93,Calculs!$A$19:$S$425,19,FALSE))&gt;=AP93,TRUE,FALSE))</f>
        <v>1</v>
      </c>
      <c r="AR93" s="158"/>
      <c r="AS93" s="158" t="b">
        <f>IF(AR93="",TRUE,IF(VLOOKUP(AR93,Calculs!$A$427:$G$738,7,FALSE)&gt;0,TRUE,FALSE))</f>
        <v>1</v>
      </c>
      <c r="AT93" s="158"/>
      <c r="AU93" s="158" t="b">
        <f>IF(AT93="",TRUE,IF(VLOOKUP(AT93,Calculs!$A$740:$G$912,7,FALSE)&gt;0,TRUE,FALSE))</f>
        <v>1</v>
      </c>
      <c r="AV93" s="158" t="b">
        <f t="shared" si="7"/>
        <v>1</v>
      </c>
      <c r="AW93" s="158" t="s">
        <v>2078</v>
      </c>
      <c r="AX93" s="162" t="s">
        <v>7226</v>
      </c>
      <c r="AY93" s="15">
        <v>63</v>
      </c>
      <c r="AZ93" s="555" t="s">
        <v>7742</v>
      </c>
      <c r="BA93" s="559">
        <f>IF(Verso!$B$10=Voies!$B93,1,0)</f>
        <v>0</v>
      </c>
      <c r="BB93" s="12">
        <f>IF(Verso!$B$11=Voies!$B93,1,0)</f>
        <v>0</v>
      </c>
      <c r="BC93" s="12">
        <f>IF(Verso!$B$12=Voies!$B93,1,0)</f>
        <v>0</v>
      </c>
      <c r="BD93" s="12">
        <f>IF(Verso!$B$13=Voies!$B93,1,0)</f>
        <v>0</v>
      </c>
      <c r="BE93" s="12">
        <f>IF(Verso!$B$14=Voies!$B93,1,0)</f>
        <v>0</v>
      </c>
      <c r="BF93" s="12">
        <f>IF(Verso!$B$15=Voies!$B93,1,0)</f>
        <v>0</v>
      </c>
      <c r="BG93" s="12">
        <f>IF(Verso!$B$16=Voies!$B93,1,0)</f>
        <v>0</v>
      </c>
      <c r="BH93" s="12">
        <f>IF(Verso!$B$17=Voies!$B93,1,0)</f>
        <v>0</v>
      </c>
      <c r="BI93" s="557">
        <f t="shared" si="8"/>
        <v>0</v>
      </c>
      <c r="BJ93" s="196" t="str">
        <f t="shared" si="9"/>
        <v/>
      </c>
      <c r="BK93" s="196" t="str">
        <f t="shared" si="10"/>
        <v/>
      </c>
      <c r="BL93" s="295" t="str">
        <f t="shared" si="11"/>
        <v/>
      </c>
      <c r="BM93" s="91"/>
    </row>
    <row r="94" spans="1:65" s="196" customFormat="1" ht="47.25" customHeight="1" x14ac:dyDescent="0.25">
      <c r="A94" s="162" t="str">
        <f>IF(AND(Réputation&gt;Voies!E94-1,OR(C94=TRUE,Calculs!$I$8&gt;0),Air&gt;Voies!J94-1,Eau&gt;Voies!K94-1,Feu&gt;Voies!L94-1,Terre&gt;Voies!M94-1,Vide&gt;Voies!N94-1,Constitution&gt;Voies!O94-1,Volonté&gt;Voies!P94-1,Force&gt;Voies!Q94-1,Perception&gt;Voies!R94-1,Reflexes&gt;Voies!S94-1,Agilité&gt;Voies!T94-1,Intuition&gt;Voies!U94-1,Intelligence&gt;Voies!V94-1,Souillure&gt;Voies!W94-1,Honneur&gt;X94-1,Statut&gt;Y94-1,Gloire&gt;Z94-1,AV94=TRUE),Voies!B94,"")</f>
        <v/>
      </c>
      <c r="B94" s="162" t="s">
        <v>6903</v>
      </c>
      <c r="C94" s="162" t="b">
        <f>IF(Clan=Voies!D94,TRUE,FALSE)</f>
        <v>0</v>
      </c>
      <c r="D94" s="466" t="s">
        <v>6757</v>
      </c>
      <c r="E94" s="199">
        <v>1</v>
      </c>
      <c r="F94" s="199">
        <v>1</v>
      </c>
      <c r="G94" s="199" t="s">
        <v>2049</v>
      </c>
      <c r="H94" s="162" t="s">
        <v>6845</v>
      </c>
      <c r="I94" s="129" t="str">
        <f t="shared" si="13"/>
        <v>Rien</v>
      </c>
      <c r="J94" s="146">
        <v>0</v>
      </c>
      <c r="K94" s="147">
        <v>0</v>
      </c>
      <c r="L94" s="148">
        <v>0</v>
      </c>
      <c r="M94" s="149">
        <v>0</v>
      </c>
      <c r="N94" s="150">
        <v>0</v>
      </c>
      <c r="O94" s="130">
        <v>0</v>
      </c>
      <c r="P94" s="130">
        <v>0</v>
      </c>
      <c r="Q94" s="130">
        <v>0</v>
      </c>
      <c r="R94" s="130">
        <v>0</v>
      </c>
      <c r="S94" s="130">
        <v>0</v>
      </c>
      <c r="T94" s="130">
        <v>0</v>
      </c>
      <c r="U94" s="130">
        <v>0</v>
      </c>
      <c r="V94" s="524">
        <v>0</v>
      </c>
      <c r="W94" s="130">
        <v>0</v>
      </c>
      <c r="X94" s="130">
        <v>0</v>
      </c>
      <c r="Y94" s="130">
        <v>0</v>
      </c>
      <c r="Z94" s="130">
        <v>0</v>
      </c>
      <c r="AA94" s="158" t="s">
        <v>2078</v>
      </c>
      <c r="AB94" s="158"/>
      <c r="AC94" s="158"/>
      <c r="AD94" s="158"/>
      <c r="AE94" s="158" t="b">
        <f>IF(AB94="",TRUE,IF(IF(AC94="",VLOOKUP(AB94,Calculs!$A$19:$S$425,19,FALSE),VLOOKUP(AC94,Calculs!$A$19:$S$425,19,FALSE))&gt;=AD94,TRUE,FALSE))</f>
        <v>1</v>
      </c>
      <c r="AF94" s="158"/>
      <c r="AG94" s="158"/>
      <c r="AH94" s="158"/>
      <c r="AI94" s="158" t="b">
        <f>IF(AF94="",TRUE,IF(IF(AG94="",VLOOKUP(AF94,Calculs!$A$19:$S$425,19,FALSE),VLOOKUP(AG94,Calculs!$A$19:$S$425,19,FALSE))&gt;=AH94,TRUE,FALSE))</f>
        <v>1</v>
      </c>
      <c r="AJ94" s="158"/>
      <c r="AK94" s="158"/>
      <c r="AL94" s="158"/>
      <c r="AM94" s="158" t="b">
        <f>IF(AJ94="",TRUE,IF(IF(AK94="",VLOOKUP(AJ94,Calculs!$A$19:$S$425,19,FALSE),VLOOKUP(AK94,Calculs!$A$19:$S$425,19,FALSE))&gt;=AL94,TRUE,FALSE))</f>
        <v>1</v>
      </c>
      <c r="AN94" s="158"/>
      <c r="AO94" s="158"/>
      <c r="AP94" s="158"/>
      <c r="AQ94" s="158" t="b">
        <f>IF(AN94="",TRUE,IF(IF(AO94="",VLOOKUP(AN94,Calculs!$A$19:$S$425,19,FALSE),VLOOKUP(AO94,Calculs!$A$19:$S$425,19,FALSE))&gt;=AP94,TRUE,FALSE))</f>
        <v>1</v>
      </c>
      <c r="AR94" s="158"/>
      <c r="AS94" s="158" t="b">
        <f>IF(AR94="",TRUE,IF(VLOOKUP(AR94,Calculs!$A$427:$G$738,7,FALSE)&gt;0,TRUE,FALSE))</f>
        <v>1</v>
      </c>
      <c r="AT94" s="158"/>
      <c r="AU94" s="158" t="b">
        <f>IF(AT94="",TRUE,IF(VLOOKUP(AT94,Calculs!$A$740:$G$912,7,FALSE)&gt;0,TRUE,FALSE))</f>
        <v>1</v>
      </c>
      <c r="AV94" s="158" t="b">
        <f t="shared" si="7"/>
        <v>1</v>
      </c>
      <c r="AW94" s="158" t="s">
        <v>2078</v>
      </c>
      <c r="AX94" s="162" t="s">
        <v>6816</v>
      </c>
      <c r="AY94" s="15">
        <v>15</v>
      </c>
      <c r="AZ94" s="555" t="s">
        <v>6908</v>
      </c>
      <c r="BA94" s="559">
        <f>IF(Verso!$B$10=Voies!$B94,1,0)</f>
        <v>0</v>
      </c>
      <c r="BB94" s="12">
        <f>IF(Verso!$B$11=Voies!$B94,1,0)</f>
        <v>0</v>
      </c>
      <c r="BC94" s="12">
        <f>IF(Verso!$B$12=Voies!$B94,1,0)</f>
        <v>0</v>
      </c>
      <c r="BD94" s="12">
        <f>IF(Verso!$B$13=Voies!$B94,1,0)</f>
        <v>0</v>
      </c>
      <c r="BE94" s="12">
        <f>IF(Verso!$B$14=Voies!$B94,1,0)</f>
        <v>0</v>
      </c>
      <c r="BF94" s="12">
        <f>IF(Verso!$B$15=Voies!$B94,1,0)</f>
        <v>0</v>
      </c>
      <c r="BG94" s="12">
        <f>IF(Verso!$B$16=Voies!$B94,1,0)</f>
        <v>0</v>
      </c>
      <c r="BH94" s="12">
        <f>IF(Verso!$B$17=Voies!$B94,1,0)</f>
        <v>0</v>
      </c>
      <c r="BI94" s="557">
        <f t="shared" si="8"/>
        <v>0</v>
      </c>
      <c r="BJ94" s="196" t="str">
        <f t="shared" si="9"/>
        <v/>
      </c>
      <c r="BK94" s="196" t="str">
        <f t="shared" si="10"/>
        <v/>
      </c>
      <c r="BL94" s="295" t="str">
        <f t="shared" si="11"/>
        <v/>
      </c>
      <c r="BM94" s="91"/>
    </row>
    <row r="95" spans="1:65" s="196" customFormat="1" ht="47.25" customHeight="1" x14ac:dyDescent="0.25">
      <c r="A95" s="162" t="str">
        <f>IF(AND(Réputation&gt;Voies!E95-1,OR(C95=TRUE,Calculs!$I$8&gt;0),Air&gt;Voies!J95-1,Eau&gt;Voies!K95-1,Feu&gt;Voies!L95-1,Terre&gt;Voies!M95-1,Vide&gt;Voies!N95-1,Constitution&gt;Voies!O95-1,Volonté&gt;Voies!P95-1,Force&gt;Voies!Q95-1,Perception&gt;Voies!R95-1,Reflexes&gt;Voies!S95-1,Agilité&gt;Voies!T95-1,Intuition&gt;Voies!U95-1,Intelligence&gt;Voies!V95-1,Souillure&gt;Voies!W95-1,Honneur&gt;X95-1,Statut&gt;Y95-1,Gloire&gt;Z95-1,AV95=TRUE),Voies!B95,"")</f>
        <v/>
      </c>
      <c r="B95" s="162" t="s">
        <v>8471</v>
      </c>
      <c r="C95" s="162" t="b">
        <f>IF(Clan=Voies!D95,TRUE,FALSE)</f>
        <v>0</v>
      </c>
      <c r="D95" s="466" t="s">
        <v>6757</v>
      </c>
      <c r="E95" s="199">
        <v>1</v>
      </c>
      <c r="F95" s="199">
        <v>1</v>
      </c>
      <c r="G95" s="199" t="s">
        <v>2049</v>
      </c>
      <c r="H95" s="162" t="s">
        <v>6902</v>
      </c>
      <c r="I95" s="129" t="str">
        <f t="shared" si="13"/>
        <v>Rien</v>
      </c>
      <c r="J95" s="146">
        <v>0</v>
      </c>
      <c r="K95" s="147">
        <v>0</v>
      </c>
      <c r="L95" s="148">
        <v>0</v>
      </c>
      <c r="M95" s="149">
        <v>0</v>
      </c>
      <c r="N95" s="150">
        <v>0</v>
      </c>
      <c r="O95" s="130">
        <v>0</v>
      </c>
      <c r="P95" s="130">
        <v>0</v>
      </c>
      <c r="Q95" s="130">
        <v>0</v>
      </c>
      <c r="R95" s="130">
        <v>0</v>
      </c>
      <c r="S95" s="130">
        <v>0</v>
      </c>
      <c r="T95" s="130">
        <v>0</v>
      </c>
      <c r="U95" s="130">
        <v>0</v>
      </c>
      <c r="V95" s="524">
        <v>0</v>
      </c>
      <c r="W95" s="130">
        <v>0</v>
      </c>
      <c r="X95" s="130">
        <v>0</v>
      </c>
      <c r="Y95" s="130">
        <v>0</v>
      </c>
      <c r="Z95" s="130">
        <v>0</v>
      </c>
      <c r="AA95" s="158" t="s">
        <v>2078</v>
      </c>
      <c r="AB95" s="158"/>
      <c r="AC95" s="158"/>
      <c r="AD95" s="158"/>
      <c r="AE95" s="158" t="b">
        <f>IF(AB95="",TRUE,IF(IF(AC95="",VLOOKUP(AB95,Calculs!$A$19:$S$425,19,FALSE),VLOOKUP(AC95,Calculs!$A$19:$S$425,19,FALSE))&gt;=AD95,TRUE,FALSE))</f>
        <v>1</v>
      </c>
      <c r="AF95" s="158"/>
      <c r="AG95" s="158"/>
      <c r="AH95" s="158"/>
      <c r="AI95" s="158" t="b">
        <f>IF(AF95="",TRUE,IF(IF(AG95="",VLOOKUP(AF95,Calculs!$A$19:$S$425,19,FALSE),VLOOKUP(AG95,Calculs!$A$19:$S$425,19,FALSE))&gt;=AH95,TRUE,FALSE))</f>
        <v>1</v>
      </c>
      <c r="AJ95" s="158"/>
      <c r="AK95" s="158"/>
      <c r="AL95" s="158"/>
      <c r="AM95" s="158" t="b">
        <f>IF(AJ95="",TRUE,IF(IF(AK95="",VLOOKUP(AJ95,Calculs!$A$19:$S$425,19,FALSE),VLOOKUP(AK95,Calculs!$A$19:$S$425,19,FALSE))&gt;=AL95,TRUE,FALSE))</f>
        <v>1</v>
      </c>
      <c r="AN95" s="158"/>
      <c r="AO95" s="158"/>
      <c r="AP95" s="158"/>
      <c r="AQ95" s="158" t="b">
        <f>IF(AN95="",TRUE,IF(IF(AO95="",VLOOKUP(AN95,Calculs!$A$19:$S$425,19,FALSE),VLOOKUP(AO95,Calculs!$A$19:$S$425,19,FALSE))&gt;=AP95,TRUE,FALSE))</f>
        <v>1</v>
      </c>
      <c r="AR95" s="158"/>
      <c r="AS95" s="158" t="b">
        <f>IF(AR95="",TRUE,IF(VLOOKUP(AR95,Calculs!$A$427:$G$738,7,FALSE)&gt;0,TRUE,FALSE))</f>
        <v>1</v>
      </c>
      <c r="AT95" s="158"/>
      <c r="AU95" s="158" t="b">
        <f>IF(AT95="",TRUE,IF(VLOOKUP(AT95,Calculs!$A$740:$G$912,7,FALSE)&gt;0,TRUE,FALSE))</f>
        <v>1</v>
      </c>
      <c r="AV95" s="158" t="b">
        <f t="shared" si="7"/>
        <v>1</v>
      </c>
      <c r="AW95" s="158" t="s">
        <v>2078</v>
      </c>
      <c r="AX95" s="162" t="s">
        <v>6816</v>
      </c>
      <c r="AY95" s="15">
        <v>16</v>
      </c>
      <c r="AZ95" s="555" t="s">
        <v>6915</v>
      </c>
      <c r="BA95" s="559">
        <f>IF(Verso!$B$10=Voies!$B95,1,0)</f>
        <v>0</v>
      </c>
      <c r="BB95" s="12">
        <f>IF(Verso!$B$11=Voies!$B95,1,0)</f>
        <v>0</v>
      </c>
      <c r="BC95" s="12">
        <f>IF(Verso!$B$12=Voies!$B95,1,0)</f>
        <v>0</v>
      </c>
      <c r="BD95" s="12">
        <f>IF(Verso!$B$13=Voies!$B95,1,0)</f>
        <v>0</v>
      </c>
      <c r="BE95" s="12">
        <f>IF(Verso!$B$14=Voies!$B95,1,0)</f>
        <v>0</v>
      </c>
      <c r="BF95" s="12">
        <f>IF(Verso!$B$15=Voies!$B95,1,0)</f>
        <v>0</v>
      </c>
      <c r="BG95" s="12">
        <f>IF(Verso!$B$16=Voies!$B95,1,0)</f>
        <v>0</v>
      </c>
      <c r="BH95" s="12">
        <f>IF(Verso!$B$17=Voies!$B95,1,0)</f>
        <v>0</v>
      </c>
      <c r="BI95" s="557">
        <f t="shared" si="8"/>
        <v>0</v>
      </c>
      <c r="BJ95" s="196" t="str">
        <f t="shared" si="9"/>
        <v/>
      </c>
      <c r="BK95" s="196" t="str">
        <f t="shared" si="10"/>
        <v/>
      </c>
      <c r="BL95" s="295" t="str">
        <f t="shared" si="11"/>
        <v/>
      </c>
      <c r="BM95" s="91"/>
    </row>
    <row r="96" spans="1:65" s="196" customFormat="1" ht="47.25" customHeight="1" x14ac:dyDescent="0.25">
      <c r="A96" s="162" t="str">
        <f>IF(AND(Réputation&gt;Voies!E96-1,OR(C96=TRUE,Calculs!$I$8&gt;0),Air&gt;Voies!J96-1,Eau&gt;Voies!K96-1,Feu&gt;Voies!L96-1,Terre&gt;Voies!M96-1,Vide&gt;Voies!N96-1,Constitution&gt;Voies!O96-1,Volonté&gt;Voies!P96-1,Force&gt;Voies!Q96-1,Perception&gt;Voies!R96-1,Reflexes&gt;Voies!S96-1,Agilité&gt;Voies!T96-1,Intuition&gt;Voies!U96-1,Intelligence&gt;Voies!V96-1,Souillure&gt;Voies!W96-1,Honneur&gt;X96-1,Statut&gt;Y96-1,Gloire&gt;Z96-1,AV96=TRUE),Voies!B96,"")</f>
        <v/>
      </c>
      <c r="B96" s="162" t="s">
        <v>7838</v>
      </c>
      <c r="C96" s="162" t="b">
        <f>IF(Clan=Voies!D96,TRUE,FALSE)</f>
        <v>0</v>
      </c>
      <c r="D96" s="466" t="s">
        <v>6757</v>
      </c>
      <c r="E96" s="199">
        <v>1</v>
      </c>
      <c r="F96" s="199">
        <v>1</v>
      </c>
      <c r="G96" s="199" t="s">
        <v>2052</v>
      </c>
      <c r="H96" s="162" t="s">
        <v>7797</v>
      </c>
      <c r="I96" s="129" t="str">
        <f t="shared" si="13"/>
        <v>Rien</v>
      </c>
      <c r="J96" s="146">
        <v>0</v>
      </c>
      <c r="K96" s="147">
        <v>0</v>
      </c>
      <c r="L96" s="148">
        <v>0</v>
      </c>
      <c r="M96" s="149">
        <v>0</v>
      </c>
      <c r="N96" s="150">
        <v>0</v>
      </c>
      <c r="O96" s="130">
        <v>0</v>
      </c>
      <c r="P96" s="130">
        <v>0</v>
      </c>
      <c r="Q96" s="130">
        <v>0</v>
      </c>
      <c r="R96" s="130">
        <v>0</v>
      </c>
      <c r="S96" s="130">
        <v>0</v>
      </c>
      <c r="T96" s="130">
        <v>0</v>
      </c>
      <c r="U96" s="130">
        <v>0</v>
      </c>
      <c r="V96" s="524">
        <v>0</v>
      </c>
      <c r="W96" s="130">
        <v>0</v>
      </c>
      <c r="X96" s="130">
        <v>0</v>
      </c>
      <c r="Y96" s="130">
        <v>0</v>
      </c>
      <c r="Z96" s="130">
        <v>0</v>
      </c>
      <c r="AA96" s="158" t="s">
        <v>2078</v>
      </c>
      <c r="AB96" s="158"/>
      <c r="AC96" s="158"/>
      <c r="AD96" s="158"/>
      <c r="AE96" s="158" t="b">
        <f>IF(AB96="",TRUE,IF(IF(AC96="",VLOOKUP(AB96,Calculs!$A$19:$S$425,19,FALSE),VLOOKUP(AC96,Calculs!$A$19:$S$425,19,FALSE))&gt;=AD96,TRUE,FALSE))</f>
        <v>1</v>
      </c>
      <c r="AF96" s="158"/>
      <c r="AG96" s="158"/>
      <c r="AH96" s="158"/>
      <c r="AI96" s="158" t="b">
        <f>IF(AF96="",TRUE,IF(IF(AG96="",VLOOKUP(AF96,Calculs!$A$19:$S$425,19,FALSE),VLOOKUP(AG96,Calculs!$A$19:$S$425,19,FALSE))&gt;=AH96,TRUE,FALSE))</f>
        <v>1</v>
      </c>
      <c r="AJ96" s="158"/>
      <c r="AK96" s="158"/>
      <c r="AL96" s="158"/>
      <c r="AM96" s="158" t="b">
        <f>IF(AJ96="",TRUE,IF(IF(AK96="",VLOOKUP(AJ96,Calculs!$A$19:$S$425,19,FALSE),VLOOKUP(AK96,Calculs!$A$19:$S$425,19,FALSE))&gt;=AL96,TRUE,FALSE))</f>
        <v>1</v>
      </c>
      <c r="AN96" s="158"/>
      <c r="AO96" s="158"/>
      <c r="AP96" s="158"/>
      <c r="AQ96" s="158" t="b">
        <f>IF(AN96="",TRUE,IF(IF(AO96="",VLOOKUP(AN96,Calculs!$A$19:$S$425,19,FALSE),VLOOKUP(AO96,Calculs!$A$19:$S$425,19,FALSE))&gt;=AP96,TRUE,FALSE))</f>
        <v>1</v>
      </c>
      <c r="AR96" s="158"/>
      <c r="AS96" s="158" t="b">
        <f>IF(AR96="",TRUE,IF(VLOOKUP(AR96,Calculs!$A$427:$G$738,7,FALSE)&gt;0,TRUE,FALSE))</f>
        <v>1</v>
      </c>
      <c r="AT96" s="158"/>
      <c r="AU96" s="158" t="b">
        <f>IF(AT96="",TRUE,IF(VLOOKUP(AT96,Calculs!$A$740:$G$912,7,FALSE)&gt;0,TRUE,FALSE))</f>
        <v>1</v>
      </c>
      <c r="AV96" s="158" t="b">
        <f t="shared" si="7"/>
        <v>1</v>
      </c>
      <c r="AW96" s="158" t="s">
        <v>2078</v>
      </c>
      <c r="AX96" s="162" t="s">
        <v>7226</v>
      </c>
      <c r="AY96" s="15">
        <v>69</v>
      </c>
      <c r="AZ96" s="555" t="s">
        <v>8486</v>
      </c>
      <c r="BA96" s="559">
        <f>IF(Verso!$B$10=Voies!$B96,1,0)</f>
        <v>0</v>
      </c>
      <c r="BB96" s="12">
        <f>IF(Verso!$B$11=Voies!$B96,1,0)</f>
        <v>0</v>
      </c>
      <c r="BC96" s="12">
        <f>IF(Verso!$B$12=Voies!$B96,1,0)</f>
        <v>0</v>
      </c>
      <c r="BD96" s="12">
        <f>IF(Verso!$B$13=Voies!$B96,1,0)</f>
        <v>0</v>
      </c>
      <c r="BE96" s="12">
        <f>IF(Verso!$B$14=Voies!$B96,1,0)</f>
        <v>0</v>
      </c>
      <c r="BF96" s="12">
        <f>IF(Verso!$B$15=Voies!$B96,1,0)</f>
        <v>0</v>
      </c>
      <c r="BG96" s="12">
        <f>IF(Verso!$B$16=Voies!$B96,1,0)</f>
        <v>0</v>
      </c>
      <c r="BH96" s="12">
        <f>IF(Verso!$B$17=Voies!$B96,1,0)</f>
        <v>0</v>
      </c>
      <c r="BI96" s="557">
        <f t="shared" si="8"/>
        <v>0</v>
      </c>
      <c r="BJ96" s="196" t="str">
        <f t="shared" si="9"/>
        <v/>
      </c>
      <c r="BK96" s="196" t="str">
        <f t="shared" si="10"/>
        <v/>
      </c>
      <c r="BL96" s="295" t="str">
        <f t="shared" si="11"/>
        <v/>
      </c>
      <c r="BM96" s="91"/>
    </row>
    <row r="97" spans="1:65" s="196" customFormat="1" ht="47.25" customHeight="1" x14ac:dyDescent="0.25">
      <c r="A97" s="162" t="str">
        <f>IF(AND(Réputation&gt;Voies!E97-1,OR(C97=TRUE,Calculs!$I$8&gt;0),Air&gt;Voies!J97-1,Eau&gt;Voies!K97-1,Feu&gt;Voies!L97-1,Terre&gt;Voies!M97-1,Vide&gt;Voies!N97-1,Constitution&gt;Voies!O97-1,Volonté&gt;Voies!P97-1,Force&gt;Voies!Q97-1,Perception&gt;Voies!R97-1,Reflexes&gt;Voies!S97-1,Agilité&gt;Voies!T97-1,Intuition&gt;Voies!U97-1,Intelligence&gt;Voies!V97-1,Souillure&gt;Voies!W97-1,Honneur&gt;X97-1,Statut&gt;Y97-1,Gloire&gt;Z97-1,AV97=TRUE),Voies!B97,"")</f>
        <v/>
      </c>
      <c r="B97" s="162" t="s">
        <v>6904</v>
      </c>
      <c r="C97" s="162" t="b">
        <f>IF(Clan=Voies!D97,TRUE,FALSE)</f>
        <v>0</v>
      </c>
      <c r="D97" s="466" t="s">
        <v>6757</v>
      </c>
      <c r="E97" s="199">
        <v>2</v>
      </c>
      <c r="F97" s="199">
        <v>2</v>
      </c>
      <c r="G97" s="199" t="s">
        <v>2049</v>
      </c>
      <c r="H97" s="162" t="s">
        <v>6845</v>
      </c>
      <c r="I97" s="129" t="str">
        <f t="shared" si="13"/>
        <v>Rien</v>
      </c>
      <c r="J97" s="146">
        <v>0</v>
      </c>
      <c r="K97" s="147">
        <v>0</v>
      </c>
      <c r="L97" s="148">
        <v>0</v>
      </c>
      <c r="M97" s="149">
        <v>0</v>
      </c>
      <c r="N97" s="150">
        <v>0</v>
      </c>
      <c r="O97" s="130">
        <v>0</v>
      </c>
      <c r="P97" s="130">
        <v>0</v>
      </c>
      <c r="Q97" s="130">
        <v>0</v>
      </c>
      <c r="R97" s="130">
        <v>0</v>
      </c>
      <c r="S97" s="130">
        <v>0</v>
      </c>
      <c r="T97" s="130">
        <v>0</v>
      </c>
      <c r="U97" s="130">
        <v>0</v>
      </c>
      <c r="V97" s="524">
        <v>0</v>
      </c>
      <c r="W97" s="130">
        <v>0</v>
      </c>
      <c r="X97" s="130">
        <v>0</v>
      </c>
      <c r="Y97" s="130">
        <v>0</v>
      </c>
      <c r="Z97" s="130">
        <v>0</v>
      </c>
      <c r="AA97" s="158" t="s">
        <v>2078</v>
      </c>
      <c r="AB97" s="158"/>
      <c r="AC97" s="158"/>
      <c r="AD97" s="158"/>
      <c r="AE97" s="158" t="b">
        <f>IF(AB97="",TRUE,IF(IF(AC97="",VLOOKUP(AB97,Calculs!$A$19:$S$425,19,FALSE),VLOOKUP(AC97,Calculs!$A$19:$S$425,19,FALSE))&gt;=AD97,TRUE,FALSE))</f>
        <v>1</v>
      </c>
      <c r="AF97" s="158"/>
      <c r="AG97" s="158"/>
      <c r="AH97" s="158"/>
      <c r="AI97" s="158" t="b">
        <f>IF(AF97="",TRUE,IF(IF(AG97="",VLOOKUP(AF97,Calculs!$A$19:$S$425,19,FALSE),VLOOKUP(AG97,Calculs!$A$19:$S$425,19,FALSE))&gt;=AH97,TRUE,FALSE))</f>
        <v>1</v>
      </c>
      <c r="AJ97" s="158"/>
      <c r="AK97" s="158"/>
      <c r="AL97" s="158"/>
      <c r="AM97" s="158" t="b">
        <f>IF(AJ97="",TRUE,IF(IF(AK97="",VLOOKUP(AJ97,Calculs!$A$19:$S$425,19,FALSE),VLOOKUP(AK97,Calculs!$A$19:$S$425,19,FALSE))&gt;=AL97,TRUE,FALSE))</f>
        <v>1</v>
      </c>
      <c r="AN97" s="158"/>
      <c r="AO97" s="158"/>
      <c r="AP97" s="158"/>
      <c r="AQ97" s="158" t="b">
        <f>IF(AN97="",TRUE,IF(IF(AO97="",VLOOKUP(AN97,Calculs!$A$19:$S$425,19,FALSE),VLOOKUP(AO97,Calculs!$A$19:$S$425,19,FALSE))&gt;=AP97,TRUE,FALSE))</f>
        <v>1</v>
      </c>
      <c r="AR97" s="158"/>
      <c r="AS97" s="158" t="b">
        <f>IF(AR97="",TRUE,IF(VLOOKUP(AR97,Calculs!$A$427:$G$738,7,FALSE)&gt;0,TRUE,FALSE))</f>
        <v>1</v>
      </c>
      <c r="AT97" s="158"/>
      <c r="AU97" s="158" t="b">
        <f>IF(AT97="",TRUE,IF(VLOOKUP(AT97,Calculs!$A$740:$G$912,7,FALSE)&gt;0,TRUE,FALSE))</f>
        <v>1</v>
      </c>
      <c r="AV97" s="158" t="b">
        <f t="shared" si="7"/>
        <v>1</v>
      </c>
      <c r="AW97" s="158" t="s">
        <v>2078</v>
      </c>
      <c r="AX97" s="162" t="s">
        <v>6816</v>
      </c>
      <c r="AY97" s="15">
        <v>16</v>
      </c>
      <c r="AZ97" s="555" t="s">
        <v>6909</v>
      </c>
      <c r="BA97" s="559">
        <f>IF(Verso!$B$10=Voies!$B97,1,0)</f>
        <v>0</v>
      </c>
      <c r="BB97" s="12">
        <f>IF(Verso!$B$11=Voies!$B97,1,0)</f>
        <v>0</v>
      </c>
      <c r="BC97" s="12">
        <f>IF(Verso!$B$12=Voies!$B97,1,0)</f>
        <v>0</v>
      </c>
      <c r="BD97" s="12">
        <f>IF(Verso!$B$13=Voies!$B97,1,0)</f>
        <v>0</v>
      </c>
      <c r="BE97" s="12">
        <f>IF(Verso!$B$14=Voies!$B97,1,0)</f>
        <v>0</v>
      </c>
      <c r="BF97" s="12">
        <f>IF(Verso!$B$15=Voies!$B97,1,0)</f>
        <v>0</v>
      </c>
      <c r="BG97" s="12">
        <f>IF(Verso!$B$16=Voies!$B97,1,0)</f>
        <v>0</v>
      </c>
      <c r="BH97" s="12">
        <f>IF(Verso!$B$17=Voies!$B97,1,0)</f>
        <v>0</v>
      </c>
      <c r="BI97" s="557">
        <f t="shared" si="8"/>
        <v>0</v>
      </c>
      <c r="BJ97" s="196" t="str">
        <f t="shared" si="9"/>
        <v/>
      </c>
      <c r="BK97" s="196" t="str">
        <f t="shared" si="10"/>
        <v/>
      </c>
      <c r="BL97" s="295" t="str">
        <f t="shared" si="11"/>
        <v/>
      </c>
      <c r="BM97" s="91"/>
    </row>
    <row r="98" spans="1:65" s="196" customFormat="1" ht="47.25" customHeight="1" x14ac:dyDescent="0.25">
      <c r="A98" s="162" t="str">
        <f>IF(AND(Réputation&gt;Voies!E98-1,OR(C98=TRUE,Calculs!$I$8&gt;0),Air&gt;Voies!J98-1,Eau&gt;Voies!K98-1,Feu&gt;Voies!L98-1,Terre&gt;Voies!M98-1,Vide&gt;Voies!N98-1,Constitution&gt;Voies!O98-1,Volonté&gt;Voies!P98-1,Force&gt;Voies!Q98-1,Perception&gt;Voies!R98-1,Reflexes&gt;Voies!S98-1,Agilité&gt;Voies!T98-1,Intuition&gt;Voies!U98-1,Intelligence&gt;Voies!V98-1,Souillure&gt;Voies!W98-1,Honneur&gt;X98-1,Statut&gt;Y98-1,Gloire&gt;Z98-1,AV98=TRUE),Voies!B98,"")</f>
        <v/>
      </c>
      <c r="B98" s="162" t="s">
        <v>6916</v>
      </c>
      <c r="C98" s="162" t="b">
        <f>IF(Clan=Voies!D98,TRUE,FALSE)</f>
        <v>0</v>
      </c>
      <c r="D98" s="466" t="s">
        <v>6757</v>
      </c>
      <c r="E98" s="199">
        <v>2</v>
      </c>
      <c r="F98" s="199">
        <v>2</v>
      </c>
      <c r="G98" s="199" t="s">
        <v>2049</v>
      </c>
      <c r="H98" s="162" t="s">
        <v>6902</v>
      </c>
      <c r="I98" s="129" t="str">
        <f t="shared" si="13"/>
        <v>Rien</v>
      </c>
      <c r="J98" s="146">
        <v>0</v>
      </c>
      <c r="K98" s="147">
        <v>0</v>
      </c>
      <c r="L98" s="148">
        <v>0</v>
      </c>
      <c r="M98" s="149">
        <v>0</v>
      </c>
      <c r="N98" s="150">
        <v>0</v>
      </c>
      <c r="O98" s="130">
        <v>0</v>
      </c>
      <c r="P98" s="130">
        <v>0</v>
      </c>
      <c r="Q98" s="130">
        <v>0</v>
      </c>
      <c r="R98" s="130">
        <v>0</v>
      </c>
      <c r="S98" s="130">
        <v>0</v>
      </c>
      <c r="T98" s="130">
        <v>0</v>
      </c>
      <c r="U98" s="130">
        <v>0</v>
      </c>
      <c r="V98" s="524">
        <v>0</v>
      </c>
      <c r="W98" s="130">
        <v>0</v>
      </c>
      <c r="X98" s="130">
        <v>0</v>
      </c>
      <c r="Y98" s="130">
        <v>0</v>
      </c>
      <c r="Z98" s="130">
        <v>0</v>
      </c>
      <c r="AA98" s="158" t="s">
        <v>2078</v>
      </c>
      <c r="AB98" s="158"/>
      <c r="AC98" s="158"/>
      <c r="AD98" s="158"/>
      <c r="AE98" s="158" t="b">
        <f>IF(AB98="",TRUE,IF(IF(AC98="",VLOOKUP(AB98,Calculs!$A$19:$S$425,19,FALSE),VLOOKUP(AC98,Calculs!$A$19:$S$425,19,FALSE))&gt;=AD98,TRUE,FALSE))</f>
        <v>1</v>
      </c>
      <c r="AF98" s="158"/>
      <c r="AG98" s="158"/>
      <c r="AH98" s="158"/>
      <c r="AI98" s="158" t="b">
        <f>IF(AF98="",TRUE,IF(IF(AG98="",VLOOKUP(AF98,Calculs!$A$19:$S$425,19,FALSE),VLOOKUP(AG98,Calculs!$A$19:$S$425,19,FALSE))&gt;=AH98,TRUE,FALSE))</f>
        <v>1</v>
      </c>
      <c r="AJ98" s="158"/>
      <c r="AK98" s="158"/>
      <c r="AL98" s="158"/>
      <c r="AM98" s="158" t="b">
        <f>IF(AJ98="",TRUE,IF(IF(AK98="",VLOOKUP(AJ98,Calculs!$A$19:$S$425,19,FALSE),VLOOKUP(AK98,Calculs!$A$19:$S$425,19,FALSE))&gt;=AL98,TRUE,FALSE))</f>
        <v>1</v>
      </c>
      <c r="AN98" s="158"/>
      <c r="AO98" s="158"/>
      <c r="AP98" s="158"/>
      <c r="AQ98" s="158" t="b">
        <f>IF(AN98="",TRUE,IF(IF(AO98="",VLOOKUP(AN98,Calculs!$A$19:$S$425,19,FALSE),VLOOKUP(AO98,Calculs!$A$19:$S$425,19,FALSE))&gt;=AP98,TRUE,FALSE))</f>
        <v>1</v>
      </c>
      <c r="AR98" s="158"/>
      <c r="AS98" s="158" t="b">
        <f>IF(AR98="",TRUE,IF(VLOOKUP(AR98,Calculs!$A$427:$G$738,7,FALSE)&gt;0,TRUE,FALSE))</f>
        <v>1</v>
      </c>
      <c r="AT98" s="158"/>
      <c r="AU98" s="158" t="b">
        <f>IF(AT98="",TRUE,IF(VLOOKUP(AT98,Calculs!$A$740:$G$912,7,FALSE)&gt;0,TRUE,FALSE))</f>
        <v>1</v>
      </c>
      <c r="AV98" s="158" t="b">
        <f t="shared" si="7"/>
        <v>1</v>
      </c>
      <c r="AW98" s="158" t="s">
        <v>2078</v>
      </c>
      <c r="AX98" s="162" t="s">
        <v>6816</v>
      </c>
      <c r="AY98" s="15">
        <v>16</v>
      </c>
      <c r="AZ98" s="555" t="s">
        <v>8522</v>
      </c>
      <c r="BA98" s="559">
        <f>IF(Verso!$B$10=Voies!$B98,1,0)</f>
        <v>0</v>
      </c>
      <c r="BB98" s="12">
        <f>IF(Verso!$B$11=Voies!$B98,1,0)</f>
        <v>0</v>
      </c>
      <c r="BC98" s="12">
        <f>IF(Verso!$B$12=Voies!$B98,1,0)</f>
        <v>0</v>
      </c>
      <c r="BD98" s="12">
        <f>IF(Verso!$B$13=Voies!$B98,1,0)</f>
        <v>0</v>
      </c>
      <c r="BE98" s="12">
        <f>IF(Verso!$B$14=Voies!$B98,1,0)</f>
        <v>0</v>
      </c>
      <c r="BF98" s="12">
        <f>IF(Verso!$B$15=Voies!$B98,1,0)</f>
        <v>0</v>
      </c>
      <c r="BG98" s="12">
        <f>IF(Verso!$B$16=Voies!$B98,1,0)</f>
        <v>0</v>
      </c>
      <c r="BH98" s="12">
        <f>IF(Verso!$B$17=Voies!$B98,1,0)</f>
        <v>0</v>
      </c>
      <c r="BI98" s="557">
        <f t="shared" si="8"/>
        <v>0</v>
      </c>
      <c r="BJ98" s="196" t="str">
        <f t="shared" si="9"/>
        <v/>
      </c>
      <c r="BK98" s="196" t="str">
        <f t="shared" si="10"/>
        <v/>
      </c>
      <c r="BL98" s="295" t="str">
        <f t="shared" si="11"/>
        <v/>
      </c>
      <c r="BM98" s="91"/>
    </row>
    <row r="99" spans="1:65" s="196" customFormat="1" ht="47.25" customHeight="1" x14ac:dyDescent="0.25">
      <c r="A99" s="162" t="str">
        <f>IF(AND(Réputation&gt;Voies!E99-1,OR(C99=TRUE,Calculs!$I$8&gt;0),Air&gt;Voies!J99-1,Eau&gt;Voies!K99-1,Feu&gt;Voies!L99-1,Terre&gt;Voies!M99-1,Vide&gt;Voies!N99-1,Constitution&gt;Voies!O99-1,Volonté&gt;Voies!P99-1,Force&gt;Voies!Q99-1,Perception&gt;Voies!R99-1,Reflexes&gt;Voies!S99-1,Agilité&gt;Voies!T99-1,Intuition&gt;Voies!U99-1,Intelligence&gt;Voies!V99-1,Souillure&gt;Voies!W99-1,Honneur&gt;X99-1,Statut&gt;Y99-1,Gloire&gt;Z99-1,AV99=TRUE),Voies!B99,"")</f>
        <v/>
      </c>
      <c r="B99" s="162" t="s">
        <v>7839</v>
      </c>
      <c r="C99" s="162" t="b">
        <f>IF(Clan=Voies!D99,TRUE,FALSE)</f>
        <v>0</v>
      </c>
      <c r="D99" s="466" t="s">
        <v>6757</v>
      </c>
      <c r="E99" s="199">
        <v>2</v>
      </c>
      <c r="F99" s="199">
        <v>2</v>
      </c>
      <c r="G99" s="199" t="s">
        <v>2052</v>
      </c>
      <c r="H99" s="162" t="s">
        <v>7797</v>
      </c>
      <c r="I99" s="129" t="str">
        <f t="shared" si="13"/>
        <v>Rien</v>
      </c>
      <c r="J99" s="146">
        <v>0</v>
      </c>
      <c r="K99" s="147">
        <v>0</v>
      </c>
      <c r="L99" s="148">
        <v>0</v>
      </c>
      <c r="M99" s="149">
        <v>0</v>
      </c>
      <c r="N99" s="150">
        <v>0</v>
      </c>
      <c r="O99" s="130">
        <v>0</v>
      </c>
      <c r="P99" s="130">
        <v>0</v>
      </c>
      <c r="Q99" s="130">
        <v>0</v>
      </c>
      <c r="R99" s="130">
        <v>0</v>
      </c>
      <c r="S99" s="130">
        <v>0</v>
      </c>
      <c r="T99" s="130">
        <v>0</v>
      </c>
      <c r="U99" s="130">
        <v>0</v>
      </c>
      <c r="V99" s="524">
        <v>0</v>
      </c>
      <c r="W99" s="130">
        <v>0</v>
      </c>
      <c r="X99" s="130">
        <v>0</v>
      </c>
      <c r="Y99" s="130">
        <v>0</v>
      </c>
      <c r="Z99" s="130">
        <v>0</v>
      </c>
      <c r="AA99" s="158" t="s">
        <v>2078</v>
      </c>
      <c r="AB99" s="158"/>
      <c r="AC99" s="158"/>
      <c r="AD99" s="158"/>
      <c r="AE99" s="158" t="b">
        <f>IF(AB99="",TRUE,IF(IF(AC99="",VLOOKUP(AB99,Calculs!$A$19:$S$425,19,FALSE),VLOOKUP(AC99,Calculs!$A$19:$S$425,19,FALSE))&gt;=AD99,TRUE,FALSE))</f>
        <v>1</v>
      </c>
      <c r="AF99" s="158"/>
      <c r="AG99" s="158"/>
      <c r="AH99" s="158"/>
      <c r="AI99" s="158" t="b">
        <f>IF(AF99="",TRUE,IF(IF(AG99="",VLOOKUP(AF99,Calculs!$A$19:$S$425,19,FALSE),VLOOKUP(AG99,Calculs!$A$19:$S$425,19,FALSE))&gt;=AH99,TRUE,FALSE))</f>
        <v>1</v>
      </c>
      <c r="AJ99" s="158"/>
      <c r="AK99" s="158"/>
      <c r="AL99" s="158"/>
      <c r="AM99" s="158" t="b">
        <f>IF(AJ99="",TRUE,IF(IF(AK99="",VLOOKUP(AJ99,Calculs!$A$19:$S$425,19,FALSE),VLOOKUP(AK99,Calculs!$A$19:$S$425,19,FALSE))&gt;=AL99,TRUE,FALSE))</f>
        <v>1</v>
      </c>
      <c r="AN99" s="158"/>
      <c r="AO99" s="158"/>
      <c r="AP99" s="158"/>
      <c r="AQ99" s="158" t="b">
        <f>IF(AN99="",TRUE,IF(IF(AO99="",VLOOKUP(AN99,Calculs!$A$19:$S$425,19,FALSE),VLOOKUP(AO99,Calculs!$A$19:$S$425,19,FALSE))&gt;=AP99,TRUE,FALSE))</f>
        <v>1</v>
      </c>
      <c r="AR99" s="158"/>
      <c r="AS99" s="158" t="b">
        <f>IF(AR99="",TRUE,IF(VLOOKUP(AR99,Calculs!$A$427:$G$738,7,FALSE)&gt;0,TRUE,FALSE))</f>
        <v>1</v>
      </c>
      <c r="AT99" s="158"/>
      <c r="AU99" s="158" t="b">
        <f>IF(AT99="",TRUE,IF(VLOOKUP(AT99,Calculs!$A$740:$G$912,7,FALSE)&gt;0,TRUE,FALSE))</f>
        <v>1</v>
      </c>
      <c r="AV99" s="158" t="b">
        <f t="shared" si="7"/>
        <v>1</v>
      </c>
      <c r="AW99" s="158" t="s">
        <v>2078</v>
      </c>
      <c r="AX99" s="162" t="s">
        <v>7226</v>
      </c>
      <c r="AY99" s="15">
        <v>69</v>
      </c>
      <c r="AZ99" s="555" t="s">
        <v>7843</v>
      </c>
      <c r="BA99" s="559">
        <f>IF(Verso!$B$10=Voies!$B99,1,0)</f>
        <v>0</v>
      </c>
      <c r="BB99" s="12">
        <f>IF(Verso!$B$11=Voies!$B99,1,0)</f>
        <v>0</v>
      </c>
      <c r="BC99" s="12">
        <f>IF(Verso!$B$12=Voies!$B99,1,0)</f>
        <v>0</v>
      </c>
      <c r="BD99" s="12">
        <f>IF(Verso!$B$13=Voies!$B99,1,0)</f>
        <v>0</v>
      </c>
      <c r="BE99" s="12">
        <f>IF(Verso!$B$14=Voies!$B99,1,0)</f>
        <v>0</v>
      </c>
      <c r="BF99" s="12">
        <f>IF(Verso!$B$15=Voies!$B99,1,0)</f>
        <v>0</v>
      </c>
      <c r="BG99" s="12">
        <f>IF(Verso!$B$16=Voies!$B99,1,0)</f>
        <v>0</v>
      </c>
      <c r="BH99" s="12">
        <f>IF(Verso!$B$17=Voies!$B99,1,0)</f>
        <v>0</v>
      </c>
      <c r="BI99" s="557">
        <f t="shared" si="8"/>
        <v>0</v>
      </c>
      <c r="BJ99" s="196" t="str">
        <f t="shared" si="9"/>
        <v/>
      </c>
      <c r="BK99" s="196" t="str">
        <f t="shared" si="10"/>
        <v/>
      </c>
      <c r="BL99" s="295" t="str">
        <f t="shared" si="11"/>
        <v/>
      </c>
      <c r="BM99" s="91"/>
    </row>
    <row r="100" spans="1:65" s="196" customFormat="1" ht="47.25" customHeight="1" x14ac:dyDescent="0.25">
      <c r="A100" s="162" t="str">
        <f>IF(AND(Réputation&gt;Voies!E100-1,OR(C100=TRUE,Calculs!$I$8&gt;0),Air&gt;Voies!J100-1,Eau&gt;Voies!K100-1,Feu&gt;Voies!L100-1,Terre&gt;Voies!M100-1,Vide&gt;Voies!N100-1,Constitution&gt;Voies!O100-1,Volonté&gt;Voies!P100-1,Force&gt;Voies!Q100-1,Perception&gt;Voies!R100-1,Reflexes&gt;Voies!S100-1,Agilité&gt;Voies!T100-1,Intuition&gt;Voies!U100-1,Intelligence&gt;Voies!V100-1,Souillure&gt;Voies!W100-1,Honneur&gt;X100-1,Statut&gt;Y100-1,Gloire&gt;Z100-1,AV100=TRUE),Voies!B100,"")</f>
        <v/>
      </c>
      <c r="B100" s="162" t="s">
        <v>6905</v>
      </c>
      <c r="C100" s="162" t="b">
        <f>IF(Clan=Voies!D100,TRUE,FALSE)</f>
        <v>0</v>
      </c>
      <c r="D100" s="466" t="s">
        <v>6757</v>
      </c>
      <c r="E100" s="199">
        <v>3</v>
      </c>
      <c r="F100" s="199">
        <v>3</v>
      </c>
      <c r="G100" s="199" t="s">
        <v>2049</v>
      </c>
      <c r="H100" s="162" t="s">
        <v>6845</v>
      </c>
      <c r="I100" s="129" t="str">
        <f t="shared" si="13"/>
        <v>Rien</v>
      </c>
      <c r="J100" s="146">
        <v>0</v>
      </c>
      <c r="K100" s="147">
        <v>0</v>
      </c>
      <c r="L100" s="148">
        <v>0</v>
      </c>
      <c r="M100" s="149">
        <v>0</v>
      </c>
      <c r="N100" s="150">
        <v>0</v>
      </c>
      <c r="O100" s="130">
        <v>0</v>
      </c>
      <c r="P100" s="130">
        <v>0</v>
      </c>
      <c r="Q100" s="130">
        <v>0</v>
      </c>
      <c r="R100" s="130">
        <v>0</v>
      </c>
      <c r="S100" s="130">
        <v>0</v>
      </c>
      <c r="T100" s="130">
        <v>0</v>
      </c>
      <c r="U100" s="130">
        <v>0</v>
      </c>
      <c r="V100" s="524">
        <v>0</v>
      </c>
      <c r="W100" s="130">
        <v>0</v>
      </c>
      <c r="X100" s="130">
        <v>0</v>
      </c>
      <c r="Y100" s="130">
        <v>0</v>
      </c>
      <c r="Z100" s="130">
        <v>0</v>
      </c>
      <c r="AA100" s="158" t="s">
        <v>2078</v>
      </c>
      <c r="AB100" s="158"/>
      <c r="AC100" s="158"/>
      <c r="AD100" s="158"/>
      <c r="AE100" s="158" t="b">
        <f>IF(AB100="",TRUE,IF(IF(AC100="",VLOOKUP(AB100,Calculs!$A$19:$S$425,19,FALSE),VLOOKUP(AC100,Calculs!$A$19:$S$425,19,FALSE))&gt;=AD100,TRUE,FALSE))</f>
        <v>1</v>
      </c>
      <c r="AF100" s="158"/>
      <c r="AG100" s="158"/>
      <c r="AH100" s="158"/>
      <c r="AI100" s="158" t="b">
        <f>IF(AF100="",TRUE,IF(IF(AG100="",VLOOKUP(AF100,Calculs!$A$19:$S$425,19,FALSE),VLOOKUP(AG100,Calculs!$A$19:$S$425,19,FALSE))&gt;=AH100,TRUE,FALSE))</f>
        <v>1</v>
      </c>
      <c r="AJ100" s="158"/>
      <c r="AK100" s="158"/>
      <c r="AL100" s="158"/>
      <c r="AM100" s="158" t="b">
        <f>IF(AJ100="",TRUE,IF(IF(AK100="",VLOOKUP(AJ100,Calculs!$A$19:$S$425,19,FALSE),VLOOKUP(AK100,Calculs!$A$19:$S$425,19,FALSE))&gt;=AL100,TRUE,FALSE))</f>
        <v>1</v>
      </c>
      <c r="AN100" s="158"/>
      <c r="AO100" s="158"/>
      <c r="AP100" s="158"/>
      <c r="AQ100" s="158" t="b">
        <f>IF(AN100="",TRUE,IF(IF(AO100="",VLOOKUP(AN100,Calculs!$A$19:$S$425,19,FALSE),VLOOKUP(AO100,Calculs!$A$19:$S$425,19,FALSE))&gt;=AP100,TRUE,FALSE))</f>
        <v>1</v>
      </c>
      <c r="AR100" s="158"/>
      <c r="AS100" s="158" t="b">
        <f>IF(AR100="",TRUE,IF(VLOOKUP(AR100,Calculs!$A$427:$G$738,7,FALSE)&gt;0,TRUE,FALSE))</f>
        <v>1</v>
      </c>
      <c r="AT100" s="158"/>
      <c r="AU100" s="158" t="b">
        <f>IF(AT100="",TRUE,IF(VLOOKUP(AT100,Calculs!$A$740:$G$912,7,FALSE)&gt;0,TRUE,FALSE))</f>
        <v>1</v>
      </c>
      <c r="AV100" s="158" t="b">
        <f t="shared" si="7"/>
        <v>1</v>
      </c>
      <c r="AW100" s="158" t="s">
        <v>2078</v>
      </c>
      <c r="AX100" s="162" t="s">
        <v>6816</v>
      </c>
      <c r="AY100" s="15">
        <v>16</v>
      </c>
      <c r="AZ100" s="566" t="s">
        <v>6910</v>
      </c>
      <c r="BA100" s="559">
        <f>IF(Verso!$B$10=Voies!$B100,1,0)</f>
        <v>0</v>
      </c>
      <c r="BB100" s="12">
        <f>IF(Verso!$B$11=Voies!$B100,1,0)</f>
        <v>0</v>
      </c>
      <c r="BC100" s="12">
        <f>IF(Verso!$B$12=Voies!$B100,1,0)</f>
        <v>0</v>
      </c>
      <c r="BD100" s="12">
        <f>IF(Verso!$B$13=Voies!$B100,1,0)</f>
        <v>0</v>
      </c>
      <c r="BE100" s="12">
        <f>IF(Verso!$B$14=Voies!$B100,1,0)</f>
        <v>0</v>
      </c>
      <c r="BF100" s="12">
        <f>IF(Verso!$B$15=Voies!$B100,1,0)</f>
        <v>0</v>
      </c>
      <c r="BG100" s="12">
        <f>IF(Verso!$B$16=Voies!$B100,1,0)</f>
        <v>0</v>
      </c>
      <c r="BH100" s="12">
        <f>IF(Verso!$B$17=Voies!$B100,1,0)</f>
        <v>0</v>
      </c>
      <c r="BI100" s="557">
        <f t="shared" si="8"/>
        <v>0</v>
      </c>
      <c r="BJ100" s="196" t="str">
        <f t="shared" si="9"/>
        <v/>
      </c>
      <c r="BK100" s="196" t="str">
        <f t="shared" si="10"/>
        <v/>
      </c>
      <c r="BL100" s="295" t="str">
        <f t="shared" si="11"/>
        <v/>
      </c>
      <c r="BM100" s="91"/>
    </row>
    <row r="101" spans="1:65" s="196" customFormat="1" ht="47.25" customHeight="1" x14ac:dyDescent="0.25">
      <c r="A101" s="162" t="str">
        <f>IF(AND(Réputation&gt;Voies!E101-1,OR(C101=TRUE,Calculs!$I$8&gt;0),Air&gt;Voies!J101-1,Eau&gt;Voies!K101-1,Feu&gt;Voies!L101-1,Terre&gt;Voies!M101-1,Vide&gt;Voies!N101-1,Constitution&gt;Voies!O101-1,Volonté&gt;Voies!P101-1,Force&gt;Voies!Q101-1,Perception&gt;Voies!R101-1,Reflexes&gt;Voies!S101-1,Agilité&gt;Voies!T101-1,Intuition&gt;Voies!U101-1,Intelligence&gt;Voies!V101-1,Souillure&gt;Voies!W101-1,Honneur&gt;X101-1,Statut&gt;Y101-1,Gloire&gt;Z101-1,AV101=TRUE),Voies!B101,"")</f>
        <v/>
      </c>
      <c r="B101" s="162" t="s">
        <v>6918</v>
      </c>
      <c r="C101" s="162" t="b">
        <f>IF(Clan=Voies!D101,TRUE,FALSE)</f>
        <v>0</v>
      </c>
      <c r="D101" s="466" t="s">
        <v>6757</v>
      </c>
      <c r="E101" s="199">
        <v>3</v>
      </c>
      <c r="F101" s="199">
        <v>3</v>
      </c>
      <c r="G101" s="199" t="s">
        <v>2049</v>
      </c>
      <c r="H101" s="162" t="s">
        <v>6902</v>
      </c>
      <c r="I101" s="129" t="str">
        <f t="shared" si="13"/>
        <v>Rien</v>
      </c>
      <c r="J101" s="146">
        <v>0</v>
      </c>
      <c r="K101" s="147">
        <v>0</v>
      </c>
      <c r="L101" s="148">
        <v>0</v>
      </c>
      <c r="M101" s="149">
        <v>0</v>
      </c>
      <c r="N101" s="150">
        <v>0</v>
      </c>
      <c r="O101" s="130">
        <v>0</v>
      </c>
      <c r="P101" s="130">
        <v>0</v>
      </c>
      <c r="Q101" s="130">
        <v>0</v>
      </c>
      <c r="R101" s="130">
        <v>0</v>
      </c>
      <c r="S101" s="130">
        <v>0</v>
      </c>
      <c r="T101" s="130">
        <v>0</v>
      </c>
      <c r="U101" s="130">
        <v>0</v>
      </c>
      <c r="V101" s="524">
        <v>0</v>
      </c>
      <c r="W101" s="130">
        <v>0</v>
      </c>
      <c r="X101" s="130">
        <v>0</v>
      </c>
      <c r="Y101" s="130">
        <v>0</v>
      </c>
      <c r="Z101" s="130">
        <v>0</v>
      </c>
      <c r="AA101" s="158" t="s">
        <v>2078</v>
      </c>
      <c r="AB101" s="158"/>
      <c r="AC101" s="158"/>
      <c r="AD101" s="158"/>
      <c r="AE101" s="158" t="b">
        <f>IF(AB101="",TRUE,IF(IF(AC101="",VLOOKUP(AB101,Calculs!$A$19:$S$425,19,FALSE),VLOOKUP(AC101,Calculs!$A$19:$S$425,19,FALSE))&gt;=AD101,TRUE,FALSE))</f>
        <v>1</v>
      </c>
      <c r="AF101" s="158"/>
      <c r="AG101" s="158"/>
      <c r="AH101" s="158"/>
      <c r="AI101" s="158" t="b">
        <f>IF(AF101="",TRUE,IF(IF(AG101="",VLOOKUP(AF101,Calculs!$A$19:$S$425,19,FALSE),VLOOKUP(AG101,Calculs!$A$19:$S$425,19,FALSE))&gt;=AH101,TRUE,FALSE))</f>
        <v>1</v>
      </c>
      <c r="AJ101" s="158"/>
      <c r="AK101" s="158"/>
      <c r="AL101" s="158"/>
      <c r="AM101" s="158" t="b">
        <f>IF(AJ101="",TRUE,IF(IF(AK101="",VLOOKUP(AJ101,Calculs!$A$19:$S$425,19,FALSE),VLOOKUP(AK101,Calculs!$A$19:$S$425,19,FALSE))&gt;=AL101,TRUE,FALSE))</f>
        <v>1</v>
      </c>
      <c r="AN101" s="158"/>
      <c r="AO101" s="158"/>
      <c r="AP101" s="158"/>
      <c r="AQ101" s="158" t="b">
        <f>IF(AN101="",TRUE,IF(IF(AO101="",VLOOKUP(AN101,Calculs!$A$19:$S$425,19,FALSE),VLOOKUP(AO101,Calculs!$A$19:$S$425,19,FALSE))&gt;=AP101,TRUE,FALSE))</f>
        <v>1</v>
      </c>
      <c r="AR101" s="158"/>
      <c r="AS101" s="158" t="b">
        <f>IF(AR101="",TRUE,IF(VLOOKUP(AR101,Calculs!$A$427:$G$738,7,FALSE)&gt;0,TRUE,FALSE))</f>
        <v>1</v>
      </c>
      <c r="AT101" s="158"/>
      <c r="AU101" s="158" t="b">
        <f>IF(AT101="",TRUE,IF(VLOOKUP(AT101,Calculs!$A$740:$G$912,7,FALSE)&gt;0,TRUE,FALSE))</f>
        <v>1</v>
      </c>
      <c r="AV101" s="158" t="b">
        <f t="shared" si="7"/>
        <v>1</v>
      </c>
      <c r="AW101" s="158" t="s">
        <v>2078</v>
      </c>
      <c r="AX101" s="162" t="s">
        <v>6816</v>
      </c>
      <c r="AY101" s="15">
        <v>16</v>
      </c>
      <c r="AZ101" s="555" t="s">
        <v>6917</v>
      </c>
      <c r="BA101" s="559">
        <f>IF(Verso!$B$10=Voies!$B101,1,0)</f>
        <v>0</v>
      </c>
      <c r="BB101" s="12">
        <f>IF(Verso!$B$11=Voies!$B101,1,0)</f>
        <v>0</v>
      </c>
      <c r="BC101" s="12">
        <f>IF(Verso!$B$12=Voies!$B101,1,0)</f>
        <v>0</v>
      </c>
      <c r="BD101" s="12">
        <f>IF(Verso!$B$13=Voies!$B101,1,0)</f>
        <v>0</v>
      </c>
      <c r="BE101" s="12">
        <f>IF(Verso!$B$14=Voies!$B101,1,0)</f>
        <v>0</v>
      </c>
      <c r="BF101" s="12">
        <f>IF(Verso!$B$15=Voies!$B101,1,0)</f>
        <v>0</v>
      </c>
      <c r="BG101" s="12">
        <f>IF(Verso!$B$16=Voies!$B101,1,0)</f>
        <v>0</v>
      </c>
      <c r="BH101" s="12">
        <f>IF(Verso!$B$17=Voies!$B101,1,0)</f>
        <v>0</v>
      </c>
      <c r="BI101" s="557">
        <f t="shared" si="8"/>
        <v>0</v>
      </c>
      <c r="BJ101" s="196" t="str">
        <f t="shared" si="9"/>
        <v/>
      </c>
      <c r="BK101" s="196" t="str">
        <f t="shared" si="10"/>
        <v/>
      </c>
      <c r="BL101" s="295" t="str">
        <f t="shared" si="11"/>
        <v/>
      </c>
      <c r="BM101" s="91"/>
    </row>
    <row r="102" spans="1:65" s="196" customFormat="1" ht="47.25" customHeight="1" x14ac:dyDescent="0.25">
      <c r="A102" s="162" t="str">
        <f>IF(AND(Réputation&gt;Voies!E102-1,OR(C102=TRUE,Calculs!$I$8&gt;0),Air&gt;Voies!J102-1,Eau&gt;Voies!K102-1,Feu&gt;Voies!L102-1,Terre&gt;Voies!M102-1,Vide&gt;Voies!N102-1,Constitution&gt;Voies!O102-1,Volonté&gt;Voies!P102-1,Force&gt;Voies!Q102-1,Perception&gt;Voies!R102-1,Reflexes&gt;Voies!S102-1,Agilité&gt;Voies!T102-1,Intuition&gt;Voies!U102-1,Intelligence&gt;Voies!V102-1,Souillure&gt;Voies!W102-1,Honneur&gt;X102-1,Statut&gt;Y102-1,Gloire&gt;Z102-1,AV102=TRUE),Voies!B102,"")</f>
        <v/>
      </c>
      <c r="B102" s="162" t="s">
        <v>7840</v>
      </c>
      <c r="C102" s="162" t="b">
        <f>IF(Clan=Voies!D102,TRUE,FALSE)</f>
        <v>0</v>
      </c>
      <c r="D102" s="466" t="s">
        <v>6757</v>
      </c>
      <c r="E102" s="199">
        <v>3</v>
      </c>
      <c r="F102" s="199">
        <v>3</v>
      </c>
      <c r="G102" s="199" t="s">
        <v>2052</v>
      </c>
      <c r="H102" s="162" t="s">
        <v>7797</v>
      </c>
      <c r="I102" s="129" t="str">
        <f t="shared" si="13"/>
        <v>Rien</v>
      </c>
      <c r="J102" s="146">
        <v>0</v>
      </c>
      <c r="K102" s="147">
        <v>0</v>
      </c>
      <c r="L102" s="148">
        <v>0</v>
      </c>
      <c r="M102" s="149">
        <v>0</v>
      </c>
      <c r="N102" s="150">
        <v>0</v>
      </c>
      <c r="O102" s="130">
        <v>0</v>
      </c>
      <c r="P102" s="130">
        <v>0</v>
      </c>
      <c r="Q102" s="130">
        <v>0</v>
      </c>
      <c r="R102" s="130">
        <v>0</v>
      </c>
      <c r="S102" s="130">
        <v>0</v>
      </c>
      <c r="T102" s="130">
        <v>0</v>
      </c>
      <c r="U102" s="130">
        <v>0</v>
      </c>
      <c r="V102" s="524">
        <v>0</v>
      </c>
      <c r="W102" s="130">
        <v>0</v>
      </c>
      <c r="X102" s="130">
        <v>0</v>
      </c>
      <c r="Y102" s="130">
        <v>0</v>
      </c>
      <c r="Z102" s="130">
        <v>0</v>
      </c>
      <c r="AA102" s="158" t="s">
        <v>2078</v>
      </c>
      <c r="AB102" s="158"/>
      <c r="AC102" s="158"/>
      <c r="AD102" s="158"/>
      <c r="AE102" s="158" t="b">
        <f>IF(AB102="",TRUE,IF(IF(AC102="",VLOOKUP(AB102,Calculs!$A$19:$S$425,19,FALSE),VLOOKUP(AC102,Calculs!$A$19:$S$425,19,FALSE))&gt;=AD102,TRUE,FALSE))</f>
        <v>1</v>
      </c>
      <c r="AF102" s="158"/>
      <c r="AG102" s="158"/>
      <c r="AH102" s="158"/>
      <c r="AI102" s="158" t="b">
        <f>IF(AF102="",TRUE,IF(IF(AG102="",VLOOKUP(AF102,Calculs!$A$19:$S$425,19,FALSE),VLOOKUP(AG102,Calculs!$A$19:$S$425,19,FALSE))&gt;=AH102,TRUE,FALSE))</f>
        <v>1</v>
      </c>
      <c r="AJ102" s="158"/>
      <c r="AK102" s="158"/>
      <c r="AL102" s="158"/>
      <c r="AM102" s="158" t="b">
        <f>IF(AJ102="",TRUE,IF(IF(AK102="",VLOOKUP(AJ102,Calculs!$A$19:$S$425,19,FALSE),VLOOKUP(AK102,Calculs!$A$19:$S$425,19,FALSE))&gt;=AL102,TRUE,FALSE))</f>
        <v>1</v>
      </c>
      <c r="AN102" s="158"/>
      <c r="AO102" s="158"/>
      <c r="AP102" s="158"/>
      <c r="AQ102" s="158" t="b">
        <f>IF(AN102="",TRUE,IF(IF(AO102="",VLOOKUP(AN102,Calculs!$A$19:$S$425,19,FALSE),VLOOKUP(AO102,Calculs!$A$19:$S$425,19,FALSE))&gt;=AP102,TRUE,FALSE))</f>
        <v>1</v>
      </c>
      <c r="AR102" s="158"/>
      <c r="AS102" s="158" t="b">
        <f>IF(AR102="",TRUE,IF(VLOOKUP(AR102,Calculs!$A$427:$G$738,7,FALSE)&gt;0,TRUE,FALSE))</f>
        <v>1</v>
      </c>
      <c r="AT102" s="158"/>
      <c r="AU102" s="158" t="b">
        <f>IF(AT102="",TRUE,IF(VLOOKUP(AT102,Calculs!$A$740:$G$912,7,FALSE)&gt;0,TRUE,FALSE))</f>
        <v>1</v>
      </c>
      <c r="AV102" s="158" t="b">
        <f t="shared" si="7"/>
        <v>1</v>
      </c>
      <c r="AW102" s="158" t="s">
        <v>2078</v>
      </c>
      <c r="AX102" s="162" t="s">
        <v>7226</v>
      </c>
      <c r="AY102" s="15">
        <v>69</v>
      </c>
      <c r="AZ102" s="555" t="s">
        <v>7844</v>
      </c>
      <c r="BA102" s="559">
        <f>IF(Verso!$B$10=Voies!$B102,1,0)</f>
        <v>0</v>
      </c>
      <c r="BB102" s="12">
        <f>IF(Verso!$B$11=Voies!$B102,1,0)</f>
        <v>0</v>
      </c>
      <c r="BC102" s="12">
        <f>IF(Verso!$B$12=Voies!$B102,1,0)</f>
        <v>0</v>
      </c>
      <c r="BD102" s="12">
        <f>IF(Verso!$B$13=Voies!$B102,1,0)</f>
        <v>0</v>
      </c>
      <c r="BE102" s="12">
        <f>IF(Verso!$B$14=Voies!$B102,1,0)</f>
        <v>0</v>
      </c>
      <c r="BF102" s="12">
        <f>IF(Verso!$B$15=Voies!$B102,1,0)</f>
        <v>0</v>
      </c>
      <c r="BG102" s="12">
        <f>IF(Verso!$B$16=Voies!$B102,1,0)</f>
        <v>0</v>
      </c>
      <c r="BH102" s="12">
        <f>IF(Verso!$B$17=Voies!$B102,1,0)</f>
        <v>0</v>
      </c>
      <c r="BI102" s="557">
        <f t="shared" si="8"/>
        <v>0</v>
      </c>
      <c r="BJ102" s="196" t="str">
        <f t="shared" si="9"/>
        <v/>
      </c>
      <c r="BK102" s="196" t="str">
        <f t="shared" si="10"/>
        <v/>
      </c>
      <c r="BL102" s="295" t="str">
        <f t="shared" si="11"/>
        <v/>
      </c>
      <c r="BM102" s="91"/>
    </row>
    <row r="103" spans="1:65" s="196" customFormat="1" ht="47.25" customHeight="1" x14ac:dyDescent="0.25">
      <c r="A103" s="162" t="str">
        <f>IF(AND(Réputation&gt;Voies!E103-1,OR(C103=TRUE,Calculs!$I$8&gt;0),Air&gt;Voies!J103-1,Eau&gt;Voies!K103-1,Feu&gt;Voies!L103-1,Terre&gt;Voies!M103-1,Vide&gt;Voies!N103-1,Constitution&gt;Voies!O103-1,Volonté&gt;Voies!P103-1,Force&gt;Voies!Q103-1,Perception&gt;Voies!R103-1,Reflexes&gt;Voies!S103-1,Agilité&gt;Voies!T103-1,Intuition&gt;Voies!U103-1,Intelligence&gt;Voies!V103-1,Souillure&gt;Voies!W103-1,Honneur&gt;X103-1,Statut&gt;Y103-1,Gloire&gt;Z103-1,AV103=TRUE),Voies!B103,"")</f>
        <v/>
      </c>
      <c r="B103" s="162" t="s">
        <v>6906</v>
      </c>
      <c r="C103" s="162" t="b">
        <f>IF(Clan=Voies!D103,TRUE,FALSE)</f>
        <v>0</v>
      </c>
      <c r="D103" s="466" t="s">
        <v>6757</v>
      </c>
      <c r="E103" s="199">
        <v>4</v>
      </c>
      <c r="F103" s="199">
        <v>4</v>
      </c>
      <c r="G103" s="199" t="s">
        <v>2049</v>
      </c>
      <c r="H103" s="162" t="s">
        <v>6845</v>
      </c>
      <c r="I103" s="129" t="str">
        <f t="shared" si="13"/>
        <v>Rien</v>
      </c>
      <c r="J103" s="146">
        <v>0</v>
      </c>
      <c r="K103" s="147">
        <v>0</v>
      </c>
      <c r="L103" s="148">
        <v>0</v>
      </c>
      <c r="M103" s="149">
        <v>0</v>
      </c>
      <c r="N103" s="150">
        <v>0</v>
      </c>
      <c r="O103" s="130">
        <v>0</v>
      </c>
      <c r="P103" s="130">
        <v>0</v>
      </c>
      <c r="Q103" s="130">
        <v>0</v>
      </c>
      <c r="R103" s="130">
        <v>0</v>
      </c>
      <c r="S103" s="130">
        <v>0</v>
      </c>
      <c r="T103" s="130">
        <v>0</v>
      </c>
      <c r="U103" s="130">
        <v>0</v>
      </c>
      <c r="V103" s="524">
        <v>0</v>
      </c>
      <c r="W103" s="130">
        <v>0</v>
      </c>
      <c r="X103" s="130">
        <v>0</v>
      </c>
      <c r="Y103" s="130">
        <v>0</v>
      </c>
      <c r="Z103" s="130">
        <v>0</v>
      </c>
      <c r="AA103" s="158" t="s">
        <v>2078</v>
      </c>
      <c r="AB103" s="158"/>
      <c r="AC103" s="158"/>
      <c r="AD103" s="158"/>
      <c r="AE103" s="158" t="b">
        <f>IF(AB103="",TRUE,IF(IF(AC103="",VLOOKUP(AB103,Calculs!$A$19:$S$425,19,FALSE),VLOOKUP(AC103,Calculs!$A$19:$S$425,19,FALSE))&gt;=AD103,TRUE,FALSE))</f>
        <v>1</v>
      </c>
      <c r="AF103" s="158"/>
      <c r="AG103" s="158"/>
      <c r="AH103" s="158"/>
      <c r="AI103" s="158" t="b">
        <f>IF(AF103="",TRUE,IF(IF(AG103="",VLOOKUP(AF103,Calculs!$A$19:$S$425,19,FALSE),VLOOKUP(AG103,Calculs!$A$19:$S$425,19,FALSE))&gt;=AH103,TRUE,FALSE))</f>
        <v>1</v>
      </c>
      <c r="AJ103" s="158"/>
      <c r="AK103" s="158"/>
      <c r="AL103" s="158"/>
      <c r="AM103" s="158" t="b">
        <f>IF(AJ103="",TRUE,IF(IF(AK103="",VLOOKUP(AJ103,Calculs!$A$19:$S$425,19,FALSE),VLOOKUP(AK103,Calculs!$A$19:$S$425,19,FALSE))&gt;=AL103,TRUE,FALSE))</f>
        <v>1</v>
      </c>
      <c r="AN103" s="158"/>
      <c r="AO103" s="158"/>
      <c r="AP103" s="158"/>
      <c r="AQ103" s="158" t="b">
        <f>IF(AN103="",TRUE,IF(IF(AO103="",VLOOKUP(AN103,Calculs!$A$19:$S$425,19,FALSE),VLOOKUP(AO103,Calculs!$A$19:$S$425,19,FALSE))&gt;=AP103,TRUE,FALSE))</f>
        <v>1</v>
      </c>
      <c r="AR103" s="158"/>
      <c r="AS103" s="158" t="b">
        <f>IF(AR103="",TRUE,IF(VLOOKUP(AR103,Calculs!$A$427:$G$738,7,FALSE)&gt;0,TRUE,FALSE))</f>
        <v>1</v>
      </c>
      <c r="AT103" s="158"/>
      <c r="AU103" s="158" t="b">
        <f>IF(AT103="",TRUE,IF(VLOOKUP(AT103,Calculs!$A$740:$G$912,7,FALSE)&gt;0,TRUE,FALSE))</f>
        <v>1</v>
      </c>
      <c r="AV103" s="158" t="b">
        <f t="shared" si="7"/>
        <v>1</v>
      </c>
      <c r="AW103" s="158" t="s">
        <v>2078</v>
      </c>
      <c r="AX103" s="162" t="s">
        <v>6816</v>
      </c>
      <c r="AY103" s="15">
        <v>16</v>
      </c>
      <c r="AZ103" s="555" t="s">
        <v>6913</v>
      </c>
      <c r="BA103" s="559">
        <f>IF(Verso!$B$10=Voies!$B103,1,0)</f>
        <v>0</v>
      </c>
      <c r="BB103" s="12">
        <f>IF(Verso!$B$11=Voies!$B103,1,0)</f>
        <v>0</v>
      </c>
      <c r="BC103" s="12">
        <f>IF(Verso!$B$12=Voies!$B103,1,0)</f>
        <v>0</v>
      </c>
      <c r="BD103" s="12">
        <f>IF(Verso!$B$13=Voies!$B103,1,0)</f>
        <v>0</v>
      </c>
      <c r="BE103" s="12">
        <f>IF(Verso!$B$14=Voies!$B103,1,0)</f>
        <v>0</v>
      </c>
      <c r="BF103" s="12">
        <f>IF(Verso!$B$15=Voies!$B103,1,0)</f>
        <v>0</v>
      </c>
      <c r="BG103" s="12">
        <f>IF(Verso!$B$16=Voies!$B103,1,0)</f>
        <v>0</v>
      </c>
      <c r="BH103" s="12">
        <f>IF(Verso!$B$17=Voies!$B103,1,0)</f>
        <v>0</v>
      </c>
      <c r="BI103" s="557">
        <f t="shared" si="8"/>
        <v>0</v>
      </c>
      <c r="BJ103" s="196" t="str">
        <f t="shared" si="9"/>
        <v/>
      </c>
      <c r="BK103" s="196" t="str">
        <f t="shared" si="10"/>
        <v/>
      </c>
      <c r="BL103" s="295" t="str">
        <f t="shared" si="11"/>
        <v/>
      </c>
      <c r="BM103" s="91"/>
    </row>
    <row r="104" spans="1:65" ht="47.25" customHeight="1" x14ac:dyDescent="0.25">
      <c r="A104" s="162" t="str">
        <f>IF(AND(Réputation&gt;Voies!E104-1,OR(C104=TRUE,Calculs!$I$8&gt;0),Air&gt;Voies!J104-1,Eau&gt;Voies!K104-1,Feu&gt;Voies!L104-1,Terre&gt;Voies!M104-1,Vide&gt;Voies!N104-1,Constitution&gt;Voies!O104-1,Volonté&gt;Voies!P104-1,Force&gt;Voies!Q104-1,Perception&gt;Voies!R104-1,Reflexes&gt;Voies!S104-1,Agilité&gt;Voies!T104-1,Intuition&gt;Voies!U104-1,Intelligence&gt;Voies!V104-1,Souillure&gt;Voies!W104-1,Honneur&gt;X104-1,Statut&gt;Y104-1,Gloire&gt;Z104-1,AV104=TRUE),Voies!B104,"")</f>
        <v/>
      </c>
      <c r="B104" s="162" t="s">
        <v>6920</v>
      </c>
      <c r="C104" s="162" t="b">
        <f>IF(Clan=Voies!D104,TRUE,FALSE)</f>
        <v>0</v>
      </c>
      <c r="D104" s="466" t="s">
        <v>6757</v>
      </c>
      <c r="E104" s="13">
        <v>4</v>
      </c>
      <c r="F104" s="199">
        <v>4</v>
      </c>
      <c r="G104" s="13" t="s">
        <v>2049</v>
      </c>
      <c r="H104" s="162" t="s">
        <v>6902</v>
      </c>
      <c r="I104" s="129" t="str">
        <f t="shared" si="13"/>
        <v>Rien</v>
      </c>
      <c r="J104" s="146">
        <v>0</v>
      </c>
      <c r="K104" s="147">
        <v>0</v>
      </c>
      <c r="L104" s="148">
        <v>0</v>
      </c>
      <c r="M104" s="149">
        <v>0</v>
      </c>
      <c r="N104" s="150">
        <v>0</v>
      </c>
      <c r="O104" s="130">
        <v>0</v>
      </c>
      <c r="P104" s="130">
        <v>0</v>
      </c>
      <c r="Q104" s="130">
        <v>0</v>
      </c>
      <c r="R104" s="130">
        <v>0</v>
      </c>
      <c r="S104" s="130">
        <v>0</v>
      </c>
      <c r="T104" s="130">
        <v>0</v>
      </c>
      <c r="U104" s="130">
        <v>0</v>
      </c>
      <c r="V104" s="524">
        <v>0</v>
      </c>
      <c r="W104" s="130">
        <v>0</v>
      </c>
      <c r="X104" s="130">
        <v>0</v>
      </c>
      <c r="Y104" s="130">
        <v>0</v>
      </c>
      <c r="Z104" s="130">
        <v>0</v>
      </c>
      <c r="AA104" s="158" t="s">
        <v>2078</v>
      </c>
      <c r="AB104" s="158"/>
      <c r="AC104" s="158"/>
      <c r="AD104" s="158"/>
      <c r="AE104" s="158" t="b">
        <f>IF(AB104="",TRUE,IF(IF(AC104="",VLOOKUP(AB104,Calculs!$A$19:$S$425,19,FALSE),VLOOKUP(AC104,Calculs!$A$19:$S$425,19,FALSE))&gt;=AD104,TRUE,FALSE))</f>
        <v>1</v>
      </c>
      <c r="AF104" s="158"/>
      <c r="AG104" s="158"/>
      <c r="AH104" s="158"/>
      <c r="AI104" s="158" t="b">
        <f>IF(AF104="",TRUE,IF(IF(AG104="",VLOOKUP(AF104,Calculs!$A$19:$S$425,19,FALSE),VLOOKUP(AG104,Calculs!$A$19:$S$425,19,FALSE))&gt;=AH104,TRUE,FALSE))</f>
        <v>1</v>
      </c>
      <c r="AJ104" s="158"/>
      <c r="AK104" s="158"/>
      <c r="AL104" s="158"/>
      <c r="AM104" s="158" t="b">
        <f>IF(AJ104="",TRUE,IF(IF(AK104="",VLOOKUP(AJ104,Calculs!$A$19:$S$425,19,FALSE),VLOOKUP(AK104,Calculs!$A$19:$S$425,19,FALSE))&gt;=AL104,TRUE,FALSE))</f>
        <v>1</v>
      </c>
      <c r="AN104" s="158"/>
      <c r="AO104" s="158"/>
      <c r="AP104" s="158"/>
      <c r="AQ104" s="158" t="b">
        <f>IF(AN104="",TRUE,IF(IF(AO104="",VLOOKUP(AN104,Calculs!$A$19:$S$425,19,FALSE),VLOOKUP(AO104,Calculs!$A$19:$S$425,19,FALSE))&gt;=AP104,TRUE,FALSE))</f>
        <v>1</v>
      </c>
      <c r="AR104" s="158"/>
      <c r="AS104" s="158" t="b">
        <f>IF(AR104="",TRUE,IF(VLOOKUP(AR104,Calculs!$A$427:$G$738,7,FALSE)&gt;0,TRUE,FALSE))</f>
        <v>1</v>
      </c>
      <c r="AT104" s="158"/>
      <c r="AU104" s="158" t="b">
        <f>IF(AT104="",TRUE,IF(VLOOKUP(AT104,Calculs!$A$740:$G$912,7,FALSE)&gt;0,TRUE,FALSE))</f>
        <v>1</v>
      </c>
      <c r="AV104" s="158" t="b">
        <f t="shared" si="7"/>
        <v>1</v>
      </c>
      <c r="AW104" s="158" t="s">
        <v>2078</v>
      </c>
      <c r="AX104" s="162" t="s">
        <v>6816</v>
      </c>
      <c r="AY104" s="15">
        <v>16</v>
      </c>
      <c r="AZ104" s="555" t="s">
        <v>6919</v>
      </c>
      <c r="BA104" s="559">
        <f>IF(Verso!$B$10=Voies!$B104,1,0)</f>
        <v>0</v>
      </c>
      <c r="BB104" s="12">
        <f>IF(Verso!$B$11=Voies!$B104,1,0)</f>
        <v>0</v>
      </c>
      <c r="BC104" s="12">
        <f>IF(Verso!$B$12=Voies!$B104,1,0)</f>
        <v>0</v>
      </c>
      <c r="BD104" s="12">
        <f>IF(Verso!$B$13=Voies!$B104,1,0)</f>
        <v>0</v>
      </c>
      <c r="BE104" s="12">
        <f>IF(Verso!$B$14=Voies!$B104,1,0)</f>
        <v>0</v>
      </c>
      <c r="BF104" s="12">
        <f>IF(Verso!$B$15=Voies!$B104,1,0)</f>
        <v>0</v>
      </c>
      <c r="BG104" s="12">
        <f>IF(Verso!$B$16=Voies!$B104,1,0)</f>
        <v>0</v>
      </c>
      <c r="BH104" s="12">
        <f>IF(Verso!$B$17=Voies!$B104,1,0)</f>
        <v>0</v>
      </c>
      <c r="BI104" s="557">
        <f t="shared" si="8"/>
        <v>0</v>
      </c>
      <c r="BJ104" s="196" t="str">
        <f t="shared" si="9"/>
        <v/>
      </c>
      <c r="BK104" s="196" t="str">
        <f t="shared" si="10"/>
        <v/>
      </c>
      <c r="BL104" s="295" t="str">
        <f t="shared" si="11"/>
        <v/>
      </c>
    </row>
    <row r="105" spans="1:65" ht="47.25" customHeight="1" x14ac:dyDescent="0.25">
      <c r="A105" s="162" t="str">
        <f>IF(AND(Réputation&gt;Voies!E105-1,OR(C105=TRUE,Calculs!$I$8&gt;0),Air&gt;Voies!J105-1,Eau&gt;Voies!K105-1,Feu&gt;Voies!L105-1,Terre&gt;Voies!M105-1,Vide&gt;Voies!N105-1,Constitution&gt;Voies!O105-1,Volonté&gt;Voies!P105-1,Force&gt;Voies!Q105-1,Perception&gt;Voies!R105-1,Reflexes&gt;Voies!S105-1,Agilité&gt;Voies!T105-1,Intuition&gt;Voies!U105-1,Intelligence&gt;Voies!V105-1,Souillure&gt;Voies!W105-1,Honneur&gt;X105-1,Statut&gt;Y105-1,Gloire&gt;Z105-1,AV105=TRUE),Voies!B105,"")</f>
        <v/>
      </c>
      <c r="B105" s="162" t="s">
        <v>7842</v>
      </c>
      <c r="C105" s="162" t="b">
        <f>IF(Clan=Voies!D105,TRUE,FALSE)</f>
        <v>0</v>
      </c>
      <c r="D105" s="466" t="s">
        <v>6757</v>
      </c>
      <c r="E105" s="13">
        <v>4</v>
      </c>
      <c r="F105" s="199">
        <v>4</v>
      </c>
      <c r="G105" s="199" t="s">
        <v>2052</v>
      </c>
      <c r="H105" s="162" t="s">
        <v>7797</v>
      </c>
      <c r="I105" s="129" t="str">
        <f t="shared" si="13"/>
        <v>Rien</v>
      </c>
      <c r="J105" s="146">
        <v>0</v>
      </c>
      <c r="K105" s="147">
        <v>0</v>
      </c>
      <c r="L105" s="148">
        <v>0</v>
      </c>
      <c r="M105" s="149">
        <v>0</v>
      </c>
      <c r="N105" s="150">
        <v>0</v>
      </c>
      <c r="O105" s="130">
        <v>0</v>
      </c>
      <c r="P105" s="130">
        <v>0</v>
      </c>
      <c r="Q105" s="130">
        <v>0</v>
      </c>
      <c r="R105" s="130">
        <v>0</v>
      </c>
      <c r="S105" s="130">
        <v>0</v>
      </c>
      <c r="T105" s="130">
        <v>0</v>
      </c>
      <c r="U105" s="130">
        <v>0</v>
      </c>
      <c r="V105" s="524">
        <v>0</v>
      </c>
      <c r="W105" s="130">
        <v>0</v>
      </c>
      <c r="X105" s="130">
        <v>0</v>
      </c>
      <c r="Y105" s="130">
        <v>0</v>
      </c>
      <c r="Z105" s="130">
        <v>0</v>
      </c>
      <c r="AA105" s="158" t="s">
        <v>2078</v>
      </c>
      <c r="AB105" s="158"/>
      <c r="AC105" s="158"/>
      <c r="AD105" s="158"/>
      <c r="AE105" s="158" t="b">
        <f>IF(AB105="",TRUE,IF(IF(AC105="",VLOOKUP(AB105,Calculs!$A$19:$S$425,19,FALSE),VLOOKUP(AC105,Calculs!$A$19:$S$425,19,FALSE))&gt;=AD105,TRUE,FALSE))</f>
        <v>1</v>
      </c>
      <c r="AF105" s="158"/>
      <c r="AG105" s="158"/>
      <c r="AH105" s="158"/>
      <c r="AI105" s="158" t="b">
        <f>IF(AF105="",TRUE,IF(IF(AG105="",VLOOKUP(AF105,Calculs!$A$19:$S$425,19,FALSE),VLOOKUP(AG105,Calculs!$A$19:$S$425,19,FALSE))&gt;=AH105,TRUE,FALSE))</f>
        <v>1</v>
      </c>
      <c r="AJ105" s="158"/>
      <c r="AK105" s="158"/>
      <c r="AL105" s="158"/>
      <c r="AM105" s="158" t="b">
        <f>IF(AJ105="",TRUE,IF(IF(AK105="",VLOOKUP(AJ105,Calculs!$A$19:$S$425,19,FALSE),VLOOKUP(AK105,Calculs!$A$19:$S$425,19,FALSE))&gt;=AL105,TRUE,FALSE))</f>
        <v>1</v>
      </c>
      <c r="AN105" s="158"/>
      <c r="AO105" s="158"/>
      <c r="AP105" s="158"/>
      <c r="AQ105" s="158" t="b">
        <f>IF(AN105="",TRUE,IF(IF(AO105="",VLOOKUP(AN105,Calculs!$A$19:$S$425,19,FALSE),VLOOKUP(AO105,Calculs!$A$19:$S$425,19,FALSE))&gt;=AP105,TRUE,FALSE))</f>
        <v>1</v>
      </c>
      <c r="AR105" s="158"/>
      <c r="AS105" s="158" t="b">
        <f>IF(AR105="",TRUE,IF(VLOOKUP(AR105,Calculs!$A$427:$G$738,7,FALSE)&gt;0,TRUE,FALSE))</f>
        <v>1</v>
      </c>
      <c r="AT105" s="158"/>
      <c r="AU105" s="158" t="b">
        <f>IF(AT105="",TRUE,IF(VLOOKUP(AT105,Calculs!$A$740:$G$912,7,FALSE)&gt;0,TRUE,FALSE))</f>
        <v>1</v>
      </c>
      <c r="AV105" s="158" t="b">
        <f t="shared" si="7"/>
        <v>1</v>
      </c>
      <c r="AW105" s="158" t="s">
        <v>2078</v>
      </c>
      <c r="AX105" s="162" t="s">
        <v>7226</v>
      </c>
      <c r="AY105" s="15">
        <v>69</v>
      </c>
      <c r="AZ105" s="555" t="s">
        <v>7845</v>
      </c>
      <c r="BA105" s="559">
        <f>IF(Verso!$B$10=Voies!$B105,1,0)</f>
        <v>0</v>
      </c>
      <c r="BB105" s="12">
        <f>IF(Verso!$B$11=Voies!$B105,1,0)</f>
        <v>0</v>
      </c>
      <c r="BC105" s="12">
        <f>IF(Verso!$B$12=Voies!$B105,1,0)</f>
        <v>0</v>
      </c>
      <c r="BD105" s="12">
        <f>IF(Verso!$B$13=Voies!$B105,1,0)</f>
        <v>0</v>
      </c>
      <c r="BE105" s="12">
        <f>IF(Verso!$B$14=Voies!$B105,1,0)</f>
        <v>0</v>
      </c>
      <c r="BF105" s="12">
        <f>IF(Verso!$B$15=Voies!$B105,1,0)</f>
        <v>0</v>
      </c>
      <c r="BG105" s="12">
        <f>IF(Verso!$B$16=Voies!$B105,1,0)</f>
        <v>0</v>
      </c>
      <c r="BH105" s="12">
        <f>IF(Verso!$B$17=Voies!$B105,1,0)</f>
        <v>0</v>
      </c>
      <c r="BI105" s="557">
        <f t="shared" si="8"/>
        <v>0</v>
      </c>
      <c r="BJ105" s="196" t="str">
        <f t="shared" si="9"/>
        <v/>
      </c>
      <c r="BK105" s="196" t="str">
        <f t="shared" si="10"/>
        <v/>
      </c>
      <c r="BL105" s="295" t="str">
        <f t="shared" si="11"/>
        <v/>
      </c>
    </row>
    <row r="106" spans="1:65" ht="47.25" customHeight="1" x14ac:dyDescent="0.25">
      <c r="A106" s="162" t="str">
        <f>IF(AND(Réputation&gt;Voies!E106-1,OR(C106=TRUE,Calculs!$I$8&gt;0),Air&gt;Voies!J106-1,Eau&gt;Voies!K106-1,Feu&gt;Voies!L106-1,Terre&gt;Voies!M106-1,Vide&gt;Voies!N106-1,Constitution&gt;Voies!O106-1,Volonté&gt;Voies!P106-1,Force&gt;Voies!Q106-1,Perception&gt;Voies!R106-1,Reflexes&gt;Voies!S106-1,Agilité&gt;Voies!T106-1,Intuition&gt;Voies!U106-1,Intelligence&gt;Voies!V106-1,Souillure&gt;Voies!W106-1,Honneur&gt;X106-1,Statut&gt;Y106-1,Gloire&gt;Z106-1,AV106=TRUE),Voies!B106,"")</f>
        <v/>
      </c>
      <c r="B106" s="162" t="s">
        <v>6907</v>
      </c>
      <c r="C106" s="162" t="b">
        <f>IF(Clan=Voies!D106,TRUE,FALSE)</f>
        <v>0</v>
      </c>
      <c r="D106" s="466" t="s">
        <v>6757</v>
      </c>
      <c r="E106" s="13">
        <v>5</v>
      </c>
      <c r="F106" s="199">
        <v>5</v>
      </c>
      <c r="G106" s="199" t="s">
        <v>2049</v>
      </c>
      <c r="H106" s="162" t="s">
        <v>6845</v>
      </c>
      <c r="I106" s="129" t="str">
        <f t="shared" si="13"/>
        <v>Rien</v>
      </c>
      <c r="J106" s="146">
        <v>0</v>
      </c>
      <c r="K106" s="147">
        <v>0</v>
      </c>
      <c r="L106" s="148">
        <v>0</v>
      </c>
      <c r="M106" s="149">
        <v>0</v>
      </c>
      <c r="N106" s="150">
        <v>0</v>
      </c>
      <c r="O106" s="130">
        <v>0</v>
      </c>
      <c r="P106" s="130">
        <v>0</v>
      </c>
      <c r="Q106" s="130">
        <v>0</v>
      </c>
      <c r="R106" s="130">
        <v>0</v>
      </c>
      <c r="S106" s="130">
        <v>0</v>
      </c>
      <c r="T106" s="130">
        <v>0</v>
      </c>
      <c r="U106" s="130">
        <v>0</v>
      </c>
      <c r="V106" s="524">
        <v>0</v>
      </c>
      <c r="W106" s="130">
        <v>0</v>
      </c>
      <c r="X106" s="130">
        <v>0</v>
      </c>
      <c r="Y106" s="130">
        <v>0</v>
      </c>
      <c r="Z106" s="130">
        <v>0</v>
      </c>
      <c r="AA106" s="158" t="s">
        <v>2078</v>
      </c>
      <c r="AB106" s="158"/>
      <c r="AC106" s="158"/>
      <c r="AD106" s="158"/>
      <c r="AE106" s="158" t="b">
        <f>IF(AB106="",TRUE,IF(IF(AC106="",VLOOKUP(AB106,Calculs!$A$19:$S$425,19,FALSE),VLOOKUP(AC106,Calculs!$A$19:$S$425,19,FALSE))&gt;=AD106,TRUE,FALSE))</f>
        <v>1</v>
      </c>
      <c r="AF106" s="158"/>
      <c r="AG106" s="158"/>
      <c r="AH106" s="158"/>
      <c r="AI106" s="158" t="b">
        <f>IF(AF106="",TRUE,IF(IF(AG106="",VLOOKUP(AF106,Calculs!$A$19:$S$425,19,FALSE),VLOOKUP(AG106,Calculs!$A$19:$S$425,19,FALSE))&gt;=AH106,TRUE,FALSE))</f>
        <v>1</v>
      </c>
      <c r="AJ106" s="158"/>
      <c r="AK106" s="158"/>
      <c r="AL106" s="158"/>
      <c r="AM106" s="158" t="b">
        <f>IF(AJ106="",TRUE,IF(IF(AK106="",VLOOKUP(AJ106,Calculs!$A$19:$S$425,19,FALSE),VLOOKUP(AK106,Calculs!$A$19:$S$425,19,FALSE))&gt;=AL106,TRUE,FALSE))</f>
        <v>1</v>
      </c>
      <c r="AN106" s="158"/>
      <c r="AO106" s="158"/>
      <c r="AP106" s="158"/>
      <c r="AQ106" s="158" t="b">
        <f>IF(AN106="",TRUE,IF(IF(AO106="",VLOOKUP(AN106,Calculs!$A$19:$S$425,19,FALSE),VLOOKUP(AO106,Calculs!$A$19:$S$425,19,FALSE))&gt;=AP106,TRUE,FALSE))</f>
        <v>1</v>
      </c>
      <c r="AR106" s="158"/>
      <c r="AS106" s="158" t="b">
        <f>IF(AR106="",TRUE,IF(VLOOKUP(AR106,Calculs!$A$427:$G$738,7,FALSE)&gt;0,TRUE,FALSE))</f>
        <v>1</v>
      </c>
      <c r="AT106" s="158"/>
      <c r="AU106" s="158" t="b">
        <f>IF(AT106="",TRUE,IF(VLOOKUP(AT106,Calculs!$A$740:$G$912,7,FALSE)&gt;0,TRUE,FALSE))</f>
        <v>1</v>
      </c>
      <c r="AV106" s="158" t="b">
        <f t="shared" si="7"/>
        <v>1</v>
      </c>
      <c r="AW106" s="158" t="s">
        <v>2078</v>
      </c>
      <c r="AX106" s="162" t="s">
        <v>6816</v>
      </c>
      <c r="AY106" s="15">
        <v>16</v>
      </c>
      <c r="AZ106" s="555" t="s">
        <v>6914</v>
      </c>
      <c r="BA106" s="559">
        <f>IF(Verso!$B$10=Voies!$B106,1,0)</f>
        <v>0</v>
      </c>
      <c r="BB106" s="12">
        <f>IF(Verso!$B$11=Voies!$B106,1,0)</f>
        <v>0</v>
      </c>
      <c r="BC106" s="12">
        <f>IF(Verso!$B$12=Voies!$B106,1,0)</f>
        <v>0</v>
      </c>
      <c r="BD106" s="12">
        <f>IF(Verso!$B$13=Voies!$B106,1,0)</f>
        <v>0</v>
      </c>
      <c r="BE106" s="12">
        <f>IF(Verso!$B$14=Voies!$B106,1,0)</f>
        <v>0</v>
      </c>
      <c r="BF106" s="12">
        <f>IF(Verso!$B$15=Voies!$B106,1,0)</f>
        <v>0</v>
      </c>
      <c r="BG106" s="12">
        <f>IF(Verso!$B$16=Voies!$B106,1,0)</f>
        <v>0</v>
      </c>
      <c r="BH106" s="12">
        <f>IF(Verso!$B$17=Voies!$B106,1,0)</f>
        <v>0</v>
      </c>
      <c r="BI106" s="557">
        <f t="shared" si="8"/>
        <v>0</v>
      </c>
      <c r="BJ106" s="196" t="str">
        <f t="shared" si="9"/>
        <v/>
      </c>
      <c r="BK106" s="196" t="str">
        <f t="shared" si="10"/>
        <v/>
      </c>
      <c r="BL106" s="295" t="str">
        <f t="shared" si="11"/>
        <v/>
      </c>
    </row>
    <row r="107" spans="1:65" ht="47.25" customHeight="1" x14ac:dyDescent="0.25">
      <c r="A107" s="162" t="str">
        <f>IF(AND(Réputation&gt;Voies!E107-1,OR(C107=TRUE,Calculs!$I$8&gt;0),Air&gt;Voies!J107-1,Eau&gt;Voies!K107-1,Feu&gt;Voies!L107-1,Terre&gt;Voies!M107-1,Vide&gt;Voies!N107-1,Constitution&gt;Voies!O107-1,Volonté&gt;Voies!P107-1,Force&gt;Voies!Q107-1,Perception&gt;Voies!R107-1,Reflexes&gt;Voies!S107-1,Agilité&gt;Voies!T107-1,Intuition&gt;Voies!U107-1,Intelligence&gt;Voies!V107-1,Souillure&gt;Voies!W107-1,Honneur&gt;X107-1,Statut&gt;Y107-1,Gloire&gt;Z107-1,AV107=TRUE),Voies!B107,"")</f>
        <v/>
      </c>
      <c r="B107" s="162" t="s">
        <v>6921</v>
      </c>
      <c r="C107" s="162" t="b">
        <f>IF(Clan=Voies!D107,TRUE,FALSE)</f>
        <v>0</v>
      </c>
      <c r="D107" s="466" t="s">
        <v>6757</v>
      </c>
      <c r="E107" s="13">
        <v>5</v>
      </c>
      <c r="F107" s="199">
        <v>5</v>
      </c>
      <c r="G107" s="199" t="s">
        <v>2049</v>
      </c>
      <c r="H107" s="162" t="s">
        <v>6902</v>
      </c>
      <c r="I107" s="129" t="str">
        <f t="shared" si="13"/>
        <v>Rien</v>
      </c>
      <c r="J107" s="146">
        <v>0</v>
      </c>
      <c r="K107" s="147">
        <v>0</v>
      </c>
      <c r="L107" s="148">
        <v>0</v>
      </c>
      <c r="M107" s="149">
        <v>0</v>
      </c>
      <c r="N107" s="150">
        <v>0</v>
      </c>
      <c r="O107" s="130">
        <v>0</v>
      </c>
      <c r="P107" s="130">
        <v>0</v>
      </c>
      <c r="Q107" s="130">
        <v>0</v>
      </c>
      <c r="R107" s="130">
        <v>0</v>
      </c>
      <c r="S107" s="130">
        <v>0</v>
      </c>
      <c r="T107" s="130">
        <v>0</v>
      </c>
      <c r="U107" s="130">
        <v>0</v>
      </c>
      <c r="V107" s="524">
        <v>0</v>
      </c>
      <c r="W107" s="130">
        <v>0</v>
      </c>
      <c r="X107" s="130">
        <v>0</v>
      </c>
      <c r="Y107" s="130">
        <v>0</v>
      </c>
      <c r="Z107" s="130">
        <v>0</v>
      </c>
      <c r="AA107" s="158" t="s">
        <v>2078</v>
      </c>
      <c r="AB107" s="158"/>
      <c r="AC107" s="158"/>
      <c r="AD107" s="158"/>
      <c r="AE107" s="158" t="b">
        <f>IF(AB107="",TRUE,IF(IF(AC107="",VLOOKUP(AB107,Calculs!$A$19:$S$425,19,FALSE),VLOOKUP(AC107,Calculs!$A$19:$S$425,19,FALSE))&gt;=AD107,TRUE,FALSE))</f>
        <v>1</v>
      </c>
      <c r="AF107" s="158"/>
      <c r="AG107" s="158"/>
      <c r="AH107" s="158"/>
      <c r="AI107" s="158" t="b">
        <f>IF(AF107="",TRUE,IF(IF(AG107="",VLOOKUP(AF107,Calculs!$A$19:$S$425,19,FALSE),VLOOKUP(AG107,Calculs!$A$19:$S$425,19,FALSE))&gt;=AH107,TRUE,FALSE))</f>
        <v>1</v>
      </c>
      <c r="AJ107" s="158"/>
      <c r="AK107" s="158"/>
      <c r="AL107" s="158"/>
      <c r="AM107" s="158" t="b">
        <f>IF(AJ107="",TRUE,IF(IF(AK107="",VLOOKUP(AJ107,Calculs!$A$19:$S$425,19,FALSE),VLOOKUP(AK107,Calculs!$A$19:$S$425,19,FALSE))&gt;=AL107,TRUE,FALSE))</f>
        <v>1</v>
      </c>
      <c r="AN107" s="158"/>
      <c r="AO107" s="158"/>
      <c r="AP107" s="158"/>
      <c r="AQ107" s="158" t="b">
        <f>IF(AN107="",TRUE,IF(IF(AO107="",VLOOKUP(AN107,Calculs!$A$19:$S$425,19,FALSE),VLOOKUP(AO107,Calculs!$A$19:$S$425,19,FALSE))&gt;=AP107,TRUE,FALSE))</f>
        <v>1</v>
      </c>
      <c r="AR107" s="158"/>
      <c r="AS107" s="158" t="b">
        <f>IF(AR107="",TRUE,IF(VLOOKUP(AR107,Calculs!$A$427:$G$738,7,FALSE)&gt;0,TRUE,FALSE))</f>
        <v>1</v>
      </c>
      <c r="AT107" s="158"/>
      <c r="AU107" s="158" t="b">
        <f>IF(AT107="",TRUE,IF(VLOOKUP(AT107,Calculs!$A$740:$G$912,7,FALSE)&gt;0,TRUE,FALSE))</f>
        <v>1</v>
      </c>
      <c r="AV107" s="158" t="b">
        <f t="shared" si="7"/>
        <v>1</v>
      </c>
      <c r="AW107" s="158" t="s">
        <v>2078</v>
      </c>
      <c r="AX107" s="162" t="s">
        <v>6816</v>
      </c>
      <c r="AY107" s="15">
        <v>17</v>
      </c>
      <c r="AZ107" s="555" t="s">
        <v>6922</v>
      </c>
      <c r="BA107" s="559">
        <f>IF(Verso!$B$10=Voies!$B107,1,0)</f>
        <v>0</v>
      </c>
      <c r="BB107" s="12">
        <f>IF(Verso!$B$11=Voies!$B107,1,0)</f>
        <v>0</v>
      </c>
      <c r="BC107" s="12">
        <f>IF(Verso!$B$12=Voies!$B107,1,0)</f>
        <v>0</v>
      </c>
      <c r="BD107" s="12">
        <f>IF(Verso!$B$13=Voies!$B107,1,0)</f>
        <v>0</v>
      </c>
      <c r="BE107" s="12">
        <f>IF(Verso!$B$14=Voies!$B107,1,0)</f>
        <v>0</v>
      </c>
      <c r="BF107" s="12">
        <f>IF(Verso!$B$15=Voies!$B107,1,0)</f>
        <v>0</v>
      </c>
      <c r="BG107" s="12">
        <f>IF(Verso!$B$16=Voies!$B107,1,0)</f>
        <v>0</v>
      </c>
      <c r="BH107" s="12">
        <f>IF(Verso!$B$17=Voies!$B107,1,0)</f>
        <v>0</v>
      </c>
      <c r="BI107" s="557">
        <f t="shared" si="8"/>
        <v>0</v>
      </c>
      <c r="BJ107" s="196" t="str">
        <f t="shared" si="9"/>
        <v/>
      </c>
      <c r="BK107" s="196" t="str">
        <f t="shared" si="10"/>
        <v/>
      </c>
      <c r="BL107" s="295" t="str">
        <f t="shared" si="11"/>
        <v/>
      </c>
    </row>
    <row r="108" spans="1:65" ht="47.25" customHeight="1" x14ac:dyDescent="0.25">
      <c r="A108" s="162" t="str">
        <f>IF(AND(Réputation&gt;Voies!E108-1,OR(C108=TRUE,Calculs!$I$8&gt;0),Air&gt;Voies!J108-1,Eau&gt;Voies!K108-1,Feu&gt;Voies!L108-1,Terre&gt;Voies!M108-1,Vide&gt;Voies!N108-1,Constitution&gt;Voies!O108-1,Volonté&gt;Voies!P108-1,Force&gt;Voies!Q108-1,Perception&gt;Voies!R108-1,Reflexes&gt;Voies!S108-1,Agilité&gt;Voies!T108-1,Intuition&gt;Voies!U108-1,Intelligence&gt;Voies!V108-1,Souillure&gt;Voies!W108-1,Honneur&gt;X108-1,Statut&gt;Y108-1,Gloire&gt;Z108-1,AV108=TRUE),Voies!B108,"")</f>
        <v/>
      </c>
      <c r="B108" s="162" t="s">
        <v>7841</v>
      </c>
      <c r="C108" s="162" t="b">
        <f>IF(Clan=Voies!D108,TRUE,FALSE)</f>
        <v>0</v>
      </c>
      <c r="D108" s="466" t="s">
        <v>6757</v>
      </c>
      <c r="E108" s="13">
        <v>5</v>
      </c>
      <c r="F108" s="199">
        <v>5</v>
      </c>
      <c r="G108" s="199" t="s">
        <v>2052</v>
      </c>
      <c r="H108" s="162" t="s">
        <v>7797</v>
      </c>
      <c r="I108" s="129" t="str">
        <f>IF(B107="","","Rien")</f>
        <v>Rien</v>
      </c>
      <c r="J108" s="146">
        <v>0</v>
      </c>
      <c r="K108" s="147">
        <v>0</v>
      </c>
      <c r="L108" s="148">
        <v>0</v>
      </c>
      <c r="M108" s="149">
        <v>0</v>
      </c>
      <c r="N108" s="150">
        <v>0</v>
      </c>
      <c r="O108" s="130">
        <v>0</v>
      </c>
      <c r="P108" s="130">
        <v>0</v>
      </c>
      <c r="Q108" s="130">
        <v>0</v>
      </c>
      <c r="R108" s="130">
        <v>0</v>
      </c>
      <c r="S108" s="130">
        <v>0</v>
      </c>
      <c r="T108" s="130">
        <v>0</v>
      </c>
      <c r="U108" s="130">
        <v>0</v>
      </c>
      <c r="V108" s="524">
        <v>0</v>
      </c>
      <c r="W108" s="130">
        <v>0</v>
      </c>
      <c r="X108" s="130">
        <v>0</v>
      </c>
      <c r="Y108" s="130">
        <v>0</v>
      </c>
      <c r="Z108" s="130">
        <v>0</v>
      </c>
      <c r="AA108" s="158" t="s">
        <v>2078</v>
      </c>
      <c r="AB108" s="158"/>
      <c r="AC108" s="158"/>
      <c r="AD108" s="158"/>
      <c r="AE108" s="158" t="b">
        <f>IF(AB108="",TRUE,IF(IF(AC108="",VLOOKUP(AB108,Calculs!$A$19:$S$425,19,FALSE),VLOOKUP(AC108,Calculs!$A$19:$S$425,19,FALSE))&gt;=AD108,TRUE,FALSE))</f>
        <v>1</v>
      </c>
      <c r="AF108" s="158"/>
      <c r="AG108" s="158"/>
      <c r="AH108" s="158"/>
      <c r="AI108" s="158" t="b">
        <f>IF(AF108="",TRUE,IF(IF(AG108="",VLOOKUP(AF108,Calculs!$A$19:$S$425,19,FALSE),VLOOKUP(AG108,Calculs!$A$19:$S$425,19,FALSE))&gt;=AH108,TRUE,FALSE))</f>
        <v>1</v>
      </c>
      <c r="AJ108" s="158"/>
      <c r="AK108" s="158"/>
      <c r="AL108" s="158"/>
      <c r="AM108" s="158" t="b">
        <f>IF(AJ108="",TRUE,IF(IF(AK108="",VLOOKUP(AJ108,Calculs!$A$19:$S$425,19,FALSE),VLOOKUP(AK108,Calculs!$A$19:$S$425,19,FALSE))&gt;=AL108,TRUE,FALSE))</f>
        <v>1</v>
      </c>
      <c r="AN108" s="158"/>
      <c r="AO108" s="158"/>
      <c r="AP108" s="158"/>
      <c r="AQ108" s="158" t="b">
        <f>IF(AN108="",TRUE,IF(IF(AO108="",VLOOKUP(AN108,Calculs!$A$19:$S$425,19,FALSE),VLOOKUP(AO108,Calculs!$A$19:$S$425,19,FALSE))&gt;=AP108,TRUE,FALSE))</f>
        <v>1</v>
      </c>
      <c r="AR108" s="158"/>
      <c r="AS108" s="158" t="b">
        <f>IF(AR108="",TRUE,IF(VLOOKUP(AR108,Calculs!$A$427:$G$738,7,FALSE)&gt;0,TRUE,FALSE))</f>
        <v>1</v>
      </c>
      <c r="AT108" s="158"/>
      <c r="AU108" s="158" t="b">
        <f>IF(AT108="",TRUE,IF(VLOOKUP(AT108,Calculs!$A$740:$G$912,7,FALSE)&gt;0,TRUE,FALSE))</f>
        <v>1</v>
      </c>
      <c r="AV108" s="158" t="b">
        <f t="shared" si="7"/>
        <v>1</v>
      </c>
      <c r="AW108" s="158" t="s">
        <v>2078</v>
      </c>
      <c r="AX108" s="162" t="s">
        <v>7226</v>
      </c>
      <c r="AY108" s="15">
        <v>70</v>
      </c>
      <c r="AZ108" s="555" t="s">
        <v>7846</v>
      </c>
      <c r="BA108" s="559">
        <f>IF(Verso!$B$10=Voies!$B108,1,0)</f>
        <v>0</v>
      </c>
      <c r="BB108" s="12">
        <f>IF(Verso!$B$11=Voies!$B108,1,0)</f>
        <v>0</v>
      </c>
      <c r="BC108" s="12">
        <f>IF(Verso!$B$12=Voies!$B108,1,0)</f>
        <v>0</v>
      </c>
      <c r="BD108" s="12">
        <f>IF(Verso!$B$13=Voies!$B108,1,0)</f>
        <v>0</v>
      </c>
      <c r="BE108" s="12">
        <f>IF(Verso!$B$14=Voies!$B108,1,0)</f>
        <v>0</v>
      </c>
      <c r="BF108" s="12">
        <f>IF(Verso!$B$15=Voies!$B108,1,0)</f>
        <v>0</v>
      </c>
      <c r="BG108" s="12">
        <f>IF(Verso!$B$16=Voies!$B108,1,0)</f>
        <v>0</v>
      </c>
      <c r="BH108" s="12">
        <f>IF(Verso!$B$17=Voies!$B108,1,0)</f>
        <v>0</v>
      </c>
      <c r="BI108" s="557">
        <f t="shared" si="8"/>
        <v>0</v>
      </c>
      <c r="BJ108" s="196" t="str">
        <f t="shared" si="9"/>
        <v/>
      </c>
      <c r="BK108" s="196" t="str">
        <f t="shared" si="10"/>
        <v/>
      </c>
      <c r="BL108" s="295" t="str">
        <f t="shared" si="11"/>
        <v/>
      </c>
    </row>
    <row r="109" spans="1:65" s="196" customFormat="1" ht="47.25" customHeight="1" x14ac:dyDescent="0.25">
      <c r="A109" s="162" t="str">
        <f>IF(AND(Réputation&gt;Voies!E109-1,OR(C109=TRUE,Calculs!$I$8&gt;0),Air&gt;Voies!J109-1,Eau&gt;Voies!K109-1,Feu&gt;Voies!L109-1,Terre&gt;Voies!M109-1,Vide&gt;Voies!N109-1,Constitution&gt;Voies!O109-1,Volonté&gt;Voies!P109-1,Force&gt;Voies!Q109-1,Perception&gt;Voies!R109-1,Reflexes&gt;Voies!S109-1,Agilité&gt;Voies!T109-1,Intuition&gt;Voies!U109-1,Intelligence&gt;Voies!V109-1,Souillure&gt;Voies!W109-1,Honneur&gt;X109-1,Statut&gt;Y109-1,Gloire&gt;Z109-1,AV109=TRUE),Voies!B109,"")</f>
        <v/>
      </c>
      <c r="B109" s="162" t="s">
        <v>6923</v>
      </c>
      <c r="C109" s="162" t="b">
        <f>IF(Clan=Voies!D109,TRUE,FALSE)</f>
        <v>0</v>
      </c>
      <c r="D109" s="466" t="s">
        <v>6758</v>
      </c>
      <c r="E109" s="199">
        <v>1</v>
      </c>
      <c r="F109" s="199">
        <v>1</v>
      </c>
      <c r="G109" s="199" t="s">
        <v>2052</v>
      </c>
      <c r="H109" s="162" t="s">
        <v>6855</v>
      </c>
      <c r="I109" s="129" t="str">
        <f t="shared" ref="I109:I156" si="14">IF(B109="","","Rien")</f>
        <v>Rien</v>
      </c>
      <c r="J109" s="146">
        <v>0</v>
      </c>
      <c r="K109" s="147">
        <v>0</v>
      </c>
      <c r="L109" s="148">
        <v>0</v>
      </c>
      <c r="M109" s="149">
        <v>0</v>
      </c>
      <c r="N109" s="150">
        <v>0</v>
      </c>
      <c r="O109" s="130">
        <v>0</v>
      </c>
      <c r="P109" s="130">
        <v>0</v>
      </c>
      <c r="Q109" s="130">
        <v>0</v>
      </c>
      <c r="R109" s="130">
        <v>0</v>
      </c>
      <c r="S109" s="130">
        <v>0</v>
      </c>
      <c r="T109" s="130">
        <v>0</v>
      </c>
      <c r="U109" s="130">
        <v>0</v>
      </c>
      <c r="V109" s="524">
        <v>0</v>
      </c>
      <c r="W109" s="130">
        <v>0</v>
      </c>
      <c r="X109" s="130">
        <v>0</v>
      </c>
      <c r="Y109" s="130">
        <v>0</v>
      </c>
      <c r="Z109" s="130">
        <v>0</v>
      </c>
      <c r="AA109" s="158" t="s">
        <v>2078</v>
      </c>
      <c r="AB109" s="158"/>
      <c r="AC109" s="158"/>
      <c r="AD109" s="158"/>
      <c r="AE109" s="158" t="b">
        <f>IF(AB109="",TRUE,IF(IF(AC109="",VLOOKUP(AB109,Calculs!$A$19:$S$425,19,FALSE),VLOOKUP(AC109,Calculs!$A$19:$S$425,19,FALSE))&gt;=AD109,TRUE,FALSE))</f>
        <v>1</v>
      </c>
      <c r="AF109" s="158"/>
      <c r="AG109" s="158"/>
      <c r="AH109" s="158"/>
      <c r="AI109" s="158" t="b">
        <f>IF(AF109="",TRUE,IF(IF(AG109="",VLOOKUP(AF109,Calculs!$A$19:$S$425,19,FALSE),VLOOKUP(AG109,Calculs!$A$19:$S$425,19,FALSE))&gt;=AH109,TRUE,FALSE))</f>
        <v>1</v>
      </c>
      <c r="AJ109" s="158"/>
      <c r="AK109" s="158"/>
      <c r="AL109" s="158"/>
      <c r="AM109" s="158" t="b">
        <f>IF(AJ109="",TRUE,IF(IF(AK109="",VLOOKUP(AJ109,Calculs!$A$19:$S$425,19,FALSE),VLOOKUP(AK109,Calculs!$A$19:$S$425,19,FALSE))&gt;=AL109,TRUE,FALSE))</f>
        <v>1</v>
      </c>
      <c r="AN109" s="158"/>
      <c r="AO109" s="158"/>
      <c r="AP109" s="158"/>
      <c r="AQ109" s="158" t="b">
        <f>IF(AN109="",TRUE,IF(IF(AO109="",VLOOKUP(AN109,Calculs!$A$19:$S$425,19,FALSE),VLOOKUP(AO109,Calculs!$A$19:$S$425,19,FALSE))&gt;=AP109,TRUE,FALSE))</f>
        <v>1</v>
      </c>
      <c r="AR109" s="158"/>
      <c r="AS109" s="158" t="b">
        <f>IF(AR109="",TRUE,IF(VLOOKUP(AR109,Calculs!$A$427:$G$738,7,FALSE)&gt;0,TRUE,FALSE))</f>
        <v>1</v>
      </c>
      <c r="AT109" s="158"/>
      <c r="AU109" s="158" t="b">
        <f>IF(AT109="",TRUE,IF(VLOOKUP(AT109,Calculs!$A$740:$G$912,7,FALSE)&gt;0,TRUE,FALSE))</f>
        <v>1</v>
      </c>
      <c r="AV109" s="158" t="b">
        <f t="shared" si="7"/>
        <v>1</v>
      </c>
      <c r="AW109" s="158" t="s">
        <v>2078</v>
      </c>
      <c r="AX109" s="162" t="s">
        <v>6816</v>
      </c>
      <c r="AY109" s="15">
        <v>20</v>
      </c>
      <c r="AZ109" s="555" t="s">
        <v>8487</v>
      </c>
      <c r="BA109" s="559">
        <f>IF(Verso!$B$10=Voies!$B109,1,0)</f>
        <v>0</v>
      </c>
      <c r="BB109" s="12">
        <f>IF(Verso!$B$11=Voies!$B109,1,0)</f>
        <v>0</v>
      </c>
      <c r="BC109" s="12">
        <f>IF(Verso!$B$12=Voies!$B109,1,0)</f>
        <v>0</v>
      </c>
      <c r="BD109" s="12">
        <f>IF(Verso!$B$13=Voies!$B109,1,0)</f>
        <v>0</v>
      </c>
      <c r="BE109" s="12">
        <f>IF(Verso!$B$14=Voies!$B109,1,0)</f>
        <v>0</v>
      </c>
      <c r="BF109" s="12">
        <f>IF(Verso!$B$15=Voies!$B109,1,0)</f>
        <v>0</v>
      </c>
      <c r="BG109" s="12">
        <f>IF(Verso!$B$16=Voies!$B109,1,0)</f>
        <v>0</v>
      </c>
      <c r="BH109" s="12">
        <f>IF(Verso!$B$17=Voies!$B109,1,0)</f>
        <v>0</v>
      </c>
      <c r="BI109" s="557">
        <f t="shared" si="8"/>
        <v>0</v>
      </c>
      <c r="BJ109" s="196" t="str">
        <f t="shared" si="9"/>
        <v/>
      </c>
      <c r="BK109" s="196" t="str">
        <f t="shared" si="10"/>
        <v/>
      </c>
      <c r="BL109" s="295" t="str">
        <f t="shared" si="11"/>
        <v/>
      </c>
      <c r="BM109" s="91"/>
    </row>
    <row r="110" spans="1:65" s="196" customFormat="1" ht="47.25" customHeight="1" x14ac:dyDescent="0.25">
      <c r="A110" s="162" t="str">
        <f>IF(AND(Réputation&gt;Voies!E110-1,OR(C110=TRUE,Calculs!$I$8&gt;0),Air&gt;Voies!J110-1,Eau&gt;Voies!K110-1,Feu&gt;Voies!L110-1,Terre&gt;Voies!M110-1,Vide&gt;Voies!N110-1,Constitution&gt;Voies!O110-1,Volonté&gt;Voies!P110-1,Force&gt;Voies!Q110-1,Perception&gt;Voies!R110-1,Reflexes&gt;Voies!S110-1,Agilité&gt;Voies!T110-1,Intuition&gt;Voies!U110-1,Intelligence&gt;Voies!V110-1,Souillure&gt;Voies!W110-1,Honneur&gt;X110-1,Statut&gt;Y110-1,Gloire&gt;Z110-1,AV110=TRUE),Voies!B110,"")</f>
        <v/>
      </c>
      <c r="B110" s="162" t="s">
        <v>6924</v>
      </c>
      <c r="C110" s="162" t="b">
        <f>IF(Clan=Voies!D110,TRUE,FALSE)</f>
        <v>0</v>
      </c>
      <c r="D110" s="466" t="s">
        <v>6758</v>
      </c>
      <c r="E110" s="199">
        <v>2</v>
      </c>
      <c r="F110" s="199">
        <v>2</v>
      </c>
      <c r="G110" s="199" t="s">
        <v>2052</v>
      </c>
      <c r="H110" s="162" t="s">
        <v>6855</v>
      </c>
      <c r="I110" s="129" t="str">
        <f t="shared" si="14"/>
        <v>Rien</v>
      </c>
      <c r="J110" s="146">
        <v>0</v>
      </c>
      <c r="K110" s="147">
        <v>0</v>
      </c>
      <c r="L110" s="148">
        <v>0</v>
      </c>
      <c r="M110" s="149">
        <v>0</v>
      </c>
      <c r="N110" s="150">
        <v>0</v>
      </c>
      <c r="O110" s="130">
        <v>0</v>
      </c>
      <c r="P110" s="130">
        <v>0</v>
      </c>
      <c r="Q110" s="130">
        <v>0</v>
      </c>
      <c r="R110" s="130">
        <v>0</v>
      </c>
      <c r="S110" s="130">
        <v>0</v>
      </c>
      <c r="T110" s="130">
        <v>0</v>
      </c>
      <c r="U110" s="130">
        <v>0</v>
      </c>
      <c r="V110" s="524">
        <v>0</v>
      </c>
      <c r="W110" s="130">
        <v>0</v>
      </c>
      <c r="X110" s="130">
        <v>0</v>
      </c>
      <c r="Y110" s="130">
        <v>0</v>
      </c>
      <c r="Z110" s="130">
        <v>0</v>
      </c>
      <c r="AA110" s="158" t="s">
        <v>2078</v>
      </c>
      <c r="AB110" s="158"/>
      <c r="AC110" s="158"/>
      <c r="AD110" s="158"/>
      <c r="AE110" s="158" t="b">
        <f>IF(AB110="",TRUE,IF(IF(AC110="",VLOOKUP(AB110,Calculs!$A$19:$S$425,19,FALSE),VLOOKUP(AC110,Calculs!$A$19:$S$425,19,FALSE))&gt;=AD110,TRUE,FALSE))</f>
        <v>1</v>
      </c>
      <c r="AF110" s="158"/>
      <c r="AG110" s="158"/>
      <c r="AH110" s="158"/>
      <c r="AI110" s="158" t="b">
        <f>IF(AF110="",TRUE,IF(IF(AG110="",VLOOKUP(AF110,Calculs!$A$19:$S$425,19,FALSE),VLOOKUP(AG110,Calculs!$A$19:$S$425,19,FALSE))&gt;=AH110,TRUE,FALSE))</f>
        <v>1</v>
      </c>
      <c r="AJ110" s="158"/>
      <c r="AK110" s="158"/>
      <c r="AL110" s="158"/>
      <c r="AM110" s="158" t="b">
        <f>IF(AJ110="",TRUE,IF(IF(AK110="",VLOOKUP(AJ110,Calculs!$A$19:$S$425,19,FALSE),VLOOKUP(AK110,Calculs!$A$19:$S$425,19,FALSE))&gt;=AL110,TRUE,FALSE))</f>
        <v>1</v>
      </c>
      <c r="AN110" s="158"/>
      <c r="AO110" s="158"/>
      <c r="AP110" s="158"/>
      <c r="AQ110" s="158" t="b">
        <f>IF(AN110="",TRUE,IF(IF(AO110="",VLOOKUP(AN110,Calculs!$A$19:$S$425,19,FALSE),VLOOKUP(AO110,Calculs!$A$19:$S$425,19,FALSE))&gt;=AP110,TRUE,FALSE))</f>
        <v>1</v>
      </c>
      <c r="AR110" s="158"/>
      <c r="AS110" s="158" t="b">
        <f>IF(AR110="",TRUE,IF(VLOOKUP(AR110,Calculs!$A$427:$G$738,7,FALSE)&gt;0,TRUE,FALSE))</f>
        <v>1</v>
      </c>
      <c r="AT110" s="158"/>
      <c r="AU110" s="158" t="b">
        <f>IF(AT110="",TRUE,IF(VLOOKUP(AT110,Calculs!$A$740:$G$912,7,FALSE)&gt;0,TRUE,FALSE))</f>
        <v>1</v>
      </c>
      <c r="AV110" s="158" t="b">
        <f t="shared" si="7"/>
        <v>1</v>
      </c>
      <c r="AW110" s="158" t="s">
        <v>2078</v>
      </c>
      <c r="AX110" s="162" t="s">
        <v>6816</v>
      </c>
      <c r="AY110" s="15">
        <v>20</v>
      </c>
      <c r="AZ110" s="555" t="s">
        <v>6928</v>
      </c>
      <c r="BA110" s="559">
        <f>IF(Verso!$B$10=Voies!$B110,1,0)</f>
        <v>0</v>
      </c>
      <c r="BB110" s="12">
        <f>IF(Verso!$B$11=Voies!$B110,1,0)</f>
        <v>0</v>
      </c>
      <c r="BC110" s="12">
        <f>IF(Verso!$B$12=Voies!$B110,1,0)</f>
        <v>0</v>
      </c>
      <c r="BD110" s="12">
        <f>IF(Verso!$B$13=Voies!$B110,1,0)</f>
        <v>0</v>
      </c>
      <c r="BE110" s="12">
        <f>IF(Verso!$B$14=Voies!$B110,1,0)</f>
        <v>0</v>
      </c>
      <c r="BF110" s="12">
        <f>IF(Verso!$B$15=Voies!$B110,1,0)</f>
        <v>0</v>
      </c>
      <c r="BG110" s="12">
        <f>IF(Verso!$B$16=Voies!$B110,1,0)</f>
        <v>0</v>
      </c>
      <c r="BH110" s="12">
        <f>IF(Verso!$B$17=Voies!$B110,1,0)</f>
        <v>0</v>
      </c>
      <c r="BI110" s="557">
        <f t="shared" si="8"/>
        <v>0</v>
      </c>
      <c r="BJ110" s="196" t="str">
        <f t="shared" si="9"/>
        <v/>
      </c>
      <c r="BK110" s="196" t="str">
        <f t="shared" si="10"/>
        <v/>
      </c>
      <c r="BL110" s="295" t="str">
        <f t="shared" si="11"/>
        <v/>
      </c>
      <c r="BM110" s="91"/>
    </row>
    <row r="111" spans="1:65" s="196" customFormat="1" ht="47.25" customHeight="1" x14ac:dyDescent="0.25">
      <c r="A111" s="162" t="str">
        <f>IF(AND(Réputation&gt;Voies!E111-1,OR(C111=TRUE,Calculs!$I$8&gt;0),Air&gt;Voies!J111-1,Eau&gt;Voies!K111-1,Feu&gt;Voies!L111-1,Terre&gt;Voies!M111-1,Vide&gt;Voies!N111-1,Constitution&gt;Voies!O111-1,Volonté&gt;Voies!P111-1,Force&gt;Voies!Q111-1,Perception&gt;Voies!R111-1,Reflexes&gt;Voies!S111-1,Agilité&gt;Voies!T111-1,Intuition&gt;Voies!U111-1,Intelligence&gt;Voies!V111-1,Souillure&gt;Voies!W111-1,Honneur&gt;X111-1,Statut&gt;Y111-1,Gloire&gt;Z111-1,AV111=TRUE),Voies!B111,"")</f>
        <v/>
      </c>
      <c r="B111" s="162" t="s">
        <v>6925</v>
      </c>
      <c r="C111" s="162" t="b">
        <f>IF(Clan=Voies!D111,TRUE,FALSE)</f>
        <v>0</v>
      </c>
      <c r="D111" s="466" t="s">
        <v>6758</v>
      </c>
      <c r="E111" s="199">
        <v>3</v>
      </c>
      <c r="F111" s="199">
        <v>3</v>
      </c>
      <c r="G111" s="199" t="s">
        <v>2052</v>
      </c>
      <c r="H111" s="162" t="s">
        <v>6855</v>
      </c>
      <c r="I111" s="129" t="str">
        <f t="shared" si="14"/>
        <v>Rien</v>
      </c>
      <c r="J111" s="146">
        <v>0</v>
      </c>
      <c r="K111" s="147">
        <v>0</v>
      </c>
      <c r="L111" s="148">
        <v>0</v>
      </c>
      <c r="M111" s="149">
        <v>0</v>
      </c>
      <c r="N111" s="150">
        <v>0</v>
      </c>
      <c r="O111" s="130">
        <v>0</v>
      </c>
      <c r="P111" s="130">
        <v>0</v>
      </c>
      <c r="Q111" s="130">
        <v>0</v>
      </c>
      <c r="R111" s="130">
        <v>0</v>
      </c>
      <c r="S111" s="130">
        <v>0</v>
      </c>
      <c r="T111" s="130">
        <v>0</v>
      </c>
      <c r="U111" s="130">
        <v>0</v>
      </c>
      <c r="V111" s="524">
        <v>0</v>
      </c>
      <c r="W111" s="130">
        <v>0</v>
      </c>
      <c r="X111" s="130">
        <v>0</v>
      </c>
      <c r="Y111" s="130">
        <v>0</v>
      </c>
      <c r="Z111" s="130">
        <v>0</v>
      </c>
      <c r="AA111" s="158" t="s">
        <v>2078</v>
      </c>
      <c r="AB111" s="158"/>
      <c r="AC111" s="158"/>
      <c r="AD111" s="158"/>
      <c r="AE111" s="158" t="b">
        <f>IF(AB111="",TRUE,IF(IF(AC111="",VLOOKUP(AB111,Calculs!$A$19:$S$425,19,FALSE),VLOOKUP(AC111,Calculs!$A$19:$S$425,19,FALSE))&gt;=AD111,TRUE,FALSE))</f>
        <v>1</v>
      </c>
      <c r="AF111" s="158"/>
      <c r="AG111" s="158"/>
      <c r="AH111" s="158"/>
      <c r="AI111" s="158" t="b">
        <f>IF(AF111="",TRUE,IF(IF(AG111="",VLOOKUP(AF111,Calculs!$A$19:$S$425,19,FALSE),VLOOKUP(AG111,Calculs!$A$19:$S$425,19,FALSE))&gt;=AH111,TRUE,FALSE))</f>
        <v>1</v>
      </c>
      <c r="AJ111" s="158"/>
      <c r="AK111" s="158"/>
      <c r="AL111" s="158"/>
      <c r="AM111" s="158" t="b">
        <f>IF(AJ111="",TRUE,IF(IF(AK111="",VLOOKUP(AJ111,Calculs!$A$19:$S$425,19,FALSE),VLOOKUP(AK111,Calculs!$A$19:$S$425,19,FALSE))&gt;=AL111,TRUE,FALSE))</f>
        <v>1</v>
      </c>
      <c r="AN111" s="158"/>
      <c r="AO111" s="158"/>
      <c r="AP111" s="158"/>
      <c r="AQ111" s="158" t="b">
        <f>IF(AN111="",TRUE,IF(IF(AO111="",VLOOKUP(AN111,Calculs!$A$19:$S$425,19,FALSE),VLOOKUP(AO111,Calculs!$A$19:$S$425,19,FALSE))&gt;=AP111,TRUE,FALSE))</f>
        <v>1</v>
      </c>
      <c r="AR111" s="158"/>
      <c r="AS111" s="158" t="b">
        <f>IF(AR111="",TRUE,IF(VLOOKUP(AR111,Calculs!$A$427:$G$738,7,FALSE)&gt;0,TRUE,FALSE))</f>
        <v>1</v>
      </c>
      <c r="AT111" s="158"/>
      <c r="AU111" s="158" t="b">
        <f>IF(AT111="",TRUE,IF(VLOOKUP(AT111,Calculs!$A$740:$G$912,7,FALSE)&gt;0,TRUE,FALSE))</f>
        <v>1</v>
      </c>
      <c r="AV111" s="158" t="b">
        <f t="shared" si="7"/>
        <v>1</v>
      </c>
      <c r="AW111" s="158" t="s">
        <v>2078</v>
      </c>
      <c r="AX111" s="162" t="s">
        <v>6816</v>
      </c>
      <c r="AY111" s="15">
        <v>20</v>
      </c>
      <c r="AZ111" s="555" t="s">
        <v>6929</v>
      </c>
      <c r="BA111" s="559">
        <f>IF(Verso!$B$10=Voies!$B111,1,0)</f>
        <v>0</v>
      </c>
      <c r="BB111" s="12">
        <f>IF(Verso!$B$11=Voies!$B111,1,0)</f>
        <v>0</v>
      </c>
      <c r="BC111" s="12">
        <f>IF(Verso!$B$12=Voies!$B111,1,0)</f>
        <v>0</v>
      </c>
      <c r="BD111" s="12">
        <f>IF(Verso!$B$13=Voies!$B111,1,0)</f>
        <v>0</v>
      </c>
      <c r="BE111" s="12">
        <f>IF(Verso!$B$14=Voies!$B111,1,0)</f>
        <v>0</v>
      </c>
      <c r="BF111" s="12">
        <f>IF(Verso!$B$15=Voies!$B111,1,0)</f>
        <v>0</v>
      </c>
      <c r="BG111" s="12">
        <f>IF(Verso!$B$16=Voies!$B111,1,0)</f>
        <v>0</v>
      </c>
      <c r="BH111" s="12">
        <f>IF(Verso!$B$17=Voies!$B111,1,0)</f>
        <v>0</v>
      </c>
      <c r="BI111" s="557">
        <f t="shared" si="8"/>
        <v>0</v>
      </c>
      <c r="BJ111" s="196" t="str">
        <f t="shared" si="9"/>
        <v/>
      </c>
      <c r="BK111" s="196" t="str">
        <f t="shared" si="10"/>
        <v/>
      </c>
      <c r="BL111" s="295" t="str">
        <f t="shared" si="11"/>
        <v/>
      </c>
      <c r="BM111" s="91"/>
    </row>
    <row r="112" spans="1:65" s="196" customFormat="1" ht="47.25" customHeight="1" x14ac:dyDescent="0.25">
      <c r="A112" s="162" t="str">
        <f>IF(AND(Réputation&gt;Voies!E112-1,OR(C112=TRUE,Calculs!$I$8&gt;0),Air&gt;Voies!J112-1,Eau&gt;Voies!K112-1,Feu&gt;Voies!L112-1,Terre&gt;Voies!M112-1,Vide&gt;Voies!N112-1,Constitution&gt;Voies!O112-1,Volonté&gt;Voies!P112-1,Force&gt;Voies!Q112-1,Perception&gt;Voies!R112-1,Reflexes&gt;Voies!S112-1,Agilité&gt;Voies!T112-1,Intuition&gt;Voies!U112-1,Intelligence&gt;Voies!V112-1,Souillure&gt;Voies!W112-1,Honneur&gt;X112-1,Statut&gt;Y112-1,Gloire&gt;Z112-1,AV112=TRUE),Voies!B112,"")</f>
        <v/>
      </c>
      <c r="B112" s="162" t="s">
        <v>6926</v>
      </c>
      <c r="C112" s="162" t="b">
        <f>IF(Clan=Voies!D112,TRUE,FALSE)</f>
        <v>0</v>
      </c>
      <c r="D112" s="466" t="s">
        <v>6758</v>
      </c>
      <c r="E112" s="199">
        <v>4</v>
      </c>
      <c r="F112" s="199">
        <v>4</v>
      </c>
      <c r="G112" s="199" t="s">
        <v>2052</v>
      </c>
      <c r="H112" s="162" t="s">
        <v>6855</v>
      </c>
      <c r="I112" s="129" t="str">
        <f t="shared" si="14"/>
        <v>Rien</v>
      </c>
      <c r="J112" s="146">
        <v>0</v>
      </c>
      <c r="K112" s="147">
        <v>0</v>
      </c>
      <c r="L112" s="148">
        <v>0</v>
      </c>
      <c r="M112" s="149">
        <v>0</v>
      </c>
      <c r="N112" s="150">
        <v>0</v>
      </c>
      <c r="O112" s="130">
        <v>0</v>
      </c>
      <c r="P112" s="130">
        <v>0</v>
      </c>
      <c r="Q112" s="130">
        <v>0</v>
      </c>
      <c r="R112" s="130">
        <v>0</v>
      </c>
      <c r="S112" s="130">
        <v>0</v>
      </c>
      <c r="T112" s="130">
        <v>0</v>
      </c>
      <c r="U112" s="130">
        <v>0</v>
      </c>
      <c r="V112" s="524">
        <v>0</v>
      </c>
      <c r="W112" s="130">
        <v>0</v>
      </c>
      <c r="X112" s="130">
        <v>0</v>
      </c>
      <c r="Y112" s="130">
        <v>0</v>
      </c>
      <c r="Z112" s="130">
        <v>0</v>
      </c>
      <c r="AA112" s="158" t="s">
        <v>2078</v>
      </c>
      <c r="AB112" s="158"/>
      <c r="AC112" s="158"/>
      <c r="AD112" s="158"/>
      <c r="AE112" s="158" t="b">
        <f>IF(AB112="",TRUE,IF(IF(AC112="",VLOOKUP(AB112,Calculs!$A$19:$S$425,19,FALSE),VLOOKUP(AC112,Calculs!$A$19:$S$425,19,FALSE))&gt;=AD112,TRUE,FALSE))</f>
        <v>1</v>
      </c>
      <c r="AF112" s="158"/>
      <c r="AG112" s="158"/>
      <c r="AH112" s="158"/>
      <c r="AI112" s="158" t="b">
        <f>IF(AF112="",TRUE,IF(IF(AG112="",VLOOKUP(AF112,Calculs!$A$19:$S$425,19,FALSE),VLOOKUP(AG112,Calculs!$A$19:$S$425,19,FALSE))&gt;=AH112,TRUE,FALSE))</f>
        <v>1</v>
      </c>
      <c r="AJ112" s="158"/>
      <c r="AK112" s="158"/>
      <c r="AL112" s="158"/>
      <c r="AM112" s="158" t="b">
        <f>IF(AJ112="",TRUE,IF(IF(AK112="",VLOOKUP(AJ112,Calculs!$A$19:$S$425,19,FALSE),VLOOKUP(AK112,Calculs!$A$19:$S$425,19,FALSE))&gt;=AL112,TRUE,FALSE))</f>
        <v>1</v>
      </c>
      <c r="AN112" s="158"/>
      <c r="AO112" s="158"/>
      <c r="AP112" s="158"/>
      <c r="AQ112" s="158" t="b">
        <f>IF(AN112="",TRUE,IF(IF(AO112="",VLOOKUP(AN112,Calculs!$A$19:$S$425,19,FALSE),VLOOKUP(AO112,Calculs!$A$19:$S$425,19,FALSE))&gt;=AP112,TRUE,FALSE))</f>
        <v>1</v>
      </c>
      <c r="AR112" s="158"/>
      <c r="AS112" s="158" t="b">
        <f>IF(AR112="",TRUE,IF(VLOOKUP(AR112,Calculs!$A$427:$G$738,7,FALSE)&gt;0,TRUE,FALSE))</f>
        <v>1</v>
      </c>
      <c r="AT112" s="158"/>
      <c r="AU112" s="158" t="b">
        <f>IF(AT112="",TRUE,IF(VLOOKUP(AT112,Calculs!$A$740:$G$912,7,FALSE)&gt;0,TRUE,FALSE))</f>
        <v>1</v>
      </c>
      <c r="AV112" s="158" t="b">
        <f t="shared" si="7"/>
        <v>1</v>
      </c>
      <c r="AW112" s="158" t="s">
        <v>2078</v>
      </c>
      <c r="AX112" s="162" t="s">
        <v>6816</v>
      </c>
      <c r="AY112" s="15">
        <v>20</v>
      </c>
      <c r="AZ112" s="555" t="s">
        <v>8488</v>
      </c>
      <c r="BA112" s="559">
        <f>IF(Verso!$B$10=Voies!$B112,1,0)</f>
        <v>0</v>
      </c>
      <c r="BB112" s="12">
        <f>IF(Verso!$B$11=Voies!$B112,1,0)</f>
        <v>0</v>
      </c>
      <c r="BC112" s="12">
        <f>IF(Verso!$B$12=Voies!$B112,1,0)</f>
        <v>0</v>
      </c>
      <c r="BD112" s="12">
        <f>IF(Verso!$B$13=Voies!$B112,1,0)</f>
        <v>0</v>
      </c>
      <c r="BE112" s="12">
        <f>IF(Verso!$B$14=Voies!$B112,1,0)</f>
        <v>0</v>
      </c>
      <c r="BF112" s="12">
        <f>IF(Verso!$B$15=Voies!$B112,1,0)</f>
        <v>0</v>
      </c>
      <c r="BG112" s="12">
        <f>IF(Verso!$B$16=Voies!$B112,1,0)</f>
        <v>0</v>
      </c>
      <c r="BH112" s="12">
        <f>IF(Verso!$B$17=Voies!$B112,1,0)</f>
        <v>0</v>
      </c>
      <c r="BI112" s="557">
        <f t="shared" si="8"/>
        <v>0</v>
      </c>
      <c r="BJ112" s="196" t="str">
        <f t="shared" si="9"/>
        <v/>
      </c>
      <c r="BK112" s="196" t="str">
        <f t="shared" si="10"/>
        <v/>
      </c>
      <c r="BL112" s="295" t="str">
        <f t="shared" si="11"/>
        <v/>
      </c>
      <c r="BM112" s="91"/>
    </row>
    <row r="113" spans="1:65" ht="47.25" customHeight="1" x14ac:dyDescent="0.25">
      <c r="A113" s="162" t="str">
        <f>IF(AND(Réputation&gt;Voies!E113-1,OR(C113=TRUE,Calculs!$I$8&gt;0),Air&gt;Voies!J113-1,Eau&gt;Voies!K113-1,Feu&gt;Voies!L113-1,Terre&gt;Voies!M113-1,Vide&gt;Voies!N113-1,Constitution&gt;Voies!O113-1,Volonté&gt;Voies!P113-1,Force&gt;Voies!Q113-1,Perception&gt;Voies!R113-1,Reflexes&gt;Voies!S113-1,Agilité&gt;Voies!T113-1,Intuition&gt;Voies!U113-1,Intelligence&gt;Voies!V113-1,Souillure&gt;Voies!W113-1,Honneur&gt;X113-1,Statut&gt;Y113-1,Gloire&gt;Z113-1,AV113=TRUE),Voies!B113,"")</f>
        <v/>
      </c>
      <c r="B113" s="162" t="s">
        <v>6927</v>
      </c>
      <c r="C113" s="162" t="b">
        <f>IF(Clan=Voies!D113,TRUE,FALSE)</f>
        <v>0</v>
      </c>
      <c r="D113" s="466" t="s">
        <v>6758</v>
      </c>
      <c r="E113" s="13">
        <v>5</v>
      </c>
      <c r="F113" s="199">
        <v>5</v>
      </c>
      <c r="G113" s="13" t="s">
        <v>2052</v>
      </c>
      <c r="H113" s="162" t="s">
        <v>6855</v>
      </c>
      <c r="I113" s="129" t="str">
        <f t="shared" si="14"/>
        <v>Rien</v>
      </c>
      <c r="J113" s="146">
        <v>0</v>
      </c>
      <c r="K113" s="147">
        <v>0</v>
      </c>
      <c r="L113" s="148">
        <v>0</v>
      </c>
      <c r="M113" s="149">
        <v>0</v>
      </c>
      <c r="N113" s="150">
        <v>0</v>
      </c>
      <c r="O113" s="130">
        <v>0</v>
      </c>
      <c r="P113" s="130">
        <v>0</v>
      </c>
      <c r="Q113" s="130">
        <v>0</v>
      </c>
      <c r="R113" s="130">
        <v>0</v>
      </c>
      <c r="S113" s="130">
        <v>0</v>
      </c>
      <c r="T113" s="130">
        <v>0</v>
      </c>
      <c r="U113" s="130">
        <v>0</v>
      </c>
      <c r="V113" s="524">
        <v>0</v>
      </c>
      <c r="W113" s="130">
        <v>0</v>
      </c>
      <c r="X113" s="130">
        <v>0</v>
      </c>
      <c r="Y113" s="130">
        <v>0</v>
      </c>
      <c r="Z113" s="130">
        <v>0</v>
      </c>
      <c r="AA113" s="158" t="s">
        <v>2078</v>
      </c>
      <c r="AB113" s="158"/>
      <c r="AC113" s="158"/>
      <c r="AD113" s="158"/>
      <c r="AE113" s="158" t="b">
        <f>IF(AB113="",TRUE,IF(IF(AC113="",VLOOKUP(AB113,Calculs!$A$19:$S$425,19,FALSE),VLOOKUP(AC113,Calculs!$A$19:$S$425,19,FALSE))&gt;=AD113,TRUE,FALSE))</f>
        <v>1</v>
      </c>
      <c r="AF113" s="158"/>
      <c r="AG113" s="158"/>
      <c r="AH113" s="158"/>
      <c r="AI113" s="158" t="b">
        <f>IF(AF113="",TRUE,IF(IF(AG113="",VLOOKUP(AF113,Calculs!$A$19:$S$425,19,FALSE),VLOOKUP(AG113,Calculs!$A$19:$S$425,19,FALSE))&gt;=AH113,TRUE,FALSE))</f>
        <v>1</v>
      </c>
      <c r="AJ113" s="158"/>
      <c r="AK113" s="158"/>
      <c r="AL113" s="158"/>
      <c r="AM113" s="158" t="b">
        <f>IF(AJ113="",TRUE,IF(IF(AK113="",VLOOKUP(AJ113,Calculs!$A$19:$S$425,19,FALSE),VLOOKUP(AK113,Calculs!$A$19:$S$425,19,FALSE))&gt;=AL113,TRUE,FALSE))</f>
        <v>1</v>
      </c>
      <c r="AN113" s="158"/>
      <c r="AO113" s="158"/>
      <c r="AP113" s="158"/>
      <c r="AQ113" s="158" t="b">
        <f>IF(AN113="",TRUE,IF(IF(AO113="",VLOOKUP(AN113,Calculs!$A$19:$S$425,19,FALSE),VLOOKUP(AO113,Calculs!$A$19:$S$425,19,FALSE))&gt;=AP113,TRUE,FALSE))</f>
        <v>1</v>
      </c>
      <c r="AR113" s="158"/>
      <c r="AS113" s="158" t="b">
        <f>IF(AR113="",TRUE,IF(VLOOKUP(AR113,Calculs!$A$427:$G$738,7,FALSE)&gt;0,TRUE,FALSE))</f>
        <v>1</v>
      </c>
      <c r="AT113" s="158"/>
      <c r="AU113" s="158" t="b">
        <f>IF(AT113="",TRUE,IF(VLOOKUP(AT113,Calculs!$A$740:$G$912,7,FALSE)&gt;0,TRUE,FALSE))</f>
        <v>1</v>
      </c>
      <c r="AV113" s="158" t="b">
        <f t="shared" si="7"/>
        <v>1</v>
      </c>
      <c r="AW113" s="158" t="s">
        <v>2078</v>
      </c>
      <c r="AX113" s="162" t="s">
        <v>6816</v>
      </c>
      <c r="AY113" s="15">
        <v>20</v>
      </c>
      <c r="AZ113" s="555" t="s">
        <v>8489</v>
      </c>
      <c r="BA113" s="559">
        <f>IF(Verso!$B$10=Voies!$B113,1,0)</f>
        <v>0</v>
      </c>
      <c r="BB113" s="12">
        <f>IF(Verso!$B$11=Voies!$B113,1,0)</f>
        <v>0</v>
      </c>
      <c r="BC113" s="12">
        <f>IF(Verso!$B$12=Voies!$B113,1,0)</f>
        <v>0</v>
      </c>
      <c r="BD113" s="12">
        <f>IF(Verso!$B$13=Voies!$B113,1,0)</f>
        <v>0</v>
      </c>
      <c r="BE113" s="12">
        <f>IF(Verso!$B$14=Voies!$B113,1,0)</f>
        <v>0</v>
      </c>
      <c r="BF113" s="12">
        <f>IF(Verso!$B$15=Voies!$B113,1,0)</f>
        <v>0</v>
      </c>
      <c r="BG113" s="12">
        <f>IF(Verso!$B$16=Voies!$B113,1,0)</f>
        <v>0</v>
      </c>
      <c r="BH113" s="12">
        <f>IF(Verso!$B$17=Voies!$B113,1,0)</f>
        <v>0</v>
      </c>
      <c r="BI113" s="557">
        <f t="shared" si="8"/>
        <v>0</v>
      </c>
      <c r="BJ113" s="196" t="str">
        <f t="shared" si="9"/>
        <v/>
      </c>
      <c r="BK113" s="196" t="str">
        <f t="shared" si="10"/>
        <v/>
      </c>
      <c r="BL113" s="295" t="str">
        <f t="shared" si="11"/>
        <v/>
      </c>
    </row>
    <row r="114" spans="1:65" s="196" customFormat="1" ht="47.25" customHeight="1" x14ac:dyDescent="0.25">
      <c r="A114" s="162" t="str">
        <f>IF(AND(Réputation&gt;Voies!E114-1,OR(C114=TRUE,Calculs!$I$8&gt;0),Air&gt;Voies!J114-1,Eau&gt;Voies!K114-1,Feu&gt;Voies!L114-1,Terre&gt;Voies!M114-1,Vide&gt;Voies!N114-1,Constitution&gt;Voies!O114-1,Volonté&gt;Voies!P114-1,Force&gt;Voies!Q114-1,Perception&gt;Voies!R114-1,Reflexes&gt;Voies!S114-1,Agilité&gt;Voies!T114-1,Intuition&gt;Voies!U114-1,Intelligence&gt;Voies!V114-1,Souillure&gt;Voies!W114-1,Honneur&gt;X114-1,Statut&gt;Y114-1,Gloire&gt;Z114-1,AV114=TRUE),Voies!B114,"")</f>
        <v/>
      </c>
      <c r="B114" s="162" t="s">
        <v>2147</v>
      </c>
      <c r="C114" s="162" t="b">
        <f>IF(OR(Clan="Chauve-Souris",AND(Contexte_jeu="L'Empire Stellaire d'Emeraude",Clan="Blaireau")),TRUE,FALSE)</f>
        <v>0</v>
      </c>
      <c r="D114" s="388" t="s">
        <v>400</v>
      </c>
      <c r="E114" s="199">
        <v>1</v>
      </c>
      <c r="F114" s="199">
        <v>1</v>
      </c>
      <c r="G114" s="199" t="s">
        <v>2048</v>
      </c>
      <c r="H114" s="162" t="s">
        <v>415</v>
      </c>
      <c r="I114" s="129" t="str">
        <f t="shared" si="14"/>
        <v>Rien</v>
      </c>
      <c r="J114" s="146">
        <v>0</v>
      </c>
      <c r="K114" s="147">
        <v>0</v>
      </c>
      <c r="L114" s="148">
        <v>0</v>
      </c>
      <c r="M114" s="149">
        <v>0</v>
      </c>
      <c r="N114" s="150">
        <v>0</v>
      </c>
      <c r="O114" s="130">
        <v>0</v>
      </c>
      <c r="P114" s="130">
        <v>0</v>
      </c>
      <c r="Q114" s="130">
        <v>0</v>
      </c>
      <c r="R114" s="130">
        <v>0</v>
      </c>
      <c r="S114" s="130">
        <v>0</v>
      </c>
      <c r="T114" s="130">
        <v>0</v>
      </c>
      <c r="U114" s="130">
        <v>0</v>
      </c>
      <c r="V114" s="524">
        <v>0</v>
      </c>
      <c r="W114" s="130">
        <v>0</v>
      </c>
      <c r="X114" s="130">
        <v>0</v>
      </c>
      <c r="Y114" s="130">
        <v>0</v>
      </c>
      <c r="Z114" s="130">
        <v>0</v>
      </c>
      <c r="AA114" s="158" t="s">
        <v>2078</v>
      </c>
      <c r="AB114" s="158"/>
      <c r="AC114" s="158"/>
      <c r="AD114" s="158"/>
      <c r="AE114" s="158" t="b">
        <f>IF(AB114="",TRUE,IF(IF(AC114="",VLOOKUP(AB114,Calculs!$A$19:$S$425,19,FALSE),VLOOKUP(AC114,Calculs!$A$19:$S$425,19,FALSE))&gt;=AD114,TRUE,FALSE))</f>
        <v>1</v>
      </c>
      <c r="AF114" s="158"/>
      <c r="AG114" s="158"/>
      <c r="AH114" s="158"/>
      <c r="AI114" s="158" t="b">
        <f>IF(AF114="",TRUE,IF(IF(AG114="",VLOOKUP(AF114,Calculs!$A$19:$S$425,19,FALSE),VLOOKUP(AG114,Calculs!$A$19:$S$425,19,FALSE))&gt;=AH114,TRUE,FALSE))</f>
        <v>1</v>
      </c>
      <c r="AJ114" s="158"/>
      <c r="AK114" s="158"/>
      <c r="AL114" s="158"/>
      <c r="AM114" s="158" t="b">
        <f>IF(AJ114="",TRUE,IF(IF(AK114="",VLOOKUP(AJ114,Calculs!$A$19:$S$425,19,FALSE),VLOOKUP(AK114,Calculs!$A$19:$S$425,19,FALSE))&gt;=AL114,TRUE,FALSE))</f>
        <v>1</v>
      </c>
      <c r="AN114" s="158"/>
      <c r="AO114" s="158"/>
      <c r="AP114" s="158"/>
      <c r="AQ114" s="158" t="b">
        <f>IF(AN114="",TRUE,IF(IF(AO114="",VLOOKUP(AN114,Calculs!$A$19:$S$425,19,FALSE),VLOOKUP(AO114,Calculs!$A$19:$S$425,19,FALSE))&gt;=AP114,TRUE,FALSE))</f>
        <v>1</v>
      </c>
      <c r="AR114" s="158"/>
      <c r="AS114" s="158" t="b">
        <f>IF(AR114="",TRUE,IF(VLOOKUP(AR114,Calculs!$A$427:$G$738,7,FALSE)&gt;0,TRUE,FALSE))</f>
        <v>1</v>
      </c>
      <c r="AT114" s="158"/>
      <c r="AU114" s="158" t="b">
        <f>IF(AT114="",TRUE,IF(VLOOKUP(AT114,Calculs!$A$740:$G$912,7,FALSE)&gt;0,TRUE,FALSE))</f>
        <v>1</v>
      </c>
      <c r="AV114" s="158" t="b">
        <f t="shared" si="7"/>
        <v>1</v>
      </c>
      <c r="AW114" s="158" t="s">
        <v>2078</v>
      </c>
      <c r="AX114" s="162" t="s">
        <v>3</v>
      </c>
      <c r="AY114" s="15">
        <v>218</v>
      </c>
      <c r="AZ114" s="555" t="s">
        <v>8523</v>
      </c>
      <c r="BA114" s="559">
        <f>IF(Verso!$B$10=Voies!$B114,1,0)</f>
        <v>0</v>
      </c>
      <c r="BB114" s="12">
        <f>IF(Verso!$B$11=Voies!$B114,1,0)</f>
        <v>0</v>
      </c>
      <c r="BC114" s="12">
        <f>IF(Verso!$B$12=Voies!$B114,1,0)</f>
        <v>0</v>
      </c>
      <c r="BD114" s="12">
        <f>IF(Verso!$B$13=Voies!$B114,1,0)</f>
        <v>0</v>
      </c>
      <c r="BE114" s="12">
        <f>IF(Verso!$B$14=Voies!$B114,1,0)</f>
        <v>0</v>
      </c>
      <c r="BF114" s="12">
        <f>IF(Verso!$B$15=Voies!$B114,1,0)</f>
        <v>0</v>
      </c>
      <c r="BG114" s="12">
        <f>IF(Verso!$B$16=Voies!$B114,1,0)</f>
        <v>0</v>
      </c>
      <c r="BH114" s="12">
        <f>IF(Verso!$B$17=Voies!$B114,1,0)</f>
        <v>0</v>
      </c>
      <c r="BI114" s="557">
        <f t="shared" si="8"/>
        <v>0</v>
      </c>
      <c r="BJ114" s="196" t="str">
        <f t="shared" si="9"/>
        <v/>
      </c>
      <c r="BK114" s="196" t="str">
        <f t="shared" si="10"/>
        <v/>
      </c>
      <c r="BL114" s="295" t="str">
        <f t="shared" si="11"/>
        <v/>
      </c>
      <c r="BM114" s="91"/>
    </row>
    <row r="115" spans="1:65" s="196" customFormat="1" ht="47.25" customHeight="1" x14ac:dyDescent="0.25">
      <c r="A115" s="162" t="str">
        <f>IF(AND(Réputation&gt;Voies!E115-1,OR(C115=TRUE,Calculs!$I$8&gt;0),Air&gt;Voies!J115-1,Eau&gt;Voies!K115-1,Feu&gt;Voies!L115-1,Terre&gt;Voies!M115-1,Vide&gt;Voies!N115-1,Constitution&gt;Voies!O115-1,Volonté&gt;Voies!P115-1,Force&gt;Voies!Q115-1,Perception&gt;Voies!R115-1,Reflexes&gt;Voies!S115-1,Agilité&gt;Voies!T115-1,Intuition&gt;Voies!U115-1,Intelligence&gt;Voies!V115-1,Souillure&gt;Voies!W115-1,Honneur&gt;X115-1,Statut&gt;Y115-1,Gloire&gt;Z115-1,AV115=TRUE),Voies!B115,"")</f>
        <v/>
      </c>
      <c r="B115" s="162" t="s">
        <v>6981</v>
      </c>
      <c r="C115" s="162" t="b">
        <f>IF(Clan=Voies!D115,TRUE,FALSE)</f>
        <v>0</v>
      </c>
      <c r="D115" s="466" t="s">
        <v>6762</v>
      </c>
      <c r="E115" s="199">
        <v>1</v>
      </c>
      <c r="F115" s="199">
        <v>1</v>
      </c>
      <c r="G115" s="199" t="s">
        <v>2049</v>
      </c>
      <c r="H115" s="162" t="s">
        <v>6865</v>
      </c>
      <c r="I115" s="129" t="str">
        <f t="shared" si="14"/>
        <v>Rien</v>
      </c>
      <c r="J115" s="146">
        <v>0</v>
      </c>
      <c r="K115" s="147">
        <v>0</v>
      </c>
      <c r="L115" s="148">
        <v>0</v>
      </c>
      <c r="M115" s="149">
        <v>0</v>
      </c>
      <c r="N115" s="150">
        <v>0</v>
      </c>
      <c r="O115" s="130">
        <v>0</v>
      </c>
      <c r="P115" s="130">
        <v>0</v>
      </c>
      <c r="Q115" s="130">
        <v>0</v>
      </c>
      <c r="R115" s="130">
        <v>0</v>
      </c>
      <c r="S115" s="130">
        <v>0</v>
      </c>
      <c r="T115" s="130">
        <v>0</v>
      </c>
      <c r="U115" s="130">
        <v>0</v>
      </c>
      <c r="V115" s="524">
        <v>0</v>
      </c>
      <c r="W115" s="130">
        <v>0</v>
      </c>
      <c r="X115" s="130">
        <v>0</v>
      </c>
      <c r="Y115" s="130">
        <v>0</v>
      </c>
      <c r="Z115" s="130">
        <v>0</v>
      </c>
      <c r="AA115" s="158" t="s">
        <v>2078</v>
      </c>
      <c r="AB115" s="158"/>
      <c r="AC115" s="158"/>
      <c r="AD115" s="158"/>
      <c r="AE115" s="158" t="b">
        <f>IF(AB115="",TRUE,IF(IF(AC115="",VLOOKUP(AB115,Calculs!$A$19:$S$425,19,FALSE),VLOOKUP(AC115,Calculs!$A$19:$S$425,19,FALSE))&gt;=AD115,TRUE,FALSE))</f>
        <v>1</v>
      </c>
      <c r="AF115" s="158"/>
      <c r="AG115" s="158"/>
      <c r="AH115" s="158"/>
      <c r="AI115" s="158" t="b">
        <f>IF(AF115="",TRUE,IF(IF(AG115="",VLOOKUP(AF115,Calculs!$A$19:$S$425,19,FALSE),VLOOKUP(AG115,Calculs!$A$19:$S$425,19,FALSE))&gt;=AH115,TRUE,FALSE))</f>
        <v>1</v>
      </c>
      <c r="AJ115" s="158"/>
      <c r="AK115" s="158"/>
      <c r="AL115" s="158"/>
      <c r="AM115" s="158" t="b">
        <f>IF(AJ115="",TRUE,IF(IF(AK115="",VLOOKUP(AJ115,Calculs!$A$19:$S$425,19,FALSE),VLOOKUP(AK115,Calculs!$A$19:$S$425,19,FALSE))&gt;=AL115,TRUE,FALSE))</f>
        <v>1</v>
      </c>
      <c r="AN115" s="158"/>
      <c r="AO115" s="158"/>
      <c r="AP115" s="158"/>
      <c r="AQ115" s="158" t="b">
        <f>IF(AN115="",TRUE,IF(IF(AO115="",VLOOKUP(AN115,Calculs!$A$19:$S$425,19,FALSE),VLOOKUP(AO115,Calculs!$A$19:$S$425,19,FALSE))&gt;=AP115,TRUE,FALSE))</f>
        <v>1</v>
      </c>
      <c r="AR115" s="158"/>
      <c r="AS115" s="158" t="b">
        <f>IF(AR115="",TRUE,IF(VLOOKUP(AR115,Calculs!$A$427:$G$738,7,FALSE)&gt;0,TRUE,FALSE))</f>
        <v>1</v>
      </c>
      <c r="AT115" s="158"/>
      <c r="AU115" s="158" t="b">
        <f>IF(AT115="",TRUE,IF(VLOOKUP(AT115,Calculs!$A$740:$G$912,7,FALSE)&gt;0,TRUE,FALSE))</f>
        <v>1</v>
      </c>
      <c r="AV115" s="158" t="b">
        <f t="shared" si="7"/>
        <v>1</v>
      </c>
      <c r="AW115" s="158" t="s">
        <v>2078</v>
      </c>
      <c r="AX115" s="162" t="s">
        <v>6816</v>
      </c>
      <c r="AY115" s="15">
        <v>31</v>
      </c>
      <c r="AZ115" s="566" t="s">
        <v>6985</v>
      </c>
      <c r="BA115" s="559">
        <f>IF(Verso!$B$10=Voies!$B115,1,0)</f>
        <v>0</v>
      </c>
      <c r="BB115" s="12">
        <f>IF(Verso!$B$11=Voies!$B115,1,0)</f>
        <v>0</v>
      </c>
      <c r="BC115" s="12">
        <f>IF(Verso!$B$12=Voies!$B115,1,0)</f>
        <v>0</v>
      </c>
      <c r="BD115" s="12">
        <f>IF(Verso!$B$13=Voies!$B115,1,0)</f>
        <v>0</v>
      </c>
      <c r="BE115" s="12">
        <f>IF(Verso!$B$14=Voies!$B115,1,0)</f>
        <v>0</v>
      </c>
      <c r="BF115" s="12">
        <f>IF(Verso!$B$15=Voies!$B115,1,0)</f>
        <v>0</v>
      </c>
      <c r="BG115" s="12">
        <f>IF(Verso!$B$16=Voies!$B115,1,0)</f>
        <v>0</v>
      </c>
      <c r="BH115" s="12">
        <f>IF(Verso!$B$17=Voies!$B115,1,0)</f>
        <v>0</v>
      </c>
      <c r="BI115" s="557">
        <f t="shared" si="8"/>
        <v>0</v>
      </c>
      <c r="BJ115" s="196" t="str">
        <f t="shared" si="9"/>
        <v/>
      </c>
      <c r="BK115" s="196" t="str">
        <f t="shared" si="10"/>
        <v/>
      </c>
      <c r="BL115" s="295" t="str">
        <f t="shared" si="11"/>
        <v/>
      </c>
      <c r="BM115" s="91"/>
    </row>
    <row r="116" spans="1:65" s="196" customFormat="1" ht="47.25" customHeight="1" x14ac:dyDescent="0.25">
      <c r="A116" s="162" t="str">
        <f>IF(AND(Réputation&gt;Voies!E116-1,OR(C116=TRUE,Calculs!$I$8&gt;0),Air&gt;Voies!J116-1,Eau&gt;Voies!K116-1,Feu&gt;Voies!L116-1,Terre&gt;Voies!M116-1,Vide&gt;Voies!N116-1,Constitution&gt;Voies!O116-1,Volonté&gt;Voies!P116-1,Force&gt;Voies!Q116-1,Perception&gt;Voies!R116-1,Reflexes&gt;Voies!S116-1,Agilité&gt;Voies!T116-1,Intuition&gt;Voies!U116-1,Intelligence&gt;Voies!V116-1,Souillure&gt;Voies!W116-1,Honneur&gt;X116-1,Statut&gt;Y116-1,Gloire&gt;Z116-1,AV116=TRUE),Voies!B116,"")</f>
        <v/>
      </c>
      <c r="B116" s="162" t="s">
        <v>6982</v>
      </c>
      <c r="C116" s="162" t="b">
        <f>IF(Clan=Voies!D116,TRUE,FALSE)</f>
        <v>0</v>
      </c>
      <c r="D116" s="466" t="s">
        <v>6762</v>
      </c>
      <c r="E116" s="199">
        <v>2</v>
      </c>
      <c r="F116" s="199">
        <v>2</v>
      </c>
      <c r="G116" s="199" t="s">
        <v>2049</v>
      </c>
      <c r="H116" s="162" t="s">
        <v>6865</v>
      </c>
      <c r="I116" s="129" t="str">
        <f t="shared" si="14"/>
        <v>Rien</v>
      </c>
      <c r="J116" s="146">
        <v>0</v>
      </c>
      <c r="K116" s="147">
        <v>0</v>
      </c>
      <c r="L116" s="148">
        <v>0</v>
      </c>
      <c r="M116" s="149">
        <v>0</v>
      </c>
      <c r="N116" s="150">
        <v>0</v>
      </c>
      <c r="O116" s="130">
        <v>0</v>
      </c>
      <c r="P116" s="130">
        <v>0</v>
      </c>
      <c r="Q116" s="130">
        <v>0</v>
      </c>
      <c r="R116" s="130">
        <v>0</v>
      </c>
      <c r="S116" s="130">
        <v>0</v>
      </c>
      <c r="T116" s="130">
        <v>0</v>
      </c>
      <c r="U116" s="130">
        <v>0</v>
      </c>
      <c r="V116" s="524">
        <v>0</v>
      </c>
      <c r="W116" s="130">
        <v>0</v>
      </c>
      <c r="X116" s="130">
        <v>0</v>
      </c>
      <c r="Y116" s="130">
        <v>0</v>
      </c>
      <c r="Z116" s="130">
        <v>0</v>
      </c>
      <c r="AA116" s="158" t="s">
        <v>2078</v>
      </c>
      <c r="AB116" s="158"/>
      <c r="AC116" s="158"/>
      <c r="AD116" s="158"/>
      <c r="AE116" s="158" t="b">
        <f>IF(AB116="",TRUE,IF(IF(AC116="",VLOOKUP(AB116,Calculs!$A$19:$S$425,19,FALSE),VLOOKUP(AC116,Calculs!$A$19:$S$425,19,FALSE))&gt;=AD116,TRUE,FALSE))</f>
        <v>1</v>
      </c>
      <c r="AF116" s="158"/>
      <c r="AG116" s="158"/>
      <c r="AH116" s="158"/>
      <c r="AI116" s="158" t="b">
        <f>IF(AF116="",TRUE,IF(IF(AG116="",VLOOKUP(AF116,Calculs!$A$19:$S$425,19,FALSE),VLOOKUP(AG116,Calculs!$A$19:$S$425,19,FALSE))&gt;=AH116,TRUE,FALSE))</f>
        <v>1</v>
      </c>
      <c r="AJ116" s="158"/>
      <c r="AK116" s="158"/>
      <c r="AL116" s="158"/>
      <c r="AM116" s="158" t="b">
        <f>IF(AJ116="",TRUE,IF(IF(AK116="",VLOOKUP(AJ116,Calculs!$A$19:$S$425,19,FALSE),VLOOKUP(AK116,Calculs!$A$19:$S$425,19,FALSE))&gt;=AL116,TRUE,FALSE))</f>
        <v>1</v>
      </c>
      <c r="AN116" s="158"/>
      <c r="AO116" s="158"/>
      <c r="AP116" s="158"/>
      <c r="AQ116" s="158" t="b">
        <f>IF(AN116="",TRUE,IF(IF(AO116="",VLOOKUP(AN116,Calculs!$A$19:$S$425,19,FALSE),VLOOKUP(AO116,Calculs!$A$19:$S$425,19,FALSE))&gt;=AP116,TRUE,FALSE))</f>
        <v>1</v>
      </c>
      <c r="AR116" s="158"/>
      <c r="AS116" s="158" t="b">
        <f>IF(AR116="",TRUE,IF(VLOOKUP(AR116,Calculs!$A$427:$G$738,7,FALSE)&gt;0,TRUE,FALSE))</f>
        <v>1</v>
      </c>
      <c r="AT116" s="158"/>
      <c r="AU116" s="158" t="b">
        <f>IF(AT116="",TRUE,IF(VLOOKUP(AT116,Calculs!$A$740:$G$912,7,FALSE)&gt;0,TRUE,FALSE))</f>
        <v>1</v>
      </c>
      <c r="AV116" s="158" t="b">
        <f t="shared" si="7"/>
        <v>1</v>
      </c>
      <c r="AW116" s="158" t="s">
        <v>2078</v>
      </c>
      <c r="AX116" s="162" t="s">
        <v>6816</v>
      </c>
      <c r="AY116" s="15">
        <v>31</v>
      </c>
      <c r="AZ116" s="566" t="s">
        <v>8490</v>
      </c>
      <c r="BA116" s="559">
        <f>IF(Verso!$B$10=Voies!$B116,1,0)</f>
        <v>0</v>
      </c>
      <c r="BB116" s="12">
        <f>IF(Verso!$B$11=Voies!$B116,1,0)</f>
        <v>0</v>
      </c>
      <c r="BC116" s="12">
        <f>IF(Verso!$B$12=Voies!$B116,1,0)</f>
        <v>0</v>
      </c>
      <c r="BD116" s="12">
        <f>IF(Verso!$B$13=Voies!$B116,1,0)</f>
        <v>0</v>
      </c>
      <c r="BE116" s="12">
        <f>IF(Verso!$B$14=Voies!$B116,1,0)</f>
        <v>0</v>
      </c>
      <c r="BF116" s="12">
        <f>IF(Verso!$B$15=Voies!$B116,1,0)</f>
        <v>0</v>
      </c>
      <c r="BG116" s="12">
        <f>IF(Verso!$B$16=Voies!$B116,1,0)</f>
        <v>0</v>
      </c>
      <c r="BH116" s="12">
        <f>IF(Verso!$B$17=Voies!$B116,1,0)</f>
        <v>0</v>
      </c>
      <c r="BI116" s="557">
        <f t="shared" si="8"/>
        <v>0</v>
      </c>
      <c r="BJ116" s="196" t="str">
        <f t="shared" si="9"/>
        <v/>
      </c>
      <c r="BK116" s="196" t="str">
        <f t="shared" si="10"/>
        <v/>
      </c>
      <c r="BL116" s="295" t="str">
        <f t="shared" si="11"/>
        <v/>
      </c>
      <c r="BM116" s="91"/>
    </row>
    <row r="117" spans="1:65" s="196" customFormat="1" ht="47.25" customHeight="1" x14ac:dyDescent="0.25">
      <c r="A117" s="162" t="str">
        <f>IF(AND(Réputation&gt;Voies!E117-1,OR(C117=TRUE,Calculs!$I$8&gt;0),Air&gt;Voies!J117-1,Eau&gt;Voies!K117-1,Feu&gt;Voies!L117-1,Terre&gt;Voies!M117-1,Vide&gt;Voies!N117-1,Constitution&gt;Voies!O117-1,Volonté&gt;Voies!P117-1,Force&gt;Voies!Q117-1,Perception&gt;Voies!R117-1,Reflexes&gt;Voies!S117-1,Agilité&gt;Voies!T117-1,Intuition&gt;Voies!U117-1,Intelligence&gt;Voies!V117-1,Souillure&gt;Voies!W117-1,Honneur&gt;X117-1,Statut&gt;Y117-1,Gloire&gt;Z117-1,AV117=TRUE),Voies!B117,"")</f>
        <v/>
      </c>
      <c r="B117" s="162" t="s">
        <v>3085</v>
      </c>
      <c r="C117" s="162" t="b">
        <f>IF(Clan=Voies!D117,TRUE,FALSE)</f>
        <v>0</v>
      </c>
      <c r="D117" s="466" t="s">
        <v>6762</v>
      </c>
      <c r="E117" s="199">
        <v>3</v>
      </c>
      <c r="F117" s="199">
        <v>3</v>
      </c>
      <c r="G117" s="199" t="s">
        <v>2049</v>
      </c>
      <c r="H117" s="162" t="s">
        <v>6865</v>
      </c>
      <c r="I117" s="129" t="str">
        <f t="shared" si="14"/>
        <v>Rien</v>
      </c>
      <c r="J117" s="146">
        <v>0</v>
      </c>
      <c r="K117" s="147">
        <v>0</v>
      </c>
      <c r="L117" s="148">
        <v>0</v>
      </c>
      <c r="M117" s="149">
        <v>0</v>
      </c>
      <c r="N117" s="150">
        <v>0</v>
      </c>
      <c r="O117" s="130">
        <v>0</v>
      </c>
      <c r="P117" s="130">
        <v>0</v>
      </c>
      <c r="Q117" s="130">
        <v>0</v>
      </c>
      <c r="R117" s="130">
        <v>0</v>
      </c>
      <c r="S117" s="130">
        <v>0</v>
      </c>
      <c r="T117" s="130">
        <v>0</v>
      </c>
      <c r="U117" s="130">
        <v>0</v>
      </c>
      <c r="V117" s="524">
        <v>0</v>
      </c>
      <c r="W117" s="130">
        <v>0</v>
      </c>
      <c r="X117" s="130">
        <v>0</v>
      </c>
      <c r="Y117" s="130">
        <v>0</v>
      </c>
      <c r="Z117" s="130">
        <v>0</v>
      </c>
      <c r="AA117" s="158" t="s">
        <v>2078</v>
      </c>
      <c r="AB117" s="158"/>
      <c r="AC117" s="158"/>
      <c r="AD117" s="158"/>
      <c r="AE117" s="158" t="b">
        <f>IF(AB117="",TRUE,IF(IF(AC117="",VLOOKUP(AB117,Calculs!$A$19:$S$425,19,FALSE),VLOOKUP(AC117,Calculs!$A$19:$S$425,19,FALSE))&gt;=AD117,TRUE,FALSE))</f>
        <v>1</v>
      </c>
      <c r="AF117" s="158"/>
      <c r="AG117" s="158"/>
      <c r="AH117" s="158"/>
      <c r="AI117" s="158" t="b">
        <f>IF(AF117="",TRUE,IF(IF(AG117="",VLOOKUP(AF117,Calculs!$A$19:$S$425,19,FALSE),VLOOKUP(AG117,Calculs!$A$19:$S$425,19,FALSE))&gt;=AH117,TRUE,FALSE))</f>
        <v>1</v>
      </c>
      <c r="AJ117" s="158"/>
      <c r="AK117" s="158"/>
      <c r="AL117" s="158"/>
      <c r="AM117" s="158" t="b">
        <f>IF(AJ117="",TRUE,IF(IF(AK117="",VLOOKUP(AJ117,Calculs!$A$19:$S$425,19,FALSE),VLOOKUP(AK117,Calculs!$A$19:$S$425,19,FALSE))&gt;=AL117,TRUE,FALSE))</f>
        <v>1</v>
      </c>
      <c r="AN117" s="158"/>
      <c r="AO117" s="158"/>
      <c r="AP117" s="158"/>
      <c r="AQ117" s="158" t="b">
        <f>IF(AN117="",TRUE,IF(IF(AO117="",VLOOKUP(AN117,Calculs!$A$19:$S$425,19,FALSE),VLOOKUP(AO117,Calculs!$A$19:$S$425,19,FALSE))&gt;=AP117,TRUE,FALSE))</f>
        <v>1</v>
      </c>
      <c r="AR117" s="158"/>
      <c r="AS117" s="158" t="b">
        <f>IF(AR117="",TRUE,IF(VLOOKUP(AR117,Calculs!$A$427:$G$738,7,FALSE)&gt;0,TRUE,FALSE))</f>
        <v>1</v>
      </c>
      <c r="AT117" s="158"/>
      <c r="AU117" s="158" t="b">
        <f>IF(AT117="",TRUE,IF(VLOOKUP(AT117,Calculs!$A$740:$G$912,7,FALSE)&gt;0,TRUE,FALSE))</f>
        <v>1</v>
      </c>
      <c r="AV117" s="158" t="b">
        <f t="shared" si="7"/>
        <v>1</v>
      </c>
      <c r="AW117" s="158" t="s">
        <v>2078</v>
      </c>
      <c r="AX117" s="162" t="s">
        <v>6816</v>
      </c>
      <c r="AY117" s="15">
        <v>31</v>
      </c>
      <c r="AZ117" s="555" t="s">
        <v>6986</v>
      </c>
      <c r="BA117" s="559">
        <f>IF(Verso!$B$10=Voies!$B117,1,0)</f>
        <v>0</v>
      </c>
      <c r="BB117" s="12">
        <f>IF(Verso!$B$11=Voies!$B117,1,0)</f>
        <v>0</v>
      </c>
      <c r="BC117" s="12">
        <f>IF(Verso!$B$12=Voies!$B117,1,0)</f>
        <v>0</v>
      </c>
      <c r="BD117" s="12">
        <f>IF(Verso!$B$13=Voies!$B117,1,0)</f>
        <v>0</v>
      </c>
      <c r="BE117" s="12">
        <f>IF(Verso!$B$14=Voies!$B117,1,0)</f>
        <v>0</v>
      </c>
      <c r="BF117" s="12">
        <f>IF(Verso!$B$15=Voies!$B117,1,0)</f>
        <v>0</v>
      </c>
      <c r="BG117" s="12">
        <f>IF(Verso!$B$16=Voies!$B117,1,0)</f>
        <v>0</v>
      </c>
      <c r="BH117" s="12">
        <f>IF(Verso!$B$17=Voies!$B117,1,0)</f>
        <v>0</v>
      </c>
      <c r="BI117" s="557">
        <f t="shared" si="8"/>
        <v>0</v>
      </c>
      <c r="BJ117" s="196" t="str">
        <f t="shared" si="9"/>
        <v/>
      </c>
      <c r="BK117" s="196" t="str">
        <f t="shared" si="10"/>
        <v/>
      </c>
      <c r="BL117" s="295" t="str">
        <f t="shared" si="11"/>
        <v/>
      </c>
      <c r="BM117" s="91"/>
    </row>
    <row r="118" spans="1:65" s="196" customFormat="1" ht="47.25" customHeight="1" x14ac:dyDescent="0.25">
      <c r="A118" s="162" t="str">
        <f>IF(AND(Réputation&gt;Voies!E118-1,OR(C118=TRUE,Calculs!$I$8&gt;0),Air&gt;Voies!J118-1,Eau&gt;Voies!K118-1,Feu&gt;Voies!L118-1,Terre&gt;Voies!M118-1,Vide&gt;Voies!N118-1,Constitution&gt;Voies!O118-1,Volonté&gt;Voies!P118-1,Force&gt;Voies!Q118-1,Perception&gt;Voies!R118-1,Reflexes&gt;Voies!S118-1,Agilité&gt;Voies!T118-1,Intuition&gt;Voies!U118-1,Intelligence&gt;Voies!V118-1,Souillure&gt;Voies!W118-1,Honneur&gt;X118-1,Statut&gt;Y118-1,Gloire&gt;Z118-1,AV118=TRUE),Voies!B118,"")</f>
        <v/>
      </c>
      <c r="B118" s="162" t="s">
        <v>6983</v>
      </c>
      <c r="C118" s="162" t="b">
        <f>IF(Clan=Voies!D118,TRUE,FALSE)</f>
        <v>0</v>
      </c>
      <c r="D118" s="466" t="s">
        <v>6762</v>
      </c>
      <c r="E118" s="199">
        <v>4</v>
      </c>
      <c r="F118" s="199">
        <v>4</v>
      </c>
      <c r="G118" s="199" t="s">
        <v>2049</v>
      </c>
      <c r="H118" s="162" t="s">
        <v>6865</v>
      </c>
      <c r="I118" s="129" t="str">
        <f t="shared" si="14"/>
        <v>Rien</v>
      </c>
      <c r="J118" s="146">
        <v>0</v>
      </c>
      <c r="K118" s="147">
        <v>0</v>
      </c>
      <c r="L118" s="148">
        <v>0</v>
      </c>
      <c r="M118" s="149">
        <v>0</v>
      </c>
      <c r="N118" s="150">
        <v>0</v>
      </c>
      <c r="O118" s="130">
        <v>0</v>
      </c>
      <c r="P118" s="130">
        <v>0</v>
      </c>
      <c r="Q118" s="130">
        <v>0</v>
      </c>
      <c r="R118" s="130">
        <v>0</v>
      </c>
      <c r="S118" s="130">
        <v>0</v>
      </c>
      <c r="T118" s="130">
        <v>0</v>
      </c>
      <c r="U118" s="130">
        <v>0</v>
      </c>
      <c r="V118" s="524">
        <v>0</v>
      </c>
      <c r="W118" s="130">
        <v>0</v>
      </c>
      <c r="X118" s="130">
        <v>0</v>
      </c>
      <c r="Y118" s="130">
        <v>0</v>
      </c>
      <c r="Z118" s="130">
        <v>0</v>
      </c>
      <c r="AA118" s="158" t="s">
        <v>2078</v>
      </c>
      <c r="AB118" s="158"/>
      <c r="AC118" s="158"/>
      <c r="AD118" s="158"/>
      <c r="AE118" s="158" t="b">
        <f>IF(AB118="",TRUE,IF(IF(AC118="",VLOOKUP(AB118,Calculs!$A$19:$S$425,19,FALSE),VLOOKUP(AC118,Calculs!$A$19:$S$425,19,FALSE))&gt;=AD118,TRUE,FALSE))</f>
        <v>1</v>
      </c>
      <c r="AF118" s="158"/>
      <c r="AG118" s="158"/>
      <c r="AH118" s="158"/>
      <c r="AI118" s="158" t="b">
        <f>IF(AF118="",TRUE,IF(IF(AG118="",VLOOKUP(AF118,Calculs!$A$19:$S$425,19,FALSE),VLOOKUP(AG118,Calculs!$A$19:$S$425,19,FALSE))&gt;=AH118,TRUE,FALSE))</f>
        <v>1</v>
      </c>
      <c r="AJ118" s="158"/>
      <c r="AK118" s="158"/>
      <c r="AL118" s="158"/>
      <c r="AM118" s="158" t="b">
        <f>IF(AJ118="",TRUE,IF(IF(AK118="",VLOOKUP(AJ118,Calculs!$A$19:$S$425,19,FALSE),VLOOKUP(AK118,Calculs!$A$19:$S$425,19,FALSE))&gt;=AL118,TRUE,FALSE))</f>
        <v>1</v>
      </c>
      <c r="AN118" s="158"/>
      <c r="AO118" s="158"/>
      <c r="AP118" s="158"/>
      <c r="AQ118" s="158" t="b">
        <f>IF(AN118="",TRUE,IF(IF(AO118="",VLOOKUP(AN118,Calculs!$A$19:$S$425,19,FALSE),VLOOKUP(AO118,Calculs!$A$19:$S$425,19,FALSE))&gt;=AP118,TRUE,FALSE))</f>
        <v>1</v>
      </c>
      <c r="AR118" s="158"/>
      <c r="AS118" s="158" t="b">
        <f>IF(AR118="",TRUE,IF(VLOOKUP(AR118,Calculs!$A$427:$G$738,7,FALSE)&gt;0,TRUE,FALSE))</f>
        <v>1</v>
      </c>
      <c r="AT118" s="158"/>
      <c r="AU118" s="158" t="b">
        <f>IF(AT118="",TRUE,IF(VLOOKUP(AT118,Calculs!$A$740:$G$912,7,FALSE)&gt;0,TRUE,FALSE))</f>
        <v>1</v>
      </c>
      <c r="AV118" s="158" t="b">
        <f t="shared" si="7"/>
        <v>1</v>
      </c>
      <c r="AW118" s="158" t="s">
        <v>2078</v>
      </c>
      <c r="AX118" s="162" t="s">
        <v>6816</v>
      </c>
      <c r="AY118" s="15">
        <v>31</v>
      </c>
      <c r="AZ118" s="555" t="s">
        <v>6987</v>
      </c>
      <c r="BA118" s="559">
        <f>IF(Verso!$B$10=Voies!$B118,1,0)</f>
        <v>0</v>
      </c>
      <c r="BB118" s="12">
        <f>IF(Verso!$B$11=Voies!$B118,1,0)</f>
        <v>0</v>
      </c>
      <c r="BC118" s="12">
        <f>IF(Verso!$B$12=Voies!$B118,1,0)</f>
        <v>0</v>
      </c>
      <c r="BD118" s="12">
        <f>IF(Verso!$B$13=Voies!$B118,1,0)</f>
        <v>0</v>
      </c>
      <c r="BE118" s="12">
        <f>IF(Verso!$B$14=Voies!$B118,1,0)</f>
        <v>0</v>
      </c>
      <c r="BF118" s="12">
        <f>IF(Verso!$B$15=Voies!$B118,1,0)</f>
        <v>0</v>
      </c>
      <c r="BG118" s="12">
        <f>IF(Verso!$B$16=Voies!$B118,1,0)</f>
        <v>0</v>
      </c>
      <c r="BH118" s="12">
        <f>IF(Verso!$B$17=Voies!$B118,1,0)</f>
        <v>0</v>
      </c>
      <c r="BI118" s="557">
        <f t="shared" si="8"/>
        <v>0</v>
      </c>
      <c r="BJ118" s="196" t="str">
        <f t="shared" si="9"/>
        <v/>
      </c>
      <c r="BK118" s="196" t="str">
        <f t="shared" si="10"/>
        <v/>
      </c>
      <c r="BL118" s="295" t="str">
        <f t="shared" si="11"/>
        <v/>
      </c>
      <c r="BM118" s="91"/>
    </row>
    <row r="119" spans="1:65" s="196" customFormat="1" ht="47.25" customHeight="1" x14ac:dyDescent="0.25">
      <c r="A119" s="162" t="str">
        <f>IF(AND(Réputation&gt;Voies!E119-1,OR(C119=TRUE,Calculs!$I$8&gt;0),Air&gt;Voies!J119-1,Eau&gt;Voies!K119-1,Feu&gt;Voies!L119-1,Terre&gt;Voies!M119-1,Vide&gt;Voies!N119-1,Constitution&gt;Voies!O119-1,Volonté&gt;Voies!P119-1,Force&gt;Voies!Q119-1,Perception&gt;Voies!R119-1,Reflexes&gt;Voies!S119-1,Agilité&gt;Voies!T119-1,Intuition&gt;Voies!U119-1,Intelligence&gt;Voies!V119-1,Souillure&gt;Voies!W119-1,Honneur&gt;X119-1,Statut&gt;Y119-1,Gloire&gt;Z119-1,AV119=TRUE),Voies!B119,"")</f>
        <v/>
      </c>
      <c r="B119" s="162" t="s">
        <v>6984</v>
      </c>
      <c r="C119" s="162" t="b">
        <f>IF(Clan=Voies!D119,TRUE,FALSE)</f>
        <v>0</v>
      </c>
      <c r="D119" s="466" t="s">
        <v>6762</v>
      </c>
      <c r="E119" s="199">
        <v>5</v>
      </c>
      <c r="F119" s="199">
        <v>5</v>
      </c>
      <c r="G119" s="199" t="s">
        <v>2049</v>
      </c>
      <c r="H119" s="162" t="s">
        <v>6865</v>
      </c>
      <c r="I119" s="129" t="str">
        <f t="shared" si="14"/>
        <v>Rien</v>
      </c>
      <c r="J119" s="146">
        <v>0</v>
      </c>
      <c r="K119" s="147">
        <v>0</v>
      </c>
      <c r="L119" s="148">
        <v>0</v>
      </c>
      <c r="M119" s="149">
        <v>0</v>
      </c>
      <c r="N119" s="150">
        <v>0</v>
      </c>
      <c r="O119" s="130">
        <v>0</v>
      </c>
      <c r="P119" s="130">
        <v>0</v>
      </c>
      <c r="Q119" s="130">
        <v>0</v>
      </c>
      <c r="R119" s="130">
        <v>0</v>
      </c>
      <c r="S119" s="130">
        <v>0</v>
      </c>
      <c r="T119" s="130">
        <v>0</v>
      </c>
      <c r="U119" s="130">
        <v>0</v>
      </c>
      <c r="V119" s="524">
        <v>0</v>
      </c>
      <c r="W119" s="130">
        <v>0</v>
      </c>
      <c r="X119" s="130">
        <v>0</v>
      </c>
      <c r="Y119" s="130">
        <v>0</v>
      </c>
      <c r="Z119" s="130">
        <v>0</v>
      </c>
      <c r="AA119" s="158" t="s">
        <v>2078</v>
      </c>
      <c r="AB119" s="158"/>
      <c r="AC119" s="158"/>
      <c r="AD119" s="158"/>
      <c r="AE119" s="158" t="b">
        <f>IF(AB119="",TRUE,IF(IF(AC119="",VLOOKUP(AB119,Calculs!$A$19:$S$425,19,FALSE),VLOOKUP(AC119,Calculs!$A$19:$S$425,19,FALSE))&gt;=AD119,TRUE,FALSE))</f>
        <v>1</v>
      </c>
      <c r="AF119" s="158"/>
      <c r="AG119" s="158"/>
      <c r="AH119" s="158"/>
      <c r="AI119" s="158" t="b">
        <f>IF(AF119="",TRUE,IF(IF(AG119="",VLOOKUP(AF119,Calculs!$A$19:$S$425,19,FALSE),VLOOKUP(AG119,Calculs!$A$19:$S$425,19,FALSE))&gt;=AH119,TRUE,FALSE))</f>
        <v>1</v>
      </c>
      <c r="AJ119" s="158"/>
      <c r="AK119" s="158"/>
      <c r="AL119" s="158"/>
      <c r="AM119" s="158" t="b">
        <f>IF(AJ119="",TRUE,IF(IF(AK119="",VLOOKUP(AJ119,Calculs!$A$19:$S$425,19,FALSE),VLOOKUP(AK119,Calculs!$A$19:$S$425,19,FALSE))&gt;=AL119,TRUE,FALSE))</f>
        <v>1</v>
      </c>
      <c r="AN119" s="158"/>
      <c r="AO119" s="158"/>
      <c r="AP119" s="158"/>
      <c r="AQ119" s="158" t="b">
        <f>IF(AN119="",TRUE,IF(IF(AO119="",VLOOKUP(AN119,Calculs!$A$19:$S$425,19,FALSE),VLOOKUP(AO119,Calculs!$A$19:$S$425,19,FALSE))&gt;=AP119,TRUE,FALSE))</f>
        <v>1</v>
      </c>
      <c r="AR119" s="158"/>
      <c r="AS119" s="158" t="b">
        <f>IF(AR119="",TRUE,IF(VLOOKUP(AR119,Calculs!$A$427:$G$738,7,FALSE)&gt;0,TRUE,FALSE))</f>
        <v>1</v>
      </c>
      <c r="AT119" s="158"/>
      <c r="AU119" s="158" t="b">
        <f>IF(AT119="",TRUE,IF(VLOOKUP(AT119,Calculs!$A$740:$G$912,7,FALSE)&gt;0,TRUE,FALSE))</f>
        <v>1</v>
      </c>
      <c r="AV119" s="158" t="b">
        <f t="shared" si="7"/>
        <v>1</v>
      </c>
      <c r="AW119" s="158" t="s">
        <v>2078</v>
      </c>
      <c r="AX119" s="162" t="s">
        <v>6816</v>
      </c>
      <c r="AY119" s="15">
        <v>31</v>
      </c>
      <c r="AZ119" s="555" t="s">
        <v>8491</v>
      </c>
      <c r="BA119" s="559">
        <f>IF(Verso!$B$10=Voies!$B119,1,0)</f>
        <v>0</v>
      </c>
      <c r="BB119" s="12">
        <f>IF(Verso!$B$11=Voies!$B119,1,0)</f>
        <v>0</v>
      </c>
      <c r="BC119" s="12">
        <f>IF(Verso!$B$12=Voies!$B119,1,0)</f>
        <v>0</v>
      </c>
      <c r="BD119" s="12">
        <f>IF(Verso!$B$13=Voies!$B119,1,0)</f>
        <v>0</v>
      </c>
      <c r="BE119" s="12">
        <f>IF(Verso!$B$14=Voies!$B119,1,0)</f>
        <v>0</v>
      </c>
      <c r="BF119" s="12">
        <f>IF(Verso!$B$15=Voies!$B119,1,0)</f>
        <v>0</v>
      </c>
      <c r="BG119" s="12">
        <f>IF(Verso!$B$16=Voies!$B119,1,0)</f>
        <v>0</v>
      </c>
      <c r="BH119" s="12">
        <f>IF(Verso!$B$17=Voies!$B119,1,0)</f>
        <v>0</v>
      </c>
      <c r="BI119" s="557">
        <f t="shared" si="8"/>
        <v>0</v>
      </c>
      <c r="BJ119" s="196" t="str">
        <f t="shared" si="9"/>
        <v/>
      </c>
      <c r="BK119" s="196" t="str">
        <f t="shared" si="10"/>
        <v/>
      </c>
      <c r="BL119" s="295" t="str">
        <f t="shared" si="11"/>
        <v/>
      </c>
      <c r="BM119" s="91"/>
    </row>
    <row r="120" spans="1:65" ht="47.25" customHeight="1" x14ac:dyDescent="0.25">
      <c r="A120" s="162" t="str">
        <f>IF(AND(Réputation&gt;Voies!E120-1,OR(C120=TRUE,Calculs!$I$8&gt;0),Air&gt;Voies!J120-1,Eau&gt;Voies!K120-1,Feu&gt;Voies!L120-1,Terre&gt;Voies!M120-1,Vide&gt;Voies!N120-1,Constitution&gt;Voies!O120-1,Volonté&gt;Voies!P120-1,Force&gt;Voies!Q120-1,Perception&gt;Voies!R120-1,Reflexes&gt;Voies!S120-1,Agilité&gt;Voies!T120-1,Intuition&gt;Voies!U120-1,Intelligence&gt;Voies!V120-1,Souillure&gt;Voies!W120-1,Honneur&gt;X120-1,Statut&gt;Y120-1,Gloire&gt;Z120-1,AV120=TRUE),Voies!B120,"")</f>
        <v/>
      </c>
      <c r="B120" s="162" t="s">
        <v>2705</v>
      </c>
      <c r="C120" s="162" t="b">
        <f>IF(Clan=Voies!D120,TRUE,FALSE)</f>
        <v>0</v>
      </c>
      <c r="D120" s="388" t="s">
        <v>388</v>
      </c>
      <c r="E120" s="13">
        <v>1</v>
      </c>
      <c r="F120" s="199">
        <v>1</v>
      </c>
      <c r="G120" s="13" t="s">
        <v>2049</v>
      </c>
      <c r="H120" s="162" t="s">
        <v>401</v>
      </c>
      <c r="I120" s="129" t="str">
        <f t="shared" si="14"/>
        <v>Rien</v>
      </c>
      <c r="J120" s="146">
        <v>0</v>
      </c>
      <c r="K120" s="147">
        <v>0</v>
      </c>
      <c r="L120" s="148">
        <v>0</v>
      </c>
      <c r="M120" s="149">
        <v>0</v>
      </c>
      <c r="N120" s="150">
        <v>0</v>
      </c>
      <c r="O120" s="130">
        <v>0</v>
      </c>
      <c r="P120" s="130">
        <v>0</v>
      </c>
      <c r="Q120" s="130">
        <v>0</v>
      </c>
      <c r="R120" s="130">
        <v>0</v>
      </c>
      <c r="S120" s="130">
        <v>0</v>
      </c>
      <c r="T120" s="130">
        <v>0</v>
      </c>
      <c r="U120" s="130">
        <v>0</v>
      </c>
      <c r="V120" s="524">
        <v>0</v>
      </c>
      <c r="W120" s="130">
        <v>0</v>
      </c>
      <c r="X120" s="130">
        <v>0</v>
      </c>
      <c r="Y120" s="130">
        <v>0</v>
      </c>
      <c r="Z120" s="130">
        <v>0</v>
      </c>
      <c r="AA120" s="158" t="s">
        <v>2078</v>
      </c>
      <c r="AB120" s="158"/>
      <c r="AC120" s="158"/>
      <c r="AD120" s="158"/>
      <c r="AE120" s="158" t="b">
        <f>IF(AB120="",TRUE,IF(IF(AC120="",VLOOKUP(AB120,Calculs!$A$19:$S$425,19,FALSE),VLOOKUP(AC120,Calculs!$A$19:$S$425,19,FALSE))&gt;=AD120,TRUE,FALSE))</f>
        <v>1</v>
      </c>
      <c r="AF120" s="158"/>
      <c r="AG120" s="158"/>
      <c r="AH120" s="158"/>
      <c r="AI120" s="158" t="b">
        <f>IF(AF120="",TRUE,IF(IF(AG120="",VLOOKUP(AF120,Calculs!$A$19:$S$425,19,FALSE),VLOOKUP(AG120,Calculs!$A$19:$S$425,19,FALSE))&gt;=AH120,TRUE,FALSE))</f>
        <v>1</v>
      </c>
      <c r="AJ120" s="158"/>
      <c r="AK120" s="158"/>
      <c r="AL120" s="158"/>
      <c r="AM120" s="158" t="b">
        <f>IF(AJ120="",TRUE,IF(IF(AK120="",VLOOKUP(AJ120,Calculs!$A$19:$S$425,19,FALSE),VLOOKUP(AK120,Calculs!$A$19:$S$425,19,FALSE))&gt;=AL120,TRUE,FALSE))</f>
        <v>1</v>
      </c>
      <c r="AN120" s="158"/>
      <c r="AO120" s="158"/>
      <c r="AP120" s="158"/>
      <c r="AQ120" s="158" t="b">
        <f>IF(AN120="",TRUE,IF(IF(AO120="",VLOOKUP(AN120,Calculs!$A$19:$S$425,19,FALSE),VLOOKUP(AO120,Calculs!$A$19:$S$425,19,FALSE))&gt;=AP120,TRUE,FALSE))</f>
        <v>1</v>
      </c>
      <c r="AR120" s="158"/>
      <c r="AS120" s="158" t="b">
        <f>IF(AR120="",TRUE,IF(VLOOKUP(AR120,Calculs!$A$427:$G$738,7,FALSE)&gt;0,TRUE,FALSE))</f>
        <v>1</v>
      </c>
      <c r="AT120" s="158"/>
      <c r="AU120" s="158" t="b">
        <f>IF(AT120="",TRUE,IF(VLOOKUP(AT120,Calculs!$A$740:$G$912,7,FALSE)&gt;0,TRUE,FALSE))</f>
        <v>1</v>
      </c>
      <c r="AV120" s="158" t="b">
        <f t="shared" si="7"/>
        <v>1</v>
      </c>
      <c r="AW120" s="158" t="s">
        <v>2078</v>
      </c>
      <c r="AX120" s="162" t="s">
        <v>2076</v>
      </c>
      <c r="AY120" s="15">
        <v>27</v>
      </c>
      <c r="AZ120" s="555" t="str">
        <f>CONCATENATE("Face à un adversaire non humain, ajoutez ",IF(Terre&gt;Honneur,Terre,Honneur)," à votre ND d'Armure. +1g0 à tous vos  jets d'attaque avec des armes Samurai.")</f>
        <v>Face à un adversaire non humain, ajoutez 2 à votre ND d'Armure. +1g0 à tous vos  jets d'attaque avec des armes Samurai.</v>
      </c>
      <c r="BA120" s="559">
        <f>IF(Verso!$B$10=Voies!$B120,1,0)</f>
        <v>0</v>
      </c>
      <c r="BB120" s="12">
        <f>IF(Verso!$B$11=Voies!$B120,1,0)</f>
        <v>0</v>
      </c>
      <c r="BC120" s="12">
        <f>IF(Verso!$B$12=Voies!$B120,1,0)</f>
        <v>0</v>
      </c>
      <c r="BD120" s="12">
        <f>IF(Verso!$B$13=Voies!$B120,1,0)</f>
        <v>0</v>
      </c>
      <c r="BE120" s="12">
        <f>IF(Verso!$B$14=Voies!$B120,1,0)</f>
        <v>0</v>
      </c>
      <c r="BF120" s="12">
        <f>IF(Verso!$B$15=Voies!$B120,1,0)</f>
        <v>0</v>
      </c>
      <c r="BG120" s="12">
        <f>IF(Verso!$B$16=Voies!$B120,1,0)</f>
        <v>0</v>
      </c>
      <c r="BH120" s="12">
        <f>IF(Verso!$B$17=Voies!$B120,1,0)</f>
        <v>0</v>
      </c>
      <c r="BI120" s="557">
        <f t="shared" si="8"/>
        <v>0</v>
      </c>
      <c r="BJ120" s="196" t="str">
        <f t="shared" si="9"/>
        <v/>
      </c>
      <c r="BK120" s="196" t="str">
        <f t="shared" si="10"/>
        <v/>
      </c>
      <c r="BL120" s="295" t="str">
        <f t="shared" si="11"/>
        <v/>
      </c>
    </row>
    <row r="121" spans="1:65" ht="47.25" customHeight="1" x14ac:dyDescent="0.25">
      <c r="A121" s="162" t="str">
        <f>IF(AND(Réputation&gt;Voies!E121-1,OR(C121=TRUE,Calculs!$I$8&gt;0),Air&gt;Voies!J121-1,Eau&gt;Voies!K121-1,Feu&gt;Voies!L121-1,Terre&gt;Voies!M121-1,Vide&gt;Voies!N121-1,Constitution&gt;Voies!O121-1,Volonté&gt;Voies!P121-1,Force&gt;Voies!Q121-1,Perception&gt;Voies!R121-1,Reflexes&gt;Voies!S121-1,Agilité&gt;Voies!T121-1,Intuition&gt;Voies!U121-1,Intelligence&gt;Voies!V121-1,Souillure&gt;Voies!W121-1,Honneur&gt;X121-1,Statut&gt;Y121-1,Gloire&gt;Z121-1,AV121=TRUE),Voies!B121,"")</f>
        <v/>
      </c>
      <c r="B121" s="162" t="s">
        <v>2716</v>
      </c>
      <c r="C121" s="162" t="b">
        <f>IF(Clan=Voies!D121,TRUE,FALSE)</f>
        <v>0</v>
      </c>
      <c r="D121" s="388" t="s">
        <v>388</v>
      </c>
      <c r="E121" s="13">
        <v>1</v>
      </c>
      <c r="F121" s="199">
        <v>1</v>
      </c>
      <c r="G121" s="13" t="s">
        <v>2052</v>
      </c>
      <c r="H121" s="162" t="s">
        <v>411</v>
      </c>
      <c r="I121" s="129" t="str">
        <f t="shared" si="14"/>
        <v>Rien</v>
      </c>
      <c r="J121" s="146">
        <v>0</v>
      </c>
      <c r="K121" s="147">
        <v>0</v>
      </c>
      <c r="L121" s="148">
        <v>0</v>
      </c>
      <c r="M121" s="149">
        <v>0</v>
      </c>
      <c r="N121" s="150">
        <v>0</v>
      </c>
      <c r="O121" s="130">
        <v>0</v>
      </c>
      <c r="P121" s="130">
        <v>0</v>
      </c>
      <c r="Q121" s="130">
        <v>0</v>
      </c>
      <c r="R121" s="130">
        <v>0</v>
      </c>
      <c r="S121" s="130">
        <v>0</v>
      </c>
      <c r="T121" s="130">
        <v>0</v>
      </c>
      <c r="U121" s="130">
        <v>0</v>
      </c>
      <c r="V121" s="524">
        <v>0</v>
      </c>
      <c r="W121" s="130">
        <v>0</v>
      </c>
      <c r="X121" s="130">
        <v>0</v>
      </c>
      <c r="Y121" s="130">
        <v>0</v>
      </c>
      <c r="Z121" s="130">
        <v>0</v>
      </c>
      <c r="AA121" s="158" t="s">
        <v>2078</v>
      </c>
      <c r="AB121" s="158"/>
      <c r="AC121" s="158"/>
      <c r="AD121" s="158"/>
      <c r="AE121" s="158" t="b">
        <f>IF(AB121="",TRUE,IF(IF(AC121="",VLOOKUP(AB121,Calculs!$A$19:$S$425,19,FALSE),VLOOKUP(AC121,Calculs!$A$19:$S$425,19,FALSE))&gt;=AD121,TRUE,FALSE))</f>
        <v>1</v>
      </c>
      <c r="AF121" s="158"/>
      <c r="AG121" s="158"/>
      <c r="AH121" s="158"/>
      <c r="AI121" s="158" t="b">
        <f>IF(AF121="",TRUE,IF(IF(AG121="",VLOOKUP(AF121,Calculs!$A$19:$S$425,19,FALSE),VLOOKUP(AG121,Calculs!$A$19:$S$425,19,FALSE))&gt;=AH121,TRUE,FALSE))</f>
        <v>1</v>
      </c>
      <c r="AJ121" s="158"/>
      <c r="AK121" s="158"/>
      <c r="AL121" s="158"/>
      <c r="AM121" s="158" t="b">
        <f>IF(AJ121="",TRUE,IF(IF(AK121="",VLOOKUP(AJ121,Calculs!$A$19:$S$425,19,FALSE),VLOOKUP(AK121,Calculs!$A$19:$S$425,19,FALSE))&gt;=AL121,TRUE,FALSE))</f>
        <v>1</v>
      </c>
      <c r="AN121" s="158"/>
      <c r="AO121" s="158"/>
      <c r="AP121" s="158"/>
      <c r="AQ121" s="158" t="b">
        <f>IF(AN121="",TRUE,IF(IF(AO121="",VLOOKUP(AN121,Calculs!$A$19:$S$425,19,FALSE),VLOOKUP(AO121,Calculs!$A$19:$S$425,19,FALSE))&gt;=AP121,TRUE,FALSE))</f>
        <v>1</v>
      </c>
      <c r="AR121" s="158"/>
      <c r="AS121" s="158" t="b">
        <f>IF(AR121="",TRUE,IF(VLOOKUP(AR121,Calculs!$A$427:$G$738,7,FALSE)&gt;0,TRUE,FALSE))</f>
        <v>1</v>
      </c>
      <c r="AT121" s="158"/>
      <c r="AU121" s="158" t="b">
        <f>IF(AT121="",TRUE,IF(VLOOKUP(AT121,Calculs!$A$740:$G$912,7,FALSE)&gt;0,TRUE,FALSE))</f>
        <v>1</v>
      </c>
      <c r="AV121" s="158" t="b">
        <f t="shared" si="7"/>
        <v>1</v>
      </c>
      <c r="AW121" s="158" t="s">
        <v>2078</v>
      </c>
      <c r="AX121" s="162" t="s">
        <v>2076</v>
      </c>
      <c r="AY121" s="15">
        <v>28</v>
      </c>
      <c r="AZ121" s="566" t="s">
        <v>2722</v>
      </c>
      <c r="BA121" s="559">
        <f>IF(Verso!$B$10=Voies!$B121,1,0)</f>
        <v>0</v>
      </c>
      <c r="BB121" s="12">
        <f>IF(Verso!$B$11=Voies!$B121,1,0)</f>
        <v>0</v>
      </c>
      <c r="BC121" s="12">
        <f>IF(Verso!$B$12=Voies!$B121,1,0)</f>
        <v>0</v>
      </c>
      <c r="BD121" s="12">
        <f>IF(Verso!$B$13=Voies!$B121,1,0)</f>
        <v>0</v>
      </c>
      <c r="BE121" s="12">
        <f>IF(Verso!$B$14=Voies!$B121,1,0)</f>
        <v>0</v>
      </c>
      <c r="BF121" s="12">
        <f>IF(Verso!$B$15=Voies!$B121,1,0)</f>
        <v>0</v>
      </c>
      <c r="BG121" s="12">
        <f>IF(Verso!$B$16=Voies!$B121,1,0)</f>
        <v>0</v>
      </c>
      <c r="BH121" s="12">
        <f>IF(Verso!$B$17=Voies!$B121,1,0)</f>
        <v>0</v>
      </c>
      <c r="BI121" s="557">
        <f t="shared" si="8"/>
        <v>0</v>
      </c>
      <c r="BJ121" s="196" t="str">
        <f t="shared" si="9"/>
        <v/>
      </c>
      <c r="BK121" s="196" t="str">
        <f t="shared" si="10"/>
        <v/>
      </c>
      <c r="BL121" s="295" t="str">
        <f t="shared" si="11"/>
        <v/>
      </c>
    </row>
    <row r="122" spans="1:65" s="3" customFormat="1" ht="47.25" customHeight="1" x14ac:dyDescent="0.25">
      <c r="A122" s="162" t="str">
        <f>IF(AND(Réputation&gt;Voies!E122-1,OR(C122=TRUE,Calculs!$I$8&gt;0),Air&gt;Voies!J122-1,Eau&gt;Voies!K122-1,Feu&gt;Voies!L122-1,Terre&gt;Voies!M122-1,Vide&gt;Voies!N122-1,Constitution&gt;Voies!O122-1,Volonté&gt;Voies!P122-1,Force&gt;Voies!Q122-1,Perception&gt;Voies!R122-1,Reflexes&gt;Voies!S122-1,Agilité&gt;Voies!T122-1,Intuition&gt;Voies!U122-1,Intelligence&gt;Voies!V122-1,Souillure&gt;Voies!W122-1,Honneur&gt;X122-1,Statut&gt;Y122-1,Gloire&gt;Z122-1,AV122=TRUE),Voies!B122,"")</f>
        <v/>
      </c>
      <c r="B122" s="162" t="s">
        <v>2721</v>
      </c>
      <c r="C122" s="162" t="b">
        <f>IF(Clan=Voies!D122,TRUE,FALSE)</f>
        <v>0</v>
      </c>
      <c r="D122" s="388" t="s">
        <v>388</v>
      </c>
      <c r="E122" s="13">
        <v>1</v>
      </c>
      <c r="F122" s="199">
        <v>1</v>
      </c>
      <c r="G122" s="13" t="s">
        <v>2048</v>
      </c>
      <c r="H122" s="162" t="s">
        <v>252</v>
      </c>
      <c r="I122" s="129" t="str">
        <f t="shared" si="14"/>
        <v>Rien</v>
      </c>
      <c r="J122" s="146">
        <v>0</v>
      </c>
      <c r="K122" s="147">
        <v>0</v>
      </c>
      <c r="L122" s="148">
        <v>0</v>
      </c>
      <c r="M122" s="149">
        <v>0</v>
      </c>
      <c r="N122" s="150">
        <v>0</v>
      </c>
      <c r="O122" s="130">
        <v>0</v>
      </c>
      <c r="P122" s="130">
        <v>0</v>
      </c>
      <c r="Q122" s="130">
        <v>0</v>
      </c>
      <c r="R122" s="130">
        <v>0</v>
      </c>
      <c r="S122" s="130">
        <v>0</v>
      </c>
      <c r="T122" s="130">
        <v>0</v>
      </c>
      <c r="U122" s="130">
        <v>0</v>
      </c>
      <c r="V122" s="524">
        <v>0</v>
      </c>
      <c r="W122" s="130">
        <v>0</v>
      </c>
      <c r="X122" s="130">
        <v>0</v>
      </c>
      <c r="Y122" s="130">
        <v>0</v>
      </c>
      <c r="Z122" s="130">
        <v>0</v>
      </c>
      <c r="AA122" s="158" t="s">
        <v>2078</v>
      </c>
      <c r="AB122" s="158"/>
      <c r="AC122" s="158"/>
      <c r="AD122" s="158"/>
      <c r="AE122" s="158" t="b">
        <f>IF(AB122="",TRUE,IF(IF(AC122="",VLOOKUP(AB122,Calculs!$A$19:$S$425,19,FALSE),VLOOKUP(AC122,Calculs!$A$19:$S$425,19,FALSE))&gt;=AD122,TRUE,FALSE))</f>
        <v>1</v>
      </c>
      <c r="AF122" s="158"/>
      <c r="AG122" s="158"/>
      <c r="AH122" s="158"/>
      <c r="AI122" s="158" t="b">
        <f>IF(AF122="",TRUE,IF(IF(AG122="",VLOOKUP(AF122,Calculs!$A$19:$S$425,19,FALSE),VLOOKUP(AG122,Calculs!$A$19:$S$425,19,FALSE))&gt;=AH122,TRUE,FALSE))</f>
        <v>1</v>
      </c>
      <c r="AJ122" s="158"/>
      <c r="AK122" s="158"/>
      <c r="AL122" s="158"/>
      <c r="AM122" s="158" t="b">
        <f>IF(AJ122="",TRUE,IF(IF(AK122="",VLOOKUP(AJ122,Calculs!$A$19:$S$425,19,FALSE),VLOOKUP(AK122,Calculs!$A$19:$S$425,19,FALSE))&gt;=AL122,TRUE,FALSE))</f>
        <v>1</v>
      </c>
      <c r="AN122" s="158"/>
      <c r="AO122" s="158"/>
      <c r="AP122" s="158"/>
      <c r="AQ122" s="158" t="b">
        <f>IF(AN122="",TRUE,IF(IF(AO122="",VLOOKUP(AN122,Calculs!$A$19:$S$425,19,FALSE),VLOOKUP(AO122,Calculs!$A$19:$S$425,19,FALSE))&gt;=AP122,TRUE,FALSE))</f>
        <v>1</v>
      </c>
      <c r="AR122" s="158"/>
      <c r="AS122" s="158" t="b">
        <f>IF(AR122="",TRUE,IF(VLOOKUP(AR122,Calculs!$A$427:$G$738,7,FALSE)&gt;0,TRUE,FALSE))</f>
        <v>1</v>
      </c>
      <c r="AT122" s="158"/>
      <c r="AU122" s="158" t="b">
        <f>IF(AT122="",TRUE,IF(VLOOKUP(AT122,Calculs!$A$740:$G$912,7,FALSE)&gt;0,TRUE,FALSE))</f>
        <v>1</v>
      </c>
      <c r="AV122" s="158" t="b">
        <f t="shared" si="7"/>
        <v>1</v>
      </c>
      <c r="AW122" s="158" t="s">
        <v>2078</v>
      </c>
      <c r="AX122" s="162" t="s">
        <v>2076</v>
      </c>
      <c r="AY122" s="15">
        <v>28</v>
      </c>
      <c r="AZ122" s="555" t="s">
        <v>2730</v>
      </c>
      <c r="BA122" s="559">
        <f>IF(Verso!$B$10=Voies!$B122,1,0)</f>
        <v>0</v>
      </c>
      <c r="BB122" s="12">
        <f>IF(Verso!$B$11=Voies!$B122,1,0)</f>
        <v>0</v>
      </c>
      <c r="BC122" s="12">
        <f>IF(Verso!$B$12=Voies!$B122,1,0)</f>
        <v>0</v>
      </c>
      <c r="BD122" s="12">
        <f>IF(Verso!$B$13=Voies!$B122,1,0)</f>
        <v>0</v>
      </c>
      <c r="BE122" s="12">
        <f>IF(Verso!$B$14=Voies!$B122,1,0)</f>
        <v>0</v>
      </c>
      <c r="BF122" s="12">
        <f>IF(Verso!$B$15=Voies!$B122,1,0)</f>
        <v>0</v>
      </c>
      <c r="BG122" s="12">
        <f>IF(Verso!$B$16=Voies!$B122,1,0)</f>
        <v>0</v>
      </c>
      <c r="BH122" s="12">
        <f>IF(Verso!$B$17=Voies!$B122,1,0)</f>
        <v>0</v>
      </c>
      <c r="BI122" s="557">
        <f t="shared" si="8"/>
        <v>0</v>
      </c>
      <c r="BJ122" s="196" t="str">
        <f t="shared" si="9"/>
        <v/>
      </c>
      <c r="BK122" s="196" t="str">
        <f t="shared" si="10"/>
        <v/>
      </c>
      <c r="BL122" s="295" t="str">
        <f t="shared" si="11"/>
        <v/>
      </c>
      <c r="BM122" s="577"/>
    </row>
    <row r="123" spans="1:65" ht="47.25" customHeight="1" x14ac:dyDescent="0.25">
      <c r="A123" s="162" t="str">
        <f>IF(AND(Réputation&gt;Voies!E123-1,OR(C123=TRUE,Calculs!$I$8&gt;0),Air&gt;Voies!J123-1,Eau&gt;Voies!K123-1,Feu&gt;Voies!L123-1,Terre&gt;Voies!M123-1,Vide&gt;Voies!N123-1,Constitution&gt;Voies!O123-1,Volonté&gt;Voies!P123-1,Force&gt;Voies!Q123-1,Perception&gt;Voies!R123-1,Reflexes&gt;Voies!S123-1,Agilité&gt;Voies!T123-1,Intuition&gt;Voies!U123-1,Intelligence&gt;Voies!V123-1,Souillure&gt;Voies!W123-1,Honneur&gt;X123-1,Statut&gt;Y123-1,Gloire&gt;Z123-1,AV123=TRUE),Voies!B123,"")</f>
        <v/>
      </c>
      <c r="B123" s="162" t="s">
        <v>2706</v>
      </c>
      <c r="C123" s="162" t="b">
        <f>IF(Clan=Voies!D123,TRUE,FALSE)</f>
        <v>0</v>
      </c>
      <c r="D123" s="388" t="s">
        <v>388</v>
      </c>
      <c r="E123" s="13">
        <v>2</v>
      </c>
      <c r="F123" s="199">
        <v>2</v>
      </c>
      <c r="G123" s="13" t="s">
        <v>2049</v>
      </c>
      <c r="H123" s="162" t="s">
        <v>401</v>
      </c>
      <c r="I123" s="129" t="str">
        <f t="shared" si="14"/>
        <v>Rien</v>
      </c>
      <c r="J123" s="146">
        <v>0</v>
      </c>
      <c r="K123" s="147">
        <v>0</v>
      </c>
      <c r="L123" s="148">
        <v>0</v>
      </c>
      <c r="M123" s="149">
        <v>0</v>
      </c>
      <c r="N123" s="150">
        <v>0</v>
      </c>
      <c r="O123" s="130">
        <v>0</v>
      </c>
      <c r="P123" s="130">
        <v>0</v>
      </c>
      <c r="Q123" s="130">
        <v>0</v>
      </c>
      <c r="R123" s="130">
        <v>0</v>
      </c>
      <c r="S123" s="130">
        <v>0</v>
      </c>
      <c r="T123" s="130">
        <v>0</v>
      </c>
      <c r="U123" s="130">
        <v>0</v>
      </c>
      <c r="V123" s="524">
        <v>0</v>
      </c>
      <c r="W123" s="130">
        <v>0</v>
      </c>
      <c r="X123" s="130">
        <v>0</v>
      </c>
      <c r="Y123" s="130">
        <v>0</v>
      </c>
      <c r="Z123" s="130">
        <v>0</v>
      </c>
      <c r="AA123" s="158" t="s">
        <v>2078</v>
      </c>
      <c r="AB123" s="158"/>
      <c r="AC123" s="158"/>
      <c r="AD123" s="158"/>
      <c r="AE123" s="158" t="b">
        <f>IF(AB123="",TRUE,IF(IF(AC123="",VLOOKUP(AB123,Calculs!$A$19:$S$425,19,FALSE),VLOOKUP(AC123,Calculs!$A$19:$S$425,19,FALSE))&gt;=AD123,TRUE,FALSE))</f>
        <v>1</v>
      </c>
      <c r="AF123" s="158"/>
      <c r="AG123" s="158"/>
      <c r="AH123" s="158"/>
      <c r="AI123" s="158" t="b">
        <f>IF(AF123="",TRUE,IF(IF(AG123="",VLOOKUP(AF123,Calculs!$A$19:$S$425,19,FALSE),VLOOKUP(AG123,Calculs!$A$19:$S$425,19,FALSE))&gt;=AH123,TRUE,FALSE))</f>
        <v>1</v>
      </c>
      <c r="AJ123" s="158"/>
      <c r="AK123" s="158"/>
      <c r="AL123" s="158"/>
      <c r="AM123" s="158" t="b">
        <f>IF(AJ123="",TRUE,IF(IF(AK123="",VLOOKUP(AJ123,Calculs!$A$19:$S$425,19,FALSE),VLOOKUP(AK123,Calculs!$A$19:$S$425,19,FALSE))&gt;=AL123,TRUE,FALSE))</f>
        <v>1</v>
      </c>
      <c r="AN123" s="158"/>
      <c r="AO123" s="158"/>
      <c r="AP123" s="158"/>
      <c r="AQ123" s="158" t="b">
        <f>IF(AN123="",TRUE,IF(IF(AO123="",VLOOKUP(AN123,Calculs!$A$19:$S$425,19,FALSE),VLOOKUP(AO123,Calculs!$A$19:$S$425,19,FALSE))&gt;=AP123,TRUE,FALSE))</f>
        <v>1</v>
      </c>
      <c r="AR123" s="158"/>
      <c r="AS123" s="158" t="b">
        <f>IF(AR123="",TRUE,IF(VLOOKUP(AR123,Calculs!$A$427:$G$738,7,FALSE)&gt;0,TRUE,FALSE))</f>
        <v>1</v>
      </c>
      <c r="AT123" s="158"/>
      <c r="AU123" s="158" t="b">
        <f>IF(AT123="",TRUE,IF(VLOOKUP(AT123,Calculs!$A$740:$G$912,7,FALSE)&gt;0,TRUE,FALSE))</f>
        <v>1</v>
      </c>
      <c r="AV123" s="158" t="b">
        <f t="shared" si="7"/>
        <v>1</v>
      </c>
      <c r="AW123" s="158" t="s">
        <v>2078</v>
      </c>
      <c r="AX123" s="162" t="s">
        <v>2076</v>
      </c>
      <c r="AY123" s="15">
        <v>27</v>
      </c>
      <c r="AZ123" s="555" t="s">
        <v>2712</v>
      </c>
      <c r="BA123" s="559">
        <f>IF(Verso!$B$10=Voies!$B123,1,0)</f>
        <v>0</v>
      </c>
      <c r="BB123" s="12">
        <f>IF(Verso!$B$11=Voies!$B123,1,0)</f>
        <v>0</v>
      </c>
      <c r="BC123" s="12">
        <f>IF(Verso!$B$12=Voies!$B123,1,0)</f>
        <v>0</v>
      </c>
      <c r="BD123" s="12">
        <f>IF(Verso!$B$13=Voies!$B123,1,0)</f>
        <v>0</v>
      </c>
      <c r="BE123" s="12">
        <f>IF(Verso!$B$14=Voies!$B123,1,0)</f>
        <v>0</v>
      </c>
      <c r="BF123" s="12">
        <f>IF(Verso!$B$15=Voies!$B123,1,0)</f>
        <v>0</v>
      </c>
      <c r="BG123" s="12">
        <f>IF(Verso!$B$16=Voies!$B123,1,0)</f>
        <v>0</v>
      </c>
      <c r="BH123" s="12">
        <f>IF(Verso!$B$17=Voies!$B123,1,0)</f>
        <v>0</v>
      </c>
      <c r="BI123" s="557">
        <f t="shared" si="8"/>
        <v>0</v>
      </c>
      <c r="BJ123" s="196" t="str">
        <f t="shared" si="9"/>
        <v/>
      </c>
      <c r="BK123" s="196" t="str">
        <f t="shared" si="10"/>
        <v/>
      </c>
      <c r="BL123" s="295" t="str">
        <f t="shared" si="11"/>
        <v/>
      </c>
    </row>
    <row r="124" spans="1:65" ht="47.25" customHeight="1" x14ac:dyDescent="0.25">
      <c r="A124" s="162" t="str">
        <f>IF(AND(Réputation&gt;Voies!E124-1,OR(C124=TRUE,Calculs!$I$8&gt;0),Air&gt;Voies!J124-1,Eau&gt;Voies!K124-1,Feu&gt;Voies!L124-1,Terre&gt;Voies!M124-1,Vide&gt;Voies!N124-1,Constitution&gt;Voies!O124-1,Volonté&gt;Voies!P124-1,Force&gt;Voies!Q124-1,Perception&gt;Voies!R124-1,Reflexes&gt;Voies!S124-1,Agilité&gt;Voies!T124-1,Intuition&gt;Voies!U124-1,Intelligence&gt;Voies!V124-1,Souillure&gt;Voies!W124-1,Honneur&gt;X124-1,Statut&gt;Y124-1,Gloire&gt;Z124-1,AV124=TRUE),Voies!B124,"")</f>
        <v/>
      </c>
      <c r="B124" s="162" t="s">
        <v>2717</v>
      </c>
      <c r="C124" s="162" t="b">
        <f>IF(Clan=Voies!D124,TRUE,FALSE)</f>
        <v>0</v>
      </c>
      <c r="D124" s="388" t="s">
        <v>388</v>
      </c>
      <c r="E124" s="13">
        <v>2</v>
      </c>
      <c r="F124" s="199">
        <v>2</v>
      </c>
      <c r="G124" s="13" t="s">
        <v>2052</v>
      </c>
      <c r="H124" s="162" t="s">
        <v>411</v>
      </c>
      <c r="I124" s="129" t="str">
        <f t="shared" si="14"/>
        <v>Rien</v>
      </c>
      <c r="J124" s="146">
        <v>0</v>
      </c>
      <c r="K124" s="147">
        <v>0</v>
      </c>
      <c r="L124" s="148">
        <v>0</v>
      </c>
      <c r="M124" s="149">
        <v>0</v>
      </c>
      <c r="N124" s="150">
        <v>0</v>
      </c>
      <c r="O124" s="130">
        <v>0</v>
      </c>
      <c r="P124" s="130">
        <v>0</v>
      </c>
      <c r="Q124" s="130">
        <v>0</v>
      </c>
      <c r="R124" s="130">
        <v>0</v>
      </c>
      <c r="S124" s="130">
        <v>0</v>
      </c>
      <c r="T124" s="130">
        <v>0</v>
      </c>
      <c r="U124" s="130">
        <v>0</v>
      </c>
      <c r="V124" s="524">
        <v>0</v>
      </c>
      <c r="W124" s="130">
        <v>0</v>
      </c>
      <c r="X124" s="130">
        <v>0</v>
      </c>
      <c r="Y124" s="130">
        <v>0</v>
      </c>
      <c r="Z124" s="130">
        <v>0</v>
      </c>
      <c r="AA124" s="158" t="s">
        <v>2078</v>
      </c>
      <c r="AB124" s="158"/>
      <c r="AC124" s="158"/>
      <c r="AD124" s="158"/>
      <c r="AE124" s="158" t="b">
        <f>IF(AB124="",TRUE,IF(IF(AC124="",VLOOKUP(AB124,Calculs!$A$19:$S$425,19,FALSE),VLOOKUP(AC124,Calculs!$A$19:$S$425,19,FALSE))&gt;=AD124,TRUE,FALSE))</f>
        <v>1</v>
      </c>
      <c r="AF124" s="158"/>
      <c r="AG124" s="158"/>
      <c r="AH124" s="158"/>
      <c r="AI124" s="158" t="b">
        <f>IF(AF124="",TRUE,IF(IF(AG124="",VLOOKUP(AF124,Calculs!$A$19:$S$425,19,FALSE),VLOOKUP(AG124,Calculs!$A$19:$S$425,19,FALSE))&gt;=AH124,TRUE,FALSE))</f>
        <v>1</v>
      </c>
      <c r="AJ124" s="158"/>
      <c r="AK124" s="158"/>
      <c r="AL124" s="158"/>
      <c r="AM124" s="158" t="b">
        <f>IF(AJ124="",TRUE,IF(IF(AK124="",VLOOKUP(AJ124,Calculs!$A$19:$S$425,19,FALSE),VLOOKUP(AK124,Calculs!$A$19:$S$425,19,FALSE))&gt;=AL124,TRUE,FALSE))</f>
        <v>1</v>
      </c>
      <c r="AN124" s="158"/>
      <c r="AO124" s="158"/>
      <c r="AP124" s="158"/>
      <c r="AQ124" s="158" t="b">
        <f>IF(AN124="",TRUE,IF(IF(AO124="",VLOOKUP(AN124,Calculs!$A$19:$S$425,19,FALSE),VLOOKUP(AO124,Calculs!$A$19:$S$425,19,FALSE))&gt;=AP124,TRUE,FALSE))</f>
        <v>1</v>
      </c>
      <c r="AR124" s="158"/>
      <c r="AS124" s="158" t="b">
        <f>IF(AR124="",TRUE,IF(VLOOKUP(AR124,Calculs!$A$427:$G$738,7,FALSE)&gt;0,TRUE,FALSE))</f>
        <v>1</v>
      </c>
      <c r="AT124" s="158"/>
      <c r="AU124" s="158" t="b">
        <f>IF(AT124="",TRUE,IF(VLOOKUP(AT124,Calculs!$A$740:$G$912,7,FALSE)&gt;0,TRUE,FALSE))</f>
        <v>1</v>
      </c>
      <c r="AV124" s="158" t="b">
        <f t="shared" si="7"/>
        <v>1</v>
      </c>
      <c r="AW124" s="158" t="s">
        <v>2078</v>
      </c>
      <c r="AX124" s="162" t="s">
        <v>2076</v>
      </c>
      <c r="AY124" s="15">
        <v>28</v>
      </c>
      <c r="AZ124" s="555" t="s">
        <v>2723</v>
      </c>
      <c r="BA124" s="559">
        <f>IF(Verso!$B$10=Voies!$B124,1,0)</f>
        <v>0</v>
      </c>
      <c r="BB124" s="12">
        <f>IF(Verso!$B$11=Voies!$B124,1,0)</f>
        <v>0</v>
      </c>
      <c r="BC124" s="12">
        <f>IF(Verso!$B$12=Voies!$B124,1,0)</f>
        <v>0</v>
      </c>
      <c r="BD124" s="12">
        <f>IF(Verso!$B$13=Voies!$B124,1,0)</f>
        <v>0</v>
      </c>
      <c r="BE124" s="12">
        <f>IF(Verso!$B$14=Voies!$B124,1,0)</f>
        <v>0</v>
      </c>
      <c r="BF124" s="12">
        <f>IF(Verso!$B$15=Voies!$B124,1,0)</f>
        <v>0</v>
      </c>
      <c r="BG124" s="12">
        <f>IF(Verso!$B$16=Voies!$B124,1,0)</f>
        <v>0</v>
      </c>
      <c r="BH124" s="12">
        <f>IF(Verso!$B$17=Voies!$B124,1,0)</f>
        <v>0</v>
      </c>
      <c r="BI124" s="557">
        <f t="shared" si="8"/>
        <v>0</v>
      </c>
      <c r="BJ124" s="196" t="str">
        <f t="shared" si="9"/>
        <v/>
      </c>
      <c r="BK124" s="196" t="str">
        <f t="shared" si="10"/>
        <v/>
      </c>
      <c r="BL124" s="295" t="str">
        <f t="shared" si="11"/>
        <v/>
      </c>
    </row>
    <row r="125" spans="1:65" ht="47.25" customHeight="1" x14ac:dyDescent="0.25">
      <c r="A125" s="162" t="str">
        <f>IF(AND(Réputation&gt;Voies!E125-1,OR(C125=TRUE,Calculs!$I$8&gt;0),Air&gt;Voies!J125-1,Eau&gt;Voies!K125-1,Feu&gt;Voies!L125-1,Terre&gt;Voies!M125-1,Vide&gt;Voies!N125-1,Constitution&gt;Voies!O125-1,Volonté&gt;Voies!P125-1,Force&gt;Voies!Q125-1,Perception&gt;Voies!R125-1,Reflexes&gt;Voies!S125-1,Agilité&gt;Voies!T125-1,Intuition&gt;Voies!U125-1,Intelligence&gt;Voies!V125-1,Souillure&gt;Voies!W125-1,Honneur&gt;X125-1,Statut&gt;Y125-1,Gloire&gt;Z125-1,AV125=TRUE),Voies!B125,"")</f>
        <v/>
      </c>
      <c r="B125" s="162" t="s">
        <v>2707</v>
      </c>
      <c r="C125" s="162" t="b">
        <f>IF(Clan=Voies!D125,TRUE,FALSE)</f>
        <v>0</v>
      </c>
      <c r="D125" s="388" t="s">
        <v>388</v>
      </c>
      <c r="E125" s="13">
        <v>3</v>
      </c>
      <c r="F125" s="199">
        <v>3</v>
      </c>
      <c r="G125" s="13" t="s">
        <v>2049</v>
      </c>
      <c r="H125" s="162" t="s">
        <v>401</v>
      </c>
      <c r="I125" s="129" t="str">
        <f t="shared" si="14"/>
        <v>Rien</v>
      </c>
      <c r="J125" s="146">
        <v>0</v>
      </c>
      <c r="K125" s="147">
        <v>0</v>
      </c>
      <c r="L125" s="148">
        <v>0</v>
      </c>
      <c r="M125" s="149">
        <v>0</v>
      </c>
      <c r="N125" s="150">
        <v>0</v>
      </c>
      <c r="O125" s="130">
        <v>0</v>
      </c>
      <c r="P125" s="130">
        <v>0</v>
      </c>
      <c r="Q125" s="130">
        <v>0</v>
      </c>
      <c r="R125" s="130">
        <v>0</v>
      </c>
      <c r="S125" s="130">
        <v>0</v>
      </c>
      <c r="T125" s="130">
        <v>0</v>
      </c>
      <c r="U125" s="130">
        <v>0</v>
      </c>
      <c r="V125" s="524">
        <v>0</v>
      </c>
      <c r="W125" s="130">
        <v>0</v>
      </c>
      <c r="X125" s="130">
        <v>0</v>
      </c>
      <c r="Y125" s="130">
        <v>0</v>
      </c>
      <c r="Z125" s="130">
        <v>0</v>
      </c>
      <c r="AA125" s="158" t="s">
        <v>2078</v>
      </c>
      <c r="AB125" s="158"/>
      <c r="AC125" s="158"/>
      <c r="AD125" s="158"/>
      <c r="AE125" s="158" t="b">
        <f>IF(AB125="",TRUE,IF(IF(AC125="",VLOOKUP(AB125,Calculs!$A$19:$S$425,19,FALSE),VLOOKUP(AC125,Calculs!$A$19:$S$425,19,FALSE))&gt;=AD125,TRUE,FALSE))</f>
        <v>1</v>
      </c>
      <c r="AF125" s="158"/>
      <c r="AG125" s="158"/>
      <c r="AH125" s="158"/>
      <c r="AI125" s="158" t="b">
        <f>IF(AF125="",TRUE,IF(IF(AG125="",VLOOKUP(AF125,Calculs!$A$19:$S$425,19,FALSE),VLOOKUP(AG125,Calculs!$A$19:$S$425,19,FALSE))&gt;=AH125,TRUE,FALSE))</f>
        <v>1</v>
      </c>
      <c r="AJ125" s="158"/>
      <c r="AK125" s="158"/>
      <c r="AL125" s="158"/>
      <c r="AM125" s="158" t="b">
        <f>IF(AJ125="",TRUE,IF(IF(AK125="",VLOOKUP(AJ125,Calculs!$A$19:$S$425,19,FALSE),VLOOKUP(AK125,Calculs!$A$19:$S$425,19,FALSE))&gt;=AL125,TRUE,FALSE))</f>
        <v>1</v>
      </c>
      <c r="AN125" s="158"/>
      <c r="AO125" s="158"/>
      <c r="AP125" s="158"/>
      <c r="AQ125" s="158" t="b">
        <f>IF(AN125="",TRUE,IF(IF(AO125="",VLOOKUP(AN125,Calculs!$A$19:$S$425,19,FALSE),VLOOKUP(AO125,Calculs!$A$19:$S$425,19,FALSE))&gt;=AP125,TRUE,FALSE))</f>
        <v>1</v>
      </c>
      <c r="AR125" s="158"/>
      <c r="AS125" s="158" t="b">
        <f>IF(AR125="",TRUE,IF(VLOOKUP(AR125,Calculs!$A$427:$G$738,7,FALSE)&gt;0,TRUE,FALSE))</f>
        <v>1</v>
      </c>
      <c r="AT125" s="158"/>
      <c r="AU125" s="158" t="b">
        <f>IF(AT125="",TRUE,IF(VLOOKUP(AT125,Calculs!$A$740:$G$912,7,FALSE)&gt;0,TRUE,FALSE))</f>
        <v>1</v>
      </c>
      <c r="AV125" s="158" t="b">
        <f t="shared" si="7"/>
        <v>1</v>
      </c>
      <c r="AW125" s="158" t="s">
        <v>2078</v>
      </c>
      <c r="AX125" s="162" t="s">
        <v>2076</v>
      </c>
      <c r="AY125" s="15">
        <v>27</v>
      </c>
      <c r="AZ125" s="555" t="s">
        <v>2713</v>
      </c>
      <c r="BA125" s="559">
        <f>IF(Verso!$B$10=Voies!$B125,1,0)</f>
        <v>0</v>
      </c>
      <c r="BB125" s="12">
        <f>IF(Verso!$B$11=Voies!$B125,1,0)</f>
        <v>0</v>
      </c>
      <c r="BC125" s="12">
        <f>IF(Verso!$B$12=Voies!$B125,1,0)</f>
        <v>0</v>
      </c>
      <c r="BD125" s="12">
        <f>IF(Verso!$B$13=Voies!$B125,1,0)</f>
        <v>0</v>
      </c>
      <c r="BE125" s="12">
        <f>IF(Verso!$B$14=Voies!$B125,1,0)</f>
        <v>0</v>
      </c>
      <c r="BF125" s="12">
        <f>IF(Verso!$B$15=Voies!$B125,1,0)</f>
        <v>0</v>
      </c>
      <c r="BG125" s="12">
        <f>IF(Verso!$B$16=Voies!$B125,1,0)</f>
        <v>0</v>
      </c>
      <c r="BH125" s="12">
        <f>IF(Verso!$B$17=Voies!$B125,1,0)</f>
        <v>0</v>
      </c>
      <c r="BI125" s="557">
        <f t="shared" si="8"/>
        <v>0</v>
      </c>
      <c r="BJ125" s="196" t="str">
        <f t="shared" si="9"/>
        <v/>
      </c>
      <c r="BK125" s="196" t="str">
        <f t="shared" si="10"/>
        <v/>
      </c>
      <c r="BL125" s="295" t="str">
        <f t="shared" si="11"/>
        <v/>
      </c>
    </row>
    <row r="126" spans="1:65" ht="47.25" customHeight="1" x14ac:dyDescent="0.25">
      <c r="A126" s="162" t="str">
        <f>IF(AND(Réputation&gt;Voies!E126-1,OR(C126=TRUE,Calculs!$I$8&gt;0),Air&gt;Voies!J126-1,Eau&gt;Voies!K126-1,Feu&gt;Voies!L126-1,Terre&gt;Voies!M126-1,Vide&gt;Voies!N126-1,Constitution&gt;Voies!O126-1,Volonté&gt;Voies!P126-1,Force&gt;Voies!Q126-1,Perception&gt;Voies!R126-1,Reflexes&gt;Voies!S126-1,Agilité&gt;Voies!T126-1,Intuition&gt;Voies!U126-1,Intelligence&gt;Voies!V126-1,Souillure&gt;Voies!W126-1,Honneur&gt;X126-1,Statut&gt;Y126-1,Gloire&gt;Z126-1,AV126=TRUE),Voies!B126,"")</f>
        <v/>
      </c>
      <c r="B126" s="162" t="s">
        <v>2718</v>
      </c>
      <c r="C126" s="162" t="b">
        <f>IF(Clan=Voies!D126,TRUE,FALSE)</f>
        <v>0</v>
      </c>
      <c r="D126" s="388" t="s">
        <v>388</v>
      </c>
      <c r="E126" s="13">
        <v>3</v>
      </c>
      <c r="F126" s="199">
        <v>3</v>
      </c>
      <c r="G126" s="13" t="s">
        <v>2052</v>
      </c>
      <c r="H126" s="162" t="s">
        <v>411</v>
      </c>
      <c r="I126" s="129" t="str">
        <f t="shared" si="14"/>
        <v>Rien</v>
      </c>
      <c r="J126" s="146">
        <v>0</v>
      </c>
      <c r="K126" s="147">
        <v>0</v>
      </c>
      <c r="L126" s="148">
        <v>0</v>
      </c>
      <c r="M126" s="149">
        <v>0</v>
      </c>
      <c r="N126" s="150">
        <v>0</v>
      </c>
      <c r="O126" s="130">
        <v>0</v>
      </c>
      <c r="P126" s="130">
        <v>0</v>
      </c>
      <c r="Q126" s="130">
        <v>0</v>
      </c>
      <c r="R126" s="130">
        <v>0</v>
      </c>
      <c r="S126" s="130">
        <v>0</v>
      </c>
      <c r="T126" s="130">
        <v>0</v>
      </c>
      <c r="U126" s="130">
        <v>0</v>
      </c>
      <c r="V126" s="524">
        <v>0</v>
      </c>
      <c r="W126" s="130">
        <v>0</v>
      </c>
      <c r="X126" s="130">
        <v>0</v>
      </c>
      <c r="Y126" s="130">
        <v>0</v>
      </c>
      <c r="Z126" s="130">
        <v>0</v>
      </c>
      <c r="AA126" s="158" t="s">
        <v>2078</v>
      </c>
      <c r="AB126" s="158"/>
      <c r="AC126" s="158"/>
      <c r="AD126" s="158"/>
      <c r="AE126" s="158" t="b">
        <f>IF(AB126="",TRUE,IF(IF(AC126="",VLOOKUP(AB126,Calculs!$A$19:$S$425,19,FALSE),VLOOKUP(AC126,Calculs!$A$19:$S$425,19,FALSE))&gt;=AD126,TRUE,FALSE))</f>
        <v>1</v>
      </c>
      <c r="AF126" s="158"/>
      <c r="AG126" s="158"/>
      <c r="AH126" s="158"/>
      <c r="AI126" s="158" t="b">
        <f>IF(AF126="",TRUE,IF(IF(AG126="",VLOOKUP(AF126,Calculs!$A$19:$S$425,19,FALSE),VLOOKUP(AG126,Calculs!$A$19:$S$425,19,FALSE))&gt;=AH126,TRUE,FALSE))</f>
        <v>1</v>
      </c>
      <c r="AJ126" s="158"/>
      <c r="AK126" s="158"/>
      <c r="AL126" s="158"/>
      <c r="AM126" s="158" t="b">
        <f>IF(AJ126="",TRUE,IF(IF(AK126="",VLOOKUP(AJ126,Calculs!$A$19:$S$425,19,FALSE),VLOOKUP(AK126,Calculs!$A$19:$S$425,19,FALSE))&gt;=AL126,TRUE,FALSE))</f>
        <v>1</v>
      </c>
      <c r="AN126" s="158"/>
      <c r="AO126" s="158"/>
      <c r="AP126" s="158"/>
      <c r="AQ126" s="158" t="b">
        <f>IF(AN126="",TRUE,IF(IF(AO126="",VLOOKUP(AN126,Calculs!$A$19:$S$425,19,FALSE),VLOOKUP(AO126,Calculs!$A$19:$S$425,19,FALSE))&gt;=AP126,TRUE,FALSE))</f>
        <v>1</v>
      </c>
      <c r="AR126" s="158"/>
      <c r="AS126" s="158" t="b">
        <f>IF(AR126="",TRUE,IF(VLOOKUP(AR126,Calculs!$A$427:$G$738,7,FALSE)&gt;0,TRUE,FALSE))</f>
        <v>1</v>
      </c>
      <c r="AT126" s="158"/>
      <c r="AU126" s="158" t="b">
        <f>IF(AT126="",TRUE,IF(VLOOKUP(AT126,Calculs!$A$740:$G$912,7,FALSE)&gt;0,TRUE,FALSE))</f>
        <v>1</v>
      </c>
      <c r="AV126" s="158" t="b">
        <f t="shared" si="7"/>
        <v>1</v>
      </c>
      <c r="AW126" s="158" t="s">
        <v>2078</v>
      </c>
      <c r="AX126" s="162" t="s">
        <v>2076</v>
      </c>
      <c r="AY126" s="15">
        <v>28</v>
      </c>
      <c r="AZ126" s="555" t="s">
        <v>2724</v>
      </c>
      <c r="BA126" s="559">
        <f>IF(Verso!$B$10=Voies!$B126,1,0)</f>
        <v>0</v>
      </c>
      <c r="BB126" s="12">
        <f>IF(Verso!$B$11=Voies!$B126,1,0)</f>
        <v>0</v>
      </c>
      <c r="BC126" s="12">
        <f>IF(Verso!$B$12=Voies!$B126,1,0)</f>
        <v>0</v>
      </c>
      <c r="BD126" s="12">
        <f>IF(Verso!$B$13=Voies!$B126,1,0)</f>
        <v>0</v>
      </c>
      <c r="BE126" s="12">
        <f>IF(Verso!$B$14=Voies!$B126,1,0)</f>
        <v>0</v>
      </c>
      <c r="BF126" s="12">
        <f>IF(Verso!$B$15=Voies!$B126,1,0)</f>
        <v>0</v>
      </c>
      <c r="BG126" s="12">
        <f>IF(Verso!$B$16=Voies!$B126,1,0)</f>
        <v>0</v>
      </c>
      <c r="BH126" s="12">
        <f>IF(Verso!$B$17=Voies!$B126,1,0)</f>
        <v>0</v>
      </c>
      <c r="BI126" s="557">
        <f t="shared" si="8"/>
        <v>0</v>
      </c>
      <c r="BJ126" s="196" t="str">
        <f t="shared" si="9"/>
        <v/>
      </c>
      <c r="BK126" s="196" t="str">
        <f t="shared" si="10"/>
        <v/>
      </c>
      <c r="BL126" s="295" t="str">
        <f t="shared" si="11"/>
        <v/>
      </c>
    </row>
    <row r="127" spans="1:65" ht="47.25" customHeight="1" x14ac:dyDescent="0.25">
      <c r="A127" s="162" t="str">
        <f>IF(AND(Réputation&gt;Voies!E127-1,OR(C127=TRUE,Calculs!$I$8&gt;0),Air&gt;Voies!J127-1,Eau&gt;Voies!K127-1,Feu&gt;Voies!L127-1,Terre&gt;Voies!M127-1,Vide&gt;Voies!N127-1,Constitution&gt;Voies!O127-1,Volonté&gt;Voies!P127-1,Force&gt;Voies!Q127-1,Perception&gt;Voies!R127-1,Reflexes&gt;Voies!S127-1,Agilité&gt;Voies!T127-1,Intuition&gt;Voies!U127-1,Intelligence&gt;Voies!V127-1,Souillure&gt;Voies!W127-1,Honneur&gt;X127-1,Statut&gt;Y127-1,Gloire&gt;Z127-1,AV127=TRUE),Voies!B127,"")</f>
        <v/>
      </c>
      <c r="B127" s="162" t="s">
        <v>2708</v>
      </c>
      <c r="C127" s="162" t="b">
        <f>IF(Clan=Voies!D127,TRUE,FALSE)</f>
        <v>0</v>
      </c>
      <c r="D127" s="388" t="s">
        <v>388</v>
      </c>
      <c r="E127" s="13">
        <v>4</v>
      </c>
      <c r="F127" s="199">
        <v>4</v>
      </c>
      <c r="G127" s="13" t="s">
        <v>2049</v>
      </c>
      <c r="H127" s="162" t="s">
        <v>401</v>
      </c>
      <c r="I127" s="129" t="str">
        <f t="shared" si="14"/>
        <v>Rien</v>
      </c>
      <c r="J127" s="146">
        <v>0</v>
      </c>
      <c r="K127" s="147">
        <v>0</v>
      </c>
      <c r="L127" s="148">
        <v>0</v>
      </c>
      <c r="M127" s="149">
        <v>0</v>
      </c>
      <c r="N127" s="150">
        <v>0</v>
      </c>
      <c r="O127" s="130">
        <v>0</v>
      </c>
      <c r="P127" s="130">
        <v>0</v>
      </c>
      <c r="Q127" s="130">
        <v>0</v>
      </c>
      <c r="R127" s="130">
        <v>0</v>
      </c>
      <c r="S127" s="130">
        <v>0</v>
      </c>
      <c r="T127" s="130">
        <v>0</v>
      </c>
      <c r="U127" s="130">
        <v>0</v>
      </c>
      <c r="V127" s="524">
        <v>0</v>
      </c>
      <c r="W127" s="130">
        <v>0</v>
      </c>
      <c r="X127" s="130">
        <v>0</v>
      </c>
      <c r="Y127" s="130">
        <v>0</v>
      </c>
      <c r="Z127" s="130">
        <v>0</v>
      </c>
      <c r="AA127" s="158" t="s">
        <v>2078</v>
      </c>
      <c r="AB127" s="158"/>
      <c r="AC127" s="158"/>
      <c r="AD127" s="158"/>
      <c r="AE127" s="158" t="b">
        <f>IF(AB127="",TRUE,IF(IF(AC127="",VLOOKUP(AB127,Calculs!$A$19:$S$425,19,FALSE),VLOOKUP(AC127,Calculs!$A$19:$S$425,19,FALSE))&gt;=AD127,TRUE,FALSE))</f>
        <v>1</v>
      </c>
      <c r="AF127" s="158"/>
      <c r="AG127" s="158"/>
      <c r="AH127" s="158"/>
      <c r="AI127" s="158" t="b">
        <f>IF(AF127="",TRUE,IF(IF(AG127="",VLOOKUP(AF127,Calculs!$A$19:$S$425,19,FALSE),VLOOKUP(AG127,Calculs!$A$19:$S$425,19,FALSE))&gt;=AH127,TRUE,FALSE))</f>
        <v>1</v>
      </c>
      <c r="AJ127" s="158"/>
      <c r="AK127" s="158"/>
      <c r="AL127" s="158"/>
      <c r="AM127" s="158" t="b">
        <f>IF(AJ127="",TRUE,IF(IF(AK127="",VLOOKUP(AJ127,Calculs!$A$19:$S$425,19,FALSE),VLOOKUP(AK127,Calculs!$A$19:$S$425,19,FALSE))&gt;=AL127,TRUE,FALSE))</f>
        <v>1</v>
      </c>
      <c r="AN127" s="158"/>
      <c r="AO127" s="158"/>
      <c r="AP127" s="158"/>
      <c r="AQ127" s="158" t="b">
        <f>IF(AN127="",TRUE,IF(IF(AO127="",VLOOKUP(AN127,Calculs!$A$19:$S$425,19,FALSE),VLOOKUP(AO127,Calculs!$A$19:$S$425,19,FALSE))&gt;=AP127,TRUE,FALSE))</f>
        <v>1</v>
      </c>
      <c r="AR127" s="158"/>
      <c r="AS127" s="158" t="b">
        <f>IF(AR127="",TRUE,IF(VLOOKUP(AR127,Calculs!$A$427:$G$738,7,FALSE)&gt;0,TRUE,FALSE))</f>
        <v>1</v>
      </c>
      <c r="AT127" s="158"/>
      <c r="AU127" s="158" t="b">
        <f>IF(AT127="",TRUE,IF(VLOOKUP(AT127,Calculs!$A$740:$G$912,7,FALSE)&gt;0,TRUE,FALSE))</f>
        <v>1</v>
      </c>
      <c r="AV127" s="158" t="b">
        <f t="shared" si="7"/>
        <v>1</v>
      </c>
      <c r="AW127" s="158" t="s">
        <v>2078</v>
      </c>
      <c r="AX127" s="162" t="s">
        <v>2076</v>
      </c>
      <c r="AY127" s="15">
        <v>27</v>
      </c>
      <c r="AZ127" s="555" t="s">
        <v>2714</v>
      </c>
      <c r="BA127" s="559">
        <f>IF(Verso!$B$10=Voies!$B127,1,0)</f>
        <v>0</v>
      </c>
      <c r="BB127" s="12">
        <f>IF(Verso!$B$11=Voies!$B127,1,0)</f>
        <v>0</v>
      </c>
      <c r="BC127" s="12">
        <f>IF(Verso!$B$12=Voies!$B127,1,0)</f>
        <v>0</v>
      </c>
      <c r="BD127" s="12">
        <f>IF(Verso!$B$13=Voies!$B127,1,0)</f>
        <v>0</v>
      </c>
      <c r="BE127" s="12">
        <f>IF(Verso!$B$14=Voies!$B127,1,0)</f>
        <v>0</v>
      </c>
      <c r="BF127" s="12">
        <f>IF(Verso!$B$15=Voies!$B127,1,0)</f>
        <v>0</v>
      </c>
      <c r="BG127" s="12">
        <f>IF(Verso!$B$16=Voies!$B127,1,0)</f>
        <v>0</v>
      </c>
      <c r="BH127" s="12">
        <f>IF(Verso!$B$17=Voies!$B127,1,0)</f>
        <v>0</v>
      </c>
      <c r="BI127" s="557">
        <f t="shared" si="8"/>
        <v>0</v>
      </c>
      <c r="BJ127" s="196" t="str">
        <f t="shared" si="9"/>
        <v/>
      </c>
      <c r="BK127" s="196" t="str">
        <f t="shared" si="10"/>
        <v/>
      </c>
      <c r="BL127" s="295" t="str">
        <f t="shared" si="11"/>
        <v/>
      </c>
    </row>
    <row r="128" spans="1:65" s="3" customFormat="1" ht="47.25" customHeight="1" x14ac:dyDescent="0.25">
      <c r="A128" s="162" t="str">
        <f>IF(AND(Réputation&gt;Voies!E128-1,OR(C128=TRUE,Calculs!$I$8&gt;0),Air&gt;Voies!J128-1,Eau&gt;Voies!K128-1,Feu&gt;Voies!L128-1,Terre&gt;Voies!M128-1,Vide&gt;Voies!N128-1,Constitution&gt;Voies!O128-1,Volonté&gt;Voies!P128-1,Force&gt;Voies!Q128-1,Perception&gt;Voies!R128-1,Reflexes&gt;Voies!S128-1,Agilité&gt;Voies!T128-1,Intuition&gt;Voies!U128-1,Intelligence&gt;Voies!V128-1,Souillure&gt;Voies!W128-1,Honneur&gt;X128-1,Statut&gt;Y128-1,Gloire&gt;Z128-1,AV128=TRUE),Voies!B128,"")</f>
        <v/>
      </c>
      <c r="B128" s="162" t="s">
        <v>2719</v>
      </c>
      <c r="C128" s="162" t="b">
        <f>IF(Clan=Voies!D128,TRUE,FALSE)</f>
        <v>0</v>
      </c>
      <c r="D128" s="388" t="s">
        <v>388</v>
      </c>
      <c r="E128" s="13">
        <v>4</v>
      </c>
      <c r="F128" s="199">
        <v>4</v>
      </c>
      <c r="G128" s="13" t="s">
        <v>2052</v>
      </c>
      <c r="H128" s="162" t="s">
        <v>411</v>
      </c>
      <c r="I128" s="129" t="str">
        <f t="shared" si="14"/>
        <v>Rien</v>
      </c>
      <c r="J128" s="146">
        <v>0</v>
      </c>
      <c r="K128" s="147">
        <v>0</v>
      </c>
      <c r="L128" s="148">
        <v>0</v>
      </c>
      <c r="M128" s="149">
        <v>0</v>
      </c>
      <c r="N128" s="150">
        <v>0</v>
      </c>
      <c r="O128" s="130">
        <v>0</v>
      </c>
      <c r="P128" s="130">
        <v>0</v>
      </c>
      <c r="Q128" s="130">
        <v>0</v>
      </c>
      <c r="R128" s="130">
        <v>0</v>
      </c>
      <c r="S128" s="130">
        <v>0</v>
      </c>
      <c r="T128" s="130">
        <v>0</v>
      </c>
      <c r="U128" s="130">
        <v>0</v>
      </c>
      <c r="V128" s="524">
        <v>0</v>
      </c>
      <c r="W128" s="130">
        <v>0</v>
      </c>
      <c r="X128" s="130">
        <v>0</v>
      </c>
      <c r="Y128" s="130">
        <v>0</v>
      </c>
      <c r="Z128" s="130">
        <v>0</v>
      </c>
      <c r="AA128" s="158" t="s">
        <v>2078</v>
      </c>
      <c r="AB128" s="158"/>
      <c r="AC128" s="158"/>
      <c r="AD128" s="158"/>
      <c r="AE128" s="158" t="b">
        <f>IF(AB128="",TRUE,IF(IF(AC128="",VLOOKUP(AB128,Calculs!$A$19:$S$425,19,FALSE),VLOOKUP(AC128,Calculs!$A$19:$S$425,19,FALSE))&gt;=AD128,TRUE,FALSE))</f>
        <v>1</v>
      </c>
      <c r="AF128" s="158"/>
      <c r="AG128" s="158"/>
      <c r="AH128" s="158"/>
      <c r="AI128" s="158" t="b">
        <f>IF(AF128="",TRUE,IF(IF(AG128="",VLOOKUP(AF128,Calculs!$A$19:$S$425,19,FALSE),VLOOKUP(AG128,Calculs!$A$19:$S$425,19,FALSE))&gt;=AH128,TRUE,FALSE))</f>
        <v>1</v>
      </c>
      <c r="AJ128" s="158"/>
      <c r="AK128" s="158"/>
      <c r="AL128" s="158"/>
      <c r="AM128" s="158" t="b">
        <f>IF(AJ128="",TRUE,IF(IF(AK128="",VLOOKUP(AJ128,Calculs!$A$19:$S$425,19,FALSE),VLOOKUP(AK128,Calculs!$A$19:$S$425,19,FALSE))&gt;=AL128,TRUE,FALSE))</f>
        <v>1</v>
      </c>
      <c r="AN128" s="158"/>
      <c r="AO128" s="158"/>
      <c r="AP128" s="158"/>
      <c r="AQ128" s="158" t="b">
        <f>IF(AN128="",TRUE,IF(IF(AO128="",VLOOKUP(AN128,Calculs!$A$19:$S$425,19,FALSE),VLOOKUP(AO128,Calculs!$A$19:$S$425,19,FALSE))&gt;=AP128,TRUE,FALSE))</f>
        <v>1</v>
      </c>
      <c r="AR128" s="158"/>
      <c r="AS128" s="158" t="b">
        <f>IF(AR128="",TRUE,IF(VLOOKUP(AR128,Calculs!$A$427:$G$738,7,FALSE)&gt;0,TRUE,FALSE))</f>
        <v>1</v>
      </c>
      <c r="AT128" s="158"/>
      <c r="AU128" s="158" t="b">
        <f>IF(AT128="",TRUE,IF(VLOOKUP(AT128,Calculs!$A$740:$G$912,7,FALSE)&gt;0,TRUE,FALSE))</f>
        <v>1</v>
      </c>
      <c r="AV128" s="158" t="b">
        <f t="shared" si="7"/>
        <v>1</v>
      </c>
      <c r="AW128" s="158" t="s">
        <v>2078</v>
      </c>
      <c r="AX128" s="162" t="s">
        <v>2076</v>
      </c>
      <c r="AY128" s="15">
        <v>28</v>
      </c>
      <c r="AZ128" s="555" t="s">
        <v>2725</v>
      </c>
      <c r="BA128" s="559">
        <f>IF(Verso!$B$10=Voies!$B128,1,0)</f>
        <v>0</v>
      </c>
      <c r="BB128" s="12">
        <f>IF(Verso!$B$11=Voies!$B128,1,0)</f>
        <v>0</v>
      </c>
      <c r="BC128" s="12">
        <f>IF(Verso!$B$12=Voies!$B128,1,0)</f>
        <v>0</v>
      </c>
      <c r="BD128" s="12">
        <f>IF(Verso!$B$13=Voies!$B128,1,0)</f>
        <v>0</v>
      </c>
      <c r="BE128" s="12">
        <f>IF(Verso!$B$14=Voies!$B128,1,0)</f>
        <v>0</v>
      </c>
      <c r="BF128" s="12">
        <f>IF(Verso!$B$15=Voies!$B128,1,0)</f>
        <v>0</v>
      </c>
      <c r="BG128" s="12">
        <f>IF(Verso!$B$16=Voies!$B128,1,0)</f>
        <v>0</v>
      </c>
      <c r="BH128" s="12">
        <f>IF(Verso!$B$17=Voies!$B128,1,0)</f>
        <v>0</v>
      </c>
      <c r="BI128" s="557">
        <f t="shared" si="8"/>
        <v>0</v>
      </c>
      <c r="BJ128" s="196" t="str">
        <f t="shared" si="9"/>
        <v/>
      </c>
      <c r="BK128" s="196" t="str">
        <f t="shared" si="10"/>
        <v/>
      </c>
      <c r="BL128" s="295" t="str">
        <f t="shared" si="11"/>
        <v/>
      </c>
      <c r="BM128" s="577"/>
    </row>
    <row r="129" spans="1:65" s="3" customFormat="1" ht="47.25" customHeight="1" x14ac:dyDescent="0.25">
      <c r="A129" s="162" t="str">
        <f>IF(AND(Réputation&gt;Voies!E129-1,OR(C129=TRUE,Calculs!$I$8&gt;0),Air&gt;Voies!J129-1,Eau&gt;Voies!K129-1,Feu&gt;Voies!L129-1,Terre&gt;Voies!M129-1,Vide&gt;Voies!N129-1,Constitution&gt;Voies!O129-1,Volonté&gt;Voies!P129-1,Force&gt;Voies!Q129-1,Perception&gt;Voies!R129-1,Reflexes&gt;Voies!S129-1,Agilité&gt;Voies!T129-1,Intuition&gt;Voies!U129-1,Intelligence&gt;Voies!V129-1,Souillure&gt;Voies!W129-1,Honneur&gt;X129-1,Statut&gt;Y129-1,Gloire&gt;Z129-1,AV129=TRUE),Voies!B129,"")</f>
        <v/>
      </c>
      <c r="B129" s="162" t="s">
        <v>2709</v>
      </c>
      <c r="C129" s="162" t="b">
        <f>IF(Clan=Voies!D129,TRUE,FALSE)</f>
        <v>0</v>
      </c>
      <c r="D129" s="388" t="s">
        <v>388</v>
      </c>
      <c r="E129" s="13">
        <v>5</v>
      </c>
      <c r="F129" s="199">
        <v>5</v>
      </c>
      <c r="G129" s="13" t="s">
        <v>2049</v>
      </c>
      <c r="H129" s="162" t="s">
        <v>401</v>
      </c>
      <c r="I129" s="129" t="str">
        <f t="shared" si="14"/>
        <v>Rien</v>
      </c>
      <c r="J129" s="146">
        <v>0</v>
      </c>
      <c r="K129" s="147">
        <v>0</v>
      </c>
      <c r="L129" s="148">
        <v>0</v>
      </c>
      <c r="M129" s="149">
        <v>0</v>
      </c>
      <c r="N129" s="150">
        <v>0</v>
      </c>
      <c r="O129" s="130">
        <v>0</v>
      </c>
      <c r="P129" s="130">
        <v>0</v>
      </c>
      <c r="Q129" s="130">
        <v>0</v>
      </c>
      <c r="R129" s="130">
        <v>0</v>
      </c>
      <c r="S129" s="130">
        <v>0</v>
      </c>
      <c r="T129" s="130">
        <v>0</v>
      </c>
      <c r="U129" s="130">
        <v>0</v>
      </c>
      <c r="V129" s="524">
        <v>0</v>
      </c>
      <c r="W129" s="130">
        <v>0</v>
      </c>
      <c r="X129" s="130">
        <v>0</v>
      </c>
      <c r="Y129" s="130">
        <v>0</v>
      </c>
      <c r="Z129" s="130">
        <v>0</v>
      </c>
      <c r="AA129" s="158" t="s">
        <v>2078</v>
      </c>
      <c r="AB129" s="158"/>
      <c r="AC129" s="158"/>
      <c r="AD129" s="158"/>
      <c r="AE129" s="158" t="b">
        <f>IF(AB129="",TRUE,IF(IF(AC129="",VLOOKUP(AB129,Calculs!$A$19:$S$425,19,FALSE),VLOOKUP(AC129,Calculs!$A$19:$S$425,19,FALSE))&gt;=AD129,TRUE,FALSE))</f>
        <v>1</v>
      </c>
      <c r="AF129" s="158"/>
      <c r="AG129" s="158"/>
      <c r="AH129" s="158"/>
      <c r="AI129" s="158" t="b">
        <f>IF(AF129="",TRUE,IF(IF(AG129="",VLOOKUP(AF129,Calculs!$A$19:$S$425,19,FALSE),VLOOKUP(AG129,Calculs!$A$19:$S$425,19,FALSE))&gt;=AH129,TRUE,FALSE))</f>
        <v>1</v>
      </c>
      <c r="AJ129" s="158"/>
      <c r="AK129" s="158"/>
      <c r="AL129" s="158"/>
      <c r="AM129" s="158" t="b">
        <f>IF(AJ129="",TRUE,IF(IF(AK129="",VLOOKUP(AJ129,Calculs!$A$19:$S$425,19,FALSE),VLOOKUP(AK129,Calculs!$A$19:$S$425,19,FALSE))&gt;=AL129,TRUE,FALSE))</f>
        <v>1</v>
      </c>
      <c r="AN129" s="158"/>
      <c r="AO129" s="158"/>
      <c r="AP129" s="158"/>
      <c r="AQ129" s="158" t="b">
        <f>IF(AN129="",TRUE,IF(IF(AO129="",VLOOKUP(AN129,Calculs!$A$19:$S$425,19,FALSE),VLOOKUP(AO129,Calculs!$A$19:$S$425,19,FALSE))&gt;=AP129,TRUE,FALSE))</f>
        <v>1</v>
      </c>
      <c r="AR129" s="158"/>
      <c r="AS129" s="158" t="b">
        <f>IF(AR129="",TRUE,IF(VLOOKUP(AR129,Calculs!$A$427:$G$738,7,FALSE)&gt;0,TRUE,FALSE))</f>
        <v>1</v>
      </c>
      <c r="AT129" s="158"/>
      <c r="AU129" s="158" t="b">
        <f>IF(AT129="",TRUE,IF(VLOOKUP(AT129,Calculs!$A$740:$G$912,7,FALSE)&gt;0,TRUE,FALSE))</f>
        <v>1</v>
      </c>
      <c r="AV129" s="158" t="b">
        <f t="shared" si="7"/>
        <v>1</v>
      </c>
      <c r="AW129" s="158" t="s">
        <v>2078</v>
      </c>
      <c r="AX129" s="162" t="s">
        <v>2076</v>
      </c>
      <c r="AY129" s="15">
        <v>27</v>
      </c>
      <c r="AZ129" s="555" t="s">
        <v>2715</v>
      </c>
      <c r="BA129" s="559">
        <f>IF(Verso!$B$10=Voies!$B129,1,0)</f>
        <v>0</v>
      </c>
      <c r="BB129" s="12">
        <f>IF(Verso!$B$11=Voies!$B129,1,0)</f>
        <v>0</v>
      </c>
      <c r="BC129" s="12">
        <f>IF(Verso!$B$12=Voies!$B129,1,0)</f>
        <v>0</v>
      </c>
      <c r="BD129" s="12">
        <f>IF(Verso!$B$13=Voies!$B129,1,0)</f>
        <v>0</v>
      </c>
      <c r="BE129" s="12">
        <f>IF(Verso!$B$14=Voies!$B129,1,0)</f>
        <v>0</v>
      </c>
      <c r="BF129" s="12">
        <f>IF(Verso!$B$15=Voies!$B129,1,0)</f>
        <v>0</v>
      </c>
      <c r="BG129" s="12">
        <f>IF(Verso!$B$16=Voies!$B129,1,0)</f>
        <v>0</v>
      </c>
      <c r="BH129" s="12">
        <f>IF(Verso!$B$17=Voies!$B129,1,0)</f>
        <v>0</v>
      </c>
      <c r="BI129" s="557">
        <f t="shared" si="8"/>
        <v>0</v>
      </c>
      <c r="BJ129" s="196" t="str">
        <f t="shared" si="9"/>
        <v/>
      </c>
      <c r="BK129" s="196" t="str">
        <f t="shared" si="10"/>
        <v/>
      </c>
      <c r="BL129" s="295" t="str">
        <f t="shared" si="11"/>
        <v/>
      </c>
      <c r="BM129" s="577"/>
    </row>
    <row r="130" spans="1:65" s="3" customFormat="1" ht="47.25" customHeight="1" x14ac:dyDescent="0.25">
      <c r="A130" s="162" t="str">
        <f>IF(AND(Réputation&gt;Voies!E130-1,OR(C130=TRUE,Calculs!$I$8&gt;0),Air&gt;Voies!J130-1,Eau&gt;Voies!K130-1,Feu&gt;Voies!L130-1,Terre&gt;Voies!M130-1,Vide&gt;Voies!N130-1,Constitution&gt;Voies!O130-1,Volonté&gt;Voies!P130-1,Force&gt;Voies!Q130-1,Perception&gt;Voies!R130-1,Reflexes&gt;Voies!S130-1,Agilité&gt;Voies!T130-1,Intuition&gt;Voies!U130-1,Intelligence&gt;Voies!V130-1,Souillure&gt;Voies!W130-1,Honneur&gt;X130-1,Statut&gt;Y130-1,Gloire&gt;Z130-1,AV130=TRUE),Voies!B130,"")</f>
        <v/>
      </c>
      <c r="B130" s="162" t="s">
        <v>2720</v>
      </c>
      <c r="C130" s="162" t="b">
        <f>IF(Clan=Voies!D130,TRUE,FALSE)</f>
        <v>0</v>
      </c>
      <c r="D130" s="388" t="s">
        <v>388</v>
      </c>
      <c r="E130" s="13">
        <v>5</v>
      </c>
      <c r="F130" s="199">
        <v>5</v>
      </c>
      <c r="G130" s="13" t="s">
        <v>2052</v>
      </c>
      <c r="H130" s="162" t="s">
        <v>411</v>
      </c>
      <c r="I130" s="129" t="str">
        <f t="shared" si="14"/>
        <v>Rien</v>
      </c>
      <c r="J130" s="146">
        <v>0</v>
      </c>
      <c r="K130" s="147">
        <v>0</v>
      </c>
      <c r="L130" s="148">
        <v>0</v>
      </c>
      <c r="M130" s="149">
        <v>0</v>
      </c>
      <c r="N130" s="150">
        <v>0</v>
      </c>
      <c r="O130" s="130">
        <v>0</v>
      </c>
      <c r="P130" s="130">
        <v>0</v>
      </c>
      <c r="Q130" s="130">
        <v>0</v>
      </c>
      <c r="R130" s="130">
        <v>0</v>
      </c>
      <c r="S130" s="130">
        <v>0</v>
      </c>
      <c r="T130" s="130">
        <v>0</v>
      </c>
      <c r="U130" s="130">
        <v>0</v>
      </c>
      <c r="V130" s="524">
        <v>0</v>
      </c>
      <c r="W130" s="130">
        <v>0</v>
      </c>
      <c r="X130" s="130">
        <v>0</v>
      </c>
      <c r="Y130" s="130">
        <v>0</v>
      </c>
      <c r="Z130" s="130">
        <v>0</v>
      </c>
      <c r="AA130" s="158" t="s">
        <v>2078</v>
      </c>
      <c r="AB130" s="158"/>
      <c r="AC130" s="158"/>
      <c r="AD130" s="158"/>
      <c r="AE130" s="158" t="b">
        <f>IF(AB130="",TRUE,IF(IF(AC130="",VLOOKUP(AB130,Calculs!$A$19:$S$425,19,FALSE),VLOOKUP(AC130,Calculs!$A$19:$S$425,19,FALSE))&gt;=AD130,TRUE,FALSE))</f>
        <v>1</v>
      </c>
      <c r="AF130" s="158"/>
      <c r="AG130" s="158"/>
      <c r="AH130" s="158"/>
      <c r="AI130" s="158" t="b">
        <f>IF(AF130="",TRUE,IF(IF(AG130="",VLOOKUP(AF130,Calculs!$A$19:$S$425,19,FALSE),VLOOKUP(AG130,Calculs!$A$19:$S$425,19,FALSE))&gt;=AH130,TRUE,FALSE))</f>
        <v>1</v>
      </c>
      <c r="AJ130" s="158"/>
      <c r="AK130" s="158"/>
      <c r="AL130" s="158"/>
      <c r="AM130" s="158" t="b">
        <f>IF(AJ130="",TRUE,IF(IF(AK130="",VLOOKUP(AJ130,Calculs!$A$19:$S$425,19,FALSE),VLOOKUP(AK130,Calculs!$A$19:$S$425,19,FALSE))&gt;=AL130,TRUE,FALSE))</f>
        <v>1</v>
      </c>
      <c r="AN130" s="158"/>
      <c r="AO130" s="158"/>
      <c r="AP130" s="158"/>
      <c r="AQ130" s="158" t="b">
        <f>IF(AN130="",TRUE,IF(IF(AO130="",VLOOKUP(AN130,Calculs!$A$19:$S$425,19,FALSE),VLOOKUP(AO130,Calculs!$A$19:$S$425,19,FALSE))&gt;=AP130,TRUE,FALSE))</f>
        <v>1</v>
      </c>
      <c r="AR130" s="158"/>
      <c r="AS130" s="158" t="b">
        <f>IF(AR130="",TRUE,IF(VLOOKUP(AR130,Calculs!$A$427:$G$738,7,FALSE)&gt;0,TRUE,FALSE))</f>
        <v>1</v>
      </c>
      <c r="AT130" s="158"/>
      <c r="AU130" s="158" t="b">
        <f>IF(AT130="",TRUE,IF(VLOOKUP(AT130,Calculs!$A$740:$G$912,7,FALSE)&gt;0,TRUE,FALSE))</f>
        <v>1</v>
      </c>
      <c r="AV130" s="158" t="b">
        <f t="shared" si="7"/>
        <v>1</v>
      </c>
      <c r="AW130" s="158" t="s">
        <v>2078</v>
      </c>
      <c r="AX130" s="162" t="s">
        <v>2076</v>
      </c>
      <c r="AY130" s="15">
        <v>28</v>
      </c>
      <c r="AZ130" s="566" t="s">
        <v>8492</v>
      </c>
      <c r="BA130" s="559">
        <f>IF(Verso!$B$10=Voies!$B130,1,0)</f>
        <v>0</v>
      </c>
      <c r="BB130" s="12">
        <f>IF(Verso!$B$11=Voies!$B130,1,0)</f>
        <v>0</v>
      </c>
      <c r="BC130" s="12">
        <f>IF(Verso!$B$12=Voies!$B130,1,0)</f>
        <v>0</v>
      </c>
      <c r="BD130" s="12">
        <f>IF(Verso!$B$13=Voies!$B130,1,0)</f>
        <v>0</v>
      </c>
      <c r="BE130" s="12">
        <f>IF(Verso!$B$14=Voies!$B130,1,0)</f>
        <v>0</v>
      </c>
      <c r="BF130" s="12">
        <f>IF(Verso!$B$15=Voies!$B130,1,0)</f>
        <v>0</v>
      </c>
      <c r="BG130" s="12">
        <f>IF(Verso!$B$16=Voies!$B130,1,0)</f>
        <v>0</v>
      </c>
      <c r="BH130" s="12">
        <f>IF(Verso!$B$17=Voies!$B130,1,0)</f>
        <v>0</v>
      </c>
      <c r="BI130" s="557">
        <f t="shared" si="8"/>
        <v>0</v>
      </c>
      <c r="BJ130" s="196" t="str">
        <f t="shared" si="9"/>
        <v/>
      </c>
      <c r="BK130" s="196" t="str">
        <f t="shared" si="10"/>
        <v/>
      </c>
      <c r="BL130" s="295" t="str">
        <f t="shared" si="11"/>
        <v/>
      </c>
      <c r="BM130" s="577"/>
    </row>
    <row r="131" spans="1:65" s="197" customFormat="1" ht="47.25" customHeight="1" x14ac:dyDescent="0.25">
      <c r="A131" s="162" t="str">
        <f>IF(AND(Réputation&gt;Voies!E131-1,OR(C131=TRUE,Calculs!$I$8&gt;0),Air&gt;Voies!J131-1,Eau&gt;Voies!K131-1,Feu&gt;Voies!L131-1,Terre&gt;Voies!M131-1,Vide&gt;Voies!N131-1,Constitution&gt;Voies!O131-1,Volonté&gt;Voies!P131-1,Force&gt;Voies!Q131-1,Perception&gt;Voies!R131-1,Reflexes&gt;Voies!S131-1,Agilité&gt;Voies!T131-1,Intuition&gt;Voies!U131-1,Intelligence&gt;Voies!V131-1,Souillure&gt;Voies!W131-1,Honneur&gt;X131-1,Statut&gt;Y131-1,Gloire&gt;Z131-1,AV131=TRUE),Voies!B131,"")</f>
        <v/>
      </c>
      <c r="B131" s="162" t="s">
        <v>7021</v>
      </c>
      <c r="C131" s="162" t="b">
        <f>IF(Clan=Voies!D131,TRUE,FALSE)</f>
        <v>0</v>
      </c>
      <c r="D131" s="388" t="s">
        <v>6770</v>
      </c>
      <c r="E131" s="199">
        <v>1</v>
      </c>
      <c r="F131" s="199">
        <v>1</v>
      </c>
      <c r="G131" s="199" t="s">
        <v>2049</v>
      </c>
      <c r="H131" s="162" t="s">
        <v>7019</v>
      </c>
      <c r="I131" s="129" t="str">
        <f t="shared" si="14"/>
        <v>Rien</v>
      </c>
      <c r="J131" s="146">
        <v>0</v>
      </c>
      <c r="K131" s="147">
        <v>0</v>
      </c>
      <c r="L131" s="148">
        <v>0</v>
      </c>
      <c r="M131" s="149">
        <v>0</v>
      </c>
      <c r="N131" s="150">
        <v>0</v>
      </c>
      <c r="O131" s="130">
        <v>0</v>
      </c>
      <c r="P131" s="130">
        <v>0</v>
      </c>
      <c r="Q131" s="130">
        <v>0</v>
      </c>
      <c r="R131" s="130">
        <v>0</v>
      </c>
      <c r="S131" s="130">
        <v>0</v>
      </c>
      <c r="T131" s="130">
        <v>0</v>
      </c>
      <c r="U131" s="130">
        <v>0</v>
      </c>
      <c r="V131" s="524">
        <v>0</v>
      </c>
      <c r="W131" s="130">
        <v>0</v>
      </c>
      <c r="X131" s="130">
        <v>0</v>
      </c>
      <c r="Y131" s="130">
        <v>0</v>
      </c>
      <c r="Z131" s="130">
        <v>0</v>
      </c>
      <c r="AA131" s="158" t="s">
        <v>2078</v>
      </c>
      <c r="AB131" s="158"/>
      <c r="AC131" s="158"/>
      <c r="AD131" s="158"/>
      <c r="AE131" s="158" t="b">
        <f>IF(AB131="",TRUE,IF(IF(AC131="",VLOOKUP(AB131,Calculs!$A$19:$S$425,19,FALSE),VLOOKUP(AC131,Calculs!$A$19:$S$425,19,FALSE))&gt;=AD131,TRUE,FALSE))</f>
        <v>1</v>
      </c>
      <c r="AF131" s="158"/>
      <c r="AG131" s="158"/>
      <c r="AH131" s="158"/>
      <c r="AI131" s="158" t="b">
        <f>IF(AF131="",TRUE,IF(IF(AG131="",VLOOKUP(AF131,Calculs!$A$19:$S$425,19,FALSE),VLOOKUP(AG131,Calculs!$A$19:$S$425,19,FALSE))&gt;=AH131,TRUE,FALSE))</f>
        <v>1</v>
      </c>
      <c r="AJ131" s="158"/>
      <c r="AK131" s="158"/>
      <c r="AL131" s="158"/>
      <c r="AM131" s="158" t="b">
        <f>IF(AJ131="",TRUE,IF(IF(AK131="",VLOOKUP(AJ131,Calculs!$A$19:$S$425,19,FALSE),VLOOKUP(AK131,Calculs!$A$19:$S$425,19,FALSE))&gt;=AL131,TRUE,FALSE))</f>
        <v>1</v>
      </c>
      <c r="AN131" s="158"/>
      <c r="AO131" s="158"/>
      <c r="AP131" s="158"/>
      <c r="AQ131" s="158" t="b">
        <f>IF(AN131="",TRUE,IF(IF(AO131="",VLOOKUP(AN131,Calculs!$A$19:$S$425,19,FALSE),VLOOKUP(AO131,Calculs!$A$19:$S$425,19,FALSE))&gt;=AP131,TRUE,FALSE))</f>
        <v>1</v>
      </c>
      <c r="AR131" s="158"/>
      <c r="AS131" s="158" t="b">
        <f>IF(AR131="",TRUE,IF(VLOOKUP(AR131,Calculs!$A$427:$G$738,7,FALSE)&gt;0,TRUE,FALSE))</f>
        <v>1</v>
      </c>
      <c r="AT131" s="158"/>
      <c r="AU131" s="158" t="b">
        <f>IF(AT131="",TRUE,IF(VLOOKUP(AT131,Calculs!$A$740:$G$912,7,FALSE)&gt;0,TRUE,FALSE))</f>
        <v>1</v>
      </c>
      <c r="AV131" s="158" t="b">
        <f t="shared" ref="AV131:AV194" si="15">IF(AND(AE131=TRUE,AI131=TRUE,AM131=TRUE,AQ131=TRUE,AS131=TRUE,AU131=TRUE),TRUE,FALSE)</f>
        <v>1</v>
      </c>
      <c r="AW131" s="158" t="s">
        <v>2078</v>
      </c>
      <c r="AX131" s="162" t="s">
        <v>6816</v>
      </c>
      <c r="AY131" s="15">
        <v>56</v>
      </c>
      <c r="AZ131" s="566" t="s">
        <v>7023</v>
      </c>
      <c r="BA131" s="559">
        <f>IF(Verso!$B$10=Voies!$B131,1,0)</f>
        <v>0</v>
      </c>
      <c r="BB131" s="12">
        <f>IF(Verso!$B$11=Voies!$B131,1,0)</f>
        <v>0</v>
      </c>
      <c r="BC131" s="12">
        <f>IF(Verso!$B$12=Voies!$B131,1,0)</f>
        <v>0</v>
      </c>
      <c r="BD131" s="12">
        <f>IF(Verso!$B$13=Voies!$B131,1,0)</f>
        <v>0</v>
      </c>
      <c r="BE131" s="12">
        <f>IF(Verso!$B$14=Voies!$B131,1,0)</f>
        <v>0</v>
      </c>
      <c r="BF131" s="12">
        <f>IF(Verso!$B$15=Voies!$B131,1,0)</f>
        <v>0</v>
      </c>
      <c r="BG131" s="12">
        <f>IF(Verso!$B$16=Voies!$B131,1,0)</f>
        <v>0</v>
      </c>
      <c r="BH131" s="12">
        <f>IF(Verso!$B$17=Voies!$B131,1,0)</f>
        <v>0</v>
      </c>
      <c r="BI131" s="557">
        <f t="shared" ref="BI131:BI194" si="16">SUM(BA131:BH131)</f>
        <v>0</v>
      </c>
      <c r="BJ131" s="196" t="str">
        <f t="shared" si="9"/>
        <v/>
      </c>
      <c r="BK131" s="196" t="str">
        <f t="shared" si="10"/>
        <v/>
      </c>
      <c r="BL131" s="295" t="str">
        <f t="shared" si="11"/>
        <v/>
      </c>
      <c r="BM131" s="577"/>
    </row>
    <row r="132" spans="1:65" s="197" customFormat="1" ht="47.25" customHeight="1" x14ac:dyDescent="0.25">
      <c r="A132" s="162" t="str">
        <f>IF(AND(Réputation&gt;Voies!E132-1,OR(C132=TRUE,Calculs!$I$8&gt;0),Air&gt;Voies!J132-1,Eau&gt;Voies!K132-1,Feu&gt;Voies!L132-1,Terre&gt;Voies!M132-1,Vide&gt;Voies!N132-1,Constitution&gt;Voies!O132-1,Volonté&gt;Voies!P132-1,Force&gt;Voies!Q132-1,Perception&gt;Voies!R132-1,Reflexes&gt;Voies!S132-1,Agilité&gt;Voies!T132-1,Intuition&gt;Voies!U132-1,Intelligence&gt;Voies!V132-1,Souillure&gt;Voies!W132-1,Honneur&gt;X132-1,Statut&gt;Y132-1,Gloire&gt;Z132-1,AV132=TRUE),Voies!B132,"")</f>
        <v/>
      </c>
      <c r="B132" s="162" t="s">
        <v>7022</v>
      </c>
      <c r="C132" s="162" t="b">
        <f>IF(Clan=Voies!D132,TRUE,FALSE)</f>
        <v>0</v>
      </c>
      <c r="D132" s="388" t="s">
        <v>6770</v>
      </c>
      <c r="E132" s="199">
        <v>1</v>
      </c>
      <c r="F132" s="199">
        <v>1</v>
      </c>
      <c r="G132" s="199" t="s">
        <v>2052</v>
      </c>
      <c r="H132" s="162" t="s">
        <v>7020</v>
      </c>
      <c r="I132" s="129" t="str">
        <f t="shared" si="14"/>
        <v>Rien</v>
      </c>
      <c r="J132" s="146">
        <v>0</v>
      </c>
      <c r="K132" s="147">
        <v>0</v>
      </c>
      <c r="L132" s="148">
        <v>0</v>
      </c>
      <c r="M132" s="149">
        <v>0</v>
      </c>
      <c r="N132" s="150">
        <v>0</v>
      </c>
      <c r="O132" s="130">
        <v>0</v>
      </c>
      <c r="P132" s="130">
        <v>0</v>
      </c>
      <c r="Q132" s="130">
        <v>0</v>
      </c>
      <c r="R132" s="130">
        <v>0</v>
      </c>
      <c r="S132" s="130">
        <v>0</v>
      </c>
      <c r="T132" s="130">
        <v>0</v>
      </c>
      <c r="U132" s="130">
        <v>0</v>
      </c>
      <c r="V132" s="524">
        <v>0</v>
      </c>
      <c r="W132" s="130">
        <v>0</v>
      </c>
      <c r="X132" s="130">
        <v>0</v>
      </c>
      <c r="Y132" s="130">
        <v>0</v>
      </c>
      <c r="Z132" s="130">
        <v>0</v>
      </c>
      <c r="AA132" s="158" t="s">
        <v>2078</v>
      </c>
      <c r="AB132" s="158"/>
      <c r="AC132" s="158"/>
      <c r="AD132" s="158"/>
      <c r="AE132" s="158" t="b">
        <f>IF(AB132="",TRUE,IF(IF(AC132="",VLOOKUP(AB132,Calculs!$A$19:$S$425,19,FALSE),VLOOKUP(AC132,Calculs!$A$19:$S$425,19,FALSE))&gt;=AD132,TRUE,FALSE))</f>
        <v>1</v>
      </c>
      <c r="AF132" s="158"/>
      <c r="AG132" s="158"/>
      <c r="AH132" s="158"/>
      <c r="AI132" s="158" t="b">
        <f>IF(AF132="",TRUE,IF(IF(AG132="",VLOOKUP(AF132,Calculs!$A$19:$S$425,19,FALSE),VLOOKUP(AG132,Calculs!$A$19:$S$425,19,FALSE))&gt;=AH132,TRUE,FALSE))</f>
        <v>1</v>
      </c>
      <c r="AJ132" s="158"/>
      <c r="AK132" s="158"/>
      <c r="AL132" s="158"/>
      <c r="AM132" s="158" t="b">
        <f>IF(AJ132="",TRUE,IF(IF(AK132="",VLOOKUP(AJ132,Calculs!$A$19:$S$425,19,FALSE),VLOOKUP(AK132,Calculs!$A$19:$S$425,19,FALSE))&gt;=AL132,TRUE,FALSE))</f>
        <v>1</v>
      </c>
      <c r="AN132" s="158"/>
      <c r="AO132" s="158"/>
      <c r="AP132" s="158"/>
      <c r="AQ132" s="158" t="b">
        <f>IF(AN132="",TRUE,IF(IF(AO132="",VLOOKUP(AN132,Calculs!$A$19:$S$425,19,FALSE),VLOOKUP(AO132,Calculs!$A$19:$S$425,19,FALSE))&gt;=AP132,TRUE,FALSE))</f>
        <v>1</v>
      </c>
      <c r="AR132" s="158"/>
      <c r="AS132" s="158" t="b">
        <f>IF(AR132="",TRUE,IF(VLOOKUP(AR132,Calculs!$A$427:$G$738,7,FALSE)&gt;0,TRUE,FALSE))</f>
        <v>1</v>
      </c>
      <c r="AT132" s="158"/>
      <c r="AU132" s="158" t="b">
        <f>IF(AT132="",TRUE,IF(VLOOKUP(AT132,Calculs!$A$740:$G$912,7,FALSE)&gt;0,TRUE,FALSE))</f>
        <v>1</v>
      </c>
      <c r="AV132" s="158" t="b">
        <f t="shared" si="15"/>
        <v>1</v>
      </c>
      <c r="AW132" s="158" t="s">
        <v>2078</v>
      </c>
      <c r="AX132" s="162" t="s">
        <v>6816</v>
      </c>
      <c r="AY132" s="15">
        <v>57</v>
      </c>
      <c r="AZ132" s="566" t="str">
        <f>CONCATENATE("Vous pouvez même en cours de session dépenser jusqu'à ",Réputation-1,"XP cumulés quand bon vous semble. A chaque fois que vous rencontrez une nouvelle technique ou école de Courtisan vous pouvez acheter une compétence liée que vous n'avez pas encore avec un bonus de +1 rang.")</f>
        <v>Vous pouvez même en cours de session dépenser jusqu'à 0XP cumulés quand bon vous semble. A chaque fois que vous rencontrez une nouvelle technique ou école de Courtisan vous pouvez acheter une compétence liée que vous n'avez pas encore avec un bonus de +1 rang.</v>
      </c>
      <c r="BA132" s="559">
        <f>IF(Verso!$B$10=Voies!$B132,1,0)</f>
        <v>0</v>
      </c>
      <c r="BB132" s="12">
        <f>IF(Verso!$B$11=Voies!$B132,1,0)</f>
        <v>0</v>
      </c>
      <c r="BC132" s="12">
        <f>IF(Verso!$B$12=Voies!$B132,1,0)</f>
        <v>0</v>
      </c>
      <c r="BD132" s="12">
        <f>IF(Verso!$B$13=Voies!$B132,1,0)</f>
        <v>0</v>
      </c>
      <c r="BE132" s="12">
        <f>IF(Verso!$B$14=Voies!$B132,1,0)</f>
        <v>0</v>
      </c>
      <c r="BF132" s="12">
        <f>IF(Verso!$B$15=Voies!$B132,1,0)</f>
        <v>0</v>
      </c>
      <c r="BG132" s="12">
        <f>IF(Verso!$B$16=Voies!$B132,1,0)</f>
        <v>0</v>
      </c>
      <c r="BH132" s="12">
        <f>IF(Verso!$B$17=Voies!$B132,1,0)</f>
        <v>0</v>
      </c>
      <c r="BI132" s="557">
        <f t="shared" si="16"/>
        <v>0</v>
      </c>
      <c r="BJ132" s="196" t="str">
        <f t="shared" ref="BJ132:BJ195" si="17">IF(A132="","",ROW())</f>
        <v/>
      </c>
      <c r="BK132" s="196" t="str">
        <f t="shared" ref="BK132:BK195" si="18">IFERROR(SMALL(BJ:BJ,ROW()-2),"")</f>
        <v/>
      </c>
      <c r="BL132" s="295" t="str">
        <f t="shared" ref="BL132:BL195" si="19">IFERROR(INDEX(A:A,BK132),"")</f>
        <v/>
      </c>
      <c r="BM132" s="577"/>
    </row>
    <row r="133" spans="1:65" s="196" customFormat="1" ht="47.25" customHeight="1" x14ac:dyDescent="0.25">
      <c r="A133" s="162" t="str">
        <f>IF(AND(Réputation&gt;Voies!E133-1,OR(C133=TRUE,Calculs!$I$8&gt;0),Air&gt;Voies!J133-1,Eau&gt;Voies!K133-1,Feu&gt;Voies!L133-1,Terre&gt;Voies!M133-1,Vide&gt;Voies!N133-1,Constitution&gt;Voies!O133-1,Volonté&gt;Voies!P133-1,Force&gt;Voies!Q133-1,Perception&gt;Voies!R133-1,Reflexes&gt;Voies!S133-1,Agilité&gt;Voies!T133-1,Intuition&gt;Voies!U133-1,Intelligence&gt;Voies!V133-1,Souillure&gt;Voies!W133-1,Honneur&gt;X133-1,Statut&gt;Y133-1,Gloire&gt;Z133-1,AV133=TRUE),Voies!B133,"")</f>
        <v/>
      </c>
      <c r="B133" s="162" t="s">
        <v>8077</v>
      </c>
      <c r="C133" s="162" t="b">
        <f>IF(Clan=Voies!D133,TRUE,FALSE)</f>
        <v>0</v>
      </c>
      <c r="D133" s="387" t="s">
        <v>341</v>
      </c>
      <c r="E133" s="199">
        <v>1</v>
      </c>
      <c r="F133" s="199">
        <v>1</v>
      </c>
      <c r="G133" s="199" t="s">
        <v>2050</v>
      </c>
      <c r="H133" s="162" t="s">
        <v>8077</v>
      </c>
      <c r="I133" s="129" t="str">
        <f t="shared" si="14"/>
        <v>Rien</v>
      </c>
      <c r="J133" s="146">
        <v>0</v>
      </c>
      <c r="K133" s="147">
        <v>0</v>
      </c>
      <c r="L133" s="148">
        <v>0</v>
      </c>
      <c r="M133" s="149">
        <v>0</v>
      </c>
      <c r="N133" s="150">
        <v>0</v>
      </c>
      <c r="O133" s="130">
        <v>0</v>
      </c>
      <c r="P133" s="130">
        <v>0</v>
      </c>
      <c r="Q133" s="130">
        <v>0</v>
      </c>
      <c r="R133" s="130">
        <v>0</v>
      </c>
      <c r="S133" s="130">
        <v>0</v>
      </c>
      <c r="T133" s="130">
        <v>0</v>
      </c>
      <c r="U133" s="130">
        <v>0</v>
      </c>
      <c r="V133" s="524">
        <v>0</v>
      </c>
      <c r="W133" s="130">
        <v>0</v>
      </c>
      <c r="X133" s="130">
        <v>0</v>
      </c>
      <c r="Y133" s="130">
        <v>0</v>
      </c>
      <c r="Z133" s="130">
        <v>0</v>
      </c>
      <c r="AA133" s="158" t="s">
        <v>2078</v>
      </c>
      <c r="AB133" s="158"/>
      <c r="AC133" s="158"/>
      <c r="AD133" s="158"/>
      <c r="AE133" s="158" t="b">
        <f>IF(AB133="",TRUE,IF(IF(AC133="",VLOOKUP(AB133,Calculs!$A$19:$S$425,19,FALSE),VLOOKUP(AC133,Calculs!$A$19:$S$425,19,FALSE))&gt;=AD133,TRUE,FALSE))</f>
        <v>1</v>
      </c>
      <c r="AF133" s="158"/>
      <c r="AG133" s="158"/>
      <c r="AH133" s="158"/>
      <c r="AI133" s="158" t="b">
        <f>IF(AF133="",TRUE,IF(IF(AG133="",VLOOKUP(AF133,Calculs!$A$19:$S$425,19,FALSE),VLOOKUP(AG133,Calculs!$A$19:$S$425,19,FALSE))&gt;=AH133,TRUE,FALSE))</f>
        <v>1</v>
      </c>
      <c r="AJ133" s="158"/>
      <c r="AK133" s="158"/>
      <c r="AL133" s="158"/>
      <c r="AM133" s="158" t="b">
        <f>IF(AJ133="",TRUE,IF(IF(AK133="",VLOOKUP(AJ133,Calculs!$A$19:$S$425,19,FALSE),VLOOKUP(AK133,Calculs!$A$19:$S$425,19,FALSE))&gt;=AL133,TRUE,FALSE))</f>
        <v>1</v>
      </c>
      <c r="AN133" s="158"/>
      <c r="AO133" s="158"/>
      <c r="AP133" s="158"/>
      <c r="AQ133" s="158" t="b">
        <f>IF(AN133="",TRUE,IF(IF(AO133="",VLOOKUP(AN133,Calculs!$A$19:$S$425,19,FALSE),VLOOKUP(AO133,Calculs!$A$19:$S$425,19,FALSE))&gt;=AP133,TRUE,FALSE))</f>
        <v>1</v>
      </c>
      <c r="AR133" s="158"/>
      <c r="AS133" s="158" t="b">
        <f>IF(AR133="",TRUE,IF(VLOOKUP(AR133,Calculs!$A$427:$G$738,7,FALSE)&gt;0,TRUE,FALSE))</f>
        <v>1</v>
      </c>
      <c r="AT133" s="158"/>
      <c r="AU133" s="158" t="b">
        <f>IF(AT133="",TRUE,IF(VLOOKUP(AT133,Calculs!$A$740:$G$912,7,FALSE)&gt;0,TRUE,FALSE))</f>
        <v>1</v>
      </c>
      <c r="AV133" s="158" t="b">
        <f t="shared" si="15"/>
        <v>1</v>
      </c>
      <c r="AW133" s="159"/>
      <c r="AX133" s="162" t="s">
        <v>8021</v>
      </c>
      <c r="AY133" s="15">
        <v>42</v>
      </c>
      <c r="AZ133" s="555" t="s">
        <v>8078</v>
      </c>
      <c r="BA133" s="559">
        <f>IF(Verso!$B$10=Voies!$B133,1,0)</f>
        <v>0</v>
      </c>
      <c r="BB133" s="12">
        <f>IF(Verso!$B$11=Voies!$B133,1,0)</f>
        <v>0</v>
      </c>
      <c r="BC133" s="12">
        <f>IF(Verso!$B$12=Voies!$B133,1,0)</f>
        <v>0</v>
      </c>
      <c r="BD133" s="12">
        <f>IF(Verso!$B$13=Voies!$B133,1,0)</f>
        <v>0</v>
      </c>
      <c r="BE133" s="12">
        <f>IF(Verso!$B$14=Voies!$B133,1,0)</f>
        <v>0</v>
      </c>
      <c r="BF133" s="12">
        <f>IF(Verso!$B$15=Voies!$B133,1,0)</f>
        <v>0</v>
      </c>
      <c r="BG133" s="12">
        <f>IF(Verso!$B$16=Voies!$B133,1,0)</f>
        <v>0</v>
      </c>
      <c r="BH133" s="12">
        <f>IF(Verso!$B$17=Voies!$B133,1,0)</f>
        <v>0</v>
      </c>
      <c r="BI133" s="557">
        <f t="shared" si="16"/>
        <v>0</v>
      </c>
      <c r="BJ133" s="196" t="str">
        <f t="shared" si="17"/>
        <v/>
      </c>
      <c r="BK133" s="196" t="str">
        <f t="shared" si="18"/>
        <v/>
      </c>
      <c r="BL133" s="295" t="str">
        <f t="shared" si="19"/>
        <v/>
      </c>
      <c r="BM133" s="91"/>
    </row>
    <row r="134" spans="1:65" ht="47.25" customHeight="1" x14ac:dyDescent="0.25">
      <c r="A134" s="162" t="str">
        <f>IF(AND(Réputation&gt;Voies!E134-1,OR(C134=TRUE,Calculs!$I$8&gt;0),Air&gt;Voies!J134-1,Eau&gt;Voies!K134-1,Feu&gt;Voies!L134-1,Terre&gt;Voies!M134-1,Vide&gt;Voies!N134-1,Constitution&gt;Voies!O134-1,Volonté&gt;Voies!P134-1,Force&gt;Voies!Q134-1,Perception&gt;Voies!R134-1,Reflexes&gt;Voies!S134-1,Agilité&gt;Voies!T134-1,Intuition&gt;Voies!U134-1,Intelligence&gt;Voies!V134-1,Souillure&gt;Voies!W134-1,Honneur&gt;X134-1,Statut&gt;Y134-1,Gloire&gt;Z134-1,AV134=TRUE),Voies!B134,"")</f>
        <v/>
      </c>
      <c r="B134" s="162" t="s">
        <v>2732</v>
      </c>
      <c r="C134" s="162" t="b">
        <f>IF(Clan=Voies!D134,TRUE,FALSE)</f>
        <v>0</v>
      </c>
      <c r="D134" s="388" t="s">
        <v>341</v>
      </c>
      <c r="E134" s="13">
        <v>1</v>
      </c>
      <c r="F134" s="199">
        <v>1</v>
      </c>
      <c r="G134" s="13" t="s">
        <v>2050</v>
      </c>
      <c r="H134" s="162" t="s">
        <v>257</v>
      </c>
      <c r="I134" s="129" t="str">
        <f t="shared" si="14"/>
        <v>Rien</v>
      </c>
      <c r="J134" s="146">
        <v>0</v>
      </c>
      <c r="K134" s="147">
        <v>0</v>
      </c>
      <c r="L134" s="148">
        <v>0</v>
      </c>
      <c r="M134" s="149">
        <v>0</v>
      </c>
      <c r="N134" s="150">
        <v>0</v>
      </c>
      <c r="O134" s="130">
        <v>0</v>
      </c>
      <c r="P134" s="130">
        <v>0</v>
      </c>
      <c r="Q134" s="130">
        <v>0</v>
      </c>
      <c r="R134" s="130">
        <v>0</v>
      </c>
      <c r="S134" s="130">
        <v>0</v>
      </c>
      <c r="T134" s="130">
        <v>0</v>
      </c>
      <c r="U134" s="130">
        <v>0</v>
      </c>
      <c r="V134" s="524">
        <v>0</v>
      </c>
      <c r="W134" s="130">
        <v>0</v>
      </c>
      <c r="X134" s="130">
        <v>0</v>
      </c>
      <c r="Y134" s="130">
        <v>0</v>
      </c>
      <c r="Z134" s="130">
        <v>0</v>
      </c>
      <c r="AA134" s="158" t="s">
        <v>2078</v>
      </c>
      <c r="AB134" s="158"/>
      <c r="AC134" s="158"/>
      <c r="AD134" s="158"/>
      <c r="AE134" s="158" t="b">
        <f>IF(AB134="",TRUE,IF(IF(AC134="",VLOOKUP(AB134,Calculs!$A$19:$S$425,19,FALSE),VLOOKUP(AC134,Calculs!$A$19:$S$425,19,FALSE))&gt;=AD134,TRUE,FALSE))</f>
        <v>1</v>
      </c>
      <c r="AF134" s="158"/>
      <c r="AG134" s="158"/>
      <c r="AH134" s="158"/>
      <c r="AI134" s="158" t="b">
        <f>IF(AF134="",TRUE,IF(IF(AG134="",VLOOKUP(AF134,Calculs!$A$19:$S$425,19,FALSE),VLOOKUP(AG134,Calculs!$A$19:$S$425,19,FALSE))&gt;=AH134,TRUE,FALSE))</f>
        <v>1</v>
      </c>
      <c r="AJ134" s="158"/>
      <c r="AK134" s="158"/>
      <c r="AL134" s="158"/>
      <c r="AM134" s="158" t="b">
        <f>IF(AJ134="",TRUE,IF(IF(AK134="",VLOOKUP(AJ134,Calculs!$A$19:$S$425,19,FALSE),VLOOKUP(AK134,Calculs!$A$19:$S$425,19,FALSE))&gt;=AL134,TRUE,FALSE))</f>
        <v>1</v>
      </c>
      <c r="AN134" s="158"/>
      <c r="AO134" s="158"/>
      <c r="AP134" s="158"/>
      <c r="AQ134" s="158" t="b">
        <f>IF(AN134="",TRUE,IF(IF(AO134="",VLOOKUP(AN134,Calculs!$A$19:$S$425,19,FALSE),VLOOKUP(AO134,Calculs!$A$19:$S$425,19,FALSE))&gt;=AP134,TRUE,FALSE))</f>
        <v>1</v>
      </c>
      <c r="AR134" s="158"/>
      <c r="AS134" s="158" t="b">
        <f>IF(AR134="",TRUE,IF(VLOOKUP(AR134,Calculs!$A$427:$G$738,7,FALSE)&gt;0,TRUE,FALSE))</f>
        <v>1</v>
      </c>
      <c r="AT134" s="158"/>
      <c r="AU134" s="158" t="b">
        <f>IF(AT134="",TRUE,IF(VLOOKUP(AT134,Calculs!$A$740:$G$912,7,FALSE)&gt;0,TRUE,FALSE))</f>
        <v>1</v>
      </c>
      <c r="AV134" s="158" t="b">
        <f t="shared" si="15"/>
        <v>1</v>
      </c>
      <c r="AW134" s="158" t="s">
        <v>2078</v>
      </c>
      <c r="AX134" s="162" t="s">
        <v>2076</v>
      </c>
      <c r="AY134" s="15">
        <v>29</v>
      </c>
      <c r="AZ134" s="555" t="s">
        <v>2733</v>
      </c>
      <c r="BA134" s="559">
        <f>IF(Verso!$B$10=Voies!$B134,1,0)</f>
        <v>0</v>
      </c>
      <c r="BB134" s="12">
        <f>IF(Verso!$B$11=Voies!$B134,1,0)</f>
        <v>0</v>
      </c>
      <c r="BC134" s="12">
        <f>IF(Verso!$B$12=Voies!$B134,1,0)</f>
        <v>0</v>
      </c>
      <c r="BD134" s="12">
        <f>IF(Verso!$B$13=Voies!$B134,1,0)</f>
        <v>0</v>
      </c>
      <c r="BE134" s="12">
        <f>IF(Verso!$B$14=Voies!$B134,1,0)</f>
        <v>0</v>
      </c>
      <c r="BF134" s="12">
        <f>IF(Verso!$B$15=Voies!$B134,1,0)</f>
        <v>0</v>
      </c>
      <c r="BG134" s="12">
        <f>IF(Verso!$B$16=Voies!$B134,1,0)</f>
        <v>0</v>
      </c>
      <c r="BH134" s="12">
        <f>IF(Verso!$B$17=Voies!$B134,1,0)</f>
        <v>0</v>
      </c>
      <c r="BI134" s="557">
        <f t="shared" si="16"/>
        <v>0</v>
      </c>
      <c r="BJ134" s="196" t="str">
        <f t="shared" si="17"/>
        <v/>
      </c>
      <c r="BK134" s="196" t="str">
        <f t="shared" si="18"/>
        <v/>
      </c>
      <c r="BL134" s="295" t="str">
        <f t="shared" si="19"/>
        <v/>
      </c>
    </row>
    <row r="135" spans="1:65" ht="47.25" customHeight="1" x14ac:dyDescent="0.25">
      <c r="A135" s="162" t="str">
        <f>IF(AND(Réputation&gt;Voies!E135-1,OR(C135=TRUE,Calculs!$I$8&gt;0),Air&gt;Voies!J135-1,Eau&gt;Voies!K135-1,Feu&gt;Voies!L135-1,Terre&gt;Voies!M135-1,Vide&gt;Voies!N135-1,Constitution&gt;Voies!O135-1,Volonté&gt;Voies!P135-1,Force&gt;Voies!Q135-1,Perception&gt;Voies!R135-1,Reflexes&gt;Voies!S135-1,Agilité&gt;Voies!T135-1,Intuition&gt;Voies!U135-1,Intelligence&gt;Voies!V135-1,Souillure&gt;Voies!W135-1,Honneur&gt;X135-1,Statut&gt;Y135-1,Gloire&gt;Z135-1,AV135=TRUE),Voies!B135,"")</f>
        <v/>
      </c>
      <c r="B135" s="162" t="s">
        <v>2325</v>
      </c>
      <c r="C135" s="162" t="b">
        <f>IF(Clan=Voies!D135,TRUE,FALSE)</f>
        <v>0</v>
      </c>
      <c r="D135" s="388" t="s">
        <v>341</v>
      </c>
      <c r="E135" s="13">
        <v>1</v>
      </c>
      <c r="F135" s="199">
        <v>1</v>
      </c>
      <c r="G135" s="13" t="s">
        <v>2050</v>
      </c>
      <c r="H135" s="162" t="s">
        <v>260</v>
      </c>
      <c r="I135" s="129" t="str">
        <f t="shared" si="14"/>
        <v>Rien</v>
      </c>
      <c r="J135" s="146">
        <v>0</v>
      </c>
      <c r="K135" s="147">
        <v>0</v>
      </c>
      <c r="L135" s="148">
        <v>0</v>
      </c>
      <c r="M135" s="149">
        <v>0</v>
      </c>
      <c r="N135" s="150">
        <v>0</v>
      </c>
      <c r="O135" s="130">
        <v>0</v>
      </c>
      <c r="P135" s="130">
        <v>0</v>
      </c>
      <c r="Q135" s="130">
        <v>0</v>
      </c>
      <c r="R135" s="130">
        <v>0</v>
      </c>
      <c r="S135" s="130">
        <v>0</v>
      </c>
      <c r="T135" s="130">
        <v>0</v>
      </c>
      <c r="U135" s="130">
        <v>0</v>
      </c>
      <c r="V135" s="524">
        <v>0</v>
      </c>
      <c r="W135" s="130">
        <v>0</v>
      </c>
      <c r="X135" s="130">
        <v>0</v>
      </c>
      <c r="Y135" s="130">
        <v>0</v>
      </c>
      <c r="Z135" s="130">
        <v>0</v>
      </c>
      <c r="AA135" s="158" t="s">
        <v>2078</v>
      </c>
      <c r="AB135" s="158"/>
      <c r="AC135" s="158"/>
      <c r="AD135" s="158"/>
      <c r="AE135" s="158" t="b">
        <f>IF(AB135="",TRUE,IF(IF(AC135="",VLOOKUP(AB135,Calculs!$A$19:$S$425,19,FALSE),VLOOKUP(AC135,Calculs!$A$19:$S$425,19,FALSE))&gt;=AD135,TRUE,FALSE))</f>
        <v>1</v>
      </c>
      <c r="AF135" s="158"/>
      <c r="AG135" s="158"/>
      <c r="AH135" s="158"/>
      <c r="AI135" s="158" t="b">
        <f>IF(AF135="",TRUE,IF(IF(AG135="",VLOOKUP(AF135,Calculs!$A$19:$S$425,19,FALSE),VLOOKUP(AG135,Calculs!$A$19:$S$425,19,FALSE))&gt;=AH135,TRUE,FALSE))</f>
        <v>1</v>
      </c>
      <c r="AJ135" s="158"/>
      <c r="AK135" s="158"/>
      <c r="AL135" s="158"/>
      <c r="AM135" s="158" t="b">
        <f>IF(AJ135="",TRUE,IF(IF(AK135="",VLOOKUP(AJ135,Calculs!$A$19:$S$425,19,FALSE),VLOOKUP(AK135,Calculs!$A$19:$S$425,19,FALSE))&gt;=AL135,TRUE,FALSE))</f>
        <v>1</v>
      </c>
      <c r="AN135" s="158"/>
      <c r="AO135" s="158"/>
      <c r="AP135" s="158"/>
      <c r="AQ135" s="158" t="b">
        <f>IF(AN135="",TRUE,IF(IF(AO135="",VLOOKUP(AN135,Calculs!$A$19:$S$425,19,FALSE),VLOOKUP(AO135,Calculs!$A$19:$S$425,19,FALSE))&gt;=AP135,TRUE,FALSE))</f>
        <v>1</v>
      </c>
      <c r="AR135" s="158"/>
      <c r="AS135" s="158" t="b">
        <f>IF(AR135="",TRUE,IF(VLOOKUP(AR135,Calculs!$A$427:$G$738,7,FALSE)&gt;0,TRUE,FALSE))</f>
        <v>1</v>
      </c>
      <c r="AT135" s="158"/>
      <c r="AU135" s="158" t="b">
        <f>IF(AT135="",TRUE,IF(VLOOKUP(AT135,Calculs!$A$740:$G$912,7,FALSE)&gt;0,TRUE,FALSE))</f>
        <v>1</v>
      </c>
      <c r="AV135" s="158" t="b">
        <f t="shared" si="15"/>
        <v>1</v>
      </c>
      <c r="AW135" s="158" t="s">
        <v>2078</v>
      </c>
      <c r="AX135" s="162" t="s">
        <v>143</v>
      </c>
      <c r="AY135" s="15">
        <v>232</v>
      </c>
      <c r="AZ135" s="555" t="s">
        <v>2326</v>
      </c>
      <c r="BA135" s="559">
        <f>IF(Verso!$B$10=Voies!$B135,1,0)</f>
        <v>0</v>
      </c>
      <c r="BB135" s="12">
        <f>IF(Verso!$B$11=Voies!$B135,1,0)</f>
        <v>0</v>
      </c>
      <c r="BC135" s="12">
        <f>IF(Verso!$B$12=Voies!$B135,1,0)</f>
        <v>0</v>
      </c>
      <c r="BD135" s="12">
        <f>IF(Verso!$B$13=Voies!$B135,1,0)</f>
        <v>0</v>
      </c>
      <c r="BE135" s="12">
        <f>IF(Verso!$B$14=Voies!$B135,1,0)</f>
        <v>0</v>
      </c>
      <c r="BF135" s="12">
        <f>IF(Verso!$B$15=Voies!$B135,1,0)</f>
        <v>0</v>
      </c>
      <c r="BG135" s="12">
        <f>IF(Verso!$B$16=Voies!$B135,1,0)</f>
        <v>0</v>
      </c>
      <c r="BH135" s="12">
        <f>IF(Verso!$B$17=Voies!$B135,1,0)</f>
        <v>0</v>
      </c>
      <c r="BI135" s="557">
        <f t="shared" si="16"/>
        <v>0</v>
      </c>
      <c r="BJ135" s="196" t="str">
        <f t="shared" si="17"/>
        <v/>
      </c>
      <c r="BK135" s="196" t="str">
        <f t="shared" si="18"/>
        <v/>
      </c>
      <c r="BL135" s="295" t="str">
        <f t="shared" si="19"/>
        <v/>
      </c>
    </row>
    <row r="136" spans="1:65" ht="47.25" customHeight="1" x14ac:dyDescent="0.25">
      <c r="A136" s="162" t="str">
        <f>IF(AND(Réputation&gt;Voies!E136-1,OR(C136=TRUE,Calculs!$I$8&gt;0),Air&gt;Voies!J136-1,Eau&gt;Voies!K136-1,Feu&gt;Voies!L136-1,Terre&gt;Voies!M136-1,Vide&gt;Voies!N136-1,Constitution&gt;Voies!O136-1,Volonté&gt;Voies!P136-1,Force&gt;Voies!Q136-1,Perception&gt;Voies!R136-1,Reflexes&gt;Voies!S136-1,Agilité&gt;Voies!T136-1,Intuition&gt;Voies!U136-1,Intelligence&gt;Voies!V136-1,Souillure&gt;Voies!W136-1,Honneur&gt;X136-1,Statut&gt;Y136-1,Gloire&gt;Z136-1,AV136=TRUE),Voies!B136,"")</f>
        <v/>
      </c>
      <c r="B136" s="162" t="s">
        <v>2762</v>
      </c>
      <c r="C136" s="162" t="b">
        <f>IF(Clan=Voies!D136,TRUE,FALSE)</f>
        <v>0</v>
      </c>
      <c r="D136" s="388" t="s">
        <v>341</v>
      </c>
      <c r="E136" s="13">
        <v>1</v>
      </c>
      <c r="F136" s="199">
        <v>1</v>
      </c>
      <c r="G136" s="13" t="s">
        <v>2050</v>
      </c>
      <c r="H136" s="162" t="s">
        <v>272</v>
      </c>
      <c r="I136" s="129" t="str">
        <f t="shared" si="14"/>
        <v>Rien</v>
      </c>
      <c r="J136" s="146">
        <v>0</v>
      </c>
      <c r="K136" s="147">
        <v>0</v>
      </c>
      <c r="L136" s="148">
        <v>0</v>
      </c>
      <c r="M136" s="149">
        <v>0</v>
      </c>
      <c r="N136" s="150">
        <v>0</v>
      </c>
      <c r="O136" s="130">
        <v>0</v>
      </c>
      <c r="P136" s="130">
        <v>0</v>
      </c>
      <c r="Q136" s="130">
        <v>0</v>
      </c>
      <c r="R136" s="130">
        <v>0</v>
      </c>
      <c r="S136" s="130">
        <v>0</v>
      </c>
      <c r="T136" s="130">
        <v>0</v>
      </c>
      <c r="U136" s="130">
        <v>0</v>
      </c>
      <c r="V136" s="524">
        <v>0</v>
      </c>
      <c r="W136" s="130">
        <v>0</v>
      </c>
      <c r="X136" s="130">
        <v>0</v>
      </c>
      <c r="Y136" s="130">
        <v>0</v>
      </c>
      <c r="Z136" s="130">
        <v>0</v>
      </c>
      <c r="AA136" s="158" t="s">
        <v>2078</v>
      </c>
      <c r="AB136" s="158"/>
      <c r="AC136" s="158"/>
      <c r="AD136" s="158"/>
      <c r="AE136" s="158" t="b">
        <f>IF(AB136="",TRUE,IF(IF(AC136="",VLOOKUP(AB136,Calculs!$A$19:$S$425,19,FALSE),VLOOKUP(AC136,Calculs!$A$19:$S$425,19,FALSE))&gt;=AD136,TRUE,FALSE))</f>
        <v>1</v>
      </c>
      <c r="AF136" s="158"/>
      <c r="AG136" s="158"/>
      <c r="AH136" s="158"/>
      <c r="AI136" s="158" t="b">
        <f>IF(AF136="",TRUE,IF(IF(AG136="",VLOOKUP(AF136,Calculs!$A$19:$S$425,19,FALSE),VLOOKUP(AG136,Calculs!$A$19:$S$425,19,FALSE))&gt;=AH136,TRUE,FALSE))</f>
        <v>1</v>
      </c>
      <c r="AJ136" s="158"/>
      <c r="AK136" s="158"/>
      <c r="AL136" s="158"/>
      <c r="AM136" s="158" t="b">
        <f>IF(AJ136="",TRUE,IF(IF(AK136="",VLOOKUP(AJ136,Calculs!$A$19:$S$425,19,FALSE),VLOOKUP(AK136,Calculs!$A$19:$S$425,19,FALSE))&gt;=AL136,TRUE,FALSE))</f>
        <v>1</v>
      </c>
      <c r="AN136" s="158"/>
      <c r="AO136" s="158"/>
      <c r="AP136" s="158"/>
      <c r="AQ136" s="158" t="b">
        <f>IF(AN136="",TRUE,IF(IF(AO136="",VLOOKUP(AN136,Calculs!$A$19:$S$425,19,FALSE),VLOOKUP(AO136,Calculs!$A$19:$S$425,19,FALSE))&gt;=AP136,TRUE,FALSE))</f>
        <v>1</v>
      </c>
      <c r="AR136" s="158"/>
      <c r="AS136" s="158" t="b">
        <f>IF(AR136="",TRUE,IF(VLOOKUP(AR136,Calculs!$A$427:$G$738,7,FALSE)&gt;0,TRUE,FALSE))</f>
        <v>1</v>
      </c>
      <c r="AT136" s="158"/>
      <c r="AU136" s="158" t="b">
        <f>IF(AT136="",TRUE,IF(VLOOKUP(AT136,Calculs!$A$740:$G$912,7,FALSE)&gt;0,TRUE,FALSE))</f>
        <v>1</v>
      </c>
      <c r="AV136" s="158" t="b">
        <f t="shared" si="15"/>
        <v>1</v>
      </c>
      <c r="AW136" s="158" t="s">
        <v>2078</v>
      </c>
      <c r="AX136" s="162" t="s">
        <v>118</v>
      </c>
      <c r="AY136" s="15">
        <v>194</v>
      </c>
      <c r="AZ136" s="555" t="s">
        <v>8493</v>
      </c>
      <c r="BA136" s="559">
        <f>IF(Verso!$B$10=Voies!$B136,1,0)</f>
        <v>0</v>
      </c>
      <c r="BB136" s="12">
        <f>IF(Verso!$B$11=Voies!$B136,1,0)</f>
        <v>0</v>
      </c>
      <c r="BC136" s="12">
        <f>IF(Verso!$B$12=Voies!$B136,1,0)</f>
        <v>0</v>
      </c>
      <c r="BD136" s="12">
        <f>IF(Verso!$B$13=Voies!$B136,1,0)</f>
        <v>0</v>
      </c>
      <c r="BE136" s="12">
        <f>IF(Verso!$B$14=Voies!$B136,1,0)</f>
        <v>0</v>
      </c>
      <c r="BF136" s="12">
        <f>IF(Verso!$B$15=Voies!$B136,1,0)</f>
        <v>0</v>
      </c>
      <c r="BG136" s="12">
        <f>IF(Verso!$B$16=Voies!$B136,1,0)</f>
        <v>0</v>
      </c>
      <c r="BH136" s="12">
        <f>IF(Verso!$B$17=Voies!$B136,1,0)</f>
        <v>0</v>
      </c>
      <c r="BI136" s="557">
        <f t="shared" si="16"/>
        <v>0</v>
      </c>
      <c r="BJ136" s="196" t="str">
        <f t="shared" si="17"/>
        <v/>
      </c>
      <c r="BK136" s="196" t="str">
        <f t="shared" si="18"/>
        <v/>
      </c>
      <c r="BL136" s="295" t="str">
        <f t="shared" si="19"/>
        <v/>
      </c>
    </row>
    <row r="137" spans="1:65" s="196" customFormat="1" ht="47.25" customHeight="1" x14ac:dyDescent="0.25">
      <c r="A137" s="162" t="str">
        <f>IF(AND(Réputation&gt;Voies!E137-1,OR(C137=TRUE,Calculs!$I$8&gt;0),Air&gt;Voies!J137-1,Eau&gt;Voies!K137-1,Feu&gt;Voies!L137-1,Terre&gt;Voies!M137-1,Vide&gt;Voies!N137-1,Constitution&gt;Voies!O137-1,Volonté&gt;Voies!P137-1,Force&gt;Voies!Q137-1,Perception&gt;Voies!R137-1,Reflexes&gt;Voies!S137-1,Agilité&gt;Voies!T137-1,Intuition&gt;Voies!U137-1,Intelligence&gt;Voies!V137-1,Souillure&gt;Voies!W137-1,Honneur&gt;X137-1,Statut&gt;Y137-1,Gloire&gt;Z137-1,AV137=TRUE),Voies!B137,"")</f>
        <v/>
      </c>
      <c r="B137" s="162" t="s">
        <v>7047</v>
      </c>
      <c r="C137" s="162" t="b">
        <f>IF(Clan=Voies!D137,TRUE,FALSE)</f>
        <v>0</v>
      </c>
      <c r="D137" s="388" t="s">
        <v>341</v>
      </c>
      <c r="E137" s="199">
        <v>1</v>
      </c>
      <c r="F137" s="199">
        <v>1</v>
      </c>
      <c r="G137" s="199" t="s">
        <v>2050</v>
      </c>
      <c r="H137" s="162" t="s">
        <v>7040</v>
      </c>
      <c r="I137" s="129" t="str">
        <f t="shared" si="14"/>
        <v>Rien</v>
      </c>
      <c r="J137" s="146">
        <v>0</v>
      </c>
      <c r="K137" s="147">
        <v>0</v>
      </c>
      <c r="L137" s="148">
        <v>0</v>
      </c>
      <c r="M137" s="149">
        <v>0</v>
      </c>
      <c r="N137" s="150">
        <v>0</v>
      </c>
      <c r="O137" s="130">
        <v>0</v>
      </c>
      <c r="P137" s="130">
        <v>0</v>
      </c>
      <c r="Q137" s="130">
        <v>0</v>
      </c>
      <c r="R137" s="130">
        <v>0</v>
      </c>
      <c r="S137" s="130">
        <v>0</v>
      </c>
      <c r="T137" s="130">
        <v>0</v>
      </c>
      <c r="U137" s="130">
        <v>0</v>
      </c>
      <c r="V137" s="524">
        <v>0</v>
      </c>
      <c r="W137" s="130">
        <v>0</v>
      </c>
      <c r="X137" s="130">
        <v>0</v>
      </c>
      <c r="Y137" s="130">
        <v>0</v>
      </c>
      <c r="Z137" s="130">
        <v>0</v>
      </c>
      <c r="AA137" s="158" t="s">
        <v>2078</v>
      </c>
      <c r="AB137" s="158"/>
      <c r="AC137" s="158"/>
      <c r="AD137" s="158"/>
      <c r="AE137" s="158" t="b">
        <f>IF(AB137="",TRUE,IF(IF(AC137="",VLOOKUP(AB137,Calculs!$A$19:$S$425,19,FALSE),VLOOKUP(AC137,Calculs!$A$19:$S$425,19,FALSE))&gt;=AD137,TRUE,FALSE))</f>
        <v>1</v>
      </c>
      <c r="AF137" s="158"/>
      <c r="AG137" s="158"/>
      <c r="AH137" s="158"/>
      <c r="AI137" s="158" t="b">
        <f>IF(AF137="",TRUE,IF(IF(AG137="",VLOOKUP(AF137,Calculs!$A$19:$S$425,19,FALSE),VLOOKUP(AG137,Calculs!$A$19:$S$425,19,FALSE))&gt;=AH137,TRUE,FALSE))</f>
        <v>1</v>
      </c>
      <c r="AJ137" s="158"/>
      <c r="AK137" s="158"/>
      <c r="AL137" s="158"/>
      <c r="AM137" s="158" t="b">
        <f>IF(AJ137="",TRUE,IF(IF(AK137="",VLOOKUP(AJ137,Calculs!$A$19:$S$425,19,FALSE),VLOOKUP(AK137,Calculs!$A$19:$S$425,19,FALSE))&gt;=AL137,TRUE,FALSE))</f>
        <v>1</v>
      </c>
      <c r="AN137" s="158"/>
      <c r="AO137" s="158"/>
      <c r="AP137" s="158"/>
      <c r="AQ137" s="158" t="b">
        <f>IF(AN137="",TRUE,IF(IF(AO137="",VLOOKUP(AN137,Calculs!$A$19:$S$425,19,FALSE),VLOOKUP(AO137,Calculs!$A$19:$S$425,19,FALSE))&gt;=AP137,TRUE,FALSE))</f>
        <v>1</v>
      </c>
      <c r="AR137" s="158"/>
      <c r="AS137" s="158" t="b">
        <f>IF(AR137="",TRUE,IF(VLOOKUP(AR137,Calculs!$A$427:$G$738,7,FALSE)&gt;0,TRUE,FALSE))</f>
        <v>1</v>
      </c>
      <c r="AT137" s="158"/>
      <c r="AU137" s="158" t="b">
        <f>IF(AT137="",TRUE,IF(VLOOKUP(AT137,Calculs!$A$740:$G$912,7,FALSE)&gt;0,TRUE,FALSE))</f>
        <v>1</v>
      </c>
      <c r="AV137" s="158" t="b">
        <f t="shared" si="15"/>
        <v>1</v>
      </c>
      <c r="AW137" s="158" t="s">
        <v>2078</v>
      </c>
      <c r="AX137" s="162" t="s">
        <v>6816</v>
      </c>
      <c r="AY137" s="15">
        <v>61</v>
      </c>
      <c r="AZ137" s="555" t="s">
        <v>7048</v>
      </c>
      <c r="BA137" s="559">
        <f>IF(Verso!$B$10=Voies!$B137,1,0)</f>
        <v>0</v>
      </c>
      <c r="BB137" s="12">
        <f>IF(Verso!$B$11=Voies!$B137,1,0)</f>
        <v>0</v>
      </c>
      <c r="BC137" s="12">
        <f>IF(Verso!$B$12=Voies!$B137,1,0)</f>
        <v>0</v>
      </c>
      <c r="BD137" s="12">
        <f>IF(Verso!$B$13=Voies!$B137,1,0)</f>
        <v>0</v>
      </c>
      <c r="BE137" s="12">
        <f>IF(Verso!$B$14=Voies!$B137,1,0)</f>
        <v>0</v>
      </c>
      <c r="BF137" s="12">
        <f>IF(Verso!$B$15=Voies!$B137,1,0)</f>
        <v>0</v>
      </c>
      <c r="BG137" s="12">
        <f>IF(Verso!$B$16=Voies!$B137,1,0)</f>
        <v>0</v>
      </c>
      <c r="BH137" s="12">
        <f>IF(Verso!$B$17=Voies!$B137,1,0)</f>
        <v>0</v>
      </c>
      <c r="BI137" s="557">
        <f t="shared" si="16"/>
        <v>0</v>
      </c>
      <c r="BJ137" s="196" t="str">
        <f t="shared" si="17"/>
        <v/>
      </c>
      <c r="BK137" s="196" t="str">
        <f t="shared" si="18"/>
        <v/>
      </c>
      <c r="BL137" s="295" t="str">
        <f t="shared" si="19"/>
        <v/>
      </c>
      <c r="BM137" s="91"/>
    </row>
    <row r="138" spans="1:65" ht="47.25" customHeight="1" x14ac:dyDescent="0.25">
      <c r="A138" s="162" t="str">
        <f>IF(AND(Réputation&gt;Voies!E138-1,OR(C138=TRUE,Calculs!$I$8&gt;0),Air&gt;Voies!J138-1,Eau&gt;Voies!K138-1,Feu&gt;Voies!L138-1,Terre&gt;Voies!M138-1,Vide&gt;Voies!N138-1,Constitution&gt;Voies!O138-1,Volonté&gt;Voies!P138-1,Force&gt;Voies!Q138-1,Perception&gt;Voies!R138-1,Reflexes&gt;Voies!S138-1,Agilité&gt;Voies!T138-1,Intuition&gt;Voies!U138-1,Intelligence&gt;Voies!V138-1,Souillure&gt;Voies!W138-1,Honneur&gt;X138-1,Statut&gt;Y138-1,Gloire&gt;Z138-1,AV138=TRUE),Voies!B138,"")</f>
        <v/>
      </c>
      <c r="B138" s="162" t="s">
        <v>2775</v>
      </c>
      <c r="C138" s="162" t="b">
        <f>IF(Clan=Voies!D138,TRUE,FALSE)</f>
        <v>0</v>
      </c>
      <c r="D138" s="388" t="s">
        <v>341</v>
      </c>
      <c r="E138" s="13">
        <v>1</v>
      </c>
      <c r="F138" s="199">
        <v>1</v>
      </c>
      <c r="G138" s="13" t="s">
        <v>2050</v>
      </c>
      <c r="H138" s="162" t="s">
        <v>263</v>
      </c>
      <c r="I138" s="129" t="str">
        <f t="shared" si="14"/>
        <v>Rien</v>
      </c>
      <c r="J138" s="146">
        <v>0</v>
      </c>
      <c r="K138" s="147">
        <v>0</v>
      </c>
      <c r="L138" s="148">
        <v>0</v>
      </c>
      <c r="M138" s="149">
        <v>0</v>
      </c>
      <c r="N138" s="150">
        <v>0</v>
      </c>
      <c r="O138" s="130">
        <v>0</v>
      </c>
      <c r="P138" s="130">
        <v>0</v>
      </c>
      <c r="Q138" s="130">
        <v>0</v>
      </c>
      <c r="R138" s="130">
        <v>0</v>
      </c>
      <c r="S138" s="130">
        <v>0</v>
      </c>
      <c r="T138" s="130">
        <v>0</v>
      </c>
      <c r="U138" s="130">
        <v>0</v>
      </c>
      <c r="V138" s="524">
        <v>0</v>
      </c>
      <c r="W138" s="130">
        <v>0</v>
      </c>
      <c r="X138" s="130">
        <v>0</v>
      </c>
      <c r="Y138" s="130">
        <v>0</v>
      </c>
      <c r="Z138" s="130">
        <v>0</v>
      </c>
      <c r="AA138" s="158" t="s">
        <v>2078</v>
      </c>
      <c r="AB138" s="158"/>
      <c r="AC138" s="158"/>
      <c r="AD138" s="158"/>
      <c r="AE138" s="158" t="b">
        <f>IF(AB138="",TRUE,IF(IF(AC138="",VLOOKUP(AB138,Calculs!$A$19:$S$425,19,FALSE),VLOOKUP(AC138,Calculs!$A$19:$S$425,19,FALSE))&gt;=AD138,TRUE,FALSE))</f>
        <v>1</v>
      </c>
      <c r="AF138" s="158"/>
      <c r="AG138" s="158"/>
      <c r="AH138" s="158"/>
      <c r="AI138" s="158" t="b">
        <f>IF(AF138="",TRUE,IF(IF(AG138="",VLOOKUP(AF138,Calculs!$A$19:$S$425,19,FALSE),VLOOKUP(AG138,Calculs!$A$19:$S$425,19,FALSE))&gt;=AH138,TRUE,FALSE))</f>
        <v>1</v>
      </c>
      <c r="AJ138" s="158"/>
      <c r="AK138" s="158"/>
      <c r="AL138" s="158"/>
      <c r="AM138" s="158" t="b">
        <f>IF(AJ138="",TRUE,IF(IF(AK138="",VLOOKUP(AJ138,Calculs!$A$19:$S$425,19,FALSE),VLOOKUP(AK138,Calculs!$A$19:$S$425,19,FALSE))&gt;=AL138,TRUE,FALSE))</f>
        <v>1</v>
      </c>
      <c r="AN138" s="158"/>
      <c r="AO138" s="158"/>
      <c r="AP138" s="158"/>
      <c r="AQ138" s="158" t="b">
        <f>IF(AN138="",TRUE,IF(IF(AO138="",VLOOKUP(AN138,Calculs!$A$19:$S$425,19,FALSE),VLOOKUP(AO138,Calculs!$A$19:$S$425,19,FALSE))&gt;=AP138,TRUE,FALSE))</f>
        <v>1</v>
      </c>
      <c r="AR138" s="158"/>
      <c r="AS138" s="158" t="b">
        <f>IF(AR138="",TRUE,IF(VLOOKUP(AR138,Calculs!$A$427:$G$738,7,FALSE)&gt;0,TRUE,FALSE))</f>
        <v>1</v>
      </c>
      <c r="AT138" s="158"/>
      <c r="AU138" s="158" t="b">
        <f>IF(AT138="",TRUE,IF(VLOOKUP(AT138,Calculs!$A$740:$G$912,7,FALSE)&gt;0,TRUE,FALSE))</f>
        <v>1</v>
      </c>
      <c r="AV138" s="158" t="b">
        <f t="shared" si="15"/>
        <v>1</v>
      </c>
      <c r="AW138" s="158" t="s">
        <v>2078</v>
      </c>
      <c r="AX138" s="162" t="s">
        <v>160</v>
      </c>
      <c r="AY138" s="15">
        <v>191</v>
      </c>
      <c r="AZ138" s="555" t="s">
        <v>2777</v>
      </c>
      <c r="BA138" s="559">
        <f>IF(Verso!$B$10=Voies!$B138,1,0)</f>
        <v>0</v>
      </c>
      <c r="BB138" s="12">
        <f>IF(Verso!$B$11=Voies!$B138,1,0)</f>
        <v>0</v>
      </c>
      <c r="BC138" s="12">
        <f>IF(Verso!$B$12=Voies!$B138,1,0)</f>
        <v>0</v>
      </c>
      <c r="BD138" s="12">
        <f>IF(Verso!$B$13=Voies!$B138,1,0)</f>
        <v>0</v>
      </c>
      <c r="BE138" s="12">
        <f>IF(Verso!$B$14=Voies!$B138,1,0)</f>
        <v>0</v>
      </c>
      <c r="BF138" s="12">
        <f>IF(Verso!$B$15=Voies!$B138,1,0)</f>
        <v>0</v>
      </c>
      <c r="BG138" s="12">
        <f>IF(Verso!$B$16=Voies!$B138,1,0)</f>
        <v>0</v>
      </c>
      <c r="BH138" s="12">
        <f>IF(Verso!$B$17=Voies!$B138,1,0)</f>
        <v>0</v>
      </c>
      <c r="BI138" s="557">
        <f t="shared" si="16"/>
        <v>0</v>
      </c>
      <c r="BJ138" s="196" t="str">
        <f t="shared" si="17"/>
        <v/>
      </c>
      <c r="BK138" s="196" t="str">
        <f t="shared" si="18"/>
        <v/>
      </c>
      <c r="BL138" s="295" t="str">
        <f t="shared" si="19"/>
        <v/>
      </c>
    </row>
    <row r="139" spans="1:65" ht="47.25" customHeight="1" x14ac:dyDescent="0.25">
      <c r="A139" s="162" t="str">
        <f>IF(AND(Réputation&gt;Voies!E139-1,OR(C139=TRUE,Calculs!$I$8&gt;0),Air&gt;Voies!J139-1,Eau&gt;Voies!K139-1,Feu&gt;Voies!L139-1,Terre&gt;Voies!M139-1,Vide&gt;Voies!N139-1,Constitution&gt;Voies!O139-1,Volonté&gt;Voies!P139-1,Force&gt;Voies!Q139-1,Perception&gt;Voies!R139-1,Reflexes&gt;Voies!S139-1,Agilité&gt;Voies!T139-1,Intuition&gt;Voies!U139-1,Intelligence&gt;Voies!V139-1,Souillure&gt;Voies!W139-1,Honneur&gt;X139-1,Statut&gt;Y139-1,Gloire&gt;Z139-1,AV139=TRUE),Voies!B139,"")</f>
        <v/>
      </c>
      <c r="B139" s="162" t="s">
        <v>2736</v>
      </c>
      <c r="C139" s="162" t="b">
        <f>IF(Clan=Voies!D139,TRUE,FALSE)</f>
        <v>0</v>
      </c>
      <c r="D139" s="388" t="s">
        <v>341</v>
      </c>
      <c r="E139" s="13">
        <v>1</v>
      </c>
      <c r="F139" s="199">
        <v>1</v>
      </c>
      <c r="G139" s="13" t="s">
        <v>2050</v>
      </c>
      <c r="H139" s="162" t="s">
        <v>264</v>
      </c>
      <c r="I139" s="129" t="str">
        <f t="shared" si="14"/>
        <v>Rien</v>
      </c>
      <c r="J139" s="146">
        <v>0</v>
      </c>
      <c r="K139" s="147">
        <v>0</v>
      </c>
      <c r="L139" s="148">
        <v>0</v>
      </c>
      <c r="M139" s="149">
        <v>0</v>
      </c>
      <c r="N139" s="150">
        <v>0</v>
      </c>
      <c r="O139" s="130">
        <v>0</v>
      </c>
      <c r="P139" s="130">
        <v>0</v>
      </c>
      <c r="Q139" s="130">
        <v>0</v>
      </c>
      <c r="R139" s="130">
        <v>0</v>
      </c>
      <c r="S139" s="130">
        <v>0</v>
      </c>
      <c r="T139" s="130">
        <v>0</v>
      </c>
      <c r="U139" s="130">
        <v>0</v>
      </c>
      <c r="V139" s="524">
        <v>0</v>
      </c>
      <c r="W139" s="130">
        <v>0</v>
      </c>
      <c r="X139" s="130">
        <v>0</v>
      </c>
      <c r="Y139" s="130">
        <v>0</v>
      </c>
      <c r="Z139" s="130">
        <v>0</v>
      </c>
      <c r="AA139" s="158" t="s">
        <v>2078</v>
      </c>
      <c r="AB139" s="158"/>
      <c r="AC139" s="158"/>
      <c r="AD139" s="158"/>
      <c r="AE139" s="158" t="b">
        <f>IF(AB139="",TRUE,IF(IF(AC139="",VLOOKUP(AB139,Calculs!$A$19:$S$425,19,FALSE),VLOOKUP(AC139,Calculs!$A$19:$S$425,19,FALSE))&gt;=AD139,TRUE,FALSE))</f>
        <v>1</v>
      </c>
      <c r="AF139" s="158"/>
      <c r="AG139" s="158"/>
      <c r="AH139" s="158"/>
      <c r="AI139" s="158" t="b">
        <f>IF(AF139="",TRUE,IF(IF(AG139="",VLOOKUP(AF139,Calculs!$A$19:$S$425,19,FALSE),VLOOKUP(AG139,Calculs!$A$19:$S$425,19,FALSE))&gt;=AH139,TRUE,FALSE))</f>
        <v>1</v>
      </c>
      <c r="AJ139" s="158"/>
      <c r="AK139" s="158"/>
      <c r="AL139" s="158"/>
      <c r="AM139" s="158" t="b">
        <f>IF(AJ139="",TRUE,IF(IF(AK139="",VLOOKUP(AJ139,Calculs!$A$19:$S$425,19,FALSE),VLOOKUP(AK139,Calculs!$A$19:$S$425,19,FALSE))&gt;=AL139,TRUE,FALSE))</f>
        <v>1</v>
      </c>
      <c r="AN139" s="158"/>
      <c r="AO139" s="158"/>
      <c r="AP139" s="158"/>
      <c r="AQ139" s="158" t="b">
        <f>IF(AN139="",TRUE,IF(IF(AO139="",VLOOKUP(AN139,Calculs!$A$19:$S$425,19,FALSE),VLOOKUP(AO139,Calculs!$A$19:$S$425,19,FALSE))&gt;=AP139,TRUE,FALSE))</f>
        <v>1</v>
      </c>
      <c r="AR139" s="158"/>
      <c r="AS139" s="158" t="b">
        <f>IF(AR139="",TRUE,IF(VLOOKUP(AR139,Calculs!$A$427:$G$738,7,FALSE)&gt;0,TRUE,FALSE))</f>
        <v>1</v>
      </c>
      <c r="AT139" s="158"/>
      <c r="AU139" s="158" t="b">
        <f>IF(AT139="",TRUE,IF(VLOOKUP(AT139,Calculs!$A$740:$G$912,7,FALSE)&gt;0,TRUE,FALSE))</f>
        <v>1</v>
      </c>
      <c r="AV139" s="158" t="b">
        <f t="shared" si="15"/>
        <v>1</v>
      </c>
      <c r="AW139" s="158" t="s">
        <v>2078</v>
      </c>
      <c r="AX139" s="162" t="s">
        <v>2076</v>
      </c>
      <c r="AY139" s="15">
        <v>103</v>
      </c>
      <c r="AZ139" s="555" t="s">
        <v>2737</v>
      </c>
      <c r="BA139" s="559">
        <f>IF(Verso!$B$10=Voies!$B139,1,0)</f>
        <v>0</v>
      </c>
      <c r="BB139" s="12">
        <f>IF(Verso!$B$11=Voies!$B139,1,0)</f>
        <v>0</v>
      </c>
      <c r="BC139" s="12">
        <f>IF(Verso!$B$12=Voies!$B139,1,0)</f>
        <v>0</v>
      </c>
      <c r="BD139" s="12">
        <f>IF(Verso!$B$13=Voies!$B139,1,0)</f>
        <v>0</v>
      </c>
      <c r="BE139" s="12">
        <f>IF(Verso!$B$14=Voies!$B139,1,0)</f>
        <v>0</v>
      </c>
      <c r="BF139" s="12">
        <f>IF(Verso!$B$15=Voies!$B139,1,0)</f>
        <v>0</v>
      </c>
      <c r="BG139" s="12">
        <f>IF(Verso!$B$16=Voies!$B139,1,0)</f>
        <v>0</v>
      </c>
      <c r="BH139" s="12">
        <f>IF(Verso!$B$17=Voies!$B139,1,0)</f>
        <v>0</v>
      </c>
      <c r="BI139" s="557">
        <f t="shared" si="16"/>
        <v>0</v>
      </c>
      <c r="BJ139" s="196" t="str">
        <f t="shared" si="17"/>
        <v/>
      </c>
      <c r="BK139" s="196" t="str">
        <f t="shared" si="18"/>
        <v/>
      </c>
      <c r="BL139" s="295" t="str">
        <f t="shared" si="19"/>
        <v/>
      </c>
    </row>
    <row r="140" spans="1:65" ht="47.25" customHeight="1" x14ac:dyDescent="0.25">
      <c r="A140" s="162" t="str">
        <f>IF(AND(Réputation&gt;Voies!E140-1,OR(C140=TRUE,Calculs!$I$8&gt;0),Air&gt;Voies!J140-1,Eau&gt;Voies!K140-1,Feu&gt;Voies!L140-1,Terre&gt;Voies!M140-1,Vide&gt;Voies!N140-1,Constitution&gt;Voies!O140-1,Volonté&gt;Voies!P140-1,Force&gt;Voies!Q140-1,Perception&gt;Voies!R140-1,Reflexes&gt;Voies!S140-1,Agilité&gt;Voies!T140-1,Intuition&gt;Voies!U140-1,Intelligence&gt;Voies!V140-1,Souillure&gt;Voies!W140-1,Honneur&gt;X140-1,Statut&gt;Y140-1,Gloire&gt;Z140-1,AV140=TRUE),Voies!B140,"")</f>
        <v/>
      </c>
      <c r="B140" s="162" t="s">
        <v>2316</v>
      </c>
      <c r="C140" s="162" t="b">
        <f>IF(Clan=Voies!D140,TRUE,FALSE)</f>
        <v>0</v>
      </c>
      <c r="D140" s="388" t="s">
        <v>341</v>
      </c>
      <c r="E140" s="13">
        <v>1</v>
      </c>
      <c r="F140" s="199">
        <v>1</v>
      </c>
      <c r="G140" s="13" t="s">
        <v>2050</v>
      </c>
      <c r="H140" s="162" t="s">
        <v>261</v>
      </c>
      <c r="I140" s="129" t="str">
        <f t="shared" si="14"/>
        <v>Rien</v>
      </c>
      <c r="J140" s="146">
        <v>0</v>
      </c>
      <c r="K140" s="147">
        <v>0</v>
      </c>
      <c r="L140" s="148">
        <v>0</v>
      </c>
      <c r="M140" s="149">
        <v>0</v>
      </c>
      <c r="N140" s="150">
        <v>0</v>
      </c>
      <c r="O140" s="130">
        <v>0</v>
      </c>
      <c r="P140" s="130">
        <v>0</v>
      </c>
      <c r="Q140" s="130">
        <v>0</v>
      </c>
      <c r="R140" s="130">
        <v>0</v>
      </c>
      <c r="S140" s="130">
        <v>0</v>
      </c>
      <c r="T140" s="130">
        <v>0</v>
      </c>
      <c r="U140" s="130">
        <v>0</v>
      </c>
      <c r="V140" s="524">
        <v>0</v>
      </c>
      <c r="W140" s="130">
        <v>0</v>
      </c>
      <c r="X140" s="130">
        <v>0</v>
      </c>
      <c r="Y140" s="130">
        <v>0</v>
      </c>
      <c r="Z140" s="130">
        <v>0</v>
      </c>
      <c r="AA140" s="158" t="s">
        <v>2078</v>
      </c>
      <c r="AB140" s="158"/>
      <c r="AC140" s="158"/>
      <c r="AD140" s="158"/>
      <c r="AE140" s="158" t="b">
        <f>IF(AB140="",TRUE,IF(IF(AC140="",VLOOKUP(AB140,Calculs!$A$19:$S$425,19,FALSE),VLOOKUP(AC140,Calculs!$A$19:$S$425,19,FALSE))&gt;=AD140,TRUE,FALSE))</f>
        <v>1</v>
      </c>
      <c r="AF140" s="158"/>
      <c r="AG140" s="158"/>
      <c r="AH140" s="158"/>
      <c r="AI140" s="158" t="b">
        <f>IF(AF140="",TRUE,IF(IF(AG140="",VLOOKUP(AF140,Calculs!$A$19:$S$425,19,FALSE),VLOOKUP(AG140,Calculs!$A$19:$S$425,19,FALSE))&gt;=AH140,TRUE,FALSE))</f>
        <v>1</v>
      </c>
      <c r="AJ140" s="158"/>
      <c r="AK140" s="158"/>
      <c r="AL140" s="158"/>
      <c r="AM140" s="158" t="b">
        <f>IF(AJ140="",TRUE,IF(IF(AK140="",VLOOKUP(AJ140,Calculs!$A$19:$S$425,19,FALSE),VLOOKUP(AK140,Calculs!$A$19:$S$425,19,FALSE))&gt;=AL140,TRUE,FALSE))</f>
        <v>1</v>
      </c>
      <c r="AN140" s="158"/>
      <c r="AO140" s="158"/>
      <c r="AP140" s="158"/>
      <c r="AQ140" s="158" t="b">
        <f>IF(AN140="",TRUE,IF(IF(AO140="",VLOOKUP(AN140,Calculs!$A$19:$S$425,19,FALSE),VLOOKUP(AO140,Calculs!$A$19:$S$425,19,FALSE))&gt;=AP140,TRUE,FALSE))</f>
        <v>1</v>
      </c>
      <c r="AR140" s="158"/>
      <c r="AS140" s="158" t="b">
        <f>IF(AR140="",TRUE,IF(VLOOKUP(AR140,Calculs!$A$427:$G$738,7,FALSE)&gt;0,TRUE,FALSE))</f>
        <v>1</v>
      </c>
      <c r="AT140" s="158"/>
      <c r="AU140" s="158" t="b">
        <f>IF(AT140="",TRUE,IF(VLOOKUP(AT140,Calculs!$A$740:$G$912,7,FALSE)&gt;0,TRUE,FALSE))</f>
        <v>1</v>
      </c>
      <c r="AV140" s="158" t="b">
        <f t="shared" si="15"/>
        <v>1</v>
      </c>
      <c r="AW140" s="158" t="s">
        <v>2078</v>
      </c>
      <c r="AX140" s="162" t="s">
        <v>3</v>
      </c>
      <c r="AY140" s="15">
        <v>231</v>
      </c>
      <c r="AZ140" s="555" t="s">
        <v>8494</v>
      </c>
      <c r="BA140" s="559">
        <f>IF(Verso!$B$10=Voies!$B140,1,0)</f>
        <v>0</v>
      </c>
      <c r="BB140" s="12">
        <f>IF(Verso!$B$11=Voies!$B140,1,0)</f>
        <v>0</v>
      </c>
      <c r="BC140" s="12">
        <f>IF(Verso!$B$12=Voies!$B140,1,0)</f>
        <v>0</v>
      </c>
      <c r="BD140" s="12">
        <f>IF(Verso!$B$13=Voies!$B140,1,0)</f>
        <v>0</v>
      </c>
      <c r="BE140" s="12">
        <f>IF(Verso!$B$14=Voies!$B140,1,0)</f>
        <v>0</v>
      </c>
      <c r="BF140" s="12">
        <f>IF(Verso!$B$15=Voies!$B140,1,0)</f>
        <v>0</v>
      </c>
      <c r="BG140" s="12">
        <f>IF(Verso!$B$16=Voies!$B140,1,0)</f>
        <v>0</v>
      </c>
      <c r="BH140" s="12">
        <f>IF(Verso!$B$17=Voies!$B140,1,0)</f>
        <v>0</v>
      </c>
      <c r="BI140" s="557">
        <f t="shared" si="16"/>
        <v>0</v>
      </c>
      <c r="BJ140" s="196" t="str">
        <f t="shared" si="17"/>
        <v/>
      </c>
      <c r="BK140" s="196" t="str">
        <f t="shared" si="18"/>
        <v/>
      </c>
      <c r="BL140" s="295" t="str">
        <f t="shared" si="19"/>
        <v/>
      </c>
    </row>
    <row r="141" spans="1:65" ht="47.25" customHeight="1" x14ac:dyDescent="0.25">
      <c r="A141" s="162" t="str">
        <f>IF(AND(Réputation&gt;Voies!E141-1,OR(C141=TRUE,Calculs!$I$8&gt;0),Air&gt;Voies!J141-1,Eau&gt;Voies!K141-1,Feu&gt;Voies!L141-1,Terre&gt;Voies!M141-1,Vide&gt;Voies!N141-1,Constitution&gt;Voies!O141-1,Volonté&gt;Voies!P141-1,Force&gt;Voies!Q141-1,Perception&gt;Voies!R141-1,Reflexes&gt;Voies!S141-1,Agilité&gt;Voies!T141-1,Intuition&gt;Voies!U141-1,Intelligence&gt;Voies!V141-1,Souillure&gt;Voies!W141-1,Honneur&gt;X141-1,Statut&gt;Y141-1,Gloire&gt;Z141-1,AV141=TRUE),Voies!B141,"")</f>
        <v/>
      </c>
      <c r="B141" s="162" t="s">
        <v>2768</v>
      </c>
      <c r="C141" s="162" t="b">
        <f>IF(Clan=Voies!D141,TRUE,FALSE)</f>
        <v>0</v>
      </c>
      <c r="D141" s="388" t="s">
        <v>341</v>
      </c>
      <c r="E141" s="13">
        <v>1</v>
      </c>
      <c r="F141" s="199">
        <v>1</v>
      </c>
      <c r="G141" s="13" t="s">
        <v>2050</v>
      </c>
      <c r="H141" s="162" t="s">
        <v>265</v>
      </c>
      <c r="I141" s="129" t="str">
        <f t="shared" si="14"/>
        <v>Rien</v>
      </c>
      <c r="J141" s="146">
        <v>0</v>
      </c>
      <c r="K141" s="147">
        <v>0</v>
      </c>
      <c r="L141" s="148">
        <v>0</v>
      </c>
      <c r="M141" s="149">
        <v>0</v>
      </c>
      <c r="N141" s="150">
        <v>0</v>
      </c>
      <c r="O141" s="130">
        <v>0</v>
      </c>
      <c r="P141" s="130">
        <v>0</v>
      </c>
      <c r="Q141" s="130">
        <v>0</v>
      </c>
      <c r="R141" s="130">
        <v>0</v>
      </c>
      <c r="S141" s="130">
        <v>0</v>
      </c>
      <c r="T141" s="130">
        <v>0</v>
      </c>
      <c r="U141" s="130">
        <v>0</v>
      </c>
      <c r="V141" s="524">
        <v>0</v>
      </c>
      <c r="W141" s="130">
        <v>0</v>
      </c>
      <c r="X141" s="130">
        <v>0</v>
      </c>
      <c r="Y141" s="130">
        <v>0</v>
      </c>
      <c r="Z141" s="130">
        <v>0</v>
      </c>
      <c r="AA141" s="158" t="s">
        <v>2078</v>
      </c>
      <c r="AB141" s="158"/>
      <c r="AC141" s="158"/>
      <c r="AD141" s="158"/>
      <c r="AE141" s="158" t="b">
        <f>IF(AB141="",TRUE,IF(IF(AC141="",VLOOKUP(AB141,Calculs!$A$19:$S$425,19,FALSE),VLOOKUP(AC141,Calculs!$A$19:$S$425,19,FALSE))&gt;=AD141,TRUE,FALSE))</f>
        <v>1</v>
      </c>
      <c r="AF141" s="158"/>
      <c r="AG141" s="158"/>
      <c r="AH141" s="158"/>
      <c r="AI141" s="158" t="b">
        <f>IF(AF141="",TRUE,IF(IF(AG141="",VLOOKUP(AF141,Calculs!$A$19:$S$425,19,FALSE),VLOOKUP(AG141,Calculs!$A$19:$S$425,19,FALSE))&gt;=AH141,TRUE,FALSE))</f>
        <v>1</v>
      </c>
      <c r="AJ141" s="158"/>
      <c r="AK141" s="158"/>
      <c r="AL141" s="158"/>
      <c r="AM141" s="158" t="b">
        <f>IF(AJ141="",TRUE,IF(IF(AK141="",VLOOKUP(AJ141,Calculs!$A$19:$S$425,19,FALSE),VLOOKUP(AK141,Calculs!$A$19:$S$425,19,FALSE))&gt;=AL141,TRUE,FALSE))</f>
        <v>1</v>
      </c>
      <c r="AN141" s="158"/>
      <c r="AO141" s="158"/>
      <c r="AP141" s="158"/>
      <c r="AQ141" s="158" t="b">
        <f>IF(AN141="",TRUE,IF(IF(AO141="",VLOOKUP(AN141,Calculs!$A$19:$S$425,19,FALSE),VLOOKUP(AO141,Calculs!$A$19:$S$425,19,FALSE))&gt;=AP141,TRUE,FALSE))</f>
        <v>1</v>
      </c>
      <c r="AR141" s="158"/>
      <c r="AS141" s="158" t="b">
        <f>IF(AR141="",TRUE,IF(VLOOKUP(AR141,Calculs!$A$427:$G$738,7,FALSE)&gt;0,TRUE,FALSE))</f>
        <v>1</v>
      </c>
      <c r="AT141" s="158"/>
      <c r="AU141" s="158" t="b">
        <f>IF(AT141="",TRUE,IF(VLOOKUP(AT141,Calculs!$A$740:$G$912,7,FALSE)&gt;0,TRUE,FALSE))</f>
        <v>1</v>
      </c>
      <c r="AV141" s="158" t="b">
        <f t="shared" si="15"/>
        <v>1</v>
      </c>
      <c r="AW141" s="158" t="s">
        <v>2078</v>
      </c>
      <c r="AX141" s="162" t="s">
        <v>158</v>
      </c>
      <c r="AY141" s="15">
        <v>205</v>
      </c>
      <c r="AZ141" s="555" t="str">
        <f>CONCATENATE("Vous gagnez ",Terre," Points de vide. Vous ne pouvez dépenser ces points supplémentaires uniquement que pour augmenter votre ND d'Armure ou réduire les Dommages.")</f>
        <v>Vous gagnez 2 Points de vide. Vous ne pouvez dépenser ces points supplémentaires uniquement que pour augmenter votre ND d'Armure ou réduire les Dommages.</v>
      </c>
      <c r="BA141" s="559">
        <f>IF(Verso!$B$10=Voies!$B141,1,0)</f>
        <v>0</v>
      </c>
      <c r="BB141" s="12">
        <f>IF(Verso!$B$11=Voies!$B141,1,0)</f>
        <v>0</v>
      </c>
      <c r="BC141" s="12">
        <f>IF(Verso!$B$12=Voies!$B141,1,0)</f>
        <v>0</v>
      </c>
      <c r="BD141" s="12">
        <f>IF(Verso!$B$13=Voies!$B141,1,0)</f>
        <v>0</v>
      </c>
      <c r="BE141" s="12">
        <f>IF(Verso!$B$14=Voies!$B141,1,0)</f>
        <v>0</v>
      </c>
      <c r="BF141" s="12">
        <f>IF(Verso!$B$15=Voies!$B141,1,0)</f>
        <v>0</v>
      </c>
      <c r="BG141" s="12">
        <f>IF(Verso!$B$16=Voies!$B141,1,0)</f>
        <v>0</v>
      </c>
      <c r="BH141" s="12">
        <f>IF(Verso!$B$17=Voies!$B141,1,0)</f>
        <v>0</v>
      </c>
      <c r="BI141" s="557">
        <f t="shared" si="16"/>
        <v>0</v>
      </c>
      <c r="BJ141" s="196" t="str">
        <f t="shared" si="17"/>
        <v/>
      </c>
      <c r="BK141" s="196" t="str">
        <f t="shared" si="18"/>
        <v/>
      </c>
      <c r="BL141" s="295" t="str">
        <f t="shared" si="19"/>
        <v/>
      </c>
    </row>
    <row r="142" spans="1:65" ht="47.25" customHeight="1" x14ac:dyDescent="0.25">
      <c r="A142" s="162" t="str">
        <f>IF(AND(Réputation&gt;Voies!E142-1,OR(C142=TRUE,Calculs!$I$8&gt;0),Air&gt;Voies!J142-1,Eau&gt;Voies!K142-1,Feu&gt;Voies!L142-1,Terre&gt;Voies!M142-1,Vide&gt;Voies!N142-1,Constitution&gt;Voies!O142-1,Volonté&gt;Voies!P142-1,Force&gt;Voies!Q142-1,Perception&gt;Voies!R142-1,Reflexes&gt;Voies!S142-1,Agilité&gt;Voies!T142-1,Intuition&gt;Voies!U142-1,Intelligence&gt;Voies!V142-1,Souillure&gt;Voies!W142-1,Honneur&gt;X142-1,Statut&gt;Y142-1,Gloire&gt;Z142-1,AV142=TRUE),Voies!B142,"")</f>
        <v/>
      </c>
      <c r="B142" s="162" t="s">
        <v>2783</v>
      </c>
      <c r="C142" s="162" t="b">
        <f>IF(Clan=Voies!D142,TRUE,FALSE)</f>
        <v>0</v>
      </c>
      <c r="D142" s="388" t="s">
        <v>341</v>
      </c>
      <c r="E142" s="13">
        <v>1</v>
      </c>
      <c r="F142" s="199">
        <v>1</v>
      </c>
      <c r="G142" s="13" t="s">
        <v>2050</v>
      </c>
      <c r="H142" s="162" t="s">
        <v>262</v>
      </c>
      <c r="I142" s="129" t="str">
        <f t="shared" si="14"/>
        <v>Rien</v>
      </c>
      <c r="J142" s="146">
        <v>0</v>
      </c>
      <c r="K142" s="147">
        <v>0</v>
      </c>
      <c r="L142" s="148">
        <v>0</v>
      </c>
      <c r="M142" s="149">
        <v>0</v>
      </c>
      <c r="N142" s="150">
        <v>0</v>
      </c>
      <c r="O142" s="130">
        <v>0</v>
      </c>
      <c r="P142" s="130">
        <v>0</v>
      </c>
      <c r="Q142" s="130">
        <v>0</v>
      </c>
      <c r="R142" s="130">
        <v>0</v>
      </c>
      <c r="S142" s="130">
        <v>0</v>
      </c>
      <c r="T142" s="130">
        <v>0</v>
      </c>
      <c r="U142" s="130">
        <v>0</v>
      </c>
      <c r="V142" s="524">
        <v>0</v>
      </c>
      <c r="W142" s="130">
        <v>0</v>
      </c>
      <c r="X142" s="130">
        <v>0</v>
      </c>
      <c r="Y142" s="130">
        <v>0</v>
      </c>
      <c r="Z142" s="130">
        <v>0</v>
      </c>
      <c r="AA142" s="158" t="s">
        <v>2078</v>
      </c>
      <c r="AB142" s="158"/>
      <c r="AC142" s="158"/>
      <c r="AD142" s="158"/>
      <c r="AE142" s="158" t="b">
        <f>IF(AB142="",TRUE,IF(IF(AC142="",VLOOKUP(AB142,Calculs!$A$19:$S$425,19,FALSE),VLOOKUP(AC142,Calculs!$A$19:$S$425,19,FALSE))&gt;=AD142,TRUE,FALSE))</f>
        <v>1</v>
      </c>
      <c r="AF142" s="158"/>
      <c r="AG142" s="158"/>
      <c r="AH142" s="158"/>
      <c r="AI142" s="158" t="b">
        <f>IF(AF142="",TRUE,IF(IF(AG142="",VLOOKUP(AF142,Calculs!$A$19:$S$425,19,FALSE),VLOOKUP(AG142,Calculs!$A$19:$S$425,19,FALSE))&gt;=AH142,TRUE,FALSE))</f>
        <v>1</v>
      </c>
      <c r="AJ142" s="158"/>
      <c r="AK142" s="158"/>
      <c r="AL142" s="158"/>
      <c r="AM142" s="158" t="b">
        <f>IF(AJ142="",TRUE,IF(IF(AK142="",VLOOKUP(AJ142,Calculs!$A$19:$S$425,19,FALSE),VLOOKUP(AK142,Calculs!$A$19:$S$425,19,FALSE))&gt;=AL142,TRUE,FALSE))</f>
        <v>1</v>
      </c>
      <c r="AN142" s="158"/>
      <c r="AO142" s="158"/>
      <c r="AP142" s="158"/>
      <c r="AQ142" s="158" t="b">
        <f>IF(AN142="",TRUE,IF(IF(AO142="",VLOOKUP(AN142,Calculs!$A$19:$S$425,19,FALSE),VLOOKUP(AO142,Calculs!$A$19:$S$425,19,FALSE))&gt;=AP142,TRUE,FALSE))</f>
        <v>1</v>
      </c>
      <c r="AR142" s="158"/>
      <c r="AS142" s="158" t="b">
        <f>IF(AR142="",TRUE,IF(VLOOKUP(AR142,Calculs!$A$427:$G$738,7,FALSE)&gt;0,TRUE,FALSE))</f>
        <v>1</v>
      </c>
      <c r="AT142" s="158"/>
      <c r="AU142" s="158" t="b">
        <f>IF(AT142="",TRUE,IF(VLOOKUP(AT142,Calculs!$A$740:$G$912,7,FALSE)&gt;0,TRUE,FALSE))</f>
        <v>1</v>
      </c>
      <c r="AV142" s="158" t="b">
        <f t="shared" si="15"/>
        <v>1</v>
      </c>
      <c r="AW142" s="158" t="s">
        <v>2078</v>
      </c>
      <c r="AX142" s="162" t="s">
        <v>2080</v>
      </c>
      <c r="AY142" s="15">
        <v>242</v>
      </c>
      <c r="AZ142" s="555" t="str">
        <f>CONCATENATE("Vous pouvez ",Vide," fois par jour détecter la présence de fantômes (yorei ou goryo, mais pas gaki) après 10 min et un  test de Méditation/Intuition de ND 25. A pour en apprendre plus.")</f>
        <v>Vous pouvez 2 fois par jour détecter la présence de fantômes (yorei ou goryo, mais pas gaki) après 10 min et un  test de Méditation/Intuition de ND 25. A pour en apprendre plus.</v>
      </c>
      <c r="BA142" s="559">
        <f>IF(Verso!$B$10=Voies!$B142,1,0)</f>
        <v>0</v>
      </c>
      <c r="BB142" s="12">
        <f>IF(Verso!$B$11=Voies!$B142,1,0)</f>
        <v>0</v>
      </c>
      <c r="BC142" s="12">
        <f>IF(Verso!$B$12=Voies!$B142,1,0)</f>
        <v>0</v>
      </c>
      <c r="BD142" s="12">
        <f>IF(Verso!$B$13=Voies!$B142,1,0)</f>
        <v>0</v>
      </c>
      <c r="BE142" s="12">
        <f>IF(Verso!$B$14=Voies!$B142,1,0)</f>
        <v>0</v>
      </c>
      <c r="BF142" s="12">
        <f>IF(Verso!$B$15=Voies!$B142,1,0)</f>
        <v>0</v>
      </c>
      <c r="BG142" s="12">
        <f>IF(Verso!$B$16=Voies!$B142,1,0)</f>
        <v>0</v>
      </c>
      <c r="BH142" s="12">
        <f>IF(Verso!$B$17=Voies!$B142,1,0)</f>
        <v>0</v>
      </c>
      <c r="BI142" s="557">
        <f t="shared" si="16"/>
        <v>0</v>
      </c>
      <c r="BJ142" s="196" t="str">
        <f t="shared" si="17"/>
        <v/>
      </c>
      <c r="BK142" s="196" t="str">
        <f t="shared" si="18"/>
        <v/>
      </c>
      <c r="BL142" s="295" t="str">
        <f t="shared" si="19"/>
        <v/>
      </c>
    </row>
    <row r="143" spans="1:65" ht="47.25" customHeight="1" x14ac:dyDescent="0.25">
      <c r="A143" s="162" t="str">
        <f>IF(AND(Réputation&gt;Voies!E143-1,OR(C143=TRUE,Calculs!$I$8&gt;0),Air&gt;Voies!J143-1,Eau&gt;Voies!K143-1,Feu&gt;Voies!L143-1,Terre&gt;Voies!M143-1,Vide&gt;Voies!N143-1,Constitution&gt;Voies!O143-1,Volonté&gt;Voies!P143-1,Force&gt;Voies!Q143-1,Perception&gt;Voies!R143-1,Reflexes&gt;Voies!S143-1,Agilité&gt;Voies!T143-1,Intuition&gt;Voies!U143-1,Intelligence&gt;Voies!V143-1,Souillure&gt;Voies!W143-1,Honneur&gt;X143-1,Statut&gt;Y143-1,Gloire&gt;Z143-1,AV143=TRUE),Voies!B143,"")</f>
        <v/>
      </c>
      <c r="B143" s="162" t="s">
        <v>2758</v>
      </c>
      <c r="C143" s="162" t="b">
        <f>IF(Clan=Voies!D143,TRUE,FALSE)</f>
        <v>0</v>
      </c>
      <c r="D143" s="388" t="s">
        <v>341</v>
      </c>
      <c r="E143" s="13">
        <v>1</v>
      </c>
      <c r="F143" s="199">
        <v>1</v>
      </c>
      <c r="G143" s="13" t="s">
        <v>2050</v>
      </c>
      <c r="H143" s="162" t="s">
        <v>266</v>
      </c>
      <c r="I143" s="129" t="str">
        <f t="shared" si="14"/>
        <v>Rien</v>
      </c>
      <c r="J143" s="146">
        <v>0</v>
      </c>
      <c r="K143" s="147">
        <v>0</v>
      </c>
      <c r="L143" s="148">
        <v>0</v>
      </c>
      <c r="M143" s="149">
        <v>0</v>
      </c>
      <c r="N143" s="150">
        <v>0</v>
      </c>
      <c r="O143" s="130">
        <v>0</v>
      </c>
      <c r="P143" s="130">
        <v>0</v>
      </c>
      <c r="Q143" s="130">
        <v>0</v>
      </c>
      <c r="R143" s="130">
        <v>0</v>
      </c>
      <c r="S143" s="130">
        <v>0</v>
      </c>
      <c r="T143" s="130">
        <v>0</v>
      </c>
      <c r="U143" s="130">
        <v>0</v>
      </c>
      <c r="V143" s="524">
        <v>0</v>
      </c>
      <c r="W143" s="130">
        <v>0</v>
      </c>
      <c r="X143" s="130">
        <v>0</v>
      </c>
      <c r="Y143" s="130">
        <v>0</v>
      </c>
      <c r="Z143" s="130">
        <v>0</v>
      </c>
      <c r="AA143" s="158" t="s">
        <v>2078</v>
      </c>
      <c r="AB143" s="158"/>
      <c r="AC143" s="158"/>
      <c r="AD143" s="158"/>
      <c r="AE143" s="158" t="b">
        <f>IF(AB143="",TRUE,IF(IF(AC143="",VLOOKUP(AB143,Calculs!$A$19:$S$425,19,FALSE),VLOOKUP(AC143,Calculs!$A$19:$S$425,19,FALSE))&gt;=AD143,TRUE,FALSE))</f>
        <v>1</v>
      </c>
      <c r="AF143" s="158"/>
      <c r="AG143" s="158"/>
      <c r="AH143" s="158"/>
      <c r="AI143" s="158" t="b">
        <f>IF(AF143="",TRUE,IF(IF(AG143="",VLOOKUP(AF143,Calculs!$A$19:$S$425,19,FALSE),VLOOKUP(AG143,Calculs!$A$19:$S$425,19,FALSE))&gt;=AH143,TRUE,FALSE))</f>
        <v>1</v>
      </c>
      <c r="AJ143" s="158"/>
      <c r="AK143" s="158"/>
      <c r="AL143" s="158"/>
      <c r="AM143" s="158" t="b">
        <f>IF(AJ143="",TRUE,IF(IF(AK143="",VLOOKUP(AJ143,Calculs!$A$19:$S$425,19,FALSE),VLOOKUP(AK143,Calculs!$A$19:$S$425,19,FALSE))&gt;=AL143,TRUE,FALSE))</f>
        <v>1</v>
      </c>
      <c r="AN143" s="158"/>
      <c r="AO143" s="158"/>
      <c r="AP143" s="158"/>
      <c r="AQ143" s="158" t="b">
        <f>IF(AN143="",TRUE,IF(IF(AO143="",VLOOKUP(AN143,Calculs!$A$19:$S$425,19,FALSE),VLOOKUP(AO143,Calculs!$A$19:$S$425,19,FALSE))&gt;=AP143,TRUE,FALSE))</f>
        <v>1</v>
      </c>
      <c r="AR143" s="158"/>
      <c r="AS143" s="158" t="b">
        <f>IF(AR143="",TRUE,IF(VLOOKUP(AR143,Calculs!$A$427:$G$738,7,FALSE)&gt;0,TRUE,FALSE))</f>
        <v>1</v>
      </c>
      <c r="AT143" s="158"/>
      <c r="AU143" s="158" t="b">
        <f>IF(AT143="",TRUE,IF(VLOOKUP(AT143,Calculs!$A$740:$G$912,7,FALSE)&gt;0,TRUE,FALSE))</f>
        <v>1</v>
      </c>
      <c r="AV143" s="158" t="b">
        <f t="shared" si="15"/>
        <v>1</v>
      </c>
      <c r="AW143" s="158" t="s">
        <v>2078</v>
      </c>
      <c r="AX143" s="162" t="s">
        <v>118</v>
      </c>
      <c r="AY143" s="15">
        <v>193</v>
      </c>
      <c r="AZ143" s="555" t="s">
        <v>2759</v>
      </c>
      <c r="BA143" s="559">
        <f>IF(Verso!$B$10=Voies!$B143,1,0)</f>
        <v>0</v>
      </c>
      <c r="BB143" s="12">
        <f>IF(Verso!$B$11=Voies!$B143,1,0)</f>
        <v>0</v>
      </c>
      <c r="BC143" s="12">
        <f>IF(Verso!$B$12=Voies!$B143,1,0)</f>
        <v>0</v>
      </c>
      <c r="BD143" s="12">
        <f>IF(Verso!$B$13=Voies!$B143,1,0)</f>
        <v>0</v>
      </c>
      <c r="BE143" s="12">
        <f>IF(Verso!$B$14=Voies!$B143,1,0)</f>
        <v>0</v>
      </c>
      <c r="BF143" s="12">
        <f>IF(Verso!$B$15=Voies!$B143,1,0)</f>
        <v>0</v>
      </c>
      <c r="BG143" s="12">
        <f>IF(Verso!$B$16=Voies!$B143,1,0)</f>
        <v>0</v>
      </c>
      <c r="BH143" s="12">
        <f>IF(Verso!$B$17=Voies!$B143,1,0)</f>
        <v>0</v>
      </c>
      <c r="BI143" s="557">
        <f t="shared" si="16"/>
        <v>0</v>
      </c>
      <c r="BJ143" s="196" t="str">
        <f t="shared" si="17"/>
        <v/>
      </c>
      <c r="BK143" s="196" t="str">
        <f t="shared" si="18"/>
        <v/>
      </c>
      <c r="BL143" s="295" t="str">
        <f t="shared" si="19"/>
        <v/>
      </c>
    </row>
    <row r="144" spans="1:65" ht="47.25" customHeight="1" x14ac:dyDescent="0.25">
      <c r="A144" s="162" t="str">
        <f>IF(AND(Réputation&gt;Voies!E144-1,OR(C144=TRUE,Calculs!$I$8&gt;0),Air&gt;Voies!J144-1,Eau&gt;Voies!K144-1,Feu&gt;Voies!L144-1,Terre&gt;Voies!M144-1,Vide&gt;Voies!N144-1,Constitution&gt;Voies!O144-1,Volonté&gt;Voies!P144-1,Force&gt;Voies!Q144-1,Perception&gt;Voies!R144-1,Reflexes&gt;Voies!S144-1,Agilité&gt;Voies!T144-1,Intuition&gt;Voies!U144-1,Intelligence&gt;Voies!V144-1,Souillure&gt;Voies!W144-1,Honneur&gt;X144-1,Statut&gt;Y144-1,Gloire&gt;Z144-1,AV144=TRUE),Voies!B144,"")</f>
        <v/>
      </c>
      <c r="B144" s="162" t="s">
        <v>2741</v>
      </c>
      <c r="C144" s="162" t="b">
        <f>IF(Clan=Voies!D144,TRUE,FALSE)</f>
        <v>0</v>
      </c>
      <c r="D144" s="388" t="s">
        <v>341</v>
      </c>
      <c r="E144" s="13">
        <v>1</v>
      </c>
      <c r="F144" s="199">
        <v>1</v>
      </c>
      <c r="G144" s="13" t="s">
        <v>2050</v>
      </c>
      <c r="H144" s="162" t="s">
        <v>1942</v>
      </c>
      <c r="I144" s="129" t="str">
        <f t="shared" si="14"/>
        <v>Rien</v>
      </c>
      <c r="J144" s="146">
        <v>0</v>
      </c>
      <c r="K144" s="147">
        <v>0</v>
      </c>
      <c r="L144" s="148">
        <v>0</v>
      </c>
      <c r="M144" s="149">
        <v>0</v>
      </c>
      <c r="N144" s="150">
        <v>0</v>
      </c>
      <c r="O144" s="130">
        <v>0</v>
      </c>
      <c r="P144" s="130">
        <v>0</v>
      </c>
      <c r="Q144" s="130">
        <v>0</v>
      </c>
      <c r="R144" s="130">
        <v>0</v>
      </c>
      <c r="S144" s="130">
        <v>0</v>
      </c>
      <c r="T144" s="130">
        <v>0</v>
      </c>
      <c r="U144" s="130">
        <v>0</v>
      </c>
      <c r="V144" s="524">
        <v>0</v>
      </c>
      <c r="W144" s="130">
        <v>0</v>
      </c>
      <c r="X144" s="130">
        <v>0</v>
      </c>
      <c r="Y144" s="130">
        <v>0</v>
      </c>
      <c r="Z144" s="130">
        <v>0</v>
      </c>
      <c r="AA144" s="158" t="s">
        <v>2078</v>
      </c>
      <c r="AB144" s="158"/>
      <c r="AC144" s="158"/>
      <c r="AD144" s="158"/>
      <c r="AE144" s="158" t="b">
        <f>IF(AB144="",TRUE,IF(IF(AC144="",VLOOKUP(AB144,Calculs!$A$19:$S$425,19,FALSE),VLOOKUP(AC144,Calculs!$A$19:$S$425,19,FALSE))&gt;=AD144,TRUE,FALSE))</f>
        <v>1</v>
      </c>
      <c r="AF144" s="158"/>
      <c r="AG144" s="158"/>
      <c r="AH144" s="158"/>
      <c r="AI144" s="158" t="b">
        <f>IF(AF144="",TRUE,IF(IF(AG144="",VLOOKUP(AF144,Calculs!$A$19:$S$425,19,FALSE),VLOOKUP(AG144,Calculs!$A$19:$S$425,19,FALSE))&gt;=AH144,TRUE,FALSE))</f>
        <v>1</v>
      </c>
      <c r="AJ144" s="158"/>
      <c r="AK144" s="158"/>
      <c r="AL144" s="158"/>
      <c r="AM144" s="158" t="b">
        <f>IF(AJ144="",TRUE,IF(IF(AK144="",VLOOKUP(AJ144,Calculs!$A$19:$S$425,19,FALSE),VLOOKUP(AK144,Calculs!$A$19:$S$425,19,FALSE))&gt;=AL144,TRUE,FALSE))</f>
        <v>1</v>
      </c>
      <c r="AN144" s="158"/>
      <c r="AO144" s="158"/>
      <c r="AP144" s="158"/>
      <c r="AQ144" s="158" t="b">
        <f>IF(AN144="",TRUE,IF(IF(AO144="",VLOOKUP(AN144,Calculs!$A$19:$S$425,19,FALSE),VLOOKUP(AO144,Calculs!$A$19:$S$425,19,FALSE))&gt;=AP144,TRUE,FALSE))</f>
        <v>1</v>
      </c>
      <c r="AR144" s="158"/>
      <c r="AS144" s="158" t="b">
        <f>IF(AR144="",TRUE,IF(VLOOKUP(AR144,Calculs!$A$427:$G$738,7,FALSE)&gt;0,TRUE,FALSE))</f>
        <v>1</v>
      </c>
      <c r="AT144" s="158"/>
      <c r="AU144" s="158" t="b">
        <f>IF(AT144="",TRUE,IF(VLOOKUP(AT144,Calculs!$A$740:$G$912,7,FALSE)&gt;0,TRUE,FALSE))</f>
        <v>1</v>
      </c>
      <c r="AV144" s="158" t="b">
        <f t="shared" si="15"/>
        <v>1</v>
      </c>
      <c r="AW144" s="158" t="s">
        <v>2078</v>
      </c>
      <c r="AX144" s="162" t="s">
        <v>2076</v>
      </c>
      <c r="AY144" s="15">
        <v>287</v>
      </c>
      <c r="AZ144" s="555" t="s">
        <v>2740</v>
      </c>
      <c r="BA144" s="559">
        <f>IF(Verso!$B$10=Voies!$B144,1,0)</f>
        <v>0</v>
      </c>
      <c r="BB144" s="12">
        <f>IF(Verso!$B$11=Voies!$B144,1,0)</f>
        <v>0</v>
      </c>
      <c r="BC144" s="12">
        <f>IF(Verso!$B$12=Voies!$B144,1,0)</f>
        <v>0</v>
      </c>
      <c r="BD144" s="12">
        <f>IF(Verso!$B$13=Voies!$B144,1,0)</f>
        <v>0</v>
      </c>
      <c r="BE144" s="12">
        <f>IF(Verso!$B$14=Voies!$B144,1,0)</f>
        <v>0</v>
      </c>
      <c r="BF144" s="12">
        <f>IF(Verso!$B$15=Voies!$B144,1,0)</f>
        <v>0</v>
      </c>
      <c r="BG144" s="12">
        <f>IF(Verso!$B$16=Voies!$B144,1,0)</f>
        <v>0</v>
      </c>
      <c r="BH144" s="12">
        <f>IF(Verso!$B$17=Voies!$B144,1,0)</f>
        <v>0</v>
      </c>
      <c r="BI144" s="557">
        <f t="shared" si="16"/>
        <v>0</v>
      </c>
      <c r="BJ144" s="196" t="str">
        <f t="shared" si="17"/>
        <v/>
      </c>
      <c r="BK144" s="196" t="str">
        <f t="shared" si="18"/>
        <v/>
      </c>
      <c r="BL144" s="295" t="str">
        <f t="shared" si="19"/>
        <v/>
      </c>
    </row>
    <row r="145" spans="1:65" ht="47.25" customHeight="1" x14ac:dyDescent="0.25">
      <c r="A145" s="162" t="str">
        <f>IF(AND(Réputation&gt;Voies!E145-1,OR(C145=TRUE,Calculs!$I$8&gt;0),Air&gt;Voies!J145-1,Eau&gt;Voies!K145-1,Feu&gt;Voies!L145-1,Terre&gt;Voies!M145-1,Vide&gt;Voies!N145-1,Constitution&gt;Voies!O145-1,Volonté&gt;Voies!P145-1,Force&gt;Voies!Q145-1,Perception&gt;Voies!R145-1,Reflexes&gt;Voies!S145-1,Agilité&gt;Voies!T145-1,Intuition&gt;Voies!U145-1,Intelligence&gt;Voies!V145-1,Souillure&gt;Voies!W145-1,Honneur&gt;X145-1,Statut&gt;Y145-1,Gloire&gt;Z145-1,AV145=TRUE),Voies!B145,"")</f>
        <v/>
      </c>
      <c r="B145" s="162" t="s">
        <v>2742</v>
      </c>
      <c r="C145" s="162" t="b">
        <f>IF(Clan=Voies!D145,TRUE,FALSE)</f>
        <v>0</v>
      </c>
      <c r="D145" s="388" t="s">
        <v>341</v>
      </c>
      <c r="E145" s="13">
        <v>1</v>
      </c>
      <c r="F145" s="199">
        <v>1</v>
      </c>
      <c r="G145" s="13" t="s">
        <v>2050</v>
      </c>
      <c r="H145" s="162" t="s">
        <v>1943</v>
      </c>
      <c r="I145" s="129" t="str">
        <f t="shared" si="14"/>
        <v>Rien</v>
      </c>
      <c r="J145" s="146">
        <v>0</v>
      </c>
      <c r="K145" s="147">
        <v>0</v>
      </c>
      <c r="L145" s="148">
        <v>0</v>
      </c>
      <c r="M145" s="149">
        <v>0</v>
      </c>
      <c r="N145" s="150">
        <v>0</v>
      </c>
      <c r="O145" s="130">
        <v>0</v>
      </c>
      <c r="P145" s="130">
        <v>0</v>
      </c>
      <c r="Q145" s="130">
        <v>0</v>
      </c>
      <c r="R145" s="130">
        <v>0</v>
      </c>
      <c r="S145" s="130">
        <v>0</v>
      </c>
      <c r="T145" s="130">
        <v>0</v>
      </c>
      <c r="U145" s="130">
        <v>0</v>
      </c>
      <c r="V145" s="524">
        <v>0</v>
      </c>
      <c r="W145" s="130">
        <v>0</v>
      </c>
      <c r="X145" s="130">
        <v>0</v>
      </c>
      <c r="Y145" s="130">
        <v>0</v>
      </c>
      <c r="Z145" s="130">
        <v>0</v>
      </c>
      <c r="AA145" s="158" t="s">
        <v>2078</v>
      </c>
      <c r="AB145" s="158"/>
      <c r="AC145" s="158"/>
      <c r="AD145" s="158"/>
      <c r="AE145" s="158" t="b">
        <f>IF(AB145="",TRUE,IF(IF(AC145="",VLOOKUP(AB145,Calculs!$A$19:$S$425,19,FALSE),VLOOKUP(AC145,Calculs!$A$19:$S$425,19,FALSE))&gt;=AD145,TRUE,FALSE))</f>
        <v>1</v>
      </c>
      <c r="AF145" s="158"/>
      <c r="AG145" s="158"/>
      <c r="AH145" s="158"/>
      <c r="AI145" s="158" t="b">
        <f>IF(AF145="",TRUE,IF(IF(AG145="",VLOOKUP(AF145,Calculs!$A$19:$S$425,19,FALSE),VLOOKUP(AG145,Calculs!$A$19:$S$425,19,FALSE))&gt;=AH145,TRUE,FALSE))</f>
        <v>1</v>
      </c>
      <c r="AJ145" s="158"/>
      <c r="AK145" s="158"/>
      <c r="AL145" s="158"/>
      <c r="AM145" s="158" t="b">
        <f>IF(AJ145="",TRUE,IF(IF(AK145="",VLOOKUP(AJ145,Calculs!$A$19:$S$425,19,FALSE),VLOOKUP(AK145,Calculs!$A$19:$S$425,19,FALSE))&gt;=AL145,TRUE,FALSE))</f>
        <v>1</v>
      </c>
      <c r="AN145" s="158"/>
      <c r="AO145" s="158"/>
      <c r="AP145" s="158"/>
      <c r="AQ145" s="158" t="b">
        <f>IF(AN145="",TRUE,IF(IF(AO145="",VLOOKUP(AN145,Calculs!$A$19:$S$425,19,FALSE),VLOOKUP(AO145,Calculs!$A$19:$S$425,19,FALSE))&gt;=AP145,TRUE,FALSE))</f>
        <v>1</v>
      </c>
      <c r="AR145" s="158"/>
      <c r="AS145" s="158" t="b">
        <f>IF(AR145="",TRUE,IF(VLOOKUP(AR145,Calculs!$A$427:$G$738,7,FALSE)&gt;0,TRUE,FALSE))</f>
        <v>1</v>
      </c>
      <c r="AT145" s="158"/>
      <c r="AU145" s="158" t="b">
        <f>IF(AT145="",TRUE,IF(VLOOKUP(AT145,Calculs!$A$740:$G$912,7,FALSE)&gt;0,TRUE,FALSE))</f>
        <v>1</v>
      </c>
      <c r="AV145" s="158" t="b">
        <f t="shared" si="15"/>
        <v>1</v>
      </c>
      <c r="AW145" s="158" t="s">
        <v>2078</v>
      </c>
      <c r="AX145" s="162" t="s">
        <v>2076</v>
      </c>
      <c r="AY145" s="15">
        <v>287</v>
      </c>
      <c r="AZ145" s="555" t="s">
        <v>2740</v>
      </c>
      <c r="BA145" s="559">
        <f>IF(Verso!$B$10=Voies!$B145,1,0)</f>
        <v>0</v>
      </c>
      <c r="BB145" s="12">
        <f>IF(Verso!$B$11=Voies!$B145,1,0)</f>
        <v>0</v>
      </c>
      <c r="BC145" s="12">
        <f>IF(Verso!$B$12=Voies!$B145,1,0)</f>
        <v>0</v>
      </c>
      <c r="BD145" s="12">
        <f>IF(Verso!$B$13=Voies!$B145,1,0)</f>
        <v>0</v>
      </c>
      <c r="BE145" s="12">
        <f>IF(Verso!$B$14=Voies!$B145,1,0)</f>
        <v>0</v>
      </c>
      <c r="BF145" s="12">
        <f>IF(Verso!$B$15=Voies!$B145,1,0)</f>
        <v>0</v>
      </c>
      <c r="BG145" s="12">
        <f>IF(Verso!$B$16=Voies!$B145,1,0)</f>
        <v>0</v>
      </c>
      <c r="BH145" s="12">
        <f>IF(Verso!$B$17=Voies!$B145,1,0)</f>
        <v>0</v>
      </c>
      <c r="BI145" s="557">
        <f t="shared" si="16"/>
        <v>0</v>
      </c>
      <c r="BJ145" s="196" t="str">
        <f t="shared" si="17"/>
        <v/>
      </c>
      <c r="BK145" s="196" t="str">
        <f t="shared" si="18"/>
        <v/>
      </c>
      <c r="BL145" s="295" t="str">
        <f t="shared" si="19"/>
        <v/>
      </c>
    </row>
    <row r="146" spans="1:65" ht="47.25" customHeight="1" x14ac:dyDescent="0.25">
      <c r="A146" s="162" t="str">
        <f>IF(AND(Réputation&gt;Voies!E146-1,OR(C146=TRUE,Calculs!$I$8&gt;0),Air&gt;Voies!J146-1,Eau&gt;Voies!K146-1,Feu&gt;Voies!L146-1,Terre&gt;Voies!M146-1,Vide&gt;Voies!N146-1,Constitution&gt;Voies!O146-1,Volonté&gt;Voies!P146-1,Force&gt;Voies!Q146-1,Perception&gt;Voies!R146-1,Reflexes&gt;Voies!S146-1,Agilité&gt;Voies!T146-1,Intuition&gt;Voies!U146-1,Intelligence&gt;Voies!V146-1,Souillure&gt;Voies!W146-1,Honneur&gt;X146-1,Statut&gt;Y146-1,Gloire&gt;Z146-1,AV146=TRUE),Voies!B146,"")</f>
        <v/>
      </c>
      <c r="B146" s="162" t="s">
        <v>4812</v>
      </c>
      <c r="C146" s="162" t="b">
        <f>IF(Clan=Voies!D146,TRUE,FALSE)</f>
        <v>0</v>
      </c>
      <c r="D146" s="388" t="s">
        <v>341</v>
      </c>
      <c r="E146" s="13">
        <v>1</v>
      </c>
      <c r="F146" s="199">
        <v>1</v>
      </c>
      <c r="G146" s="13" t="s">
        <v>2050</v>
      </c>
      <c r="H146" s="162" t="s">
        <v>258</v>
      </c>
      <c r="I146" s="129" t="str">
        <f t="shared" si="14"/>
        <v>Rien</v>
      </c>
      <c r="J146" s="146">
        <v>0</v>
      </c>
      <c r="K146" s="147">
        <v>0</v>
      </c>
      <c r="L146" s="148">
        <v>0</v>
      </c>
      <c r="M146" s="149">
        <v>0</v>
      </c>
      <c r="N146" s="150">
        <v>0</v>
      </c>
      <c r="O146" s="130">
        <v>0</v>
      </c>
      <c r="P146" s="130">
        <v>0</v>
      </c>
      <c r="Q146" s="130">
        <v>0</v>
      </c>
      <c r="R146" s="130">
        <v>0</v>
      </c>
      <c r="S146" s="130">
        <v>0</v>
      </c>
      <c r="T146" s="130">
        <v>0</v>
      </c>
      <c r="U146" s="130">
        <v>0</v>
      </c>
      <c r="V146" s="524">
        <v>0</v>
      </c>
      <c r="W146" s="130">
        <v>0</v>
      </c>
      <c r="X146" s="130">
        <v>0</v>
      </c>
      <c r="Y146" s="130">
        <v>0</v>
      </c>
      <c r="Z146" s="130">
        <v>0</v>
      </c>
      <c r="AA146" s="158" t="s">
        <v>2078</v>
      </c>
      <c r="AB146" s="158"/>
      <c r="AC146" s="158"/>
      <c r="AD146" s="158"/>
      <c r="AE146" s="158" t="b">
        <f>IF(AB146="",TRUE,IF(IF(AC146="",VLOOKUP(AB146,Calculs!$A$19:$S$425,19,FALSE),VLOOKUP(AC146,Calculs!$A$19:$S$425,19,FALSE))&gt;=AD146,TRUE,FALSE))</f>
        <v>1</v>
      </c>
      <c r="AF146" s="158"/>
      <c r="AG146" s="158"/>
      <c r="AH146" s="158"/>
      <c r="AI146" s="158" t="b">
        <f>IF(AF146="",TRUE,IF(IF(AG146="",VLOOKUP(AF146,Calculs!$A$19:$S$425,19,FALSE),VLOOKUP(AG146,Calculs!$A$19:$S$425,19,FALSE))&gt;=AH146,TRUE,FALSE))</f>
        <v>1</v>
      </c>
      <c r="AJ146" s="158"/>
      <c r="AK146" s="158"/>
      <c r="AL146" s="158"/>
      <c r="AM146" s="158" t="b">
        <f>IF(AJ146="",TRUE,IF(IF(AK146="",VLOOKUP(AJ146,Calculs!$A$19:$S$425,19,FALSE),VLOOKUP(AK146,Calculs!$A$19:$S$425,19,FALSE))&gt;=AL146,TRUE,FALSE))</f>
        <v>1</v>
      </c>
      <c r="AN146" s="158"/>
      <c r="AO146" s="158"/>
      <c r="AP146" s="158"/>
      <c r="AQ146" s="158" t="b">
        <f>IF(AN146="",TRUE,IF(IF(AO146="",VLOOKUP(AN146,Calculs!$A$19:$S$425,19,FALSE),VLOOKUP(AO146,Calculs!$A$19:$S$425,19,FALSE))&gt;=AP146,TRUE,FALSE))</f>
        <v>1</v>
      </c>
      <c r="AR146" s="158"/>
      <c r="AS146" s="158" t="b">
        <f>IF(AR146="",TRUE,IF(VLOOKUP(AR146,Calculs!$A$427:$G$738,7,FALSE)&gt;0,TRUE,FALSE))</f>
        <v>1</v>
      </c>
      <c r="AT146" s="158"/>
      <c r="AU146" s="158" t="b">
        <f>IF(AT146="",TRUE,IF(VLOOKUP(AT146,Calculs!$A$740:$G$912,7,FALSE)&gt;0,TRUE,FALSE))</f>
        <v>1</v>
      </c>
      <c r="AV146" s="158" t="b">
        <f t="shared" si="15"/>
        <v>1</v>
      </c>
      <c r="AW146" s="158" t="s">
        <v>2078</v>
      </c>
      <c r="AX146" s="162" t="s">
        <v>5202</v>
      </c>
      <c r="AY146" s="15">
        <v>206</v>
      </c>
      <c r="AZ146" s="555" t="s">
        <v>8495</v>
      </c>
      <c r="BA146" s="559">
        <f>IF(Verso!$B$10=Voies!$B146,1,0)</f>
        <v>0</v>
      </c>
      <c r="BB146" s="12">
        <f>IF(Verso!$B$11=Voies!$B146,1,0)</f>
        <v>0</v>
      </c>
      <c r="BC146" s="12">
        <f>IF(Verso!$B$12=Voies!$B146,1,0)</f>
        <v>0</v>
      </c>
      <c r="BD146" s="12">
        <f>IF(Verso!$B$13=Voies!$B146,1,0)</f>
        <v>0</v>
      </c>
      <c r="BE146" s="12">
        <f>IF(Verso!$B$14=Voies!$B146,1,0)</f>
        <v>0</v>
      </c>
      <c r="BF146" s="12">
        <f>IF(Verso!$B$15=Voies!$B146,1,0)</f>
        <v>0</v>
      </c>
      <c r="BG146" s="12">
        <f>IF(Verso!$B$16=Voies!$B146,1,0)</f>
        <v>0</v>
      </c>
      <c r="BH146" s="12">
        <f>IF(Verso!$B$17=Voies!$B146,1,0)</f>
        <v>0</v>
      </c>
      <c r="BI146" s="557">
        <f t="shared" si="16"/>
        <v>0</v>
      </c>
      <c r="BJ146" s="196" t="str">
        <f t="shared" si="17"/>
        <v/>
      </c>
      <c r="BK146" s="196" t="str">
        <f t="shared" si="18"/>
        <v/>
      </c>
      <c r="BL146" s="295" t="str">
        <f t="shared" si="19"/>
        <v/>
      </c>
    </row>
    <row r="147" spans="1:65" ht="47.25" customHeight="1" x14ac:dyDescent="0.25">
      <c r="A147" s="162" t="str">
        <f>IF(AND(Réputation&gt;Voies!E147-1,OR(C147=TRUE,Calculs!$I$8&gt;0),Air&gt;Voies!J147-1,Eau&gt;Voies!K147-1,Feu&gt;Voies!L147-1,Terre&gt;Voies!M147-1,Vide&gt;Voies!N147-1,Constitution&gt;Voies!O147-1,Volonté&gt;Voies!P147-1,Force&gt;Voies!Q147-1,Perception&gt;Voies!R147-1,Reflexes&gt;Voies!S147-1,Agilité&gt;Voies!T147-1,Intuition&gt;Voies!U147-1,Intelligence&gt;Voies!V147-1,Souillure&gt;Voies!W147-1,Honneur&gt;X147-1,Statut&gt;Y147-1,Gloire&gt;Z147-1,AV147=TRUE),Voies!B147,"")</f>
        <v/>
      </c>
      <c r="B147" s="162" t="s">
        <v>2776</v>
      </c>
      <c r="C147" s="162" t="b">
        <f>IF(Clan=Voies!D147,TRUE,FALSE)</f>
        <v>0</v>
      </c>
      <c r="D147" s="388" t="s">
        <v>341</v>
      </c>
      <c r="E147" s="13">
        <v>1</v>
      </c>
      <c r="F147" s="199">
        <v>1</v>
      </c>
      <c r="G147" s="13" t="s">
        <v>2050</v>
      </c>
      <c r="H147" s="162" t="s">
        <v>259</v>
      </c>
      <c r="I147" s="129" t="str">
        <f t="shared" si="14"/>
        <v>Rien</v>
      </c>
      <c r="J147" s="146">
        <v>0</v>
      </c>
      <c r="K147" s="147">
        <v>0</v>
      </c>
      <c r="L147" s="148">
        <v>0</v>
      </c>
      <c r="M147" s="149">
        <v>0</v>
      </c>
      <c r="N147" s="150">
        <v>0</v>
      </c>
      <c r="O147" s="130">
        <v>0</v>
      </c>
      <c r="P147" s="130">
        <v>0</v>
      </c>
      <c r="Q147" s="130">
        <v>0</v>
      </c>
      <c r="R147" s="130">
        <v>0</v>
      </c>
      <c r="S147" s="130">
        <v>0</v>
      </c>
      <c r="T147" s="130">
        <v>0</v>
      </c>
      <c r="U147" s="130">
        <v>0</v>
      </c>
      <c r="V147" s="524">
        <v>0</v>
      </c>
      <c r="W147" s="130">
        <v>0</v>
      </c>
      <c r="X147" s="130">
        <v>0</v>
      </c>
      <c r="Y147" s="130">
        <v>0</v>
      </c>
      <c r="Z147" s="130">
        <v>0</v>
      </c>
      <c r="AA147" s="158" t="s">
        <v>2078</v>
      </c>
      <c r="AB147" s="158"/>
      <c r="AC147" s="158"/>
      <c r="AD147" s="158"/>
      <c r="AE147" s="158" t="b">
        <f>IF(AB147="",TRUE,IF(IF(AC147="",VLOOKUP(AB147,Calculs!$A$19:$S$425,19,FALSE),VLOOKUP(AC147,Calculs!$A$19:$S$425,19,FALSE))&gt;=AD147,TRUE,FALSE))</f>
        <v>1</v>
      </c>
      <c r="AF147" s="158"/>
      <c r="AG147" s="158"/>
      <c r="AH147" s="158"/>
      <c r="AI147" s="158" t="b">
        <f>IF(AF147="",TRUE,IF(IF(AG147="",VLOOKUP(AF147,Calculs!$A$19:$S$425,19,FALSE),VLOOKUP(AG147,Calculs!$A$19:$S$425,19,FALSE))&gt;=AH147,TRUE,FALSE))</f>
        <v>1</v>
      </c>
      <c r="AJ147" s="158"/>
      <c r="AK147" s="158"/>
      <c r="AL147" s="158"/>
      <c r="AM147" s="158" t="b">
        <f>IF(AJ147="",TRUE,IF(IF(AK147="",VLOOKUP(AJ147,Calculs!$A$19:$S$425,19,FALSE),VLOOKUP(AK147,Calculs!$A$19:$S$425,19,FALSE))&gt;=AL147,TRUE,FALSE))</f>
        <v>1</v>
      </c>
      <c r="AN147" s="158"/>
      <c r="AO147" s="158"/>
      <c r="AP147" s="158"/>
      <c r="AQ147" s="158" t="b">
        <f>IF(AN147="",TRUE,IF(IF(AO147="",VLOOKUP(AN147,Calculs!$A$19:$S$425,19,FALSE),VLOOKUP(AO147,Calculs!$A$19:$S$425,19,FALSE))&gt;=AP147,TRUE,FALSE))</f>
        <v>1</v>
      </c>
      <c r="AR147" s="158"/>
      <c r="AS147" s="158" t="b">
        <f>IF(AR147="",TRUE,IF(VLOOKUP(AR147,Calculs!$A$427:$G$738,7,FALSE)&gt;0,TRUE,FALSE))</f>
        <v>1</v>
      </c>
      <c r="AT147" s="158"/>
      <c r="AU147" s="158" t="b">
        <f>IF(AT147="",TRUE,IF(VLOOKUP(AT147,Calculs!$A$740:$G$912,7,FALSE)&gt;0,TRUE,FALSE))</f>
        <v>1</v>
      </c>
      <c r="AV147" s="158" t="b">
        <f t="shared" si="15"/>
        <v>1</v>
      </c>
      <c r="AW147" s="158" t="s">
        <v>2078</v>
      </c>
      <c r="AX147" s="162" t="s">
        <v>160</v>
      </c>
      <c r="AY147" s="15">
        <v>191</v>
      </c>
      <c r="AZ147" s="555" t="s">
        <v>2779</v>
      </c>
      <c r="BA147" s="559">
        <f>IF(Verso!$B$10=Voies!$B147,1,0)</f>
        <v>0</v>
      </c>
      <c r="BB147" s="12">
        <f>IF(Verso!$B$11=Voies!$B147,1,0)</f>
        <v>0</v>
      </c>
      <c r="BC147" s="12">
        <f>IF(Verso!$B$12=Voies!$B147,1,0)</f>
        <v>0</v>
      </c>
      <c r="BD147" s="12">
        <f>IF(Verso!$B$13=Voies!$B147,1,0)</f>
        <v>0</v>
      </c>
      <c r="BE147" s="12">
        <f>IF(Verso!$B$14=Voies!$B147,1,0)</f>
        <v>0</v>
      </c>
      <c r="BF147" s="12">
        <f>IF(Verso!$B$15=Voies!$B147,1,0)</f>
        <v>0</v>
      </c>
      <c r="BG147" s="12">
        <f>IF(Verso!$B$16=Voies!$B147,1,0)</f>
        <v>0</v>
      </c>
      <c r="BH147" s="12">
        <f>IF(Verso!$B$17=Voies!$B147,1,0)</f>
        <v>0</v>
      </c>
      <c r="BI147" s="557">
        <f t="shared" si="16"/>
        <v>0</v>
      </c>
      <c r="BJ147" s="196" t="str">
        <f t="shared" si="17"/>
        <v/>
      </c>
      <c r="BK147" s="196" t="str">
        <f t="shared" si="18"/>
        <v/>
      </c>
      <c r="BL147" s="295" t="str">
        <f t="shared" si="19"/>
        <v/>
      </c>
    </row>
    <row r="148" spans="1:65" ht="47.25" customHeight="1" x14ac:dyDescent="0.25">
      <c r="A148" s="162" t="str">
        <f>IF(AND(Réputation&gt;Voies!E148-1,OR(C148=TRUE,Calculs!$I$8&gt;0),Air&gt;Voies!J148-1,Eau&gt;Voies!K148-1,Feu&gt;Voies!L148-1,Terre&gt;Voies!M148-1,Vide&gt;Voies!N148-1,Constitution&gt;Voies!O148-1,Volonté&gt;Voies!P148-1,Force&gt;Voies!Q148-1,Perception&gt;Voies!R148-1,Reflexes&gt;Voies!S148-1,Agilité&gt;Voies!T148-1,Intuition&gt;Voies!U148-1,Intelligence&gt;Voies!V148-1,Souillure&gt;Voies!W148-1,Honneur&gt;X148-1,Statut&gt;Y148-1,Gloire&gt;Z148-1,AV148=TRUE),Voies!B148,"")</f>
        <v/>
      </c>
      <c r="B148" s="162" t="s">
        <v>2328</v>
      </c>
      <c r="C148" s="162" t="b">
        <f>IF(Clan=Voies!D148,TRUE,FALSE)</f>
        <v>0</v>
      </c>
      <c r="D148" s="388" t="s">
        <v>341</v>
      </c>
      <c r="E148" s="13">
        <v>1</v>
      </c>
      <c r="F148" s="199">
        <v>1</v>
      </c>
      <c r="G148" s="13" t="s">
        <v>2050</v>
      </c>
      <c r="H148" s="162" t="s">
        <v>267</v>
      </c>
      <c r="I148" s="129" t="str">
        <f t="shared" si="14"/>
        <v>Rien</v>
      </c>
      <c r="J148" s="146">
        <v>0</v>
      </c>
      <c r="K148" s="147">
        <v>0</v>
      </c>
      <c r="L148" s="148">
        <v>0</v>
      </c>
      <c r="M148" s="149">
        <v>0</v>
      </c>
      <c r="N148" s="150">
        <v>0</v>
      </c>
      <c r="O148" s="130">
        <v>0</v>
      </c>
      <c r="P148" s="130">
        <v>0</v>
      </c>
      <c r="Q148" s="130">
        <v>0</v>
      </c>
      <c r="R148" s="130">
        <v>0</v>
      </c>
      <c r="S148" s="130">
        <v>0</v>
      </c>
      <c r="T148" s="130">
        <v>0</v>
      </c>
      <c r="U148" s="130">
        <v>0</v>
      </c>
      <c r="V148" s="524">
        <v>0</v>
      </c>
      <c r="W148" s="130">
        <v>0</v>
      </c>
      <c r="X148" s="130">
        <v>0</v>
      </c>
      <c r="Y148" s="130">
        <v>0</v>
      </c>
      <c r="Z148" s="130">
        <v>0</v>
      </c>
      <c r="AA148" s="158" t="s">
        <v>2078</v>
      </c>
      <c r="AB148" s="158"/>
      <c r="AC148" s="158"/>
      <c r="AD148" s="158"/>
      <c r="AE148" s="158" t="b">
        <f>IF(AB148="",TRUE,IF(IF(AC148="",VLOOKUP(AB148,Calculs!$A$19:$S$425,19,FALSE),VLOOKUP(AC148,Calculs!$A$19:$S$425,19,FALSE))&gt;=AD148,TRUE,FALSE))</f>
        <v>1</v>
      </c>
      <c r="AF148" s="158"/>
      <c r="AG148" s="158"/>
      <c r="AH148" s="158"/>
      <c r="AI148" s="158" t="b">
        <f>IF(AF148="",TRUE,IF(IF(AG148="",VLOOKUP(AF148,Calculs!$A$19:$S$425,19,FALSE),VLOOKUP(AG148,Calculs!$A$19:$S$425,19,FALSE))&gt;=AH148,TRUE,FALSE))</f>
        <v>1</v>
      </c>
      <c r="AJ148" s="158"/>
      <c r="AK148" s="158"/>
      <c r="AL148" s="158"/>
      <c r="AM148" s="158" t="b">
        <f>IF(AJ148="",TRUE,IF(IF(AK148="",VLOOKUP(AJ148,Calculs!$A$19:$S$425,19,FALSE),VLOOKUP(AK148,Calculs!$A$19:$S$425,19,FALSE))&gt;=AL148,TRUE,FALSE))</f>
        <v>1</v>
      </c>
      <c r="AN148" s="158"/>
      <c r="AO148" s="158"/>
      <c r="AP148" s="158"/>
      <c r="AQ148" s="158" t="b">
        <f>IF(AN148="",TRUE,IF(IF(AO148="",VLOOKUP(AN148,Calculs!$A$19:$S$425,19,FALSE),VLOOKUP(AO148,Calculs!$A$19:$S$425,19,FALSE))&gt;=AP148,TRUE,FALSE))</f>
        <v>1</v>
      </c>
      <c r="AR148" s="158"/>
      <c r="AS148" s="158" t="b">
        <f>IF(AR148="",TRUE,IF(VLOOKUP(AR148,Calculs!$A$427:$G$738,7,FALSE)&gt;0,TRUE,FALSE))</f>
        <v>1</v>
      </c>
      <c r="AT148" s="158"/>
      <c r="AU148" s="158" t="b">
        <f>IF(AT148="",TRUE,IF(VLOOKUP(AT148,Calculs!$A$740:$G$912,7,FALSE)&gt;0,TRUE,FALSE))</f>
        <v>1</v>
      </c>
      <c r="AV148" s="158" t="b">
        <f t="shared" si="15"/>
        <v>1</v>
      </c>
      <c r="AW148" s="158" t="s">
        <v>2078</v>
      </c>
      <c r="AX148" s="162" t="s">
        <v>143</v>
      </c>
      <c r="AY148" s="15">
        <v>232</v>
      </c>
      <c r="AZ148" s="555" t="s">
        <v>2329</v>
      </c>
      <c r="BA148" s="559">
        <f>IF(Verso!$B$10=Voies!$B148,1,0)</f>
        <v>0</v>
      </c>
      <c r="BB148" s="12">
        <f>IF(Verso!$B$11=Voies!$B148,1,0)</f>
        <v>0</v>
      </c>
      <c r="BC148" s="12">
        <f>IF(Verso!$B$12=Voies!$B148,1,0)</f>
        <v>0</v>
      </c>
      <c r="BD148" s="12">
        <f>IF(Verso!$B$13=Voies!$B148,1,0)</f>
        <v>0</v>
      </c>
      <c r="BE148" s="12">
        <f>IF(Verso!$B$14=Voies!$B148,1,0)</f>
        <v>0</v>
      </c>
      <c r="BF148" s="12">
        <f>IF(Verso!$B$15=Voies!$B148,1,0)</f>
        <v>0</v>
      </c>
      <c r="BG148" s="12">
        <f>IF(Verso!$B$16=Voies!$B148,1,0)</f>
        <v>0</v>
      </c>
      <c r="BH148" s="12">
        <f>IF(Verso!$B$17=Voies!$B148,1,0)</f>
        <v>0</v>
      </c>
      <c r="BI148" s="557">
        <f t="shared" si="16"/>
        <v>0</v>
      </c>
      <c r="BJ148" s="196" t="str">
        <f t="shared" si="17"/>
        <v/>
      </c>
      <c r="BK148" s="196" t="str">
        <f t="shared" si="18"/>
        <v/>
      </c>
      <c r="BL148" s="295" t="str">
        <f t="shared" si="19"/>
        <v/>
      </c>
    </row>
    <row r="149" spans="1:65" s="196" customFormat="1" ht="47.25" customHeight="1" x14ac:dyDescent="0.25">
      <c r="A149" s="162" t="str">
        <f>IF(AND(Réputation&gt;Voies!E149-1,OR(C149=TRUE,Calculs!$I$8&gt;0),Air&gt;Voies!J149-1,Eau&gt;Voies!K149-1,Feu&gt;Voies!L149-1,Terre&gt;Voies!M149-1,Vide&gt;Voies!N149-1,Constitution&gt;Voies!O149-1,Volonté&gt;Voies!P149-1,Force&gt;Voies!Q149-1,Perception&gt;Voies!R149-1,Reflexes&gt;Voies!S149-1,Agilité&gt;Voies!T149-1,Intuition&gt;Voies!U149-1,Intelligence&gt;Voies!V149-1,Souillure&gt;Voies!W149-1,Honneur&gt;X149-1,Statut&gt;Y149-1,Gloire&gt;Z149-1,AV149=TRUE),Voies!B149,"")</f>
        <v/>
      </c>
      <c r="B149" s="162" t="s">
        <v>7044</v>
      </c>
      <c r="C149" s="162" t="b">
        <f>IF(Clan=Voies!D149,TRUE,FALSE)</f>
        <v>0</v>
      </c>
      <c r="D149" s="388" t="s">
        <v>341</v>
      </c>
      <c r="E149" s="199">
        <v>1</v>
      </c>
      <c r="F149" s="199">
        <v>1</v>
      </c>
      <c r="G149" s="199" t="s">
        <v>2050</v>
      </c>
      <c r="H149" s="162" t="s">
        <v>7033</v>
      </c>
      <c r="I149" s="129" t="str">
        <f t="shared" si="14"/>
        <v>Rien</v>
      </c>
      <c r="J149" s="146">
        <v>0</v>
      </c>
      <c r="K149" s="147">
        <v>0</v>
      </c>
      <c r="L149" s="148">
        <v>0</v>
      </c>
      <c r="M149" s="149">
        <v>0</v>
      </c>
      <c r="N149" s="150">
        <v>0</v>
      </c>
      <c r="O149" s="130">
        <v>0</v>
      </c>
      <c r="P149" s="130">
        <v>0</v>
      </c>
      <c r="Q149" s="130">
        <v>0</v>
      </c>
      <c r="R149" s="130">
        <v>0</v>
      </c>
      <c r="S149" s="130">
        <v>0</v>
      </c>
      <c r="T149" s="130">
        <v>0</v>
      </c>
      <c r="U149" s="130">
        <v>0</v>
      </c>
      <c r="V149" s="524">
        <v>0</v>
      </c>
      <c r="W149" s="130">
        <v>0</v>
      </c>
      <c r="X149" s="130">
        <v>0</v>
      </c>
      <c r="Y149" s="130">
        <v>0</v>
      </c>
      <c r="Z149" s="130">
        <v>0</v>
      </c>
      <c r="AA149" s="158" t="s">
        <v>2078</v>
      </c>
      <c r="AB149" s="158"/>
      <c r="AC149" s="158"/>
      <c r="AD149" s="158"/>
      <c r="AE149" s="158" t="b">
        <f>IF(AB149="",TRUE,IF(IF(AC149="",VLOOKUP(AB149,Calculs!$A$19:$S$425,19,FALSE),VLOOKUP(AC149,Calculs!$A$19:$S$425,19,FALSE))&gt;=AD149,TRUE,FALSE))</f>
        <v>1</v>
      </c>
      <c r="AF149" s="158"/>
      <c r="AG149" s="158"/>
      <c r="AH149" s="158"/>
      <c r="AI149" s="158" t="b">
        <f>IF(AF149="",TRUE,IF(IF(AG149="",VLOOKUP(AF149,Calculs!$A$19:$S$425,19,FALSE),VLOOKUP(AG149,Calculs!$A$19:$S$425,19,FALSE))&gt;=AH149,TRUE,FALSE))</f>
        <v>1</v>
      </c>
      <c r="AJ149" s="158"/>
      <c r="AK149" s="158"/>
      <c r="AL149" s="158"/>
      <c r="AM149" s="158" t="b">
        <f>IF(AJ149="",TRUE,IF(IF(AK149="",VLOOKUP(AJ149,Calculs!$A$19:$S$425,19,FALSE),VLOOKUP(AK149,Calculs!$A$19:$S$425,19,FALSE))&gt;=AL149,TRUE,FALSE))</f>
        <v>1</v>
      </c>
      <c r="AN149" s="158"/>
      <c r="AO149" s="158"/>
      <c r="AP149" s="158"/>
      <c r="AQ149" s="158" t="b">
        <f>IF(AN149="",TRUE,IF(IF(AO149="",VLOOKUP(AN149,Calculs!$A$19:$S$425,19,FALSE),VLOOKUP(AO149,Calculs!$A$19:$S$425,19,FALSE))&gt;=AP149,TRUE,FALSE))</f>
        <v>1</v>
      </c>
      <c r="AR149" s="158"/>
      <c r="AS149" s="158" t="b">
        <f>IF(AR149="",TRUE,IF(VLOOKUP(AR149,Calculs!$A$427:$G$738,7,FALSE)&gt;0,TRUE,FALSE))</f>
        <v>1</v>
      </c>
      <c r="AT149" s="158"/>
      <c r="AU149" s="158" t="b">
        <f>IF(AT149="",TRUE,IF(VLOOKUP(AT149,Calculs!$A$740:$G$912,7,FALSE)&gt;0,TRUE,FALSE))</f>
        <v>1</v>
      </c>
      <c r="AV149" s="158" t="b">
        <f t="shared" si="15"/>
        <v>1</v>
      </c>
      <c r="AW149" s="158" t="s">
        <v>2078</v>
      </c>
      <c r="AX149" s="162" t="s">
        <v>6816</v>
      </c>
      <c r="AY149" s="15">
        <v>61</v>
      </c>
      <c r="AZ149" s="555" t="s">
        <v>7043</v>
      </c>
      <c r="BA149" s="559">
        <f>IF(Verso!$B$10=Voies!$B149,1,0)</f>
        <v>0</v>
      </c>
      <c r="BB149" s="12">
        <f>IF(Verso!$B$11=Voies!$B149,1,0)</f>
        <v>0</v>
      </c>
      <c r="BC149" s="12">
        <f>IF(Verso!$B$12=Voies!$B149,1,0)</f>
        <v>0</v>
      </c>
      <c r="BD149" s="12">
        <f>IF(Verso!$B$13=Voies!$B149,1,0)</f>
        <v>0</v>
      </c>
      <c r="BE149" s="12">
        <f>IF(Verso!$B$14=Voies!$B149,1,0)</f>
        <v>0</v>
      </c>
      <c r="BF149" s="12">
        <f>IF(Verso!$B$15=Voies!$B149,1,0)</f>
        <v>0</v>
      </c>
      <c r="BG149" s="12">
        <f>IF(Verso!$B$16=Voies!$B149,1,0)</f>
        <v>0</v>
      </c>
      <c r="BH149" s="12">
        <f>IF(Verso!$B$17=Voies!$B149,1,0)</f>
        <v>0</v>
      </c>
      <c r="BI149" s="557">
        <f t="shared" si="16"/>
        <v>0</v>
      </c>
      <c r="BJ149" s="196" t="str">
        <f t="shared" si="17"/>
        <v/>
      </c>
      <c r="BK149" s="196" t="str">
        <f t="shared" si="18"/>
        <v/>
      </c>
      <c r="BL149" s="295" t="str">
        <f t="shared" si="19"/>
        <v/>
      </c>
      <c r="BM149" s="91"/>
    </row>
    <row r="150" spans="1:65" ht="47.25" customHeight="1" x14ac:dyDescent="0.25">
      <c r="A150" s="162" t="str">
        <f>IF(AND(Réputation&gt;Voies!E150-1,OR(C150=TRUE,Calculs!$I$8&gt;0),Air&gt;Voies!J150-1,Eau&gt;Voies!K150-1,Feu&gt;Voies!L150-1,Terre&gt;Voies!M150-1,Vide&gt;Voies!N150-1,Constitution&gt;Voies!O150-1,Volonté&gt;Voies!P150-1,Force&gt;Voies!Q150-1,Perception&gt;Voies!R150-1,Reflexes&gt;Voies!S150-1,Agilité&gt;Voies!T150-1,Intuition&gt;Voies!U150-1,Intelligence&gt;Voies!V150-1,Souillure&gt;Voies!W150-1,Honneur&gt;X150-1,Statut&gt;Y150-1,Gloire&gt;Z150-1,AV150=TRUE),Voies!B150,"")</f>
        <v/>
      </c>
      <c r="B150" s="162" t="s">
        <v>2331</v>
      </c>
      <c r="C150" s="162" t="b">
        <f>IF(Clan=Voies!D150,TRUE,FALSE)</f>
        <v>0</v>
      </c>
      <c r="D150" s="388" t="s">
        <v>341</v>
      </c>
      <c r="E150" s="13">
        <v>1</v>
      </c>
      <c r="F150" s="199">
        <v>1</v>
      </c>
      <c r="G150" s="13" t="s">
        <v>2050</v>
      </c>
      <c r="H150" s="162" t="s">
        <v>268</v>
      </c>
      <c r="I150" s="129" t="str">
        <f t="shared" si="14"/>
        <v>Rien</v>
      </c>
      <c r="J150" s="146">
        <v>0</v>
      </c>
      <c r="K150" s="147">
        <v>0</v>
      </c>
      <c r="L150" s="148">
        <v>0</v>
      </c>
      <c r="M150" s="149">
        <v>0</v>
      </c>
      <c r="N150" s="150">
        <v>0</v>
      </c>
      <c r="O150" s="130">
        <v>0</v>
      </c>
      <c r="P150" s="130">
        <v>0</v>
      </c>
      <c r="Q150" s="130">
        <v>0</v>
      </c>
      <c r="R150" s="130">
        <v>0</v>
      </c>
      <c r="S150" s="130">
        <v>0</v>
      </c>
      <c r="T150" s="130">
        <v>0</v>
      </c>
      <c r="U150" s="130">
        <v>0</v>
      </c>
      <c r="V150" s="524">
        <v>0</v>
      </c>
      <c r="W150" s="130">
        <v>0</v>
      </c>
      <c r="X150" s="130">
        <v>0</v>
      </c>
      <c r="Y150" s="130">
        <v>0</v>
      </c>
      <c r="Z150" s="130">
        <v>0</v>
      </c>
      <c r="AA150" s="158" t="s">
        <v>2078</v>
      </c>
      <c r="AB150" s="158"/>
      <c r="AC150" s="158"/>
      <c r="AD150" s="158"/>
      <c r="AE150" s="158" t="b">
        <f>IF(AB150="",TRUE,IF(IF(AC150="",VLOOKUP(AB150,Calculs!$A$19:$S$425,19,FALSE),VLOOKUP(AC150,Calculs!$A$19:$S$425,19,FALSE))&gt;=AD150,TRUE,FALSE))</f>
        <v>1</v>
      </c>
      <c r="AF150" s="158"/>
      <c r="AG150" s="158"/>
      <c r="AH150" s="158"/>
      <c r="AI150" s="158" t="b">
        <f>IF(AF150="",TRUE,IF(IF(AG150="",VLOOKUP(AF150,Calculs!$A$19:$S$425,19,FALSE),VLOOKUP(AG150,Calculs!$A$19:$S$425,19,FALSE))&gt;=AH150,TRUE,FALSE))</f>
        <v>1</v>
      </c>
      <c r="AJ150" s="158"/>
      <c r="AK150" s="158"/>
      <c r="AL150" s="158"/>
      <c r="AM150" s="158" t="b">
        <f>IF(AJ150="",TRUE,IF(IF(AK150="",VLOOKUP(AJ150,Calculs!$A$19:$S$425,19,FALSE),VLOOKUP(AK150,Calculs!$A$19:$S$425,19,FALSE))&gt;=AL150,TRUE,FALSE))</f>
        <v>1</v>
      </c>
      <c r="AN150" s="158"/>
      <c r="AO150" s="158"/>
      <c r="AP150" s="158"/>
      <c r="AQ150" s="158" t="b">
        <f>IF(AN150="",TRUE,IF(IF(AO150="",VLOOKUP(AN150,Calculs!$A$19:$S$425,19,FALSE),VLOOKUP(AO150,Calculs!$A$19:$S$425,19,FALSE))&gt;=AP150,TRUE,FALSE))</f>
        <v>1</v>
      </c>
      <c r="AR150" s="158"/>
      <c r="AS150" s="158" t="b">
        <f>IF(AR150="",TRUE,IF(VLOOKUP(AR150,Calculs!$A$427:$G$738,7,FALSE)&gt;0,TRUE,FALSE))</f>
        <v>1</v>
      </c>
      <c r="AT150" s="158"/>
      <c r="AU150" s="158" t="b">
        <f>IF(AT150="",TRUE,IF(VLOOKUP(AT150,Calculs!$A$740:$G$912,7,FALSE)&gt;0,TRUE,FALSE))</f>
        <v>1</v>
      </c>
      <c r="AV150" s="158" t="b">
        <f t="shared" si="15"/>
        <v>1</v>
      </c>
      <c r="AW150" s="158" t="s">
        <v>2078</v>
      </c>
      <c r="AX150" s="162" t="s">
        <v>143</v>
      </c>
      <c r="AY150" s="15">
        <v>232</v>
      </c>
      <c r="AZ150" s="555" t="s">
        <v>2332</v>
      </c>
      <c r="BA150" s="559">
        <f>IF(Verso!$B$10=Voies!$B150,1,0)</f>
        <v>0</v>
      </c>
      <c r="BB150" s="12">
        <f>IF(Verso!$B$11=Voies!$B150,1,0)</f>
        <v>0</v>
      </c>
      <c r="BC150" s="12">
        <f>IF(Verso!$B$12=Voies!$B150,1,0)</f>
        <v>0</v>
      </c>
      <c r="BD150" s="12">
        <f>IF(Verso!$B$13=Voies!$B150,1,0)</f>
        <v>0</v>
      </c>
      <c r="BE150" s="12">
        <f>IF(Verso!$B$14=Voies!$B150,1,0)</f>
        <v>0</v>
      </c>
      <c r="BF150" s="12">
        <f>IF(Verso!$B$15=Voies!$B150,1,0)</f>
        <v>0</v>
      </c>
      <c r="BG150" s="12">
        <f>IF(Verso!$B$16=Voies!$B150,1,0)</f>
        <v>0</v>
      </c>
      <c r="BH150" s="12">
        <f>IF(Verso!$B$17=Voies!$B150,1,0)</f>
        <v>0</v>
      </c>
      <c r="BI150" s="557">
        <f t="shared" si="16"/>
        <v>0</v>
      </c>
      <c r="BJ150" s="196" t="str">
        <f t="shared" si="17"/>
        <v/>
      </c>
      <c r="BK150" s="196" t="str">
        <f t="shared" si="18"/>
        <v/>
      </c>
      <c r="BL150" s="295" t="str">
        <f t="shared" si="19"/>
        <v/>
      </c>
    </row>
    <row r="151" spans="1:65" ht="47.25" customHeight="1" x14ac:dyDescent="0.25">
      <c r="A151" s="162" t="str">
        <f>IF(AND(Réputation&gt;Voies!E151-1,OR(C151=TRUE,Calculs!$I$8&gt;0),Air&gt;Voies!J151-1,Eau&gt;Voies!K151-1,Feu&gt;Voies!L151-1,Terre&gt;Voies!M151-1,Vide&gt;Voies!N151-1,Constitution&gt;Voies!O151-1,Volonté&gt;Voies!P151-1,Force&gt;Voies!Q151-1,Perception&gt;Voies!R151-1,Reflexes&gt;Voies!S151-1,Agilité&gt;Voies!T151-1,Intuition&gt;Voies!U151-1,Intelligence&gt;Voies!V151-1,Souillure&gt;Voies!W151-1,Honneur&gt;X151-1,Statut&gt;Y151-1,Gloire&gt;Z151-1,AV151=TRUE),Voies!B151,"")</f>
        <v/>
      </c>
      <c r="B151" s="162" t="s">
        <v>2769</v>
      </c>
      <c r="C151" s="162" t="b">
        <f>IF(Clan=Voies!D151,TRUE,FALSE)</f>
        <v>0</v>
      </c>
      <c r="D151" s="388" t="s">
        <v>341</v>
      </c>
      <c r="E151" s="13">
        <v>1</v>
      </c>
      <c r="F151" s="199">
        <v>1</v>
      </c>
      <c r="G151" s="13" t="s">
        <v>2050</v>
      </c>
      <c r="H151" s="162" t="s">
        <v>271</v>
      </c>
      <c r="I151" s="129" t="str">
        <f t="shared" si="14"/>
        <v>Rien</v>
      </c>
      <c r="J151" s="146">
        <v>0</v>
      </c>
      <c r="K151" s="147">
        <v>0</v>
      </c>
      <c r="L151" s="148">
        <v>0</v>
      </c>
      <c r="M151" s="149">
        <v>0</v>
      </c>
      <c r="N151" s="150">
        <v>0</v>
      </c>
      <c r="O151" s="130">
        <v>0</v>
      </c>
      <c r="P151" s="130">
        <v>0</v>
      </c>
      <c r="Q151" s="130">
        <v>0</v>
      </c>
      <c r="R151" s="130">
        <v>0</v>
      </c>
      <c r="S151" s="130">
        <v>0</v>
      </c>
      <c r="T151" s="130">
        <v>0</v>
      </c>
      <c r="U151" s="130">
        <v>0</v>
      </c>
      <c r="V151" s="524">
        <v>0</v>
      </c>
      <c r="W151" s="130">
        <v>0</v>
      </c>
      <c r="X151" s="130">
        <v>0</v>
      </c>
      <c r="Y151" s="130">
        <v>0</v>
      </c>
      <c r="Z151" s="130">
        <v>0</v>
      </c>
      <c r="AA151" s="158" t="s">
        <v>2078</v>
      </c>
      <c r="AB151" s="158"/>
      <c r="AC151" s="158"/>
      <c r="AD151" s="158"/>
      <c r="AE151" s="158" t="b">
        <f>IF(AB151="",TRUE,IF(IF(AC151="",VLOOKUP(AB151,Calculs!$A$19:$S$425,19,FALSE),VLOOKUP(AC151,Calculs!$A$19:$S$425,19,FALSE))&gt;=AD151,TRUE,FALSE))</f>
        <v>1</v>
      </c>
      <c r="AF151" s="158"/>
      <c r="AG151" s="158"/>
      <c r="AH151" s="158"/>
      <c r="AI151" s="158" t="b">
        <f>IF(AF151="",TRUE,IF(IF(AG151="",VLOOKUP(AF151,Calculs!$A$19:$S$425,19,FALSE),VLOOKUP(AG151,Calculs!$A$19:$S$425,19,FALSE))&gt;=AH151,TRUE,FALSE))</f>
        <v>1</v>
      </c>
      <c r="AJ151" s="158"/>
      <c r="AK151" s="158"/>
      <c r="AL151" s="158"/>
      <c r="AM151" s="158" t="b">
        <f>IF(AJ151="",TRUE,IF(IF(AK151="",VLOOKUP(AJ151,Calculs!$A$19:$S$425,19,FALSE),VLOOKUP(AK151,Calculs!$A$19:$S$425,19,FALSE))&gt;=AL151,TRUE,FALSE))</f>
        <v>1</v>
      </c>
      <c r="AN151" s="158"/>
      <c r="AO151" s="158"/>
      <c r="AP151" s="158"/>
      <c r="AQ151" s="158" t="b">
        <f>IF(AN151="",TRUE,IF(IF(AO151="",VLOOKUP(AN151,Calculs!$A$19:$S$425,19,FALSE),VLOOKUP(AO151,Calculs!$A$19:$S$425,19,FALSE))&gt;=AP151,TRUE,FALSE))</f>
        <v>1</v>
      </c>
      <c r="AR151" s="158"/>
      <c r="AS151" s="158" t="b">
        <f>IF(AR151="",TRUE,IF(VLOOKUP(AR151,Calculs!$A$427:$G$738,7,FALSE)&gt;0,TRUE,FALSE))</f>
        <v>1</v>
      </c>
      <c r="AT151" s="158"/>
      <c r="AU151" s="158" t="b">
        <f>IF(AT151="",TRUE,IF(VLOOKUP(AT151,Calculs!$A$740:$G$912,7,FALSE)&gt;0,TRUE,FALSE))</f>
        <v>1</v>
      </c>
      <c r="AV151" s="158" t="b">
        <f t="shared" si="15"/>
        <v>1</v>
      </c>
      <c r="AW151" s="158" t="s">
        <v>2078</v>
      </c>
      <c r="AX151" s="162" t="s">
        <v>158</v>
      </c>
      <c r="AY151" s="15">
        <v>205</v>
      </c>
      <c r="AZ151" s="555" t="str">
        <f>CONCATENATE("Dépensez un Pvide et une Act.G pour ignorer tout malus au test que vous allez entreprendre. +",Terre,"g0 à tout test d'opposition que vous n'avez pas initié ou en d'attaque")</f>
        <v>Dépensez un Pvide et une Act.G pour ignorer tout malus au test que vous allez entreprendre. +2g0 à tout test d'opposition que vous n'avez pas initié ou en d'attaque</v>
      </c>
      <c r="BA151" s="559">
        <f>IF(Verso!$B$10=Voies!$B151,1,0)</f>
        <v>0</v>
      </c>
      <c r="BB151" s="12">
        <f>IF(Verso!$B$11=Voies!$B151,1,0)</f>
        <v>0</v>
      </c>
      <c r="BC151" s="12">
        <f>IF(Verso!$B$12=Voies!$B151,1,0)</f>
        <v>0</v>
      </c>
      <c r="BD151" s="12">
        <f>IF(Verso!$B$13=Voies!$B151,1,0)</f>
        <v>0</v>
      </c>
      <c r="BE151" s="12">
        <f>IF(Verso!$B$14=Voies!$B151,1,0)</f>
        <v>0</v>
      </c>
      <c r="BF151" s="12">
        <f>IF(Verso!$B$15=Voies!$B151,1,0)</f>
        <v>0</v>
      </c>
      <c r="BG151" s="12">
        <f>IF(Verso!$B$16=Voies!$B151,1,0)</f>
        <v>0</v>
      </c>
      <c r="BH151" s="12">
        <f>IF(Verso!$B$17=Voies!$B151,1,0)</f>
        <v>0</v>
      </c>
      <c r="BI151" s="557">
        <f t="shared" si="16"/>
        <v>0</v>
      </c>
      <c r="BJ151" s="196" t="str">
        <f t="shared" si="17"/>
        <v/>
      </c>
      <c r="BK151" s="196" t="str">
        <f t="shared" si="18"/>
        <v/>
      </c>
      <c r="BL151" s="295" t="str">
        <f t="shared" si="19"/>
        <v/>
      </c>
    </row>
    <row r="152" spans="1:65" ht="47.25" customHeight="1" x14ac:dyDescent="0.25">
      <c r="A152" s="162" t="str">
        <f>IF(AND(Réputation&gt;Voies!E152-1,OR(C152=TRUE,Calculs!$I$8&gt;0),Air&gt;Voies!J152-1,Eau&gt;Voies!K152-1,Feu&gt;Voies!L152-1,Terre&gt;Voies!M152-1,Vide&gt;Voies!N152-1,Constitution&gt;Voies!O152-1,Volonté&gt;Voies!P152-1,Force&gt;Voies!Q152-1,Perception&gt;Voies!R152-1,Reflexes&gt;Voies!S152-1,Agilité&gt;Voies!T152-1,Intuition&gt;Voies!U152-1,Intelligence&gt;Voies!V152-1,Souillure&gt;Voies!W152-1,Honneur&gt;X152-1,Statut&gt;Y152-1,Gloire&gt;Z152-1,AV152=TRUE),Voies!B152,"")</f>
        <v/>
      </c>
      <c r="B152" s="162" t="s">
        <v>3358</v>
      </c>
      <c r="C152" s="162" t="b">
        <f>IF(Clan=Voies!D152,TRUE,FALSE)</f>
        <v>0</v>
      </c>
      <c r="D152" s="388" t="s">
        <v>341</v>
      </c>
      <c r="E152" s="13">
        <v>1</v>
      </c>
      <c r="F152" s="199">
        <v>1</v>
      </c>
      <c r="G152" s="13" t="s">
        <v>2050</v>
      </c>
      <c r="H152" s="162" t="s">
        <v>270</v>
      </c>
      <c r="I152" s="129" t="str">
        <f t="shared" si="14"/>
        <v>Rien</v>
      </c>
      <c r="J152" s="146">
        <v>0</v>
      </c>
      <c r="K152" s="147">
        <v>0</v>
      </c>
      <c r="L152" s="148">
        <v>0</v>
      </c>
      <c r="M152" s="149">
        <v>0</v>
      </c>
      <c r="N152" s="150">
        <v>0</v>
      </c>
      <c r="O152" s="130">
        <v>0</v>
      </c>
      <c r="P152" s="130">
        <v>0</v>
      </c>
      <c r="Q152" s="130">
        <v>0</v>
      </c>
      <c r="R152" s="130">
        <v>0</v>
      </c>
      <c r="S152" s="130">
        <v>0</v>
      </c>
      <c r="T152" s="130">
        <v>0</v>
      </c>
      <c r="U152" s="130">
        <v>0</v>
      </c>
      <c r="V152" s="524">
        <v>0</v>
      </c>
      <c r="W152" s="130">
        <v>0</v>
      </c>
      <c r="X152" s="130">
        <v>0</v>
      </c>
      <c r="Y152" s="130">
        <v>0</v>
      </c>
      <c r="Z152" s="130">
        <v>0</v>
      </c>
      <c r="AA152" s="158" t="s">
        <v>2078</v>
      </c>
      <c r="AB152" s="158"/>
      <c r="AC152" s="158"/>
      <c r="AD152" s="158"/>
      <c r="AE152" s="158" t="b">
        <f>IF(AB152="",TRUE,IF(IF(AC152="",VLOOKUP(AB152,Calculs!$A$19:$S$425,19,FALSE),VLOOKUP(AC152,Calculs!$A$19:$S$425,19,FALSE))&gt;=AD152,TRUE,FALSE))</f>
        <v>1</v>
      </c>
      <c r="AF152" s="158"/>
      <c r="AG152" s="158"/>
      <c r="AH152" s="158"/>
      <c r="AI152" s="158" t="b">
        <f>IF(AF152="",TRUE,IF(IF(AG152="",VLOOKUP(AF152,Calculs!$A$19:$S$425,19,FALSE),VLOOKUP(AG152,Calculs!$A$19:$S$425,19,FALSE))&gt;=AH152,TRUE,FALSE))</f>
        <v>1</v>
      </c>
      <c r="AJ152" s="158"/>
      <c r="AK152" s="158"/>
      <c r="AL152" s="158"/>
      <c r="AM152" s="158" t="b">
        <f>IF(AJ152="",TRUE,IF(IF(AK152="",VLOOKUP(AJ152,Calculs!$A$19:$S$425,19,FALSE),VLOOKUP(AK152,Calculs!$A$19:$S$425,19,FALSE))&gt;=AL152,TRUE,FALSE))</f>
        <v>1</v>
      </c>
      <c r="AN152" s="158"/>
      <c r="AO152" s="158"/>
      <c r="AP152" s="158"/>
      <c r="AQ152" s="158" t="b">
        <f>IF(AN152="",TRUE,IF(IF(AO152="",VLOOKUP(AN152,Calculs!$A$19:$S$425,19,FALSE),VLOOKUP(AO152,Calculs!$A$19:$S$425,19,FALSE))&gt;=AP152,TRUE,FALSE))</f>
        <v>1</v>
      </c>
      <c r="AR152" s="158"/>
      <c r="AS152" s="158" t="b">
        <f>IF(AR152="",TRUE,IF(VLOOKUP(AR152,Calculs!$A$427:$G$738,7,FALSE)&gt;0,TRUE,FALSE))</f>
        <v>1</v>
      </c>
      <c r="AT152" s="158"/>
      <c r="AU152" s="158" t="b">
        <f>IF(AT152="",TRUE,IF(VLOOKUP(AT152,Calculs!$A$740:$G$912,7,FALSE)&gt;0,TRUE,FALSE))</f>
        <v>1</v>
      </c>
      <c r="AV152" s="158" t="b">
        <f t="shared" si="15"/>
        <v>1</v>
      </c>
      <c r="AW152" s="158" t="s">
        <v>2078</v>
      </c>
      <c r="AX152" s="162" t="s">
        <v>160</v>
      </c>
      <c r="AY152" s="15">
        <v>191</v>
      </c>
      <c r="AZ152" s="555" t="s">
        <v>2781</v>
      </c>
      <c r="BA152" s="559">
        <f>IF(Verso!$B$10=Voies!$B152,1,0)</f>
        <v>0</v>
      </c>
      <c r="BB152" s="12">
        <f>IF(Verso!$B$11=Voies!$B152,1,0)</f>
        <v>0</v>
      </c>
      <c r="BC152" s="12">
        <f>IF(Verso!$B$12=Voies!$B152,1,0)</f>
        <v>0</v>
      </c>
      <c r="BD152" s="12">
        <f>IF(Verso!$B$13=Voies!$B152,1,0)</f>
        <v>0</v>
      </c>
      <c r="BE152" s="12">
        <f>IF(Verso!$B$14=Voies!$B152,1,0)</f>
        <v>0</v>
      </c>
      <c r="BF152" s="12">
        <f>IF(Verso!$B$15=Voies!$B152,1,0)</f>
        <v>0</v>
      </c>
      <c r="BG152" s="12">
        <f>IF(Verso!$B$16=Voies!$B152,1,0)</f>
        <v>0</v>
      </c>
      <c r="BH152" s="12">
        <f>IF(Verso!$B$17=Voies!$B152,1,0)</f>
        <v>0</v>
      </c>
      <c r="BI152" s="557">
        <f t="shared" si="16"/>
        <v>0</v>
      </c>
      <c r="BJ152" s="196" t="str">
        <f t="shared" si="17"/>
        <v/>
      </c>
      <c r="BK152" s="196" t="str">
        <f t="shared" si="18"/>
        <v/>
      </c>
      <c r="BL152" s="295" t="str">
        <f t="shared" si="19"/>
        <v/>
      </c>
    </row>
    <row r="153" spans="1:65" s="3" customFormat="1" ht="47.25" customHeight="1" x14ac:dyDescent="0.25">
      <c r="A153" s="162" t="str">
        <f>IF(AND(Réputation&gt;Voies!E153-1,OR(C153=TRUE,Calculs!$I$8&gt;0),Air&gt;Voies!J153-1,Eau&gt;Voies!K153-1,Feu&gt;Voies!L153-1,Terre&gt;Voies!M153-1,Vide&gt;Voies!N153-1,Constitution&gt;Voies!O153-1,Volonté&gt;Voies!P153-1,Force&gt;Voies!Q153-1,Perception&gt;Voies!R153-1,Reflexes&gt;Voies!S153-1,Agilité&gt;Voies!T153-1,Intuition&gt;Voies!U153-1,Intelligence&gt;Voies!V153-1,Souillure&gt;Voies!W153-1,Honneur&gt;X153-1,Statut&gt;Y153-1,Gloire&gt;Z153-1,AV153=TRUE),Voies!B153,"")</f>
        <v/>
      </c>
      <c r="B153" s="162" t="s">
        <v>2334</v>
      </c>
      <c r="C153" s="162" t="b">
        <f>IF(Clan=Voies!D153,TRUE,FALSE)</f>
        <v>0</v>
      </c>
      <c r="D153" s="388" t="s">
        <v>341</v>
      </c>
      <c r="E153" s="13">
        <v>1</v>
      </c>
      <c r="F153" s="199">
        <v>1</v>
      </c>
      <c r="G153" s="13" t="s">
        <v>2050</v>
      </c>
      <c r="H153" s="162" t="s">
        <v>269</v>
      </c>
      <c r="I153" s="129" t="str">
        <f t="shared" si="14"/>
        <v>Rien</v>
      </c>
      <c r="J153" s="146">
        <v>0</v>
      </c>
      <c r="K153" s="147">
        <v>0</v>
      </c>
      <c r="L153" s="148">
        <v>0</v>
      </c>
      <c r="M153" s="149">
        <v>0</v>
      </c>
      <c r="N153" s="150">
        <v>0</v>
      </c>
      <c r="O153" s="130">
        <v>0</v>
      </c>
      <c r="P153" s="130">
        <v>0</v>
      </c>
      <c r="Q153" s="130">
        <v>0</v>
      </c>
      <c r="R153" s="130">
        <v>0</v>
      </c>
      <c r="S153" s="130">
        <v>0</v>
      </c>
      <c r="T153" s="130">
        <v>0</v>
      </c>
      <c r="U153" s="130">
        <v>0</v>
      </c>
      <c r="V153" s="524">
        <v>0</v>
      </c>
      <c r="W153" s="130">
        <v>0</v>
      </c>
      <c r="X153" s="130">
        <v>0</v>
      </c>
      <c r="Y153" s="130">
        <v>0</v>
      </c>
      <c r="Z153" s="130">
        <v>0</v>
      </c>
      <c r="AA153" s="158" t="s">
        <v>2078</v>
      </c>
      <c r="AB153" s="158"/>
      <c r="AC153" s="158"/>
      <c r="AD153" s="158"/>
      <c r="AE153" s="158" t="b">
        <f>IF(AB153="",TRUE,IF(IF(AC153="",VLOOKUP(AB153,Calculs!$A$19:$S$425,19,FALSE),VLOOKUP(AC153,Calculs!$A$19:$S$425,19,FALSE))&gt;=AD153,TRUE,FALSE))</f>
        <v>1</v>
      </c>
      <c r="AF153" s="158"/>
      <c r="AG153" s="158"/>
      <c r="AH153" s="158"/>
      <c r="AI153" s="158" t="b">
        <f>IF(AF153="",TRUE,IF(IF(AG153="",VLOOKUP(AF153,Calculs!$A$19:$S$425,19,FALSE),VLOOKUP(AG153,Calculs!$A$19:$S$425,19,FALSE))&gt;=AH153,TRUE,FALSE))</f>
        <v>1</v>
      </c>
      <c r="AJ153" s="158"/>
      <c r="AK153" s="158"/>
      <c r="AL153" s="158"/>
      <c r="AM153" s="158" t="b">
        <f>IF(AJ153="",TRUE,IF(IF(AK153="",VLOOKUP(AJ153,Calculs!$A$19:$S$425,19,FALSE),VLOOKUP(AK153,Calculs!$A$19:$S$425,19,FALSE))&gt;=AL153,TRUE,FALSE))</f>
        <v>1</v>
      </c>
      <c r="AN153" s="158"/>
      <c r="AO153" s="158"/>
      <c r="AP153" s="158"/>
      <c r="AQ153" s="158" t="b">
        <f>IF(AN153="",TRUE,IF(IF(AO153="",VLOOKUP(AN153,Calculs!$A$19:$S$425,19,FALSE),VLOOKUP(AO153,Calculs!$A$19:$S$425,19,FALSE))&gt;=AP153,TRUE,FALSE))</f>
        <v>1</v>
      </c>
      <c r="AR153" s="158"/>
      <c r="AS153" s="158" t="b">
        <f>IF(AR153="",TRUE,IF(VLOOKUP(AR153,Calculs!$A$427:$G$738,7,FALSE)&gt;0,TRUE,FALSE))</f>
        <v>1</v>
      </c>
      <c r="AT153" s="158"/>
      <c r="AU153" s="158" t="b">
        <f>IF(AT153="",TRUE,IF(VLOOKUP(AT153,Calculs!$A$740:$G$912,7,FALSE)&gt;0,TRUE,FALSE))</f>
        <v>1</v>
      </c>
      <c r="AV153" s="158" t="b">
        <f t="shared" si="15"/>
        <v>1</v>
      </c>
      <c r="AW153" s="158" t="s">
        <v>2078</v>
      </c>
      <c r="AX153" s="162" t="s">
        <v>143</v>
      </c>
      <c r="AY153" s="15">
        <v>233</v>
      </c>
      <c r="AZ153" s="566" t="s">
        <v>2335</v>
      </c>
      <c r="BA153" s="559">
        <f>IF(Verso!$B$10=Voies!$B153,1,0)</f>
        <v>0</v>
      </c>
      <c r="BB153" s="12">
        <f>IF(Verso!$B$11=Voies!$B153,1,0)</f>
        <v>0</v>
      </c>
      <c r="BC153" s="12">
        <f>IF(Verso!$B$12=Voies!$B153,1,0)</f>
        <v>0</v>
      </c>
      <c r="BD153" s="12">
        <f>IF(Verso!$B$13=Voies!$B153,1,0)</f>
        <v>0</v>
      </c>
      <c r="BE153" s="12">
        <f>IF(Verso!$B$14=Voies!$B153,1,0)</f>
        <v>0</v>
      </c>
      <c r="BF153" s="12">
        <f>IF(Verso!$B$15=Voies!$B153,1,0)</f>
        <v>0</v>
      </c>
      <c r="BG153" s="12">
        <f>IF(Verso!$B$16=Voies!$B153,1,0)</f>
        <v>0</v>
      </c>
      <c r="BH153" s="12">
        <f>IF(Verso!$B$17=Voies!$B153,1,0)</f>
        <v>0</v>
      </c>
      <c r="BI153" s="557">
        <f t="shared" si="16"/>
        <v>0</v>
      </c>
      <c r="BJ153" s="196" t="str">
        <f t="shared" si="17"/>
        <v/>
      </c>
      <c r="BK153" s="196" t="str">
        <f t="shared" si="18"/>
        <v/>
      </c>
      <c r="BL153" s="295" t="str">
        <f t="shared" si="19"/>
        <v/>
      </c>
      <c r="BM153" s="577"/>
    </row>
    <row r="154" spans="1:65" s="197" customFormat="1" ht="47.25" customHeight="1" x14ac:dyDescent="0.25">
      <c r="A154" s="162" t="str">
        <f>IF(AND(Réputation&gt;Voies!E154-1,OR(C154=TRUE,Calculs!$I$8&gt;0),Air&gt;Voies!J154-1,Eau&gt;Voies!K154-1,Feu&gt;Voies!L154-1,Terre&gt;Voies!M154-1,Vide&gt;Voies!N154-1,Constitution&gt;Voies!O154-1,Volonté&gt;Voies!P154-1,Force&gt;Voies!Q154-1,Perception&gt;Voies!R154-1,Reflexes&gt;Voies!S154-1,Agilité&gt;Voies!T154-1,Intuition&gt;Voies!U154-1,Intelligence&gt;Voies!V154-1,Souillure&gt;Voies!W154-1,Honneur&gt;X154-1,Statut&gt;Y154-1,Gloire&gt;Z154-1,AV154=TRUE),Voies!B154,"")</f>
        <v/>
      </c>
      <c r="B154" s="162" t="s">
        <v>7045</v>
      </c>
      <c r="C154" s="162" t="b">
        <f>IF(Clan=Voies!D154,TRUE,FALSE)</f>
        <v>0</v>
      </c>
      <c r="D154" s="388" t="s">
        <v>341</v>
      </c>
      <c r="E154" s="199">
        <v>1</v>
      </c>
      <c r="F154" s="199">
        <v>1</v>
      </c>
      <c r="G154" s="199" t="s">
        <v>2050</v>
      </c>
      <c r="H154" s="162" t="s">
        <v>7036</v>
      </c>
      <c r="I154" s="129" t="str">
        <f t="shared" si="14"/>
        <v>Rien</v>
      </c>
      <c r="J154" s="146">
        <v>0</v>
      </c>
      <c r="K154" s="147">
        <v>0</v>
      </c>
      <c r="L154" s="148">
        <v>0</v>
      </c>
      <c r="M154" s="149">
        <v>0</v>
      </c>
      <c r="N154" s="150">
        <v>0</v>
      </c>
      <c r="O154" s="130">
        <v>0</v>
      </c>
      <c r="P154" s="130">
        <v>0</v>
      </c>
      <c r="Q154" s="130">
        <v>0</v>
      </c>
      <c r="R154" s="130">
        <v>0</v>
      </c>
      <c r="S154" s="130">
        <v>0</v>
      </c>
      <c r="T154" s="130">
        <v>0</v>
      </c>
      <c r="U154" s="130">
        <v>0</v>
      </c>
      <c r="V154" s="524">
        <v>0</v>
      </c>
      <c r="W154" s="130">
        <v>0</v>
      </c>
      <c r="X154" s="130">
        <v>0</v>
      </c>
      <c r="Y154" s="130">
        <v>0</v>
      </c>
      <c r="Z154" s="130">
        <v>0</v>
      </c>
      <c r="AA154" s="158" t="s">
        <v>2078</v>
      </c>
      <c r="AB154" s="158"/>
      <c r="AC154" s="158"/>
      <c r="AD154" s="158"/>
      <c r="AE154" s="158" t="b">
        <f>IF(AB154="",TRUE,IF(IF(AC154="",VLOOKUP(AB154,Calculs!$A$19:$S$425,19,FALSE),VLOOKUP(AC154,Calculs!$A$19:$S$425,19,FALSE))&gt;=AD154,TRUE,FALSE))</f>
        <v>1</v>
      </c>
      <c r="AF154" s="158"/>
      <c r="AG154" s="158"/>
      <c r="AH154" s="158"/>
      <c r="AI154" s="158" t="b">
        <f>IF(AF154="",TRUE,IF(IF(AG154="",VLOOKUP(AF154,Calculs!$A$19:$S$425,19,FALSE),VLOOKUP(AG154,Calculs!$A$19:$S$425,19,FALSE))&gt;=AH154,TRUE,FALSE))</f>
        <v>1</v>
      </c>
      <c r="AJ154" s="158"/>
      <c r="AK154" s="158"/>
      <c r="AL154" s="158"/>
      <c r="AM154" s="158" t="b">
        <f>IF(AJ154="",TRUE,IF(IF(AK154="",VLOOKUP(AJ154,Calculs!$A$19:$S$425,19,FALSE),VLOOKUP(AK154,Calculs!$A$19:$S$425,19,FALSE))&gt;=AL154,TRUE,FALSE))</f>
        <v>1</v>
      </c>
      <c r="AN154" s="158"/>
      <c r="AO154" s="158"/>
      <c r="AP154" s="158"/>
      <c r="AQ154" s="158" t="b">
        <f>IF(AN154="",TRUE,IF(IF(AO154="",VLOOKUP(AN154,Calculs!$A$19:$S$425,19,FALSE),VLOOKUP(AO154,Calculs!$A$19:$S$425,19,FALSE))&gt;=AP154,TRUE,FALSE))</f>
        <v>1</v>
      </c>
      <c r="AR154" s="158"/>
      <c r="AS154" s="158" t="b">
        <f>IF(AR154="",TRUE,IF(VLOOKUP(AR154,Calculs!$A$427:$G$738,7,FALSE)&gt;0,TRUE,FALSE))</f>
        <v>1</v>
      </c>
      <c r="AT154" s="158"/>
      <c r="AU154" s="158" t="b">
        <f>IF(AT154="",TRUE,IF(VLOOKUP(AT154,Calculs!$A$740:$G$912,7,FALSE)&gt;0,TRUE,FALSE))</f>
        <v>1</v>
      </c>
      <c r="AV154" s="158" t="b">
        <f t="shared" si="15"/>
        <v>1</v>
      </c>
      <c r="AW154" s="158" t="s">
        <v>2078</v>
      </c>
      <c r="AX154" s="162" t="s">
        <v>6816</v>
      </c>
      <c r="AY154" s="15">
        <v>61</v>
      </c>
      <c r="AZ154" s="566" t="s">
        <v>7046</v>
      </c>
      <c r="BA154" s="559">
        <f>IF(Verso!$B$10=Voies!$B154,1,0)</f>
        <v>0</v>
      </c>
      <c r="BB154" s="12">
        <f>IF(Verso!$B$11=Voies!$B154,1,0)</f>
        <v>0</v>
      </c>
      <c r="BC154" s="12">
        <f>IF(Verso!$B$12=Voies!$B154,1,0)</f>
        <v>0</v>
      </c>
      <c r="BD154" s="12">
        <f>IF(Verso!$B$13=Voies!$B154,1,0)</f>
        <v>0</v>
      </c>
      <c r="BE154" s="12">
        <f>IF(Verso!$B$14=Voies!$B154,1,0)</f>
        <v>0</v>
      </c>
      <c r="BF154" s="12">
        <f>IF(Verso!$B$15=Voies!$B154,1,0)</f>
        <v>0</v>
      </c>
      <c r="BG154" s="12">
        <f>IF(Verso!$B$16=Voies!$B154,1,0)</f>
        <v>0</v>
      </c>
      <c r="BH154" s="12">
        <f>IF(Verso!$B$17=Voies!$B154,1,0)</f>
        <v>0</v>
      </c>
      <c r="BI154" s="557">
        <f t="shared" si="16"/>
        <v>0</v>
      </c>
      <c r="BJ154" s="196" t="str">
        <f t="shared" si="17"/>
        <v/>
      </c>
      <c r="BK154" s="196" t="str">
        <f t="shared" si="18"/>
        <v/>
      </c>
      <c r="BL154" s="295" t="str">
        <f t="shared" si="19"/>
        <v/>
      </c>
      <c r="BM154" s="577"/>
    </row>
    <row r="155" spans="1:65" s="3" customFormat="1" ht="47.25" customHeight="1" x14ac:dyDescent="0.25">
      <c r="A155" s="162" t="str">
        <f>IF(AND(Réputation&gt;Voies!E155-1,OR(C155=TRUE,Calculs!$I$8&gt;0),Air&gt;Voies!J155-1,Eau&gt;Voies!K155-1,Feu&gt;Voies!L155-1,Terre&gt;Voies!M155-1,Vide&gt;Voies!N155-1,Constitution&gt;Voies!O155-1,Volonté&gt;Voies!P155-1,Force&gt;Voies!Q155-1,Perception&gt;Voies!R155-1,Reflexes&gt;Voies!S155-1,Agilité&gt;Voies!T155-1,Intuition&gt;Voies!U155-1,Intelligence&gt;Voies!V155-1,Souillure&gt;Voies!W155-1,Honneur&gt;X155-1,Statut&gt;Y155-1,Gloire&gt;Z155-1,AV155=TRUE),Voies!B155,"")</f>
        <v/>
      </c>
      <c r="B155" s="162" t="s">
        <v>2337</v>
      </c>
      <c r="C155" s="162" t="b">
        <f>IF(Clan=Voies!D155,TRUE,FALSE)</f>
        <v>0</v>
      </c>
      <c r="D155" s="388" t="s">
        <v>341</v>
      </c>
      <c r="E155" s="13">
        <v>1</v>
      </c>
      <c r="F155" s="199">
        <v>1</v>
      </c>
      <c r="G155" s="13" t="s">
        <v>2050</v>
      </c>
      <c r="H155" s="162" t="s">
        <v>2318</v>
      </c>
      <c r="I155" s="129" t="str">
        <f t="shared" si="14"/>
        <v>Rien</v>
      </c>
      <c r="J155" s="146">
        <v>0</v>
      </c>
      <c r="K155" s="147">
        <v>0</v>
      </c>
      <c r="L155" s="148">
        <v>0</v>
      </c>
      <c r="M155" s="149">
        <v>0</v>
      </c>
      <c r="N155" s="150">
        <v>0</v>
      </c>
      <c r="O155" s="130">
        <v>0</v>
      </c>
      <c r="P155" s="130">
        <v>0</v>
      </c>
      <c r="Q155" s="130">
        <v>0</v>
      </c>
      <c r="R155" s="130">
        <v>0</v>
      </c>
      <c r="S155" s="130">
        <v>0</v>
      </c>
      <c r="T155" s="130">
        <v>0</v>
      </c>
      <c r="U155" s="130">
        <v>0</v>
      </c>
      <c r="V155" s="524">
        <v>0</v>
      </c>
      <c r="W155" s="130">
        <v>0</v>
      </c>
      <c r="X155" s="130">
        <v>0</v>
      </c>
      <c r="Y155" s="130">
        <v>0</v>
      </c>
      <c r="Z155" s="130">
        <v>0</v>
      </c>
      <c r="AA155" s="158" t="s">
        <v>2078</v>
      </c>
      <c r="AB155" s="158"/>
      <c r="AC155" s="158"/>
      <c r="AD155" s="158"/>
      <c r="AE155" s="158" t="b">
        <f>IF(AB155="",TRUE,IF(IF(AC155="",VLOOKUP(AB155,Calculs!$A$19:$S$425,19,FALSE),VLOOKUP(AC155,Calculs!$A$19:$S$425,19,FALSE))&gt;=AD155,TRUE,FALSE))</f>
        <v>1</v>
      </c>
      <c r="AF155" s="158"/>
      <c r="AG155" s="158"/>
      <c r="AH155" s="158"/>
      <c r="AI155" s="158" t="b">
        <f>IF(AF155="",TRUE,IF(IF(AG155="",VLOOKUP(AF155,Calculs!$A$19:$S$425,19,FALSE),VLOOKUP(AG155,Calculs!$A$19:$S$425,19,FALSE))&gt;=AH155,TRUE,FALSE))</f>
        <v>1</v>
      </c>
      <c r="AJ155" s="158"/>
      <c r="AK155" s="158"/>
      <c r="AL155" s="158"/>
      <c r="AM155" s="158" t="b">
        <f>IF(AJ155="",TRUE,IF(IF(AK155="",VLOOKUP(AJ155,Calculs!$A$19:$S$425,19,FALSE),VLOOKUP(AK155,Calculs!$A$19:$S$425,19,FALSE))&gt;=AL155,TRUE,FALSE))</f>
        <v>1</v>
      </c>
      <c r="AN155" s="158"/>
      <c r="AO155" s="158"/>
      <c r="AP155" s="158"/>
      <c r="AQ155" s="158" t="b">
        <f>IF(AN155="",TRUE,IF(IF(AO155="",VLOOKUP(AN155,Calculs!$A$19:$S$425,19,FALSE),VLOOKUP(AO155,Calculs!$A$19:$S$425,19,FALSE))&gt;=AP155,TRUE,FALSE))</f>
        <v>1</v>
      </c>
      <c r="AR155" s="158"/>
      <c r="AS155" s="158" t="b">
        <f>IF(AR155="",TRUE,IF(VLOOKUP(AR155,Calculs!$A$427:$G$738,7,FALSE)&gt;0,TRUE,FALSE))</f>
        <v>1</v>
      </c>
      <c r="AT155" s="158"/>
      <c r="AU155" s="158" t="b">
        <f>IF(AT155="",TRUE,IF(VLOOKUP(AT155,Calculs!$A$740:$G$912,7,FALSE)&gt;0,TRUE,FALSE))</f>
        <v>1</v>
      </c>
      <c r="AV155" s="158" t="b">
        <f t="shared" si="15"/>
        <v>1</v>
      </c>
      <c r="AW155" s="158" t="s">
        <v>2078</v>
      </c>
      <c r="AX155" s="162" t="s">
        <v>143</v>
      </c>
      <c r="AY155" s="15">
        <v>233</v>
      </c>
      <c r="AZ155" s="555" t="s">
        <v>2338</v>
      </c>
      <c r="BA155" s="559">
        <f>IF(Verso!$B$10=Voies!$B155,1,0)</f>
        <v>0</v>
      </c>
      <c r="BB155" s="12">
        <f>IF(Verso!$B$11=Voies!$B155,1,0)</f>
        <v>0</v>
      </c>
      <c r="BC155" s="12">
        <f>IF(Verso!$B$12=Voies!$B155,1,0)</f>
        <v>0</v>
      </c>
      <c r="BD155" s="12">
        <f>IF(Verso!$B$13=Voies!$B155,1,0)</f>
        <v>0</v>
      </c>
      <c r="BE155" s="12">
        <f>IF(Verso!$B$14=Voies!$B155,1,0)</f>
        <v>0</v>
      </c>
      <c r="BF155" s="12">
        <f>IF(Verso!$B$15=Voies!$B155,1,0)</f>
        <v>0</v>
      </c>
      <c r="BG155" s="12">
        <f>IF(Verso!$B$16=Voies!$B155,1,0)</f>
        <v>0</v>
      </c>
      <c r="BH155" s="12">
        <f>IF(Verso!$B$17=Voies!$B155,1,0)</f>
        <v>0</v>
      </c>
      <c r="BI155" s="557">
        <f t="shared" si="16"/>
        <v>0</v>
      </c>
      <c r="BJ155" s="196" t="str">
        <f t="shared" si="17"/>
        <v/>
      </c>
      <c r="BK155" s="196" t="str">
        <f t="shared" si="18"/>
        <v/>
      </c>
      <c r="BL155" s="295" t="str">
        <f t="shared" si="19"/>
        <v/>
      </c>
      <c r="BM155" s="577"/>
    </row>
    <row r="156" spans="1:65" s="3" customFormat="1" ht="47.25" customHeight="1" x14ac:dyDescent="0.25">
      <c r="A156" s="162" t="str">
        <f>IF(AND(Réputation&gt;Voies!E156-1,OR(C156=TRUE,Calculs!$I$8&gt;0),Air&gt;Voies!J156-1,Eau&gt;Voies!K156-1,Feu&gt;Voies!L156-1,Terre&gt;Voies!M156-1,Vide&gt;Voies!N156-1,Constitution&gt;Voies!O156-1,Volonté&gt;Voies!P156-1,Force&gt;Voies!Q156-1,Perception&gt;Voies!R156-1,Reflexes&gt;Voies!S156-1,Agilité&gt;Voies!T156-1,Intuition&gt;Voies!U156-1,Intelligence&gt;Voies!V156-1,Souillure&gt;Voies!W156-1,Honneur&gt;X156-1,Statut&gt;Y156-1,Gloire&gt;Z156-1,AV156=TRUE),Voies!B156,"")</f>
        <v/>
      </c>
      <c r="B156" s="162" t="s">
        <v>2764</v>
      </c>
      <c r="C156" s="162" t="b">
        <f>IF(Clan=Voies!D156,TRUE,FALSE)</f>
        <v>0</v>
      </c>
      <c r="D156" s="388" t="s">
        <v>341</v>
      </c>
      <c r="E156" s="13">
        <v>1</v>
      </c>
      <c r="F156" s="199">
        <v>1</v>
      </c>
      <c r="G156" s="13" t="s">
        <v>2050</v>
      </c>
      <c r="H156" s="162" t="s">
        <v>256</v>
      </c>
      <c r="I156" s="129" t="str">
        <f t="shared" si="14"/>
        <v>Rien</v>
      </c>
      <c r="J156" s="146">
        <v>0</v>
      </c>
      <c r="K156" s="147">
        <v>0</v>
      </c>
      <c r="L156" s="148">
        <v>0</v>
      </c>
      <c r="M156" s="149">
        <v>0</v>
      </c>
      <c r="N156" s="150">
        <v>0</v>
      </c>
      <c r="O156" s="130">
        <v>0</v>
      </c>
      <c r="P156" s="130">
        <v>0</v>
      </c>
      <c r="Q156" s="130">
        <v>0</v>
      </c>
      <c r="R156" s="130">
        <v>0</v>
      </c>
      <c r="S156" s="130">
        <v>0</v>
      </c>
      <c r="T156" s="130">
        <v>0</v>
      </c>
      <c r="U156" s="130">
        <v>0</v>
      </c>
      <c r="V156" s="524">
        <v>0</v>
      </c>
      <c r="W156" s="130">
        <v>0</v>
      </c>
      <c r="X156" s="130">
        <v>0</v>
      </c>
      <c r="Y156" s="130">
        <v>0</v>
      </c>
      <c r="Z156" s="130">
        <v>0</v>
      </c>
      <c r="AA156" s="158" t="s">
        <v>2078</v>
      </c>
      <c r="AB156" s="158"/>
      <c r="AC156" s="158"/>
      <c r="AD156" s="158"/>
      <c r="AE156" s="158" t="b">
        <f>IF(AB156="",TRUE,IF(IF(AC156="",VLOOKUP(AB156,Calculs!$A$19:$S$425,19,FALSE),VLOOKUP(AC156,Calculs!$A$19:$S$425,19,FALSE))&gt;=AD156,TRUE,FALSE))</f>
        <v>1</v>
      </c>
      <c r="AF156" s="158"/>
      <c r="AG156" s="158"/>
      <c r="AH156" s="158"/>
      <c r="AI156" s="158" t="b">
        <f>IF(AF156="",TRUE,IF(IF(AG156="",VLOOKUP(AF156,Calculs!$A$19:$S$425,19,FALSE),VLOOKUP(AG156,Calculs!$A$19:$S$425,19,FALSE))&gt;=AH156,TRUE,FALSE))</f>
        <v>1</v>
      </c>
      <c r="AJ156" s="158"/>
      <c r="AK156" s="158"/>
      <c r="AL156" s="158"/>
      <c r="AM156" s="158" t="b">
        <f>IF(AJ156="",TRUE,IF(IF(AK156="",VLOOKUP(AJ156,Calculs!$A$19:$S$425,19,FALSE),VLOOKUP(AK156,Calculs!$A$19:$S$425,19,FALSE))&gt;=AL156,TRUE,FALSE))</f>
        <v>1</v>
      </c>
      <c r="AN156" s="158"/>
      <c r="AO156" s="158"/>
      <c r="AP156" s="158"/>
      <c r="AQ156" s="158" t="b">
        <f>IF(AN156="",TRUE,IF(IF(AO156="",VLOOKUP(AN156,Calculs!$A$19:$S$425,19,FALSE),VLOOKUP(AO156,Calculs!$A$19:$S$425,19,FALSE))&gt;=AP156,TRUE,FALSE))</f>
        <v>1</v>
      </c>
      <c r="AR156" s="158"/>
      <c r="AS156" s="158" t="b">
        <f>IF(AR156="",TRUE,IF(VLOOKUP(AR156,Calculs!$A$427:$G$738,7,FALSE)&gt;0,TRUE,FALSE))</f>
        <v>1</v>
      </c>
      <c r="AT156" s="158"/>
      <c r="AU156" s="158" t="b">
        <f>IF(AT156="",TRUE,IF(VLOOKUP(AT156,Calculs!$A$740:$G$912,7,FALSE)&gt;0,TRUE,FALSE))</f>
        <v>1</v>
      </c>
      <c r="AV156" s="158" t="b">
        <f t="shared" si="15"/>
        <v>1</v>
      </c>
      <c r="AW156" s="158" t="s">
        <v>2078</v>
      </c>
      <c r="AX156" s="162" t="s">
        <v>118</v>
      </c>
      <c r="AY156" s="15">
        <v>194</v>
      </c>
      <c r="AZ156" s="555" t="s">
        <v>2765</v>
      </c>
      <c r="BA156" s="559">
        <f>IF(Verso!$B$10=Voies!$B156,1,0)</f>
        <v>0</v>
      </c>
      <c r="BB156" s="12">
        <f>IF(Verso!$B$11=Voies!$B156,1,0)</f>
        <v>0</v>
      </c>
      <c r="BC156" s="12">
        <f>IF(Verso!$B$12=Voies!$B156,1,0)</f>
        <v>0</v>
      </c>
      <c r="BD156" s="12">
        <f>IF(Verso!$B$13=Voies!$B156,1,0)</f>
        <v>0</v>
      </c>
      <c r="BE156" s="12">
        <f>IF(Verso!$B$14=Voies!$B156,1,0)</f>
        <v>0</v>
      </c>
      <c r="BF156" s="12">
        <f>IF(Verso!$B$15=Voies!$B156,1,0)</f>
        <v>0</v>
      </c>
      <c r="BG156" s="12">
        <f>IF(Verso!$B$16=Voies!$B156,1,0)</f>
        <v>0</v>
      </c>
      <c r="BH156" s="12">
        <f>IF(Verso!$B$17=Voies!$B156,1,0)</f>
        <v>0</v>
      </c>
      <c r="BI156" s="557">
        <f t="shared" si="16"/>
        <v>0</v>
      </c>
      <c r="BJ156" s="196" t="str">
        <f t="shared" si="17"/>
        <v/>
      </c>
      <c r="BK156" s="196" t="str">
        <f t="shared" si="18"/>
        <v/>
      </c>
      <c r="BL156" s="295" t="str">
        <f t="shared" si="19"/>
        <v/>
      </c>
      <c r="BM156" s="577"/>
    </row>
    <row r="157" spans="1:65" s="3" customFormat="1" ht="47.25" customHeight="1" x14ac:dyDescent="0.25">
      <c r="A157" s="162" t="str">
        <f>IF(AND(Réputation&gt;Voies!E157-1,OR(C157=TRUE,Calculs!$I$8&gt;0),Air&gt;Voies!J157-1,Eau&gt;Voies!K157-1,Feu&gt;Voies!L157-1,Terre&gt;Voies!M157-1,Vide&gt;Voies!N157-1,Constitution&gt;Voies!O157-1,Volonté&gt;Voies!P157-1,Force&gt;Voies!Q157-1,Perception&gt;Voies!R157-1,Reflexes&gt;Voies!S157-1,Agilité&gt;Voies!T157-1,Intuition&gt;Voies!U157-1,Intelligence&gt;Voies!V157-1,Souillure&gt;Voies!W157-1,Honneur&gt;X157-1,Statut&gt;Y157-1,Gloire&gt;Z157-1,AV157=TRUE),Voies!B157,"")</f>
        <v/>
      </c>
      <c r="B157" s="162" t="s">
        <v>5844</v>
      </c>
      <c r="C157" s="162" t="b">
        <f>IF(Clan=Voies!D157,TRUE,FALSE)</f>
        <v>0</v>
      </c>
      <c r="D157" s="388" t="s">
        <v>341</v>
      </c>
      <c r="E157" s="13">
        <v>1</v>
      </c>
      <c r="F157" s="199">
        <v>1</v>
      </c>
      <c r="G157" s="13" t="s">
        <v>2050</v>
      </c>
      <c r="H157" s="162" t="s">
        <v>4404</v>
      </c>
      <c r="I157" s="129" t="s">
        <v>3370</v>
      </c>
      <c r="J157" s="146">
        <v>0</v>
      </c>
      <c r="K157" s="147">
        <v>0</v>
      </c>
      <c r="L157" s="148">
        <v>0</v>
      </c>
      <c r="M157" s="149">
        <v>0</v>
      </c>
      <c r="N157" s="150">
        <v>0</v>
      </c>
      <c r="O157" s="130">
        <v>0</v>
      </c>
      <c r="P157" s="130">
        <v>0</v>
      </c>
      <c r="Q157" s="130">
        <v>0</v>
      </c>
      <c r="R157" s="130">
        <v>0</v>
      </c>
      <c r="S157" s="130">
        <v>0</v>
      </c>
      <c r="T157" s="130">
        <v>0</v>
      </c>
      <c r="U157" s="130">
        <v>0</v>
      </c>
      <c r="V157" s="524">
        <v>0</v>
      </c>
      <c r="W157" s="130">
        <v>0</v>
      </c>
      <c r="X157" s="130">
        <v>0</v>
      </c>
      <c r="Y157" s="130">
        <v>0</v>
      </c>
      <c r="Z157" s="130">
        <v>0</v>
      </c>
      <c r="AA157" s="158" t="s">
        <v>2078</v>
      </c>
      <c r="AB157" s="158"/>
      <c r="AC157" s="158"/>
      <c r="AD157" s="158"/>
      <c r="AE157" s="158" t="b">
        <f>IF(AB157="",TRUE,IF(IF(AC157="",VLOOKUP(AB157,Calculs!$A$19:$S$425,19,FALSE),VLOOKUP(AC157,Calculs!$A$19:$S$425,19,FALSE))&gt;=AD157,TRUE,FALSE))</f>
        <v>1</v>
      </c>
      <c r="AF157" s="158"/>
      <c r="AG157" s="158"/>
      <c r="AH157" s="158"/>
      <c r="AI157" s="158" t="b">
        <f>IF(AF157="",TRUE,IF(IF(AG157="",VLOOKUP(AF157,Calculs!$A$19:$S$425,19,FALSE),VLOOKUP(AG157,Calculs!$A$19:$S$425,19,FALSE))&gt;=AH157,TRUE,FALSE))</f>
        <v>1</v>
      </c>
      <c r="AJ157" s="158"/>
      <c r="AK157" s="158"/>
      <c r="AL157" s="158"/>
      <c r="AM157" s="158" t="b">
        <f>IF(AJ157="",TRUE,IF(IF(AK157="",VLOOKUP(AJ157,Calculs!$A$19:$S$425,19,FALSE),VLOOKUP(AK157,Calculs!$A$19:$S$425,19,FALSE))&gt;=AL157,TRUE,FALSE))</f>
        <v>1</v>
      </c>
      <c r="AN157" s="158"/>
      <c r="AO157" s="158"/>
      <c r="AP157" s="158"/>
      <c r="AQ157" s="158" t="b">
        <f>IF(AN157="",TRUE,IF(IF(AO157="",VLOOKUP(AN157,Calculs!$A$19:$S$425,19,FALSE),VLOOKUP(AO157,Calculs!$A$19:$S$425,19,FALSE))&gt;=AP157,TRUE,FALSE))</f>
        <v>1</v>
      </c>
      <c r="AR157" s="158"/>
      <c r="AS157" s="158" t="b">
        <f>IF(AR157="",TRUE,IF(VLOOKUP(AR157,Calculs!$A$427:$G$738,7,FALSE)&gt;0,TRUE,FALSE))</f>
        <v>1</v>
      </c>
      <c r="AT157" s="158"/>
      <c r="AU157" s="158" t="b">
        <f>IF(AT157="",TRUE,IF(VLOOKUP(AT157,Calculs!$A$740:$G$912,7,FALSE)&gt;0,TRUE,FALSE))</f>
        <v>1</v>
      </c>
      <c r="AV157" s="158" t="b">
        <f t="shared" si="15"/>
        <v>1</v>
      </c>
      <c r="AW157" s="158" t="s">
        <v>2078</v>
      </c>
      <c r="AX157" s="162" t="s">
        <v>4403</v>
      </c>
      <c r="AY157" s="15">
        <v>187</v>
      </c>
      <c r="AZ157" s="566" t="s">
        <v>5847</v>
      </c>
      <c r="BA157" s="559">
        <f>IF(Verso!$B$10=Voies!$B157,1,0)</f>
        <v>0</v>
      </c>
      <c r="BB157" s="12">
        <f>IF(Verso!$B$11=Voies!$B157,1,0)</f>
        <v>0</v>
      </c>
      <c r="BC157" s="12">
        <f>IF(Verso!$B$12=Voies!$B157,1,0)</f>
        <v>0</v>
      </c>
      <c r="BD157" s="12">
        <f>IF(Verso!$B$13=Voies!$B157,1,0)</f>
        <v>0</v>
      </c>
      <c r="BE157" s="12">
        <f>IF(Verso!$B$14=Voies!$B157,1,0)</f>
        <v>0</v>
      </c>
      <c r="BF157" s="12">
        <f>IF(Verso!$B$15=Voies!$B157,1,0)</f>
        <v>0</v>
      </c>
      <c r="BG157" s="12">
        <f>IF(Verso!$B$16=Voies!$B157,1,0)</f>
        <v>0</v>
      </c>
      <c r="BH157" s="12">
        <f>IF(Verso!$B$17=Voies!$B157,1,0)</f>
        <v>0</v>
      </c>
      <c r="BI157" s="557">
        <f t="shared" si="16"/>
        <v>0</v>
      </c>
      <c r="BJ157" s="196" t="str">
        <f t="shared" si="17"/>
        <v/>
      </c>
      <c r="BK157" s="196" t="str">
        <f t="shared" si="18"/>
        <v/>
      </c>
      <c r="BL157" s="295" t="str">
        <f t="shared" si="19"/>
        <v/>
      </c>
      <c r="BM157" s="577"/>
    </row>
    <row r="158" spans="1:65" s="197" customFormat="1" ht="47.25" customHeight="1" x14ac:dyDescent="0.25">
      <c r="A158" s="162" t="str">
        <f>IF(AND(Réputation&gt;Voies!E158-1,OR(C158=TRUE,Calculs!$I$8&gt;0),Air&gt;Voies!J158-1,Eau&gt;Voies!K158-1,Feu&gt;Voies!L158-1,Terre&gt;Voies!M158-1,Vide&gt;Voies!N158-1,Constitution&gt;Voies!O158-1,Volonté&gt;Voies!P158-1,Force&gt;Voies!Q158-1,Perception&gt;Voies!R158-1,Reflexes&gt;Voies!S158-1,Agilité&gt;Voies!T158-1,Intuition&gt;Voies!U158-1,Intelligence&gt;Voies!V158-1,Souillure&gt;Voies!W158-1,Honneur&gt;X158-1,Statut&gt;Y158-1,Gloire&gt;Z158-1,AV158=TRUE),Voies!B158,"")</f>
        <v/>
      </c>
      <c r="B158" s="162" t="s">
        <v>6300</v>
      </c>
      <c r="C158" s="162" t="b">
        <f>IF(Clan=Voies!D158,TRUE,FALSE)</f>
        <v>0</v>
      </c>
      <c r="D158" s="388" t="s">
        <v>341</v>
      </c>
      <c r="E158" s="199">
        <v>1</v>
      </c>
      <c r="F158" s="199">
        <v>1</v>
      </c>
      <c r="G158" s="199" t="s">
        <v>2050</v>
      </c>
      <c r="H158" s="162" t="s">
        <v>6298</v>
      </c>
      <c r="I158" s="129" t="s">
        <v>3370</v>
      </c>
      <c r="J158" s="146">
        <v>0</v>
      </c>
      <c r="K158" s="147">
        <v>0</v>
      </c>
      <c r="L158" s="148">
        <v>0</v>
      </c>
      <c r="M158" s="149">
        <v>0</v>
      </c>
      <c r="N158" s="150">
        <v>0</v>
      </c>
      <c r="O158" s="130">
        <v>0</v>
      </c>
      <c r="P158" s="130">
        <v>0</v>
      </c>
      <c r="Q158" s="130">
        <v>0</v>
      </c>
      <c r="R158" s="130">
        <v>0</v>
      </c>
      <c r="S158" s="130">
        <v>0</v>
      </c>
      <c r="T158" s="130">
        <v>0</v>
      </c>
      <c r="U158" s="130">
        <v>0</v>
      </c>
      <c r="V158" s="524">
        <v>0</v>
      </c>
      <c r="W158" s="130">
        <v>0</v>
      </c>
      <c r="X158" s="130">
        <v>0</v>
      </c>
      <c r="Y158" s="130">
        <v>0</v>
      </c>
      <c r="Z158" s="130">
        <v>0</v>
      </c>
      <c r="AA158" s="158" t="s">
        <v>2078</v>
      </c>
      <c r="AB158" s="158"/>
      <c r="AC158" s="158"/>
      <c r="AD158" s="158"/>
      <c r="AE158" s="158" t="b">
        <f>IF(AB158="",TRUE,IF(IF(AC158="",VLOOKUP(AB158,Calculs!$A$19:$S$425,19,FALSE),VLOOKUP(AC158,Calculs!$A$19:$S$425,19,FALSE))&gt;=AD158,TRUE,FALSE))</f>
        <v>1</v>
      </c>
      <c r="AF158" s="158"/>
      <c r="AG158" s="158"/>
      <c r="AH158" s="158"/>
      <c r="AI158" s="158" t="b">
        <f>IF(AF158="",TRUE,IF(IF(AG158="",VLOOKUP(AF158,Calculs!$A$19:$S$425,19,FALSE),VLOOKUP(AG158,Calculs!$A$19:$S$425,19,FALSE))&gt;=AH158,TRUE,FALSE))</f>
        <v>1</v>
      </c>
      <c r="AJ158" s="158"/>
      <c r="AK158" s="158"/>
      <c r="AL158" s="158"/>
      <c r="AM158" s="158" t="b">
        <f>IF(AJ158="",TRUE,IF(IF(AK158="",VLOOKUP(AJ158,Calculs!$A$19:$S$425,19,FALSE),VLOOKUP(AK158,Calculs!$A$19:$S$425,19,FALSE))&gt;=AL158,TRUE,FALSE))</f>
        <v>1</v>
      </c>
      <c r="AN158" s="158"/>
      <c r="AO158" s="158"/>
      <c r="AP158" s="158"/>
      <c r="AQ158" s="158" t="b">
        <f>IF(AN158="",TRUE,IF(IF(AO158="",VLOOKUP(AN158,Calculs!$A$19:$S$425,19,FALSE),VLOOKUP(AO158,Calculs!$A$19:$S$425,19,FALSE))&gt;=AP158,TRUE,FALSE))</f>
        <v>1</v>
      </c>
      <c r="AR158" s="158"/>
      <c r="AS158" s="158" t="b">
        <f>IF(AR158="",TRUE,IF(VLOOKUP(AR158,Calculs!$A$427:$G$738,7,FALSE)&gt;0,TRUE,FALSE))</f>
        <v>1</v>
      </c>
      <c r="AT158" s="158"/>
      <c r="AU158" s="158" t="b">
        <f>IF(AT158="",TRUE,IF(VLOOKUP(AT158,Calculs!$A$740:$G$912,7,FALSE)&gt;0,TRUE,FALSE))</f>
        <v>1</v>
      </c>
      <c r="AV158" s="158" t="b">
        <f t="shared" si="15"/>
        <v>1</v>
      </c>
      <c r="AW158" s="158" t="s">
        <v>2078</v>
      </c>
      <c r="AX158" s="162" t="s">
        <v>6192</v>
      </c>
      <c r="AY158" s="15">
        <v>193</v>
      </c>
      <c r="AZ158" s="566" t="str">
        <f>CONCATENATE("Après avoir contemplé une situation hors d'un combat, réussissez un Test de Méditation/Vide ND 25 (plus élevé pour les situations complexes). En cas de succès,+1g1 +",Vide," à tout test de compétence que vous faites pour essayer de résoudre cette situation particulière.")</f>
        <v>Après avoir contemplé une situation hors d'un combat, réussissez un Test de Méditation/Vide ND 25 (plus élevé pour les situations complexes). En cas de succès,+1g1 +2 à tout test de compétence que vous faites pour essayer de résoudre cette situation particulière.</v>
      </c>
      <c r="BA158" s="559">
        <f>IF(Verso!$B$10=Voies!$B158,1,0)</f>
        <v>0</v>
      </c>
      <c r="BB158" s="12">
        <f>IF(Verso!$B$11=Voies!$B158,1,0)</f>
        <v>0</v>
      </c>
      <c r="BC158" s="12">
        <f>IF(Verso!$B$12=Voies!$B158,1,0)</f>
        <v>0</v>
      </c>
      <c r="BD158" s="12">
        <f>IF(Verso!$B$13=Voies!$B158,1,0)</f>
        <v>0</v>
      </c>
      <c r="BE158" s="12">
        <f>IF(Verso!$B$14=Voies!$B158,1,0)</f>
        <v>0</v>
      </c>
      <c r="BF158" s="12">
        <f>IF(Verso!$B$15=Voies!$B158,1,0)</f>
        <v>0</v>
      </c>
      <c r="BG158" s="12">
        <f>IF(Verso!$B$16=Voies!$B158,1,0)</f>
        <v>0</v>
      </c>
      <c r="BH158" s="12">
        <f>IF(Verso!$B$17=Voies!$B158,1,0)</f>
        <v>0</v>
      </c>
      <c r="BI158" s="557">
        <f t="shared" si="16"/>
        <v>0</v>
      </c>
      <c r="BJ158" s="196" t="str">
        <f t="shared" si="17"/>
        <v/>
      </c>
      <c r="BK158" s="196" t="str">
        <f t="shared" si="18"/>
        <v/>
      </c>
      <c r="BL158" s="295" t="str">
        <f t="shared" si="19"/>
        <v/>
      </c>
      <c r="BM158" s="577"/>
    </row>
    <row r="159" spans="1:65" ht="47.25" customHeight="1" x14ac:dyDescent="0.25">
      <c r="A159" s="162" t="str">
        <f>IF(AND(Réputation&gt;Voies!E159-1,OR(C159=TRUE,Calculs!$I$8&gt;0),Air&gt;Voies!J159-1,Eau&gt;Voies!K159-1,Feu&gt;Voies!L159-1,Terre&gt;Voies!M159-1,Vide&gt;Voies!N159-1,Constitution&gt;Voies!O159-1,Volonté&gt;Voies!P159-1,Force&gt;Voies!Q159-1,Perception&gt;Voies!R159-1,Reflexes&gt;Voies!S159-1,Agilité&gt;Voies!T159-1,Intuition&gt;Voies!U159-1,Intelligence&gt;Voies!V159-1,Souillure&gt;Voies!W159-1,Honneur&gt;X159-1,Statut&gt;Y159-1,Gloire&gt;Z159-1,AV159=TRUE),Voies!B159,"")</f>
        <v/>
      </c>
      <c r="B159" s="162" t="s">
        <v>5854</v>
      </c>
      <c r="C159" s="162" t="b">
        <f>IF(Clan=Voies!D159,TRUE,FALSE)</f>
        <v>0</v>
      </c>
      <c r="D159" s="388" t="s">
        <v>341</v>
      </c>
      <c r="E159" s="13">
        <v>1</v>
      </c>
      <c r="F159" s="199">
        <v>1</v>
      </c>
      <c r="G159" s="13" t="s">
        <v>2050</v>
      </c>
      <c r="H159" s="162" t="s">
        <v>4405</v>
      </c>
      <c r="I159" s="129" t="s">
        <v>3370</v>
      </c>
      <c r="J159" s="146">
        <v>0</v>
      </c>
      <c r="K159" s="147">
        <v>0</v>
      </c>
      <c r="L159" s="148">
        <v>0</v>
      </c>
      <c r="M159" s="149">
        <v>0</v>
      </c>
      <c r="N159" s="150">
        <v>0</v>
      </c>
      <c r="O159" s="130">
        <v>0</v>
      </c>
      <c r="P159" s="130">
        <v>0</v>
      </c>
      <c r="Q159" s="130">
        <v>0</v>
      </c>
      <c r="R159" s="130">
        <v>0</v>
      </c>
      <c r="S159" s="130">
        <v>0</v>
      </c>
      <c r="T159" s="130">
        <v>0</v>
      </c>
      <c r="U159" s="130">
        <v>0</v>
      </c>
      <c r="V159" s="524">
        <v>0</v>
      </c>
      <c r="W159" s="130">
        <v>0</v>
      </c>
      <c r="X159" s="130">
        <v>0</v>
      </c>
      <c r="Y159" s="130">
        <v>0</v>
      </c>
      <c r="Z159" s="130">
        <v>0</v>
      </c>
      <c r="AA159" s="158" t="s">
        <v>2078</v>
      </c>
      <c r="AB159" s="158"/>
      <c r="AC159" s="158"/>
      <c r="AD159" s="158"/>
      <c r="AE159" s="158" t="b">
        <f>IF(AB159="",TRUE,IF(IF(AC159="",VLOOKUP(AB159,Calculs!$A$19:$S$425,19,FALSE),VLOOKUP(AC159,Calculs!$A$19:$S$425,19,FALSE))&gt;=AD159,TRUE,FALSE))</f>
        <v>1</v>
      </c>
      <c r="AF159" s="158"/>
      <c r="AG159" s="158"/>
      <c r="AH159" s="158"/>
      <c r="AI159" s="158" t="b">
        <f>IF(AF159="",TRUE,IF(IF(AG159="",VLOOKUP(AF159,Calculs!$A$19:$S$425,19,FALSE),VLOOKUP(AG159,Calculs!$A$19:$S$425,19,FALSE))&gt;=AH159,TRUE,FALSE))</f>
        <v>1</v>
      </c>
      <c r="AJ159" s="158"/>
      <c r="AK159" s="158"/>
      <c r="AL159" s="158"/>
      <c r="AM159" s="158" t="b">
        <f>IF(AJ159="",TRUE,IF(IF(AK159="",VLOOKUP(AJ159,Calculs!$A$19:$S$425,19,FALSE),VLOOKUP(AK159,Calculs!$A$19:$S$425,19,FALSE))&gt;=AL159,TRUE,FALSE))</f>
        <v>1</v>
      </c>
      <c r="AN159" s="158"/>
      <c r="AO159" s="158"/>
      <c r="AP159" s="158"/>
      <c r="AQ159" s="158" t="b">
        <f>IF(AN159="",TRUE,IF(IF(AO159="",VLOOKUP(AN159,Calculs!$A$19:$S$425,19,FALSE),VLOOKUP(AO159,Calculs!$A$19:$S$425,19,FALSE))&gt;=AP159,TRUE,FALSE))</f>
        <v>1</v>
      </c>
      <c r="AR159" s="158"/>
      <c r="AS159" s="158" t="b">
        <f>IF(AR159="",TRUE,IF(VLOOKUP(AR159,Calculs!$A$427:$G$738,7,FALSE)&gt;0,TRUE,FALSE))</f>
        <v>1</v>
      </c>
      <c r="AT159" s="158" t="s">
        <v>821</v>
      </c>
      <c r="AU159" s="158" t="b">
        <f>IF(AT159="",TRUE,IF(VLOOKUP(AT159,Calculs!$A$740:$G$912,7,FALSE)&gt;0,TRUE,FALSE))</f>
        <v>0</v>
      </c>
      <c r="AV159" s="158" t="b">
        <f t="shared" si="15"/>
        <v>0</v>
      </c>
      <c r="AW159" s="159" t="s">
        <v>3790</v>
      </c>
      <c r="AX159" s="162" t="s">
        <v>4403</v>
      </c>
      <c r="AY159" s="15">
        <v>187</v>
      </c>
      <c r="AZ159" s="566" t="s">
        <v>5855</v>
      </c>
      <c r="BA159" s="559">
        <f>IF(Verso!$B$10=Voies!$B159,1,0)</f>
        <v>0</v>
      </c>
      <c r="BB159" s="12">
        <f>IF(Verso!$B$11=Voies!$B159,1,0)</f>
        <v>0</v>
      </c>
      <c r="BC159" s="12">
        <f>IF(Verso!$B$12=Voies!$B159,1,0)</f>
        <v>0</v>
      </c>
      <c r="BD159" s="12">
        <f>IF(Verso!$B$13=Voies!$B159,1,0)</f>
        <v>0</v>
      </c>
      <c r="BE159" s="12">
        <f>IF(Verso!$B$14=Voies!$B159,1,0)</f>
        <v>0</v>
      </c>
      <c r="BF159" s="12">
        <f>IF(Verso!$B$15=Voies!$B159,1,0)</f>
        <v>0</v>
      </c>
      <c r="BG159" s="12">
        <f>IF(Verso!$B$16=Voies!$B159,1,0)</f>
        <v>0</v>
      </c>
      <c r="BH159" s="12">
        <f>IF(Verso!$B$17=Voies!$B159,1,0)</f>
        <v>0</v>
      </c>
      <c r="BI159" s="557">
        <f t="shared" si="16"/>
        <v>0</v>
      </c>
      <c r="BJ159" s="196" t="str">
        <f t="shared" si="17"/>
        <v/>
      </c>
      <c r="BK159" s="196" t="str">
        <f t="shared" si="18"/>
        <v/>
      </c>
      <c r="BL159" s="295" t="str">
        <f t="shared" si="19"/>
        <v/>
      </c>
    </row>
    <row r="160" spans="1:65" ht="47.25" customHeight="1" x14ac:dyDescent="0.25">
      <c r="A160" s="162" t="str">
        <f>IF(AND(Réputation&gt;Voies!E160-1,OR(C160=TRUE,Calculs!$I$8&gt;0),Air&gt;Voies!J160-1,Eau&gt;Voies!K160-1,Feu&gt;Voies!L160-1,Terre&gt;Voies!M160-1,Vide&gt;Voies!N160-1,Constitution&gt;Voies!O160-1,Volonté&gt;Voies!P160-1,Force&gt;Voies!Q160-1,Perception&gt;Voies!R160-1,Reflexes&gt;Voies!S160-1,Agilité&gt;Voies!T160-1,Intuition&gt;Voies!U160-1,Intelligence&gt;Voies!V160-1,Souillure&gt;Voies!W160-1,Honneur&gt;X160-1,Statut&gt;Y160-1,Gloire&gt;Z160-1,AV160=TRUE),Voies!B160,"")</f>
        <v/>
      </c>
      <c r="B160" s="162" t="s">
        <v>3659</v>
      </c>
      <c r="C160" s="162" t="b">
        <f>IF(Clan=Voies!D160,TRUE,FALSE)</f>
        <v>0</v>
      </c>
      <c r="D160" s="388" t="s">
        <v>341</v>
      </c>
      <c r="E160" s="13">
        <v>2</v>
      </c>
      <c r="F160" s="199">
        <v>2</v>
      </c>
      <c r="G160" s="13" t="s">
        <v>2050</v>
      </c>
      <c r="H160" s="129" t="s">
        <v>559</v>
      </c>
      <c r="I160" s="129" t="s">
        <v>3660</v>
      </c>
      <c r="J160" s="146">
        <v>0</v>
      </c>
      <c r="K160" s="147">
        <v>0</v>
      </c>
      <c r="L160" s="148">
        <v>0</v>
      </c>
      <c r="M160" s="149">
        <v>0</v>
      </c>
      <c r="N160" s="150">
        <v>0</v>
      </c>
      <c r="O160" s="130">
        <v>0</v>
      </c>
      <c r="P160" s="130">
        <v>0</v>
      </c>
      <c r="Q160" s="130">
        <v>0</v>
      </c>
      <c r="R160" s="130">
        <v>0</v>
      </c>
      <c r="S160" s="130">
        <v>0</v>
      </c>
      <c r="T160" s="130">
        <v>0</v>
      </c>
      <c r="U160" s="130">
        <v>0</v>
      </c>
      <c r="V160" s="524">
        <v>0</v>
      </c>
      <c r="W160" s="130">
        <v>0</v>
      </c>
      <c r="X160" s="130">
        <v>0</v>
      </c>
      <c r="Y160" s="130">
        <v>0</v>
      </c>
      <c r="Z160" s="130">
        <v>0</v>
      </c>
      <c r="AA160" s="159" t="s">
        <v>6334</v>
      </c>
      <c r="AB160" s="159" t="s">
        <v>3325</v>
      </c>
      <c r="AC160" s="159" t="s">
        <v>3214</v>
      </c>
      <c r="AD160" s="159">
        <v>3</v>
      </c>
      <c r="AE160" s="158" t="b">
        <f>IF(AB160="",TRUE,IF(IF(AC160="",VLOOKUP(AB160,Calculs!$A$19:$S$425,19,FALSE),VLOOKUP(AC160,Calculs!$A$19:$S$425,19,FALSE))&gt;=AD160,TRUE,FALSE))</f>
        <v>0</v>
      </c>
      <c r="AI160" s="158" t="b">
        <f>IF(AF160="",TRUE,IF(IF(AG160="",VLOOKUP(AF160,Calculs!$A$19:$S$425,19,FALSE),VLOOKUP(AG160,Calculs!$A$19:$S$425,19,FALSE))&gt;=AH160,TRUE,FALSE))</f>
        <v>1</v>
      </c>
      <c r="AM160" s="158" t="b">
        <f>IF(AJ160="",TRUE,IF(IF(AK160="",VLOOKUP(AJ160,Calculs!$A$19:$S$425,19,FALSE),VLOOKUP(AK160,Calculs!$A$19:$S$425,19,FALSE))&gt;=AL160,TRUE,FALSE))</f>
        <v>1</v>
      </c>
      <c r="AQ160" s="158" t="b">
        <f>IF(AN160="",TRUE,IF(IF(AO160="",VLOOKUP(AN160,Calculs!$A$19:$S$425,19,FALSE),VLOOKUP(AO160,Calculs!$A$19:$S$425,19,FALSE))&gt;=AP160,TRUE,FALSE))</f>
        <v>1</v>
      </c>
      <c r="AR160" s="158"/>
      <c r="AS160" s="158" t="b">
        <f>IF(AR160="",TRUE,IF(VLOOKUP(AR160,Calculs!$A$427:$G$738,7,FALSE)&gt;0,TRUE,FALSE))</f>
        <v>1</v>
      </c>
      <c r="AT160" s="158"/>
      <c r="AU160" s="158" t="b">
        <f>IF(AT160="",TRUE,IF(VLOOKUP(AT160,Calculs!$A$740:$G$912,7,FALSE)&gt;0,TRUE,FALSE))</f>
        <v>1</v>
      </c>
      <c r="AV160" s="158" t="b">
        <f t="shared" si="15"/>
        <v>0</v>
      </c>
      <c r="AW160" s="158" t="s">
        <v>2078</v>
      </c>
      <c r="AX160" s="162" t="s">
        <v>2077</v>
      </c>
      <c r="AY160" s="15">
        <v>69</v>
      </c>
      <c r="AZ160" s="555" t="s">
        <v>8496</v>
      </c>
      <c r="BA160" s="559">
        <f>IF(Verso!$B$10=Voies!$B160,1,0)</f>
        <v>0</v>
      </c>
      <c r="BB160" s="12">
        <f>IF(Verso!$B$11=Voies!$B160,1,0)</f>
        <v>0</v>
      </c>
      <c r="BC160" s="12">
        <f>IF(Verso!$B$12=Voies!$B160,1,0)</f>
        <v>0</v>
      </c>
      <c r="BD160" s="12">
        <f>IF(Verso!$B$13=Voies!$B160,1,0)</f>
        <v>0</v>
      </c>
      <c r="BE160" s="12">
        <f>IF(Verso!$B$14=Voies!$B160,1,0)</f>
        <v>0</v>
      </c>
      <c r="BF160" s="12">
        <f>IF(Verso!$B$15=Voies!$B160,1,0)</f>
        <v>0</v>
      </c>
      <c r="BG160" s="12">
        <f>IF(Verso!$B$16=Voies!$B160,1,0)</f>
        <v>0</v>
      </c>
      <c r="BH160" s="12">
        <f>IF(Verso!$B$17=Voies!$B160,1,0)</f>
        <v>0</v>
      </c>
      <c r="BI160" s="557">
        <f t="shared" si="16"/>
        <v>0</v>
      </c>
      <c r="BJ160" s="196" t="str">
        <f t="shared" si="17"/>
        <v/>
      </c>
      <c r="BK160" s="196" t="str">
        <f t="shared" si="18"/>
        <v/>
      </c>
      <c r="BL160" s="295" t="str">
        <f t="shared" si="19"/>
        <v/>
      </c>
    </row>
    <row r="161" spans="1:65" s="3" customFormat="1" ht="47.25" customHeight="1" x14ac:dyDescent="0.25">
      <c r="A161" s="162" t="str">
        <f>IF(AND(Réputation&gt;Voies!E161-1,OR(C161=TRUE,Calculs!$I$8&gt;0),Air&gt;Voies!J161-1,Eau&gt;Voies!K161-1,Feu&gt;Voies!L161-1,Terre&gt;Voies!M161-1,Vide&gt;Voies!N161-1,Constitution&gt;Voies!O161-1,Volonté&gt;Voies!P161-1,Force&gt;Voies!Q161-1,Perception&gt;Voies!R161-1,Reflexes&gt;Voies!S161-1,Agilité&gt;Voies!T161-1,Intuition&gt;Voies!U161-1,Intelligence&gt;Voies!V161-1,Souillure&gt;Voies!W161-1,Honneur&gt;X161-1,Statut&gt;Y161-1,Gloire&gt;Z161-1,AV161=TRUE),Voies!B161,"")</f>
        <v/>
      </c>
      <c r="B161" s="162" t="s">
        <v>3511</v>
      </c>
      <c r="C161" s="162" t="b">
        <f>IF(OR(Clan="Confrérie",Clan="Crabe",Clan="Phénix",Clan="Dragon"),TRUE,FALSE)</f>
        <v>0</v>
      </c>
      <c r="D161" s="388" t="s">
        <v>341</v>
      </c>
      <c r="E161" s="13">
        <v>2</v>
      </c>
      <c r="F161" s="199">
        <v>2</v>
      </c>
      <c r="G161" s="13" t="s">
        <v>2051</v>
      </c>
      <c r="H161" s="162" t="s">
        <v>564</v>
      </c>
      <c r="I161" s="129" t="s">
        <v>3507</v>
      </c>
      <c r="J161" s="146">
        <v>0</v>
      </c>
      <c r="K161" s="147">
        <v>0</v>
      </c>
      <c r="L161" s="148">
        <v>3</v>
      </c>
      <c r="M161" s="149">
        <v>0</v>
      </c>
      <c r="N161" s="150">
        <v>0</v>
      </c>
      <c r="O161" s="130">
        <v>0</v>
      </c>
      <c r="P161" s="130">
        <v>0</v>
      </c>
      <c r="Q161" s="130">
        <v>0</v>
      </c>
      <c r="R161" s="130">
        <v>0</v>
      </c>
      <c r="S161" s="130">
        <v>0</v>
      </c>
      <c r="T161" s="130">
        <v>0</v>
      </c>
      <c r="U161" s="130">
        <v>0</v>
      </c>
      <c r="V161" s="524">
        <v>0</v>
      </c>
      <c r="W161" s="130">
        <v>0</v>
      </c>
      <c r="X161" s="130">
        <v>0</v>
      </c>
      <c r="Y161" s="130">
        <v>0</v>
      </c>
      <c r="Z161" s="130">
        <v>0</v>
      </c>
      <c r="AA161" s="159" t="s">
        <v>3509</v>
      </c>
      <c r="AB161" s="159" t="s">
        <v>1223</v>
      </c>
      <c r="AC161" s="159" t="s">
        <v>3508</v>
      </c>
      <c r="AD161" s="159">
        <v>4</v>
      </c>
      <c r="AE161" s="158" t="b">
        <f>IF(AB161="",TRUE,IF(IF(AC161="",VLOOKUP(AB161,Calculs!$A$19:$S$425,19,FALSE),VLOOKUP(AC161,Calculs!$A$19:$S$425,19,FALSE))&gt;=AD161,TRUE,FALSE))</f>
        <v>0</v>
      </c>
      <c r="AF161" s="159"/>
      <c r="AG161" s="159"/>
      <c r="AH161" s="159"/>
      <c r="AI161" s="158" t="b">
        <f>IF(AF161="",TRUE,IF(IF(AG161="",VLOOKUP(AF161,Calculs!$A$19:$S$425,19,FALSE),VLOOKUP(AG161,Calculs!$A$19:$S$425,19,FALSE))&gt;=AH161,TRUE,FALSE))</f>
        <v>1</v>
      </c>
      <c r="AJ161" s="159"/>
      <c r="AK161" s="159"/>
      <c r="AL161" s="159"/>
      <c r="AM161" s="158" t="b">
        <f>IF(AJ161="",TRUE,IF(IF(AK161="",VLOOKUP(AJ161,Calculs!$A$19:$S$425,19,FALSE),VLOOKUP(AK161,Calculs!$A$19:$S$425,19,FALSE))&gt;=AL161,TRUE,FALSE))</f>
        <v>1</v>
      </c>
      <c r="AN161" s="159"/>
      <c r="AO161" s="159"/>
      <c r="AP161" s="159"/>
      <c r="AQ161" s="158" t="b">
        <f>IF(AN161="",TRUE,IF(IF(AO161="",VLOOKUP(AN161,Calculs!$A$19:$S$425,19,FALSE),VLOOKUP(AO161,Calculs!$A$19:$S$425,19,FALSE))&gt;=AP161,TRUE,FALSE))</f>
        <v>1</v>
      </c>
      <c r="AR161" s="158"/>
      <c r="AS161" s="158" t="b">
        <f>IF(AR161="",TRUE,IF(VLOOKUP(AR161,Calculs!$A$427:$G$738,7,FALSE)&gt;0,TRUE,FALSE))</f>
        <v>1</v>
      </c>
      <c r="AT161" s="158"/>
      <c r="AU161" s="158" t="b">
        <f>IF(AT161="",TRUE,IF(VLOOKUP(AT161,Calculs!$A$740:$G$912,7,FALSE)&gt;0,TRUE,FALSE))</f>
        <v>1</v>
      </c>
      <c r="AV161" s="158" t="b">
        <f t="shared" si="15"/>
        <v>0</v>
      </c>
      <c r="AW161" s="159" t="s">
        <v>3510</v>
      </c>
      <c r="AX161" s="162" t="s">
        <v>160</v>
      </c>
      <c r="AY161" s="15">
        <v>179</v>
      </c>
      <c r="AZ161" s="555" t="str">
        <f>CONCATENATE("Lorsque vour portez une attaque à mains nues, choissisez de subir ",Feu*2," dommages. En retour, tous les dommages non armés de cette attaque ont un ND de base de 0g",Feu,", au lieu de 0g1. (Ne se cumule pas av Avantage Poings de Pierre.) Considéré comme un Kiho mystique.")</f>
        <v>Lorsque vour portez une attaque à mains nues, choissisez de subir 4 dommages. En retour, tous les dommages non armés de cette attaque ont un ND de base de 0g2, au lieu de 0g1. (Ne se cumule pas av Avantage Poings de Pierre.) Considéré comme un Kiho mystique.</v>
      </c>
      <c r="BA161" s="559">
        <f>IF(Verso!$B$10=Voies!$B161,1,0)</f>
        <v>0</v>
      </c>
      <c r="BB161" s="12">
        <f>IF(Verso!$B$11=Voies!$B161,1,0)</f>
        <v>0</v>
      </c>
      <c r="BC161" s="12">
        <f>IF(Verso!$B$12=Voies!$B161,1,0)</f>
        <v>0</v>
      </c>
      <c r="BD161" s="12">
        <f>IF(Verso!$B$13=Voies!$B161,1,0)</f>
        <v>0</v>
      </c>
      <c r="BE161" s="12">
        <f>IF(Verso!$B$14=Voies!$B161,1,0)</f>
        <v>0</v>
      </c>
      <c r="BF161" s="12">
        <f>IF(Verso!$B$15=Voies!$B161,1,0)</f>
        <v>0</v>
      </c>
      <c r="BG161" s="12">
        <f>IF(Verso!$B$16=Voies!$B161,1,0)</f>
        <v>0</v>
      </c>
      <c r="BH161" s="12">
        <f>IF(Verso!$B$17=Voies!$B161,1,0)</f>
        <v>0</v>
      </c>
      <c r="BI161" s="557">
        <f t="shared" si="16"/>
        <v>0</v>
      </c>
      <c r="BJ161" s="196" t="str">
        <f t="shared" si="17"/>
        <v/>
      </c>
      <c r="BK161" s="196" t="str">
        <f t="shared" si="18"/>
        <v/>
      </c>
      <c r="BL161" s="295" t="str">
        <f t="shared" si="19"/>
        <v/>
      </c>
      <c r="BM161" s="577"/>
    </row>
    <row r="162" spans="1:65" s="3" customFormat="1" ht="47.25" customHeight="1" x14ac:dyDescent="0.25">
      <c r="A162" s="162" t="str">
        <f>IF(AND(Réputation&gt;Voies!E162-1,OR(C162=TRUE,Calculs!$I$8&gt;0),Air&gt;Voies!J162-1,Eau&gt;Voies!K162-1,Feu&gt;Voies!L162-1,Terre&gt;Voies!M162-1,Vide&gt;Voies!N162-1,Constitution&gt;Voies!O162-1,Volonté&gt;Voies!P162-1,Force&gt;Voies!Q162-1,Perception&gt;Voies!R162-1,Reflexes&gt;Voies!S162-1,Agilité&gt;Voies!T162-1,Intuition&gt;Voies!U162-1,Intelligence&gt;Voies!V162-1,Souillure&gt;Voies!W162-1,Honneur&gt;X162-1,Statut&gt;Y162-1,Gloire&gt;Z162-1,AV162=TRUE),Voies!B162,"")</f>
        <v/>
      </c>
      <c r="B162" s="162" t="s">
        <v>3791</v>
      </c>
      <c r="C162" s="162" t="b">
        <f>IF(Clan=Voies!D162,TRUE,FALSE)</f>
        <v>0</v>
      </c>
      <c r="D162" s="388" t="s">
        <v>341</v>
      </c>
      <c r="E162" s="13">
        <v>2</v>
      </c>
      <c r="F162" s="199">
        <v>2</v>
      </c>
      <c r="G162" s="13" t="s">
        <v>2051</v>
      </c>
      <c r="H162" s="162" t="s">
        <v>606</v>
      </c>
      <c r="I162" s="129" t="s">
        <v>3788</v>
      </c>
      <c r="J162" s="146">
        <v>0</v>
      </c>
      <c r="K162" s="147">
        <v>0</v>
      </c>
      <c r="L162" s="148">
        <v>0</v>
      </c>
      <c r="M162" s="149">
        <v>0</v>
      </c>
      <c r="N162" s="150">
        <v>0</v>
      </c>
      <c r="O162" s="130">
        <v>0</v>
      </c>
      <c r="P162" s="130">
        <v>0</v>
      </c>
      <c r="Q162" s="130">
        <v>0</v>
      </c>
      <c r="R162" s="130">
        <v>0</v>
      </c>
      <c r="S162" s="130">
        <v>0</v>
      </c>
      <c r="T162" s="130">
        <v>0</v>
      </c>
      <c r="U162" s="130">
        <v>0</v>
      </c>
      <c r="V162" s="524">
        <v>0</v>
      </c>
      <c r="W162" s="130">
        <v>0</v>
      </c>
      <c r="X162" s="130">
        <v>0</v>
      </c>
      <c r="Y162" s="130">
        <v>0</v>
      </c>
      <c r="Z162" s="130">
        <v>0</v>
      </c>
      <c r="AA162" s="159" t="s">
        <v>3789</v>
      </c>
      <c r="AB162" s="159" t="s">
        <v>1267</v>
      </c>
      <c r="AC162" s="159"/>
      <c r="AD162" s="159">
        <v>3</v>
      </c>
      <c r="AE162" s="158" t="b">
        <f>IF(AB162="",TRUE,IF(IF(AC162="",VLOOKUP(AB162,Calculs!$A$19:$S$425,19,FALSE),VLOOKUP(AC162,Calculs!$A$19:$S$425,19,FALSE))&gt;=AD162,TRUE,FALSE))</f>
        <v>0</v>
      </c>
      <c r="AF162" s="159" t="s">
        <v>1265</v>
      </c>
      <c r="AG162" s="159" t="s">
        <v>1318</v>
      </c>
      <c r="AH162" s="159">
        <v>3</v>
      </c>
      <c r="AI162" s="158" t="b">
        <f>IF(AF162="",TRUE,IF(IF(AG162="",VLOOKUP(AF162,Calculs!$A$19:$S$425,19,FALSE),VLOOKUP(AG162,Calculs!$A$19:$S$425,19,FALSE))&gt;=AH162,TRUE,FALSE))</f>
        <v>0</v>
      </c>
      <c r="AJ162" s="159"/>
      <c r="AK162" s="159"/>
      <c r="AL162" s="159"/>
      <c r="AM162" s="158" t="b">
        <f>IF(AJ162="",TRUE,IF(IF(AK162="",VLOOKUP(AJ162,Calculs!$A$19:$S$425,19,FALSE),VLOOKUP(AK162,Calculs!$A$19:$S$425,19,FALSE))&gt;=AL162,TRUE,FALSE))</f>
        <v>1</v>
      </c>
      <c r="AN162" s="159"/>
      <c r="AO162" s="159"/>
      <c r="AP162" s="159"/>
      <c r="AQ162" s="158" t="b">
        <f>IF(AN162="",TRUE,IF(IF(AO162="",VLOOKUP(AN162,Calculs!$A$19:$S$425,19,FALSE),VLOOKUP(AO162,Calculs!$A$19:$S$425,19,FALSE))&gt;=AP162,TRUE,FALSE))</f>
        <v>1</v>
      </c>
      <c r="AR162" s="158"/>
      <c r="AS162" s="158" t="b">
        <f>IF(AR162="",TRUE,IF(VLOOKUP(AR162,Calculs!$A$427:$G$738,7,FALSE)&gt;0,TRUE,FALSE))</f>
        <v>1</v>
      </c>
      <c r="AT162" s="158" t="s">
        <v>821</v>
      </c>
      <c r="AU162" s="158" t="b">
        <f>IF(AT162="",TRUE,IF(VLOOKUP(AT162,Calculs!$A$740:$G$912,7,FALSE)&gt;0,TRUE,FALSE))</f>
        <v>0</v>
      </c>
      <c r="AV162" s="158" t="b">
        <f t="shared" si="15"/>
        <v>0</v>
      </c>
      <c r="AW162" s="159" t="s">
        <v>3790</v>
      </c>
      <c r="AX162" s="162" t="s">
        <v>2080</v>
      </c>
      <c r="AY162" s="151">
        <v>241</v>
      </c>
      <c r="AZ162" s="555" t="s">
        <v>3792</v>
      </c>
      <c r="BA162" s="559">
        <f>IF(Verso!$B$10=Voies!$B162,1,0)</f>
        <v>0</v>
      </c>
      <c r="BB162" s="12">
        <f>IF(Verso!$B$11=Voies!$B162,1,0)</f>
        <v>0</v>
      </c>
      <c r="BC162" s="12">
        <f>IF(Verso!$B$12=Voies!$B162,1,0)</f>
        <v>0</v>
      </c>
      <c r="BD162" s="12">
        <f>IF(Verso!$B$13=Voies!$B162,1,0)</f>
        <v>0</v>
      </c>
      <c r="BE162" s="12">
        <f>IF(Verso!$B$14=Voies!$B162,1,0)</f>
        <v>0</v>
      </c>
      <c r="BF162" s="12">
        <f>IF(Verso!$B$15=Voies!$B162,1,0)</f>
        <v>0</v>
      </c>
      <c r="BG162" s="12">
        <f>IF(Verso!$B$16=Voies!$B162,1,0)</f>
        <v>0</v>
      </c>
      <c r="BH162" s="12">
        <f>IF(Verso!$B$17=Voies!$B162,1,0)</f>
        <v>0</v>
      </c>
      <c r="BI162" s="557">
        <f t="shared" si="16"/>
        <v>0</v>
      </c>
      <c r="BJ162" s="196" t="str">
        <f t="shared" si="17"/>
        <v/>
      </c>
      <c r="BK162" s="196" t="str">
        <f t="shared" si="18"/>
        <v/>
      </c>
      <c r="BL162" s="295" t="str">
        <f t="shared" si="19"/>
        <v/>
      </c>
      <c r="BM162" s="577"/>
    </row>
    <row r="163" spans="1:65" s="3" customFormat="1" ht="47.25" customHeight="1" x14ac:dyDescent="0.25">
      <c r="A163" s="162" t="str">
        <f>IF(AND(Réputation&gt;Voies!E163-1,OR(C163=TRUE,Calculs!$I$8&gt;0),Air&gt;Voies!J163-1,Eau&gt;Voies!K163-1,Feu&gt;Voies!L163-1,Terre&gt;Voies!M163-1,Vide&gt;Voies!N163-1,Constitution&gt;Voies!O163-1,Volonté&gt;Voies!P163-1,Force&gt;Voies!Q163-1,Perception&gt;Voies!R163-1,Reflexes&gt;Voies!S163-1,Agilité&gt;Voies!T163-1,Intuition&gt;Voies!U163-1,Intelligence&gt;Voies!V163-1,Souillure&gt;Voies!W163-1,Honneur&gt;X163-1,Statut&gt;Y163-1,Gloire&gt;Z163-1,AV163=TRUE),Voies!B163,"")</f>
        <v/>
      </c>
      <c r="B163" s="162" t="s">
        <v>3400</v>
      </c>
      <c r="C163" s="162" t="b">
        <f>IF(Clan=Voies!D163,TRUE,FALSE)</f>
        <v>0</v>
      </c>
      <c r="D163" s="388" t="s">
        <v>341</v>
      </c>
      <c r="E163" s="13">
        <v>2</v>
      </c>
      <c r="F163" s="199">
        <v>2</v>
      </c>
      <c r="G163" s="13" t="s">
        <v>3401</v>
      </c>
      <c r="H163" s="162" t="s">
        <v>561</v>
      </c>
      <c r="I163" s="129" t="s">
        <v>3341</v>
      </c>
      <c r="J163" s="146">
        <v>0</v>
      </c>
      <c r="K163" s="147">
        <v>0</v>
      </c>
      <c r="L163" s="148">
        <v>0</v>
      </c>
      <c r="M163" s="149">
        <v>0</v>
      </c>
      <c r="N163" s="150">
        <v>4</v>
      </c>
      <c r="O163" s="130">
        <v>0</v>
      </c>
      <c r="P163" s="130">
        <v>0</v>
      </c>
      <c r="Q163" s="130">
        <v>0</v>
      </c>
      <c r="R163" s="130">
        <v>0</v>
      </c>
      <c r="S163" s="130">
        <v>0</v>
      </c>
      <c r="T163" s="130">
        <v>0</v>
      </c>
      <c r="U163" s="130">
        <v>0</v>
      </c>
      <c r="V163" s="524">
        <v>0</v>
      </c>
      <c r="W163" s="130">
        <v>0</v>
      </c>
      <c r="X163" s="130">
        <v>0</v>
      </c>
      <c r="Y163" s="130">
        <v>0</v>
      </c>
      <c r="Z163" s="130">
        <v>0</v>
      </c>
      <c r="AA163" s="159" t="s">
        <v>3397</v>
      </c>
      <c r="AB163" s="159" t="s">
        <v>1223</v>
      </c>
      <c r="AC163" s="159" t="s">
        <v>6359</v>
      </c>
      <c r="AD163" s="159">
        <v>3</v>
      </c>
      <c r="AE163" s="158" t="b">
        <f>IF(AB163="",TRUE,IF(IF(AC163="",VLOOKUP(AB163,Calculs!$A$19:$S$425,19,FALSE),VLOOKUP(AC163,Calculs!$A$19:$S$425,19,FALSE))&gt;=AD163,TRUE,FALSE))</f>
        <v>0</v>
      </c>
      <c r="AF163" s="159"/>
      <c r="AG163" s="159"/>
      <c r="AH163" s="159"/>
      <c r="AI163" s="158" t="b">
        <f>IF(AF163="",TRUE,IF(IF(AG163="",VLOOKUP(AF163,Calculs!$A$19:$S$425,19,FALSE),VLOOKUP(AG163,Calculs!$A$19:$S$425,19,FALSE))&gt;=AH163,TRUE,FALSE))</f>
        <v>1</v>
      </c>
      <c r="AJ163" s="159"/>
      <c r="AK163" s="159"/>
      <c r="AL163" s="159"/>
      <c r="AM163" s="158" t="b">
        <f>IF(AJ163="",TRUE,IF(IF(AK163="",VLOOKUP(AJ163,Calculs!$A$19:$S$425,19,FALSE),VLOOKUP(AK163,Calculs!$A$19:$S$425,19,FALSE))&gt;=AL163,TRUE,FALSE))</f>
        <v>1</v>
      </c>
      <c r="AN163" s="159"/>
      <c r="AO163" s="159"/>
      <c r="AP163" s="159"/>
      <c r="AQ163" s="158" t="b">
        <f>IF(AN163="",TRUE,IF(IF(AO163="",VLOOKUP(AN163,Calculs!$A$19:$S$425,19,FALSE),VLOOKUP(AO163,Calculs!$A$19:$S$425,19,FALSE))&gt;=AP163,TRUE,FALSE))</f>
        <v>1</v>
      </c>
      <c r="AR163" s="158"/>
      <c r="AS163" s="158" t="b">
        <f>IF(AR163="",TRUE,IF(VLOOKUP(AR163,Calculs!$A$427:$G$738,7,FALSE)&gt;0,TRUE,FALSE))</f>
        <v>1</v>
      </c>
      <c r="AT163" s="158"/>
      <c r="AU163" s="158" t="b">
        <f>IF(AT163="",TRUE,IF(VLOOKUP(AT163,Calculs!$A$740:$G$912,7,FALSE)&gt;0,TRUE,FALSE))</f>
        <v>1</v>
      </c>
      <c r="AV163" s="158" t="b">
        <f t="shared" si="15"/>
        <v>0</v>
      </c>
      <c r="AW163" s="159" t="s">
        <v>3399</v>
      </c>
      <c r="AX163" s="162" t="s">
        <v>118</v>
      </c>
      <c r="AY163" s="15">
        <v>175</v>
      </c>
      <c r="AZ163" s="555" t="str">
        <f>CONCATENATE("Lorsque vous vous battez sans armes, tout adversaire qui vous attaque avec une arme de CàC subit une pénalité de-Xg0 à son attaque, où X est égal son anneau Air. Cette pénalité ne peut s'appliquer à plus de ",Perception," adversaires au sein du même round.")</f>
        <v>Lorsque vous vous battez sans armes, tout adversaire qui vous attaque avec une arme de CàC subit une pénalité de-Xg0 à son attaque, où X est égal son anneau Air. Cette pénalité ne peut s'appliquer à plus de 2 adversaires au sein du même round.</v>
      </c>
      <c r="BA163" s="559">
        <f>IF(Verso!$B$10=Voies!$B163,1,0)</f>
        <v>0</v>
      </c>
      <c r="BB163" s="12">
        <f>IF(Verso!$B$11=Voies!$B163,1,0)</f>
        <v>0</v>
      </c>
      <c r="BC163" s="12">
        <f>IF(Verso!$B$12=Voies!$B163,1,0)</f>
        <v>0</v>
      </c>
      <c r="BD163" s="12">
        <f>IF(Verso!$B$13=Voies!$B163,1,0)</f>
        <v>0</v>
      </c>
      <c r="BE163" s="12">
        <f>IF(Verso!$B$14=Voies!$B163,1,0)</f>
        <v>0</v>
      </c>
      <c r="BF163" s="12">
        <f>IF(Verso!$B$15=Voies!$B163,1,0)</f>
        <v>0</v>
      </c>
      <c r="BG163" s="12">
        <f>IF(Verso!$B$16=Voies!$B163,1,0)</f>
        <v>0</v>
      </c>
      <c r="BH163" s="12">
        <f>IF(Verso!$B$17=Voies!$B163,1,0)</f>
        <v>0</v>
      </c>
      <c r="BI163" s="557">
        <f t="shared" si="16"/>
        <v>0</v>
      </c>
      <c r="BJ163" s="196" t="str">
        <f t="shared" si="17"/>
        <v/>
      </c>
      <c r="BK163" s="196" t="str">
        <f t="shared" si="18"/>
        <v/>
      </c>
      <c r="BL163" s="295" t="str">
        <f t="shared" si="19"/>
        <v/>
      </c>
      <c r="BM163" s="577"/>
    </row>
    <row r="164" spans="1:65" s="3" customFormat="1" ht="47.25" customHeight="1" x14ac:dyDescent="0.25">
      <c r="A164" s="162" t="str">
        <f>IF(AND(Réputation&gt;Voies!E164-1,OR(C164=TRUE,Calculs!$I$8&gt;0),Air&gt;Voies!J164-1,Eau&gt;Voies!K164-1,Feu&gt;Voies!L164-1,Terre&gt;Voies!M164-1,Vide&gt;Voies!N164-1,Constitution&gt;Voies!O164-1,Volonté&gt;Voies!P164-1,Force&gt;Voies!Q164-1,Perception&gt;Voies!R164-1,Reflexes&gt;Voies!S164-1,Agilité&gt;Voies!T164-1,Intuition&gt;Voies!U164-1,Intelligence&gt;Voies!V164-1,Souillure&gt;Voies!W164-1,Honneur&gt;X164-1,Statut&gt;Y164-1,Gloire&gt;Z164-1,AV164=TRUE),Voies!B164,"")</f>
        <v/>
      </c>
      <c r="B164" s="162" t="s">
        <v>3470</v>
      </c>
      <c r="C164" s="162" t="b">
        <f>IF(Clan=Voies!D164,TRUE,FALSE)</f>
        <v>0</v>
      </c>
      <c r="D164" s="388" t="s">
        <v>341</v>
      </c>
      <c r="E164" s="13">
        <v>2</v>
      </c>
      <c r="F164" s="199">
        <v>2</v>
      </c>
      <c r="G164" s="13" t="s">
        <v>2053</v>
      </c>
      <c r="H164" s="162" t="s">
        <v>560</v>
      </c>
      <c r="I164" s="129" t="s">
        <v>3469</v>
      </c>
      <c r="J164" s="146">
        <v>0</v>
      </c>
      <c r="K164" s="147">
        <v>0</v>
      </c>
      <c r="L164" s="148">
        <v>0</v>
      </c>
      <c r="M164" s="149">
        <v>0</v>
      </c>
      <c r="N164" s="150">
        <v>0</v>
      </c>
      <c r="O164" s="130">
        <v>0</v>
      </c>
      <c r="P164" s="130">
        <v>3</v>
      </c>
      <c r="Q164" s="130">
        <v>0</v>
      </c>
      <c r="R164" s="130">
        <v>0</v>
      </c>
      <c r="S164" s="130">
        <v>0</v>
      </c>
      <c r="T164" s="130">
        <v>0</v>
      </c>
      <c r="U164" s="130">
        <v>0</v>
      </c>
      <c r="V164" s="524">
        <v>0</v>
      </c>
      <c r="W164" s="130">
        <v>0</v>
      </c>
      <c r="X164" s="130">
        <v>0</v>
      </c>
      <c r="Y164" s="130">
        <v>0</v>
      </c>
      <c r="Z164" s="130">
        <v>0</v>
      </c>
      <c r="AA164" s="159" t="s">
        <v>3471</v>
      </c>
      <c r="AB164" s="159" t="s">
        <v>189</v>
      </c>
      <c r="AC164" s="159"/>
      <c r="AD164" s="159">
        <v>3</v>
      </c>
      <c r="AE164" s="158" t="b">
        <f>IF(AB164="",TRUE,IF(IF(AC164="",VLOOKUP(AB164,Calculs!$A$19:$S$425,19,FALSE),VLOOKUP(AC164,Calculs!$A$19:$S$425,19,FALSE))&gt;=AD164,TRUE,FALSE))</f>
        <v>0</v>
      </c>
      <c r="AF164" s="159" t="s">
        <v>1208</v>
      </c>
      <c r="AG164" s="159"/>
      <c r="AH164" s="159">
        <v>4</v>
      </c>
      <c r="AI164" s="158" t="b">
        <f>IF(AF164="",TRUE,IF(IF(AG164="",VLOOKUP(AF164,Calculs!$A$19:$S$425,19,FALSE),VLOOKUP(AG164,Calculs!$A$19:$S$425,19,FALSE))&gt;=AH164,TRUE,FALSE))</f>
        <v>0</v>
      </c>
      <c r="AJ164" s="159"/>
      <c r="AK164" s="159"/>
      <c r="AL164" s="159"/>
      <c r="AM164" s="158" t="b">
        <f>IF(AJ164="",TRUE,IF(IF(AK164="",VLOOKUP(AJ164,Calculs!$A$19:$S$425,19,FALSE),VLOOKUP(AK164,Calculs!$A$19:$S$425,19,FALSE))&gt;=AL164,TRUE,FALSE))</f>
        <v>1</v>
      </c>
      <c r="AN164" s="159"/>
      <c r="AO164" s="159"/>
      <c r="AP164" s="159"/>
      <c r="AQ164" s="158" t="b">
        <f>IF(AN164="",TRUE,IF(IF(AO164="",VLOOKUP(AN164,Calculs!$A$19:$S$425,19,FALSE),VLOOKUP(AO164,Calculs!$A$19:$S$425,19,FALSE))&gt;=AP164,TRUE,FALSE))</f>
        <v>1</v>
      </c>
      <c r="AR164" s="158"/>
      <c r="AS164" s="158" t="b">
        <f>IF(AR164="",TRUE,IF(VLOOKUP(AR164,Calculs!$A$427:$G$738,7,FALSE)&gt;0,TRUE,FALSE))</f>
        <v>1</v>
      </c>
      <c r="AT164" s="158"/>
      <c r="AU164" s="158" t="b">
        <f>IF(AT164="",TRUE,IF(VLOOKUP(AT164,Calculs!$A$740:$G$912,7,FALSE)&gt;0,TRUE,FALSE))</f>
        <v>1</v>
      </c>
      <c r="AV164" s="158" t="b">
        <f t="shared" si="15"/>
        <v>0</v>
      </c>
      <c r="AW164" s="158" t="s">
        <v>2078</v>
      </c>
      <c r="AX164" s="162" t="s">
        <v>158</v>
      </c>
      <c r="AY164" s="15">
        <v>204</v>
      </c>
      <c r="AZ164" s="555" t="str">
        <f>CONCATENATE("Chaque fois que vous dépensez un PVide sur un test de compétence social Etiquette ou Courtisan, +",Volonté,"g1 au test au lieu du +1g1 normal.")</f>
        <v>Chaque fois que vous dépensez un PVide sur un test de compétence social Etiquette ou Courtisan, +2g1 au test au lieu du +1g1 normal.</v>
      </c>
      <c r="BA164" s="559">
        <f>IF(Verso!$B$10=Voies!$B164,1,0)</f>
        <v>0</v>
      </c>
      <c r="BB164" s="12">
        <f>IF(Verso!$B$11=Voies!$B164,1,0)</f>
        <v>0</v>
      </c>
      <c r="BC164" s="12">
        <f>IF(Verso!$B$12=Voies!$B164,1,0)</f>
        <v>0</v>
      </c>
      <c r="BD164" s="12">
        <f>IF(Verso!$B$13=Voies!$B164,1,0)</f>
        <v>0</v>
      </c>
      <c r="BE164" s="12">
        <f>IF(Verso!$B$14=Voies!$B164,1,0)</f>
        <v>0</v>
      </c>
      <c r="BF164" s="12">
        <f>IF(Verso!$B$15=Voies!$B164,1,0)</f>
        <v>0</v>
      </c>
      <c r="BG164" s="12">
        <f>IF(Verso!$B$16=Voies!$B164,1,0)</f>
        <v>0</v>
      </c>
      <c r="BH164" s="12">
        <f>IF(Verso!$B$17=Voies!$B164,1,0)</f>
        <v>0</v>
      </c>
      <c r="BI164" s="557">
        <f t="shared" si="16"/>
        <v>0</v>
      </c>
      <c r="BJ164" s="196" t="str">
        <f t="shared" si="17"/>
        <v/>
      </c>
      <c r="BK164" s="196" t="str">
        <f t="shared" si="18"/>
        <v/>
      </c>
      <c r="BL164" s="295" t="str">
        <f t="shared" si="19"/>
        <v/>
      </c>
      <c r="BM164" s="577"/>
    </row>
    <row r="165" spans="1:65" ht="47.25" customHeight="1" x14ac:dyDescent="0.25">
      <c r="A165" s="162" t="str">
        <f>IF(AND(Réputation&gt;Voies!E165-1,OR(C165=TRUE,Calculs!$I$8&gt;0),Air&gt;Voies!J165-1,Eau&gt;Voies!K165-1,Feu&gt;Voies!L165-1,Terre&gt;Voies!M165-1,Vide&gt;Voies!N165-1,Constitution&gt;Voies!O165-1,Volonté&gt;Voies!P165-1,Force&gt;Voies!Q165-1,Perception&gt;Voies!R165-1,Reflexes&gt;Voies!S165-1,Agilité&gt;Voies!T165-1,Intuition&gt;Voies!U165-1,Intelligence&gt;Voies!V165-1,Souillure&gt;Voies!W165-1,Honneur&gt;X165-1,Statut&gt;Y165-1,Gloire&gt;Z165-1,AV165=TRUE),Voies!B165,"")</f>
        <v/>
      </c>
      <c r="B165" s="162" t="s">
        <v>3787</v>
      </c>
      <c r="C165" s="162" t="b">
        <f>IF(Clan=Voies!D165,TRUE,FALSE)</f>
        <v>0</v>
      </c>
      <c r="D165" s="388" t="s">
        <v>341</v>
      </c>
      <c r="E165" s="13">
        <v>3</v>
      </c>
      <c r="F165" s="199">
        <v>3</v>
      </c>
      <c r="G165" s="13" t="s">
        <v>2051</v>
      </c>
      <c r="H165" s="162" t="s">
        <v>563</v>
      </c>
      <c r="I165" s="129" t="s">
        <v>3784</v>
      </c>
      <c r="J165" s="146">
        <v>0</v>
      </c>
      <c r="K165" s="147">
        <v>0</v>
      </c>
      <c r="L165" s="148">
        <v>0</v>
      </c>
      <c r="M165" s="149">
        <v>0</v>
      </c>
      <c r="N165" s="150">
        <v>0</v>
      </c>
      <c r="O165" s="130">
        <v>0</v>
      </c>
      <c r="P165" s="130">
        <v>4</v>
      </c>
      <c r="Q165" s="130">
        <v>0</v>
      </c>
      <c r="R165" s="130">
        <v>0</v>
      </c>
      <c r="S165" s="130">
        <v>0</v>
      </c>
      <c r="T165" s="130">
        <v>0</v>
      </c>
      <c r="U165" s="130">
        <v>0</v>
      </c>
      <c r="V165" s="524">
        <v>0</v>
      </c>
      <c r="W165" s="130">
        <v>0</v>
      </c>
      <c r="X165" s="130">
        <v>0</v>
      </c>
      <c r="Y165" s="130">
        <v>0</v>
      </c>
      <c r="Z165" s="130">
        <v>0</v>
      </c>
      <c r="AA165" s="159" t="s">
        <v>3785</v>
      </c>
      <c r="AB165" s="159" t="s">
        <v>1265</v>
      </c>
      <c r="AD165" s="159">
        <v>4</v>
      </c>
      <c r="AE165" s="158" t="b">
        <f>IF(AB165="",TRUE,IF(IF(AC165="",VLOOKUP(AB165,Calculs!$A$19:$S$425,19,FALSE),VLOOKUP(AC165,Calculs!$A$19:$S$425,19,FALSE))&gt;=AD165,TRUE,FALSE))</f>
        <v>0</v>
      </c>
      <c r="AI165" s="158" t="b">
        <f>IF(AF165="",TRUE,IF(IF(AG165="",VLOOKUP(AF165,Calculs!$A$19:$S$425,19,FALSE),VLOOKUP(AG165,Calculs!$A$19:$S$425,19,FALSE))&gt;=AH165,TRUE,FALSE))</f>
        <v>1</v>
      </c>
      <c r="AM165" s="158" t="b">
        <f>IF(AJ165="",TRUE,IF(IF(AK165="",VLOOKUP(AJ165,Calculs!$A$19:$S$425,19,FALSE),VLOOKUP(AK165,Calculs!$A$19:$S$425,19,FALSE))&gt;=AL165,TRUE,FALSE))</f>
        <v>1</v>
      </c>
      <c r="AQ165" s="158" t="b">
        <f>IF(AN165="",TRUE,IF(IF(AO165="",VLOOKUP(AN165,Calculs!$A$19:$S$425,19,FALSE),VLOOKUP(AO165,Calculs!$A$19:$S$425,19,FALSE))&gt;=AP165,TRUE,FALSE))</f>
        <v>1</v>
      </c>
      <c r="AR165" s="158"/>
      <c r="AS165" s="158" t="b">
        <f>IF(AR165="",TRUE,IF(VLOOKUP(AR165,Calculs!$A$427:$G$738,7,FALSE)&gt;0,TRUE,FALSE))</f>
        <v>1</v>
      </c>
      <c r="AT165" s="158"/>
      <c r="AU165" s="158" t="b">
        <f>IF(AT165="",TRUE,IF(VLOOKUP(AT165,Calculs!$A$740:$G$912,7,FALSE)&gt;0,TRUE,FALSE))</f>
        <v>1</v>
      </c>
      <c r="AV165" s="158" t="b">
        <f t="shared" si="15"/>
        <v>0</v>
      </c>
      <c r="AW165" s="159" t="s">
        <v>6360</v>
      </c>
      <c r="AX165" s="162" t="s">
        <v>2080</v>
      </c>
      <c r="AY165" s="15">
        <v>179</v>
      </c>
      <c r="AZ165" s="555" t="s">
        <v>3786</v>
      </c>
      <c r="BA165" s="559">
        <f>IF(Verso!$B$10=Voies!$B165,1,0)</f>
        <v>0</v>
      </c>
      <c r="BB165" s="12">
        <f>IF(Verso!$B$11=Voies!$B165,1,0)</f>
        <v>0</v>
      </c>
      <c r="BC165" s="12">
        <f>IF(Verso!$B$12=Voies!$B165,1,0)</f>
        <v>0</v>
      </c>
      <c r="BD165" s="12">
        <f>IF(Verso!$B$13=Voies!$B165,1,0)</f>
        <v>0</v>
      </c>
      <c r="BE165" s="12">
        <f>IF(Verso!$B$14=Voies!$B165,1,0)</f>
        <v>0</v>
      </c>
      <c r="BF165" s="12">
        <f>IF(Verso!$B$15=Voies!$B165,1,0)</f>
        <v>0</v>
      </c>
      <c r="BG165" s="12">
        <f>IF(Verso!$B$16=Voies!$B165,1,0)</f>
        <v>0</v>
      </c>
      <c r="BH165" s="12">
        <f>IF(Verso!$B$17=Voies!$B165,1,0)</f>
        <v>0</v>
      </c>
      <c r="BI165" s="557">
        <f t="shared" si="16"/>
        <v>0</v>
      </c>
      <c r="BJ165" s="196" t="str">
        <f t="shared" si="17"/>
        <v/>
      </c>
      <c r="BK165" s="196" t="str">
        <f t="shared" si="18"/>
        <v/>
      </c>
      <c r="BL165" s="295" t="str">
        <f t="shared" si="19"/>
        <v/>
      </c>
    </row>
    <row r="166" spans="1:65" s="196" customFormat="1" ht="47.25" customHeight="1" x14ac:dyDescent="0.25">
      <c r="A166" s="162" t="str">
        <f>IF(AND(Réputation&gt;Voies!E166-1,OR(C166=TRUE,Calculs!$I$8&gt;0),Air&gt;Voies!J166-1,Eau&gt;Voies!K166-1,Feu&gt;Voies!L166-1,Terre&gt;Voies!M166-1,Vide&gt;Voies!N166-1,Constitution&gt;Voies!O166-1,Volonté&gt;Voies!P166-1,Force&gt;Voies!Q166-1,Perception&gt;Voies!R166-1,Reflexes&gt;Voies!S166-1,Agilité&gt;Voies!T166-1,Intuition&gt;Voies!U166-1,Intelligence&gt;Voies!V166-1,Souillure&gt;Voies!W166-1,Honneur&gt;X166-1,Statut&gt;Y166-1,Gloire&gt;Z166-1,AV166=TRUE),Voies!B166,"")</f>
        <v/>
      </c>
      <c r="B166" s="162" t="s">
        <v>5871</v>
      </c>
      <c r="C166" s="162" t="b">
        <f>IF(OR(Clan="Confrérie",Clan="Grue",Clan="Phénix"),TRUE,FALSE)</f>
        <v>0</v>
      </c>
      <c r="D166" s="387" t="s">
        <v>341</v>
      </c>
      <c r="E166" s="199">
        <v>3</v>
      </c>
      <c r="F166" s="199">
        <v>3</v>
      </c>
      <c r="G166" s="262" t="s">
        <v>4409</v>
      </c>
      <c r="H166" s="162" t="s">
        <v>5870</v>
      </c>
      <c r="I166" s="129" t="s">
        <v>4410</v>
      </c>
      <c r="J166" s="146">
        <v>0</v>
      </c>
      <c r="K166" s="147">
        <v>3</v>
      </c>
      <c r="L166" s="148">
        <v>0</v>
      </c>
      <c r="M166" s="149">
        <v>0</v>
      </c>
      <c r="N166" s="150">
        <v>0</v>
      </c>
      <c r="O166" s="130">
        <v>0</v>
      </c>
      <c r="P166" s="130">
        <v>0</v>
      </c>
      <c r="Q166" s="130">
        <v>0</v>
      </c>
      <c r="R166" s="130">
        <v>0</v>
      </c>
      <c r="S166" s="130">
        <v>0</v>
      </c>
      <c r="T166" s="130">
        <v>0</v>
      </c>
      <c r="U166" s="130">
        <v>0</v>
      </c>
      <c r="V166" s="524">
        <v>0</v>
      </c>
      <c r="W166" s="130">
        <v>0</v>
      </c>
      <c r="X166" s="130">
        <v>0</v>
      </c>
      <c r="Y166" s="130">
        <v>0</v>
      </c>
      <c r="Z166" s="130">
        <v>0</v>
      </c>
      <c r="AA166" s="159" t="s">
        <v>5872</v>
      </c>
      <c r="AB166" s="159" t="s">
        <v>1223</v>
      </c>
      <c r="AC166" s="159" t="s">
        <v>5873</v>
      </c>
      <c r="AD166" s="159">
        <v>3</v>
      </c>
      <c r="AE166" s="158" t="b">
        <f>IF(AB166="",TRUE,IF(IF(AC166="",VLOOKUP(AB166,Calculs!$A$19:$S$425,19,FALSE),VLOOKUP(AC166,Calculs!$A$19:$S$425,19,FALSE))&gt;=AD166,TRUE,FALSE))</f>
        <v>0</v>
      </c>
      <c r="AF166" s="159"/>
      <c r="AG166" s="159"/>
      <c r="AH166" s="159"/>
      <c r="AI166" s="158" t="b">
        <f>IF(AF166="",TRUE,IF(IF(AG166="",VLOOKUP(AF166,Calculs!$A$19:$S$425,19,FALSE),VLOOKUP(AG166,Calculs!$A$19:$S$425,19,FALSE))&gt;=AH166,TRUE,FALSE))</f>
        <v>1</v>
      </c>
      <c r="AJ166" s="159"/>
      <c r="AK166" s="159"/>
      <c r="AL166" s="159"/>
      <c r="AM166" s="158" t="b">
        <f>IF(AJ166="",TRUE,IF(IF(AK166="",VLOOKUP(AJ166,Calculs!$A$19:$S$425,19,FALSE),VLOOKUP(AK166,Calculs!$A$19:$S$425,19,FALSE))&gt;=AL166,TRUE,FALSE))</f>
        <v>1</v>
      </c>
      <c r="AN166" s="159"/>
      <c r="AO166" s="159"/>
      <c r="AP166" s="159"/>
      <c r="AQ166" s="158" t="b">
        <f>IF(AN166="",TRUE,IF(IF(AO166="",VLOOKUP(AN166,Calculs!$A$19:$S$425,19,FALSE),VLOOKUP(AO166,Calculs!$A$19:$S$425,19,FALSE))&gt;=AP166,TRUE,FALSE))</f>
        <v>1</v>
      </c>
      <c r="AR166" s="158"/>
      <c r="AS166" s="158" t="b">
        <f>IF(AR166="",TRUE,IF(VLOOKUP(AR166,Calculs!$A$427:$G$738,7,FALSE)&gt;0,TRUE,FALSE))</f>
        <v>1</v>
      </c>
      <c r="AT166" s="158"/>
      <c r="AU166" s="158" t="b">
        <f>IF(AT166="",TRUE,IF(VLOOKUP(AT166,Calculs!$A$740:$G$912,7,FALSE)&gt;0,TRUE,FALSE))</f>
        <v>1</v>
      </c>
      <c r="AV166" s="158" t="b">
        <f t="shared" si="15"/>
        <v>0</v>
      </c>
      <c r="AW166" s="158" t="s">
        <v>2078</v>
      </c>
      <c r="AX166" s="162" t="s">
        <v>4403</v>
      </c>
      <c r="AY166" s="15">
        <v>178</v>
      </c>
      <c r="AZ166" s="555" t="s">
        <v>5886</v>
      </c>
      <c r="BA166" s="559">
        <f>IF(Verso!$B$10=Voies!$B166,1,0)</f>
        <v>0</v>
      </c>
      <c r="BB166" s="12">
        <f>IF(Verso!$B$11=Voies!$B166,1,0)</f>
        <v>0</v>
      </c>
      <c r="BC166" s="12">
        <f>IF(Verso!$B$12=Voies!$B166,1,0)</f>
        <v>0</v>
      </c>
      <c r="BD166" s="12">
        <f>IF(Verso!$B$13=Voies!$B166,1,0)</f>
        <v>0</v>
      </c>
      <c r="BE166" s="12">
        <f>IF(Verso!$B$14=Voies!$B166,1,0)</f>
        <v>0</v>
      </c>
      <c r="BF166" s="12">
        <f>IF(Verso!$B$15=Voies!$B166,1,0)</f>
        <v>0</v>
      </c>
      <c r="BG166" s="12">
        <f>IF(Verso!$B$16=Voies!$B166,1,0)</f>
        <v>0</v>
      </c>
      <c r="BH166" s="12">
        <f>IF(Verso!$B$17=Voies!$B166,1,0)</f>
        <v>0</v>
      </c>
      <c r="BI166" s="557">
        <f t="shared" si="16"/>
        <v>0</v>
      </c>
      <c r="BJ166" s="196" t="str">
        <f t="shared" si="17"/>
        <v/>
      </c>
      <c r="BK166" s="196" t="str">
        <f t="shared" si="18"/>
        <v/>
      </c>
      <c r="BL166" s="295" t="str">
        <f t="shared" si="19"/>
        <v/>
      </c>
      <c r="BM166" s="91"/>
    </row>
    <row r="167" spans="1:65" ht="47.25" customHeight="1" x14ac:dyDescent="0.25">
      <c r="A167" s="162" t="str">
        <f>IF(AND(Réputation&gt;Voies!E167-1,OR(C167=TRUE,Calculs!$I$8&gt;0),Air&gt;Voies!J167-1,Eau&gt;Voies!K167-1,Feu&gt;Voies!L167-1,Terre&gt;Voies!M167-1,Vide&gt;Voies!N167-1,Constitution&gt;Voies!O167-1,Volonté&gt;Voies!P167-1,Force&gt;Voies!Q167-1,Perception&gt;Voies!R167-1,Reflexes&gt;Voies!S167-1,Agilité&gt;Voies!T167-1,Intuition&gt;Voies!U167-1,Intelligence&gt;Voies!V167-1,Souillure&gt;Voies!W167-1,Honneur&gt;X167-1,Statut&gt;Y167-1,Gloire&gt;Z167-1,AV167=TRUE),Voies!B167,"")</f>
        <v/>
      </c>
      <c r="B167" s="162" t="s">
        <v>6292</v>
      </c>
      <c r="C167" s="162" t="b">
        <f>IF(Clan=Voies!D167,TRUE,FALSE)</f>
        <v>0</v>
      </c>
      <c r="D167" s="388" t="s">
        <v>341</v>
      </c>
      <c r="E167" s="13">
        <v>3</v>
      </c>
      <c r="F167" s="199">
        <v>3</v>
      </c>
      <c r="G167" s="199" t="s">
        <v>2053</v>
      </c>
      <c r="H167" s="162" t="s">
        <v>6293</v>
      </c>
      <c r="I167" s="129" t="s">
        <v>6294</v>
      </c>
      <c r="J167" s="146">
        <v>0</v>
      </c>
      <c r="K167" s="147">
        <v>0</v>
      </c>
      <c r="L167" s="148">
        <v>0</v>
      </c>
      <c r="M167" s="149">
        <v>0</v>
      </c>
      <c r="N167" s="150">
        <v>0</v>
      </c>
      <c r="O167" s="130">
        <v>0</v>
      </c>
      <c r="P167" s="130">
        <v>4</v>
      </c>
      <c r="Q167" s="130">
        <v>0</v>
      </c>
      <c r="R167" s="130">
        <v>0</v>
      </c>
      <c r="S167" s="130">
        <v>0</v>
      </c>
      <c r="T167" s="130">
        <v>0</v>
      </c>
      <c r="U167" s="130">
        <v>0</v>
      </c>
      <c r="V167" s="524">
        <v>0</v>
      </c>
      <c r="W167" s="130">
        <v>0</v>
      </c>
      <c r="X167" s="130">
        <v>0</v>
      </c>
      <c r="Y167" s="130">
        <v>0</v>
      </c>
      <c r="Z167" s="130">
        <v>0</v>
      </c>
      <c r="AA167" s="159" t="s">
        <v>6426</v>
      </c>
      <c r="AB167" s="159" t="s">
        <v>3326</v>
      </c>
      <c r="AC167" s="159" t="s">
        <v>3289</v>
      </c>
      <c r="AD167" s="159">
        <v>3</v>
      </c>
      <c r="AE167" s="158" t="b">
        <f>IF(AB167="",TRUE,IF(IF(AC167="",VLOOKUP(AB167,Calculs!$A$19:$S$425,19,FALSE),VLOOKUP(AC167,Calculs!$A$19:$S$425,19,FALSE))&gt;=AD167,TRUE,FALSE))</f>
        <v>0</v>
      </c>
      <c r="AF167" s="159" t="s">
        <v>3326</v>
      </c>
      <c r="AG167" s="159" t="s">
        <v>3291</v>
      </c>
      <c r="AH167" s="159">
        <v>3</v>
      </c>
      <c r="AI167" s="159" t="b">
        <f>IF(AF167="",TRUE,IF(IF(AG167="",VLOOKUP(AF167,Calculs!$A$19:$S$425,19,FALSE),VLOOKUP(AG167,Calculs!$A$19:$S$425,19,FALSE))&gt;=AH167,TRUE,FALSE))</f>
        <v>0</v>
      </c>
      <c r="AJ167" s="159" t="s">
        <v>3326</v>
      </c>
      <c r="AK167" s="159" t="s">
        <v>2977</v>
      </c>
      <c r="AL167" s="159">
        <v>3</v>
      </c>
      <c r="AM167" s="159" t="b">
        <f>IF(AJ167="",TRUE,IF(IF(AK167="",VLOOKUP(AJ167,Calculs!$A$19:$S$425,19,FALSE),VLOOKUP(AK167,Calculs!$A$19:$S$425,19,FALSE))&gt;=AL167,TRUE,FALSE))</f>
        <v>0</v>
      </c>
      <c r="AN167" s="159" t="s">
        <v>3326</v>
      </c>
      <c r="AO167" s="159" t="s">
        <v>6003</v>
      </c>
      <c r="AP167" s="159">
        <v>3</v>
      </c>
      <c r="AQ167" s="158" t="b">
        <f>IF(AN167="",TRUE,IF(IF(AO167="",VLOOKUP(AN167,Calculs!$A$19:$S$425,19,FALSE),VLOOKUP(AO167,Calculs!$A$19:$S$425,19,FALSE))&gt;=AP167,TRUE,FALSE))</f>
        <v>0</v>
      </c>
      <c r="AR167" s="158"/>
      <c r="AS167" s="158" t="b">
        <f>IF(AR167="",TRUE,IF(VLOOKUP(AR167,Calculs!$A$427:$G$738,7,FALSE)&gt;0,TRUE,FALSE))</f>
        <v>1</v>
      </c>
      <c r="AT167" s="158"/>
      <c r="AU167" s="158" t="b">
        <f>IF(AT167="",TRUE,IF(VLOOKUP(AT167,Calculs!$A$740:$G$912,7,FALSE)&gt;0,TRUE,FALSE))</f>
        <v>1</v>
      </c>
      <c r="AV167" s="158" t="b">
        <f t="shared" si="15"/>
        <v>0</v>
      </c>
      <c r="AW167" s="158" t="s">
        <v>2078</v>
      </c>
      <c r="AX167" s="162" t="s">
        <v>6192</v>
      </c>
      <c r="AY167" s="15">
        <v>191</v>
      </c>
      <c r="AZ167" s="555" t="s">
        <v>8497</v>
      </c>
      <c r="BA167" s="559">
        <f>IF(Verso!$B$10=Voies!$B167,1,0)</f>
        <v>0</v>
      </c>
      <c r="BB167" s="12">
        <f>IF(Verso!$B$11=Voies!$B167,1,0)</f>
        <v>0</v>
      </c>
      <c r="BC167" s="12">
        <f>IF(Verso!$B$12=Voies!$B167,1,0)</f>
        <v>0</v>
      </c>
      <c r="BD167" s="12">
        <f>IF(Verso!$B$13=Voies!$B167,1,0)</f>
        <v>0</v>
      </c>
      <c r="BE167" s="12">
        <f>IF(Verso!$B$14=Voies!$B167,1,0)</f>
        <v>0</v>
      </c>
      <c r="BF167" s="12">
        <f>IF(Verso!$B$15=Voies!$B167,1,0)</f>
        <v>0</v>
      </c>
      <c r="BG167" s="12">
        <f>IF(Verso!$B$16=Voies!$B167,1,0)</f>
        <v>0</v>
      </c>
      <c r="BH167" s="12">
        <f>IF(Verso!$B$17=Voies!$B167,1,0)</f>
        <v>0</v>
      </c>
      <c r="BI167" s="557">
        <f t="shared" si="16"/>
        <v>0</v>
      </c>
      <c r="BJ167" s="196" t="str">
        <f t="shared" si="17"/>
        <v/>
      </c>
      <c r="BK167" s="196" t="str">
        <f t="shared" si="18"/>
        <v/>
      </c>
      <c r="BL167" s="295" t="str">
        <f t="shared" si="19"/>
        <v/>
      </c>
    </row>
    <row r="168" spans="1:65" ht="47.25" customHeight="1" x14ac:dyDescent="0.25">
      <c r="A168" s="162" t="str">
        <f>IF(AND(Réputation&gt;Voies!E168-1,OR(C168=TRUE,Calculs!$I$8&gt;0),Air&gt;Voies!J168-1,Eau&gt;Voies!K168-1,Feu&gt;Voies!L168-1,Terre&gt;Voies!M168-1,Vide&gt;Voies!N168-1,Constitution&gt;Voies!O168-1,Volonté&gt;Voies!P168-1,Force&gt;Voies!Q168-1,Perception&gt;Voies!R168-1,Reflexes&gt;Voies!S168-1,Agilité&gt;Voies!T168-1,Intuition&gt;Voies!U168-1,Intelligence&gt;Voies!V168-1,Souillure&gt;Voies!W168-1,Honneur&gt;X168-1,Statut&gt;Y168-1,Gloire&gt;Z168-1,AV168=TRUE),Voies!B168,"")</f>
        <v/>
      </c>
      <c r="B168" s="162" t="s">
        <v>6301</v>
      </c>
      <c r="C168" s="162" t="b">
        <f>IF(Clan=Voies!D168,TRUE,FALSE)</f>
        <v>0</v>
      </c>
      <c r="D168" s="388" t="s">
        <v>341</v>
      </c>
      <c r="E168" s="13">
        <v>4</v>
      </c>
      <c r="F168" s="199">
        <v>4</v>
      </c>
      <c r="G168" s="13" t="s">
        <v>2050</v>
      </c>
      <c r="H168" s="162" t="s">
        <v>4776</v>
      </c>
      <c r="I168" s="129" t="s">
        <v>5848</v>
      </c>
      <c r="J168" s="146">
        <v>0</v>
      </c>
      <c r="K168" s="147">
        <v>0</v>
      </c>
      <c r="L168" s="148">
        <v>0</v>
      </c>
      <c r="M168" s="149">
        <v>0</v>
      </c>
      <c r="N168" s="150">
        <v>0</v>
      </c>
      <c r="O168" s="130">
        <v>0</v>
      </c>
      <c r="P168" s="130">
        <v>0</v>
      </c>
      <c r="Q168" s="130">
        <v>0</v>
      </c>
      <c r="R168" s="130">
        <v>0</v>
      </c>
      <c r="S168" s="130">
        <v>0</v>
      </c>
      <c r="T168" s="130">
        <v>0</v>
      </c>
      <c r="U168" s="130">
        <v>0</v>
      </c>
      <c r="V168" s="524">
        <v>0</v>
      </c>
      <c r="W168" s="130">
        <v>0</v>
      </c>
      <c r="X168" s="130">
        <v>0</v>
      </c>
      <c r="Y168" s="130">
        <v>0</v>
      </c>
      <c r="Z168" s="130">
        <v>0</v>
      </c>
      <c r="AA168" s="159" t="s">
        <v>5849</v>
      </c>
      <c r="AB168" s="159" t="s">
        <v>1264</v>
      </c>
      <c r="AC168" s="159" t="s">
        <v>5992</v>
      </c>
      <c r="AD168" s="159">
        <v>5</v>
      </c>
      <c r="AE168" s="158" t="b">
        <f>IF(AB168="",TRUE,IF(IF(AC168="",VLOOKUP(AB168,Calculs!$A$19:$S$425,19,FALSE),VLOOKUP(AC168,Calculs!$A$19:$S$425,19,FALSE))&gt;=AD168,TRUE,FALSE))</f>
        <v>0</v>
      </c>
      <c r="AI168" s="158" t="b">
        <f>IF(AF168="",TRUE,IF(IF(AG168="",VLOOKUP(AF168,Calculs!$A$19:$S$425,19,FALSE),VLOOKUP(AG168,Calculs!$A$19:$S$425,19,FALSE))&gt;=AH168,TRUE,FALSE))</f>
        <v>1</v>
      </c>
      <c r="AM168" s="158" t="b">
        <f>IF(AJ168="",TRUE,IF(IF(AK168="",VLOOKUP(AJ168,Calculs!$A$19:$S$425,19,FALSE),VLOOKUP(AK168,Calculs!$A$19:$S$425,19,FALSE))&gt;=AL168,TRUE,FALSE))</f>
        <v>1</v>
      </c>
      <c r="AQ168" s="158" t="b">
        <f>IF(AN168="",TRUE,IF(IF(AO168="",VLOOKUP(AN168,Calculs!$A$19:$S$425,19,FALSE),VLOOKUP(AO168,Calculs!$A$19:$S$425,19,FALSE))&gt;=AP168,TRUE,FALSE))</f>
        <v>1</v>
      </c>
      <c r="AR168" s="158"/>
      <c r="AS168" s="158" t="b">
        <f>IF(AR168="",TRUE,IF(VLOOKUP(AR168,Calculs!$A$427:$G$738,7,FALSE)&gt;0,TRUE,FALSE))</f>
        <v>1</v>
      </c>
      <c r="AT168" s="158"/>
      <c r="AU168" s="158" t="b">
        <f>IF(AT168="",TRUE,IF(VLOOKUP(AT168,Calculs!$A$740:$G$912,7,FALSE)&gt;0,TRUE,FALSE))</f>
        <v>1</v>
      </c>
      <c r="AV168" s="158" t="b">
        <f t="shared" si="15"/>
        <v>0</v>
      </c>
      <c r="AW168" s="159" t="s">
        <v>5850</v>
      </c>
      <c r="AX168" s="162" t="s">
        <v>4403</v>
      </c>
      <c r="AY168" s="15">
        <v>187</v>
      </c>
      <c r="AZ168" s="555" t="s">
        <v>8498</v>
      </c>
      <c r="BA168" s="559">
        <f>IF(Verso!$B$10=Voies!$B168,1,0)</f>
        <v>0</v>
      </c>
      <c r="BB168" s="12">
        <f>IF(Verso!$B$11=Voies!$B168,1,0)</f>
        <v>0</v>
      </c>
      <c r="BC168" s="12">
        <f>IF(Verso!$B$12=Voies!$B168,1,0)</f>
        <v>0</v>
      </c>
      <c r="BD168" s="12">
        <f>IF(Verso!$B$13=Voies!$B168,1,0)</f>
        <v>0</v>
      </c>
      <c r="BE168" s="12">
        <f>IF(Verso!$B$14=Voies!$B168,1,0)</f>
        <v>0</v>
      </c>
      <c r="BF168" s="12">
        <f>IF(Verso!$B$15=Voies!$B168,1,0)</f>
        <v>0</v>
      </c>
      <c r="BG168" s="12">
        <f>IF(Verso!$B$16=Voies!$B168,1,0)</f>
        <v>0</v>
      </c>
      <c r="BH168" s="12">
        <f>IF(Verso!$B$17=Voies!$B168,1,0)</f>
        <v>0</v>
      </c>
      <c r="BI168" s="557">
        <f t="shared" si="16"/>
        <v>0</v>
      </c>
      <c r="BJ168" s="196" t="str">
        <f t="shared" si="17"/>
        <v/>
      </c>
      <c r="BK168" s="196" t="str">
        <f t="shared" si="18"/>
        <v/>
      </c>
      <c r="BL168" s="295" t="str">
        <f t="shared" si="19"/>
        <v/>
      </c>
    </row>
    <row r="169" spans="1:65" s="196" customFormat="1" ht="47.25" customHeight="1" x14ac:dyDescent="0.25">
      <c r="A169" s="162" t="str">
        <f>IF(AND(Réputation&gt;Voies!E169-1,OR(C169=TRUE,Calculs!$I$8&gt;0),Air&gt;Voies!J169-1,Eau&gt;Voies!K169-1,Feu&gt;Voies!L169-1,Terre&gt;Voies!M169-1,Vide&gt;Voies!N169-1,Constitution&gt;Voies!O169-1,Volonté&gt;Voies!P169-1,Force&gt;Voies!Q169-1,Perception&gt;Voies!R169-1,Reflexes&gt;Voies!S169-1,Agilité&gt;Voies!T169-1,Intuition&gt;Voies!U169-1,Intelligence&gt;Voies!V169-1,Souillure&gt;Voies!W169-1,Honneur&gt;X169-1,Statut&gt;Y169-1,Gloire&gt;Z169-1,AV169=TRUE),Voies!B169,"")</f>
        <v/>
      </c>
      <c r="B169" s="162" t="s">
        <v>6305</v>
      </c>
      <c r="C169" s="162" t="b">
        <f>IF(Clan=Voies!D169,TRUE,FALSE)</f>
        <v>0</v>
      </c>
      <c r="D169" s="388" t="s">
        <v>341</v>
      </c>
      <c r="E169" s="199">
        <v>4</v>
      </c>
      <c r="F169" s="199">
        <v>4</v>
      </c>
      <c r="G169" s="199" t="s">
        <v>2050</v>
      </c>
      <c r="H169" s="162" t="s">
        <v>6302</v>
      </c>
      <c r="I169" s="129" t="s">
        <v>6303</v>
      </c>
      <c r="J169" s="146">
        <v>0</v>
      </c>
      <c r="K169" s="147">
        <v>0</v>
      </c>
      <c r="L169" s="148">
        <v>0</v>
      </c>
      <c r="M169" s="149">
        <v>0</v>
      </c>
      <c r="N169" s="150">
        <v>0</v>
      </c>
      <c r="O169" s="130">
        <v>0</v>
      </c>
      <c r="P169" s="130">
        <v>0</v>
      </c>
      <c r="Q169" s="130">
        <v>0</v>
      </c>
      <c r="R169" s="130">
        <v>0</v>
      </c>
      <c r="S169" s="130">
        <v>0</v>
      </c>
      <c r="T169" s="130">
        <v>0</v>
      </c>
      <c r="U169" s="130">
        <v>0</v>
      </c>
      <c r="V169" s="524">
        <v>0</v>
      </c>
      <c r="W169" s="130">
        <v>0</v>
      </c>
      <c r="X169" s="130">
        <v>0</v>
      </c>
      <c r="Y169" s="130">
        <v>0</v>
      </c>
      <c r="Z169" s="130">
        <v>0</v>
      </c>
      <c r="AA169" s="158" t="s">
        <v>2078</v>
      </c>
      <c r="AB169" s="158"/>
      <c r="AC169" s="158"/>
      <c r="AD169" s="158"/>
      <c r="AE169" s="158" t="b">
        <f>IF(AB169="",TRUE,IF(IF(AC169="",VLOOKUP(AB169,Calculs!$A$19:$S$425,19,FALSE),VLOOKUP(AC169,Calculs!$A$19:$S$425,19,FALSE))&gt;=AD169,TRUE,FALSE))</f>
        <v>1</v>
      </c>
      <c r="AF169" s="158"/>
      <c r="AG169" s="158"/>
      <c r="AH169" s="158"/>
      <c r="AI169" s="158" t="b">
        <f>IF(AF169="",TRUE,IF(IF(AG169="",VLOOKUP(AF169,Calculs!$A$19:$S$425,19,FALSE),VLOOKUP(AG169,Calculs!$A$19:$S$425,19,FALSE))&gt;=AH169,TRUE,FALSE))</f>
        <v>1</v>
      </c>
      <c r="AJ169" s="158"/>
      <c r="AK169" s="158"/>
      <c r="AL169" s="158"/>
      <c r="AM169" s="158" t="b">
        <f>IF(AJ169="",TRUE,IF(IF(AK169="",VLOOKUP(AJ169,Calculs!$A$19:$S$425,19,FALSE),VLOOKUP(AK169,Calculs!$A$19:$S$425,19,FALSE))&gt;=AL169,TRUE,FALSE))</f>
        <v>1</v>
      </c>
      <c r="AN169" s="158"/>
      <c r="AO169" s="158"/>
      <c r="AP169" s="158"/>
      <c r="AQ169" s="158" t="b">
        <f>IF(AN169="",TRUE,IF(IF(AO169="",VLOOKUP(AN169,Calculs!$A$19:$S$425,19,FALSE),VLOOKUP(AO169,Calculs!$A$19:$S$425,19,FALSE))&gt;=AP169,TRUE,FALSE))</f>
        <v>1</v>
      </c>
      <c r="AR169" s="158"/>
      <c r="AS169" s="158" t="b">
        <f>IF(AR169="",TRUE,IF(VLOOKUP(AR169,Calculs!$A$427:$G$738,7,FALSE)&gt;0,TRUE,FALSE))</f>
        <v>1</v>
      </c>
      <c r="AT169" s="158"/>
      <c r="AU169" s="158" t="b">
        <f>IF(AT169="",TRUE,IF(VLOOKUP(AT169,Calculs!$A$740:$G$912,7,FALSE)&gt;0,TRUE,FALSE))</f>
        <v>1</v>
      </c>
      <c r="AV169" s="158" t="b">
        <f t="shared" si="15"/>
        <v>1</v>
      </c>
      <c r="AW169" s="159" t="s">
        <v>6304</v>
      </c>
      <c r="AX169" s="162" t="s">
        <v>6192</v>
      </c>
      <c r="AY169" s="15">
        <v>193</v>
      </c>
      <c r="AZ169" s="555" t="s">
        <v>6307</v>
      </c>
      <c r="BA169" s="559">
        <f>IF(Verso!$B$10=Voies!$B169,1,0)</f>
        <v>0</v>
      </c>
      <c r="BB169" s="12">
        <f>IF(Verso!$B$11=Voies!$B169,1,0)</f>
        <v>0</v>
      </c>
      <c r="BC169" s="12">
        <f>IF(Verso!$B$12=Voies!$B169,1,0)</f>
        <v>0</v>
      </c>
      <c r="BD169" s="12">
        <f>IF(Verso!$B$13=Voies!$B169,1,0)</f>
        <v>0</v>
      </c>
      <c r="BE169" s="12">
        <f>IF(Verso!$B$14=Voies!$B169,1,0)</f>
        <v>0</v>
      </c>
      <c r="BF169" s="12">
        <f>IF(Verso!$B$15=Voies!$B169,1,0)</f>
        <v>0</v>
      </c>
      <c r="BG169" s="12">
        <f>IF(Verso!$B$16=Voies!$B169,1,0)</f>
        <v>0</v>
      </c>
      <c r="BH169" s="12">
        <f>IF(Verso!$B$17=Voies!$B169,1,0)</f>
        <v>0</v>
      </c>
      <c r="BI169" s="557">
        <f t="shared" si="16"/>
        <v>0</v>
      </c>
      <c r="BJ169" s="196" t="str">
        <f t="shared" si="17"/>
        <v/>
      </c>
      <c r="BK169" s="196" t="str">
        <f t="shared" si="18"/>
        <v/>
      </c>
      <c r="BL169" s="295" t="str">
        <f t="shared" si="19"/>
        <v/>
      </c>
      <c r="BM169" s="91"/>
    </row>
    <row r="170" spans="1:65" ht="47.25" customHeight="1" x14ac:dyDescent="0.25">
      <c r="A170" s="162" t="str">
        <f>IF(AND(Réputation&gt;Voies!E170-1,OR(C170=TRUE,Calculs!$I$8&gt;0),Air&gt;Voies!J170-1,Eau&gt;Voies!K170-1,Feu&gt;Voies!L170-1,Terre&gt;Voies!M170-1,Vide&gt;Voies!N170-1,Constitution&gt;Voies!O170-1,Volonté&gt;Voies!P170-1,Force&gt;Voies!Q170-1,Perception&gt;Voies!R170-1,Reflexes&gt;Voies!S170-1,Agilité&gt;Voies!T170-1,Intuition&gt;Voies!U170-1,Intelligence&gt;Voies!V170-1,Souillure&gt;Voies!W170-1,Honneur&gt;X170-1,Statut&gt;Y170-1,Gloire&gt;Z170-1,AV170=TRUE),Voies!B170,"")</f>
        <v/>
      </c>
      <c r="B170" s="162" t="s">
        <v>562</v>
      </c>
      <c r="C170" s="162" t="b">
        <f>IF(Clan=Voies!D170,TRUE,FALSE)</f>
        <v>0</v>
      </c>
      <c r="D170" s="388" t="s">
        <v>341</v>
      </c>
      <c r="E170" s="13">
        <v>4</v>
      </c>
      <c r="F170" s="199">
        <v>4</v>
      </c>
      <c r="G170" s="13" t="s">
        <v>2051</v>
      </c>
      <c r="H170" s="162" t="s">
        <v>562</v>
      </c>
      <c r="I170" s="129" t="s">
        <v>3780</v>
      </c>
      <c r="J170" s="146">
        <v>0</v>
      </c>
      <c r="K170" s="147">
        <v>0</v>
      </c>
      <c r="L170" s="148">
        <v>0</v>
      </c>
      <c r="M170" s="149">
        <v>0</v>
      </c>
      <c r="N170" s="150">
        <v>0</v>
      </c>
      <c r="O170" s="130">
        <v>0</v>
      </c>
      <c r="P170" s="130">
        <v>4</v>
      </c>
      <c r="Q170" s="130">
        <v>0</v>
      </c>
      <c r="R170" s="130">
        <v>0</v>
      </c>
      <c r="S170" s="130">
        <v>0</v>
      </c>
      <c r="T170" s="130">
        <v>0</v>
      </c>
      <c r="U170" s="130">
        <v>0</v>
      </c>
      <c r="V170" s="524">
        <v>0</v>
      </c>
      <c r="W170" s="130">
        <v>0</v>
      </c>
      <c r="X170" s="130">
        <v>0</v>
      </c>
      <c r="Y170" s="130">
        <v>0</v>
      </c>
      <c r="Z170" s="130">
        <v>0</v>
      </c>
      <c r="AA170" s="159" t="s">
        <v>3781</v>
      </c>
      <c r="AB170" s="159" t="s">
        <v>228</v>
      </c>
      <c r="AD170" s="159">
        <v>4</v>
      </c>
      <c r="AE170" s="158" t="b">
        <f>IF(AB170="",TRUE,IF(IF(AC170="",VLOOKUP(AB170,Calculs!$A$19:$S$425,19,FALSE),VLOOKUP(AC170,Calculs!$A$19:$S$425,19,FALSE))&gt;=AD170,TRUE,FALSE))</f>
        <v>0</v>
      </c>
      <c r="AF170" s="159" t="s">
        <v>1265</v>
      </c>
      <c r="AH170" s="159">
        <v>3</v>
      </c>
      <c r="AI170" s="158" t="b">
        <f>IF(AF170="",TRUE,IF(IF(AG170="",VLOOKUP(AF170,Calculs!$A$19:$S$425,19,FALSE),VLOOKUP(AG170,Calculs!$A$19:$S$425,19,FALSE))&gt;=AH170,TRUE,FALSE))</f>
        <v>0</v>
      </c>
      <c r="AJ170" s="159" t="s">
        <v>3268</v>
      </c>
      <c r="AL170" s="159">
        <v>3</v>
      </c>
      <c r="AM170" s="158" t="b">
        <f>IF(AJ170="",TRUE,IF(IF(AK170="",VLOOKUP(AJ170,Calculs!$A$19:$S$425,19,FALSE),VLOOKUP(AK170,Calculs!$A$19:$S$425,19,FALSE))&gt;=AL170,TRUE,FALSE))</f>
        <v>0</v>
      </c>
      <c r="AQ170" s="158" t="b">
        <f>IF(AN170="",TRUE,IF(IF(AO170="",VLOOKUP(AN170,Calculs!$A$19:$S$425,19,FALSE),VLOOKUP(AO170,Calculs!$A$19:$S$425,19,FALSE))&gt;=AP170,TRUE,FALSE))</f>
        <v>1</v>
      </c>
      <c r="AR170" s="158"/>
      <c r="AS170" s="158" t="b">
        <f>IF(AR170="",TRUE,IF(VLOOKUP(AR170,Calculs!$A$427:$G$738,7,FALSE)&gt;0,TRUE,FALSE))</f>
        <v>1</v>
      </c>
      <c r="AT170" s="158"/>
      <c r="AU170" s="158" t="b">
        <f>IF(AT170="",TRUE,IF(VLOOKUP(AT170,Calculs!$A$740:$G$912,7,FALSE)&gt;0,TRUE,FALSE))</f>
        <v>1</v>
      </c>
      <c r="AV170" s="158" t="b">
        <f t="shared" si="15"/>
        <v>0</v>
      </c>
      <c r="AW170" s="159" t="s">
        <v>3782</v>
      </c>
      <c r="AX170" s="162" t="s">
        <v>2080</v>
      </c>
      <c r="AY170" s="15">
        <v>242</v>
      </c>
      <c r="AZ170" s="566" t="s">
        <v>3783</v>
      </c>
      <c r="BA170" s="559">
        <f>IF(Verso!$B$10=Voies!$B170,1,0)</f>
        <v>0</v>
      </c>
      <c r="BB170" s="12">
        <f>IF(Verso!$B$11=Voies!$B170,1,0)</f>
        <v>0</v>
      </c>
      <c r="BC170" s="12">
        <f>IF(Verso!$B$12=Voies!$B170,1,0)</f>
        <v>0</v>
      </c>
      <c r="BD170" s="12">
        <f>IF(Verso!$B$13=Voies!$B170,1,0)</f>
        <v>0</v>
      </c>
      <c r="BE170" s="12">
        <f>IF(Verso!$B$14=Voies!$B170,1,0)</f>
        <v>0</v>
      </c>
      <c r="BF170" s="12">
        <f>IF(Verso!$B$15=Voies!$B170,1,0)</f>
        <v>0</v>
      </c>
      <c r="BG170" s="12">
        <f>IF(Verso!$B$16=Voies!$B170,1,0)</f>
        <v>0</v>
      </c>
      <c r="BH170" s="12">
        <f>IF(Verso!$B$17=Voies!$B170,1,0)</f>
        <v>0</v>
      </c>
      <c r="BI170" s="557">
        <f t="shared" si="16"/>
        <v>0</v>
      </c>
      <c r="BJ170" s="196" t="str">
        <f t="shared" si="17"/>
        <v/>
      </c>
      <c r="BK170" s="196" t="str">
        <f t="shared" si="18"/>
        <v/>
      </c>
      <c r="BL170" s="295" t="str">
        <f t="shared" si="19"/>
        <v/>
      </c>
    </row>
    <row r="171" spans="1:65" ht="47.25" customHeight="1" x14ac:dyDescent="0.25">
      <c r="A171" s="162" t="str">
        <f>IF(AND(Réputation&gt;Voies!E171-1,OR(C171=TRUE,Calculs!$I$8&gt;0),Air&gt;Voies!J171-1,Eau&gt;Voies!K171-1,Feu&gt;Voies!L171-1,Terre&gt;Voies!M171-1,Vide&gt;Voies!N171-1,Constitution&gt;Voies!O171-1,Volonté&gt;Voies!P171-1,Force&gt;Voies!Q171-1,Perception&gt;Voies!R171-1,Reflexes&gt;Voies!S171-1,Agilité&gt;Voies!T171-1,Intuition&gt;Voies!U171-1,Intelligence&gt;Voies!V171-1,Souillure&gt;Voies!W171-1,Honneur&gt;X171-1,Statut&gt;Y171-1,Gloire&gt;Z171-1,AV171=TRUE),Voies!B171,"")</f>
        <v/>
      </c>
      <c r="B171" s="162" t="s">
        <v>3393</v>
      </c>
      <c r="C171" s="162" t="b">
        <f t="shared" ref="C171:C176" si="20">IF(OR(Clan="Confrérie",Clan="Ronin"),TRUE,FALSE)</f>
        <v>0</v>
      </c>
      <c r="D171" s="388" t="s">
        <v>341</v>
      </c>
      <c r="E171" s="13">
        <v>5</v>
      </c>
      <c r="F171" s="199">
        <v>5</v>
      </c>
      <c r="G171" s="13" t="s">
        <v>3401</v>
      </c>
      <c r="H171" s="162" t="s">
        <v>603</v>
      </c>
      <c r="I171" s="129" t="s">
        <v>3867</v>
      </c>
      <c r="J171" s="146">
        <v>0</v>
      </c>
      <c r="K171" s="147">
        <v>0</v>
      </c>
      <c r="L171" s="148">
        <v>0</v>
      </c>
      <c r="M171" s="149">
        <v>0</v>
      </c>
      <c r="N171" s="150">
        <v>4</v>
      </c>
      <c r="O171" s="130">
        <v>0</v>
      </c>
      <c r="P171" s="130">
        <v>0</v>
      </c>
      <c r="Q171" s="130">
        <v>0</v>
      </c>
      <c r="R171" s="130">
        <v>0</v>
      </c>
      <c r="S171" s="130">
        <v>0</v>
      </c>
      <c r="T171" s="130">
        <v>0</v>
      </c>
      <c r="U171" s="130">
        <v>0</v>
      </c>
      <c r="V171" s="524">
        <v>0</v>
      </c>
      <c r="W171" s="130">
        <v>0</v>
      </c>
      <c r="X171" s="130">
        <v>0</v>
      </c>
      <c r="Y171" s="130">
        <v>0</v>
      </c>
      <c r="Z171" s="130">
        <v>0</v>
      </c>
      <c r="AA171" s="159" t="s">
        <v>6335</v>
      </c>
      <c r="AB171" s="159" t="s">
        <v>3325</v>
      </c>
      <c r="AC171" s="159" t="s">
        <v>3214</v>
      </c>
      <c r="AE171" s="158" t="b">
        <f>IF(AB171="",TRUE,IF(IF(AC171="",VLOOKUP(AB171,Calculs!$A$19:$S$425,19,FALSE),VLOOKUP(AC171,Calculs!$A$19:$S$425,19,FALSE))&gt;=AD171,TRUE,FALSE))</f>
        <v>1</v>
      </c>
      <c r="AF171" s="159" t="s">
        <v>1228</v>
      </c>
      <c r="AG171" s="159" t="s">
        <v>1357</v>
      </c>
      <c r="AH171" s="159">
        <v>5</v>
      </c>
      <c r="AI171" s="158" t="b">
        <f>IF(AF171="",TRUE,IF(IF(AG171="",VLOOKUP(AF171,Calculs!$A$19:$S$425,19,FALSE),VLOOKUP(AG171,Calculs!$A$19:$S$425,19,FALSE))&gt;=AH171,TRUE,FALSE))</f>
        <v>0</v>
      </c>
      <c r="AJ171" s="159" t="s">
        <v>1265</v>
      </c>
      <c r="AL171" s="159">
        <v>4</v>
      </c>
      <c r="AM171" s="158" t="b">
        <f>IF(AJ171="",TRUE,IF(IF(AK171="",VLOOKUP(AJ171,Calculs!$A$19:$S$425,19,FALSE),VLOOKUP(AK171,Calculs!$A$19:$S$425,19,FALSE))&gt;=AL171,TRUE,FALSE))</f>
        <v>0</v>
      </c>
      <c r="AQ171" s="158" t="b">
        <f>IF(AN171="",TRUE,IF(IF(AO171="",VLOOKUP(AN171,Calculs!$A$19:$S$425,19,FALSE),VLOOKUP(AO171,Calculs!$A$19:$S$425,19,FALSE))&gt;=AP171,TRUE,FALSE))</f>
        <v>1</v>
      </c>
      <c r="AR171" s="158"/>
      <c r="AS171" s="158" t="b">
        <f>IF(AR171="",TRUE,IF(VLOOKUP(AR171,Calculs!$A$427:$G$738,7,FALSE)&gt;0,TRUE,FALSE))</f>
        <v>1</v>
      </c>
      <c r="AT171" s="158"/>
      <c r="AU171" s="158" t="b">
        <f>IF(AT171="",TRUE,IF(VLOOKUP(AT171,Calculs!$A$740:$G$912,7,FALSE)&gt;0,TRUE,FALSE))</f>
        <v>1</v>
      </c>
      <c r="AV171" s="158" t="b">
        <f t="shared" si="15"/>
        <v>0</v>
      </c>
      <c r="AW171" s="158" t="s">
        <v>2078</v>
      </c>
      <c r="AX171" s="162" t="s">
        <v>118</v>
      </c>
      <c r="AY171" s="151">
        <v>174</v>
      </c>
      <c r="AZ171" s="555" t="s">
        <v>8499</v>
      </c>
      <c r="BA171" s="559">
        <f>IF(Verso!$B$10=Voies!$B171,1,0)</f>
        <v>0</v>
      </c>
      <c r="BB171" s="12">
        <f>IF(Verso!$B$11=Voies!$B171,1,0)</f>
        <v>0</v>
      </c>
      <c r="BC171" s="12">
        <f>IF(Verso!$B$12=Voies!$B171,1,0)</f>
        <v>0</v>
      </c>
      <c r="BD171" s="12">
        <f>IF(Verso!$B$13=Voies!$B171,1,0)</f>
        <v>0</v>
      </c>
      <c r="BE171" s="12">
        <f>IF(Verso!$B$14=Voies!$B171,1,0)</f>
        <v>0</v>
      </c>
      <c r="BF171" s="12">
        <f>IF(Verso!$B$15=Voies!$B171,1,0)</f>
        <v>0</v>
      </c>
      <c r="BG171" s="12">
        <f>IF(Verso!$B$16=Voies!$B171,1,0)</f>
        <v>0</v>
      </c>
      <c r="BH171" s="12">
        <f>IF(Verso!$B$17=Voies!$B171,1,0)</f>
        <v>0</v>
      </c>
      <c r="BI171" s="557">
        <f t="shared" si="16"/>
        <v>0</v>
      </c>
      <c r="BJ171" s="196" t="str">
        <f t="shared" si="17"/>
        <v/>
      </c>
      <c r="BK171" s="196" t="str">
        <f t="shared" si="18"/>
        <v/>
      </c>
      <c r="BL171" s="295" t="str">
        <f t="shared" si="19"/>
        <v/>
      </c>
    </row>
    <row r="172" spans="1:65" s="196" customFormat="1" ht="47.25" customHeight="1" x14ac:dyDescent="0.25">
      <c r="A172" s="162" t="str">
        <f>IF(AND(Réputation&gt;Voies!E172-1,OR(C172=TRUE,Calculs!$I$8&gt;0),Air&gt;Voies!J172-1,Eau&gt;Voies!K172-1,Feu&gt;Voies!L172-1,Terre&gt;Voies!M172-1,Vide&gt;Voies!N172-1,Constitution&gt;Voies!O172-1,Volonté&gt;Voies!P172-1,Force&gt;Voies!Q172-1,Perception&gt;Voies!R172-1,Reflexes&gt;Voies!S172-1,Agilité&gt;Voies!T172-1,Intuition&gt;Voies!U172-1,Intelligence&gt;Voies!V172-1,Souillure&gt;Voies!W172-1,Honneur&gt;X172-1,Statut&gt;Y172-1,Gloire&gt;Z172-1,AV172=TRUE),Voies!B172,"")</f>
        <v/>
      </c>
      <c r="B172" s="162" t="s">
        <v>8270</v>
      </c>
      <c r="C172" s="162" t="b">
        <f t="shared" si="20"/>
        <v>0</v>
      </c>
      <c r="D172" s="388" t="s">
        <v>8265</v>
      </c>
      <c r="E172" s="199">
        <v>1</v>
      </c>
      <c r="F172" s="199">
        <v>1</v>
      </c>
      <c r="G172" s="199" t="s">
        <v>2049</v>
      </c>
      <c r="H172" s="162" t="s">
        <v>8264</v>
      </c>
      <c r="I172" s="129" t="str">
        <f t="shared" ref="I172:I185" si="21">IF(B172="","","Rien")</f>
        <v>Rien</v>
      </c>
      <c r="J172" s="146">
        <v>0</v>
      </c>
      <c r="K172" s="147">
        <v>0</v>
      </c>
      <c r="L172" s="148">
        <v>0</v>
      </c>
      <c r="M172" s="149">
        <v>0</v>
      </c>
      <c r="N172" s="150">
        <v>0</v>
      </c>
      <c r="O172" s="130">
        <v>0</v>
      </c>
      <c r="P172" s="130">
        <v>0</v>
      </c>
      <c r="Q172" s="130">
        <v>0</v>
      </c>
      <c r="R172" s="130">
        <v>0</v>
      </c>
      <c r="S172" s="130">
        <v>0</v>
      </c>
      <c r="T172" s="130">
        <v>0</v>
      </c>
      <c r="U172" s="130">
        <v>0</v>
      </c>
      <c r="V172" s="524">
        <v>0</v>
      </c>
      <c r="W172" s="130">
        <v>0</v>
      </c>
      <c r="X172" s="130">
        <v>0</v>
      </c>
      <c r="Y172" s="130">
        <v>0</v>
      </c>
      <c r="Z172" s="130">
        <v>0</v>
      </c>
      <c r="AA172" s="158" t="s">
        <v>2078</v>
      </c>
      <c r="AB172" s="158"/>
      <c r="AC172" s="158"/>
      <c r="AD172" s="158"/>
      <c r="AE172" s="158" t="b">
        <f>IF(AB172="",TRUE,IF(IF(AC172="",VLOOKUP(AB172,Calculs!$A$19:$S$425,19,FALSE),VLOOKUP(AC172,Calculs!$A$19:$S$425,19,FALSE))&gt;=AD172,TRUE,FALSE))</f>
        <v>1</v>
      </c>
      <c r="AF172" s="158"/>
      <c r="AG172" s="158"/>
      <c r="AH172" s="158"/>
      <c r="AI172" s="158" t="b">
        <f>IF(AF172="",TRUE,IF(IF(AG172="",VLOOKUP(AF172,Calculs!$A$19:$S$425,19,FALSE),VLOOKUP(AG172,Calculs!$A$19:$S$425,19,FALSE))&gt;=AH172,TRUE,FALSE))</f>
        <v>1</v>
      </c>
      <c r="AJ172" s="158"/>
      <c r="AK172" s="158"/>
      <c r="AL172" s="158"/>
      <c r="AM172" s="158" t="b">
        <f>IF(AJ172="",TRUE,IF(IF(AK172="",VLOOKUP(AJ172,Calculs!$A$19:$S$425,19,FALSE),VLOOKUP(AK172,Calculs!$A$19:$S$425,19,FALSE))&gt;=AL172,TRUE,FALSE))</f>
        <v>1</v>
      </c>
      <c r="AN172" s="158"/>
      <c r="AO172" s="158"/>
      <c r="AP172" s="158"/>
      <c r="AQ172" s="158" t="b">
        <f>IF(AN172="",TRUE,IF(IF(AO172="",VLOOKUP(AN172,Calculs!$A$19:$S$425,19,FALSE),VLOOKUP(AO172,Calculs!$A$19:$S$425,19,FALSE))&gt;=AP172,TRUE,FALSE))</f>
        <v>1</v>
      </c>
      <c r="AR172" s="158"/>
      <c r="AS172" s="158" t="b">
        <f>IF(AR172="",TRUE,IF(VLOOKUP(AR172,Calculs!$A$427:$G$738,7,FALSE)&gt;0,TRUE,FALSE))</f>
        <v>1</v>
      </c>
      <c r="AT172" s="158"/>
      <c r="AU172" s="158" t="b">
        <f>IF(AT172="",TRUE,IF(VLOOKUP(AT172,Calculs!$A$740:$G$912,7,FALSE)&gt;0,TRUE,FALSE))</f>
        <v>1</v>
      </c>
      <c r="AV172" s="158" t="b">
        <f t="shared" si="15"/>
        <v>1</v>
      </c>
      <c r="AW172" s="158" t="s">
        <v>2078</v>
      </c>
      <c r="AX172" s="162" t="s">
        <v>6816</v>
      </c>
      <c r="AY172" s="151">
        <v>23</v>
      </c>
      <c r="AZ172" s="555" t="s">
        <v>8274</v>
      </c>
      <c r="BA172" s="559">
        <f>IF(Verso!$B$10=Voies!$B172,1,0)</f>
        <v>0</v>
      </c>
      <c r="BB172" s="12">
        <f>IF(Verso!$B$11=Voies!$B172,1,0)</f>
        <v>0</v>
      </c>
      <c r="BC172" s="12">
        <f>IF(Verso!$B$12=Voies!$B172,1,0)</f>
        <v>0</v>
      </c>
      <c r="BD172" s="12">
        <f>IF(Verso!$B$13=Voies!$B172,1,0)</f>
        <v>0</v>
      </c>
      <c r="BE172" s="12">
        <f>IF(Verso!$B$14=Voies!$B172,1,0)</f>
        <v>0</v>
      </c>
      <c r="BF172" s="12">
        <f>IF(Verso!$B$15=Voies!$B172,1,0)</f>
        <v>0</v>
      </c>
      <c r="BG172" s="12">
        <f>IF(Verso!$B$16=Voies!$B172,1,0)</f>
        <v>0</v>
      </c>
      <c r="BH172" s="12">
        <f>IF(Verso!$B$17=Voies!$B172,1,0)</f>
        <v>0</v>
      </c>
      <c r="BI172" s="557">
        <f t="shared" si="16"/>
        <v>0</v>
      </c>
      <c r="BJ172" s="196" t="str">
        <f t="shared" si="17"/>
        <v/>
      </c>
      <c r="BK172" s="196" t="str">
        <f t="shared" si="18"/>
        <v/>
      </c>
      <c r="BL172" s="295" t="str">
        <f t="shared" si="19"/>
        <v/>
      </c>
      <c r="BM172" s="91"/>
    </row>
    <row r="173" spans="1:65" s="196" customFormat="1" ht="47.25" customHeight="1" x14ac:dyDescent="0.25">
      <c r="A173" s="162" t="str">
        <f>IF(AND(Réputation&gt;Voies!E173-1,OR(C173=TRUE,Calculs!$I$8&gt;0),Air&gt;Voies!J173-1,Eau&gt;Voies!K173-1,Feu&gt;Voies!L173-1,Terre&gt;Voies!M173-1,Vide&gt;Voies!N173-1,Constitution&gt;Voies!O173-1,Volonté&gt;Voies!P173-1,Force&gt;Voies!Q173-1,Perception&gt;Voies!R173-1,Reflexes&gt;Voies!S173-1,Agilité&gt;Voies!T173-1,Intuition&gt;Voies!U173-1,Intelligence&gt;Voies!V173-1,Souillure&gt;Voies!W173-1,Honneur&gt;X173-1,Statut&gt;Y173-1,Gloire&gt;Z173-1,AV173=TRUE),Voies!B173,"")</f>
        <v/>
      </c>
      <c r="B173" s="162" t="s">
        <v>8271</v>
      </c>
      <c r="C173" s="162" t="b">
        <f t="shared" si="20"/>
        <v>0</v>
      </c>
      <c r="D173" s="388" t="s">
        <v>8265</v>
      </c>
      <c r="E173" s="199">
        <v>2</v>
      </c>
      <c r="F173" s="199">
        <v>2</v>
      </c>
      <c r="G173" s="199" t="s">
        <v>2049</v>
      </c>
      <c r="H173" s="162" t="s">
        <v>8264</v>
      </c>
      <c r="I173" s="129" t="str">
        <f t="shared" si="21"/>
        <v>Rien</v>
      </c>
      <c r="J173" s="146">
        <v>0</v>
      </c>
      <c r="K173" s="147">
        <v>0</v>
      </c>
      <c r="L173" s="148">
        <v>0</v>
      </c>
      <c r="M173" s="149">
        <v>0</v>
      </c>
      <c r="N173" s="150">
        <v>0</v>
      </c>
      <c r="O173" s="130">
        <v>0</v>
      </c>
      <c r="P173" s="130">
        <v>0</v>
      </c>
      <c r="Q173" s="130">
        <v>0</v>
      </c>
      <c r="R173" s="130">
        <v>0</v>
      </c>
      <c r="S173" s="130">
        <v>0</v>
      </c>
      <c r="T173" s="130">
        <v>0</v>
      </c>
      <c r="U173" s="130">
        <v>0</v>
      </c>
      <c r="V173" s="524">
        <v>0</v>
      </c>
      <c r="W173" s="130">
        <v>0</v>
      </c>
      <c r="X173" s="130">
        <v>0</v>
      </c>
      <c r="Y173" s="130">
        <v>0</v>
      </c>
      <c r="Z173" s="130">
        <v>0</v>
      </c>
      <c r="AA173" s="158" t="s">
        <v>2078</v>
      </c>
      <c r="AB173" s="158"/>
      <c r="AC173" s="158"/>
      <c r="AD173" s="158"/>
      <c r="AE173" s="158" t="b">
        <f>IF(AB173="",TRUE,IF(IF(AC173="",VLOOKUP(AB173,Calculs!$A$19:$S$425,19,FALSE),VLOOKUP(AC173,Calculs!$A$19:$S$425,19,FALSE))&gt;=AD173,TRUE,FALSE))</f>
        <v>1</v>
      </c>
      <c r="AF173" s="158"/>
      <c r="AG173" s="158"/>
      <c r="AH173" s="158"/>
      <c r="AI173" s="158" t="b">
        <f>IF(AF173="",TRUE,IF(IF(AG173="",VLOOKUP(AF173,Calculs!$A$19:$S$425,19,FALSE),VLOOKUP(AG173,Calculs!$A$19:$S$425,19,FALSE))&gt;=AH173,TRUE,FALSE))</f>
        <v>1</v>
      </c>
      <c r="AJ173" s="158"/>
      <c r="AK173" s="158"/>
      <c r="AL173" s="158"/>
      <c r="AM173" s="158" t="b">
        <f>IF(AJ173="",TRUE,IF(IF(AK173="",VLOOKUP(AJ173,Calculs!$A$19:$S$425,19,FALSE),VLOOKUP(AK173,Calculs!$A$19:$S$425,19,FALSE))&gt;=AL173,TRUE,FALSE))</f>
        <v>1</v>
      </c>
      <c r="AN173" s="158"/>
      <c r="AO173" s="158"/>
      <c r="AP173" s="158"/>
      <c r="AQ173" s="158" t="b">
        <f>IF(AN173="",TRUE,IF(IF(AO173="",VLOOKUP(AN173,Calculs!$A$19:$S$425,19,FALSE),VLOOKUP(AO173,Calculs!$A$19:$S$425,19,FALSE))&gt;=AP173,TRUE,FALSE))</f>
        <v>1</v>
      </c>
      <c r="AR173" s="158"/>
      <c r="AS173" s="158" t="b">
        <f>IF(AR173="",TRUE,IF(VLOOKUP(AR173,Calculs!$A$427:$G$738,7,FALSE)&gt;0,TRUE,FALSE))</f>
        <v>1</v>
      </c>
      <c r="AT173" s="158"/>
      <c r="AU173" s="158" t="b">
        <f>IF(AT173="",TRUE,IF(VLOOKUP(AT173,Calculs!$A$740:$G$912,7,FALSE)&gt;0,TRUE,FALSE))</f>
        <v>1</v>
      </c>
      <c r="AV173" s="158" t="b">
        <f t="shared" si="15"/>
        <v>1</v>
      </c>
      <c r="AW173" s="158" t="s">
        <v>2078</v>
      </c>
      <c r="AX173" s="162" t="s">
        <v>6816</v>
      </c>
      <c r="AY173" s="151">
        <v>23</v>
      </c>
      <c r="AZ173" s="555" t="s">
        <v>8275</v>
      </c>
      <c r="BA173" s="559">
        <f>IF(Verso!$B$10=Voies!$B173,1,0)</f>
        <v>0</v>
      </c>
      <c r="BB173" s="12">
        <f>IF(Verso!$B$11=Voies!$B173,1,0)</f>
        <v>0</v>
      </c>
      <c r="BC173" s="12">
        <f>IF(Verso!$B$12=Voies!$B173,1,0)</f>
        <v>0</v>
      </c>
      <c r="BD173" s="12">
        <f>IF(Verso!$B$13=Voies!$B173,1,0)</f>
        <v>0</v>
      </c>
      <c r="BE173" s="12">
        <f>IF(Verso!$B$14=Voies!$B173,1,0)</f>
        <v>0</v>
      </c>
      <c r="BF173" s="12">
        <f>IF(Verso!$B$15=Voies!$B173,1,0)</f>
        <v>0</v>
      </c>
      <c r="BG173" s="12">
        <f>IF(Verso!$B$16=Voies!$B173,1,0)</f>
        <v>0</v>
      </c>
      <c r="BH173" s="12">
        <f>IF(Verso!$B$17=Voies!$B173,1,0)</f>
        <v>0</v>
      </c>
      <c r="BI173" s="557">
        <f t="shared" si="16"/>
        <v>0</v>
      </c>
      <c r="BJ173" s="196" t="str">
        <f t="shared" si="17"/>
        <v/>
      </c>
      <c r="BK173" s="196" t="str">
        <f t="shared" si="18"/>
        <v/>
      </c>
      <c r="BL173" s="295" t="str">
        <f t="shared" si="19"/>
        <v/>
      </c>
      <c r="BM173" s="91"/>
    </row>
    <row r="174" spans="1:65" s="196" customFormat="1" ht="47.25" customHeight="1" x14ac:dyDescent="0.25">
      <c r="A174" s="162" t="str">
        <f>IF(AND(Réputation&gt;Voies!E174-1,OR(C174=TRUE,Calculs!$I$8&gt;0),Air&gt;Voies!J174-1,Eau&gt;Voies!K174-1,Feu&gt;Voies!L174-1,Terre&gt;Voies!M174-1,Vide&gt;Voies!N174-1,Constitution&gt;Voies!O174-1,Volonté&gt;Voies!P174-1,Force&gt;Voies!Q174-1,Perception&gt;Voies!R174-1,Reflexes&gt;Voies!S174-1,Agilité&gt;Voies!T174-1,Intuition&gt;Voies!U174-1,Intelligence&gt;Voies!V174-1,Souillure&gt;Voies!W174-1,Honneur&gt;X174-1,Statut&gt;Y174-1,Gloire&gt;Z174-1,AV174=TRUE),Voies!B174,"")</f>
        <v/>
      </c>
      <c r="B174" s="162" t="s">
        <v>2564</v>
      </c>
      <c r="C174" s="162" t="b">
        <f t="shared" si="20"/>
        <v>0</v>
      </c>
      <c r="D174" s="388" t="s">
        <v>8265</v>
      </c>
      <c r="E174" s="199">
        <v>3</v>
      </c>
      <c r="F174" s="199">
        <v>3</v>
      </c>
      <c r="G174" s="199" t="s">
        <v>2049</v>
      </c>
      <c r="H174" s="162" t="s">
        <v>8264</v>
      </c>
      <c r="I174" s="129" t="str">
        <f t="shared" si="21"/>
        <v>Rien</v>
      </c>
      <c r="J174" s="146">
        <v>0</v>
      </c>
      <c r="K174" s="147">
        <v>0</v>
      </c>
      <c r="L174" s="148">
        <v>0</v>
      </c>
      <c r="M174" s="149">
        <v>0</v>
      </c>
      <c r="N174" s="150">
        <v>0</v>
      </c>
      <c r="O174" s="130">
        <v>0</v>
      </c>
      <c r="P174" s="130">
        <v>0</v>
      </c>
      <c r="Q174" s="130">
        <v>0</v>
      </c>
      <c r="R174" s="130">
        <v>0</v>
      </c>
      <c r="S174" s="130">
        <v>0</v>
      </c>
      <c r="T174" s="130">
        <v>0</v>
      </c>
      <c r="U174" s="130">
        <v>0</v>
      </c>
      <c r="V174" s="524">
        <v>0</v>
      </c>
      <c r="W174" s="130">
        <v>0</v>
      </c>
      <c r="X174" s="130">
        <v>0</v>
      </c>
      <c r="Y174" s="130">
        <v>0</v>
      </c>
      <c r="Z174" s="130">
        <v>0</v>
      </c>
      <c r="AA174" s="158" t="s">
        <v>2078</v>
      </c>
      <c r="AB174" s="158"/>
      <c r="AC174" s="158"/>
      <c r="AD174" s="158"/>
      <c r="AE174" s="158" t="b">
        <f>IF(AB174="",TRUE,IF(IF(AC174="",VLOOKUP(AB174,Calculs!$A$19:$S$425,19,FALSE),VLOOKUP(AC174,Calculs!$A$19:$S$425,19,FALSE))&gt;=AD174,TRUE,FALSE))</f>
        <v>1</v>
      </c>
      <c r="AF174" s="158"/>
      <c r="AG174" s="158"/>
      <c r="AH174" s="158"/>
      <c r="AI174" s="158" t="b">
        <f>IF(AF174="",TRUE,IF(IF(AG174="",VLOOKUP(AF174,Calculs!$A$19:$S$425,19,FALSE),VLOOKUP(AG174,Calculs!$A$19:$S$425,19,FALSE))&gt;=AH174,TRUE,FALSE))</f>
        <v>1</v>
      </c>
      <c r="AJ174" s="158"/>
      <c r="AK174" s="158"/>
      <c r="AL174" s="158"/>
      <c r="AM174" s="158" t="b">
        <f>IF(AJ174="",TRUE,IF(IF(AK174="",VLOOKUP(AJ174,Calculs!$A$19:$S$425,19,FALSE),VLOOKUP(AK174,Calculs!$A$19:$S$425,19,FALSE))&gt;=AL174,TRUE,FALSE))</f>
        <v>1</v>
      </c>
      <c r="AN174" s="158"/>
      <c r="AO174" s="158"/>
      <c r="AP174" s="158"/>
      <c r="AQ174" s="158" t="b">
        <f>IF(AN174="",TRUE,IF(IF(AO174="",VLOOKUP(AN174,Calculs!$A$19:$S$425,19,FALSE),VLOOKUP(AO174,Calculs!$A$19:$S$425,19,FALSE))&gt;=AP174,TRUE,FALSE))</f>
        <v>1</v>
      </c>
      <c r="AR174" s="158"/>
      <c r="AS174" s="158" t="b">
        <f>IF(AR174="",TRUE,IF(VLOOKUP(AR174,Calculs!$A$427:$G$738,7,FALSE)&gt;0,TRUE,FALSE))</f>
        <v>1</v>
      </c>
      <c r="AT174" s="158"/>
      <c r="AU174" s="158" t="b">
        <f>IF(AT174="",TRUE,IF(VLOOKUP(AT174,Calculs!$A$740:$G$912,7,FALSE)&gt;0,TRUE,FALSE))</f>
        <v>1</v>
      </c>
      <c r="AV174" s="158" t="b">
        <f t="shared" si="15"/>
        <v>1</v>
      </c>
      <c r="AW174" s="158" t="s">
        <v>2078</v>
      </c>
      <c r="AX174" s="162" t="s">
        <v>6816</v>
      </c>
      <c r="AY174" s="151">
        <v>23</v>
      </c>
      <c r="AZ174" s="555" t="str">
        <f>CONCATENATE("Si un ennemi vous attaque et vous manque, vous pouvez choisir de lui imposer une pénalité égale à votre Compétence de Divination à tous ses jets d'attaque pour le reste de la bataille. Vous ne pouvez affecter que ",Vide, " ennemis de cette manière")</f>
        <v>Si un ennemi vous attaque et vous manque, vous pouvez choisir de lui imposer une pénalité égale à votre Compétence de Divination à tous ses jets d'attaque pour le reste de la bataille. Vous ne pouvez affecter que 2 ennemis de cette manière</v>
      </c>
      <c r="BA174" s="559">
        <f>IF(Verso!$B$10=Voies!$B174,1,0)</f>
        <v>0</v>
      </c>
      <c r="BB174" s="12">
        <f>IF(Verso!$B$11=Voies!$B174,1,0)</f>
        <v>0</v>
      </c>
      <c r="BC174" s="12">
        <f>IF(Verso!$B$12=Voies!$B174,1,0)</f>
        <v>0</v>
      </c>
      <c r="BD174" s="12">
        <f>IF(Verso!$B$13=Voies!$B174,1,0)</f>
        <v>0</v>
      </c>
      <c r="BE174" s="12">
        <f>IF(Verso!$B$14=Voies!$B174,1,0)</f>
        <v>0</v>
      </c>
      <c r="BF174" s="12">
        <f>IF(Verso!$B$15=Voies!$B174,1,0)</f>
        <v>0</v>
      </c>
      <c r="BG174" s="12">
        <f>IF(Verso!$B$16=Voies!$B174,1,0)</f>
        <v>0</v>
      </c>
      <c r="BH174" s="12">
        <f>IF(Verso!$B$17=Voies!$B174,1,0)</f>
        <v>0</v>
      </c>
      <c r="BI174" s="557">
        <f t="shared" si="16"/>
        <v>0</v>
      </c>
      <c r="BJ174" s="196" t="str">
        <f t="shared" si="17"/>
        <v/>
      </c>
      <c r="BK174" s="196" t="str">
        <f t="shared" si="18"/>
        <v/>
      </c>
      <c r="BL174" s="295" t="str">
        <f t="shared" si="19"/>
        <v/>
      </c>
      <c r="BM174" s="91"/>
    </row>
    <row r="175" spans="1:65" s="196" customFormat="1" ht="47.25" customHeight="1" x14ac:dyDescent="0.25">
      <c r="A175" s="162" t="str">
        <f>IF(AND(Réputation&gt;Voies!E175-1,OR(C175=TRUE,Calculs!$I$8&gt;0),Air&gt;Voies!J175-1,Eau&gt;Voies!K175-1,Feu&gt;Voies!L175-1,Terre&gt;Voies!M175-1,Vide&gt;Voies!N175-1,Constitution&gt;Voies!O175-1,Volonté&gt;Voies!P175-1,Force&gt;Voies!Q175-1,Perception&gt;Voies!R175-1,Reflexes&gt;Voies!S175-1,Agilité&gt;Voies!T175-1,Intuition&gt;Voies!U175-1,Intelligence&gt;Voies!V175-1,Souillure&gt;Voies!W175-1,Honneur&gt;X175-1,Statut&gt;Y175-1,Gloire&gt;Z175-1,AV175=TRUE),Voies!B175,"")</f>
        <v/>
      </c>
      <c r="B175" s="162" t="s">
        <v>8272</v>
      </c>
      <c r="C175" s="162" t="b">
        <f t="shared" si="20"/>
        <v>0</v>
      </c>
      <c r="D175" s="388" t="s">
        <v>8265</v>
      </c>
      <c r="E175" s="199">
        <v>4</v>
      </c>
      <c r="F175" s="199">
        <v>4</v>
      </c>
      <c r="G175" s="199" t="s">
        <v>2049</v>
      </c>
      <c r="H175" s="162" t="s">
        <v>8264</v>
      </c>
      <c r="I175" s="129" t="str">
        <f t="shared" si="21"/>
        <v>Rien</v>
      </c>
      <c r="J175" s="146">
        <v>0</v>
      </c>
      <c r="K175" s="147">
        <v>0</v>
      </c>
      <c r="L175" s="148">
        <v>0</v>
      </c>
      <c r="M175" s="149">
        <v>0</v>
      </c>
      <c r="N175" s="150">
        <v>0</v>
      </c>
      <c r="O175" s="130">
        <v>0</v>
      </c>
      <c r="P175" s="130">
        <v>0</v>
      </c>
      <c r="Q175" s="130">
        <v>0</v>
      </c>
      <c r="R175" s="130">
        <v>0</v>
      </c>
      <c r="S175" s="130">
        <v>0</v>
      </c>
      <c r="T175" s="130">
        <v>0</v>
      </c>
      <c r="U175" s="130">
        <v>0</v>
      </c>
      <c r="V175" s="524">
        <v>0</v>
      </c>
      <c r="W175" s="130">
        <v>0</v>
      </c>
      <c r="X175" s="130">
        <v>0</v>
      </c>
      <c r="Y175" s="130">
        <v>0</v>
      </c>
      <c r="Z175" s="130">
        <v>0</v>
      </c>
      <c r="AA175" s="158" t="s">
        <v>2078</v>
      </c>
      <c r="AB175" s="158"/>
      <c r="AC175" s="158"/>
      <c r="AD175" s="158"/>
      <c r="AE175" s="158" t="b">
        <f>IF(AB175="",TRUE,IF(IF(AC175="",VLOOKUP(AB175,Calculs!$A$19:$S$425,19,FALSE),VLOOKUP(AC175,Calculs!$A$19:$S$425,19,FALSE))&gt;=AD175,TRUE,FALSE))</f>
        <v>1</v>
      </c>
      <c r="AF175" s="158"/>
      <c r="AG175" s="158"/>
      <c r="AH175" s="158"/>
      <c r="AI175" s="158" t="b">
        <f>IF(AF175="",TRUE,IF(IF(AG175="",VLOOKUP(AF175,Calculs!$A$19:$S$425,19,FALSE),VLOOKUP(AG175,Calculs!$A$19:$S$425,19,FALSE))&gt;=AH175,TRUE,FALSE))</f>
        <v>1</v>
      </c>
      <c r="AJ175" s="158"/>
      <c r="AK175" s="158"/>
      <c r="AL175" s="158"/>
      <c r="AM175" s="158" t="b">
        <f>IF(AJ175="",TRUE,IF(IF(AK175="",VLOOKUP(AJ175,Calculs!$A$19:$S$425,19,FALSE),VLOOKUP(AK175,Calculs!$A$19:$S$425,19,FALSE))&gt;=AL175,TRUE,FALSE))</f>
        <v>1</v>
      </c>
      <c r="AN175" s="158"/>
      <c r="AO175" s="158"/>
      <c r="AP175" s="158"/>
      <c r="AQ175" s="158" t="b">
        <f>IF(AN175="",TRUE,IF(IF(AO175="",VLOOKUP(AN175,Calculs!$A$19:$S$425,19,FALSE),VLOOKUP(AO175,Calculs!$A$19:$S$425,19,FALSE))&gt;=AP175,TRUE,FALSE))</f>
        <v>1</v>
      </c>
      <c r="AR175" s="158"/>
      <c r="AS175" s="158" t="b">
        <f>IF(AR175="",TRUE,IF(VLOOKUP(AR175,Calculs!$A$427:$G$738,7,FALSE)&gt;0,TRUE,FALSE))</f>
        <v>1</v>
      </c>
      <c r="AT175" s="158"/>
      <c r="AU175" s="158" t="b">
        <f>IF(AT175="",TRUE,IF(VLOOKUP(AT175,Calculs!$A$740:$G$912,7,FALSE)&gt;0,TRUE,FALSE))</f>
        <v>1</v>
      </c>
      <c r="AV175" s="158" t="b">
        <f t="shared" si="15"/>
        <v>1</v>
      </c>
      <c r="AW175" s="158" t="s">
        <v>2078</v>
      </c>
      <c r="AX175" s="162" t="s">
        <v>6816</v>
      </c>
      <c r="AY175" s="151">
        <v>23</v>
      </c>
      <c r="AZ175" s="555" t="s">
        <v>8276</v>
      </c>
      <c r="BA175" s="559">
        <f>IF(Verso!$B$10=Voies!$B175,1,0)</f>
        <v>0</v>
      </c>
      <c r="BB175" s="12">
        <f>IF(Verso!$B$11=Voies!$B175,1,0)</f>
        <v>0</v>
      </c>
      <c r="BC175" s="12">
        <f>IF(Verso!$B$12=Voies!$B175,1,0)</f>
        <v>0</v>
      </c>
      <c r="BD175" s="12">
        <f>IF(Verso!$B$13=Voies!$B175,1,0)</f>
        <v>0</v>
      </c>
      <c r="BE175" s="12">
        <f>IF(Verso!$B$14=Voies!$B175,1,0)</f>
        <v>0</v>
      </c>
      <c r="BF175" s="12">
        <f>IF(Verso!$B$15=Voies!$B175,1,0)</f>
        <v>0</v>
      </c>
      <c r="BG175" s="12">
        <f>IF(Verso!$B$16=Voies!$B175,1,0)</f>
        <v>0</v>
      </c>
      <c r="BH175" s="12">
        <f>IF(Verso!$B$17=Voies!$B175,1,0)</f>
        <v>0</v>
      </c>
      <c r="BI175" s="557">
        <f t="shared" si="16"/>
        <v>0</v>
      </c>
      <c r="BJ175" s="196" t="str">
        <f t="shared" si="17"/>
        <v/>
      </c>
      <c r="BK175" s="196" t="str">
        <f t="shared" si="18"/>
        <v/>
      </c>
      <c r="BL175" s="295" t="str">
        <f t="shared" si="19"/>
        <v/>
      </c>
      <c r="BM175" s="91"/>
    </row>
    <row r="176" spans="1:65" s="196" customFormat="1" ht="47.25" customHeight="1" x14ac:dyDescent="0.25">
      <c r="A176" s="162" t="str">
        <f>IF(AND(Réputation&gt;Voies!E176-1,OR(C176=TRUE,Calculs!$I$8&gt;0),Air&gt;Voies!J176-1,Eau&gt;Voies!K176-1,Feu&gt;Voies!L176-1,Terre&gt;Voies!M176-1,Vide&gt;Voies!N176-1,Constitution&gt;Voies!O176-1,Volonté&gt;Voies!P176-1,Force&gt;Voies!Q176-1,Perception&gt;Voies!R176-1,Reflexes&gt;Voies!S176-1,Agilité&gt;Voies!T176-1,Intuition&gt;Voies!U176-1,Intelligence&gt;Voies!V176-1,Souillure&gt;Voies!W176-1,Honneur&gt;X176-1,Statut&gt;Y176-1,Gloire&gt;Z176-1,AV176=TRUE),Voies!B176,"")</f>
        <v/>
      </c>
      <c r="B176" s="162" t="s">
        <v>8273</v>
      </c>
      <c r="C176" s="162" t="b">
        <f t="shared" si="20"/>
        <v>0</v>
      </c>
      <c r="D176" s="388" t="s">
        <v>8265</v>
      </c>
      <c r="E176" s="199">
        <v>5</v>
      </c>
      <c r="F176" s="199">
        <v>5</v>
      </c>
      <c r="G176" s="199" t="s">
        <v>2049</v>
      </c>
      <c r="H176" s="162" t="s">
        <v>8264</v>
      </c>
      <c r="I176" s="129" t="str">
        <f t="shared" si="21"/>
        <v>Rien</v>
      </c>
      <c r="J176" s="146">
        <v>0</v>
      </c>
      <c r="K176" s="147">
        <v>0</v>
      </c>
      <c r="L176" s="148">
        <v>0</v>
      </c>
      <c r="M176" s="149">
        <v>0</v>
      </c>
      <c r="N176" s="150">
        <v>0</v>
      </c>
      <c r="O176" s="130">
        <v>0</v>
      </c>
      <c r="P176" s="130">
        <v>0</v>
      </c>
      <c r="Q176" s="130">
        <v>0</v>
      </c>
      <c r="R176" s="130">
        <v>0</v>
      </c>
      <c r="S176" s="130">
        <v>0</v>
      </c>
      <c r="T176" s="130">
        <v>0</v>
      </c>
      <c r="U176" s="130">
        <v>0</v>
      </c>
      <c r="V176" s="524">
        <v>0</v>
      </c>
      <c r="W176" s="130">
        <v>0</v>
      </c>
      <c r="X176" s="130">
        <v>0</v>
      </c>
      <c r="Y176" s="130">
        <v>0</v>
      </c>
      <c r="Z176" s="130">
        <v>0</v>
      </c>
      <c r="AA176" s="158" t="s">
        <v>2078</v>
      </c>
      <c r="AB176" s="158"/>
      <c r="AC176" s="158"/>
      <c r="AD176" s="158"/>
      <c r="AE176" s="158" t="b">
        <f>IF(AB176="",TRUE,IF(IF(AC176="",VLOOKUP(AB176,Calculs!$A$19:$S$425,19,FALSE),VLOOKUP(AC176,Calculs!$A$19:$S$425,19,FALSE))&gt;=AD176,TRUE,FALSE))</f>
        <v>1</v>
      </c>
      <c r="AF176" s="158"/>
      <c r="AG176" s="158"/>
      <c r="AH176" s="158"/>
      <c r="AI176" s="158" t="b">
        <f>IF(AF176="",TRUE,IF(IF(AG176="",VLOOKUP(AF176,Calculs!$A$19:$S$425,19,FALSE),VLOOKUP(AG176,Calculs!$A$19:$S$425,19,FALSE))&gt;=AH176,TRUE,FALSE))</f>
        <v>1</v>
      </c>
      <c r="AJ176" s="158"/>
      <c r="AK176" s="158"/>
      <c r="AL176" s="158"/>
      <c r="AM176" s="158" t="b">
        <f>IF(AJ176="",TRUE,IF(IF(AK176="",VLOOKUP(AJ176,Calculs!$A$19:$S$425,19,FALSE),VLOOKUP(AK176,Calculs!$A$19:$S$425,19,FALSE))&gt;=AL176,TRUE,FALSE))</f>
        <v>1</v>
      </c>
      <c r="AN176" s="158"/>
      <c r="AO176" s="158"/>
      <c r="AP176" s="158"/>
      <c r="AQ176" s="158" t="b">
        <f>IF(AN176="",TRUE,IF(IF(AO176="",VLOOKUP(AN176,Calculs!$A$19:$S$425,19,FALSE),VLOOKUP(AO176,Calculs!$A$19:$S$425,19,FALSE))&gt;=AP176,TRUE,FALSE))</f>
        <v>1</v>
      </c>
      <c r="AR176" s="158"/>
      <c r="AS176" s="158" t="b">
        <f>IF(AR176="",TRUE,IF(VLOOKUP(AR176,Calculs!$A$427:$G$738,7,FALSE)&gt;0,TRUE,FALSE))</f>
        <v>1</v>
      </c>
      <c r="AT176" s="158"/>
      <c r="AU176" s="158" t="b">
        <f>IF(AT176="",TRUE,IF(VLOOKUP(AT176,Calculs!$A$740:$G$912,7,FALSE)&gt;0,TRUE,FALSE))</f>
        <v>1</v>
      </c>
      <c r="AV176" s="158" t="b">
        <f t="shared" si="15"/>
        <v>1</v>
      </c>
      <c r="AW176" s="158" t="s">
        <v>2078</v>
      </c>
      <c r="AX176" s="162" t="s">
        <v>6816</v>
      </c>
      <c r="AY176" s="151">
        <v>23</v>
      </c>
      <c r="AZ176" s="555" t="s">
        <v>8277</v>
      </c>
      <c r="BA176" s="559">
        <f>IF(Verso!$B$10=Voies!$B176,1,0)</f>
        <v>0</v>
      </c>
      <c r="BB176" s="12">
        <f>IF(Verso!$B$11=Voies!$B176,1,0)</f>
        <v>0</v>
      </c>
      <c r="BC176" s="12">
        <f>IF(Verso!$B$12=Voies!$B176,1,0)</f>
        <v>0</v>
      </c>
      <c r="BD176" s="12">
        <f>IF(Verso!$B$13=Voies!$B176,1,0)</f>
        <v>0</v>
      </c>
      <c r="BE176" s="12">
        <f>IF(Verso!$B$14=Voies!$B176,1,0)</f>
        <v>0</v>
      </c>
      <c r="BF176" s="12">
        <f>IF(Verso!$B$15=Voies!$B176,1,0)</f>
        <v>0</v>
      </c>
      <c r="BG176" s="12">
        <f>IF(Verso!$B$16=Voies!$B176,1,0)</f>
        <v>0</v>
      </c>
      <c r="BH176" s="12">
        <f>IF(Verso!$B$17=Voies!$B176,1,0)</f>
        <v>0</v>
      </c>
      <c r="BI176" s="557">
        <f t="shared" si="16"/>
        <v>0</v>
      </c>
      <c r="BJ176" s="196" t="str">
        <f t="shared" si="17"/>
        <v/>
      </c>
      <c r="BK176" s="196" t="str">
        <f t="shared" si="18"/>
        <v/>
      </c>
      <c r="BL176" s="295" t="str">
        <f t="shared" si="19"/>
        <v/>
      </c>
      <c r="BM176" s="91"/>
    </row>
    <row r="177" spans="1:65" s="196" customFormat="1" ht="47.25" customHeight="1" x14ac:dyDescent="0.25">
      <c r="A177" s="162" t="str">
        <f>IF(AND(Réputation&gt;Voies!E177-1,OR(C177=TRUE,Calculs!$I$8&gt;0),Air&gt;Voies!J177-1,Eau&gt;Voies!K177-1,Feu&gt;Voies!L177-1,Terre&gt;Voies!M177-1,Vide&gt;Voies!N177-1,Constitution&gt;Voies!O177-1,Volonté&gt;Voies!P177-1,Force&gt;Voies!Q177-1,Perception&gt;Voies!R177-1,Reflexes&gt;Voies!S177-1,Agilité&gt;Voies!T177-1,Intuition&gt;Voies!U177-1,Intelligence&gt;Voies!V177-1,Souillure&gt;Voies!W177-1,Honneur&gt;X177-1,Statut&gt;Y177-1,Gloire&gt;Z177-1,AV177=TRUE),Voies!B177,"")</f>
        <v/>
      </c>
      <c r="B177" s="162" t="s">
        <v>7167</v>
      </c>
      <c r="C177" s="162" t="b">
        <f>IF(Clan=Voies!D177,TRUE,FALSE)</f>
        <v>0</v>
      </c>
      <c r="D177" s="388" t="s">
        <v>6797</v>
      </c>
      <c r="E177" s="199">
        <v>1</v>
      </c>
      <c r="F177" s="199">
        <v>1</v>
      </c>
      <c r="G177" s="199" t="s">
        <v>2055</v>
      </c>
      <c r="H177" s="162" t="s">
        <v>6978</v>
      </c>
      <c r="I177" s="129" t="str">
        <f t="shared" si="21"/>
        <v>Rien</v>
      </c>
      <c r="J177" s="146">
        <v>0</v>
      </c>
      <c r="K177" s="147">
        <v>0</v>
      </c>
      <c r="L177" s="148">
        <v>0</v>
      </c>
      <c r="M177" s="149">
        <v>0</v>
      </c>
      <c r="N177" s="150">
        <v>0</v>
      </c>
      <c r="O177" s="130">
        <v>0</v>
      </c>
      <c r="P177" s="130">
        <v>0</v>
      </c>
      <c r="Q177" s="130">
        <v>0</v>
      </c>
      <c r="R177" s="130">
        <v>0</v>
      </c>
      <c r="S177" s="130">
        <v>0</v>
      </c>
      <c r="T177" s="130">
        <v>0</v>
      </c>
      <c r="U177" s="130">
        <v>0</v>
      </c>
      <c r="V177" s="524">
        <v>0</v>
      </c>
      <c r="W177" s="130">
        <v>0</v>
      </c>
      <c r="X177" s="130">
        <v>0</v>
      </c>
      <c r="Y177" s="130">
        <v>0</v>
      </c>
      <c r="Z177" s="130">
        <v>0</v>
      </c>
      <c r="AA177" s="158" t="s">
        <v>2078</v>
      </c>
      <c r="AB177" s="158"/>
      <c r="AC177" s="158"/>
      <c r="AD177" s="158"/>
      <c r="AE177" s="158" t="b">
        <f>IF(AB177="",TRUE,IF(IF(AC177="",VLOOKUP(AB177,Calculs!$A$19:$S$425,19,FALSE),VLOOKUP(AC177,Calculs!$A$19:$S$425,19,FALSE))&gt;=AD177,TRUE,FALSE))</f>
        <v>1</v>
      </c>
      <c r="AF177" s="158"/>
      <c r="AG177" s="158"/>
      <c r="AH177" s="158"/>
      <c r="AI177" s="158" t="b">
        <f>IF(AF177="",TRUE,IF(IF(AG177="",VLOOKUP(AF177,Calculs!$A$19:$S$425,19,FALSE),VLOOKUP(AG177,Calculs!$A$19:$S$425,19,FALSE))&gt;=AH177,TRUE,FALSE))</f>
        <v>1</v>
      </c>
      <c r="AJ177" s="158"/>
      <c r="AK177" s="158"/>
      <c r="AL177" s="158"/>
      <c r="AM177" s="158" t="b">
        <f>IF(AJ177="",TRUE,IF(IF(AK177="",VLOOKUP(AJ177,Calculs!$A$19:$S$425,19,FALSE),VLOOKUP(AK177,Calculs!$A$19:$S$425,19,FALSE))&gt;=AL177,TRUE,FALSE))</f>
        <v>1</v>
      </c>
      <c r="AN177" s="158"/>
      <c r="AO177" s="158"/>
      <c r="AP177" s="158"/>
      <c r="AQ177" s="158" t="b">
        <f>IF(AN177="",TRUE,IF(IF(AO177="",VLOOKUP(AN177,Calculs!$A$19:$S$425,19,FALSE),VLOOKUP(AO177,Calculs!$A$19:$S$425,19,FALSE))&gt;=AP177,TRUE,FALSE))</f>
        <v>1</v>
      </c>
      <c r="AR177" s="158"/>
      <c r="AS177" s="158" t="b">
        <f>IF(AR177="",TRUE,IF(VLOOKUP(AR177,Calculs!$A$427:$G$738,7,FALSE)&gt;0,TRUE,FALSE))</f>
        <v>1</v>
      </c>
      <c r="AT177" s="158"/>
      <c r="AU177" s="158" t="b">
        <f>IF(AT177="",TRUE,IF(VLOOKUP(AT177,Calculs!$A$740:$G$912,7,FALSE)&gt;0,TRUE,FALSE))</f>
        <v>1</v>
      </c>
      <c r="AV177" s="158" t="b">
        <f t="shared" si="15"/>
        <v>1</v>
      </c>
      <c r="AW177" s="158" t="s">
        <v>2078</v>
      </c>
      <c r="AX177" s="162" t="s">
        <v>6816</v>
      </c>
      <c r="AY177" s="151">
        <v>128</v>
      </c>
      <c r="AZ177" s="566" t="s">
        <v>7172</v>
      </c>
      <c r="BA177" s="559">
        <f>IF(Verso!$B$10=Voies!$B177,1,0)</f>
        <v>0</v>
      </c>
      <c r="BB177" s="12">
        <f>IF(Verso!$B$11=Voies!$B177,1,0)</f>
        <v>0</v>
      </c>
      <c r="BC177" s="12">
        <f>IF(Verso!$B$12=Voies!$B177,1,0)</f>
        <v>0</v>
      </c>
      <c r="BD177" s="12">
        <f>IF(Verso!$B$13=Voies!$B177,1,0)</f>
        <v>0</v>
      </c>
      <c r="BE177" s="12">
        <f>IF(Verso!$B$14=Voies!$B177,1,0)</f>
        <v>0</v>
      </c>
      <c r="BF177" s="12">
        <f>IF(Verso!$B$15=Voies!$B177,1,0)</f>
        <v>0</v>
      </c>
      <c r="BG177" s="12">
        <f>IF(Verso!$B$16=Voies!$B177,1,0)</f>
        <v>0</v>
      </c>
      <c r="BH177" s="12">
        <f>IF(Verso!$B$17=Voies!$B177,1,0)</f>
        <v>0</v>
      </c>
      <c r="BI177" s="557">
        <f t="shared" si="16"/>
        <v>0</v>
      </c>
      <c r="BJ177" s="196" t="str">
        <f t="shared" si="17"/>
        <v/>
      </c>
      <c r="BK177" s="196" t="str">
        <f t="shared" si="18"/>
        <v/>
      </c>
      <c r="BL177" s="295" t="str">
        <f t="shared" si="19"/>
        <v/>
      </c>
      <c r="BM177" s="91"/>
    </row>
    <row r="178" spans="1:65" s="196" customFormat="1" ht="47.25" customHeight="1" x14ac:dyDescent="0.25">
      <c r="A178" s="162" t="str">
        <f>IF(AND(Réputation&gt;Voies!E178-1,OR(C178=TRUE,Calculs!$I$8&gt;0),Air&gt;Voies!J178-1,Eau&gt;Voies!K178-1,Feu&gt;Voies!L178-1,Terre&gt;Voies!M178-1,Vide&gt;Voies!N178-1,Constitution&gt;Voies!O178-1,Volonté&gt;Voies!P178-1,Force&gt;Voies!Q178-1,Perception&gt;Voies!R178-1,Reflexes&gt;Voies!S178-1,Agilité&gt;Voies!T178-1,Intuition&gt;Voies!U178-1,Intelligence&gt;Voies!V178-1,Souillure&gt;Voies!W178-1,Honneur&gt;X178-1,Statut&gt;Y178-1,Gloire&gt;Z178-1,AV178=TRUE),Voies!B178,"")</f>
        <v/>
      </c>
      <c r="B178" s="162" t="s">
        <v>7168</v>
      </c>
      <c r="C178" s="162" t="b">
        <f>IF(Clan=Voies!D178,TRUE,FALSE)</f>
        <v>0</v>
      </c>
      <c r="D178" s="388" t="s">
        <v>6797</v>
      </c>
      <c r="E178" s="199">
        <v>2</v>
      </c>
      <c r="F178" s="199">
        <v>2</v>
      </c>
      <c r="G178" s="199" t="s">
        <v>2055</v>
      </c>
      <c r="H178" s="162" t="s">
        <v>6978</v>
      </c>
      <c r="I178" s="129" t="str">
        <f t="shared" si="21"/>
        <v>Rien</v>
      </c>
      <c r="J178" s="146">
        <v>0</v>
      </c>
      <c r="K178" s="147">
        <v>0</v>
      </c>
      <c r="L178" s="148">
        <v>0</v>
      </c>
      <c r="M178" s="149">
        <v>0</v>
      </c>
      <c r="N178" s="150">
        <v>0</v>
      </c>
      <c r="O178" s="130">
        <v>0</v>
      </c>
      <c r="P178" s="130">
        <v>0</v>
      </c>
      <c r="Q178" s="130">
        <v>0</v>
      </c>
      <c r="R178" s="130">
        <v>0</v>
      </c>
      <c r="S178" s="130">
        <v>0</v>
      </c>
      <c r="T178" s="130">
        <v>0</v>
      </c>
      <c r="U178" s="130">
        <v>0</v>
      </c>
      <c r="V178" s="524">
        <v>0</v>
      </c>
      <c r="W178" s="130">
        <v>0</v>
      </c>
      <c r="X178" s="130">
        <v>0</v>
      </c>
      <c r="Y178" s="130">
        <v>0</v>
      </c>
      <c r="Z178" s="130">
        <v>0</v>
      </c>
      <c r="AA178" s="158" t="s">
        <v>2078</v>
      </c>
      <c r="AB178" s="158"/>
      <c r="AC178" s="158"/>
      <c r="AD178" s="158"/>
      <c r="AE178" s="158" t="b">
        <f>IF(AB178="",TRUE,IF(IF(AC178="",VLOOKUP(AB178,Calculs!$A$19:$S$425,19,FALSE),VLOOKUP(AC178,Calculs!$A$19:$S$425,19,FALSE))&gt;=AD178,TRUE,FALSE))</f>
        <v>1</v>
      </c>
      <c r="AF178" s="158"/>
      <c r="AG178" s="158"/>
      <c r="AH178" s="158"/>
      <c r="AI178" s="158" t="b">
        <f>IF(AF178="",TRUE,IF(IF(AG178="",VLOOKUP(AF178,Calculs!$A$19:$S$425,19,FALSE),VLOOKUP(AG178,Calculs!$A$19:$S$425,19,FALSE))&gt;=AH178,TRUE,FALSE))</f>
        <v>1</v>
      </c>
      <c r="AJ178" s="158"/>
      <c r="AK178" s="158"/>
      <c r="AL178" s="158"/>
      <c r="AM178" s="158" t="b">
        <f>IF(AJ178="",TRUE,IF(IF(AK178="",VLOOKUP(AJ178,Calculs!$A$19:$S$425,19,FALSE),VLOOKUP(AK178,Calculs!$A$19:$S$425,19,FALSE))&gt;=AL178,TRUE,FALSE))</f>
        <v>1</v>
      </c>
      <c r="AN178" s="158"/>
      <c r="AO178" s="158"/>
      <c r="AP178" s="158"/>
      <c r="AQ178" s="158" t="b">
        <f>IF(AN178="",TRUE,IF(IF(AO178="",VLOOKUP(AN178,Calculs!$A$19:$S$425,19,FALSE),VLOOKUP(AO178,Calculs!$A$19:$S$425,19,FALSE))&gt;=AP178,TRUE,FALSE))</f>
        <v>1</v>
      </c>
      <c r="AR178" s="158"/>
      <c r="AS178" s="158" t="b">
        <f>IF(AR178="",TRUE,IF(VLOOKUP(AR178,Calculs!$A$427:$G$738,7,FALSE)&gt;0,TRUE,FALSE))</f>
        <v>1</v>
      </c>
      <c r="AT178" s="158"/>
      <c r="AU178" s="158" t="b">
        <f>IF(AT178="",TRUE,IF(VLOOKUP(AT178,Calculs!$A$740:$G$912,7,FALSE)&gt;0,TRUE,FALSE))</f>
        <v>1</v>
      </c>
      <c r="AV178" s="158" t="b">
        <f t="shared" si="15"/>
        <v>1</v>
      </c>
      <c r="AW178" s="158" t="s">
        <v>2078</v>
      </c>
      <c r="AX178" s="162" t="s">
        <v>6816</v>
      </c>
      <c r="AY178" s="151">
        <v>128</v>
      </c>
      <c r="AZ178" s="566" t="s">
        <v>7173</v>
      </c>
      <c r="BA178" s="559">
        <f>IF(Verso!$B$10=Voies!$B178,1,0)</f>
        <v>0</v>
      </c>
      <c r="BB178" s="12">
        <f>IF(Verso!$B$11=Voies!$B178,1,0)</f>
        <v>0</v>
      </c>
      <c r="BC178" s="12">
        <f>IF(Verso!$B$12=Voies!$B178,1,0)</f>
        <v>0</v>
      </c>
      <c r="BD178" s="12">
        <f>IF(Verso!$B$13=Voies!$B178,1,0)</f>
        <v>0</v>
      </c>
      <c r="BE178" s="12">
        <f>IF(Verso!$B$14=Voies!$B178,1,0)</f>
        <v>0</v>
      </c>
      <c r="BF178" s="12">
        <f>IF(Verso!$B$15=Voies!$B178,1,0)</f>
        <v>0</v>
      </c>
      <c r="BG178" s="12">
        <f>IF(Verso!$B$16=Voies!$B178,1,0)</f>
        <v>0</v>
      </c>
      <c r="BH178" s="12">
        <f>IF(Verso!$B$17=Voies!$B178,1,0)</f>
        <v>0</v>
      </c>
      <c r="BI178" s="557">
        <f t="shared" si="16"/>
        <v>0</v>
      </c>
      <c r="BJ178" s="196" t="str">
        <f t="shared" si="17"/>
        <v/>
      </c>
      <c r="BK178" s="196" t="str">
        <f t="shared" si="18"/>
        <v/>
      </c>
      <c r="BL178" s="295" t="str">
        <f t="shared" si="19"/>
        <v/>
      </c>
      <c r="BM178" s="91"/>
    </row>
    <row r="179" spans="1:65" s="196" customFormat="1" ht="47.25" customHeight="1" x14ac:dyDescent="0.25">
      <c r="A179" s="162" t="str">
        <f>IF(AND(Réputation&gt;Voies!E179-1,OR(C179=TRUE,Calculs!$I$8&gt;0),Air&gt;Voies!J179-1,Eau&gt;Voies!K179-1,Feu&gt;Voies!L179-1,Terre&gt;Voies!M179-1,Vide&gt;Voies!N179-1,Constitution&gt;Voies!O179-1,Volonté&gt;Voies!P179-1,Force&gt;Voies!Q179-1,Perception&gt;Voies!R179-1,Reflexes&gt;Voies!S179-1,Agilité&gt;Voies!T179-1,Intuition&gt;Voies!U179-1,Intelligence&gt;Voies!V179-1,Souillure&gt;Voies!W179-1,Honneur&gt;X179-1,Statut&gt;Y179-1,Gloire&gt;Z179-1,AV179=TRUE),Voies!B179,"")</f>
        <v/>
      </c>
      <c r="B179" s="162" t="s">
        <v>7169</v>
      </c>
      <c r="C179" s="162" t="b">
        <f>IF(Clan=Voies!D179,TRUE,FALSE)</f>
        <v>0</v>
      </c>
      <c r="D179" s="388" t="s">
        <v>6797</v>
      </c>
      <c r="E179" s="199">
        <v>3</v>
      </c>
      <c r="F179" s="199">
        <v>3</v>
      </c>
      <c r="G179" s="199" t="s">
        <v>2055</v>
      </c>
      <c r="H179" s="162" t="s">
        <v>6978</v>
      </c>
      <c r="I179" s="129" t="str">
        <f t="shared" si="21"/>
        <v>Rien</v>
      </c>
      <c r="J179" s="146">
        <v>0</v>
      </c>
      <c r="K179" s="147">
        <v>0</v>
      </c>
      <c r="L179" s="148">
        <v>0</v>
      </c>
      <c r="M179" s="149">
        <v>0</v>
      </c>
      <c r="N179" s="150">
        <v>0</v>
      </c>
      <c r="O179" s="130">
        <v>0</v>
      </c>
      <c r="P179" s="130">
        <v>0</v>
      </c>
      <c r="Q179" s="130">
        <v>0</v>
      </c>
      <c r="R179" s="130">
        <v>0</v>
      </c>
      <c r="S179" s="130">
        <v>0</v>
      </c>
      <c r="T179" s="130">
        <v>0</v>
      </c>
      <c r="U179" s="130">
        <v>0</v>
      </c>
      <c r="V179" s="524">
        <v>0</v>
      </c>
      <c r="W179" s="130">
        <v>0</v>
      </c>
      <c r="X179" s="130">
        <v>0</v>
      </c>
      <c r="Y179" s="130">
        <v>0</v>
      </c>
      <c r="Z179" s="130">
        <v>0</v>
      </c>
      <c r="AA179" s="158" t="s">
        <v>2078</v>
      </c>
      <c r="AB179" s="158"/>
      <c r="AC179" s="158"/>
      <c r="AD179" s="158"/>
      <c r="AE179" s="158" t="b">
        <f>IF(AB179="",TRUE,IF(IF(AC179="",VLOOKUP(AB179,Calculs!$A$19:$S$425,19,FALSE),VLOOKUP(AC179,Calculs!$A$19:$S$425,19,FALSE))&gt;=AD179,TRUE,FALSE))</f>
        <v>1</v>
      </c>
      <c r="AF179" s="158"/>
      <c r="AG179" s="158"/>
      <c r="AH179" s="158"/>
      <c r="AI179" s="158" t="b">
        <f>IF(AF179="",TRUE,IF(IF(AG179="",VLOOKUP(AF179,Calculs!$A$19:$S$425,19,FALSE),VLOOKUP(AG179,Calculs!$A$19:$S$425,19,FALSE))&gt;=AH179,TRUE,FALSE))</f>
        <v>1</v>
      </c>
      <c r="AJ179" s="158"/>
      <c r="AK179" s="158"/>
      <c r="AL179" s="158"/>
      <c r="AM179" s="158" t="b">
        <f>IF(AJ179="",TRUE,IF(IF(AK179="",VLOOKUP(AJ179,Calculs!$A$19:$S$425,19,FALSE),VLOOKUP(AK179,Calculs!$A$19:$S$425,19,FALSE))&gt;=AL179,TRUE,FALSE))</f>
        <v>1</v>
      </c>
      <c r="AN179" s="158"/>
      <c r="AO179" s="158"/>
      <c r="AP179" s="158"/>
      <c r="AQ179" s="158" t="b">
        <f>IF(AN179="",TRUE,IF(IF(AO179="",VLOOKUP(AN179,Calculs!$A$19:$S$425,19,FALSE),VLOOKUP(AO179,Calculs!$A$19:$S$425,19,FALSE))&gt;=AP179,TRUE,FALSE))</f>
        <v>1</v>
      </c>
      <c r="AR179" s="158"/>
      <c r="AS179" s="158" t="b">
        <f>IF(AR179="",TRUE,IF(VLOOKUP(AR179,Calculs!$A$427:$G$738,7,FALSE)&gt;0,TRUE,FALSE))</f>
        <v>1</v>
      </c>
      <c r="AT179" s="158"/>
      <c r="AU179" s="158" t="b">
        <f>IF(AT179="",TRUE,IF(VLOOKUP(AT179,Calculs!$A$740:$G$912,7,FALSE)&gt;0,TRUE,FALSE))</f>
        <v>1</v>
      </c>
      <c r="AV179" s="158" t="b">
        <f t="shared" si="15"/>
        <v>1</v>
      </c>
      <c r="AW179" s="158" t="s">
        <v>2078</v>
      </c>
      <c r="AX179" s="162" t="s">
        <v>6816</v>
      </c>
      <c r="AY179" s="151">
        <v>128</v>
      </c>
      <c r="AZ179" s="555" t="s">
        <v>7174</v>
      </c>
      <c r="BA179" s="559">
        <f>IF(Verso!$B$10=Voies!$B179,1,0)</f>
        <v>0</v>
      </c>
      <c r="BB179" s="12">
        <f>IF(Verso!$B$11=Voies!$B179,1,0)</f>
        <v>0</v>
      </c>
      <c r="BC179" s="12">
        <f>IF(Verso!$B$12=Voies!$B179,1,0)</f>
        <v>0</v>
      </c>
      <c r="BD179" s="12">
        <f>IF(Verso!$B$13=Voies!$B179,1,0)</f>
        <v>0</v>
      </c>
      <c r="BE179" s="12">
        <f>IF(Verso!$B$14=Voies!$B179,1,0)</f>
        <v>0</v>
      </c>
      <c r="BF179" s="12">
        <f>IF(Verso!$B$15=Voies!$B179,1,0)</f>
        <v>0</v>
      </c>
      <c r="BG179" s="12">
        <f>IF(Verso!$B$16=Voies!$B179,1,0)</f>
        <v>0</v>
      </c>
      <c r="BH179" s="12">
        <f>IF(Verso!$B$17=Voies!$B179,1,0)</f>
        <v>0</v>
      </c>
      <c r="BI179" s="557">
        <f t="shared" si="16"/>
        <v>0</v>
      </c>
      <c r="BJ179" s="196" t="str">
        <f t="shared" si="17"/>
        <v/>
      </c>
      <c r="BK179" s="196" t="str">
        <f t="shared" si="18"/>
        <v/>
      </c>
      <c r="BL179" s="295" t="str">
        <f t="shared" si="19"/>
        <v/>
      </c>
      <c r="BM179" s="91"/>
    </row>
    <row r="180" spans="1:65" s="196" customFormat="1" ht="47.25" customHeight="1" x14ac:dyDescent="0.25">
      <c r="A180" s="162" t="str">
        <f>IF(AND(Réputation&gt;Voies!E180-1,OR(C180=TRUE,Calculs!$I$8&gt;0),Air&gt;Voies!J180-1,Eau&gt;Voies!K180-1,Feu&gt;Voies!L180-1,Terre&gt;Voies!M180-1,Vide&gt;Voies!N180-1,Constitution&gt;Voies!O180-1,Volonté&gt;Voies!P180-1,Force&gt;Voies!Q180-1,Perception&gt;Voies!R180-1,Reflexes&gt;Voies!S180-1,Agilité&gt;Voies!T180-1,Intuition&gt;Voies!U180-1,Intelligence&gt;Voies!V180-1,Souillure&gt;Voies!W180-1,Honneur&gt;X180-1,Statut&gt;Y180-1,Gloire&gt;Z180-1,AV180=TRUE),Voies!B180,"")</f>
        <v/>
      </c>
      <c r="B180" s="162" t="s">
        <v>7170</v>
      </c>
      <c r="C180" s="162" t="b">
        <f>IF(Clan=Voies!D180,TRUE,FALSE)</f>
        <v>0</v>
      </c>
      <c r="D180" s="388" t="s">
        <v>6797</v>
      </c>
      <c r="E180" s="199">
        <v>4</v>
      </c>
      <c r="F180" s="199">
        <v>4</v>
      </c>
      <c r="G180" s="199" t="s">
        <v>2055</v>
      </c>
      <c r="H180" s="162" t="s">
        <v>6978</v>
      </c>
      <c r="I180" s="129" t="str">
        <f t="shared" si="21"/>
        <v>Rien</v>
      </c>
      <c r="J180" s="146">
        <v>0</v>
      </c>
      <c r="K180" s="147">
        <v>0</v>
      </c>
      <c r="L180" s="148">
        <v>0</v>
      </c>
      <c r="M180" s="149">
        <v>0</v>
      </c>
      <c r="N180" s="150">
        <v>0</v>
      </c>
      <c r="O180" s="130">
        <v>0</v>
      </c>
      <c r="P180" s="130">
        <v>0</v>
      </c>
      <c r="Q180" s="130">
        <v>0</v>
      </c>
      <c r="R180" s="130">
        <v>0</v>
      </c>
      <c r="S180" s="130">
        <v>0</v>
      </c>
      <c r="T180" s="130">
        <v>0</v>
      </c>
      <c r="U180" s="130">
        <v>0</v>
      </c>
      <c r="V180" s="524">
        <v>0</v>
      </c>
      <c r="W180" s="130">
        <v>0</v>
      </c>
      <c r="X180" s="130">
        <v>0</v>
      </c>
      <c r="Y180" s="130">
        <v>0</v>
      </c>
      <c r="Z180" s="130">
        <v>0</v>
      </c>
      <c r="AA180" s="158" t="s">
        <v>2078</v>
      </c>
      <c r="AB180" s="158"/>
      <c r="AC180" s="158"/>
      <c r="AD180" s="158"/>
      <c r="AE180" s="158" t="b">
        <f>IF(AB180="",TRUE,IF(IF(AC180="",VLOOKUP(AB180,Calculs!$A$19:$S$425,19,FALSE),VLOOKUP(AC180,Calculs!$A$19:$S$425,19,FALSE))&gt;=AD180,TRUE,FALSE))</f>
        <v>1</v>
      </c>
      <c r="AF180" s="158"/>
      <c r="AG180" s="158"/>
      <c r="AH180" s="158"/>
      <c r="AI180" s="158" t="b">
        <f>IF(AF180="",TRUE,IF(IF(AG180="",VLOOKUP(AF180,Calculs!$A$19:$S$425,19,FALSE),VLOOKUP(AG180,Calculs!$A$19:$S$425,19,FALSE))&gt;=AH180,TRUE,FALSE))</f>
        <v>1</v>
      </c>
      <c r="AJ180" s="158"/>
      <c r="AK180" s="158"/>
      <c r="AL180" s="158"/>
      <c r="AM180" s="158" t="b">
        <f>IF(AJ180="",TRUE,IF(IF(AK180="",VLOOKUP(AJ180,Calculs!$A$19:$S$425,19,FALSE),VLOOKUP(AK180,Calculs!$A$19:$S$425,19,FALSE))&gt;=AL180,TRUE,FALSE))</f>
        <v>1</v>
      </c>
      <c r="AN180" s="158"/>
      <c r="AO180" s="158"/>
      <c r="AP180" s="158"/>
      <c r="AQ180" s="158" t="b">
        <f>IF(AN180="",TRUE,IF(IF(AO180="",VLOOKUP(AN180,Calculs!$A$19:$S$425,19,FALSE),VLOOKUP(AO180,Calculs!$A$19:$S$425,19,FALSE))&gt;=AP180,TRUE,FALSE))</f>
        <v>1</v>
      </c>
      <c r="AR180" s="158"/>
      <c r="AS180" s="158" t="b">
        <f>IF(AR180="",TRUE,IF(VLOOKUP(AR180,Calculs!$A$427:$G$738,7,FALSE)&gt;0,TRUE,FALSE))</f>
        <v>1</v>
      </c>
      <c r="AT180" s="158"/>
      <c r="AU180" s="158" t="b">
        <f>IF(AT180="",TRUE,IF(VLOOKUP(AT180,Calculs!$A$740:$G$912,7,FALSE)&gt;0,TRUE,FALSE))</f>
        <v>1</v>
      </c>
      <c r="AV180" s="158" t="b">
        <f t="shared" si="15"/>
        <v>1</v>
      </c>
      <c r="AW180" s="158" t="s">
        <v>2078</v>
      </c>
      <c r="AX180" s="162" t="s">
        <v>6816</v>
      </c>
      <c r="AY180" s="151">
        <v>128</v>
      </c>
      <c r="AZ180" s="555" t="s">
        <v>7175</v>
      </c>
      <c r="BA180" s="559">
        <f>IF(Verso!$B$10=Voies!$B180,1,0)</f>
        <v>0</v>
      </c>
      <c r="BB180" s="12">
        <f>IF(Verso!$B$11=Voies!$B180,1,0)</f>
        <v>0</v>
      </c>
      <c r="BC180" s="12">
        <f>IF(Verso!$B$12=Voies!$B180,1,0)</f>
        <v>0</v>
      </c>
      <c r="BD180" s="12">
        <f>IF(Verso!$B$13=Voies!$B180,1,0)</f>
        <v>0</v>
      </c>
      <c r="BE180" s="12">
        <f>IF(Verso!$B$14=Voies!$B180,1,0)</f>
        <v>0</v>
      </c>
      <c r="BF180" s="12">
        <f>IF(Verso!$B$15=Voies!$B180,1,0)</f>
        <v>0</v>
      </c>
      <c r="BG180" s="12">
        <f>IF(Verso!$B$16=Voies!$B180,1,0)</f>
        <v>0</v>
      </c>
      <c r="BH180" s="12">
        <f>IF(Verso!$B$17=Voies!$B180,1,0)</f>
        <v>0</v>
      </c>
      <c r="BI180" s="557">
        <f t="shared" si="16"/>
        <v>0</v>
      </c>
      <c r="BJ180" s="196" t="str">
        <f t="shared" si="17"/>
        <v/>
      </c>
      <c r="BK180" s="196" t="str">
        <f t="shared" si="18"/>
        <v/>
      </c>
      <c r="BL180" s="295" t="str">
        <f t="shared" si="19"/>
        <v/>
      </c>
      <c r="BM180" s="91"/>
    </row>
    <row r="181" spans="1:65" s="196" customFormat="1" ht="47.25" customHeight="1" x14ac:dyDescent="0.25">
      <c r="A181" s="162" t="str">
        <f>IF(AND(Réputation&gt;Voies!E181-1,OR(C181=TRUE,Calculs!$I$8&gt;0),Air&gt;Voies!J181-1,Eau&gt;Voies!K181-1,Feu&gt;Voies!L181-1,Terre&gt;Voies!M181-1,Vide&gt;Voies!N181-1,Constitution&gt;Voies!O181-1,Volonté&gt;Voies!P181-1,Force&gt;Voies!Q181-1,Perception&gt;Voies!R181-1,Reflexes&gt;Voies!S181-1,Agilité&gt;Voies!T181-1,Intuition&gt;Voies!U181-1,Intelligence&gt;Voies!V181-1,Souillure&gt;Voies!W181-1,Honneur&gt;X181-1,Statut&gt;Y181-1,Gloire&gt;Z181-1,AV181=TRUE),Voies!B181,"")</f>
        <v/>
      </c>
      <c r="B181" s="162" t="s">
        <v>7171</v>
      </c>
      <c r="C181" s="162" t="b">
        <f>IF(Clan=Voies!D181,TRUE,FALSE)</f>
        <v>0</v>
      </c>
      <c r="D181" s="388" t="s">
        <v>6797</v>
      </c>
      <c r="E181" s="199">
        <v>5</v>
      </c>
      <c r="F181" s="199">
        <v>5</v>
      </c>
      <c r="G181" s="199" t="s">
        <v>2055</v>
      </c>
      <c r="H181" s="162" t="s">
        <v>6978</v>
      </c>
      <c r="I181" s="129" t="str">
        <f t="shared" si="21"/>
        <v>Rien</v>
      </c>
      <c r="J181" s="146">
        <v>0</v>
      </c>
      <c r="K181" s="147">
        <v>0</v>
      </c>
      <c r="L181" s="148">
        <v>0</v>
      </c>
      <c r="M181" s="149">
        <v>0</v>
      </c>
      <c r="N181" s="150">
        <v>0</v>
      </c>
      <c r="O181" s="130">
        <v>0</v>
      </c>
      <c r="P181" s="130">
        <v>0</v>
      </c>
      <c r="Q181" s="130">
        <v>0</v>
      </c>
      <c r="R181" s="130">
        <v>0</v>
      </c>
      <c r="S181" s="130">
        <v>0</v>
      </c>
      <c r="T181" s="130">
        <v>0</v>
      </c>
      <c r="U181" s="130">
        <v>0</v>
      </c>
      <c r="V181" s="524">
        <v>0</v>
      </c>
      <c r="W181" s="130">
        <v>0</v>
      </c>
      <c r="X181" s="130">
        <v>0</v>
      </c>
      <c r="Y181" s="130">
        <v>0</v>
      </c>
      <c r="Z181" s="130">
        <v>0</v>
      </c>
      <c r="AA181" s="158" t="s">
        <v>2078</v>
      </c>
      <c r="AB181" s="158"/>
      <c r="AC181" s="158"/>
      <c r="AD181" s="158"/>
      <c r="AE181" s="158" t="b">
        <f>IF(AB181="",TRUE,IF(IF(AC181="",VLOOKUP(AB181,Calculs!$A$19:$S$425,19,FALSE),VLOOKUP(AC181,Calculs!$A$19:$S$425,19,FALSE))&gt;=AD181,TRUE,FALSE))</f>
        <v>1</v>
      </c>
      <c r="AF181" s="158"/>
      <c r="AG181" s="158"/>
      <c r="AH181" s="158"/>
      <c r="AI181" s="158" t="b">
        <f>IF(AF181="",TRUE,IF(IF(AG181="",VLOOKUP(AF181,Calculs!$A$19:$S$425,19,FALSE),VLOOKUP(AG181,Calculs!$A$19:$S$425,19,FALSE))&gt;=AH181,TRUE,FALSE))</f>
        <v>1</v>
      </c>
      <c r="AJ181" s="158"/>
      <c r="AK181" s="158"/>
      <c r="AL181" s="158"/>
      <c r="AM181" s="158" t="b">
        <f>IF(AJ181="",TRUE,IF(IF(AK181="",VLOOKUP(AJ181,Calculs!$A$19:$S$425,19,FALSE),VLOOKUP(AK181,Calculs!$A$19:$S$425,19,FALSE))&gt;=AL181,TRUE,FALSE))</f>
        <v>1</v>
      </c>
      <c r="AN181" s="158"/>
      <c r="AO181" s="158"/>
      <c r="AP181" s="158"/>
      <c r="AQ181" s="158" t="b">
        <f>IF(AN181="",TRUE,IF(IF(AO181="",VLOOKUP(AN181,Calculs!$A$19:$S$425,19,FALSE),VLOOKUP(AO181,Calculs!$A$19:$S$425,19,FALSE))&gt;=AP181,TRUE,FALSE))</f>
        <v>1</v>
      </c>
      <c r="AR181" s="158"/>
      <c r="AS181" s="158" t="b">
        <f>IF(AR181="",TRUE,IF(VLOOKUP(AR181,Calculs!$A$427:$G$738,7,FALSE)&gt;0,TRUE,FALSE))</f>
        <v>1</v>
      </c>
      <c r="AT181" s="158"/>
      <c r="AU181" s="158" t="b">
        <f>IF(AT181="",TRUE,IF(VLOOKUP(AT181,Calculs!$A$740:$G$912,7,FALSE)&gt;0,TRUE,FALSE))</f>
        <v>1</v>
      </c>
      <c r="AV181" s="158" t="b">
        <f t="shared" si="15"/>
        <v>1</v>
      </c>
      <c r="AW181" s="158" t="s">
        <v>2078</v>
      </c>
      <c r="AX181" s="162" t="s">
        <v>6816</v>
      </c>
      <c r="AY181" s="151">
        <v>128</v>
      </c>
      <c r="AZ181" s="555" t="s">
        <v>8500</v>
      </c>
      <c r="BA181" s="559">
        <f>IF(Verso!$B$10=Voies!$B181,1,0)</f>
        <v>0</v>
      </c>
      <c r="BB181" s="12">
        <f>IF(Verso!$B$11=Voies!$B181,1,0)</f>
        <v>0</v>
      </c>
      <c r="BC181" s="12">
        <f>IF(Verso!$B$12=Voies!$B181,1,0)</f>
        <v>0</v>
      </c>
      <c r="BD181" s="12">
        <f>IF(Verso!$B$13=Voies!$B181,1,0)</f>
        <v>0</v>
      </c>
      <c r="BE181" s="12">
        <f>IF(Verso!$B$14=Voies!$B181,1,0)</f>
        <v>0</v>
      </c>
      <c r="BF181" s="12">
        <f>IF(Verso!$B$15=Voies!$B181,1,0)</f>
        <v>0</v>
      </c>
      <c r="BG181" s="12">
        <f>IF(Verso!$B$16=Voies!$B181,1,0)</f>
        <v>0</v>
      </c>
      <c r="BH181" s="12">
        <f>IF(Verso!$B$17=Voies!$B181,1,0)</f>
        <v>0</v>
      </c>
      <c r="BI181" s="557">
        <f t="shared" si="16"/>
        <v>0</v>
      </c>
      <c r="BJ181" s="196" t="str">
        <f t="shared" si="17"/>
        <v/>
      </c>
      <c r="BK181" s="196" t="str">
        <f t="shared" si="18"/>
        <v/>
      </c>
      <c r="BL181" s="295" t="str">
        <f t="shared" si="19"/>
        <v/>
      </c>
      <c r="BM181" s="91"/>
    </row>
    <row r="182" spans="1:65" ht="47.25" customHeight="1" x14ac:dyDescent="0.25">
      <c r="A182" s="162" t="str">
        <f>IF(AND(Réputation&gt;Voies!E182-1,OR(C182=TRUE,Calculs!$I$8&gt;0),Air&gt;Voies!J182-1,Eau&gt;Voies!K182-1,Feu&gt;Voies!L182-1,Terre&gt;Voies!M182-1,Vide&gt;Voies!N182-1,Constitution&gt;Voies!O182-1,Volonté&gt;Voies!P182-1,Force&gt;Voies!Q182-1,Perception&gt;Voies!R182-1,Reflexes&gt;Voies!S182-1,Agilité&gt;Voies!T182-1,Intuition&gt;Voies!U182-1,Intelligence&gt;Voies!V182-1,Souillure&gt;Voies!W182-1,Honneur&gt;X182-1,Statut&gt;Y182-1,Gloire&gt;Z182-1,AV182=TRUE),Voies!B182,"")</f>
        <v/>
      </c>
      <c r="B182" s="162" t="s">
        <v>2586</v>
      </c>
      <c r="C182" s="162" t="b">
        <f>IF(Clan=Voies!D182,TRUE,FALSE)</f>
        <v>0</v>
      </c>
      <c r="D182" s="387" t="s">
        <v>175</v>
      </c>
      <c r="E182" s="13">
        <v>0</v>
      </c>
      <c r="F182" s="199">
        <v>0</v>
      </c>
      <c r="G182" s="13" t="s">
        <v>2049</v>
      </c>
      <c r="H182" s="162" t="s">
        <v>2579</v>
      </c>
      <c r="I182" s="129" t="str">
        <f t="shared" si="21"/>
        <v>Rien</v>
      </c>
      <c r="J182" s="146">
        <v>0</v>
      </c>
      <c r="K182" s="147">
        <v>0</v>
      </c>
      <c r="L182" s="148">
        <v>0</v>
      </c>
      <c r="M182" s="149">
        <v>4</v>
      </c>
      <c r="N182" s="150">
        <v>0</v>
      </c>
      <c r="O182" s="130">
        <v>0</v>
      </c>
      <c r="P182" s="130">
        <v>0</v>
      </c>
      <c r="Q182" s="130">
        <v>5</v>
      </c>
      <c r="R182" s="130">
        <v>0</v>
      </c>
      <c r="S182" s="130">
        <v>0</v>
      </c>
      <c r="T182" s="130">
        <v>0</v>
      </c>
      <c r="U182" s="130">
        <v>0</v>
      </c>
      <c r="V182" s="524">
        <v>0</v>
      </c>
      <c r="W182" s="130">
        <v>0</v>
      </c>
      <c r="X182" s="130">
        <v>0</v>
      </c>
      <c r="Y182" s="130">
        <v>0</v>
      </c>
      <c r="Z182" s="130">
        <v>0</v>
      </c>
      <c r="AA182" s="159" t="s">
        <v>6374</v>
      </c>
      <c r="AB182" s="159" t="s">
        <v>1272</v>
      </c>
      <c r="AD182" s="159">
        <v>4</v>
      </c>
      <c r="AE182" s="158" t="b">
        <f>IF(AB182="",TRUE,IF(IF(AC182="",VLOOKUP(AB182,Calculs!$A$19:$S$425,19,FALSE),VLOOKUP(AC182,Calculs!$A$19:$S$425,19,FALSE))&gt;=AD182,TRUE,FALSE))</f>
        <v>0</v>
      </c>
      <c r="AF182" s="159" t="s">
        <v>3325</v>
      </c>
      <c r="AG182" s="159" t="s">
        <v>3170</v>
      </c>
      <c r="AH182" s="159">
        <v>5</v>
      </c>
      <c r="AI182" s="158" t="b">
        <f>IF(AF182="",TRUE,IF(IF(AG182="",VLOOKUP(AF182,Calculs!$A$19:$S$425,19,FALSE),VLOOKUP(AG182,Calculs!$A$19:$S$425,19,FALSE))&gt;=AH182,TRUE,FALSE))</f>
        <v>0</v>
      </c>
      <c r="AJ182" s="159" t="s">
        <v>228</v>
      </c>
      <c r="AL182" s="159">
        <v>4</v>
      </c>
      <c r="AM182" s="158" t="b">
        <f>IF(AJ182="",TRUE,IF(IF(AK182="",VLOOKUP(AJ182,Calculs!$A$19:$S$425,19,FALSE),VLOOKUP(AK182,Calculs!$A$19:$S$425,19,FALSE))&gt;=AL182,TRUE,FALSE))</f>
        <v>0</v>
      </c>
      <c r="AQ182" s="158" t="b">
        <f>IF(AN182="",TRUE,IF(IF(AO182="",VLOOKUP(AN182,Calculs!$A$19:$S$425,19,FALSE),VLOOKUP(AO182,Calculs!$A$19:$S$425,19,FALSE))&gt;=AP182,TRUE,FALSE))</f>
        <v>1</v>
      </c>
      <c r="AR182" s="158"/>
      <c r="AS182" s="158" t="b">
        <f>IF(AR182="",TRUE,IF(VLOOKUP(AR182,Calculs!$A$427:$G$738,7,FALSE)&gt;0,TRUE,FALSE))</f>
        <v>1</v>
      </c>
      <c r="AT182" s="158"/>
      <c r="AU182" s="158" t="b">
        <f>IF(AT182="",TRUE,IF(VLOOKUP(AT182,Calculs!$A$740:$G$912,7,FALSE)&gt;0,TRUE,FALSE))</f>
        <v>1</v>
      </c>
      <c r="AV182" s="158" t="b">
        <f t="shared" si="15"/>
        <v>0</v>
      </c>
      <c r="AW182" s="158" t="s">
        <v>2078</v>
      </c>
      <c r="AX182" s="162" t="s">
        <v>3</v>
      </c>
      <c r="AY182" s="15">
        <v>247</v>
      </c>
      <c r="AZ182" s="555" t="s">
        <v>2645</v>
      </c>
      <c r="BA182" s="559">
        <f>IF(Verso!$B$10=Voies!$B182,1,0)</f>
        <v>0</v>
      </c>
      <c r="BB182" s="12">
        <f>IF(Verso!$B$11=Voies!$B182,1,0)</f>
        <v>0</v>
      </c>
      <c r="BC182" s="12">
        <f>IF(Verso!$B$12=Voies!$B182,1,0)</f>
        <v>0</v>
      </c>
      <c r="BD182" s="12">
        <f>IF(Verso!$B$13=Voies!$B182,1,0)</f>
        <v>0</v>
      </c>
      <c r="BE182" s="12">
        <f>IF(Verso!$B$14=Voies!$B182,1,0)</f>
        <v>0</v>
      </c>
      <c r="BF182" s="12">
        <f>IF(Verso!$B$15=Voies!$B182,1,0)</f>
        <v>0</v>
      </c>
      <c r="BG182" s="12">
        <f>IF(Verso!$B$16=Voies!$B182,1,0)</f>
        <v>0</v>
      </c>
      <c r="BH182" s="12">
        <f>IF(Verso!$B$17=Voies!$B182,1,0)</f>
        <v>0</v>
      </c>
      <c r="BI182" s="557">
        <f t="shared" si="16"/>
        <v>0</v>
      </c>
      <c r="BJ182" s="196" t="str">
        <f t="shared" si="17"/>
        <v/>
      </c>
      <c r="BK182" s="196" t="str">
        <f t="shared" si="18"/>
        <v/>
      </c>
      <c r="BL182" s="295" t="str">
        <f t="shared" si="19"/>
        <v/>
      </c>
    </row>
    <row r="183" spans="1:65" ht="47.25" customHeight="1" x14ac:dyDescent="0.25">
      <c r="A183" s="162" t="str">
        <f>IF(AND(Réputation&gt;Voies!E183-1,OR(C183=TRUE,Calculs!$I$8&gt;0),Air&gt;Voies!J183-1,Eau&gt;Voies!K183-1,Feu&gt;Voies!L183-1,Terre&gt;Voies!M183-1,Vide&gt;Voies!N183-1,Constitution&gt;Voies!O183-1,Volonté&gt;Voies!P183-1,Force&gt;Voies!Q183-1,Perception&gt;Voies!R183-1,Reflexes&gt;Voies!S183-1,Agilité&gt;Voies!T183-1,Intuition&gt;Voies!U183-1,Intelligence&gt;Voies!V183-1,Souillure&gt;Voies!W183-1,Honneur&gt;X183-1,Statut&gt;Y183-1,Gloire&gt;Z183-1,AV183=TRUE),Voies!B183,"")</f>
        <v/>
      </c>
      <c r="B183" s="162" t="s">
        <v>2587</v>
      </c>
      <c r="C183" s="162" t="b">
        <f>IF(Clan=Voies!D183,TRUE,FALSE)</f>
        <v>0</v>
      </c>
      <c r="D183" s="387" t="s">
        <v>175</v>
      </c>
      <c r="E183" s="13">
        <v>0</v>
      </c>
      <c r="F183" s="199">
        <v>0</v>
      </c>
      <c r="G183" s="13" t="s">
        <v>2049</v>
      </c>
      <c r="H183" s="162" t="s">
        <v>2579</v>
      </c>
      <c r="I183" s="129" t="str">
        <f t="shared" si="21"/>
        <v>Rien</v>
      </c>
      <c r="J183" s="146">
        <v>0</v>
      </c>
      <c r="K183" s="147">
        <v>0</v>
      </c>
      <c r="L183" s="148">
        <v>0</v>
      </c>
      <c r="M183" s="149">
        <v>4</v>
      </c>
      <c r="N183" s="150">
        <v>0</v>
      </c>
      <c r="O183" s="130">
        <v>0</v>
      </c>
      <c r="P183" s="130">
        <v>0</v>
      </c>
      <c r="Q183" s="130">
        <v>5</v>
      </c>
      <c r="R183" s="130">
        <v>0</v>
      </c>
      <c r="S183" s="130">
        <v>0</v>
      </c>
      <c r="T183" s="130">
        <v>0</v>
      </c>
      <c r="U183" s="130">
        <v>0</v>
      </c>
      <c r="V183" s="524">
        <v>0</v>
      </c>
      <c r="W183" s="130">
        <v>0</v>
      </c>
      <c r="X183" s="130">
        <v>0</v>
      </c>
      <c r="Y183" s="130">
        <v>0</v>
      </c>
      <c r="Z183" s="130">
        <v>0</v>
      </c>
      <c r="AA183" s="159" t="s">
        <v>6375</v>
      </c>
      <c r="AB183" s="159" t="s">
        <v>1272</v>
      </c>
      <c r="AD183" s="159">
        <v>4</v>
      </c>
      <c r="AE183" s="158" t="b">
        <f>IF(AB183="",TRUE,IF(IF(AC183="",VLOOKUP(AB183,Calculs!$A$19:$S$425,19,FALSE),VLOOKUP(AC183,Calculs!$A$19:$S$425,19,FALSE))&gt;=AD183,TRUE,FALSE))</f>
        <v>0</v>
      </c>
      <c r="AF183" s="159" t="s">
        <v>3325</v>
      </c>
      <c r="AG183" s="159" t="s">
        <v>3170</v>
      </c>
      <c r="AH183" s="159">
        <v>5</v>
      </c>
      <c r="AI183" s="158" t="b">
        <f>IF(AF183="",TRUE,IF(IF(AG183="",VLOOKUP(AF183,Calculs!$A$19:$S$425,19,FALSE),VLOOKUP(AG183,Calculs!$A$19:$S$425,19,FALSE))&gt;=AH183,TRUE,FALSE))</f>
        <v>0</v>
      </c>
      <c r="AJ183" s="159" t="s">
        <v>228</v>
      </c>
      <c r="AL183" s="159">
        <v>4</v>
      </c>
      <c r="AM183" s="158" t="b">
        <f>IF(AJ183="",TRUE,IF(IF(AK183="",VLOOKUP(AJ183,Calculs!$A$19:$S$425,19,FALSE),VLOOKUP(AK183,Calculs!$A$19:$S$425,19,FALSE))&gt;=AL183,TRUE,FALSE))</f>
        <v>0</v>
      </c>
      <c r="AQ183" s="158" t="b">
        <f>IF(AN183="",TRUE,IF(IF(AO183="",VLOOKUP(AN183,Calculs!$A$19:$S$425,19,FALSE),VLOOKUP(AO183,Calculs!$A$19:$S$425,19,FALSE))&gt;=AP183,TRUE,FALSE))</f>
        <v>1</v>
      </c>
      <c r="AR183" s="158"/>
      <c r="AS183" s="158" t="b">
        <f>IF(AR183="",TRUE,IF(VLOOKUP(AR183,Calculs!$A$427:$G$738,7,FALSE)&gt;0,TRUE,FALSE))</f>
        <v>1</v>
      </c>
      <c r="AT183" s="158"/>
      <c r="AU183" s="158" t="b">
        <f>IF(AT183="",TRUE,IF(VLOOKUP(AT183,Calculs!$A$740:$G$912,7,FALSE)&gt;0,TRUE,FALSE))</f>
        <v>1</v>
      </c>
      <c r="AV183" s="158" t="b">
        <f t="shared" si="15"/>
        <v>0</v>
      </c>
      <c r="AW183" s="158" t="s">
        <v>2078</v>
      </c>
      <c r="AX183" s="162" t="s">
        <v>3</v>
      </c>
      <c r="AY183" s="15">
        <v>247</v>
      </c>
      <c r="AZ183" s="555" t="s">
        <v>2589</v>
      </c>
      <c r="BA183" s="559">
        <f>IF(Verso!$B$10=Voies!$B183,1,0)</f>
        <v>0</v>
      </c>
      <c r="BB183" s="12">
        <f>IF(Verso!$B$11=Voies!$B183,1,0)</f>
        <v>0</v>
      </c>
      <c r="BC183" s="12">
        <f>IF(Verso!$B$12=Voies!$B183,1,0)</f>
        <v>0</v>
      </c>
      <c r="BD183" s="12">
        <f>IF(Verso!$B$13=Voies!$B183,1,0)</f>
        <v>0</v>
      </c>
      <c r="BE183" s="12">
        <f>IF(Verso!$B$14=Voies!$B183,1,0)</f>
        <v>0</v>
      </c>
      <c r="BF183" s="12">
        <f>IF(Verso!$B$15=Voies!$B183,1,0)</f>
        <v>0</v>
      </c>
      <c r="BG183" s="12">
        <f>IF(Verso!$B$16=Voies!$B183,1,0)</f>
        <v>0</v>
      </c>
      <c r="BH183" s="12">
        <f>IF(Verso!$B$17=Voies!$B183,1,0)</f>
        <v>0</v>
      </c>
      <c r="BI183" s="557">
        <f t="shared" si="16"/>
        <v>0</v>
      </c>
      <c r="BJ183" s="196" t="str">
        <f t="shared" si="17"/>
        <v/>
      </c>
      <c r="BK183" s="196" t="str">
        <f t="shared" si="18"/>
        <v/>
      </c>
      <c r="BL183" s="295" t="str">
        <f t="shared" si="19"/>
        <v/>
      </c>
    </row>
    <row r="184" spans="1:65" ht="47.25" customHeight="1" x14ac:dyDescent="0.25">
      <c r="A184" s="162" t="str">
        <f>IF(AND(Réputation&gt;Voies!E184-1,OR(C184=TRUE,Calculs!$I$8&gt;0),Air&gt;Voies!J184-1,Eau&gt;Voies!K184-1,Feu&gt;Voies!L184-1,Terre&gt;Voies!M184-1,Vide&gt;Voies!N184-1,Constitution&gt;Voies!O184-1,Volonté&gt;Voies!P184-1,Force&gt;Voies!Q184-1,Perception&gt;Voies!R184-1,Reflexes&gt;Voies!S184-1,Agilité&gt;Voies!T184-1,Intuition&gt;Voies!U184-1,Intelligence&gt;Voies!V184-1,Souillure&gt;Voies!W184-1,Honneur&gt;X184-1,Statut&gt;Y184-1,Gloire&gt;Z184-1,AV184=TRUE),Voies!B184,"")</f>
        <v/>
      </c>
      <c r="B184" s="162" t="s">
        <v>2588</v>
      </c>
      <c r="C184" s="162" t="b">
        <f>IF(Clan=Voies!D184,TRUE,FALSE)</f>
        <v>0</v>
      </c>
      <c r="D184" s="387" t="s">
        <v>175</v>
      </c>
      <c r="E184" s="13">
        <v>0</v>
      </c>
      <c r="F184" s="199">
        <v>0</v>
      </c>
      <c r="G184" s="13" t="s">
        <v>2049</v>
      </c>
      <c r="H184" s="162" t="s">
        <v>2579</v>
      </c>
      <c r="I184" s="129" t="str">
        <f t="shared" si="21"/>
        <v>Rien</v>
      </c>
      <c r="J184" s="146">
        <v>0</v>
      </c>
      <c r="K184" s="147">
        <v>0</v>
      </c>
      <c r="L184" s="148">
        <v>0</v>
      </c>
      <c r="M184" s="149">
        <v>4</v>
      </c>
      <c r="N184" s="150">
        <v>0</v>
      </c>
      <c r="O184" s="130">
        <v>0</v>
      </c>
      <c r="P184" s="130">
        <v>0</v>
      </c>
      <c r="Q184" s="130">
        <v>5</v>
      </c>
      <c r="R184" s="130">
        <v>0</v>
      </c>
      <c r="S184" s="130">
        <v>0</v>
      </c>
      <c r="T184" s="130">
        <v>0</v>
      </c>
      <c r="U184" s="130">
        <v>0</v>
      </c>
      <c r="V184" s="524">
        <v>0</v>
      </c>
      <c r="W184" s="130">
        <v>0</v>
      </c>
      <c r="X184" s="130">
        <v>0</v>
      </c>
      <c r="Y184" s="130">
        <v>0</v>
      </c>
      <c r="Z184" s="130">
        <v>0</v>
      </c>
      <c r="AA184" s="159" t="s">
        <v>6376</v>
      </c>
      <c r="AB184" s="159" t="s">
        <v>1272</v>
      </c>
      <c r="AD184" s="159">
        <v>4</v>
      </c>
      <c r="AE184" s="158" t="b">
        <f>IF(AB184="",TRUE,IF(IF(AC184="",VLOOKUP(AB184,Calculs!$A$19:$S$425,19,FALSE),VLOOKUP(AC184,Calculs!$A$19:$S$425,19,FALSE))&gt;=AD184,TRUE,FALSE))</f>
        <v>0</v>
      </c>
      <c r="AF184" s="159" t="s">
        <v>3325</v>
      </c>
      <c r="AG184" s="159" t="s">
        <v>3170</v>
      </c>
      <c r="AH184" s="159">
        <v>5</v>
      </c>
      <c r="AI184" s="158" t="b">
        <f>IF(AF184="",TRUE,IF(IF(AG184="",VLOOKUP(AF184,Calculs!$A$19:$S$425,19,FALSE),VLOOKUP(AG184,Calculs!$A$19:$S$425,19,FALSE))&gt;=AH184,TRUE,FALSE))</f>
        <v>0</v>
      </c>
      <c r="AJ184" s="159" t="s">
        <v>228</v>
      </c>
      <c r="AL184" s="159">
        <v>4</v>
      </c>
      <c r="AM184" s="158" t="b">
        <f>IF(AJ184="",TRUE,IF(IF(AK184="",VLOOKUP(AJ184,Calculs!$A$19:$S$425,19,FALSE),VLOOKUP(AK184,Calculs!$A$19:$S$425,19,FALSE))&gt;=AL184,TRUE,FALSE))</f>
        <v>0</v>
      </c>
      <c r="AQ184" s="158" t="b">
        <f>IF(AN184="",TRUE,IF(IF(AO184="",VLOOKUP(AN184,Calculs!$A$19:$S$425,19,FALSE),VLOOKUP(AO184,Calculs!$A$19:$S$425,19,FALSE))&gt;=AP184,TRUE,FALSE))</f>
        <v>1</v>
      </c>
      <c r="AR184" s="158"/>
      <c r="AS184" s="158" t="b">
        <f>IF(AR184="",TRUE,IF(VLOOKUP(AR184,Calculs!$A$427:$G$738,7,FALSE)&gt;0,TRUE,FALSE))</f>
        <v>1</v>
      </c>
      <c r="AT184" s="158"/>
      <c r="AU184" s="158" t="b">
        <f>IF(AT184="",TRUE,IF(VLOOKUP(AT184,Calculs!$A$740:$G$912,7,FALSE)&gt;0,TRUE,FALSE))</f>
        <v>1</v>
      </c>
      <c r="AV184" s="158" t="b">
        <f t="shared" si="15"/>
        <v>0</v>
      </c>
      <c r="AW184" s="158" t="s">
        <v>2078</v>
      </c>
      <c r="AX184" s="162" t="s">
        <v>3</v>
      </c>
      <c r="AY184" s="15">
        <v>247</v>
      </c>
      <c r="AZ184" s="555" t="s">
        <v>2646</v>
      </c>
      <c r="BA184" s="559">
        <f>IF(Verso!$B$10=Voies!$B184,1,0)</f>
        <v>0</v>
      </c>
      <c r="BB184" s="12">
        <f>IF(Verso!$B$11=Voies!$B184,1,0)</f>
        <v>0</v>
      </c>
      <c r="BC184" s="12">
        <f>IF(Verso!$B$12=Voies!$B184,1,0)</f>
        <v>0</v>
      </c>
      <c r="BD184" s="12">
        <f>IF(Verso!$B$13=Voies!$B184,1,0)</f>
        <v>0</v>
      </c>
      <c r="BE184" s="12">
        <f>IF(Verso!$B$14=Voies!$B184,1,0)</f>
        <v>0</v>
      </c>
      <c r="BF184" s="12">
        <f>IF(Verso!$B$15=Voies!$B184,1,0)</f>
        <v>0</v>
      </c>
      <c r="BG184" s="12">
        <f>IF(Verso!$B$16=Voies!$B184,1,0)</f>
        <v>0</v>
      </c>
      <c r="BH184" s="12">
        <f>IF(Verso!$B$17=Voies!$B184,1,0)</f>
        <v>0</v>
      </c>
      <c r="BI184" s="557">
        <f t="shared" si="16"/>
        <v>0</v>
      </c>
      <c r="BJ184" s="196" t="str">
        <f t="shared" si="17"/>
        <v/>
      </c>
      <c r="BK184" s="196" t="str">
        <f t="shared" si="18"/>
        <v/>
      </c>
      <c r="BL184" s="295" t="str">
        <f t="shared" si="19"/>
        <v/>
      </c>
    </row>
    <row r="185" spans="1:65" ht="47.25" customHeight="1" x14ac:dyDescent="0.25">
      <c r="A185" s="162" t="str">
        <f>IF(AND(Réputation&gt;Voies!E185-1,OR(C185=TRUE,Calculs!$I$8&gt;0),Air&gt;Voies!J185-1,Eau&gt;Voies!K185-1,Feu&gt;Voies!L185-1,Terre&gt;Voies!M185-1,Vide&gt;Voies!N185-1,Constitution&gt;Voies!O185-1,Volonté&gt;Voies!P185-1,Force&gt;Voies!Q185-1,Perception&gt;Voies!R185-1,Reflexes&gt;Voies!S185-1,Agilité&gt;Voies!T185-1,Intuition&gt;Voies!U185-1,Intelligence&gt;Voies!V185-1,Souillure&gt;Voies!W185-1,Honneur&gt;X185-1,Statut&gt;Y185-1,Gloire&gt;Z185-1,AV185=TRUE),Voies!B185,"")</f>
        <v/>
      </c>
      <c r="B185" s="162" t="s">
        <v>6033</v>
      </c>
      <c r="C185" s="162" t="b">
        <f>IF(Clan=Voies!D185,TRUE,FALSE)</f>
        <v>0</v>
      </c>
      <c r="D185" s="387" t="s">
        <v>175</v>
      </c>
      <c r="E185" s="13">
        <v>1</v>
      </c>
      <c r="F185" s="199">
        <v>1</v>
      </c>
      <c r="G185" s="13" t="s">
        <v>2055</v>
      </c>
      <c r="H185" s="219" t="s">
        <v>3490</v>
      </c>
      <c r="I185" s="129" t="str">
        <f t="shared" si="21"/>
        <v>Rien</v>
      </c>
      <c r="J185" s="146">
        <v>0</v>
      </c>
      <c r="K185" s="147">
        <v>0</v>
      </c>
      <c r="L185" s="148">
        <v>0</v>
      </c>
      <c r="M185" s="149">
        <v>0</v>
      </c>
      <c r="N185" s="150">
        <v>0</v>
      </c>
      <c r="O185" s="130">
        <v>0</v>
      </c>
      <c r="P185" s="130">
        <v>0</v>
      </c>
      <c r="Q185" s="130">
        <v>0</v>
      </c>
      <c r="R185" s="130">
        <v>0</v>
      </c>
      <c r="S185" s="130">
        <v>0</v>
      </c>
      <c r="T185" s="130">
        <v>0</v>
      </c>
      <c r="U185" s="130">
        <v>0</v>
      </c>
      <c r="V185" s="524">
        <v>0</v>
      </c>
      <c r="W185" s="130">
        <v>0</v>
      </c>
      <c r="X185" s="130">
        <v>0</v>
      </c>
      <c r="Y185" s="130">
        <v>0</v>
      </c>
      <c r="Z185" s="130">
        <v>0</v>
      </c>
      <c r="AA185" s="158" t="s">
        <v>2078</v>
      </c>
      <c r="AB185" s="158"/>
      <c r="AC185" s="158"/>
      <c r="AD185" s="158"/>
      <c r="AE185" s="158" t="b">
        <f>IF(AB185="",TRUE,IF(IF(AC185="",VLOOKUP(AB185,Calculs!$A$19:$S$425,19,FALSE),VLOOKUP(AC185,Calculs!$A$19:$S$425,19,FALSE))&gt;=AD185,TRUE,FALSE))</f>
        <v>1</v>
      </c>
      <c r="AF185" s="158"/>
      <c r="AG185" s="158"/>
      <c r="AH185" s="158"/>
      <c r="AI185" s="158" t="b">
        <f>IF(AF185="",TRUE,IF(IF(AG185="",VLOOKUP(AF185,Calculs!$A$19:$S$425,19,FALSE),VLOOKUP(AG185,Calculs!$A$19:$S$425,19,FALSE))&gt;=AH185,TRUE,FALSE))</f>
        <v>1</v>
      </c>
      <c r="AJ185" s="158"/>
      <c r="AK185" s="158"/>
      <c r="AL185" s="158"/>
      <c r="AM185" s="158" t="b">
        <f>IF(AJ185="",TRUE,IF(IF(AK185="",VLOOKUP(AJ185,Calculs!$A$19:$S$425,19,FALSE),VLOOKUP(AK185,Calculs!$A$19:$S$425,19,FALSE))&gt;=AL185,TRUE,FALSE))</f>
        <v>1</v>
      </c>
      <c r="AN185" s="158"/>
      <c r="AO185" s="158"/>
      <c r="AP185" s="158"/>
      <c r="AQ185" s="158" t="b">
        <f>IF(AN185="",TRUE,IF(IF(AO185="",VLOOKUP(AN185,Calculs!$A$19:$S$425,19,FALSE),VLOOKUP(AO185,Calculs!$A$19:$S$425,19,FALSE))&gt;=AP185,TRUE,FALSE))</f>
        <v>1</v>
      </c>
      <c r="AR185" s="158"/>
      <c r="AS185" s="158" t="b">
        <f>IF(AR185="",TRUE,IF(VLOOKUP(AR185,Calculs!$A$427:$G$738,7,FALSE)&gt;0,TRUE,FALSE))</f>
        <v>1</v>
      </c>
      <c r="AT185" s="158"/>
      <c r="AU185" s="158" t="b">
        <f>IF(AT185="",TRUE,IF(VLOOKUP(AT185,Calculs!$A$740:$G$912,7,FALSE)&gt;0,TRUE,FALSE))</f>
        <v>1</v>
      </c>
      <c r="AV185" s="158" t="b">
        <f t="shared" si="15"/>
        <v>1</v>
      </c>
      <c r="AW185" s="158" t="s">
        <v>2078</v>
      </c>
      <c r="AX185" s="162" t="s">
        <v>6061</v>
      </c>
      <c r="AY185" s="15">
        <v>38</v>
      </c>
      <c r="AZ185" s="566" t="s">
        <v>3493</v>
      </c>
      <c r="BA185" s="559">
        <f>IF(Verso!$B$10=Voies!$B185,1,0)</f>
        <v>0</v>
      </c>
      <c r="BB185" s="12">
        <f>IF(Verso!$B$11=Voies!$B185,1,0)</f>
        <v>0</v>
      </c>
      <c r="BC185" s="12">
        <f>IF(Verso!$B$12=Voies!$B185,1,0)</f>
        <v>0</v>
      </c>
      <c r="BD185" s="12">
        <f>IF(Verso!$B$13=Voies!$B185,1,0)</f>
        <v>0</v>
      </c>
      <c r="BE185" s="12">
        <f>IF(Verso!$B$14=Voies!$B185,1,0)</f>
        <v>0</v>
      </c>
      <c r="BF185" s="12">
        <f>IF(Verso!$B$15=Voies!$B185,1,0)</f>
        <v>0</v>
      </c>
      <c r="BG185" s="12">
        <f>IF(Verso!$B$16=Voies!$B185,1,0)</f>
        <v>0</v>
      </c>
      <c r="BH185" s="12">
        <f>IF(Verso!$B$17=Voies!$B185,1,0)</f>
        <v>0</v>
      </c>
      <c r="BI185" s="557">
        <f t="shared" si="16"/>
        <v>0</v>
      </c>
      <c r="BJ185" s="196" t="str">
        <f t="shared" si="17"/>
        <v/>
      </c>
      <c r="BK185" s="196" t="str">
        <f t="shared" si="18"/>
        <v/>
      </c>
      <c r="BL185" s="295" t="str">
        <f t="shared" si="19"/>
        <v/>
      </c>
    </row>
    <row r="186" spans="1:65" ht="47.25" customHeight="1" x14ac:dyDescent="0.25">
      <c r="A186" s="162" t="str">
        <f>IF(AND(Réputation&gt;Voies!E186-1,OR(C186=TRUE,Calculs!$I$8&gt;0),Air&gt;Voies!J186-1,Eau&gt;Voies!K186-1,Feu&gt;Voies!L186-1,Terre&gt;Voies!M186-1,Vide&gt;Voies!N186-1,Constitution&gt;Voies!O186-1,Volonté&gt;Voies!P186-1,Force&gt;Voies!Q186-1,Perception&gt;Voies!R186-1,Reflexes&gt;Voies!S186-1,Agilité&gt;Voies!T186-1,Intuition&gt;Voies!U186-1,Intelligence&gt;Voies!V186-1,Souillure&gt;Voies!W186-1,Honneur&gt;X186-1,Statut&gt;Y186-1,Gloire&gt;Z186-1,AV186=TRUE),Voies!B186,"")</f>
        <v/>
      </c>
      <c r="B186" s="162" t="s">
        <v>7816</v>
      </c>
      <c r="C186" s="162" t="b">
        <f>IF(Clan=Voies!D186,TRUE,FALSE)</f>
        <v>0</v>
      </c>
      <c r="D186" s="387" t="s">
        <v>175</v>
      </c>
      <c r="E186" s="13">
        <v>1</v>
      </c>
      <c r="F186" s="199" t="s">
        <v>7817</v>
      </c>
      <c r="G186" s="13" t="s">
        <v>2055</v>
      </c>
      <c r="H186" s="162" t="s">
        <v>7816</v>
      </c>
      <c r="I186" s="129" t="s">
        <v>7818</v>
      </c>
      <c r="J186" s="146">
        <v>0</v>
      </c>
      <c r="K186" s="147">
        <v>0</v>
      </c>
      <c r="L186" s="148">
        <v>0</v>
      </c>
      <c r="M186" s="149">
        <v>0</v>
      </c>
      <c r="N186" s="150">
        <v>0</v>
      </c>
      <c r="O186" s="130">
        <v>0</v>
      </c>
      <c r="P186" s="130">
        <v>0</v>
      </c>
      <c r="Q186" s="130">
        <v>0</v>
      </c>
      <c r="R186" s="130">
        <v>0</v>
      </c>
      <c r="S186" s="130">
        <v>0</v>
      </c>
      <c r="T186" s="130">
        <v>0</v>
      </c>
      <c r="U186" s="130">
        <v>0</v>
      </c>
      <c r="V186" s="524">
        <v>0</v>
      </c>
      <c r="W186" s="130">
        <v>0</v>
      </c>
      <c r="X186" s="130">
        <v>0</v>
      </c>
      <c r="Y186" s="130">
        <v>0</v>
      </c>
      <c r="Z186" s="130">
        <v>0</v>
      </c>
      <c r="AA186" s="159" t="s">
        <v>7819</v>
      </c>
      <c r="AB186" s="159" t="s">
        <v>231</v>
      </c>
      <c r="AD186" s="159">
        <v>4</v>
      </c>
      <c r="AE186" s="158" t="b">
        <f>IF(AB186="",TRUE,IF(IF(AC186="",VLOOKUP(AB186,Calculs!$A$19:$S$425,19,FALSE),VLOOKUP(AC186,Calculs!$A$19:$S$425,19,FALSE))&gt;=AD186,TRUE,FALSE))</f>
        <v>0</v>
      </c>
      <c r="AF186" s="159" t="s">
        <v>7702</v>
      </c>
      <c r="AH186" s="159">
        <v>5</v>
      </c>
      <c r="AI186" s="158" t="b">
        <f>IF(AF186="",TRUE,IF(IF(AG186="",VLOOKUP(AF186,Calculs!$A$19:$S$425,19,FALSE),VLOOKUP(AG186,Calculs!$A$19:$S$425,19,FALSE))&gt;=AH186,TRUE,FALSE))</f>
        <v>0</v>
      </c>
      <c r="AM186" s="158" t="b">
        <f>IF(AJ186="",TRUE,IF(IF(AK186="",VLOOKUP(AJ186,Calculs!$A$19:$S$425,19,FALSE),VLOOKUP(AK186,Calculs!$A$19:$S$425,19,FALSE))&gt;=AL186,TRUE,FALSE))</f>
        <v>1</v>
      </c>
      <c r="AQ186" s="158" t="b">
        <f>IF(AN186="",TRUE,IF(IF(AO186="",VLOOKUP(AN186,Calculs!$A$19:$S$425,19,FALSE),VLOOKUP(AO186,Calculs!$A$19:$S$425,19,FALSE))&gt;=AP186,TRUE,FALSE))</f>
        <v>1</v>
      </c>
      <c r="AR186" s="158"/>
      <c r="AS186" s="158" t="b">
        <f>IF(AR186="",TRUE,IF(VLOOKUP(AR186,Calculs!$A$427:$G$738,7,FALSE)&gt;0,TRUE,FALSE))</f>
        <v>1</v>
      </c>
      <c r="AT186" s="158"/>
      <c r="AU186" s="158" t="b">
        <f>IF(AT186="",TRUE,IF(VLOOKUP(AT186,Calculs!$A$740:$G$912,7,FALSE)&gt;0,TRUE,FALSE))</f>
        <v>1</v>
      </c>
      <c r="AV186" s="158" t="b">
        <f t="shared" si="15"/>
        <v>0</v>
      </c>
      <c r="AW186" s="158" t="s">
        <v>2078</v>
      </c>
      <c r="AX186" s="162" t="s">
        <v>7226</v>
      </c>
      <c r="AY186" s="15">
        <v>72</v>
      </c>
      <c r="AZ186" s="555" t="s">
        <v>7820</v>
      </c>
      <c r="BA186" s="559">
        <f>IF(Verso!$B$10=Voies!$B186,1,0)</f>
        <v>0</v>
      </c>
      <c r="BB186" s="12">
        <f>IF(Verso!$B$11=Voies!$B186,1,0)</f>
        <v>0</v>
      </c>
      <c r="BC186" s="12">
        <f>IF(Verso!$B$12=Voies!$B186,1,0)</f>
        <v>0</v>
      </c>
      <c r="BD186" s="12">
        <f>IF(Verso!$B$13=Voies!$B186,1,0)</f>
        <v>0</v>
      </c>
      <c r="BE186" s="12">
        <f>IF(Verso!$B$14=Voies!$B186,1,0)</f>
        <v>0</v>
      </c>
      <c r="BF186" s="12">
        <f>IF(Verso!$B$15=Voies!$B186,1,0)</f>
        <v>0</v>
      </c>
      <c r="BG186" s="12">
        <f>IF(Verso!$B$16=Voies!$B186,1,0)</f>
        <v>0</v>
      </c>
      <c r="BH186" s="12">
        <f>IF(Verso!$B$17=Voies!$B186,1,0)</f>
        <v>0</v>
      </c>
      <c r="BI186" s="557">
        <f t="shared" si="16"/>
        <v>0</v>
      </c>
      <c r="BJ186" s="196" t="str">
        <f t="shared" si="17"/>
        <v/>
      </c>
      <c r="BK186" s="196" t="str">
        <f t="shared" si="18"/>
        <v/>
      </c>
      <c r="BL186" s="295" t="str">
        <f t="shared" si="19"/>
        <v/>
      </c>
    </row>
    <row r="187" spans="1:65" ht="47.25" customHeight="1" x14ac:dyDescent="0.25">
      <c r="A187" s="162" t="str">
        <f>IF(AND(Réputation&gt;Voies!E187-1,OR(C187=TRUE,Calculs!$I$8&gt;0),Air&gt;Voies!J187-1,Eau&gt;Voies!K187-1,Feu&gt;Voies!L187-1,Terre&gt;Voies!M187-1,Vide&gt;Voies!N187-1,Constitution&gt;Voies!O187-1,Volonté&gt;Voies!P187-1,Force&gt;Voies!Q187-1,Perception&gt;Voies!R187-1,Reflexes&gt;Voies!S187-1,Agilité&gt;Voies!T187-1,Intuition&gt;Voies!U187-1,Intelligence&gt;Voies!V187-1,Souillure&gt;Voies!W187-1,Honneur&gt;X187-1,Statut&gt;Y187-1,Gloire&gt;Z187-1,AV187=TRUE),Voies!B187,"")</f>
        <v/>
      </c>
      <c r="B187" s="162" t="s">
        <v>2210</v>
      </c>
      <c r="C187" s="162" t="b">
        <f>IF(Clan=Voies!D187,TRUE,FALSE)</f>
        <v>0</v>
      </c>
      <c r="D187" s="387" t="s">
        <v>175</v>
      </c>
      <c r="E187" s="13">
        <v>1</v>
      </c>
      <c r="F187" s="199">
        <v>1</v>
      </c>
      <c r="G187" s="13" t="s">
        <v>2049</v>
      </c>
      <c r="H187" s="162" t="s">
        <v>191</v>
      </c>
      <c r="I187" s="129" t="str">
        <f t="shared" ref="I187:I194" si="22">IF(B187="","","Rien")</f>
        <v>Rien</v>
      </c>
      <c r="J187" s="146">
        <v>0</v>
      </c>
      <c r="K187" s="147">
        <v>0</v>
      </c>
      <c r="L187" s="148">
        <v>0</v>
      </c>
      <c r="M187" s="149">
        <v>0</v>
      </c>
      <c r="N187" s="150">
        <v>0</v>
      </c>
      <c r="O187" s="130">
        <v>0</v>
      </c>
      <c r="P187" s="130">
        <v>0</v>
      </c>
      <c r="Q187" s="130">
        <v>0</v>
      </c>
      <c r="R187" s="130">
        <v>0</v>
      </c>
      <c r="S187" s="130">
        <v>0</v>
      </c>
      <c r="T187" s="130">
        <v>0</v>
      </c>
      <c r="U187" s="130">
        <v>0</v>
      </c>
      <c r="V187" s="524">
        <v>0</v>
      </c>
      <c r="W187" s="130">
        <v>0</v>
      </c>
      <c r="X187" s="130">
        <v>0</v>
      </c>
      <c r="Y187" s="130">
        <v>0</v>
      </c>
      <c r="Z187" s="130">
        <v>0</v>
      </c>
      <c r="AA187" s="158" t="s">
        <v>2078</v>
      </c>
      <c r="AB187" s="158"/>
      <c r="AC187" s="158"/>
      <c r="AD187" s="158"/>
      <c r="AE187" s="158" t="b">
        <f>IF(AB187="",TRUE,IF(IF(AC187="",VLOOKUP(AB187,Calculs!$A$19:$S$425,19,FALSE),VLOOKUP(AC187,Calculs!$A$19:$S$425,19,FALSE))&gt;=AD187,TRUE,FALSE))</f>
        <v>1</v>
      </c>
      <c r="AF187" s="158"/>
      <c r="AG187" s="158"/>
      <c r="AH187" s="158"/>
      <c r="AI187" s="158" t="b">
        <f>IF(AF187="",TRUE,IF(IF(AG187="",VLOOKUP(AF187,Calculs!$A$19:$S$425,19,FALSE),VLOOKUP(AG187,Calculs!$A$19:$S$425,19,FALSE))&gt;=AH187,TRUE,FALSE))</f>
        <v>1</v>
      </c>
      <c r="AJ187" s="158"/>
      <c r="AK187" s="158"/>
      <c r="AL187" s="158"/>
      <c r="AM187" s="158" t="b">
        <f>IF(AJ187="",TRUE,IF(IF(AK187="",VLOOKUP(AJ187,Calculs!$A$19:$S$425,19,FALSE),VLOOKUP(AK187,Calculs!$A$19:$S$425,19,FALSE))&gt;=AL187,TRUE,FALSE))</f>
        <v>1</v>
      </c>
      <c r="AN187" s="158"/>
      <c r="AO187" s="158"/>
      <c r="AP187" s="158"/>
      <c r="AQ187" s="158" t="b">
        <f>IF(AN187="",TRUE,IF(IF(AO187="",VLOOKUP(AN187,Calculs!$A$19:$S$425,19,FALSE),VLOOKUP(AO187,Calculs!$A$19:$S$425,19,FALSE))&gt;=AP187,TRUE,FALSE))</f>
        <v>1</v>
      </c>
      <c r="AR187" s="158"/>
      <c r="AS187" s="158" t="b">
        <f>IF(AR187="",TRUE,IF(VLOOKUP(AR187,Calculs!$A$427:$G$738,7,FALSE)&gt;0,TRUE,FALSE))</f>
        <v>1</v>
      </c>
      <c r="AT187" s="158"/>
      <c r="AU187" s="158" t="b">
        <f>IF(AT187="",TRUE,IF(VLOOKUP(AT187,Calculs!$A$740:$G$912,7,FALSE)&gt;0,TRUE,FALSE))</f>
        <v>1</v>
      </c>
      <c r="AV187" s="158" t="b">
        <f t="shared" si="15"/>
        <v>1</v>
      </c>
      <c r="AW187" s="158" t="s">
        <v>2078</v>
      </c>
      <c r="AX187" s="162" t="s">
        <v>3</v>
      </c>
      <c r="AY187" s="15">
        <v>106</v>
      </c>
      <c r="AZ187" s="555" t="s">
        <v>2215</v>
      </c>
      <c r="BA187" s="559">
        <f>IF(Verso!$B$10=Voies!$B187,1,0)</f>
        <v>0</v>
      </c>
      <c r="BB187" s="12">
        <f>IF(Verso!$B$11=Voies!$B187,1,0)</f>
        <v>0</v>
      </c>
      <c r="BC187" s="12">
        <f>IF(Verso!$B$12=Voies!$B187,1,0)</f>
        <v>0</v>
      </c>
      <c r="BD187" s="12">
        <f>IF(Verso!$B$13=Voies!$B187,1,0)</f>
        <v>0</v>
      </c>
      <c r="BE187" s="12">
        <f>IF(Verso!$B$14=Voies!$B187,1,0)</f>
        <v>0</v>
      </c>
      <c r="BF187" s="12">
        <f>IF(Verso!$B$15=Voies!$B187,1,0)</f>
        <v>0</v>
      </c>
      <c r="BG187" s="12">
        <f>IF(Verso!$B$16=Voies!$B187,1,0)</f>
        <v>0</v>
      </c>
      <c r="BH187" s="12">
        <f>IF(Verso!$B$17=Voies!$B187,1,0)</f>
        <v>0</v>
      </c>
      <c r="BI187" s="557">
        <f t="shared" si="16"/>
        <v>0</v>
      </c>
      <c r="BJ187" s="196" t="str">
        <f t="shared" si="17"/>
        <v/>
      </c>
      <c r="BK187" s="196" t="str">
        <f t="shared" si="18"/>
        <v/>
      </c>
      <c r="BL187" s="295" t="str">
        <f t="shared" si="19"/>
        <v/>
      </c>
    </row>
    <row r="188" spans="1:65" ht="47.25" customHeight="1" x14ac:dyDescent="0.25">
      <c r="A188" s="162" t="str">
        <f>IF(AND(Réputation&gt;Voies!E188-1,OR(C188=TRUE,Calculs!$I$8&gt;0),Air&gt;Voies!J188-1,Eau&gt;Voies!K188-1,Feu&gt;Voies!L188-1,Terre&gt;Voies!M188-1,Vide&gt;Voies!N188-1,Constitution&gt;Voies!O188-1,Volonté&gt;Voies!P188-1,Force&gt;Voies!Q188-1,Perception&gt;Voies!R188-1,Reflexes&gt;Voies!S188-1,Agilité&gt;Voies!T188-1,Intuition&gt;Voies!U188-1,Intelligence&gt;Voies!V188-1,Souillure&gt;Voies!W188-1,Honneur&gt;X188-1,Statut&gt;Y188-1,Gloire&gt;Z188-1,AV188=TRUE),Voies!B188,"")</f>
        <v/>
      </c>
      <c r="B188" s="162" t="s">
        <v>2241</v>
      </c>
      <c r="C188" s="162" t="b">
        <f>IF(Clan=Voies!D188,TRUE,FALSE)</f>
        <v>0</v>
      </c>
      <c r="D188" s="387" t="s">
        <v>175</v>
      </c>
      <c r="E188" s="13">
        <v>1</v>
      </c>
      <c r="F188" s="199">
        <v>1</v>
      </c>
      <c r="G188" s="13" t="s">
        <v>2049</v>
      </c>
      <c r="H188" s="162" t="s">
        <v>193</v>
      </c>
      <c r="I188" s="129" t="str">
        <f t="shared" si="22"/>
        <v>Rien</v>
      </c>
      <c r="J188" s="146">
        <v>0</v>
      </c>
      <c r="K188" s="147">
        <v>0</v>
      </c>
      <c r="L188" s="148">
        <v>0</v>
      </c>
      <c r="M188" s="149">
        <v>0</v>
      </c>
      <c r="N188" s="150">
        <v>0</v>
      </c>
      <c r="O188" s="130">
        <v>0</v>
      </c>
      <c r="P188" s="130">
        <v>0</v>
      </c>
      <c r="Q188" s="130">
        <v>0</v>
      </c>
      <c r="R188" s="130">
        <v>0</v>
      </c>
      <c r="S188" s="130">
        <v>0</v>
      </c>
      <c r="T188" s="130">
        <v>0</v>
      </c>
      <c r="U188" s="130">
        <v>0</v>
      </c>
      <c r="V188" s="524">
        <v>0</v>
      </c>
      <c r="W188" s="130">
        <v>0</v>
      </c>
      <c r="X188" s="130">
        <v>0</v>
      </c>
      <c r="Y188" s="130">
        <v>0</v>
      </c>
      <c r="Z188" s="130">
        <v>0</v>
      </c>
      <c r="AA188" s="158" t="s">
        <v>2078</v>
      </c>
      <c r="AB188" s="158"/>
      <c r="AC188" s="158"/>
      <c r="AD188" s="158"/>
      <c r="AE188" s="158" t="b">
        <f>IF(AB188="",TRUE,IF(IF(AC188="",VLOOKUP(AB188,Calculs!$A$19:$S$425,19,FALSE),VLOOKUP(AC188,Calculs!$A$19:$S$425,19,FALSE))&gt;=AD188,TRUE,FALSE))</f>
        <v>1</v>
      </c>
      <c r="AF188" s="158"/>
      <c r="AG188" s="158"/>
      <c r="AH188" s="158"/>
      <c r="AI188" s="158" t="b">
        <f>IF(AF188="",TRUE,IF(IF(AG188="",VLOOKUP(AF188,Calculs!$A$19:$S$425,19,FALSE),VLOOKUP(AG188,Calculs!$A$19:$S$425,19,FALSE))&gt;=AH188,TRUE,FALSE))</f>
        <v>1</v>
      </c>
      <c r="AJ188" s="158"/>
      <c r="AK188" s="158"/>
      <c r="AL188" s="158"/>
      <c r="AM188" s="158" t="b">
        <f>IF(AJ188="",TRUE,IF(IF(AK188="",VLOOKUP(AJ188,Calculs!$A$19:$S$425,19,FALSE),VLOOKUP(AK188,Calculs!$A$19:$S$425,19,FALSE))&gt;=AL188,TRUE,FALSE))</f>
        <v>1</v>
      </c>
      <c r="AN188" s="158"/>
      <c r="AO188" s="158"/>
      <c r="AP188" s="158"/>
      <c r="AQ188" s="158" t="b">
        <f>IF(AN188="",TRUE,IF(IF(AO188="",VLOOKUP(AN188,Calculs!$A$19:$S$425,19,FALSE),VLOOKUP(AO188,Calculs!$A$19:$S$425,19,FALSE))&gt;=AP188,TRUE,FALSE))</f>
        <v>1</v>
      </c>
      <c r="AR188" s="158"/>
      <c r="AS188" s="158" t="b">
        <f>IF(AR188="",TRUE,IF(VLOOKUP(AR188,Calculs!$A$427:$G$738,7,FALSE)&gt;0,TRUE,FALSE))</f>
        <v>1</v>
      </c>
      <c r="AT188" s="158"/>
      <c r="AU188" s="158" t="b">
        <f>IF(AT188="",TRUE,IF(VLOOKUP(AT188,Calculs!$A$740:$G$912,7,FALSE)&gt;0,TRUE,FALSE))</f>
        <v>1</v>
      </c>
      <c r="AV188" s="158" t="b">
        <f t="shared" si="15"/>
        <v>1</v>
      </c>
      <c r="AW188" s="158" t="s">
        <v>2078</v>
      </c>
      <c r="AX188" s="162" t="s">
        <v>3</v>
      </c>
      <c r="AY188" s="15">
        <v>108</v>
      </c>
      <c r="AZ188" s="555" t="s">
        <v>2246</v>
      </c>
      <c r="BA188" s="559">
        <f>IF(Verso!$B$10=Voies!$B188,1,0)</f>
        <v>0</v>
      </c>
      <c r="BB188" s="12">
        <f>IF(Verso!$B$11=Voies!$B188,1,0)</f>
        <v>0</v>
      </c>
      <c r="BC188" s="12">
        <f>IF(Verso!$B$12=Voies!$B188,1,0)</f>
        <v>0</v>
      </c>
      <c r="BD188" s="12">
        <f>IF(Verso!$B$13=Voies!$B188,1,0)</f>
        <v>0</v>
      </c>
      <c r="BE188" s="12">
        <f>IF(Verso!$B$14=Voies!$B188,1,0)</f>
        <v>0</v>
      </c>
      <c r="BF188" s="12">
        <f>IF(Verso!$B$15=Voies!$B188,1,0)</f>
        <v>0</v>
      </c>
      <c r="BG188" s="12">
        <f>IF(Verso!$B$16=Voies!$B188,1,0)</f>
        <v>0</v>
      </c>
      <c r="BH188" s="12">
        <f>IF(Verso!$B$17=Voies!$B188,1,0)</f>
        <v>0</v>
      </c>
      <c r="BI188" s="557">
        <f t="shared" si="16"/>
        <v>0</v>
      </c>
      <c r="BJ188" s="196" t="str">
        <f t="shared" si="17"/>
        <v/>
      </c>
      <c r="BK188" s="196" t="str">
        <f t="shared" si="18"/>
        <v/>
      </c>
      <c r="BL188" s="295" t="str">
        <f t="shared" si="19"/>
        <v/>
      </c>
    </row>
    <row r="189" spans="1:65" ht="47.25" customHeight="1" x14ac:dyDescent="0.25">
      <c r="A189" s="162" t="str">
        <f>IF(AND(Réputation&gt;Voies!E189-1,OR(C189=TRUE,Calculs!$I$8&gt;0),Air&gt;Voies!J189-1,Eau&gt;Voies!K189-1,Feu&gt;Voies!L189-1,Terre&gt;Voies!M189-1,Vide&gt;Voies!N189-1,Constitution&gt;Voies!O189-1,Volonté&gt;Voies!P189-1,Force&gt;Voies!Q189-1,Perception&gt;Voies!R189-1,Reflexes&gt;Voies!S189-1,Agilité&gt;Voies!T189-1,Intuition&gt;Voies!U189-1,Intelligence&gt;Voies!V189-1,Souillure&gt;Voies!W189-1,Honneur&gt;X189-1,Statut&gt;Y189-1,Gloire&gt;Z189-1,AV189=TRUE),Voies!B189,"")</f>
        <v/>
      </c>
      <c r="B189" s="162" t="s">
        <v>2940</v>
      </c>
      <c r="C189" s="162" t="b">
        <f>IF(Clan=Voies!D189,TRUE,FALSE)</f>
        <v>0</v>
      </c>
      <c r="D189" s="387" t="s">
        <v>175</v>
      </c>
      <c r="E189" s="13">
        <v>1</v>
      </c>
      <c r="F189" s="199">
        <v>1</v>
      </c>
      <c r="G189" s="13" t="s">
        <v>2049</v>
      </c>
      <c r="H189" s="162" t="s">
        <v>194</v>
      </c>
      <c r="I189" s="129" t="str">
        <f t="shared" si="22"/>
        <v>Rien</v>
      </c>
      <c r="J189" s="146">
        <v>0</v>
      </c>
      <c r="K189" s="147">
        <v>0</v>
      </c>
      <c r="L189" s="148">
        <v>0</v>
      </c>
      <c r="M189" s="149">
        <v>0</v>
      </c>
      <c r="N189" s="150">
        <v>0</v>
      </c>
      <c r="O189" s="130">
        <v>0</v>
      </c>
      <c r="P189" s="130">
        <v>0</v>
      </c>
      <c r="Q189" s="130">
        <v>0</v>
      </c>
      <c r="R189" s="130">
        <v>0</v>
      </c>
      <c r="S189" s="130">
        <v>0</v>
      </c>
      <c r="T189" s="130">
        <v>0</v>
      </c>
      <c r="U189" s="130">
        <v>0</v>
      </c>
      <c r="V189" s="524">
        <v>0</v>
      </c>
      <c r="W189" s="130">
        <v>0</v>
      </c>
      <c r="X189" s="130">
        <v>0</v>
      </c>
      <c r="Y189" s="130">
        <v>0</v>
      </c>
      <c r="Z189" s="130">
        <v>0</v>
      </c>
      <c r="AA189" s="158" t="s">
        <v>2078</v>
      </c>
      <c r="AB189" s="158"/>
      <c r="AC189" s="158"/>
      <c r="AD189" s="158"/>
      <c r="AE189" s="158" t="b">
        <f>IF(AB189="",TRUE,IF(IF(AC189="",VLOOKUP(AB189,Calculs!$A$19:$S$425,19,FALSE),VLOOKUP(AC189,Calculs!$A$19:$S$425,19,FALSE))&gt;=AD189,TRUE,FALSE))</f>
        <v>1</v>
      </c>
      <c r="AF189" s="158"/>
      <c r="AG189" s="158"/>
      <c r="AH189" s="158"/>
      <c r="AI189" s="158" t="b">
        <f>IF(AF189="",TRUE,IF(IF(AG189="",VLOOKUP(AF189,Calculs!$A$19:$S$425,19,FALSE),VLOOKUP(AG189,Calculs!$A$19:$S$425,19,FALSE))&gt;=AH189,TRUE,FALSE))</f>
        <v>1</v>
      </c>
      <c r="AJ189" s="158"/>
      <c r="AK189" s="158"/>
      <c r="AL189" s="158"/>
      <c r="AM189" s="158" t="b">
        <f>IF(AJ189="",TRUE,IF(IF(AK189="",VLOOKUP(AJ189,Calculs!$A$19:$S$425,19,FALSE),VLOOKUP(AK189,Calculs!$A$19:$S$425,19,FALSE))&gt;=AL189,TRUE,FALSE))</f>
        <v>1</v>
      </c>
      <c r="AN189" s="158"/>
      <c r="AO189" s="158"/>
      <c r="AP189" s="158"/>
      <c r="AQ189" s="158" t="b">
        <f>IF(AN189="",TRUE,IF(IF(AO189="",VLOOKUP(AN189,Calculs!$A$19:$S$425,19,FALSE),VLOOKUP(AO189,Calculs!$A$19:$S$425,19,FALSE))&gt;=AP189,TRUE,FALSE))</f>
        <v>1</v>
      </c>
      <c r="AR189" s="158"/>
      <c r="AS189" s="158" t="b">
        <f>IF(AR189="",TRUE,IF(VLOOKUP(AR189,Calculs!$A$427:$G$738,7,FALSE)&gt;0,TRUE,FALSE))</f>
        <v>1</v>
      </c>
      <c r="AT189" s="158"/>
      <c r="AU189" s="158" t="b">
        <f>IF(AT189="",TRUE,IF(VLOOKUP(AT189,Calculs!$A$740:$G$912,7,FALSE)&gt;0,TRUE,FALSE))</f>
        <v>1</v>
      </c>
      <c r="AV189" s="158" t="b">
        <f t="shared" si="15"/>
        <v>1</v>
      </c>
      <c r="AW189" s="158" t="s">
        <v>2078</v>
      </c>
      <c r="AX189" s="162" t="s">
        <v>2077</v>
      </c>
      <c r="AY189" s="15">
        <v>148</v>
      </c>
      <c r="AZ189" s="555" t="s">
        <v>8501</v>
      </c>
      <c r="BA189" s="559">
        <f>IF(Verso!$B$10=Voies!$B189,1,0)</f>
        <v>0</v>
      </c>
      <c r="BB189" s="12">
        <f>IF(Verso!$B$11=Voies!$B189,1,0)</f>
        <v>0</v>
      </c>
      <c r="BC189" s="12">
        <f>IF(Verso!$B$12=Voies!$B189,1,0)</f>
        <v>0</v>
      </c>
      <c r="BD189" s="12">
        <f>IF(Verso!$B$13=Voies!$B189,1,0)</f>
        <v>0</v>
      </c>
      <c r="BE189" s="12">
        <f>IF(Verso!$B$14=Voies!$B189,1,0)</f>
        <v>0</v>
      </c>
      <c r="BF189" s="12">
        <f>IF(Verso!$B$15=Voies!$B189,1,0)</f>
        <v>0</v>
      </c>
      <c r="BG189" s="12">
        <f>IF(Verso!$B$16=Voies!$B189,1,0)</f>
        <v>0</v>
      </c>
      <c r="BH189" s="12">
        <f>IF(Verso!$B$17=Voies!$B189,1,0)</f>
        <v>0</v>
      </c>
      <c r="BI189" s="557">
        <f t="shared" si="16"/>
        <v>0</v>
      </c>
      <c r="BJ189" s="196" t="str">
        <f t="shared" si="17"/>
        <v/>
      </c>
      <c r="BK189" s="196" t="str">
        <f t="shared" si="18"/>
        <v/>
      </c>
      <c r="BL189" s="295" t="str">
        <f t="shared" si="19"/>
        <v/>
      </c>
    </row>
    <row r="190" spans="1:65" ht="47.25" customHeight="1" x14ac:dyDescent="0.25">
      <c r="A190" s="162" t="str">
        <f>IF(AND(Réputation&gt;Voies!E190-1,OR(C190=TRUE,Calculs!$I$8&gt;0),Air&gt;Voies!J190-1,Eau&gt;Voies!K190-1,Feu&gt;Voies!L190-1,Terre&gt;Voies!M190-1,Vide&gt;Voies!N190-1,Constitution&gt;Voies!O190-1,Volonté&gt;Voies!P190-1,Force&gt;Voies!Q190-1,Perception&gt;Voies!R190-1,Reflexes&gt;Voies!S190-1,Agilité&gt;Voies!T190-1,Intuition&gt;Voies!U190-1,Intelligence&gt;Voies!V190-1,Souillure&gt;Voies!W190-1,Honneur&gt;X190-1,Statut&gt;Y190-1,Gloire&gt;Z190-1,AV190=TRUE),Voies!B190,"")</f>
        <v/>
      </c>
      <c r="B190" s="162" t="s">
        <v>2608</v>
      </c>
      <c r="C190" s="162" t="b">
        <f>IF(Clan=Voies!D190,TRUE,FALSE)</f>
        <v>0</v>
      </c>
      <c r="D190" s="387" t="s">
        <v>175</v>
      </c>
      <c r="E190" s="13">
        <v>1</v>
      </c>
      <c r="F190" s="199">
        <v>1</v>
      </c>
      <c r="G190" s="13" t="s">
        <v>2049</v>
      </c>
      <c r="H190" s="162" t="s">
        <v>192</v>
      </c>
      <c r="I190" s="129" t="str">
        <f t="shared" si="22"/>
        <v>Rien</v>
      </c>
      <c r="J190" s="146">
        <v>0</v>
      </c>
      <c r="K190" s="147">
        <v>0</v>
      </c>
      <c r="L190" s="148">
        <v>0</v>
      </c>
      <c r="M190" s="149">
        <v>0</v>
      </c>
      <c r="N190" s="150">
        <v>0</v>
      </c>
      <c r="O190" s="130">
        <v>0</v>
      </c>
      <c r="P190" s="130">
        <v>0</v>
      </c>
      <c r="Q190" s="130">
        <v>0</v>
      </c>
      <c r="R190" s="130">
        <v>0</v>
      </c>
      <c r="S190" s="130">
        <v>0</v>
      </c>
      <c r="T190" s="130">
        <v>0</v>
      </c>
      <c r="U190" s="130">
        <v>0</v>
      </c>
      <c r="V190" s="524">
        <v>0</v>
      </c>
      <c r="W190" s="130">
        <v>0</v>
      </c>
      <c r="X190" s="130">
        <v>0</v>
      </c>
      <c r="Y190" s="130">
        <v>0</v>
      </c>
      <c r="Z190" s="130">
        <v>0</v>
      </c>
      <c r="AA190" s="158" t="s">
        <v>2078</v>
      </c>
      <c r="AB190" s="158"/>
      <c r="AC190" s="158"/>
      <c r="AD190" s="158"/>
      <c r="AE190" s="158" t="b">
        <f>IF(AB190="",TRUE,IF(IF(AC190="",VLOOKUP(AB190,Calculs!$A$19:$S$425,19,FALSE),VLOOKUP(AC190,Calculs!$A$19:$S$425,19,FALSE))&gt;=AD190,TRUE,FALSE))</f>
        <v>1</v>
      </c>
      <c r="AF190" s="158"/>
      <c r="AG190" s="158"/>
      <c r="AH190" s="158"/>
      <c r="AI190" s="158" t="b">
        <f>IF(AF190="",TRUE,IF(IF(AG190="",VLOOKUP(AF190,Calculs!$A$19:$S$425,19,FALSE),VLOOKUP(AG190,Calculs!$A$19:$S$425,19,FALSE))&gt;=AH190,TRUE,FALSE))</f>
        <v>1</v>
      </c>
      <c r="AJ190" s="158"/>
      <c r="AK190" s="158"/>
      <c r="AL190" s="158"/>
      <c r="AM190" s="158" t="b">
        <f>IF(AJ190="",TRUE,IF(IF(AK190="",VLOOKUP(AJ190,Calculs!$A$19:$S$425,19,FALSE),VLOOKUP(AK190,Calculs!$A$19:$S$425,19,FALSE))&gt;=AL190,TRUE,FALSE))</f>
        <v>1</v>
      </c>
      <c r="AN190" s="158"/>
      <c r="AO190" s="158"/>
      <c r="AP190" s="158"/>
      <c r="AQ190" s="158" t="b">
        <f>IF(AN190="",TRUE,IF(IF(AO190="",VLOOKUP(AN190,Calculs!$A$19:$S$425,19,FALSE),VLOOKUP(AO190,Calculs!$A$19:$S$425,19,FALSE))&gt;=AP190,TRUE,FALSE))</f>
        <v>1</v>
      </c>
      <c r="AR190" s="158"/>
      <c r="AS190" s="158" t="b">
        <f>IF(AR190="",TRUE,IF(VLOOKUP(AR190,Calculs!$A$427:$G$738,7,FALSE)&gt;0,TRUE,FALSE))</f>
        <v>1</v>
      </c>
      <c r="AT190" s="158"/>
      <c r="AU190" s="158" t="b">
        <f>IF(AT190="",TRUE,IF(VLOOKUP(AT190,Calculs!$A$740:$G$912,7,FALSE)&gt;0,TRUE,FALSE))</f>
        <v>1</v>
      </c>
      <c r="AV190" s="158" t="b">
        <f t="shared" si="15"/>
        <v>1</v>
      </c>
      <c r="AW190" s="158" t="s">
        <v>2078</v>
      </c>
      <c r="AX190" s="162" t="s">
        <v>5202</v>
      </c>
      <c r="AY190" s="15">
        <v>247</v>
      </c>
      <c r="AZ190" s="566" t="s">
        <v>8502</v>
      </c>
      <c r="BA190" s="559">
        <f>IF(Verso!$B$10=Voies!$B190,1,0)</f>
        <v>0</v>
      </c>
      <c r="BB190" s="12">
        <f>IF(Verso!$B$11=Voies!$B190,1,0)</f>
        <v>0</v>
      </c>
      <c r="BC190" s="12">
        <f>IF(Verso!$B$12=Voies!$B190,1,0)</f>
        <v>0</v>
      </c>
      <c r="BD190" s="12">
        <f>IF(Verso!$B$13=Voies!$B190,1,0)</f>
        <v>0</v>
      </c>
      <c r="BE190" s="12">
        <f>IF(Verso!$B$14=Voies!$B190,1,0)</f>
        <v>0</v>
      </c>
      <c r="BF190" s="12">
        <f>IF(Verso!$B$15=Voies!$B190,1,0)</f>
        <v>0</v>
      </c>
      <c r="BG190" s="12">
        <f>IF(Verso!$B$16=Voies!$B190,1,0)</f>
        <v>0</v>
      </c>
      <c r="BH190" s="12">
        <f>IF(Verso!$B$17=Voies!$B190,1,0)</f>
        <v>0</v>
      </c>
      <c r="BI190" s="557">
        <f t="shared" si="16"/>
        <v>0</v>
      </c>
      <c r="BJ190" s="196" t="str">
        <f t="shared" si="17"/>
        <v/>
      </c>
      <c r="BK190" s="196" t="str">
        <f t="shared" si="18"/>
        <v/>
      </c>
      <c r="BL190" s="295" t="str">
        <f t="shared" si="19"/>
        <v/>
      </c>
    </row>
    <row r="191" spans="1:65" ht="47.25" customHeight="1" x14ac:dyDescent="0.25">
      <c r="A191" s="162" t="str">
        <f>IF(AND(Réputation&gt;Voies!E191-1,OR(C191=TRUE,Calculs!$I$8&gt;0),Air&gt;Voies!J191-1,Eau&gt;Voies!K191-1,Feu&gt;Voies!L191-1,Terre&gt;Voies!M191-1,Vide&gt;Voies!N191-1,Constitution&gt;Voies!O191-1,Volonté&gt;Voies!P191-1,Force&gt;Voies!Q191-1,Perception&gt;Voies!R191-1,Reflexes&gt;Voies!S191-1,Agilité&gt;Voies!T191-1,Intuition&gt;Voies!U191-1,Intelligence&gt;Voies!V191-1,Souillure&gt;Voies!W191-1,Honneur&gt;X191-1,Statut&gt;Y191-1,Gloire&gt;Z191-1,AV191=TRUE),Voies!B191,"")</f>
        <v/>
      </c>
      <c r="B191" s="162" t="s">
        <v>2221</v>
      </c>
      <c r="C191" s="162" t="b">
        <f>IF(Clan=Voies!D191,TRUE,FALSE)</f>
        <v>0</v>
      </c>
      <c r="D191" s="387" t="s">
        <v>175</v>
      </c>
      <c r="E191" s="13">
        <v>1</v>
      </c>
      <c r="F191" s="199">
        <v>1</v>
      </c>
      <c r="G191" s="13" t="s">
        <v>2052</v>
      </c>
      <c r="H191" s="162" t="s">
        <v>195</v>
      </c>
      <c r="I191" s="129" t="str">
        <f t="shared" si="22"/>
        <v>Rien</v>
      </c>
      <c r="J191" s="146">
        <v>0</v>
      </c>
      <c r="K191" s="147">
        <v>0</v>
      </c>
      <c r="L191" s="148">
        <v>0</v>
      </c>
      <c r="M191" s="149">
        <v>0</v>
      </c>
      <c r="N191" s="150">
        <v>0</v>
      </c>
      <c r="O191" s="130">
        <v>0</v>
      </c>
      <c r="P191" s="130">
        <v>0</v>
      </c>
      <c r="Q191" s="130">
        <v>0</v>
      </c>
      <c r="R191" s="130">
        <v>0</v>
      </c>
      <c r="S191" s="130">
        <v>0</v>
      </c>
      <c r="T191" s="130">
        <v>0</v>
      </c>
      <c r="U191" s="130">
        <v>0</v>
      </c>
      <c r="V191" s="524">
        <v>0</v>
      </c>
      <c r="W191" s="130">
        <v>0</v>
      </c>
      <c r="X191" s="130">
        <v>0</v>
      </c>
      <c r="Y191" s="130">
        <v>0</v>
      </c>
      <c r="Z191" s="130">
        <v>0</v>
      </c>
      <c r="AA191" s="158" t="s">
        <v>2078</v>
      </c>
      <c r="AB191" s="158"/>
      <c r="AC191" s="158"/>
      <c r="AD191" s="158"/>
      <c r="AE191" s="158" t="b">
        <f>IF(AB191="",TRUE,IF(IF(AC191="",VLOOKUP(AB191,Calculs!$A$19:$S$425,19,FALSE),VLOOKUP(AC191,Calculs!$A$19:$S$425,19,FALSE))&gt;=AD191,TRUE,FALSE))</f>
        <v>1</v>
      </c>
      <c r="AF191" s="158"/>
      <c r="AG191" s="158"/>
      <c r="AH191" s="158"/>
      <c r="AI191" s="158" t="b">
        <f>IF(AF191="",TRUE,IF(IF(AG191="",VLOOKUP(AF191,Calculs!$A$19:$S$425,19,FALSE),VLOOKUP(AG191,Calculs!$A$19:$S$425,19,FALSE))&gt;=AH191,TRUE,FALSE))</f>
        <v>1</v>
      </c>
      <c r="AJ191" s="158"/>
      <c r="AK191" s="158"/>
      <c r="AL191" s="158"/>
      <c r="AM191" s="158" t="b">
        <f>IF(AJ191="",TRUE,IF(IF(AK191="",VLOOKUP(AJ191,Calculs!$A$19:$S$425,19,FALSE),VLOOKUP(AK191,Calculs!$A$19:$S$425,19,FALSE))&gt;=AL191,TRUE,FALSE))</f>
        <v>1</v>
      </c>
      <c r="AN191" s="158"/>
      <c r="AO191" s="158"/>
      <c r="AP191" s="158"/>
      <c r="AQ191" s="158" t="b">
        <f>IF(AN191="",TRUE,IF(IF(AO191="",VLOOKUP(AN191,Calculs!$A$19:$S$425,19,FALSE),VLOOKUP(AO191,Calculs!$A$19:$S$425,19,FALSE))&gt;=AP191,TRUE,FALSE))</f>
        <v>1</v>
      </c>
      <c r="AR191" s="158"/>
      <c r="AS191" s="158" t="b">
        <f>IF(AR191="",TRUE,IF(VLOOKUP(AR191,Calculs!$A$427:$G$738,7,FALSE)&gt;0,TRUE,FALSE))</f>
        <v>1</v>
      </c>
      <c r="AT191" s="158"/>
      <c r="AU191" s="158" t="b">
        <f>IF(AT191="",TRUE,IF(VLOOKUP(AT191,Calculs!$A$740:$G$912,7,FALSE)&gt;0,TRUE,FALSE))</f>
        <v>1</v>
      </c>
      <c r="AV191" s="158" t="b">
        <f t="shared" si="15"/>
        <v>1</v>
      </c>
      <c r="AW191" s="158" t="s">
        <v>2078</v>
      </c>
      <c r="AX191" s="162" t="s">
        <v>3</v>
      </c>
      <c r="AY191" s="15">
        <v>107</v>
      </c>
      <c r="AZ191" s="555" t="s">
        <v>2222</v>
      </c>
      <c r="BA191" s="559">
        <f>IF(Verso!$B$10=Voies!$B191,1,0)</f>
        <v>0</v>
      </c>
      <c r="BB191" s="12">
        <f>IF(Verso!$B$11=Voies!$B191,1,0)</f>
        <v>0</v>
      </c>
      <c r="BC191" s="12">
        <f>IF(Verso!$B$12=Voies!$B191,1,0)</f>
        <v>0</v>
      </c>
      <c r="BD191" s="12">
        <f>IF(Verso!$B$13=Voies!$B191,1,0)</f>
        <v>0</v>
      </c>
      <c r="BE191" s="12">
        <f>IF(Verso!$B$14=Voies!$B191,1,0)</f>
        <v>0</v>
      </c>
      <c r="BF191" s="12">
        <f>IF(Verso!$B$15=Voies!$B191,1,0)</f>
        <v>0</v>
      </c>
      <c r="BG191" s="12">
        <f>IF(Verso!$B$16=Voies!$B191,1,0)</f>
        <v>0</v>
      </c>
      <c r="BH191" s="12">
        <f>IF(Verso!$B$17=Voies!$B191,1,0)</f>
        <v>0</v>
      </c>
      <c r="BI191" s="557">
        <f t="shared" si="16"/>
        <v>0</v>
      </c>
      <c r="BJ191" s="196" t="str">
        <f t="shared" si="17"/>
        <v/>
      </c>
      <c r="BK191" s="196" t="str">
        <f t="shared" si="18"/>
        <v/>
      </c>
      <c r="BL191" s="295" t="str">
        <f t="shared" si="19"/>
        <v/>
      </c>
    </row>
    <row r="192" spans="1:65" ht="47.25" customHeight="1" x14ac:dyDescent="0.25">
      <c r="A192" s="162" t="str">
        <f>IF(AND(Réputation&gt;Voies!E192-1,OR(C192=TRUE,Calculs!$I$8&gt;0),Air&gt;Voies!J192-1,Eau&gt;Voies!K192-1,Feu&gt;Voies!L192-1,Terre&gt;Voies!M192-1,Vide&gt;Voies!N192-1,Constitution&gt;Voies!O192-1,Volonté&gt;Voies!P192-1,Force&gt;Voies!Q192-1,Perception&gt;Voies!R192-1,Reflexes&gt;Voies!S192-1,Agilité&gt;Voies!T192-1,Intuition&gt;Voies!U192-1,Intelligence&gt;Voies!V192-1,Souillure&gt;Voies!W192-1,Honneur&gt;X192-1,Statut&gt;Y192-1,Gloire&gt;Z192-1,AV192=TRUE),Voies!B192,"")</f>
        <v/>
      </c>
      <c r="B192" s="162" t="s">
        <v>6037</v>
      </c>
      <c r="C192" s="162" t="b">
        <f>IF(Clan=Voies!D192,TRUE,FALSE)</f>
        <v>0</v>
      </c>
      <c r="D192" s="387" t="s">
        <v>175</v>
      </c>
      <c r="E192" s="13">
        <v>1</v>
      </c>
      <c r="F192" s="199">
        <v>1</v>
      </c>
      <c r="G192" s="13" t="s">
        <v>2050</v>
      </c>
      <c r="H192" s="162" t="s">
        <v>6036</v>
      </c>
      <c r="I192" s="129" t="str">
        <f t="shared" si="22"/>
        <v>Rien</v>
      </c>
      <c r="J192" s="146">
        <v>0</v>
      </c>
      <c r="K192" s="147">
        <v>0</v>
      </c>
      <c r="L192" s="148">
        <v>0</v>
      </c>
      <c r="M192" s="149">
        <v>0</v>
      </c>
      <c r="N192" s="150">
        <v>0</v>
      </c>
      <c r="O192" s="130">
        <v>0</v>
      </c>
      <c r="P192" s="130">
        <v>0</v>
      </c>
      <c r="Q192" s="130">
        <v>0</v>
      </c>
      <c r="R192" s="130">
        <v>0</v>
      </c>
      <c r="S192" s="130">
        <v>0</v>
      </c>
      <c r="T192" s="130">
        <v>0</v>
      </c>
      <c r="U192" s="130">
        <v>0</v>
      </c>
      <c r="V192" s="524">
        <v>0</v>
      </c>
      <c r="W192" s="130">
        <v>0</v>
      </c>
      <c r="X192" s="130">
        <v>0</v>
      </c>
      <c r="Y192" s="130">
        <v>0</v>
      </c>
      <c r="Z192" s="130">
        <v>0</v>
      </c>
      <c r="AA192" s="158" t="s">
        <v>2078</v>
      </c>
      <c r="AB192" s="158"/>
      <c r="AC192" s="158"/>
      <c r="AD192" s="158"/>
      <c r="AE192" s="158" t="b">
        <f>IF(AB192="",TRUE,IF(IF(AC192="",VLOOKUP(AB192,Calculs!$A$19:$S$425,19,FALSE),VLOOKUP(AC192,Calculs!$A$19:$S$425,19,FALSE))&gt;=AD192,TRUE,FALSE))</f>
        <v>1</v>
      </c>
      <c r="AF192" s="158"/>
      <c r="AG192" s="158"/>
      <c r="AH192" s="158"/>
      <c r="AI192" s="158" t="b">
        <f>IF(AF192="",TRUE,IF(IF(AG192="",VLOOKUP(AF192,Calculs!$A$19:$S$425,19,FALSE),VLOOKUP(AG192,Calculs!$A$19:$S$425,19,FALSE))&gt;=AH192,TRUE,FALSE))</f>
        <v>1</v>
      </c>
      <c r="AJ192" s="158"/>
      <c r="AK192" s="158"/>
      <c r="AL192" s="158"/>
      <c r="AM192" s="158" t="b">
        <f>IF(AJ192="",TRUE,IF(IF(AK192="",VLOOKUP(AJ192,Calculs!$A$19:$S$425,19,FALSE),VLOOKUP(AK192,Calculs!$A$19:$S$425,19,FALSE))&gt;=AL192,TRUE,FALSE))</f>
        <v>1</v>
      </c>
      <c r="AN192" s="158"/>
      <c r="AO192" s="158"/>
      <c r="AP192" s="158"/>
      <c r="AQ192" s="158" t="b">
        <f>IF(AN192="",TRUE,IF(IF(AO192="",VLOOKUP(AN192,Calculs!$A$19:$S$425,19,FALSE),VLOOKUP(AO192,Calculs!$A$19:$S$425,19,FALSE))&gt;=AP192,TRUE,FALSE))</f>
        <v>1</v>
      </c>
      <c r="AR192" s="158"/>
      <c r="AS192" s="158" t="b">
        <f>IF(AR192="",TRUE,IF(VLOOKUP(AR192,Calculs!$A$427:$G$738,7,FALSE)&gt;0,TRUE,FALSE))</f>
        <v>1</v>
      </c>
      <c r="AT192" s="158"/>
      <c r="AU192" s="158" t="b">
        <f>IF(AT192="",TRUE,IF(VLOOKUP(AT192,Calculs!$A$740:$G$912,7,FALSE)&gt;0,TRUE,FALSE))</f>
        <v>1</v>
      </c>
      <c r="AV192" s="158" t="b">
        <f t="shared" si="15"/>
        <v>1</v>
      </c>
      <c r="AW192" s="158" t="s">
        <v>2078</v>
      </c>
      <c r="AX192" s="162" t="s">
        <v>6061</v>
      </c>
      <c r="AY192" s="15">
        <v>39</v>
      </c>
      <c r="AZ192" s="555" t="s">
        <v>3502</v>
      </c>
      <c r="BA192" s="559">
        <f>IF(Verso!$B$10=Voies!$B192,1,0)</f>
        <v>0</v>
      </c>
      <c r="BB192" s="12">
        <f>IF(Verso!$B$11=Voies!$B192,1,0)</f>
        <v>0</v>
      </c>
      <c r="BC192" s="12">
        <f>IF(Verso!$B$12=Voies!$B192,1,0)</f>
        <v>0</v>
      </c>
      <c r="BD192" s="12">
        <f>IF(Verso!$B$13=Voies!$B192,1,0)</f>
        <v>0</v>
      </c>
      <c r="BE192" s="12">
        <f>IF(Verso!$B$14=Voies!$B192,1,0)</f>
        <v>0</v>
      </c>
      <c r="BF192" s="12">
        <f>IF(Verso!$B$15=Voies!$B192,1,0)</f>
        <v>0</v>
      </c>
      <c r="BG192" s="12">
        <f>IF(Verso!$B$16=Voies!$B192,1,0)</f>
        <v>0</v>
      </c>
      <c r="BH192" s="12">
        <f>IF(Verso!$B$17=Voies!$B192,1,0)</f>
        <v>0</v>
      </c>
      <c r="BI192" s="557">
        <f t="shared" si="16"/>
        <v>0</v>
      </c>
      <c r="BJ192" s="196" t="str">
        <f t="shared" si="17"/>
        <v/>
      </c>
      <c r="BK192" s="196" t="str">
        <f t="shared" si="18"/>
        <v/>
      </c>
      <c r="BL192" s="295" t="str">
        <f t="shared" si="19"/>
        <v/>
      </c>
    </row>
    <row r="193" spans="1:65" ht="47.25" customHeight="1" x14ac:dyDescent="0.25">
      <c r="A193" s="162" t="str">
        <f>IF(AND(Réputation&gt;Voies!E193-1,OR(C193=TRUE,Calculs!$I$8&gt;0),Air&gt;Voies!J193-1,Eau&gt;Voies!K193-1,Feu&gt;Voies!L193-1,Terre&gt;Voies!M193-1,Vide&gt;Voies!N193-1,Constitution&gt;Voies!O193-1,Volonté&gt;Voies!P193-1,Force&gt;Voies!Q193-1,Perception&gt;Voies!R193-1,Reflexes&gt;Voies!S193-1,Agilité&gt;Voies!T193-1,Intuition&gt;Voies!U193-1,Intelligence&gt;Voies!V193-1,Souillure&gt;Voies!W193-1,Honneur&gt;X193-1,Statut&gt;Y193-1,Gloire&gt;Z193-1,AV193=TRUE),Voies!B193,"")</f>
        <v/>
      </c>
      <c r="B193" s="162" t="s">
        <v>2219</v>
      </c>
      <c r="C193" s="162" t="b">
        <f>IF(Clan=Voies!D193,TRUE,FALSE)</f>
        <v>0</v>
      </c>
      <c r="D193" s="387" t="s">
        <v>175</v>
      </c>
      <c r="E193" s="13">
        <v>1</v>
      </c>
      <c r="F193" s="199">
        <v>1</v>
      </c>
      <c r="G193" s="13" t="s">
        <v>2048</v>
      </c>
      <c r="H193" s="162" t="s">
        <v>308</v>
      </c>
      <c r="I193" s="129" t="str">
        <f t="shared" si="22"/>
        <v>Rien</v>
      </c>
      <c r="J193" s="146">
        <v>0</v>
      </c>
      <c r="K193" s="147">
        <v>0</v>
      </c>
      <c r="L193" s="148">
        <v>0</v>
      </c>
      <c r="M193" s="149">
        <v>0</v>
      </c>
      <c r="N193" s="150">
        <v>0</v>
      </c>
      <c r="O193" s="130">
        <v>0</v>
      </c>
      <c r="P193" s="130">
        <v>0</v>
      </c>
      <c r="Q193" s="130">
        <v>0</v>
      </c>
      <c r="R193" s="130">
        <v>0</v>
      </c>
      <c r="S193" s="130">
        <v>0</v>
      </c>
      <c r="T193" s="130">
        <v>0</v>
      </c>
      <c r="U193" s="130">
        <v>0</v>
      </c>
      <c r="V193" s="524">
        <v>0</v>
      </c>
      <c r="W193" s="130">
        <v>0</v>
      </c>
      <c r="X193" s="130">
        <v>0</v>
      </c>
      <c r="Y193" s="130">
        <v>0</v>
      </c>
      <c r="Z193" s="130">
        <v>0</v>
      </c>
      <c r="AA193" s="158" t="s">
        <v>2078</v>
      </c>
      <c r="AB193" s="158"/>
      <c r="AC193" s="158"/>
      <c r="AD193" s="158"/>
      <c r="AE193" s="158" t="b">
        <f>IF(AB193="",TRUE,IF(IF(AC193="",VLOOKUP(AB193,Calculs!$A$19:$S$425,19,FALSE),VLOOKUP(AC193,Calculs!$A$19:$S$425,19,FALSE))&gt;=AD193,TRUE,FALSE))</f>
        <v>1</v>
      </c>
      <c r="AF193" s="158"/>
      <c r="AG193" s="158"/>
      <c r="AH193" s="158"/>
      <c r="AI193" s="158" t="b">
        <f>IF(AF193="",TRUE,IF(IF(AG193="",VLOOKUP(AF193,Calculs!$A$19:$S$425,19,FALSE),VLOOKUP(AG193,Calculs!$A$19:$S$425,19,FALSE))&gt;=AH193,TRUE,FALSE))</f>
        <v>1</v>
      </c>
      <c r="AJ193" s="158"/>
      <c r="AK193" s="158"/>
      <c r="AL193" s="158"/>
      <c r="AM193" s="158" t="b">
        <f>IF(AJ193="",TRUE,IF(IF(AK193="",VLOOKUP(AJ193,Calculs!$A$19:$S$425,19,FALSE),VLOOKUP(AK193,Calculs!$A$19:$S$425,19,FALSE))&gt;=AL193,TRUE,FALSE))</f>
        <v>1</v>
      </c>
      <c r="AN193" s="158"/>
      <c r="AO193" s="158"/>
      <c r="AP193" s="158"/>
      <c r="AQ193" s="158" t="b">
        <f>IF(AN193="",TRUE,IF(IF(AO193="",VLOOKUP(AN193,Calculs!$A$19:$S$425,19,FALSE),VLOOKUP(AO193,Calculs!$A$19:$S$425,19,FALSE))&gt;=AP193,TRUE,FALSE))</f>
        <v>1</v>
      </c>
      <c r="AR193" s="158"/>
      <c r="AS193" s="158" t="b">
        <f>IF(AR193="",TRUE,IF(VLOOKUP(AR193,Calculs!$A$427:$G$738,7,FALSE)&gt;0,TRUE,FALSE))</f>
        <v>1</v>
      </c>
      <c r="AT193" s="158"/>
      <c r="AU193" s="158" t="b">
        <f>IF(AT193="",TRUE,IF(VLOOKUP(AT193,Calculs!$A$740:$G$912,7,FALSE)&gt;0,TRUE,FALSE))</f>
        <v>1</v>
      </c>
      <c r="AV193" s="158" t="b">
        <f t="shared" si="15"/>
        <v>1</v>
      </c>
      <c r="AW193" s="158" t="s">
        <v>2078</v>
      </c>
      <c r="AX193" s="162" t="s">
        <v>3</v>
      </c>
      <c r="AY193" s="15">
        <v>107</v>
      </c>
      <c r="AZ193" s="566" t="s">
        <v>8503</v>
      </c>
      <c r="BA193" s="559">
        <f>IF(Verso!$B$10=Voies!$B193,1,0)</f>
        <v>0</v>
      </c>
      <c r="BB193" s="12">
        <f>IF(Verso!$B$11=Voies!$B193,1,0)</f>
        <v>0</v>
      </c>
      <c r="BC193" s="12">
        <f>IF(Verso!$B$12=Voies!$B193,1,0)</f>
        <v>0</v>
      </c>
      <c r="BD193" s="12">
        <f>IF(Verso!$B$13=Voies!$B193,1,0)</f>
        <v>0</v>
      </c>
      <c r="BE193" s="12">
        <f>IF(Verso!$B$14=Voies!$B193,1,0)</f>
        <v>0</v>
      </c>
      <c r="BF193" s="12">
        <f>IF(Verso!$B$15=Voies!$B193,1,0)</f>
        <v>0</v>
      </c>
      <c r="BG193" s="12">
        <f>IF(Verso!$B$16=Voies!$B193,1,0)</f>
        <v>0</v>
      </c>
      <c r="BH193" s="12">
        <f>IF(Verso!$B$17=Voies!$B193,1,0)</f>
        <v>0</v>
      </c>
      <c r="BI193" s="557">
        <f t="shared" si="16"/>
        <v>0</v>
      </c>
      <c r="BJ193" s="196" t="str">
        <f t="shared" si="17"/>
        <v/>
      </c>
      <c r="BK193" s="196" t="str">
        <f t="shared" si="18"/>
        <v/>
      </c>
      <c r="BL193" s="295" t="str">
        <f t="shared" si="19"/>
        <v/>
      </c>
    </row>
    <row r="194" spans="1:65" ht="47.25" customHeight="1" x14ac:dyDescent="0.25">
      <c r="A194" s="162" t="str">
        <f>IF(AND(Réputation&gt;Voies!E194-1,OR(C194=TRUE,Calculs!$I$8&gt;0),Air&gt;Voies!J194-1,Eau&gt;Voies!K194-1,Feu&gt;Voies!L194-1,Terre&gt;Voies!M194-1,Vide&gt;Voies!N194-1,Constitution&gt;Voies!O194-1,Volonté&gt;Voies!P194-1,Force&gt;Voies!Q194-1,Perception&gt;Voies!R194-1,Reflexes&gt;Voies!S194-1,Agilité&gt;Voies!T194-1,Intuition&gt;Voies!U194-1,Intelligence&gt;Voies!V194-1,Souillure&gt;Voies!W194-1,Honneur&gt;X194-1,Statut&gt;Y194-1,Gloire&gt;Z194-1,AV194=TRUE),Voies!B194,"")</f>
        <v/>
      </c>
      <c r="B194" s="162" t="s">
        <v>6034</v>
      </c>
      <c r="C194" s="162" t="b">
        <f>IF(Clan=Voies!D194,TRUE,FALSE)</f>
        <v>0</v>
      </c>
      <c r="D194" s="387" t="s">
        <v>175</v>
      </c>
      <c r="E194" s="13">
        <v>2</v>
      </c>
      <c r="F194" s="199">
        <v>2</v>
      </c>
      <c r="G194" s="13" t="s">
        <v>2055</v>
      </c>
      <c r="H194" s="219" t="s">
        <v>3490</v>
      </c>
      <c r="I194" s="129" t="str">
        <f t="shared" si="22"/>
        <v>Rien</v>
      </c>
      <c r="J194" s="146">
        <v>0</v>
      </c>
      <c r="K194" s="147">
        <v>0</v>
      </c>
      <c r="L194" s="148">
        <v>0</v>
      </c>
      <c r="M194" s="149">
        <v>0</v>
      </c>
      <c r="N194" s="150">
        <v>0</v>
      </c>
      <c r="O194" s="130">
        <v>0</v>
      </c>
      <c r="P194" s="130">
        <v>0</v>
      </c>
      <c r="Q194" s="130">
        <v>0</v>
      </c>
      <c r="R194" s="130">
        <v>0</v>
      </c>
      <c r="S194" s="130">
        <v>0</v>
      </c>
      <c r="T194" s="130">
        <v>0</v>
      </c>
      <c r="U194" s="130">
        <v>0</v>
      </c>
      <c r="V194" s="524">
        <v>0</v>
      </c>
      <c r="W194" s="130">
        <v>0</v>
      </c>
      <c r="X194" s="130">
        <v>0</v>
      </c>
      <c r="Y194" s="130">
        <v>0</v>
      </c>
      <c r="Z194" s="130">
        <v>0</v>
      </c>
      <c r="AA194" s="158" t="s">
        <v>2078</v>
      </c>
      <c r="AB194" s="158"/>
      <c r="AC194" s="158"/>
      <c r="AD194" s="158"/>
      <c r="AE194" s="158" t="b">
        <f>IF(AB194="",TRUE,IF(IF(AC194="",VLOOKUP(AB194,Calculs!$A$19:$S$425,19,FALSE),VLOOKUP(AC194,Calculs!$A$19:$S$425,19,FALSE))&gt;=AD194,TRUE,FALSE))</f>
        <v>1</v>
      </c>
      <c r="AF194" s="158"/>
      <c r="AG194" s="158"/>
      <c r="AH194" s="158"/>
      <c r="AI194" s="158" t="b">
        <f>IF(AF194="",TRUE,IF(IF(AG194="",VLOOKUP(AF194,Calculs!$A$19:$S$425,19,FALSE),VLOOKUP(AG194,Calculs!$A$19:$S$425,19,FALSE))&gt;=AH194,TRUE,FALSE))</f>
        <v>1</v>
      </c>
      <c r="AJ194" s="158"/>
      <c r="AK194" s="158"/>
      <c r="AL194" s="158"/>
      <c r="AM194" s="158" t="b">
        <f>IF(AJ194="",TRUE,IF(IF(AK194="",VLOOKUP(AJ194,Calculs!$A$19:$S$425,19,FALSE),VLOOKUP(AK194,Calculs!$A$19:$S$425,19,FALSE))&gt;=AL194,TRUE,FALSE))</f>
        <v>1</v>
      </c>
      <c r="AN194" s="158"/>
      <c r="AO194" s="158"/>
      <c r="AP194" s="158"/>
      <c r="AQ194" s="158" t="b">
        <f>IF(AN194="",TRUE,IF(IF(AO194="",VLOOKUP(AN194,Calculs!$A$19:$S$425,19,FALSE),VLOOKUP(AO194,Calculs!$A$19:$S$425,19,FALSE))&gt;=AP194,TRUE,FALSE))</f>
        <v>1</v>
      </c>
      <c r="AR194" s="158"/>
      <c r="AS194" s="158" t="b">
        <f>IF(AR194="",TRUE,IF(VLOOKUP(AR194,Calculs!$A$427:$G$738,7,FALSE)&gt;0,TRUE,FALSE))</f>
        <v>1</v>
      </c>
      <c r="AT194" s="158"/>
      <c r="AU194" s="158" t="b">
        <f>IF(AT194="",TRUE,IF(VLOOKUP(AT194,Calculs!$A$740:$G$912,7,FALSE)&gt;0,TRUE,FALSE))</f>
        <v>1</v>
      </c>
      <c r="AV194" s="158" t="b">
        <f t="shared" si="15"/>
        <v>1</v>
      </c>
      <c r="AW194" s="158" t="s">
        <v>2078</v>
      </c>
      <c r="AX194" s="162" t="s">
        <v>6061</v>
      </c>
      <c r="AY194" s="15">
        <v>39</v>
      </c>
      <c r="AZ194" s="555" t="str">
        <f>CONCATENATE("Lors de la construction toute grande structure, Test d'Ingénierie ND 25 pr ajouter ",Terre*100," dommages suppl. à la structure. Vs pouvez relancer tt dé de Dommages d'une arme de siège que vous commandez et dont le résultat serait inférieur à ",Réputation)</f>
        <v>Lors de la construction toute grande structure, Test d'Ingénierie ND 25 pr ajouter 200 dommages suppl. à la structure. Vs pouvez relancer tt dé de Dommages d'une arme de siège que vous commandez et dont le résultat serait inférieur à 1</v>
      </c>
      <c r="BA194" s="559">
        <f>IF(Verso!$B$10=Voies!$B194,1,0)</f>
        <v>0</v>
      </c>
      <c r="BB194" s="12">
        <f>IF(Verso!$B$11=Voies!$B194,1,0)</f>
        <v>0</v>
      </c>
      <c r="BC194" s="12">
        <f>IF(Verso!$B$12=Voies!$B194,1,0)</f>
        <v>0</v>
      </c>
      <c r="BD194" s="12">
        <f>IF(Verso!$B$13=Voies!$B194,1,0)</f>
        <v>0</v>
      </c>
      <c r="BE194" s="12">
        <f>IF(Verso!$B$14=Voies!$B194,1,0)</f>
        <v>0</v>
      </c>
      <c r="BF194" s="12">
        <f>IF(Verso!$B$15=Voies!$B194,1,0)</f>
        <v>0</v>
      </c>
      <c r="BG194" s="12">
        <f>IF(Verso!$B$16=Voies!$B194,1,0)</f>
        <v>0</v>
      </c>
      <c r="BH194" s="12">
        <f>IF(Verso!$B$17=Voies!$B194,1,0)</f>
        <v>0</v>
      </c>
      <c r="BI194" s="557">
        <f t="shared" si="16"/>
        <v>0</v>
      </c>
      <c r="BJ194" s="196" t="str">
        <f t="shared" si="17"/>
        <v/>
      </c>
      <c r="BK194" s="196" t="str">
        <f t="shared" si="18"/>
        <v/>
      </c>
      <c r="BL194" s="295" t="str">
        <f t="shared" si="19"/>
        <v/>
      </c>
    </row>
    <row r="195" spans="1:65" ht="47.25" customHeight="1" x14ac:dyDescent="0.25">
      <c r="A195" s="162" t="str">
        <f>IF(AND(Réputation&gt;Voies!E195-1,OR(C195=TRUE,Calculs!$I$8&gt;0),Air&gt;Voies!J195-1,Eau&gt;Voies!K195-1,Feu&gt;Voies!L195-1,Terre&gt;Voies!M195-1,Vide&gt;Voies!N195-1,Constitution&gt;Voies!O195-1,Volonté&gt;Voies!P195-1,Force&gt;Voies!Q195-1,Perception&gt;Voies!R195-1,Reflexes&gt;Voies!S195-1,Agilité&gt;Voies!T195-1,Intuition&gt;Voies!U195-1,Intelligence&gt;Voies!V195-1,Souillure&gt;Voies!W195-1,Honneur&gt;X195-1,Statut&gt;Y195-1,Gloire&gt;Z195-1,AV195=TRUE),Voies!B195,"")</f>
        <v/>
      </c>
      <c r="B195" s="162" t="s">
        <v>3133</v>
      </c>
      <c r="C195" s="162" t="b">
        <f>IF(Clan=Voies!D195,TRUE,FALSE)</f>
        <v>0</v>
      </c>
      <c r="D195" s="387" t="s">
        <v>175</v>
      </c>
      <c r="E195" s="13">
        <v>2</v>
      </c>
      <c r="F195" s="199">
        <v>2</v>
      </c>
      <c r="G195" s="13" t="s">
        <v>2049</v>
      </c>
      <c r="H195" s="162" t="s">
        <v>3132</v>
      </c>
      <c r="I195" s="129" t="s">
        <v>3135</v>
      </c>
      <c r="J195" s="146">
        <v>0</v>
      </c>
      <c r="K195" s="147">
        <v>0</v>
      </c>
      <c r="L195" s="148">
        <v>0</v>
      </c>
      <c r="M195" s="149">
        <v>4</v>
      </c>
      <c r="N195" s="150">
        <v>0</v>
      </c>
      <c r="O195" s="130">
        <v>0</v>
      </c>
      <c r="P195" s="130">
        <v>0</v>
      </c>
      <c r="Q195" s="130">
        <v>0</v>
      </c>
      <c r="R195" s="130">
        <v>0</v>
      </c>
      <c r="S195" s="130">
        <v>0</v>
      </c>
      <c r="T195" s="130">
        <v>0</v>
      </c>
      <c r="U195" s="130">
        <v>0</v>
      </c>
      <c r="V195" s="524">
        <v>0</v>
      </c>
      <c r="W195" s="130">
        <v>0</v>
      </c>
      <c r="X195" s="130">
        <v>0</v>
      </c>
      <c r="Y195" s="130">
        <v>0</v>
      </c>
      <c r="Z195" s="130">
        <v>0</v>
      </c>
      <c r="AA195" s="158" t="s">
        <v>2078</v>
      </c>
      <c r="AB195" s="158"/>
      <c r="AC195" s="158"/>
      <c r="AD195" s="158"/>
      <c r="AE195" s="158" t="b">
        <f>IF(AB195="",TRUE,IF(IF(AC195="",VLOOKUP(AB195,Calculs!$A$19:$S$425,19,FALSE),VLOOKUP(AC195,Calculs!$A$19:$S$425,19,FALSE))&gt;=AD195,TRUE,FALSE))</f>
        <v>1</v>
      </c>
      <c r="AF195" s="158"/>
      <c r="AG195" s="158"/>
      <c r="AH195" s="158"/>
      <c r="AI195" s="158" t="b">
        <f>IF(AF195="",TRUE,IF(IF(AG195="",VLOOKUP(AF195,Calculs!$A$19:$S$425,19,FALSE),VLOOKUP(AG195,Calculs!$A$19:$S$425,19,FALSE))&gt;=AH195,TRUE,FALSE))</f>
        <v>1</v>
      </c>
      <c r="AJ195" s="158"/>
      <c r="AK195" s="158"/>
      <c r="AL195" s="158"/>
      <c r="AM195" s="158" t="b">
        <f>IF(AJ195="",TRUE,IF(IF(AK195="",VLOOKUP(AJ195,Calculs!$A$19:$S$425,19,FALSE),VLOOKUP(AK195,Calculs!$A$19:$S$425,19,FALSE))&gt;=AL195,TRUE,FALSE))</f>
        <v>1</v>
      </c>
      <c r="AN195" s="158"/>
      <c r="AO195" s="158"/>
      <c r="AP195" s="158"/>
      <c r="AQ195" s="158" t="b">
        <f>IF(AN195="",TRUE,IF(IF(AO195="",VLOOKUP(AN195,Calculs!$A$19:$S$425,19,FALSE),VLOOKUP(AO195,Calculs!$A$19:$S$425,19,FALSE))&gt;=AP195,TRUE,FALSE))</f>
        <v>1</v>
      </c>
      <c r="AR195" s="158"/>
      <c r="AS195" s="158" t="b">
        <f>IF(AR195="",TRUE,IF(VLOOKUP(AR195,Calculs!$A$427:$G$738,7,FALSE)&gt;0,TRUE,FALSE))</f>
        <v>1</v>
      </c>
      <c r="AT195" s="158"/>
      <c r="AU195" s="158" t="b">
        <f>IF(AT195="",TRUE,IF(VLOOKUP(AT195,Calculs!$A$740:$G$912,7,FALSE)&gt;0,TRUE,FALSE))</f>
        <v>1</v>
      </c>
      <c r="AV195" s="158" t="b">
        <f t="shared" ref="AV195:AV258" si="23">IF(AND(AE195=TRUE,AI195=TRUE,AM195=TRUE,AQ195=TRUE,AS195=TRUE,AU195=TRUE),TRUE,FALSE)</f>
        <v>1</v>
      </c>
      <c r="AW195" s="158" t="s">
        <v>2078</v>
      </c>
      <c r="AX195" s="162" t="s">
        <v>3</v>
      </c>
      <c r="AY195" s="15">
        <v>251</v>
      </c>
      <c r="AZ195" s="555" t="str">
        <f>CONCATENATE("Pendant ",Terre*2," Rounds: Ignorez les malus de Rg. de Blessures et +2g1 aux jets d'attaque. Vs ne pouvez adopter de posture du Centre, de Défense et d'Esquive ni utiliser d'autre compétence que celles de Bugei")</f>
        <v>Pendant 4 Rounds: Ignorez les malus de Rg. de Blessures et +2g1 aux jets d'attaque. Vs ne pouvez adopter de posture du Centre, de Défense et d'Esquive ni utiliser d'autre compétence que celles de Bugei</v>
      </c>
      <c r="BA195" s="559">
        <f>IF(Verso!$B$10=Voies!$B195,1,0)</f>
        <v>0</v>
      </c>
      <c r="BB195" s="12">
        <f>IF(Verso!$B$11=Voies!$B195,1,0)</f>
        <v>0</v>
      </c>
      <c r="BC195" s="12">
        <f>IF(Verso!$B$12=Voies!$B195,1,0)</f>
        <v>0</v>
      </c>
      <c r="BD195" s="12">
        <f>IF(Verso!$B$13=Voies!$B195,1,0)</f>
        <v>0</v>
      </c>
      <c r="BE195" s="12">
        <f>IF(Verso!$B$14=Voies!$B195,1,0)</f>
        <v>0</v>
      </c>
      <c r="BF195" s="12">
        <f>IF(Verso!$B$15=Voies!$B195,1,0)</f>
        <v>0</v>
      </c>
      <c r="BG195" s="12">
        <f>IF(Verso!$B$16=Voies!$B195,1,0)</f>
        <v>0</v>
      </c>
      <c r="BH195" s="12">
        <f>IF(Verso!$B$17=Voies!$B195,1,0)</f>
        <v>0</v>
      </c>
      <c r="BI195" s="557">
        <f t="shared" ref="BI195:BI258" si="24">SUM(BA195:BH195)</f>
        <v>0</v>
      </c>
      <c r="BJ195" s="196" t="str">
        <f t="shared" si="17"/>
        <v/>
      </c>
      <c r="BK195" s="196" t="str">
        <f t="shared" si="18"/>
        <v/>
      </c>
      <c r="BL195" s="295" t="str">
        <f t="shared" si="19"/>
        <v/>
      </c>
    </row>
    <row r="196" spans="1:65" ht="47.25" customHeight="1" x14ac:dyDescent="0.25">
      <c r="A196" s="162" t="str">
        <f>IF(AND(Réputation&gt;Voies!E196-1,OR(C196=TRUE,Calculs!$I$8&gt;0),Air&gt;Voies!J196-1,Eau&gt;Voies!K196-1,Feu&gt;Voies!L196-1,Terre&gt;Voies!M196-1,Vide&gt;Voies!N196-1,Constitution&gt;Voies!O196-1,Volonté&gt;Voies!P196-1,Force&gt;Voies!Q196-1,Perception&gt;Voies!R196-1,Reflexes&gt;Voies!S196-1,Agilité&gt;Voies!T196-1,Intuition&gt;Voies!U196-1,Intelligence&gt;Voies!V196-1,Souillure&gt;Voies!W196-1,Honneur&gt;X196-1,Statut&gt;Y196-1,Gloire&gt;Z196-1,AV196=TRUE),Voies!B196,"")</f>
        <v/>
      </c>
      <c r="B196" s="162" t="s">
        <v>2211</v>
      </c>
      <c r="C196" s="162" t="b">
        <f>IF(Clan=Voies!D196,TRUE,FALSE)</f>
        <v>0</v>
      </c>
      <c r="D196" s="387" t="s">
        <v>175</v>
      </c>
      <c r="E196" s="13">
        <v>2</v>
      </c>
      <c r="F196" s="199">
        <v>2</v>
      </c>
      <c r="G196" s="13" t="s">
        <v>2049</v>
      </c>
      <c r="H196" s="162" t="s">
        <v>191</v>
      </c>
      <c r="I196" s="129" t="str">
        <f>IF(B196="","","Rien")</f>
        <v>Rien</v>
      </c>
      <c r="J196" s="146">
        <v>0</v>
      </c>
      <c r="K196" s="147">
        <v>0</v>
      </c>
      <c r="L196" s="148">
        <v>0</v>
      </c>
      <c r="M196" s="149">
        <v>0</v>
      </c>
      <c r="N196" s="150">
        <v>0</v>
      </c>
      <c r="O196" s="130">
        <v>0</v>
      </c>
      <c r="P196" s="130">
        <v>0</v>
      </c>
      <c r="Q196" s="130">
        <v>0</v>
      </c>
      <c r="R196" s="130">
        <v>0</v>
      </c>
      <c r="S196" s="130">
        <v>0</v>
      </c>
      <c r="T196" s="130">
        <v>0</v>
      </c>
      <c r="U196" s="130">
        <v>0</v>
      </c>
      <c r="V196" s="524">
        <v>0</v>
      </c>
      <c r="W196" s="130">
        <v>0</v>
      </c>
      <c r="X196" s="130">
        <v>0</v>
      </c>
      <c r="Y196" s="130">
        <v>0</v>
      </c>
      <c r="Z196" s="130">
        <v>0</v>
      </c>
      <c r="AA196" s="158" t="s">
        <v>2078</v>
      </c>
      <c r="AB196" s="158"/>
      <c r="AC196" s="158"/>
      <c r="AD196" s="158"/>
      <c r="AE196" s="158" t="b">
        <f>IF(AB196="",TRUE,IF(IF(AC196="",VLOOKUP(AB196,Calculs!$A$19:$S$425,19,FALSE),VLOOKUP(AC196,Calculs!$A$19:$S$425,19,FALSE))&gt;=AD196,TRUE,FALSE))</f>
        <v>1</v>
      </c>
      <c r="AF196" s="158"/>
      <c r="AG196" s="158"/>
      <c r="AH196" s="158"/>
      <c r="AI196" s="158" t="b">
        <f>IF(AF196="",TRUE,IF(IF(AG196="",VLOOKUP(AF196,Calculs!$A$19:$S$425,19,FALSE),VLOOKUP(AG196,Calculs!$A$19:$S$425,19,FALSE))&gt;=AH196,TRUE,FALSE))</f>
        <v>1</v>
      </c>
      <c r="AJ196" s="158"/>
      <c r="AK196" s="158"/>
      <c r="AL196" s="158"/>
      <c r="AM196" s="158" t="b">
        <f>IF(AJ196="",TRUE,IF(IF(AK196="",VLOOKUP(AJ196,Calculs!$A$19:$S$425,19,FALSE),VLOOKUP(AK196,Calculs!$A$19:$S$425,19,FALSE))&gt;=AL196,TRUE,FALSE))</f>
        <v>1</v>
      </c>
      <c r="AN196" s="158"/>
      <c r="AO196" s="158"/>
      <c r="AP196" s="158"/>
      <c r="AQ196" s="158" t="b">
        <f>IF(AN196="",TRUE,IF(IF(AO196="",VLOOKUP(AN196,Calculs!$A$19:$S$425,19,FALSE),VLOOKUP(AO196,Calculs!$A$19:$S$425,19,FALSE))&gt;=AP196,TRUE,FALSE))</f>
        <v>1</v>
      </c>
      <c r="AR196" s="158"/>
      <c r="AS196" s="158" t="b">
        <f>IF(AR196="",TRUE,IF(VLOOKUP(AR196,Calculs!$A$427:$G$738,7,FALSE)&gt;0,TRUE,FALSE))</f>
        <v>1</v>
      </c>
      <c r="AT196" s="158"/>
      <c r="AU196" s="158" t="b">
        <f>IF(AT196="",TRUE,IF(VLOOKUP(AT196,Calculs!$A$740:$G$912,7,FALSE)&gt;0,TRUE,FALSE))</f>
        <v>1</v>
      </c>
      <c r="AV196" s="158" t="b">
        <f t="shared" si="23"/>
        <v>1</v>
      </c>
      <c r="AW196" s="158" t="s">
        <v>2078</v>
      </c>
      <c r="AX196" s="162" t="s">
        <v>3</v>
      </c>
      <c r="AY196" s="15">
        <v>106</v>
      </c>
      <c r="AZ196" s="555" t="str">
        <f>CONCATENATE("Vous gagnez ",Terre," points de Réduction")</f>
        <v>Vous gagnez 2 points de Réduction</v>
      </c>
      <c r="BA196" s="559">
        <f>IF(Verso!$B$10=Voies!$B196,1,0)</f>
        <v>0</v>
      </c>
      <c r="BB196" s="12">
        <f>IF(Verso!$B$11=Voies!$B196,1,0)</f>
        <v>0</v>
      </c>
      <c r="BC196" s="12">
        <f>IF(Verso!$B$12=Voies!$B196,1,0)</f>
        <v>0</v>
      </c>
      <c r="BD196" s="12">
        <f>IF(Verso!$B$13=Voies!$B196,1,0)</f>
        <v>0</v>
      </c>
      <c r="BE196" s="12">
        <f>IF(Verso!$B$14=Voies!$B196,1,0)</f>
        <v>0</v>
      </c>
      <c r="BF196" s="12">
        <f>IF(Verso!$B$15=Voies!$B196,1,0)</f>
        <v>0</v>
      </c>
      <c r="BG196" s="12">
        <f>IF(Verso!$B$16=Voies!$B196,1,0)</f>
        <v>0</v>
      </c>
      <c r="BH196" s="12">
        <f>IF(Verso!$B$17=Voies!$B196,1,0)</f>
        <v>0</v>
      </c>
      <c r="BI196" s="557">
        <f t="shared" si="24"/>
        <v>0</v>
      </c>
      <c r="BJ196" s="196" t="str">
        <f t="shared" ref="BJ196:BJ259" si="25">IF(A196="","",ROW())</f>
        <v/>
      </c>
      <c r="BK196" s="196" t="str">
        <f t="shared" ref="BK196:BK259" si="26">IFERROR(SMALL(BJ:BJ,ROW()-2),"")</f>
        <v/>
      </c>
      <c r="BL196" s="295" t="str">
        <f t="shared" ref="BL196:BL259" si="27">IFERROR(INDEX(A:A,BK196),"")</f>
        <v/>
      </c>
    </row>
    <row r="197" spans="1:65" ht="47.25" customHeight="1" x14ac:dyDescent="0.25">
      <c r="A197" s="162" t="str">
        <f>IF(AND(Réputation&gt;Voies!E197-1,OR(C197=TRUE,Calculs!$I$8&gt;0),Air&gt;Voies!J197-1,Eau&gt;Voies!K197-1,Feu&gt;Voies!L197-1,Terre&gt;Voies!M197-1,Vide&gt;Voies!N197-1,Constitution&gt;Voies!O197-1,Volonté&gt;Voies!P197-1,Force&gt;Voies!Q197-1,Perception&gt;Voies!R197-1,Reflexes&gt;Voies!S197-1,Agilité&gt;Voies!T197-1,Intuition&gt;Voies!U197-1,Intelligence&gt;Voies!V197-1,Souillure&gt;Voies!W197-1,Honneur&gt;X197-1,Statut&gt;Y197-1,Gloire&gt;Z197-1,AV197=TRUE),Voies!B197,"")</f>
        <v/>
      </c>
      <c r="B197" s="162" t="s">
        <v>2242</v>
      </c>
      <c r="C197" s="162" t="b">
        <f>IF(Clan=Voies!D197,TRUE,FALSE)</f>
        <v>0</v>
      </c>
      <c r="D197" s="387" t="s">
        <v>175</v>
      </c>
      <c r="E197" s="13">
        <v>2</v>
      </c>
      <c r="F197" s="199">
        <v>2</v>
      </c>
      <c r="G197" s="13" t="s">
        <v>2049</v>
      </c>
      <c r="H197" s="162" t="s">
        <v>193</v>
      </c>
      <c r="I197" s="129" t="str">
        <f>IF(B197="","","Rien")</f>
        <v>Rien</v>
      </c>
      <c r="J197" s="146">
        <v>0</v>
      </c>
      <c r="K197" s="147">
        <v>0</v>
      </c>
      <c r="L197" s="148">
        <v>0</v>
      </c>
      <c r="M197" s="149">
        <v>0</v>
      </c>
      <c r="N197" s="150">
        <v>0</v>
      </c>
      <c r="O197" s="130">
        <v>0</v>
      </c>
      <c r="P197" s="130">
        <v>0</v>
      </c>
      <c r="Q197" s="130">
        <v>0</v>
      </c>
      <c r="R197" s="130">
        <v>0</v>
      </c>
      <c r="S197" s="130">
        <v>0</v>
      </c>
      <c r="T197" s="130">
        <v>0</v>
      </c>
      <c r="U197" s="130">
        <v>0</v>
      </c>
      <c r="V197" s="524">
        <v>0</v>
      </c>
      <c r="W197" s="130">
        <v>0</v>
      </c>
      <c r="X197" s="130">
        <v>0</v>
      </c>
      <c r="Y197" s="130">
        <v>0</v>
      </c>
      <c r="Z197" s="130">
        <v>0</v>
      </c>
      <c r="AA197" s="158" t="s">
        <v>2078</v>
      </c>
      <c r="AB197" s="158"/>
      <c r="AC197" s="158"/>
      <c r="AD197" s="158"/>
      <c r="AE197" s="158" t="b">
        <f>IF(AB197="",TRUE,IF(IF(AC197="",VLOOKUP(AB197,Calculs!$A$19:$S$425,19,FALSE),VLOOKUP(AC197,Calculs!$A$19:$S$425,19,FALSE))&gt;=AD197,TRUE,FALSE))</f>
        <v>1</v>
      </c>
      <c r="AF197" s="158"/>
      <c r="AG197" s="158"/>
      <c r="AH197" s="158"/>
      <c r="AI197" s="158" t="b">
        <f>IF(AF197="",TRUE,IF(IF(AG197="",VLOOKUP(AF197,Calculs!$A$19:$S$425,19,FALSE),VLOOKUP(AG197,Calculs!$A$19:$S$425,19,FALSE))&gt;=AH197,TRUE,FALSE))</f>
        <v>1</v>
      </c>
      <c r="AJ197" s="158"/>
      <c r="AK197" s="158"/>
      <c r="AL197" s="158"/>
      <c r="AM197" s="158" t="b">
        <f>IF(AJ197="",TRUE,IF(IF(AK197="",VLOOKUP(AJ197,Calculs!$A$19:$S$425,19,FALSE),VLOOKUP(AK197,Calculs!$A$19:$S$425,19,FALSE))&gt;=AL197,TRUE,FALSE))</f>
        <v>1</v>
      </c>
      <c r="AN197" s="158"/>
      <c r="AO197" s="158"/>
      <c r="AP197" s="158"/>
      <c r="AQ197" s="158" t="b">
        <f>IF(AN197="",TRUE,IF(IF(AO197="",VLOOKUP(AN197,Calculs!$A$19:$S$425,19,FALSE),VLOOKUP(AO197,Calculs!$A$19:$S$425,19,FALSE))&gt;=AP197,TRUE,FALSE))</f>
        <v>1</v>
      </c>
      <c r="AR197" s="158"/>
      <c r="AS197" s="158" t="b">
        <f>IF(AR197="",TRUE,IF(VLOOKUP(AR197,Calculs!$A$427:$G$738,7,FALSE)&gt;0,TRUE,FALSE))</f>
        <v>1</v>
      </c>
      <c r="AT197" s="158"/>
      <c r="AU197" s="158" t="b">
        <f>IF(AT197="",TRUE,IF(VLOOKUP(AT197,Calculs!$A$740:$G$912,7,FALSE)&gt;0,TRUE,FALSE))</f>
        <v>1</v>
      </c>
      <c r="AV197" s="158" t="b">
        <f t="shared" si="23"/>
        <v>1</v>
      </c>
      <c r="AW197" s="158" t="s">
        <v>2078</v>
      </c>
      <c r="AX197" s="162" t="s">
        <v>3</v>
      </c>
      <c r="AY197" s="15">
        <v>108</v>
      </c>
      <c r="AZ197" s="555" t="s">
        <v>8524</v>
      </c>
      <c r="BA197" s="559">
        <f>IF(Verso!$B$10=Voies!$B197,1,0)</f>
        <v>0</v>
      </c>
      <c r="BB197" s="12">
        <f>IF(Verso!$B$11=Voies!$B197,1,0)</f>
        <v>0</v>
      </c>
      <c r="BC197" s="12">
        <f>IF(Verso!$B$12=Voies!$B197,1,0)</f>
        <v>0</v>
      </c>
      <c r="BD197" s="12">
        <f>IF(Verso!$B$13=Voies!$B197,1,0)</f>
        <v>0</v>
      </c>
      <c r="BE197" s="12">
        <f>IF(Verso!$B$14=Voies!$B197,1,0)</f>
        <v>0</v>
      </c>
      <c r="BF197" s="12">
        <f>IF(Verso!$B$15=Voies!$B197,1,0)</f>
        <v>0</v>
      </c>
      <c r="BG197" s="12">
        <f>IF(Verso!$B$16=Voies!$B197,1,0)</f>
        <v>0</v>
      </c>
      <c r="BH197" s="12">
        <f>IF(Verso!$B$17=Voies!$B197,1,0)</f>
        <v>0</v>
      </c>
      <c r="BI197" s="557">
        <f t="shared" si="24"/>
        <v>0</v>
      </c>
      <c r="BJ197" s="196" t="str">
        <f t="shared" si="25"/>
        <v/>
      </c>
      <c r="BK197" s="196" t="str">
        <f t="shared" si="26"/>
        <v/>
      </c>
      <c r="BL197" s="295" t="str">
        <f t="shared" si="27"/>
        <v/>
      </c>
    </row>
    <row r="198" spans="1:65" s="196" customFormat="1" ht="47.25" customHeight="1" x14ac:dyDescent="0.25">
      <c r="A198" s="162" t="str">
        <f>IF(AND(Réputation&gt;Voies!E198-1,OR(C198=TRUE,Calculs!$I$8&gt;0),Air&gt;Voies!J198-1,Eau&gt;Voies!K198-1,Feu&gt;Voies!L198-1,Terre&gt;Voies!M198-1,Vide&gt;Voies!N198-1,Constitution&gt;Voies!O198-1,Volonté&gt;Voies!P198-1,Force&gt;Voies!Q198-1,Perception&gt;Voies!R198-1,Reflexes&gt;Voies!S198-1,Agilité&gt;Voies!T198-1,Intuition&gt;Voies!U198-1,Intelligence&gt;Voies!V198-1,Souillure&gt;Voies!W198-1,Honneur&gt;X198-1,Statut&gt;Y198-1,Gloire&gt;Z198-1,AV198=TRUE),Voies!B198,"")</f>
        <v/>
      </c>
      <c r="B198" s="162" t="s">
        <v>8304</v>
      </c>
      <c r="C198" s="162" t="b">
        <f>IF(Clan=Voies!D198,TRUE,FALSE)</f>
        <v>0</v>
      </c>
      <c r="D198" s="387" t="s">
        <v>175</v>
      </c>
      <c r="E198" s="199">
        <v>2</v>
      </c>
      <c r="F198" s="199">
        <v>2</v>
      </c>
      <c r="G198" s="199" t="s">
        <v>2049</v>
      </c>
      <c r="H198" s="219" t="s">
        <v>8299</v>
      </c>
      <c r="I198" s="129" t="s">
        <v>3866</v>
      </c>
      <c r="J198" s="146">
        <v>0</v>
      </c>
      <c r="K198" s="147">
        <v>0</v>
      </c>
      <c r="L198" s="148">
        <v>0</v>
      </c>
      <c r="M198" s="149">
        <v>0</v>
      </c>
      <c r="N198" s="150">
        <v>0</v>
      </c>
      <c r="O198" s="130">
        <v>0</v>
      </c>
      <c r="P198" s="130">
        <v>0</v>
      </c>
      <c r="Q198" s="130">
        <v>0</v>
      </c>
      <c r="R198" s="130">
        <v>0</v>
      </c>
      <c r="S198" s="130">
        <v>0</v>
      </c>
      <c r="T198" s="130">
        <v>0</v>
      </c>
      <c r="U198" s="130">
        <v>0</v>
      </c>
      <c r="V198" s="524">
        <v>0</v>
      </c>
      <c r="W198" s="130">
        <v>0</v>
      </c>
      <c r="X198" s="130">
        <v>0</v>
      </c>
      <c r="Y198" s="130">
        <v>0</v>
      </c>
      <c r="Z198" s="130">
        <v>0</v>
      </c>
      <c r="AA198" s="158" t="s">
        <v>2078</v>
      </c>
      <c r="AB198" s="159"/>
      <c r="AC198" s="159"/>
      <c r="AD198" s="159"/>
      <c r="AE198" s="158" t="b">
        <f>IF(AB198="",TRUE,IF(IF(AC198="",VLOOKUP(AB198,Calculs!$A$19:$S$425,19,FALSE),VLOOKUP(AC198,Calculs!$A$19:$S$425,19,FALSE))&gt;=AD198,TRUE,FALSE))</f>
        <v>1</v>
      </c>
      <c r="AF198" s="159"/>
      <c r="AG198" s="159"/>
      <c r="AH198" s="159"/>
      <c r="AI198" s="158" t="b">
        <f>IF(AF198="",TRUE,IF(IF(AG198="",VLOOKUP(AF198,Calculs!$A$19:$S$425,19,FALSE),VLOOKUP(AG198,Calculs!$A$19:$S$425,19,FALSE))&gt;=AH198,TRUE,FALSE))</f>
        <v>1</v>
      </c>
      <c r="AJ198" s="159"/>
      <c r="AK198" s="159"/>
      <c r="AL198" s="159"/>
      <c r="AM198" s="158" t="b">
        <f>IF(AJ198="",TRUE,IF(IF(AK198="",VLOOKUP(AJ198,Calculs!$A$19:$S$425,19,FALSE),VLOOKUP(AK198,Calculs!$A$19:$S$425,19,FALSE))&gt;=AL198,TRUE,FALSE))</f>
        <v>1</v>
      </c>
      <c r="AN198" s="159"/>
      <c r="AO198" s="159"/>
      <c r="AP198" s="159"/>
      <c r="AQ198" s="158" t="b">
        <f>IF(AN198="",TRUE,IF(IF(AO198="",VLOOKUP(AN198,Calculs!$A$19:$S$425,19,FALSE),VLOOKUP(AO198,Calculs!$A$19:$S$425,19,FALSE))&gt;=AP198,TRUE,FALSE))</f>
        <v>1</v>
      </c>
      <c r="AR198" s="158"/>
      <c r="AS198" s="158" t="b">
        <f>IF(AR198="",TRUE,IF(VLOOKUP(AR198,Calculs!$A$427:$G$738,7,FALSE)&gt;0,TRUE,FALSE))</f>
        <v>1</v>
      </c>
      <c r="AT198" s="158"/>
      <c r="AU198" s="158" t="b">
        <f>IF(AT198="",TRUE,IF(VLOOKUP(AT198,Calculs!$A$740:$G$912,7,FALSE)&gt;0,TRUE,FALSE))</f>
        <v>1</v>
      </c>
      <c r="AV198" s="158" t="b">
        <f t="shared" si="23"/>
        <v>1</v>
      </c>
      <c r="AW198" s="158" t="s">
        <v>2078</v>
      </c>
      <c r="AX198" s="162" t="s">
        <v>6816</v>
      </c>
      <c r="AY198" s="15">
        <v>51</v>
      </c>
      <c r="AZ198" s="555" t="s">
        <v>8309</v>
      </c>
      <c r="BA198" s="559">
        <f>IF(Verso!$B$10=Voies!$B198,1,0)</f>
        <v>0</v>
      </c>
      <c r="BB198" s="12">
        <f>IF(Verso!$B$11=Voies!$B198,1,0)</f>
        <v>0</v>
      </c>
      <c r="BC198" s="12">
        <f>IF(Verso!$B$12=Voies!$B198,1,0)</f>
        <v>0</v>
      </c>
      <c r="BD198" s="12">
        <f>IF(Verso!$B$13=Voies!$B198,1,0)</f>
        <v>0</v>
      </c>
      <c r="BE198" s="12">
        <f>IF(Verso!$B$14=Voies!$B198,1,0)</f>
        <v>0</v>
      </c>
      <c r="BF198" s="12">
        <f>IF(Verso!$B$15=Voies!$B198,1,0)</f>
        <v>0</v>
      </c>
      <c r="BG198" s="12">
        <f>IF(Verso!$B$16=Voies!$B198,1,0)</f>
        <v>0</v>
      </c>
      <c r="BH198" s="12">
        <f>IF(Verso!$B$17=Voies!$B198,1,0)</f>
        <v>0</v>
      </c>
      <c r="BI198" s="557">
        <f t="shared" si="24"/>
        <v>0</v>
      </c>
      <c r="BJ198" s="196" t="str">
        <f t="shared" si="25"/>
        <v/>
      </c>
      <c r="BK198" s="196" t="str">
        <f t="shared" si="26"/>
        <v/>
      </c>
      <c r="BL198" s="295" t="str">
        <f t="shared" si="27"/>
        <v/>
      </c>
      <c r="BM198" s="91"/>
    </row>
    <row r="199" spans="1:65" ht="47.25" customHeight="1" x14ac:dyDescent="0.25">
      <c r="A199" s="162" t="str">
        <f>IF(AND(Réputation&gt;Voies!E199-1,OR(C199=TRUE,Calculs!$I$8&gt;0),Air&gt;Voies!J199-1,Eau&gt;Voies!K199-1,Feu&gt;Voies!L199-1,Terre&gt;Voies!M199-1,Vide&gt;Voies!N199-1,Constitution&gt;Voies!O199-1,Volonté&gt;Voies!P199-1,Force&gt;Voies!Q199-1,Perception&gt;Voies!R199-1,Reflexes&gt;Voies!S199-1,Agilité&gt;Voies!T199-1,Intuition&gt;Voies!U199-1,Intelligence&gt;Voies!V199-1,Souillure&gt;Voies!W199-1,Honneur&gt;X199-1,Statut&gt;Y199-1,Gloire&gt;Z199-1,AV199=TRUE),Voies!B199,"")</f>
        <v/>
      </c>
      <c r="B199" s="162" t="s">
        <v>3364</v>
      </c>
      <c r="C199" s="162" t="b">
        <f>IF(Clan=Voies!D199,TRUE,FALSE)</f>
        <v>0</v>
      </c>
      <c r="D199" s="387" t="s">
        <v>175</v>
      </c>
      <c r="E199" s="13">
        <v>2</v>
      </c>
      <c r="F199" s="199">
        <v>2</v>
      </c>
      <c r="G199" s="13" t="s">
        <v>2049</v>
      </c>
      <c r="H199" s="162" t="s">
        <v>475</v>
      </c>
      <c r="I199" s="129" t="s">
        <v>3866</v>
      </c>
      <c r="J199" s="146">
        <v>0</v>
      </c>
      <c r="K199" s="147">
        <v>0</v>
      </c>
      <c r="L199" s="148">
        <v>0</v>
      </c>
      <c r="M199" s="149">
        <v>0</v>
      </c>
      <c r="N199" s="150">
        <v>0</v>
      </c>
      <c r="O199" s="130">
        <v>0</v>
      </c>
      <c r="P199" s="130">
        <v>0</v>
      </c>
      <c r="Q199" s="130">
        <v>0</v>
      </c>
      <c r="R199" s="130">
        <v>0</v>
      </c>
      <c r="S199" s="130">
        <v>0</v>
      </c>
      <c r="T199" s="130">
        <v>3</v>
      </c>
      <c r="U199" s="130">
        <v>3</v>
      </c>
      <c r="V199" s="524">
        <v>0</v>
      </c>
      <c r="W199" s="130">
        <v>0</v>
      </c>
      <c r="X199" s="130">
        <v>0</v>
      </c>
      <c r="Y199" s="130">
        <v>0</v>
      </c>
      <c r="Z199" s="130">
        <v>0</v>
      </c>
      <c r="AA199" s="158" t="s">
        <v>2078</v>
      </c>
      <c r="AB199" s="158"/>
      <c r="AC199" s="158"/>
      <c r="AD199" s="158"/>
      <c r="AE199" s="158" t="b">
        <f>IF(AB199="",TRUE,IF(IF(AC199="",VLOOKUP(AB199,Calculs!$A$19:$S$425,19,FALSE),VLOOKUP(AC199,Calculs!$A$19:$S$425,19,FALSE))&gt;=AD199,TRUE,FALSE))</f>
        <v>1</v>
      </c>
      <c r="AF199" s="158"/>
      <c r="AG199" s="158"/>
      <c r="AH199" s="158"/>
      <c r="AI199" s="158" t="b">
        <f>IF(AF199="",TRUE,IF(IF(AG199="",VLOOKUP(AF199,Calculs!$A$19:$S$425,19,FALSE),VLOOKUP(AG199,Calculs!$A$19:$S$425,19,FALSE))&gt;=AH199,TRUE,FALSE))</f>
        <v>1</v>
      </c>
      <c r="AJ199" s="158"/>
      <c r="AK199" s="158"/>
      <c r="AL199" s="158"/>
      <c r="AM199" s="158" t="b">
        <f>IF(AJ199="",TRUE,IF(IF(AK199="",VLOOKUP(AJ199,Calculs!$A$19:$S$425,19,FALSE),VLOOKUP(AK199,Calculs!$A$19:$S$425,19,FALSE))&gt;=AL199,TRUE,FALSE))</f>
        <v>1</v>
      </c>
      <c r="AN199" s="158"/>
      <c r="AO199" s="158"/>
      <c r="AP199" s="158"/>
      <c r="AQ199" s="158" t="b">
        <f>IF(AN199="",TRUE,IF(IF(AO199="",VLOOKUP(AN199,Calculs!$A$19:$S$425,19,FALSE),VLOOKUP(AO199,Calculs!$A$19:$S$425,19,FALSE))&gt;=AP199,TRUE,FALSE))</f>
        <v>1</v>
      </c>
      <c r="AR199" s="158"/>
      <c r="AS199" s="158" t="b">
        <f>IF(AR199="",TRUE,IF(VLOOKUP(AR199,Calculs!$A$427:$G$738,7,FALSE)&gt;0,TRUE,FALSE))</f>
        <v>1</v>
      </c>
      <c r="AT199" s="158"/>
      <c r="AU199" s="158" t="b">
        <f>IF(AT199="",TRUE,IF(VLOOKUP(AT199,Calculs!$A$740:$G$912,7,FALSE)&gt;0,TRUE,FALSE))</f>
        <v>1</v>
      </c>
      <c r="AV199" s="158" t="b">
        <f t="shared" si="23"/>
        <v>1</v>
      </c>
      <c r="AW199" s="158" t="s">
        <v>2078</v>
      </c>
      <c r="AX199" s="162" t="s">
        <v>118</v>
      </c>
      <c r="AY199" s="15">
        <v>172</v>
      </c>
      <c r="AZ199" s="555" t="str">
        <f>CONCATENATE("Lors de l'étape de Frappe d'un duel de Iaijutsu, vous êtes considéré comme ayant une Réduction supplémentaire de ",Terre*3)</f>
        <v>Lors de l'étape de Frappe d'un duel de Iaijutsu, vous êtes considéré comme ayant une Réduction supplémentaire de 6</v>
      </c>
      <c r="BA199" s="559">
        <f>IF(Verso!$B$10=Voies!$B199,1,0)</f>
        <v>0</v>
      </c>
      <c r="BB199" s="12">
        <f>IF(Verso!$B$11=Voies!$B199,1,0)</f>
        <v>0</v>
      </c>
      <c r="BC199" s="12">
        <f>IF(Verso!$B$12=Voies!$B199,1,0)</f>
        <v>0</v>
      </c>
      <c r="BD199" s="12">
        <f>IF(Verso!$B$13=Voies!$B199,1,0)</f>
        <v>0</v>
      </c>
      <c r="BE199" s="12">
        <f>IF(Verso!$B$14=Voies!$B199,1,0)</f>
        <v>0</v>
      </c>
      <c r="BF199" s="12">
        <f>IF(Verso!$B$15=Voies!$B199,1,0)</f>
        <v>0</v>
      </c>
      <c r="BG199" s="12">
        <f>IF(Verso!$B$16=Voies!$B199,1,0)</f>
        <v>0</v>
      </c>
      <c r="BH199" s="12">
        <f>IF(Verso!$B$17=Voies!$B199,1,0)</f>
        <v>0</v>
      </c>
      <c r="BI199" s="557">
        <f t="shared" si="24"/>
        <v>0</v>
      </c>
      <c r="BJ199" s="196" t="str">
        <f t="shared" si="25"/>
        <v/>
      </c>
      <c r="BK199" s="196" t="str">
        <f t="shared" si="26"/>
        <v/>
      </c>
      <c r="BL199" s="295" t="str">
        <f t="shared" si="27"/>
        <v/>
      </c>
    </row>
    <row r="200" spans="1:65" ht="47.25" customHeight="1" x14ac:dyDescent="0.25">
      <c r="A200" s="162" t="str">
        <f>IF(AND(Réputation&gt;Voies!E200-1,OR(C200=TRUE,Calculs!$I$8&gt;0),Air&gt;Voies!J200-1,Eau&gt;Voies!K200-1,Feu&gt;Voies!L200-1,Terre&gt;Voies!M200-1,Vide&gt;Voies!N200-1,Constitution&gt;Voies!O200-1,Volonté&gt;Voies!P200-1,Force&gt;Voies!Q200-1,Perception&gt;Voies!R200-1,Reflexes&gt;Voies!S200-1,Agilité&gt;Voies!T200-1,Intuition&gt;Voies!U200-1,Intelligence&gt;Voies!V200-1,Souillure&gt;Voies!W200-1,Honneur&gt;X200-1,Statut&gt;Y200-1,Gloire&gt;Z200-1,AV200=TRUE),Voies!B200,"")</f>
        <v/>
      </c>
      <c r="B200" s="162" t="s">
        <v>2939</v>
      </c>
      <c r="C200" s="162" t="b">
        <f>IF(Clan=Voies!D200,TRUE,FALSE)</f>
        <v>0</v>
      </c>
      <c r="D200" s="387" t="s">
        <v>175</v>
      </c>
      <c r="E200" s="13">
        <v>2</v>
      </c>
      <c r="F200" s="199">
        <v>2</v>
      </c>
      <c r="G200" s="13" t="s">
        <v>2049</v>
      </c>
      <c r="H200" s="162" t="s">
        <v>194</v>
      </c>
      <c r="I200" s="129" t="str">
        <f>IF(B200="","","Rien")</f>
        <v>Rien</v>
      </c>
      <c r="J200" s="146">
        <v>0</v>
      </c>
      <c r="K200" s="147">
        <v>0</v>
      </c>
      <c r="L200" s="148">
        <v>0</v>
      </c>
      <c r="M200" s="149">
        <v>0</v>
      </c>
      <c r="N200" s="150">
        <v>0</v>
      </c>
      <c r="O200" s="130">
        <v>0</v>
      </c>
      <c r="P200" s="130">
        <v>0</v>
      </c>
      <c r="Q200" s="130">
        <v>0</v>
      </c>
      <c r="R200" s="130">
        <v>0</v>
      </c>
      <c r="S200" s="130">
        <v>0</v>
      </c>
      <c r="T200" s="130">
        <v>0</v>
      </c>
      <c r="U200" s="130">
        <v>0</v>
      </c>
      <c r="V200" s="524">
        <v>0</v>
      </c>
      <c r="W200" s="130">
        <v>0</v>
      </c>
      <c r="X200" s="130">
        <v>0</v>
      </c>
      <c r="Y200" s="130">
        <v>0</v>
      </c>
      <c r="Z200" s="130">
        <v>0</v>
      </c>
      <c r="AA200" s="158" t="s">
        <v>2078</v>
      </c>
      <c r="AB200" s="158"/>
      <c r="AC200" s="158"/>
      <c r="AD200" s="158"/>
      <c r="AE200" s="158" t="b">
        <f>IF(AB200="",TRUE,IF(IF(AC200="",VLOOKUP(AB200,Calculs!$A$19:$S$425,19,FALSE),VLOOKUP(AC200,Calculs!$A$19:$S$425,19,FALSE))&gt;=AD200,TRUE,FALSE))</f>
        <v>1</v>
      </c>
      <c r="AF200" s="158"/>
      <c r="AG200" s="158"/>
      <c r="AH200" s="158"/>
      <c r="AI200" s="158" t="b">
        <f>IF(AF200="",TRUE,IF(IF(AG200="",VLOOKUP(AF200,Calculs!$A$19:$S$425,19,FALSE),VLOOKUP(AG200,Calculs!$A$19:$S$425,19,FALSE))&gt;=AH200,TRUE,FALSE))</f>
        <v>1</v>
      </c>
      <c r="AJ200" s="158"/>
      <c r="AK200" s="158"/>
      <c r="AL200" s="158"/>
      <c r="AM200" s="158" t="b">
        <f>IF(AJ200="",TRUE,IF(IF(AK200="",VLOOKUP(AJ200,Calculs!$A$19:$S$425,19,FALSE),VLOOKUP(AK200,Calculs!$A$19:$S$425,19,FALSE))&gt;=AL200,TRUE,FALSE))</f>
        <v>1</v>
      </c>
      <c r="AN200" s="158"/>
      <c r="AO200" s="158"/>
      <c r="AP200" s="158"/>
      <c r="AQ200" s="158" t="b">
        <f>IF(AN200="",TRUE,IF(IF(AO200="",VLOOKUP(AN200,Calculs!$A$19:$S$425,19,FALSE),VLOOKUP(AO200,Calculs!$A$19:$S$425,19,FALSE))&gt;=AP200,TRUE,FALSE))</f>
        <v>1</v>
      </c>
      <c r="AR200" s="158"/>
      <c r="AS200" s="158" t="b">
        <f>IF(AR200="",TRUE,IF(VLOOKUP(AR200,Calculs!$A$427:$G$738,7,FALSE)&gt;0,TRUE,FALSE))</f>
        <v>1</v>
      </c>
      <c r="AT200" s="158"/>
      <c r="AU200" s="158" t="b">
        <f>IF(AT200="",TRUE,IF(VLOOKUP(AT200,Calculs!$A$740:$G$912,7,FALSE)&gt;0,TRUE,FALSE))</f>
        <v>1</v>
      </c>
      <c r="AV200" s="158" t="b">
        <f t="shared" si="23"/>
        <v>1</v>
      </c>
      <c r="AW200" s="158" t="s">
        <v>2078</v>
      </c>
      <c r="AX200" s="162" t="s">
        <v>2077</v>
      </c>
      <c r="AY200" s="15">
        <v>148</v>
      </c>
      <c r="AZ200" s="555" t="str">
        <f>CONCATENATE("Vous pouvez entreprendre des Act.G et AS lorsque vous êtes en Posture de Défense. Vous pouvez courrir à vitesse maximale pendant ",Constitution,"+ votre rang d'école heures consécutives après quoi vous êtes Fatigué")</f>
        <v>Vous pouvez entreprendre des Act.G et AS lorsque vous êtes en Posture de Défense. Vous pouvez courrir à vitesse maximale pendant 2+ votre rang d'école heures consécutives après quoi vous êtes Fatigué</v>
      </c>
      <c r="BA200" s="559">
        <f>IF(Verso!$B$10=Voies!$B200,1,0)</f>
        <v>0</v>
      </c>
      <c r="BB200" s="12">
        <f>IF(Verso!$B$11=Voies!$B200,1,0)</f>
        <v>0</v>
      </c>
      <c r="BC200" s="12">
        <f>IF(Verso!$B$12=Voies!$B200,1,0)</f>
        <v>0</v>
      </c>
      <c r="BD200" s="12">
        <f>IF(Verso!$B$13=Voies!$B200,1,0)</f>
        <v>0</v>
      </c>
      <c r="BE200" s="12">
        <f>IF(Verso!$B$14=Voies!$B200,1,0)</f>
        <v>0</v>
      </c>
      <c r="BF200" s="12">
        <f>IF(Verso!$B$15=Voies!$B200,1,0)</f>
        <v>0</v>
      </c>
      <c r="BG200" s="12">
        <f>IF(Verso!$B$16=Voies!$B200,1,0)</f>
        <v>0</v>
      </c>
      <c r="BH200" s="12">
        <f>IF(Verso!$B$17=Voies!$B200,1,0)</f>
        <v>0</v>
      </c>
      <c r="BI200" s="557">
        <f t="shared" si="24"/>
        <v>0</v>
      </c>
      <c r="BJ200" s="196" t="str">
        <f t="shared" si="25"/>
        <v/>
      </c>
      <c r="BK200" s="196" t="str">
        <f t="shared" si="26"/>
        <v/>
      </c>
      <c r="BL200" s="295" t="str">
        <f t="shared" si="27"/>
        <v/>
      </c>
    </row>
    <row r="201" spans="1:65" ht="47.25" customHeight="1" x14ac:dyDescent="0.25">
      <c r="A201" s="162" t="str">
        <f>IF(AND(Réputation&gt;Voies!E201-1,OR(C201=TRUE,Calculs!$I$8&gt;0),Air&gt;Voies!J201-1,Eau&gt;Voies!K201-1,Feu&gt;Voies!L201-1,Terre&gt;Voies!M201-1,Vide&gt;Voies!N201-1,Constitution&gt;Voies!O201-1,Volonté&gt;Voies!P201-1,Force&gt;Voies!Q201-1,Perception&gt;Voies!R201-1,Reflexes&gt;Voies!S201-1,Agilité&gt;Voies!T201-1,Intuition&gt;Voies!U201-1,Intelligence&gt;Voies!V201-1,Souillure&gt;Voies!W201-1,Honneur&gt;X201-1,Statut&gt;Y201-1,Gloire&gt;Z201-1,AV201=TRUE),Voies!B201,"")</f>
        <v/>
      </c>
      <c r="B201" s="162" t="s">
        <v>5885</v>
      </c>
      <c r="C201" s="162" t="b">
        <f>IF(OR(Clan="Crabe",Clan="Faucon"),TRUE,FALSE)</f>
        <v>0</v>
      </c>
      <c r="D201" s="387" t="s">
        <v>175</v>
      </c>
      <c r="E201" s="13">
        <v>2</v>
      </c>
      <c r="F201" s="199">
        <v>2</v>
      </c>
      <c r="G201" s="13" t="s">
        <v>2049</v>
      </c>
      <c r="H201" s="162" t="s">
        <v>614</v>
      </c>
      <c r="I201" s="129" t="s">
        <v>3865</v>
      </c>
      <c r="J201" s="146">
        <v>0</v>
      </c>
      <c r="K201" s="147">
        <v>0</v>
      </c>
      <c r="L201" s="148">
        <v>0</v>
      </c>
      <c r="M201" s="149">
        <v>0</v>
      </c>
      <c r="N201" s="150">
        <v>0</v>
      </c>
      <c r="O201" s="130">
        <v>0</v>
      </c>
      <c r="P201" s="130">
        <v>0</v>
      </c>
      <c r="Q201" s="130">
        <v>0</v>
      </c>
      <c r="R201" s="130">
        <v>0</v>
      </c>
      <c r="S201" s="130">
        <v>0</v>
      </c>
      <c r="T201" s="130">
        <v>0</v>
      </c>
      <c r="U201" s="130">
        <v>0</v>
      </c>
      <c r="V201" s="524">
        <v>0</v>
      </c>
      <c r="W201" s="130">
        <v>0</v>
      </c>
      <c r="X201" s="130">
        <v>0</v>
      </c>
      <c r="Y201" s="130">
        <v>0</v>
      </c>
      <c r="Z201" s="130">
        <v>0</v>
      </c>
      <c r="AA201" s="159" t="s">
        <v>3367</v>
      </c>
      <c r="AB201" s="159" t="s">
        <v>1228</v>
      </c>
      <c r="AC201" s="159" t="s">
        <v>1357</v>
      </c>
      <c r="AD201" s="159">
        <v>3</v>
      </c>
      <c r="AE201" s="158" t="b">
        <f>IF(AB201="",TRUE,IF(IF(AC201="",VLOOKUP(AB201,Calculs!$A$19:$S$425,19,FALSE),VLOOKUP(AC201,Calculs!$A$19:$S$425,19,FALSE))&gt;=AD201,TRUE,FALSE))</f>
        <v>0</v>
      </c>
      <c r="AI201" s="158" t="b">
        <f>IF(AF201="",TRUE,IF(IF(AG201="",VLOOKUP(AF201,Calculs!$A$19:$S$425,19,FALSE),VLOOKUP(AG201,Calculs!$A$19:$S$425,19,FALSE))&gt;=AH201,TRUE,FALSE))</f>
        <v>1</v>
      </c>
      <c r="AM201" s="158" t="b">
        <f>IF(AJ201="",TRUE,IF(IF(AK201="",VLOOKUP(AJ201,Calculs!$A$19:$S$425,19,FALSE),VLOOKUP(AK201,Calculs!$A$19:$S$425,19,FALSE))&gt;=AL201,TRUE,FALSE))</f>
        <v>1</v>
      </c>
      <c r="AQ201" s="158" t="b">
        <f>IF(AN201="",TRUE,IF(IF(AO201="",VLOOKUP(AN201,Calculs!$A$19:$S$425,19,FALSE),VLOOKUP(AO201,Calculs!$A$19:$S$425,19,FALSE))&gt;=AP201,TRUE,FALSE))</f>
        <v>1</v>
      </c>
      <c r="AR201" s="158"/>
      <c r="AS201" s="158" t="b">
        <f>IF(AR201="",TRUE,IF(VLOOKUP(AR201,Calculs!$A$427:$G$738,7,FALSE)&gt;0,TRUE,FALSE))</f>
        <v>1</v>
      </c>
      <c r="AT201" s="158"/>
      <c r="AU201" s="158" t="b">
        <f>IF(AT201="",TRUE,IF(VLOOKUP(AT201,Calculs!$A$740:$G$912,7,FALSE)&gt;0,TRUE,FALSE))</f>
        <v>1</v>
      </c>
      <c r="AV201" s="158" t="b">
        <f t="shared" si="23"/>
        <v>0</v>
      </c>
      <c r="AW201" s="158" t="s">
        <v>2078</v>
      </c>
      <c r="AX201" s="162" t="s">
        <v>118</v>
      </c>
      <c r="AY201" s="15">
        <v>172</v>
      </c>
      <c r="AZ201" s="555" t="s">
        <v>3368</v>
      </c>
      <c r="BA201" s="559">
        <f>IF(Verso!$B$10=Voies!$B201,1,0)</f>
        <v>0</v>
      </c>
      <c r="BB201" s="12">
        <f>IF(Verso!$B$11=Voies!$B201,1,0)</f>
        <v>0</v>
      </c>
      <c r="BC201" s="12">
        <f>IF(Verso!$B$12=Voies!$B201,1,0)</f>
        <v>0</v>
      </c>
      <c r="BD201" s="12">
        <f>IF(Verso!$B$13=Voies!$B201,1,0)</f>
        <v>0</v>
      </c>
      <c r="BE201" s="12">
        <f>IF(Verso!$B$14=Voies!$B201,1,0)</f>
        <v>0</v>
      </c>
      <c r="BF201" s="12">
        <f>IF(Verso!$B$15=Voies!$B201,1,0)</f>
        <v>0</v>
      </c>
      <c r="BG201" s="12">
        <f>IF(Verso!$B$16=Voies!$B201,1,0)</f>
        <v>0</v>
      </c>
      <c r="BH201" s="12">
        <f>IF(Verso!$B$17=Voies!$B201,1,0)</f>
        <v>0</v>
      </c>
      <c r="BI201" s="557">
        <f t="shared" si="24"/>
        <v>0</v>
      </c>
      <c r="BJ201" s="196" t="str">
        <f t="shared" si="25"/>
        <v/>
      </c>
      <c r="BK201" s="196" t="str">
        <f t="shared" si="26"/>
        <v/>
      </c>
      <c r="BL201" s="295" t="str">
        <f t="shared" si="27"/>
        <v/>
      </c>
    </row>
    <row r="202" spans="1:65" ht="47.25" customHeight="1" x14ac:dyDescent="0.25">
      <c r="A202" s="162" t="str">
        <f>IF(AND(Réputation&gt;Voies!E202-1,OR(C202=TRUE,Calculs!$I$8&gt;0),Air&gt;Voies!J202-1,Eau&gt;Voies!K202-1,Feu&gt;Voies!L202-1,Terre&gt;Voies!M202-1,Vide&gt;Voies!N202-1,Constitution&gt;Voies!O202-1,Volonté&gt;Voies!P202-1,Force&gt;Voies!Q202-1,Perception&gt;Voies!R202-1,Reflexes&gt;Voies!S202-1,Agilité&gt;Voies!T202-1,Intuition&gt;Voies!U202-1,Intelligence&gt;Voies!V202-1,Souillure&gt;Voies!W202-1,Honneur&gt;X202-1,Statut&gt;Y202-1,Gloire&gt;Z202-1,AV202=TRUE),Voies!B202,"")</f>
        <v/>
      </c>
      <c r="B202" s="162" t="s">
        <v>3813</v>
      </c>
      <c r="C202" s="162" t="b">
        <f>IF(Clan=Voies!D202,TRUE,FALSE)</f>
        <v>0</v>
      </c>
      <c r="D202" s="387" t="s">
        <v>175</v>
      </c>
      <c r="E202" s="13">
        <v>2</v>
      </c>
      <c r="F202" s="199">
        <v>2</v>
      </c>
      <c r="G202" s="13" t="s">
        <v>2049</v>
      </c>
      <c r="H202" s="162" t="s">
        <v>622</v>
      </c>
      <c r="I202" s="129" t="s">
        <v>3811</v>
      </c>
      <c r="J202" s="146">
        <v>0</v>
      </c>
      <c r="K202" s="147">
        <v>0</v>
      </c>
      <c r="L202" s="148">
        <v>0</v>
      </c>
      <c r="M202" s="149">
        <v>0</v>
      </c>
      <c r="N202" s="150">
        <v>0</v>
      </c>
      <c r="O202" s="130">
        <v>0</v>
      </c>
      <c r="P202" s="130">
        <v>0</v>
      </c>
      <c r="Q202" s="130">
        <v>0</v>
      </c>
      <c r="R202" s="130">
        <v>0</v>
      </c>
      <c r="S202" s="130">
        <v>0</v>
      </c>
      <c r="T202" s="130">
        <v>0</v>
      </c>
      <c r="U202" s="130">
        <v>0</v>
      </c>
      <c r="V202" s="524">
        <v>0</v>
      </c>
      <c r="W202" s="130">
        <v>0</v>
      </c>
      <c r="X202" s="130">
        <v>0</v>
      </c>
      <c r="Y202" s="130">
        <v>0</v>
      </c>
      <c r="Z202" s="130">
        <v>0</v>
      </c>
      <c r="AA202" s="159" t="s">
        <v>3812</v>
      </c>
      <c r="AB202" s="159" t="s">
        <v>376</v>
      </c>
      <c r="AD202" s="159">
        <v>3</v>
      </c>
      <c r="AE202" s="158" t="b">
        <f>IF(AB202="",TRUE,IF(IF(AC202="",VLOOKUP(AB202,Calculs!$A$19:$S$425,19,FALSE),VLOOKUP(AC202,Calculs!$A$19:$S$425,19,FALSE))&gt;=AD202,TRUE,FALSE))</f>
        <v>0</v>
      </c>
      <c r="AI202" s="158" t="b">
        <f>IF(AF202="",TRUE,IF(IF(AG202="",VLOOKUP(AF202,Calculs!$A$19:$S$425,19,FALSE),VLOOKUP(AG202,Calculs!$A$19:$S$425,19,FALSE))&gt;=AH202,TRUE,FALSE))</f>
        <v>1</v>
      </c>
      <c r="AM202" s="158" t="b">
        <f>IF(AJ202="",TRUE,IF(IF(AK202="",VLOOKUP(AJ202,Calculs!$A$19:$S$425,19,FALSE),VLOOKUP(AK202,Calculs!$A$19:$S$425,19,FALSE))&gt;=AL202,TRUE,FALSE))</f>
        <v>1</v>
      </c>
      <c r="AQ202" s="158" t="b">
        <f>IF(AN202="",TRUE,IF(IF(AO202="",VLOOKUP(AN202,Calculs!$A$19:$S$425,19,FALSE),VLOOKUP(AO202,Calculs!$A$19:$S$425,19,FALSE))&gt;=AP202,TRUE,FALSE))</f>
        <v>1</v>
      </c>
      <c r="AR202" s="158"/>
      <c r="AS202" s="158" t="b">
        <f>IF(AR202="",TRUE,IF(VLOOKUP(AR202,Calculs!$A$427:$G$738,7,FALSE)&gt;0,TRUE,FALSE))</f>
        <v>1</v>
      </c>
      <c r="AT202" s="158"/>
      <c r="AU202" s="158" t="b">
        <f>IF(AT202="",TRUE,IF(VLOOKUP(AT202,Calculs!$A$740:$G$912,7,FALSE)&gt;0,TRUE,FALSE))</f>
        <v>1</v>
      </c>
      <c r="AV202" s="158" t="b">
        <f t="shared" si="23"/>
        <v>0</v>
      </c>
      <c r="AW202" s="158" t="s">
        <v>2078</v>
      </c>
      <c r="AX202" s="162" t="s">
        <v>2087</v>
      </c>
      <c r="AY202" s="15">
        <v>44</v>
      </c>
      <c r="AZ202" s="555" t="s">
        <v>8504</v>
      </c>
      <c r="BA202" s="559">
        <f>IF(Verso!$B$10=Voies!$B202,1,0)</f>
        <v>0</v>
      </c>
      <c r="BB202" s="12">
        <f>IF(Verso!$B$11=Voies!$B202,1,0)</f>
        <v>0</v>
      </c>
      <c r="BC202" s="12">
        <f>IF(Verso!$B$12=Voies!$B202,1,0)</f>
        <v>0</v>
      </c>
      <c r="BD202" s="12">
        <f>IF(Verso!$B$13=Voies!$B202,1,0)</f>
        <v>0</v>
      </c>
      <c r="BE202" s="12">
        <f>IF(Verso!$B$14=Voies!$B202,1,0)</f>
        <v>0</v>
      </c>
      <c r="BF202" s="12">
        <f>IF(Verso!$B$15=Voies!$B202,1,0)</f>
        <v>0</v>
      </c>
      <c r="BG202" s="12">
        <f>IF(Verso!$B$16=Voies!$B202,1,0)</f>
        <v>0</v>
      </c>
      <c r="BH202" s="12">
        <f>IF(Verso!$B$17=Voies!$B202,1,0)</f>
        <v>0</v>
      </c>
      <c r="BI202" s="557">
        <f t="shared" si="24"/>
        <v>0</v>
      </c>
      <c r="BJ202" s="196" t="str">
        <f t="shared" si="25"/>
        <v/>
      </c>
      <c r="BK202" s="196" t="str">
        <f t="shared" si="26"/>
        <v/>
      </c>
      <c r="BL202" s="295" t="str">
        <f t="shared" si="27"/>
        <v/>
      </c>
    </row>
    <row r="203" spans="1:65" ht="47.25" customHeight="1" x14ac:dyDescent="0.25">
      <c r="A203" s="162" t="str">
        <f>IF(AND(Réputation&gt;Voies!E203-1,OR(C203=TRUE,Calculs!$I$8&gt;0),Air&gt;Voies!J203-1,Eau&gt;Voies!K203-1,Feu&gt;Voies!L203-1,Terre&gt;Voies!M203-1,Vide&gt;Voies!N203-1,Constitution&gt;Voies!O203-1,Volonté&gt;Voies!P203-1,Force&gt;Voies!Q203-1,Perception&gt;Voies!R203-1,Reflexes&gt;Voies!S203-1,Agilité&gt;Voies!T203-1,Intuition&gt;Voies!U203-1,Intelligence&gt;Voies!V203-1,Souillure&gt;Voies!W203-1,Honneur&gt;X203-1,Statut&gt;Y203-1,Gloire&gt;Z203-1,AV203=TRUE),Voies!B203,"")</f>
        <v/>
      </c>
      <c r="B203" s="162" t="s">
        <v>3420</v>
      </c>
      <c r="C203" s="162" t="b">
        <f>IF(Clan=Voies!D203,TRUE,FALSE)</f>
        <v>0</v>
      </c>
      <c r="D203" s="387" t="s">
        <v>175</v>
      </c>
      <c r="E203" s="13">
        <v>2</v>
      </c>
      <c r="F203" s="199">
        <v>2</v>
      </c>
      <c r="G203" s="13" t="s">
        <v>2049</v>
      </c>
      <c r="H203" s="162" t="s">
        <v>615</v>
      </c>
      <c r="I203" s="129" t="s">
        <v>3864</v>
      </c>
      <c r="J203" s="146">
        <v>0</v>
      </c>
      <c r="K203" s="147">
        <v>0</v>
      </c>
      <c r="L203" s="148">
        <v>0</v>
      </c>
      <c r="M203" s="149">
        <v>0</v>
      </c>
      <c r="N203" s="150">
        <v>0</v>
      </c>
      <c r="O203" s="130">
        <v>0</v>
      </c>
      <c r="P203" s="130">
        <v>0</v>
      </c>
      <c r="Q203" s="130">
        <v>0</v>
      </c>
      <c r="R203" s="130">
        <v>0</v>
      </c>
      <c r="S203" s="130">
        <v>0</v>
      </c>
      <c r="T203" s="130">
        <v>0</v>
      </c>
      <c r="U203" s="130">
        <v>0</v>
      </c>
      <c r="V203" s="524">
        <v>0</v>
      </c>
      <c r="W203" s="130">
        <v>0</v>
      </c>
      <c r="X203" s="130">
        <v>0</v>
      </c>
      <c r="Y203" s="130">
        <v>0</v>
      </c>
      <c r="Z203" s="130">
        <v>0</v>
      </c>
      <c r="AA203" s="159" t="s">
        <v>3418</v>
      </c>
      <c r="AB203" s="159" t="s">
        <v>1223</v>
      </c>
      <c r="AC203" s="159" t="s">
        <v>6361</v>
      </c>
      <c r="AD203" s="159">
        <v>4</v>
      </c>
      <c r="AE203" s="158" t="b">
        <f>IF(AB203="",TRUE,IF(IF(AC203="",VLOOKUP(AB203,Calculs!$A$19:$S$425,19,FALSE),VLOOKUP(AC203,Calculs!$A$19:$S$425,19,FALSE))&gt;=AD203,TRUE,FALSE))</f>
        <v>0</v>
      </c>
      <c r="AI203" s="158" t="b">
        <f>IF(AF203="",TRUE,IF(IF(AG203="",VLOOKUP(AF203,Calculs!$A$19:$S$425,19,FALSE),VLOOKUP(AG203,Calculs!$A$19:$S$425,19,FALSE))&gt;=AH203,TRUE,FALSE))</f>
        <v>1</v>
      </c>
      <c r="AM203" s="158" t="b">
        <f>IF(AJ203="",TRUE,IF(IF(AK203="",VLOOKUP(AJ203,Calculs!$A$19:$S$425,19,FALSE),VLOOKUP(AK203,Calculs!$A$19:$S$425,19,FALSE))&gt;=AL203,TRUE,FALSE))</f>
        <v>1</v>
      </c>
      <c r="AQ203" s="158" t="b">
        <f>IF(AN203="",TRUE,IF(IF(AO203="",VLOOKUP(AN203,Calculs!$A$19:$S$425,19,FALSE),VLOOKUP(AO203,Calculs!$A$19:$S$425,19,FALSE))&gt;=AP203,TRUE,FALSE))</f>
        <v>1</v>
      </c>
      <c r="AR203" s="158"/>
      <c r="AS203" s="158" t="b">
        <f>IF(AR203="",TRUE,IF(VLOOKUP(AR203,Calculs!$A$427:$G$738,7,FALSE)&gt;0,TRUE,FALSE))</f>
        <v>1</v>
      </c>
      <c r="AT203" s="158"/>
      <c r="AU203" s="158" t="b">
        <f>IF(AT203="",TRUE,IF(VLOOKUP(AT203,Calculs!$A$740:$G$912,7,FALSE)&gt;0,TRUE,FALSE))</f>
        <v>1</v>
      </c>
      <c r="AV203" s="158" t="b">
        <f t="shared" si="23"/>
        <v>0</v>
      </c>
      <c r="AW203" s="158" t="s">
        <v>3419</v>
      </c>
      <c r="AX203" s="162" t="s">
        <v>158</v>
      </c>
      <c r="AY203" s="15">
        <v>191</v>
      </c>
      <c r="AZ203" s="555" t="s">
        <v>3421</v>
      </c>
      <c r="BA203" s="559">
        <f>IF(Verso!$B$10=Voies!$B203,1,0)</f>
        <v>0</v>
      </c>
      <c r="BB203" s="12">
        <f>IF(Verso!$B$11=Voies!$B203,1,0)</f>
        <v>0</v>
      </c>
      <c r="BC203" s="12">
        <f>IF(Verso!$B$12=Voies!$B203,1,0)</f>
        <v>0</v>
      </c>
      <c r="BD203" s="12">
        <f>IF(Verso!$B$13=Voies!$B203,1,0)</f>
        <v>0</v>
      </c>
      <c r="BE203" s="12">
        <f>IF(Verso!$B$14=Voies!$B203,1,0)</f>
        <v>0</v>
      </c>
      <c r="BF203" s="12">
        <f>IF(Verso!$B$15=Voies!$B203,1,0)</f>
        <v>0</v>
      </c>
      <c r="BG203" s="12">
        <f>IF(Verso!$B$16=Voies!$B203,1,0)</f>
        <v>0</v>
      </c>
      <c r="BH203" s="12">
        <f>IF(Verso!$B$17=Voies!$B203,1,0)</f>
        <v>0</v>
      </c>
      <c r="BI203" s="557">
        <f t="shared" si="24"/>
        <v>0</v>
      </c>
      <c r="BJ203" s="196" t="str">
        <f t="shared" si="25"/>
        <v/>
      </c>
      <c r="BK203" s="196" t="str">
        <f t="shared" si="26"/>
        <v/>
      </c>
      <c r="BL203" s="295" t="str">
        <f t="shared" si="27"/>
        <v/>
      </c>
    </row>
    <row r="204" spans="1:65" ht="47.25" customHeight="1" x14ac:dyDescent="0.25">
      <c r="A204" s="162" t="str">
        <f>IF(AND(Réputation&gt;Voies!E204-1,OR(C204=TRUE,Calculs!$I$8&gt;0),Air&gt;Voies!J204-1,Eau&gt;Voies!K204-1,Feu&gt;Voies!L204-1,Terre&gt;Voies!M204-1,Vide&gt;Voies!N204-1,Constitution&gt;Voies!O204-1,Volonté&gt;Voies!P204-1,Force&gt;Voies!Q204-1,Perception&gt;Voies!R204-1,Reflexes&gt;Voies!S204-1,Agilité&gt;Voies!T204-1,Intuition&gt;Voies!U204-1,Intelligence&gt;Voies!V204-1,Souillure&gt;Voies!W204-1,Honneur&gt;X204-1,Statut&gt;Y204-1,Gloire&gt;Z204-1,AV204=TRUE),Voies!B204,"")</f>
        <v/>
      </c>
      <c r="B204" s="162" t="s">
        <v>2609</v>
      </c>
      <c r="C204" s="162" t="b">
        <f>IF(Clan=Voies!D204,TRUE,FALSE)</f>
        <v>0</v>
      </c>
      <c r="D204" s="387" t="s">
        <v>175</v>
      </c>
      <c r="E204" s="13">
        <v>2</v>
      </c>
      <c r="F204" s="199">
        <v>2</v>
      </c>
      <c r="G204" s="13" t="s">
        <v>2049</v>
      </c>
      <c r="H204" s="162" t="s">
        <v>192</v>
      </c>
      <c r="I204" s="129" t="str">
        <f>IF(B204="","","Rien")</f>
        <v>Rien</v>
      </c>
      <c r="J204" s="146">
        <v>0</v>
      </c>
      <c r="K204" s="147">
        <v>0</v>
      </c>
      <c r="L204" s="148">
        <v>0</v>
      </c>
      <c r="M204" s="149">
        <v>0</v>
      </c>
      <c r="N204" s="150">
        <v>0</v>
      </c>
      <c r="O204" s="130">
        <v>0</v>
      </c>
      <c r="P204" s="130">
        <v>0</v>
      </c>
      <c r="Q204" s="130">
        <v>0</v>
      </c>
      <c r="R204" s="130">
        <v>0</v>
      </c>
      <c r="S204" s="130">
        <v>0</v>
      </c>
      <c r="T204" s="130">
        <v>0</v>
      </c>
      <c r="U204" s="130">
        <v>0</v>
      </c>
      <c r="V204" s="524">
        <v>0</v>
      </c>
      <c r="W204" s="130">
        <v>0</v>
      </c>
      <c r="X204" s="130">
        <v>0</v>
      </c>
      <c r="Y204" s="130">
        <v>0</v>
      </c>
      <c r="Z204" s="130">
        <v>0</v>
      </c>
      <c r="AA204" s="158" t="s">
        <v>2078</v>
      </c>
      <c r="AB204" s="158"/>
      <c r="AC204" s="158"/>
      <c r="AD204" s="158"/>
      <c r="AE204" s="158" t="b">
        <f>IF(AB204="",TRUE,IF(IF(AC204="",VLOOKUP(AB204,Calculs!$A$19:$S$425,19,FALSE),VLOOKUP(AC204,Calculs!$A$19:$S$425,19,FALSE))&gt;=AD204,TRUE,FALSE))</f>
        <v>1</v>
      </c>
      <c r="AF204" s="158"/>
      <c r="AG204" s="158"/>
      <c r="AH204" s="158"/>
      <c r="AI204" s="158" t="b">
        <f>IF(AF204="",TRUE,IF(IF(AG204="",VLOOKUP(AF204,Calculs!$A$19:$S$425,19,FALSE),VLOOKUP(AG204,Calculs!$A$19:$S$425,19,FALSE))&gt;=AH204,TRUE,FALSE))</f>
        <v>1</v>
      </c>
      <c r="AJ204" s="158"/>
      <c r="AK204" s="158"/>
      <c r="AL204" s="158"/>
      <c r="AM204" s="158" t="b">
        <f>IF(AJ204="",TRUE,IF(IF(AK204="",VLOOKUP(AJ204,Calculs!$A$19:$S$425,19,FALSE),VLOOKUP(AK204,Calculs!$A$19:$S$425,19,FALSE))&gt;=AL204,TRUE,FALSE))</f>
        <v>1</v>
      </c>
      <c r="AN204" s="158"/>
      <c r="AO204" s="158"/>
      <c r="AP204" s="158"/>
      <c r="AQ204" s="158" t="b">
        <f>IF(AN204="",TRUE,IF(IF(AO204="",VLOOKUP(AN204,Calculs!$A$19:$S$425,19,FALSE),VLOOKUP(AO204,Calculs!$A$19:$S$425,19,FALSE))&gt;=AP204,TRUE,FALSE))</f>
        <v>1</v>
      </c>
      <c r="AR204" s="158"/>
      <c r="AS204" s="158" t="b">
        <f>IF(AR204="",TRUE,IF(VLOOKUP(AR204,Calculs!$A$427:$G$738,7,FALSE)&gt;0,TRUE,FALSE))</f>
        <v>1</v>
      </c>
      <c r="AT204" s="158"/>
      <c r="AU204" s="158" t="b">
        <f>IF(AT204="",TRUE,IF(VLOOKUP(AT204,Calculs!$A$740:$G$912,7,FALSE)&gt;0,TRUE,FALSE))</f>
        <v>1</v>
      </c>
      <c r="AV204" s="158" t="b">
        <f t="shared" si="23"/>
        <v>1</v>
      </c>
      <c r="AW204" s="158" t="s">
        <v>2078</v>
      </c>
      <c r="AX204" s="162" t="s">
        <v>5202</v>
      </c>
      <c r="AY204" s="15">
        <v>247</v>
      </c>
      <c r="AZ204" s="566" t="s">
        <v>2612</v>
      </c>
      <c r="BA204" s="559">
        <f>IF(Verso!$B$10=Voies!$B204,1,0)</f>
        <v>0</v>
      </c>
      <c r="BB204" s="12">
        <f>IF(Verso!$B$11=Voies!$B204,1,0)</f>
        <v>0</v>
      </c>
      <c r="BC204" s="12">
        <f>IF(Verso!$B$12=Voies!$B204,1,0)</f>
        <v>0</v>
      </c>
      <c r="BD204" s="12">
        <f>IF(Verso!$B$13=Voies!$B204,1,0)</f>
        <v>0</v>
      </c>
      <c r="BE204" s="12">
        <f>IF(Verso!$B$14=Voies!$B204,1,0)</f>
        <v>0</v>
      </c>
      <c r="BF204" s="12">
        <f>IF(Verso!$B$15=Voies!$B204,1,0)</f>
        <v>0</v>
      </c>
      <c r="BG204" s="12">
        <f>IF(Verso!$B$16=Voies!$B204,1,0)</f>
        <v>0</v>
      </c>
      <c r="BH204" s="12">
        <f>IF(Verso!$B$17=Voies!$B204,1,0)</f>
        <v>0</v>
      </c>
      <c r="BI204" s="557">
        <f t="shared" si="24"/>
        <v>0</v>
      </c>
      <c r="BJ204" s="196" t="str">
        <f t="shared" si="25"/>
        <v/>
      </c>
      <c r="BK204" s="196" t="str">
        <f t="shared" si="26"/>
        <v/>
      </c>
      <c r="BL204" s="295" t="str">
        <f t="shared" si="27"/>
        <v/>
      </c>
    </row>
    <row r="205" spans="1:65" ht="47.25" customHeight="1" x14ac:dyDescent="0.25">
      <c r="A205" s="162" t="str">
        <f>IF(AND(Réputation&gt;Voies!E205-1,OR(C205=TRUE,Calculs!$I$8&gt;0),Air&gt;Voies!J205-1,Eau&gt;Voies!K205-1,Feu&gt;Voies!L205-1,Terre&gt;Voies!M205-1,Vide&gt;Voies!N205-1,Constitution&gt;Voies!O205-1,Volonté&gt;Voies!P205-1,Force&gt;Voies!Q205-1,Perception&gt;Voies!R205-1,Reflexes&gt;Voies!S205-1,Agilité&gt;Voies!T205-1,Intuition&gt;Voies!U205-1,Intelligence&gt;Voies!V205-1,Souillure&gt;Voies!W205-1,Honneur&gt;X205-1,Statut&gt;Y205-1,Gloire&gt;Z205-1,AV205=TRUE),Voies!B205,"")</f>
        <v/>
      </c>
      <c r="B205" s="162" t="s">
        <v>6031</v>
      </c>
      <c r="C205" s="162" t="b">
        <f>IF(Clan=Voies!D205,TRUE,FALSE)</f>
        <v>0</v>
      </c>
      <c r="D205" s="387" t="s">
        <v>175</v>
      </c>
      <c r="E205" s="13">
        <v>2</v>
      </c>
      <c r="F205" s="199">
        <v>2</v>
      </c>
      <c r="G205" s="13" t="s">
        <v>2049</v>
      </c>
      <c r="H205" s="162" t="s">
        <v>6030</v>
      </c>
      <c r="I205" s="129" t="s">
        <v>3866</v>
      </c>
      <c r="J205" s="146">
        <v>0</v>
      </c>
      <c r="K205" s="147">
        <v>0</v>
      </c>
      <c r="L205" s="148">
        <v>0</v>
      </c>
      <c r="M205" s="149">
        <v>0</v>
      </c>
      <c r="N205" s="150">
        <v>0</v>
      </c>
      <c r="O205" s="130">
        <v>0</v>
      </c>
      <c r="P205" s="130">
        <v>0</v>
      </c>
      <c r="Q205" s="130">
        <v>0</v>
      </c>
      <c r="R205" s="130">
        <v>0</v>
      </c>
      <c r="S205" s="130">
        <v>0</v>
      </c>
      <c r="T205" s="130">
        <v>0</v>
      </c>
      <c r="U205" s="130">
        <v>0</v>
      </c>
      <c r="V205" s="524">
        <v>0</v>
      </c>
      <c r="W205" s="130">
        <v>0</v>
      </c>
      <c r="X205" s="130">
        <v>0</v>
      </c>
      <c r="Y205" s="130">
        <v>0</v>
      </c>
      <c r="Z205" s="130">
        <v>0</v>
      </c>
      <c r="AA205" s="158" t="s">
        <v>2078</v>
      </c>
      <c r="AB205" s="158"/>
      <c r="AC205" s="158"/>
      <c r="AD205" s="158"/>
      <c r="AE205" s="158" t="b">
        <f>IF(AB205="",TRUE,IF(IF(AC205="",VLOOKUP(AB205,Calculs!$A$19:$S$425,19,FALSE),VLOOKUP(AC205,Calculs!$A$19:$S$425,19,FALSE))&gt;=AD205,TRUE,FALSE))</f>
        <v>1</v>
      </c>
      <c r="AF205" s="158"/>
      <c r="AG205" s="158"/>
      <c r="AH205" s="158"/>
      <c r="AI205" s="158" t="b">
        <f>IF(AF205="",TRUE,IF(IF(AG205="",VLOOKUP(AF205,Calculs!$A$19:$S$425,19,FALSE),VLOOKUP(AG205,Calculs!$A$19:$S$425,19,FALSE))&gt;=AH205,TRUE,FALSE))</f>
        <v>1</v>
      </c>
      <c r="AJ205" s="158"/>
      <c r="AK205" s="158"/>
      <c r="AL205" s="158"/>
      <c r="AM205" s="158" t="b">
        <f>IF(AJ205="",TRUE,IF(IF(AK205="",VLOOKUP(AJ205,Calculs!$A$19:$S$425,19,FALSE),VLOOKUP(AK205,Calculs!$A$19:$S$425,19,FALSE))&gt;=AL205,TRUE,FALSE))</f>
        <v>1</v>
      </c>
      <c r="AN205" s="158"/>
      <c r="AO205" s="158"/>
      <c r="AP205" s="158"/>
      <c r="AQ205" s="158" t="b">
        <f>IF(AN205="",TRUE,IF(IF(AO205="",VLOOKUP(AN205,Calculs!$A$19:$S$425,19,FALSE),VLOOKUP(AO205,Calculs!$A$19:$S$425,19,FALSE))&gt;=AP205,TRUE,FALSE))</f>
        <v>1</v>
      </c>
      <c r="AR205" s="158"/>
      <c r="AS205" s="158" t="b">
        <f>IF(AR205="",TRUE,IF(VLOOKUP(AR205,Calculs!$A$427:$G$738,7,FALSE)&gt;0,TRUE,FALSE))</f>
        <v>1</v>
      </c>
      <c r="AT205" s="158"/>
      <c r="AU205" s="158" t="b">
        <f>IF(AT205="",TRUE,IF(VLOOKUP(AT205,Calculs!$A$740:$G$912,7,FALSE)&gt;0,TRUE,FALSE))</f>
        <v>1</v>
      </c>
      <c r="AV205" s="158" t="b">
        <f t="shared" si="23"/>
        <v>1</v>
      </c>
      <c r="AW205" s="158" t="s">
        <v>2078</v>
      </c>
      <c r="AX205" s="162" t="s">
        <v>6010</v>
      </c>
      <c r="AZ205" s="555" t="s">
        <v>6032</v>
      </c>
      <c r="BA205" s="559">
        <f>IF(Verso!$B$10=Voies!$B205,1,0)</f>
        <v>0</v>
      </c>
      <c r="BB205" s="12">
        <f>IF(Verso!$B$11=Voies!$B205,1,0)</f>
        <v>0</v>
      </c>
      <c r="BC205" s="12">
        <f>IF(Verso!$B$12=Voies!$B205,1,0)</f>
        <v>0</v>
      </c>
      <c r="BD205" s="12">
        <f>IF(Verso!$B$13=Voies!$B205,1,0)</f>
        <v>0</v>
      </c>
      <c r="BE205" s="12">
        <f>IF(Verso!$B$14=Voies!$B205,1,0)</f>
        <v>0</v>
      </c>
      <c r="BF205" s="12">
        <f>IF(Verso!$B$15=Voies!$B205,1,0)</f>
        <v>0</v>
      </c>
      <c r="BG205" s="12">
        <f>IF(Verso!$B$16=Voies!$B205,1,0)</f>
        <v>0</v>
      </c>
      <c r="BH205" s="12">
        <f>IF(Verso!$B$17=Voies!$B205,1,0)</f>
        <v>0</v>
      </c>
      <c r="BI205" s="557">
        <f t="shared" si="24"/>
        <v>0</v>
      </c>
      <c r="BJ205" s="196" t="str">
        <f t="shared" si="25"/>
        <v/>
      </c>
      <c r="BK205" s="196" t="str">
        <f t="shared" si="26"/>
        <v/>
      </c>
      <c r="BL205" s="295" t="str">
        <f t="shared" si="27"/>
        <v/>
      </c>
    </row>
    <row r="206" spans="1:65" s="196" customFormat="1" ht="47.25" customHeight="1" x14ac:dyDescent="0.25">
      <c r="A206" s="162" t="str">
        <f>IF(AND(Réputation&gt;Voies!E206-1,OR(C206=TRUE,Calculs!$I$8&gt;0),Air&gt;Voies!J206-1,Eau&gt;Voies!K206-1,Feu&gt;Voies!L206-1,Terre&gt;Voies!M206-1,Vide&gt;Voies!N206-1,Constitution&gt;Voies!O206-1,Volonté&gt;Voies!P206-1,Force&gt;Voies!Q206-1,Perception&gt;Voies!R206-1,Reflexes&gt;Voies!S206-1,Agilité&gt;Voies!T206-1,Intuition&gt;Voies!U206-1,Intelligence&gt;Voies!V206-1,Souillure&gt;Voies!W206-1,Honneur&gt;X206-1,Statut&gt;Y206-1,Gloire&gt;Z206-1,AV206=TRUE),Voies!B206,"")</f>
        <v/>
      </c>
      <c r="B206" s="162" t="s">
        <v>9068</v>
      </c>
      <c r="C206" s="162" t="b">
        <f>IF(Clan=Voies!D206,TRUE,FALSE)</f>
        <v>0</v>
      </c>
      <c r="D206" s="387" t="s">
        <v>175</v>
      </c>
      <c r="E206" s="199">
        <v>2</v>
      </c>
      <c r="F206" s="199">
        <v>2</v>
      </c>
      <c r="G206" s="199" t="s">
        <v>2049</v>
      </c>
      <c r="H206" s="162" t="s">
        <v>9069</v>
      </c>
      <c r="I206" s="129" t="s">
        <v>3866</v>
      </c>
      <c r="J206" s="146">
        <v>0</v>
      </c>
      <c r="K206" s="147">
        <v>0</v>
      </c>
      <c r="L206" s="148">
        <v>0</v>
      </c>
      <c r="M206" s="149">
        <v>0</v>
      </c>
      <c r="N206" s="150">
        <v>0</v>
      </c>
      <c r="O206" s="130">
        <v>0</v>
      </c>
      <c r="P206" s="130">
        <v>0</v>
      </c>
      <c r="Q206" s="130">
        <v>0</v>
      </c>
      <c r="R206" s="130">
        <v>0</v>
      </c>
      <c r="S206" s="130">
        <v>0</v>
      </c>
      <c r="T206" s="130">
        <v>0</v>
      </c>
      <c r="U206" s="130">
        <v>0</v>
      </c>
      <c r="V206" s="524">
        <v>0</v>
      </c>
      <c r="W206" s="130">
        <v>0</v>
      </c>
      <c r="X206" s="130">
        <v>0</v>
      </c>
      <c r="Y206" s="130">
        <v>0</v>
      </c>
      <c r="Z206" s="130">
        <v>0</v>
      </c>
      <c r="AA206" s="158" t="s">
        <v>2078</v>
      </c>
      <c r="AB206" s="158"/>
      <c r="AC206" s="158"/>
      <c r="AD206" s="158"/>
      <c r="AE206" s="158" t="b">
        <f>IF(AB206="",TRUE,IF(IF(AC206="",VLOOKUP(AB206,Calculs!$A$19:$S$425,19,FALSE),VLOOKUP(AC206,Calculs!$A$19:$S$425,19,FALSE))&gt;=AD206,TRUE,FALSE))</f>
        <v>1</v>
      </c>
      <c r="AF206" s="158"/>
      <c r="AG206" s="158"/>
      <c r="AH206" s="158"/>
      <c r="AI206" s="158" t="b">
        <f>IF(AF206="",TRUE,IF(IF(AG206="",VLOOKUP(AF206,Calculs!$A$19:$S$425,19,FALSE),VLOOKUP(AG206,Calculs!$A$19:$S$425,19,FALSE))&gt;=AH206,TRUE,FALSE))</f>
        <v>1</v>
      </c>
      <c r="AJ206" s="158"/>
      <c r="AK206" s="158"/>
      <c r="AL206" s="158"/>
      <c r="AM206" s="158" t="b">
        <f>IF(AJ206="",TRUE,IF(IF(AK206="",VLOOKUP(AJ206,Calculs!$A$19:$S$425,19,FALSE),VLOOKUP(AK206,Calculs!$A$19:$S$425,19,FALSE))&gt;=AL206,TRUE,FALSE))</f>
        <v>1</v>
      </c>
      <c r="AN206" s="158"/>
      <c r="AO206" s="158"/>
      <c r="AP206" s="158"/>
      <c r="AQ206" s="158" t="b">
        <f>IF(AN206="",TRUE,IF(IF(AO206="",VLOOKUP(AN206,Calculs!$A$19:$S$425,19,FALSE),VLOOKUP(AO206,Calculs!$A$19:$S$425,19,FALSE))&gt;=AP206,TRUE,FALSE))</f>
        <v>1</v>
      </c>
      <c r="AR206" s="158"/>
      <c r="AS206" s="158" t="b">
        <f>IF(AR206="",TRUE,IF(VLOOKUP(AR206,Calculs!$A$427:$G$738,7,FALSE)&gt;0,TRUE,FALSE))</f>
        <v>1</v>
      </c>
      <c r="AT206" s="158"/>
      <c r="AU206" s="158" t="b">
        <f>IF(AT206="",TRUE,IF(VLOOKUP(AT206,Calculs!$A$740:$G$912,7,FALSE)&gt;0,TRUE,FALSE))</f>
        <v>1</v>
      </c>
      <c r="AV206" s="158" t="b">
        <f t="shared" si="23"/>
        <v>1</v>
      </c>
      <c r="AW206" s="158" t="s">
        <v>2078</v>
      </c>
      <c r="AX206" s="162" t="s">
        <v>9070</v>
      </c>
      <c r="AY206" s="15">
        <v>31</v>
      </c>
      <c r="AZ206" s="555" t="s">
        <v>9071</v>
      </c>
      <c r="BA206" s="559">
        <f>IF(Verso!$B$10=Voies!$B206,1,0)</f>
        <v>0</v>
      </c>
      <c r="BB206" s="12">
        <f>IF(Verso!$B$11=Voies!$B206,1,0)</f>
        <v>0</v>
      </c>
      <c r="BC206" s="12">
        <f>IF(Verso!$B$12=Voies!$B206,1,0)</f>
        <v>0</v>
      </c>
      <c r="BD206" s="12">
        <f>IF(Verso!$B$13=Voies!$B206,1,0)</f>
        <v>0</v>
      </c>
      <c r="BE206" s="12">
        <f>IF(Verso!$B$14=Voies!$B206,1,0)</f>
        <v>0</v>
      </c>
      <c r="BF206" s="12">
        <f>IF(Verso!$B$15=Voies!$B206,1,0)</f>
        <v>0</v>
      </c>
      <c r="BG206" s="12">
        <f>IF(Verso!$B$16=Voies!$B206,1,0)</f>
        <v>0</v>
      </c>
      <c r="BH206" s="12">
        <f>IF(Verso!$B$17=Voies!$B206,1,0)</f>
        <v>0</v>
      </c>
      <c r="BI206" s="557">
        <f t="shared" si="24"/>
        <v>0</v>
      </c>
      <c r="BJ206" s="196" t="str">
        <f t="shared" si="25"/>
        <v/>
      </c>
      <c r="BK206" s="196" t="str">
        <f t="shared" si="26"/>
        <v/>
      </c>
      <c r="BL206" s="295" t="str">
        <f t="shared" si="27"/>
        <v/>
      </c>
      <c r="BM206" s="91"/>
    </row>
    <row r="207" spans="1:65" ht="47.25" customHeight="1" x14ac:dyDescent="0.25">
      <c r="A207" s="162" t="str">
        <f>IF(AND(Réputation&gt;Voies!E207-1,OR(C207=TRUE,Calculs!$I$8&gt;0),Air&gt;Voies!J207-1,Eau&gt;Voies!K207-1,Feu&gt;Voies!L207-1,Terre&gt;Voies!M207-1,Vide&gt;Voies!N207-1,Constitution&gt;Voies!O207-1,Volonté&gt;Voies!P207-1,Force&gt;Voies!Q207-1,Perception&gt;Voies!R207-1,Reflexes&gt;Voies!S207-1,Agilité&gt;Voies!T207-1,Intuition&gt;Voies!U207-1,Intelligence&gt;Voies!V207-1,Souillure&gt;Voies!W207-1,Honneur&gt;X207-1,Statut&gt;Y207-1,Gloire&gt;Z207-1,AV207=TRUE),Voies!B207,"")</f>
        <v/>
      </c>
      <c r="B207" s="162" t="s">
        <v>2223</v>
      </c>
      <c r="C207" s="162" t="b">
        <f>IF(Clan=Voies!D207,TRUE,FALSE)</f>
        <v>0</v>
      </c>
      <c r="D207" s="387" t="s">
        <v>175</v>
      </c>
      <c r="E207" s="13">
        <v>2</v>
      </c>
      <c r="F207" s="199">
        <v>2</v>
      </c>
      <c r="G207" s="13" t="s">
        <v>2052</v>
      </c>
      <c r="H207" s="162" t="s">
        <v>195</v>
      </c>
      <c r="I207" s="129" t="str">
        <f>IF(B207="","","Rien")</f>
        <v>Rien</v>
      </c>
      <c r="J207" s="146">
        <v>0</v>
      </c>
      <c r="K207" s="147">
        <v>0</v>
      </c>
      <c r="L207" s="148">
        <v>0</v>
      </c>
      <c r="M207" s="149">
        <v>0</v>
      </c>
      <c r="N207" s="150">
        <v>0</v>
      </c>
      <c r="O207" s="130">
        <v>0</v>
      </c>
      <c r="P207" s="130">
        <v>0</v>
      </c>
      <c r="Q207" s="130">
        <v>0</v>
      </c>
      <c r="R207" s="130">
        <v>0</v>
      </c>
      <c r="S207" s="130">
        <v>0</v>
      </c>
      <c r="T207" s="130">
        <v>0</v>
      </c>
      <c r="U207" s="130">
        <v>0</v>
      </c>
      <c r="V207" s="524">
        <v>0</v>
      </c>
      <c r="W207" s="130">
        <v>0</v>
      </c>
      <c r="X207" s="130">
        <v>0</v>
      </c>
      <c r="Y207" s="130">
        <v>0</v>
      </c>
      <c r="Z207" s="130">
        <v>0</v>
      </c>
      <c r="AA207" s="158" t="s">
        <v>2078</v>
      </c>
      <c r="AB207" s="158"/>
      <c r="AC207" s="158"/>
      <c r="AD207" s="158"/>
      <c r="AE207" s="158" t="b">
        <f>IF(AB207="",TRUE,IF(IF(AC207="",VLOOKUP(AB207,Calculs!$A$19:$S$425,19,FALSE),VLOOKUP(AC207,Calculs!$A$19:$S$425,19,FALSE))&gt;=AD207,TRUE,FALSE))</f>
        <v>1</v>
      </c>
      <c r="AF207" s="158"/>
      <c r="AG207" s="158"/>
      <c r="AH207" s="158"/>
      <c r="AI207" s="158" t="b">
        <f>IF(AF207="",TRUE,IF(IF(AG207="",VLOOKUP(AF207,Calculs!$A$19:$S$425,19,FALSE),VLOOKUP(AG207,Calculs!$A$19:$S$425,19,FALSE))&gt;=AH207,TRUE,FALSE))</f>
        <v>1</v>
      </c>
      <c r="AJ207" s="158"/>
      <c r="AK207" s="158"/>
      <c r="AL207" s="158"/>
      <c r="AM207" s="158" t="b">
        <f>IF(AJ207="",TRUE,IF(IF(AK207="",VLOOKUP(AJ207,Calculs!$A$19:$S$425,19,FALSE),VLOOKUP(AK207,Calculs!$A$19:$S$425,19,FALSE))&gt;=AL207,TRUE,FALSE))</f>
        <v>1</v>
      </c>
      <c r="AN207" s="158"/>
      <c r="AO207" s="158"/>
      <c r="AP207" s="158"/>
      <c r="AQ207" s="158" t="b">
        <f>IF(AN207="",TRUE,IF(IF(AO207="",VLOOKUP(AN207,Calculs!$A$19:$S$425,19,FALSE),VLOOKUP(AO207,Calculs!$A$19:$S$425,19,FALSE))&gt;=AP207,TRUE,FALSE))</f>
        <v>1</v>
      </c>
      <c r="AR207" s="158"/>
      <c r="AS207" s="158" t="b">
        <f>IF(AR207="",TRUE,IF(VLOOKUP(AR207,Calculs!$A$427:$G$738,7,FALSE)&gt;0,TRUE,FALSE))</f>
        <v>1</v>
      </c>
      <c r="AT207" s="158"/>
      <c r="AU207" s="158" t="b">
        <f>IF(AT207="",TRUE,IF(VLOOKUP(AT207,Calculs!$A$740:$G$912,7,FALSE)&gt;0,TRUE,FALSE))</f>
        <v>1</v>
      </c>
      <c r="AV207" s="158" t="b">
        <f t="shared" si="23"/>
        <v>1</v>
      </c>
      <c r="AW207" s="158" t="s">
        <v>2078</v>
      </c>
      <c r="AX207" s="162" t="s">
        <v>3</v>
      </c>
      <c r="AY207" s="15">
        <v>108</v>
      </c>
      <c r="AZ207" s="555" t="s">
        <v>8525</v>
      </c>
      <c r="BA207" s="559">
        <f>IF(Verso!$B$10=Voies!$B207,1,0)</f>
        <v>0</v>
      </c>
      <c r="BB207" s="12">
        <f>IF(Verso!$B$11=Voies!$B207,1,0)</f>
        <v>0</v>
      </c>
      <c r="BC207" s="12">
        <f>IF(Verso!$B$12=Voies!$B207,1,0)</f>
        <v>0</v>
      </c>
      <c r="BD207" s="12">
        <f>IF(Verso!$B$13=Voies!$B207,1,0)</f>
        <v>0</v>
      </c>
      <c r="BE207" s="12">
        <f>IF(Verso!$B$14=Voies!$B207,1,0)</f>
        <v>0</v>
      </c>
      <c r="BF207" s="12">
        <f>IF(Verso!$B$15=Voies!$B207,1,0)</f>
        <v>0</v>
      </c>
      <c r="BG207" s="12">
        <f>IF(Verso!$B$16=Voies!$B207,1,0)</f>
        <v>0</v>
      </c>
      <c r="BH207" s="12">
        <f>IF(Verso!$B$17=Voies!$B207,1,0)</f>
        <v>0</v>
      </c>
      <c r="BI207" s="557">
        <f t="shared" si="24"/>
        <v>0</v>
      </c>
      <c r="BJ207" s="196" t="str">
        <f t="shared" si="25"/>
        <v/>
      </c>
      <c r="BK207" s="196" t="str">
        <f t="shared" si="26"/>
        <v/>
      </c>
      <c r="BL207" s="295" t="str">
        <f t="shared" si="27"/>
        <v/>
      </c>
    </row>
    <row r="208" spans="1:65" ht="47.25" customHeight="1" x14ac:dyDescent="0.25">
      <c r="A208" s="162" t="str">
        <f>IF(AND(Réputation&gt;Voies!E208-1,OR(C208=TRUE,Calculs!$I$8&gt;0),Air&gt;Voies!J208-1,Eau&gt;Voies!K208-1,Feu&gt;Voies!L208-1,Terre&gt;Voies!M208-1,Vide&gt;Voies!N208-1,Constitution&gt;Voies!O208-1,Volonté&gt;Voies!P208-1,Force&gt;Voies!Q208-1,Perception&gt;Voies!R208-1,Reflexes&gt;Voies!S208-1,Agilité&gt;Voies!T208-1,Intuition&gt;Voies!U208-1,Intelligence&gt;Voies!V208-1,Souillure&gt;Voies!W208-1,Honneur&gt;X208-1,Statut&gt;Y208-1,Gloire&gt;Z208-1,AV208=TRUE),Voies!B208,"")</f>
        <v/>
      </c>
      <c r="B208" s="162" t="s">
        <v>6038</v>
      </c>
      <c r="C208" s="162" t="b">
        <f>IF(Clan=Voies!D208,TRUE,FALSE)</f>
        <v>0</v>
      </c>
      <c r="D208" s="387" t="s">
        <v>175</v>
      </c>
      <c r="E208" s="13">
        <v>2</v>
      </c>
      <c r="F208" s="199">
        <v>2</v>
      </c>
      <c r="G208" s="13" t="s">
        <v>2050</v>
      </c>
      <c r="H208" s="162" t="s">
        <v>6036</v>
      </c>
      <c r="I208" s="129" t="str">
        <f>IF(B208="","","Rien")</f>
        <v>Rien</v>
      </c>
      <c r="J208" s="146">
        <v>0</v>
      </c>
      <c r="K208" s="147">
        <v>0</v>
      </c>
      <c r="L208" s="148">
        <v>0</v>
      </c>
      <c r="M208" s="149">
        <v>0</v>
      </c>
      <c r="N208" s="150">
        <v>0</v>
      </c>
      <c r="O208" s="130">
        <v>0</v>
      </c>
      <c r="P208" s="130">
        <v>0</v>
      </c>
      <c r="Q208" s="130">
        <v>0</v>
      </c>
      <c r="R208" s="130">
        <v>0</v>
      </c>
      <c r="S208" s="130">
        <v>0</v>
      </c>
      <c r="T208" s="130">
        <v>0</v>
      </c>
      <c r="U208" s="130">
        <v>0</v>
      </c>
      <c r="V208" s="524">
        <v>0</v>
      </c>
      <c r="W208" s="130">
        <v>0</v>
      </c>
      <c r="X208" s="130">
        <v>0</v>
      </c>
      <c r="Y208" s="130">
        <v>0</v>
      </c>
      <c r="Z208" s="130">
        <v>0</v>
      </c>
      <c r="AA208" s="158" t="s">
        <v>2078</v>
      </c>
      <c r="AB208" s="158"/>
      <c r="AC208" s="158"/>
      <c r="AD208" s="158"/>
      <c r="AE208" s="158" t="b">
        <f>IF(AB208="",TRUE,IF(IF(AC208="",VLOOKUP(AB208,Calculs!$A$19:$S$425,19,FALSE),VLOOKUP(AC208,Calculs!$A$19:$S$425,19,FALSE))&gt;=AD208,TRUE,FALSE))</f>
        <v>1</v>
      </c>
      <c r="AF208" s="158"/>
      <c r="AG208" s="158"/>
      <c r="AH208" s="158"/>
      <c r="AI208" s="158" t="b">
        <f>IF(AF208="",TRUE,IF(IF(AG208="",VLOOKUP(AF208,Calculs!$A$19:$S$425,19,FALSE),VLOOKUP(AG208,Calculs!$A$19:$S$425,19,FALSE))&gt;=AH208,TRUE,FALSE))</f>
        <v>1</v>
      </c>
      <c r="AJ208" s="158"/>
      <c r="AK208" s="158"/>
      <c r="AL208" s="158"/>
      <c r="AM208" s="158" t="b">
        <f>IF(AJ208="",TRUE,IF(IF(AK208="",VLOOKUP(AJ208,Calculs!$A$19:$S$425,19,FALSE),VLOOKUP(AK208,Calculs!$A$19:$S$425,19,FALSE))&gt;=AL208,TRUE,FALSE))</f>
        <v>1</v>
      </c>
      <c r="AN208" s="158"/>
      <c r="AO208" s="158"/>
      <c r="AP208" s="158"/>
      <c r="AQ208" s="158" t="b">
        <f>IF(AN208="",TRUE,IF(IF(AO208="",VLOOKUP(AN208,Calculs!$A$19:$S$425,19,FALSE),VLOOKUP(AO208,Calculs!$A$19:$S$425,19,FALSE))&gt;=AP208,TRUE,FALSE))</f>
        <v>1</v>
      </c>
      <c r="AR208" s="158"/>
      <c r="AS208" s="158" t="b">
        <f>IF(AR208="",TRUE,IF(VLOOKUP(AR208,Calculs!$A$427:$G$738,7,FALSE)&gt;0,TRUE,FALSE))</f>
        <v>1</v>
      </c>
      <c r="AT208" s="158"/>
      <c r="AU208" s="158" t="b">
        <f>IF(AT208="",TRUE,IF(VLOOKUP(AT208,Calculs!$A$740:$G$912,7,FALSE)&gt;0,TRUE,FALSE))</f>
        <v>1</v>
      </c>
      <c r="AV208" s="158" t="b">
        <f t="shared" si="23"/>
        <v>1</v>
      </c>
      <c r="AW208" s="158" t="s">
        <v>2078</v>
      </c>
      <c r="AX208" s="162" t="s">
        <v>6061</v>
      </c>
      <c r="AY208" s="15">
        <v>40</v>
      </c>
      <c r="AZ208" s="555" t="s">
        <v>3503</v>
      </c>
      <c r="BA208" s="559">
        <f>IF(Verso!$B$10=Voies!$B208,1,0)</f>
        <v>0</v>
      </c>
      <c r="BB208" s="12">
        <f>IF(Verso!$B$11=Voies!$B208,1,0)</f>
        <v>0</v>
      </c>
      <c r="BC208" s="12">
        <f>IF(Verso!$B$12=Voies!$B208,1,0)</f>
        <v>0</v>
      </c>
      <c r="BD208" s="12">
        <f>IF(Verso!$B$13=Voies!$B208,1,0)</f>
        <v>0</v>
      </c>
      <c r="BE208" s="12">
        <f>IF(Verso!$B$14=Voies!$B208,1,0)</f>
        <v>0</v>
      </c>
      <c r="BF208" s="12">
        <f>IF(Verso!$B$15=Voies!$B208,1,0)</f>
        <v>0</v>
      </c>
      <c r="BG208" s="12">
        <f>IF(Verso!$B$16=Voies!$B208,1,0)</f>
        <v>0</v>
      </c>
      <c r="BH208" s="12">
        <f>IF(Verso!$B$17=Voies!$B208,1,0)</f>
        <v>0</v>
      </c>
      <c r="BI208" s="557">
        <f t="shared" si="24"/>
        <v>0</v>
      </c>
      <c r="BJ208" s="196" t="str">
        <f t="shared" si="25"/>
        <v/>
      </c>
      <c r="BK208" s="196" t="str">
        <f t="shared" si="26"/>
        <v/>
      </c>
      <c r="BL208" s="295" t="str">
        <f t="shared" si="27"/>
        <v/>
      </c>
    </row>
    <row r="209" spans="1:65" s="196" customFormat="1" ht="47.25" customHeight="1" x14ac:dyDescent="0.25">
      <c r="A209" s="162" t="str">
        <f>IF(AND(Réputation&gt;Voies!E209-1,OR(C209=TRUE,Calculs!$I$8&gt;0),Air&gt;Voies!J209-1,Eau&gt;Voies!K209-1,Feu&gt;Voies!L209-1,Terre&gt;Voies!M209-1,Vide&gt;Voies!N209-1,Constitution&gt;Voies!O209-1,Volonté&gt;Voies!P209-1,Force&gt;Voies!Q209-1,Perception&gt;Voies!R209-1,Reflexes&gt;Voies!S209-1,Agilité&gt;Voies!T209-1,Intuition&gt;Voies!U209-1,Intelligence&gt;Voies!V209-1,Souillure&gt;Voies!W209-1,Honneur&gt;X209-1,Statut&gt;Y209-1,Gloire&gt;Z209-1,AV209=TRUE),Voies!B209,"")</f>
        <v/>
      </c>
      <c r="B209" s="162" t="s">
        <v>8019</v>
      </c>
      <c r="C209" s="162" t="b">
        <f>IF(Clan=Voies!D209,TRUE,FALSE)</f>
        <v>0</v>
      </c>
      <c r="D209" s="387" t="s">
        <v>175</v>
      </c>
      <c r="E209" s="199">
        <v>2</v>
      </c>
      <c r="F209" s="199">
        <v>2</v>
      </c>
      <c r="G209" s="199" t="s">
        <v>2048</v>
      </c>
      <c r="H209" s="162" t="s">
        <v>8018</v>
      </c>
      <c r="I209" s="129" t="s">
        <v>3607</v>
      </c>
      <c r="J209" s="146">
        <v>0</v>
      </c>
      <c r="K209" s="147">
        <v>0</v>
      </c>
      <c r="L209" s="148">
        <v>0</v>
      </c>
      <c r="M209" s="149">
        <v>0</v>
      </c>
      <c r="N209" s="150">
        <v>0</v>
      </c>
      <c r="O209" s="130">
        <v>0</v>
      </c>
      <c r="P209" s="130">
        <v>0</v>
      </c>
      <c r="Q209" s="130">
        <v>0</v>
      </c>
      <c r="R209" s="130">
        <v>0</v>
      </c>
      <c r="S209" s="130">
        <v>0</v>
      </c>
      <c r="T209" s="130">
        <v>0</v>
      </c>
      <c r="U209" s="130">
        <v>0</v>
      </c>
      <c r="V209" s="524">
        <v>0</v>
      </c>
      <c r="W209" s="130">
        <v>0</v>
      </c>
      <c r="X209" s="130">
        <v>0</v>
      </c>
      <c r="Y209" s="130">
        <v>0</v>
      </c>
      <c r="Z209" s="130">
        <v>0</v>
      </c>
      <c r="AA209" s="158" t="s">
        <v>2078</v>
      </c>
      <c r="AB209" s="158"/>
      <c r="AC209" s="158"/>
      <c r="AD209" s="158"/>
      <c r="AE209" s="158" t="b">
        <f>IF(AB209="",TRUE,IF(IF(AC209="",VLOOKUP(AB209,Calculs!$A$19:$S$425,19,FALSE),VLOOKUP(AC209,Calculs!$A$19:$S$425,19,FALSE))&gt;=AD209,TRUE,FALSE))</f>
        <v>1</v>
      </c>
      <c r="AF209" s="158"/>
      <c r="AG209" s="158"/>
      <c r="AH209" s="158"/>
      <c r="AI209" s="158" t="b">
        <f>IF(AF209="",TRUE,IF(IF(AG209="",VLOOKUP(AF209,Calculs!$A$19:$S$425,19,FALSE),VLOOKUP(AG209,Calculs!$A$19:$S$425,19,FALSE))&gt;=AH209,TRUE,FALSE))</f>
        <v>1</v>
      </c>
      <c r="AJ209" s="158"/>
      <c r="AK209" s="158"/>
      <c r="AL209" s="158"/>
      <c r="AM209" s="158" t="b">
        <f>IF(AJ209="",TRUE,IF(IF(AK209="",VLOOKUP(AJ209,Calculs!$A$19:$S$425,19,FALSE),VLOOKUP(AK209,Calculs!$A$19:$S$425,19,FALSE))&gt;=AL209,TRUE,FALSE))</f>
        <v>1</v>
      </c>
      <c r="AN209" s="158"/>
      <c r="AO209" s="158"/>
      <c r="AP209" s="158"/>
      <c r="AQ209" s="158" t="b">
        <f>IF(AN209="",TRUE,IF(IF(AO209="",VLOOKUP(AN209,Calculs!$A$19:$S$425,19,FALSE),VLOOKUP(AO209,Calculs!$A$19:$S$425,19,FALSE))&gt;=AP209,TRUE,FALSE))</f>
        <v>1</v>
      </c>
      <c r="AR209" s="158"/>
      <c r="AS209" s="158" t="b">
        <f>IF(AR209="",TRUE,IF(VLOOKUP(AR209,Calculs!$A$427:$G$738,7,FALSE)&gt;0,TRUE,FALSE))</f>
        <v>1</v>
      </c>
      <c r="AT209" s="158"/>
      <c r="AU209" s="158" t="b">
        <f>IF(AT209="",TRUE,IF(VLOOKUP(AT209,Calculs!$A$740:$G$912,7,FALSE)&gt;0,TRUE,FALSE))</f>
        <v>1</v>
      </c>
      <c r="AV209" s="158" t="b">
        <f t="shared" si="23"/>
        <v>1</v>
      </c>
      <c r="AW209" s="158" t="s">
        <v>2078</v>
      </c>
      <c r="AX209" s="162" t="s">
        <v>8021</v>
      </c>
      <c r="AY209" s="15">
        <v>8</v>
      </c>
      <c r="AZ209" s="555" t="s">
        <v>8020</v>
      </c>
      <c r="BA209" s="559">
        <f>IF(Verso!$B$10=Voies!$B209,1,0)</f>
        <v>0</v>
      </c>
      <c r="BB209" s="12">
        <f>IF(Verso!$B$11=Voies!$B209,1,0)</f>
        <v>0</v>
      </c>
      <c r="BC209" s="12">
        <f>IF(Verso!$B$12=Voies!$B209,1,0)</f>
        <v>0</v>
      </c>
      <c r="BD209" s="12">
        <f>IF(Verso!$B$13=Voies!$B209,1,0)</f>
        <v>0</v>
      </c>
      <c r="BE209" s="12">
        <f>IF(Verso!$B$14=Voies!$B209,1,0)</f>
        <v>0</v>
      </c>
      <c r="BF209" s="12">
        <f>IF(Verso!$B$15=Voies!$B209,1,0)</f>
        <v>0</v>
      </c>
      <c r="BG209" s="12">
        <f>IF(Verso!$B$16=Voies!$B209,1,0)</f>
        <v>0</v>
      </c>
      <c r="BH209" s="12">
        <f>IF(Verso!$B$17=Voies!$B209,1,0)</f>
        <v>0</v>
      </c>
      <c r="BI209" s="557">
        <f t="shared" si="24"/>
        <v>0</v>
      </c>
      <c r="BJ209" s="196" t="str">
        <f t="shared" si="25"/>
        <v/>
      </c>
      <c r="BK209" s="196" t="str">
        <f t="shared" si="26"/>
        <v/>
      </c>
      <c r="BL209" s="295" t="str">
        <f t="shared" si="27"/>
        <v/>
      </c>
      <c r="BM209" s="91"/>
    </row>
    <row r="210" spans="1:65" ht="47.25" customHeight="1" x14ac:dyDescent="0.25">
      <c r="A210" s="162" t="str">
        <f>IF(AND(Réputation&gt;Voies!E210-1,OR(C210=TRUE,Calculs!$I$8&gt;0),Air&gt;Voies!J210-1,Eau&gt;Voies!K210-1,Feu&gt;Voies!L210-1,Terre&gt;Voies!M210-1,Vide&gt;Voies!N210-1,Constitution&gt;Voies!O210-1,Volonté&gt;Voies!P210-1,Force&gt;Voies!Q210-1,Perception&gt;Voies!R210-1,Reflexes&gt;Voies!S210-1,Agilité&gt;Voies!T210-1,Intuition&gt;Voies!U210-1,Intelligence&gt;Voies!V210-1,Souillure&gt;Voies!W210-1,Honneur&gt;X210-1,Statut&gt;Y210-1,Gloire&gt;Z210-1,AV210=TRUE),Voies!B210,"")</f>
        <v/>
      </c>
      <c r="B210" s="162" t="s">
        <v>6040</v>
      </c>
      <c r="C210" s="162" t="b">
        <f>IF(Clan=Voies!D210,TRUE,FALSE)</f>
        <v>0</v>
      </c>
      <c r="D210" s="387" t="s">
        <v>175</v>
      </c>
      <c r="E210" s="13">
        <v>2</v>
      </c>
      <c r="F210" s="199">
        <v>2</v>
      </c>
      <c r="G210" s="13" t="s">
        <v>2048</v>
      </c>
      <c r="H210" s="162" t="s">
        <v>469</v>
      </c>
      <c r="I210" s="129" t="s">
        <v>3607</v>
      </c>
      <c r="J210" s="146">
        <v>0</v>
      </c>
      <c r="K210" s="147">
        <v>0</v>
      </c>
      <c r="L210" s="148">
        <v>0</v>
      </c>
      <c r="M210" s="149">
        <v>0</v>
      </c>
      <c r="N210" s="150">
        <v>0</v>
      </c>
      <c r="O210" s="130">
        <v>0</v>
      </c>
      <c r="P210" s="130">
        <v>3</v>
      </c>
      <c r="Q210" s="130">
        <v>0</v>
      </c>
      <c r="R210" s="130">
        <v>3</v>
      </c>
      <c r="S210" s="130">
        <v>0</v>
      </c>
      <c r="T210" s="130">
        <v>0</v>
      </c>
      <c r="U210" s="130">
        <v>0</v>
      </c>
      <c r="V210" s="524">
        <v>0</v>
      </c>
      <c r="W210" s="130">
        <v>0</v>
      </c>
      <c r="X210" s="130">
        <v>0</v>
      </c>
      <c r="Y210" s="130">
        <v>0</v>
      </c>
      <c r="Z210" s="130">
        <v>0</v>
      </c>
      <c r="AA210" s="159" t="s">
        <v>3608</v>
      </c>
      <c r="AB210" s="159" t="s">
        <v>1261</v>
      </c>
      <c r="AE210" s="158" t="b">
        <f>IF(AB210="",TRUE,IF(IF(AC210="",VLOOKUP(AB210,Calculs!$A$19:$S$425,19,FALSE),VLOOKUP(AC210,Calculs!$A$19:$S$425,19,FALSE))&gt;=AD210,TRUE,FALSE))</f>
        <v>1</v>
      </c>
      <c r="AI210" s="158" t="b">
        <f>IF(AF210="",TRUE,IF(IF(AG210="",VLOOKUP(AF210,Calculs!$A$19:$S$425,19,FALSE),VLOOKUP(AG210,Calculs!$A$19:$S$425,19,FALSE))&gt;=AH210,TRUE,FALSE))</f>
        <v>1</v>
      </c>
      <c r="AM210" s="158" t="b">
        <f>IF(AJ210="",TRUE,IF(IF(AK210="",VLOOKUP(AJ210,Calculs!$A$19:$S$425,19,FALSE),VLOOKUP(AK210,Calculs!$A$19:$S$425,19,FALSE))&gt;=AL210,TRUE,FALSE))</f>
        <v>1</v>
      </c>
      <c r="AQ210" s="158" t="b">
        <f>IF(AN210="",TRUE,IF(IF(AO210="",VLOOKUP(AN210,Calculs!$A$19:$S$425,19,FALSE),VLOOKUP(AO210,Calculs!$A$19:$S$425,19,FALSE))&gt;=AP210,TRUE,FALSE))</f>
        <v>1</v>
      </c>
      <c r="AR210" s="158"/>
      <c r="AS210" s="158" t="b">
        <f>IF(AR210="",TRUE,IF(VLOOKUP(AR210,Calculs!$A$427:$G$738,7,FALSE)&gt;0,TRUE,FALSE))</f>
        <v>1</v>
      </c>
      <c r="AT210" s="158"/>
      <c r="AU210" s="158" t="b">
        <f>IF(AT210="",TRUE,IF(VLOOKUP(AT210,Calculs!$A$740:$G$912,7,FALSE)&gt;0,TRUE,FALSE))</f>
        <v>1</v>
      </c>
      <c r="AV210" s="158" t="b">
        <f t="shared" si="23"/>
        <v>1</v>
      </c>
      <c r="AW210" s="158" t="s">
        <v>2078</v>
      </c>
      <c r="AX210" s="162" t="s">
        <v>6061</v>
      </c>
      <c r="AY210" s="15">
        <v>40</v>
      </c>
      <c r="AZ210" s="555" t="s">
        <v>3609</v>
      </c>
      <c r="BA210" s="559">
        <f>IF(Verso!$B$10=Voies!$B210,1,0)</f>
        <v>0</v>
      </c>
      <c r="BB210" s="12">
        <f>IF(Verso!$B$11=Voies!$B210,1,0)</f>
        <v>0</v>
      </c>
      <c r="BC210" s="12">
        <f>IF(Verso!$B$12=Voies!$B210,1,0)</f>
        <v>0</v>
      </c>
      <c r="BD210" s="12">
        <f>IF(Verso!$B$13=Voies!$B210,1,0)</f>
        <v>0</v>
      </c>
      <c r="BE210" s="12">
        <f>IF(Verso!$B$14=Voies!$B210,1,0)</f>
        <v>0</v>
      </c>
      <c r="BF210" s="12">
        <f>IF(Verso!$B$15=Voies!$B210,1,0)</f>
        <v>0</v>
      </c>
      <c r="BG210" s="12">
        <f>IF(Verso!$B$16=Voies!$B210,1,0)</f>
        <v>0</v>
      </c>
      <c r="BH210" s="12">
        <f>IF(Verso!$B$17=Voies!$B210,1,0)</f>
        <v>0</v>
      </c>
      <c r="BI210" s="557">
        <f t="shared" si="24"/>
        <v>0</v>
      </c>
      <c r="BJ210" s="196" t="str">
        <f t="shared" si="25"/>
        <v/>
      </c>
      <c r="BK210" s="196" t="str">
        <f t="shared" si="26"/>
        <v/>
      </c>
      <c r="BL210" s="295" t="str">
        <f t="shared" si="27"/>
        <v/>
      </c>
    </row>
    <row r="211" spans="1:65" ht="47.25" customHeight="1" x14ac:dyDescent="0.25">
      <c r="A211" s="162" t="str">
        <f>IF(AND(Réputation&gt;Voies!E211-1,OR(C211=TRUE,Calculs!$I$8&gt;0),Air&gt;Voies!J211-1,Eau&gt;Voies!K211-1,Feu&gt;Voies!L211-1,Terre&gt;Voies!M211-1,Vide&gt;Voies!N211-1,Constitution&gt;Voies!O211-1,Volonté&gt;Voies!P211-1,Force&gt;Voies!Q211-1,Perception&gt;Voies!R211-1,Reflexes&gt;Voies!S211-1,Agilité&gt;Voies!T211-1,Intuition&gt;Voies!U211-1,Intelligence&gt;Voies!V211-1,Souillure&gt;Voies!W211-1,Honneur&gt;X211-1,Statut&gt;Y211-1,Gloire&gt;Z211-1,AV211=TRUE),Voies!B211,"")</f>
        <v/>
      </c>
      <c r="B211" s="162" t="s">
        <v>3494</v>
      </c>
      <c r="C211" s="162" t="b">
        <f>IF(Clan=Voies!D211,TRUE,FALSE)</f>
        <v>0</v>
      </c>
      <c r="D211" s="387" t="s">
        <v>175</v>
      </c>
      <c r="E211" s="13">
        <v>3</v>
      </c>
      <c r="F211" s="199">
        <v>3</v>
      </c>
      <c r="G211" s="13" t="s">
        <v>2055</v>
      </c>
      <c r="H211" s="219" t="s">
        <v>3490</v>
      </c>
      <c r="I211" s="129" t="str">
        <f>IF(B213="","","Rien")</f>
        <v>Rien</v>
      </c>
      <c r="J211" s="146">
        <v>0</v>
      </c>
      <c r="K211" s="147">
        <v>0</v>
      </c>
      <c r="L211" s="148">
        <v>0</v>
      </c>
      <c r="M211" s="149">
        <v>0</v>
      </c>
      <c r="N211" s="150">
        <v>0</v>
      </c>
      <c r="O211" s="130">
        <v>0</v>
      </c>
      <c r="P211" s="130">
        <v>0</v>
      </c>
      <c r="Q211" s="130">
        <v>0</v>
      </c>
      <c r="R211" s="130">
        <v>0</v>
      </c>
      <c r="S211" s="130">
        <v>0</v>
      </c>
      <c r="T211" s="130">
        <v>0</v>
      </c>
      <c r="U211" s="130">
        <v>0</v>
      </c>
      <c r="V211" s="524">
        <v>0</v>
      </c>
      <c r="W211" s="130">
        <v>0</v>
      </c>
      <c r="X211" s="130">
        <v>0</v>
      </c>
      <c r="Y211" s="130">
        <v>0</v>
      </c>
      <c r="Z211" s="130">
        <v>0</v>
      </c>
      <c r="AA211" s="158" t="s">
        <v>2078</v>
      </c>
      <c r="AB211" s="158"/>
      <c r="AC211" s="158"/>
      <c r="AD211" s="158"/>
      <c r="AE211" s="158" t="b">
        <f>IF(AB211="",TRUE,IF(IF(AC211="",VLOOKUP(AB211,Calculs!$A$19:$S$425,19,FALSE),VLOOKUP(AC211,Calculs!$A$19:$S$425,19,FALSE))&gt;=AD211,TRUE,FALSE))</f>
        <v>1</v>
      </c>
      <c r="AF211" s="158"/>
      <c r="AG211" s="158"/>
      <c r="AH211" s="158"/>
      <c r="AI211" s="158" t="b">
        <f>IF(AF211="",TRUE,IF(IF(AG211="",VLOOKUP(AF211,Calculs!$A$19:$S$425,19,FALSE),VLOOKUP(AG211,Calculs!$A$19:$S$425,19,FALSE))&gt;=AH211,TRUE,FALSE))</f>
        <v>1</v>
      </c>
      <c r="AJ211" s="158"/>
      <c r="AK211" s="158"/>
      <c r="AL211" s="158"/>
      <c r="AM211" s="158" t="b">
        <f>IF(AJ211="",TRUE,IF(IF(AK211="",VLOOKUP(AJ211,Calculs!$A$19:$S$425,19,FALSE),VLOOKUP(AK211,Calculs!$A$19:$S$425,19,FALSE))&gt;=AL211,TRUE,FALSE))</f>
        <v>1</v>
      </c>
      <c r="AN211" s="158"/>
      <c r="AO211" s="158"/>
      <c r="AP211" s="158"/>
      <c r="AQ211" s="158" t="b">
        <f>IF(AN211="",TRUE,IF(IF(AO211="",VLOOKUP(AN211,Calculs!$A$19:$S$425,19,FALSE),VLOOKUP(AO211,Calculs!$A$19:$S$425,19,FALSE))&gt;=AP211,TRUE,FALSE))</f>
        <v>1</v>
      </c>
      <c r="AR211" s="158"/>
      <c r="AS211" s="158" t="b">
        <f>IF(AR211="",TRUE,IF(VLOOKUP(AR211,Calculs!$A$427:$G$738,7,FALSE)&gt;0,TRUE,FALSE))</f>
        <v>1</v>
      </c>
      <c r="AT211" s="158"/>
      <c r="AU211" s="158" t="b">
        <f>IF(AT211="",TRUE,IF(VLOOKUP(AT211,Calculs!$A$740:$G$912,7,FALSE)&gt;0,TRUE,FALSE))</f>
        <v>1</v>
      </c>
      <c r="AV211" s="158" t="b">
        <f t="shared" si="23"/>
        <v>1</v>
      </c>
      <c r="AW211" s="158" t="s">
        <v>2078</v>
      </c>
      <c r="AX211" s="162" t="s">
        <v>6061</v>
      </c>
      <c r="AY211" s="15">
        <v>39</v>
      </c>
      <c r="AZ211" s="555" t="s">
        <v>8526</v>
      </c>
      <c r="BA211" s="559">
        <f>IF(Verso!$B$10=Voies!$B211,1,0)</f>
        <v>0</v>
      </c>
      <c r="BB211" s="12">
        <f>IF(Verso!$B$11=Voies!$B211,1,0)</f>
        <v>0</v>
      </c>
      <c r="BC211" s="12">
        <f>IF(Verso!$B$12=Voies!$B211,1,0)</f>
        <v>0</v>
      </c>
      <c r="BD211" s="12">
        <f>IF(Verso!$B$13=Voies!$B211,1,0)</f>
        <v>0</v>
      </c>
      <c r="BE211" s="12">
        <f>IF(Verso!$B$14=Voies!$B211,1,0)</f>
        <v>0</v>
      </c>
      <c r="BF211" s="12">
        <f>IF(Verso!$B$15=Voies!$B211,1,0)</f>
        <v>0</v>
      </c>
      <c r="BG211" s="12">
        <f>IF(Verso!$B$16=Voies!$B211,1,0)</f>
        <v>0</v>
      </c>
      <c r="BH211" s="12">
        <f>IF(Verso!$B$17=Voies!$B211,1,0)</f>
        <v>0</v>
      </c>
      <c r="BI211" s="557">
        <f t="shared" si="24"/>
        <v>0</v>
      </c>
      <c r="BJ211" s="196" t="str">
        <f t="shared" si="25"/>
        <v/>
      </c>
      <c r="BK211" s="196" t="str">
        <f t="shared" si="26"/>
        <v/>
      </c>
      <c r="BL211" s="295" t="str">
        <f t="shared" si="27"/>
        <v/>
      </c>
    </row>
    <row r="212" spans="1:65" ht="47.25" customHeight="1" x14ac:dyDescent="0.25">
      <c r="A212" s="162" t="str">
        <f>IF(AND(Réputation&gt;Voies!E212-1,OR(C212=TRUE,Calculs!$I$8&gt;0),Air&gt;Voies!J212-1,Eau&gt;Voies!K212-1,Feu&gt;Voies!L212-1,Terre&gt;Voies!M212-1,Vide&gt;Voies!N212-1,Constitution&gt;Voies!O212-1,Volonté&gt;Voies!P212-1,Force&gt;Voies!Q212-1,Perception&gt;Voies!R212-1,Reflexes&gt;Voies!S212-1,Agilité&gt;Voies!T212-1,Intuition&gt;Voies!U212-1,Intelligence&gt;Voies!V212-1,Souillure&gt;Voies!W212-1,Honneur&gt;X212-1,Statut&gt;Y212-1,Gloire&gt;Z212-1,AV212=TRUE),Voies!B212,"")</f>
        <v/>
      </c>
      <c r="B212" s="162" t="s">
        <v>3705</v>
      </c>
      <c r="C212" s="162" t="b">
        <f>IF(Clan=Voies!D212,TRUE,FALSE)</f>
        <v>0</v>
      </c>
      <c r="D212" s="387" t="s">
        <v>175</v>
      </c>
      <c r="E212" s="13">
        <v>3</v>
      </c>
      <c r="F212" s="199" t="s">
        <v>3707</v>
      </c>
      <c r="G212" s="13" t="s">
        <v>2055</v>
      </c>
      <c r="H212" s="162" t="s">
        <v>479</v>
      </c>
      <c r="I212" s="129" t="s">
        <v>3706</v>
      </c>
      <c r="J212" s="146">
        <v>0</v>
      </c>
      <c r="K212" s="147">
        <v>0</v>
      </c>
      <c r="L212" s="148">
        <v>0</v>
      </c>
      <c r="M212" s="149">
        <v>0</v>
      </c>
      <c r="N212" s="150">
        <v>0</v>
      </c>
      <c r="O212" s="130">
        <v>0</v>
      </c>
      <c r="P212" s="130">
        <v>0</v>
      </c>
      <c r="Q212" s="130">
        <v>0</v>
      </c>
      <c r="R212" s="130">
        <v>0</v>
      </c>
      <c r="S212" s="130">
        <v>0</v>
      </c>
      <c r="T212" s="130">
        <v>0</v>
      </c>
      <c r="U212" s="130">
        <v>0</v>
      </c>
      <c r="V212" s="524">
        <v>0</v>
      </c>
      <c r="W212" s="130">
        <v>0</v>
      </c>
      <c r="X212" s="130">
        <v>0</v>
      </c>
      <c r="Y212" s="130">
        <v>0</v>
      </c>
      <c r="Z212" s="130">
        <v>0</v>
      </c>
      <c r="AA212" s="159" t="s">
        <v>3708</v>
      </c>
      <c r="AB212" s="159" t="s">
        <v>231</v>
      </c>
      <c r="AD212" s="159">
        <v>4</v>
      </c>
      <c r="AE212" s="158" t="b">
        <f>IF(AB212="",TRUE,IF(IF(AC212="",VLOOKUP(AB212,Calculs!$A$19:$S$425,19,FALSE),VLOOKUP(AC212,Calculs!$A$19:$S$425,19,FALSE))&gt;=AD212,TRUE,FALSE))</f>
        <v>0</v>
      </c>
      <c r="AF212" s="159" t="s">
        <v>3324</v>
      </c>
      <c r="AH212" s="159">
        <v>5</v>
      </c>
      <c r="AI212" s="158" t="b">
        <f>IF(AF212="",TRUE,IF(IF(AG212="",VLOOKUP(AF212,Calculs!$A$19:$S$425,19,FALSE),VLOOKUP(AG212,Calculs!$A$19:$S$425,19,FALSE))&gt;=AH212,TRUE,FALSE))</f>
        <v>0</v>
      </c>
      <c r="AM212" s="158" t="b">
        <f>IF(AJ212="",TRUE,IF(IF(AK212="",VLOOKUP(AJ212,Calculs!$A$19:$S$425,19,FALSE),VLOOKUP(AK212,Calculs!$A$19:$S$425,19,FALSE))&gt;=AL212,TRUE,FALSE))</f>
        <v>1</v>
      </c>
      <c r="AQ212" s="158" t="b">
        <f>IF(AN212="",TRUE,IF(IF(AO212="",VLOOKUP(AN212,Calculs!$A$19:$S$425,19,FALSE),VLOOKUP(AO212,Calculs!$A$19:$S$425,19,FALSE))&gt;=AP212,TRUE,FALSE))</f>
        <v>1</v>
      </c>
      <c r="AR212" s="158"/>
      <c r="AS212" s="158" t="b">
        <f>IF(AR212="",TRUE,IF(VLOOKUP(AR212,Calculs!$A$427:$G$738,7,FALSE)&gt;0,TRUE,FALSE))</f>
        <v>1</v>
      </c>
      <c r="AT212" s="158"/>
      <c r="AU212" s="158" t="b">
        <f>IF(AT212="",TRUE,IF(VLOOKUP(AT212,Calculs!$A$740:$G$912,7,FALSE)&gt;0,TRUE,FALSE))</f>
        <v>1</v>
      </c>
      <c r="AV212" s="158" t="b">
        <f t="shared" si="23"/>
        <v>0</v>
      </c>
      <c r="AW212" s="158" t="s">
        <v>2078</v>
      </c>
      <c r="AX212" s="162" t="s">
        <v>2076</v>
      </c>
      <c r="AY212" s="15">
        <v>197</v>
      </c>
      <c r="AZ212" s="555" t="s">
        <v>3709</v>
      </c>
      <c r="BA212" s="559">
        <f>IF(Verso!$B$10=Voies!$B212,1,0)</f>
        <v>0</v>
      </c>
      <c r="BB212" s="12">
        <f>IF(Verso!$B$11=Voies!$B212,1,0)</f>
        <v>0</v>
      </c>
      <c r="BC212" s="12">
        <f>IF(Verso!$B$12=Voies!$B212,1,0)</f>
        <v>0</v>
      </c>
      <c r="BD212" s="12">
        <f>IF(Verso!$B$13=Voies!$B212,1,0)</f>
        <v>0</v>
      </c>
      <c r="BE212" s="12">
        <f>IF(Verso!$B$14=Voies!$B212,1,0)</f>
        <v>0</v>
      </c>
      <c r="BF212" s="12">
        <f>IF(Verso!$B$15=Voies!$B212,1,0)</f>
        <v>0</v>
      </c>
      <c r="BG212" s="12">
        <f>IF(Verso!$B$16=Voies!$B212,1,0)</f>
        <v>0</v>
      </c>
      <c r="BH212" s="12">
        <f>IF(Verso!$B$17=Voies!$B212,1,0)</f>
        <v>0</v>
      </c>
      <c r="BI212" s="557">
        <f t="shared" si="24"/>
        <v>0</v>
      </c>
      <c r="BJ212" s="196" t="str">
        <f t="shared" si="25"/>
        <v/>
      </c>
      <c r="BK212" s="196" t="str">
        <f t="shared" si="26"/>
        <v/>
      </c>
      <c r="BL212" s="295" t="str">
        <f t="shared" si="27"/>
        <v/>
      </c>
    </row>
    <row r="213" spans="1:65" ht="47.25" customHeight="1" x14ac:dyDescent="0.25">
      <c r="A213" s="162" t="str">
        <f>IF(AND(Réputation&gt;Voies!E213-1,OR(C213=TRUE,Calculs!$I$8&gt;0),Air&gt;Voies!J213-1,Eau&gt;Voies!K213-1,Feu&gt;Voies!L213-1,Terre&gt;Voies!M213-1,Vide&gt;Voies!N213-1,Constitution&gt;Voies!O213-1,Volonté&gt;Voies!P213-1,Force&gt;Voies!Q213-1,Perception&gt;Voies!R213-1,Reflexes&gt;Voies!S213-1,Agilité&gt;Voies!T213-1,Intuition&gt;Voies!U213-1,Intelligence&gt;Voies!V213-1,Souillure&gt;Voies!W213-1,Honneur&gt;X213-1,Statut&gt;Y213-1,Gloire&gt;Z213-1,AV213=TRUE),Voies!B213,"")</f>
        <v/>
      </c>
      <c r="B213" s="162" t="s">
        <v>2212</v>
      </c>
      <c r="C213" s="162" t="b">
        <f>IF(Clan=Voies!D213,TRUE,FALSE)</f>
        <v>0</v>
      </c>
      <c r="D213" s="387" t="s">
        <v>175</v>
      </c>
      <c r="E213" s="13">
        <v>3</v>
      </c>
      <c r="F213" s="199">
        <v>3</v>
      </c>
      <c r="G213" s="13" t="s">
        <v>2049</v>
      </c>
      <c r="H213" s="162" t="s">
        <v>191</v>
      </c>
      <c r="I213" s="129" t="str">
        <f>IF(B213="","","Rien")</f>
        <v>Rien</v>
      </c>
      <c r="J213" s="146">
        <v>0</v>
      </c>
      <c r="K213" s="147">
        <v>0</v>
      </c>
      <c r="L213" s="148">
        <v>0</v>
      </c>
      <c r="M213" s="149">
        <v>0</v>
      </c>
      <c r="N213" s="150">
        <v>0</v>
      </c>
      <c r="O213" s="130">
        <v>0</v>
      </c>
      <c r="P213" s="130">
        <v>0</v>
      </c>
      <c r="Q213" s="130">
        <v>0</v>
      </c>
      <c r="R213" s="130">
        <v>0</v>
      </c>
      <c r="S213" s="130">
        <v>0</v>
      </c>
      <c r="T213" s="130">
        <v>0</v>
      </c>
      <c r="U213" s="130">
        <v>0</v>
      </c>
      <c r="V213" s="524">
        <v>0</v>
      </c>
      <c r="W213" s="130">
        <v>0</v>
      </c>
      <c r="X213" s="130">
        <v>0</v>
      </c>
      <c r="Y213" s="130">
        <v>0</v>
      </c>
      <c r="Z213" s="130">
        <v>0</v>
      </c>
      <c r="AA213" s="158" t="s">
        <v>2078</v>
      </c>
      <c r="AB213" s="158"/>
      <c r="AC213" s="158"/>
      <c r="AD213" s="158"/>
      <c r="AE213" s="158" t="b">
        <f>IF(AB213="",TRUE,IF(IF(AC213="",VLOOKUP(AB213,Calculs!$A$19:$S$425,19,FALSE),VLOOKUP(AC213,Calculs!$A$19:$S$425,19,FALSE))&gt;=AD213,TRUE,FALSE))</f>
        <v>1</v>
      </c>
      <c r="AF213" s="158"/>
      <c r="AG213" s="158"/>
      <c r="AH213" s="158"/>
      <c r="AI213" s="158" t="b">
        <f>IF(AF213="",TRUE,IF(IF(AG213="",VLOOKUP(AF213,Calculs!$A$19:$S$425,19,FALSE),VLOOKUP(AG213,Calculs!$A$19:$S$425,19,FALSE))&gt;=AH213,TRUE,FALSE))</f>
        <v>1</v>
      </c>
      <c r="AJ213" s="158"/>
      <c r="AK213" s="158"/>
      <c r="AL213" s="158"/>
      <c r="AM213" s="158" t="b">
        <f>IF(AJ213="",TRUE,IF(IF(AK213="",VLOOKUP(AJ213,Calculs!$A$19:$S$425,19,FALSE),VLOOKUP(AK213,Calculs!$A$19:$S$425,19,FALSE))&gt;=AL213,TRUE,FALSE))</f>
        <v>1</v>
      </c>
      <c r="AN213" s="158"/>
      <c r="AO213" s="158"/>
      <c r="AP213" s="158"/>
      <c r="AQ213" s="158" t="b">
        <f>IF(AN213="",TRUE,IF(IF(AO213="",VLOOKUP(AN213,Calculs!$A$19:$S$425,19,FALSE),VLOOKUP(AO213,Calculs!$A$19:$S$425,19,FALSE))&gt;=AP213,TRUE,FALSE))</f>
        <v>1</v>
      </c>
      <c r="AR213" s="158"/>
      <c r="AS213" s="158" t="b">
        <f>IF(AR213="",TRUE,IF(VLOOKUP(AR213,Calculs!$A$427:$G$738,7,FALSE)&gt;0,TRUE,FALSE))</f>
        <v>1</v>
      </c>
      <c r="AT213" s="158"/>
      <c r="AU213" s="158" t="b">
        <f>IF(AT213="",TRUE,IF(VLOOKUP(AT213,Calculs!$A$740:$G$912,7,FALSE)&gt;0,TRUE,FALSE))</f>
        <v>1</v>
      </c>
      <c r="AV213" s="158" t="b">
        <f t="shared" si="23"/>
        <v>1</v>
      </c>
      <c r="AW213" s="158" t="s">
        <v>2078</v>
      </c>
      <c r="AX213" s="162" t="s">
        <v>3</v>
      </c>
      <c r="AY213" s="15">
        <v>106</v>
      </c>
      <c r="AZ213" s="555" t="s">
        <v>2216</v>
      </c>
      <c r="BA213" s="559">
        <f>IF(Verso!$B$10=Voies!$B213,1,0)</f>
        <v>0</v>
      </c>
      <c r="BB213" s="12">
        <f>IF(Verso!$B$11=Voies!$B213,1,0)</f>
        <v>0</v>
      </c>
      <c r="BC213" s="12">
        <f>IF(Verso!$B$12=Voies!$B213,1,0)</f>
        <v>0</v>
      </c>
      <c r="BD213" s="12">
        <f>IF(Verso!$B$13=Voies!$B213,1,0)</f>
        <v>0</v>
      </c>
      <c r="BE213" s="12">
        <f>IF(Verso!$B$14=Voies!$B213,1,0)</f>
        <v>0</v>
      </c>
      <c r="BF213" s="12">
        <f>IF(Verso!$B$15=Voies!$B213,1,0)</f>
        <v>0</v>
      </c>
      <c r="BG213" s="12">
        <f>IF(Verso!$B$16=Voies!$B213,1,0)</f>
        <v>0</v>
      </c>
      <c r="BH213" s="12">
        <f>IF(Verso!$B$17=Voies!$B213,1,0)</f>
        <v>0</v>
      </c>
      <c r="BI213" s="557">
        <f t="shared" si="24"/>
        <v>0</v>
      </c>
      <c r="BJ213" s="196" t="str">
        <f t="shared" si="25"/>
        <v/>
      </c>
      <c r="BK213" s="196" t="str">
        <f t="shared" si="26"/>
        <v/>
      </c>
      <c r="BL213" s="295" t="str">
        <f t="shared" si="27"/>
        <v/>
      </c>
    </row>
    <row r="214" spans="1:65" ht="47.25" customHeight="1" x14ac:dyDescent="0.25">
      <c r="A214" s="162" t="str">
        <f>IF(AND(Réputation&gt;Voies!E214-1,OR(C214=TRUE,Calculs!$I$8&gt;0),Air&gt;Voies!J214-1,Eau&gt;Voies!K214-1,Feu&gt;Voies!L214-1,Terre&gt;Voies!M214-1,Vide&gt;Voies!N214-1,Constitution&gt;Voies!O214-1,Volonté&gt;Voies!P214-1,Force&gt;Voies!Q214-1,Perception&gt;Voies!R214-1,Reflexes&gt;Voies!S214-1,Agilité&gt;Voies!T214-1,Intuition&gt;Voies!U214-1,Intelligence&gt;Voies!V214-1,Souillure&gt;Voies!W214-1,Honneur&gt;X214-1,Statut&gt;Y214-1,Gloire&gt;Z214-1,AV214=TRUE),Voies!B214,"")</f>
        <v/>
      </c>
      <c r="B214" s="162" t="s">
        <v>2243</v>
      </c>
      <c r="C214" s="162" t="b">
        <f>IF(Clan=Voies!D214,TRUE,FALSE)</f>
        <v>0</v>
      </c>
      <c r="D214" s="387" t="s">
        <v>175</v>
      </c>
      <c r="E214" s="13">
        <v>3</v>
      </c>
      <c r="F214" s="199">
        <v>3</v>
      </c>
      <c r="G214" s="13" t="s">
        <v>2049</v>
      </c>
      <c r="H214" s="162" t="s">
        <v>193</v>
      </c>
      <c r="I214" s="129" t="str">
        <f>IF(B214="","","Rien")</f>
        <v>Rien</v>
      </c>
      <c r="J214" s="146">
        <v>0</v>
      </c>
      <c r="K214" s="147">
        <v>0</v>
      </c>
      <c r="L214" s="148">
        <v>0</v>
      </c>
      <c r="M214" s="149">
        <v>0</v>
      </c>
      <c r="N214" s="150">
        <v>0</v>
      </c>
      <c r="O214" s="130">
        <v>0</v>
      </c>
      <c r="P214" s="130">
        <v>0</v>
      </c>
      <c r="Q214" s="130">
        <v>0</v>
      </c>
      <c r="R214" s="130">
        <v>0</v>
      </c>
      <c r="S214" s="130">
        <v>0</v>
      </c>
      <c r="T214" s="130">
        <v>0</v>
      </c>
      <c r="U214" s="130">
        <v>0</v>
      </c>
      <c r="V214" s="524">
        <v>0</v>
      </c>
      <c r="W214" s="130">
        <v>0</v>
      </c>
      <c r="X214" s="130">
        <v>0</v>
      </c>
      <c r="Y214" s="130">
        <v>0</v>
      </c>
      <c r="Z214" s="130">
        <v>0</v>
      </c>
      <c r="AA214" s="158" t="s">
        <v>2078</v>
      </c>
      <c r="AB214" s="158"/>
      <c r="AC214" s="158"/>
      <c r="AD214" s="158"/>
      <c r="AE214" s="158" t="b">
        <f>IF(AB214="",TRUE,IF(IF(AC214="",VLOOKUP(AB214,Calculs!$A$19:$S$425,19,FALSE),VLOOKUP(AC214,Calculs!$A$19:$S$425,19,FALSE))&gt;=AD214,TRUE,FALSE))</f>
        <v>1</v>
      </c>
      <c r="AF214" s="158"/>
      <c r="AG214" s="158"/>
      <c r="AH214" s="158"/>
      <c r="AI214" s="158" t="b">
        <f>IF(AF214="",TRUE,IF(IF(AG214="",VLOOKUP(AF214,Calculs!$A$19:$S$425,19,FALSE),VLOOKUP(AG214,Calculs!$A$19:$S$425,19,FALSE))&gt;=AH214,TRUE,FALSE))</f>
        <v>1</v>
      </c>
      <c r="AJ214" s="158"/>
      <c r="AK214" s="158"/>
      <c r="AL214" s="158"/>
      <c r="AM214" s="158" t="b">
        <f>IF(AJ214="",TRUE,IF(IF(AK214="",VLOOKUP(AJ214,Calculs!$A$19:$S$425,19,FALSE),VLOOKUP(AK214,Calculs!$A$19:$S$425,19,FALSE))&gt;=AL214,TRUE,FALSE))</f>
        <v>1</v>
      </c>
      <c r="AN214" s="158"/>
      <c r="AO214" s="158"/>
      <c r="AP214" s="158"/>
      <c r="AQ214" s="158" t="b">
        <f>IF(AN214="",TRUE,IF(IF(AO214="",VLOOKUP(AN214,Calculs!$A$19:$S$425,19,FALSE),VLOOKUP(AO214,Calculs!$A$19:$S$425,19,FALSE))&gt;=AP214,TRUE,FALSE))</f>
        <v>1</v>
      </c>
      <c r="AR214" s="158"/>
      <c r="AS214" s="158" t="b">
        <f>IF(AR214="",TRUE,IF(VLOOKUP(AR214,Calculs!$A$427:$G$738,7,FALSE)&gt;0,TRUE,FALSE))</f>
        <v>1</v>
      </c>
      <c r="AT214" s="158"/>
      <c r="AU214" s="158" t="b">
        <f>IF(AT214="",TRUE,IF(VLOOKUP(AT214,Calculs!$A$740:$G$912,7,FALSE)&gt;0,TRUE,FALSE))</f>
        <v>1</v>
      </c>
      <c r="AV214" s="158" t="b">
        <f t="shared" si="23"/>
        <v>1</v>
      </c>
      <c r="AW214" s="158" t="s">
        <v>2078</v>
      </c>
      <c r="AX214" s="162" t="s">
        <v>3</v>
      </c>
      <c r="AY214" s="15">
        <v>108</v>
      </c>
      <c r="AZ214" s="555" t="s">
        <v>8527</v>
      </c>
      <c r="BA214" s="559">
        <f>IF(Verso!$B$10=Voies!$B214,1,0)</f>
        <v>0</v>
      </c>
      <c r="BB214" s="12">
        <f>IF(Verso!$B$11=Voies!$B214,1,0)</f>
        <v>0</v>
      </c>
      <c r="BC214" s="12">
        <f>IF(Verso!$B$12=Voies!$B214,1,0)</f>
        <v>0</v>
      </c>
      <c r="BD214" s="12">
        <f>IF(Verso!$B$13=Voies!$B214,1,0)</f>
        <v>0</v>
      </c>
      <c r="BE214" s="12">
        <f>IF(Verso!$B$14=Voies!$B214,1,0)</f>
        <v>0</v>
      </c>
      <c r="BF214" s="12">
        <f>IF(Verso!$B$15=Voies!$B214,1,0)</f>
        <v>0</v>
      </c>
      <c r="BG214" s="12">
        <f>IF(Verso!$B$16=Voies!$B214,1,0)</f>
        <v>0</v>
      </c>
      <c r="BH214" s="12">
        <f>IF(Verso!$B$17=Voies!$B214,1,0)</f>
        <v>0</v>
      </c>
      <c r="BI214" s="557">
        <f t="shared" si="24"/>
        <v>0</v>
      </c>
      <c r="BJ214" s="196" t="str">
        <f t="shared" si="25"/>
        <v/>
      </c>
      <c r="BK214" s="196" t="str">
        <f t="shared" si="26"/>
        <v/>
      </c>
      <c r="BL214" s="295" t="str">
        <f t="shared" si="27"/>
        <v/>
      </c>
    </row>
    <row r="215" spans="1:65" ht="47.25" customHeight="1" x14ac:dyDescent="0.25">
      <c r="A215" s="162" t="str">
        <f>IF(AND(Réputation&gt;Voies!E215-1,OR(C215=TRUE,Calculs!$I$8&gt;0),Air&gt;Voies!J215-1,Eau&gt;Voies!K215-1,Feu&gt;Voies!L215-1,Terre&gt;Voies!M215-1,Vide&gt;Voies!N215-1,Constitution&gt;Voies!O215-1,Volonté&gt;Voies!P215-1,Force&gt;Voies!Q215-1,Perception&gt;Voies!R215-1,Reflexes&gt;Voies!S215-1,Agilité&gt;Voies!T215-1,Intuition&gt;Voies!U215-1,Intelligence&gt;Voies!V215-1,Souillure&gt;Voies!W215-1,Honneur&gt;X215-1,Statut&gt;Y215-1,Gloire&gt;Z215-1,AV215=TRUE),Voies!B215,"")</f>
        <v/>
      </c>
      <c r="B215" s="162" t="s">
        <v>2941</v>
      </c>
      <c r="C215" s="162" t="b">
        <f>IF(Clan=Voies!D215,TRUE,FALSE)</f>
        <v>0</v>
      </c>
      <c r="D215" s="387" t="s">
        <v>175</v>
      </c>
      <c r="E215" s="13">
        <v>3</v>
      </c>
      <c r="F215" s="199">
        <v>3</v>
      </c>
      <c r="G215" s="13" t="s">
        <v>2049</v>
      </c>
      <c r="H215" s="162" t="s">
        <v>194</v>
      </c>
      <c r="I215" s="129" t="str">
        <f>IF(B215="","","Rien")</f>
        <v>Rien</v>
      </c>
      <c r="J215" s="146">
        <v>0</v>
      </c>
      <c r="K215" s="147">
        <v>0</v>
      </c>
      <c r="L215" s="148">
        <v>0</v>
      </c>
      <c r="M215" s="149">
        <v>0</v>
      </c>
      <c r="N215" s="150">
        <v>0</v>
      </c>
      <c r="O215" s="130">
        <v>0</v>
      </c>
      <c r="P215" s="130">
        <v>0</v>
      </c>
      <c r="Q215" s="130">
        <v>0</v>
      </c>
      <c r="R215" s="130">
        <v>0</v>
      </c>
      <c r="S215" s="130">
        <v>0</v>
      </c>
      <c r="T215" s="130">
        <v>0</v>
      </c>
      <c r="U215" s="130">
        <v>0</v>
      </c>
      <c r="V215" s="524">
        <v>0</v>
      </c>
      <c r="W215" s="130">
        <v>0</v>
      </c>
      <c r="X215" s="130">
        <v>0</v>
      </c>
      <c r="Y215" s="130">
        <v>0</v>
      </c>
      <c r="Z215" s="130">
        <v>0</v>
      </c>
      <c r="AA215" s="158" t="s">
        <v>2078</v>
      </c>
      <c r="AB215" s="158"/>
      <c r="AC215" s="158"/>
      <c r="AD215" s="158"/>
      <c r="AE215" s="158" t="b">
        <f>IF(AB215="",TRUE,IF(IF(AC215="",VLOOKUP(AB215,Calculs!$A$19:$S$425,19,FALSE),VLOOKUP(AC215,Calculs!$A$19:$S$425,19,FALSE))&gt;=AD215,TRUE,FALSE))</f>
        <v>1</v>
      </c>
      <c r="AF215" s="158"/>
      <c r="AG215" s="158"/>
      <c r="AH215" s="158"/>
      <c r="AI215" s="158" t="b">
        <f>IF(AF215="",TRUE,IF(IF(AG215="",VLOOKUP(AF215,Calculs!$A$19:$S$425,19,FALSE),VLOOKUP(AG215,Calculs!$A$19:$S$425,19,FALSE))&gt;=AH215,TRUE,FALSE))</f>
        <v>1</v>
      </c>
      <c r="AJ215" s="158"/>
      <c r="AK215" s="158"/>
      <c r="AL215" s="158"/>
      <c r="AM215" s="158" t="b">
        <f>IF(AJ215="",TRUE,IF(IF(AK215="",VLOOKUP(AJ215,Calculs!$A$19:$S$425,19,FALSE),VLOOKUP(AK215,Calculs!$A$19:$S$425,19,FALSE))&gt;=AL215,TRUE,FALSE))</f>
        <v>1</v>
      </c>
      <c r="AN215" s="158"/>
      <c r="AO215" s="158"/>
      <c r="AP215" s="158"/>
      <c r="AQ215" s="158" t="b">
        <f>IF(AN215="",TRUE,IF(IF(AO215="",VLOOKUP(AN215,Calculs!$A$19:$S$425,19,FALSE),VLOOKUP(AO215,Calculs!$A$19:$S$425,19,FALSE))&gt;=AP215,TRUE,FALSE))</f>
        <v>1</v>
      </c>
      <c r="AR215" s="158"/>
      <c r="AS215" s="158" t="b">
        <f>IF(AR215="",TRUE,IF(VLOOKUP(AR215,Calculs!$A$427:$G$738,7,FALSE)&gt;0,TRUE,FALSE))</f>
        <v>1</v>
      </c>
      <c r="AT215" s="158"/>
      <c r="AU215" s="158" t="b">
        <f>IF(AT215="",TRUE,IF(VLOOKUP(AT215,Calculs!$A$740:$G$912,7,FALSE)&gt;0,TRUE,FALSE))</f>
        <v>1</v>
      </c>
      <c r="AV215" s="158" t="b">
        <f t="shared" si="23"/>
        <v>1</v>
      </c>
      <c r="AW215" s="158" t="s">
        <v>2078</v>
      </c>
      <c r="AX215" s="162" t="s">
        <v>2077</v>
      </c>
      <c r="AY215" s="15">
        <v>148</v>
      </c>
      <c r="AZ215" s="555" t="s">
        <v>8528</v>
      </c>
      <c r="BA215" s="559">
        <f>IF(Verso!$B$10=Voies!$B215,1,0)</f>
        <v>0</v>
      </c>
      <c r="BB215" s="12">
        <f>IF(Verso!$B$11=Voies!$B215,1,0)</f>
        <v>0</v>
      </c>
      <c r="BC215" s="12">
        <f>IF(Verso!$B$12=Voies!$B215,1,0)</f>
        <v>0</v>
      </c>
      <c r="BD215" s="12">
        <f>IF(Verso!$B$13=Voies!$B215,1,0)</f>
        <v>0</v>
      </c>
      <c r="BE215" s="12">
        <f>IF(Verso!$B$14=Voies!$B215,1,0)</f>
        <v>0</v>
      </c>
      <c r="BF215" s="12">
        <f>IF(Verso!$B$15=Voies!$B215,1,0)</f>
        <v>0</v>
      </c>
      <c r="BG215" s="12">
        <f>IF(Verso!$B$16=Voies!$B215,1,0)</f>
        <v>0</v>
      </c>
      <c r="BH215" s="12">
        <f>IF(Verso!$B$17=Voies!$B215,1,0)</f>
        <v>0</v>
      </c>
      <c r="BI215" s="557">
        <f t="shared" si="24"/>
        <v>0</v>
      </c>
      <c r="BJ215" s="196" t="str">
        <f t="shared" si="25"/>
        <v/>
      </c>
      <c r="BK215" s="196" t="str">
        <f t="shared" si="26"/>
        <v/>
      </c>
      <c r="BL215" s="295" t="str">
        <f t="shared" si="27"/>
        <v/>
      </c>
    </row>
    <row r="216" spans="1:65" ht="47.25" customHeight="1" x14ac:dyDescent="0.25">
      <c r="A216" s="162" t="str">
        <f>IF(AND(Réputation&gt;Voies!E216-1,OR(C216=TRUE,Calculs!$I$8&gt;0),Air&gt;Voies!J216-1,Eau&gt;Voies!K216-1,Feu&gt;Voies!L216-1,Terre&gt;Voies!M216-1,Vide&gt;Voies!N216-1,Constitution&gt;Voies!O216-1,Volonté&gt;Voies!P216-1,Force&gt;Voies!Q216-1,Perception&gt;Voies!R216-1,Reflexes&gt;Voies!S216-1,Agilité&gt;Voies!T216-1,Intuition&gt;Voies!U216-1,Intelligence&gt;Voies!V216-1,Souillure&gt;Voies!W216-1,Honneur&gt;X216-1,Statut&gt;Y216-1,Gloire&gt;Z216-1,AV216=TRUE),Voies!B216,"")</f>
        <v/>
      </c>
      <c r="B216" s="162" t="s">
        <v>4813</v>
      </c>
      <c r="C216" s="162" t="b">
        <f>IF(Clan=Voies!D216,TRUE,FALSE)</f>
        <v>0</v>
      </c>
      <c r="D216" s="387" t="s">
        <v>175</v>
      </c>
      <c r="E216" s="13">
        <v>3</v>
      </c>
      <c r="F216" s="199">
        <v>3</v>
      </c>
      <c r="G216" s="13" t="s">
        <v>2049</v>
      </c>
      <c r="H216" s="162" t="s">
        <v>192</v>
      </c>
      <c r="I216" s="129" t="str">
        <f>IF(B216="","","Rien")</f>
        <v>Rien</v>
      </c>
      <c r="J216" s="146">
        <v>0</v>
      </c>
      <c r="K216" s="147">
        <v>0</v>
      </c>
      <c r="L216" s="148">
        <v>0</v>
      </c>
      <c r="M216" s="149">
        <v>0</v>
      </c>
      <c r="N216" s="150">
        <v>0</v>
      </c>
      <c r="O216" s="130">
        <v>0</v>
      </c>
      <c r="P216" s="130">
        <v>0</v>
      </c>
      <c r="Q216" s="130">
        <v>0</v>
      </c>
      <c r="R216" s="130">
        <v>0</v>
      </c>
      <c r="S216" s="130">
        <v>0</v>
      </c>
      <c r="T216" s="130">
        <v>0</v>
      </c>
      <c r="U216" s="130">
        <v>0</v>
      </c>
      <c r="V216" s="524">
        <v>0</v>
      </c>
      <c r="W216" s="130">
        <v>0</v>
      </c>
      <c r="X216" s="130">
        <v>0</v>
      </c>
      <c r="Y216" s="130">
        <v>0</v>
      </c>
      <c r="Z216" s="130">
        <v>0</v>
      </c>
      <c r="AA216" s="158" t="s">
        <v>2078</v>
      </c>
      <c r="AB216" s="158"/>
      <c r="AC216" s="158"/>
      <c r="AD216" s="158"/>
      <c r="AE216" s="158" t="b">
        <f>IF(AB216="",TRUE,IF(IF(AC216="",VLOOKUP(AB216,Calculs!$A$19:$S$425,19,FALSE),VLOOKUP(AC216,Calculs!$A$19:$S$425,19,FALSE))&gt;=AD216,TRUE,FALSE))</f>
        <v>1</v>
      </c>
      <c r="AF216" s="158"/>
      <c r="AG216" s="158"/>
      <c r="AH216" s="158"/>
      <c r="AI216" s="158" t="b">
        <f>IF(AF216="",TRUE,IF(IF(AG216="",VLOOKUP(AF216,Calculs!$A$19:$S$425,19,FALSE),VLOOKUP(AG216,Calculs!$A$19:$S$425,19,FALSE))&gt;=AH216,TRUE,FALSE))</f>
        <v>1</v>
      </c>
      <c r="AJ216" s="158"/>
      <c r="AK216" s="158"/>
      <c r="AL216" s="158"/>
      <c r="AM216" s="158" t="b">
        <f>IF(AJ216="",TRUE,IF(IF(AK216="",VLOOKUP(AJ216,Calculs!$A$19:$S$425,19,FALSE),VLOOKUP(AK216,Calculs!$A$19:$S$425,19,FALSE))&gt;=AL216,TRUE,FALSE))</f>
        <v>1</v>
      </c>
      <c r="AN216" s="158"/>
      <c r="AO216" s="158"/>
      <c r="AP216" s="158"/>
      <c r="AQ216" s="158" t="b">
        <f>IF(AN216="",TRUE,IF(IF(AO216="",VLOOKUP(AN216,Calculs!$A$19:$S$425,19,FALSE),VLOOKUP(AO216,Calculs!$A$19:$S$425,19,FALSE))&gt;=AP216,TRUE,FALSE))</f>
        <v>1</v>
      </c>
      <c r="AR216" s="158"/>
      <c r="AS216" s="158" t="b">
        <f>IF(AR216="",TRUE,IF(VLOOKUP(AR216,Calculs!$A$427:$G$738,7,FALSE)&gt;0,TRUE,FALSE))</f>
        <v>1</v>
      </c>
      <c r="AT216" s="158"/>
      <c r="AU216" s="158" t="b">
        <f>IF(AT216="",TRUE,IF(VLOOKUP(AT216,Calculs!$A$740:$G$912,7,FALSE)&gt;0,TRUE,FALSE))</f>
        <v>1</v>
      </c>
      <c r="AV216" s="158" t="b">
        <f t="shared" si="23"/>
        <v>1</v>
      </c>
      <c r="AW216" s="158" t="s">
        <v>2078</v>
      </c>
      <c r="AX216" s="162" t="s">
        <v>5202</v>
      </c>
      <c r="AY216" s="15">
        <v>247</v>
      </c>
      <c r="AZ216" s="555" t="s">
        <v>2613</v>
      </c>
      <c r="BA216" s="559">
        <f>IF(Verso!$B$10=Voies!$B216,1,0)</f>
        <v>0</v>
      </c>
      <c r="BB216" s="12">
        <f>IF(Verso!$B$11=Voies!$B216,1,0)</f>
        <v>0</v>
      </c>
      <c r="BC216" s="12">
        <f>IF(Verso!$B$12=Voies!$B216,1,0)</f>
        <v>0</v>
      </c>
      <c r="BD216" s="12">
        <f>IF(Verso!$B$13=Voies!$B216,1,0)</f>
        <v>0</v>
      </c>
      <c r="BE216" s="12">
        <f>IF(Verso!$B$14=Voies!$B216,1,0)</f>
        <v>0</v>
      </c>
      <c r="BF216" s="12">
        <f>IF(Verso!$B$15=Voies!$B216,1,0)</f>
        <v>0</v>
      </c>
      <c r="BG216" s="12">
        <f>IF(Verso!$B$16=Voies!$B216,1,0)</f>
        <v>0</v>
      </c>
      <c r="BH216" s="12">
        <f>IF(Verso!$B$17=Voies!$B216,1,0)</f>
        <v>0</v>
      </c>
      <c r="BI216" s="557">
        <f t="shared" si="24"/>
        <v>0</v>
      </c>
      <c r="BJ216" s="196" t="str">
        <f t="shared" si="25"/>
        <v/>
      </c>
      <c r="BK216" s="196" t="str">
        <f t="shared" si="26"/>
        <v/>
      </c>
      <c r="BL216" s="295" t="str">
        <f t="shared" si="27"/>
        <v/>
      </c>
    </row>
    <row r="217" spans="1:65" ht="47.25" customHeight="1" x14ac:dyDescent="0.25">
      <c r="A217" s="162" t="str">
        <f>IF(AND(Réputation&gt;Voies!E217-1,OR(C217=TRUE,Calculs!$I$8&gt;0),Air&gt;Voies!J217-1,Eau&gt;Voies!K217-1,Feu&gt;Voies!L217-1,Terre&gt;Voies!M217-1,Vide&gt;Voies!N217-1,Constitution&gt;Voies!O217-1,Volonté&gt;Voies!P217-1,Force&gt;Voies!Q217-1,Perception&gt;Voies!R217-1,Reflexes&gt;Voies!S217-1,Agilité&gt;Voies!T217-1,Intuition&gt;Voies!U217-1,Intelligence&gt;Voies!V217-1,Souillure&gt;Voies!W217-1,Honneur&gt;X217-1,Statut&gt;Y217-1,Gloire&gt;Z217-1,AV217=TRUE),Voies!B217,"")</f>
        <v/>
      </c>
      <c r="B217" s="162" t="s">
        <v>3809</v>
      </c>
      <c r="C217" s="162" t="b">
        <f>IF(Clan=Voies!D217,TRUE,FALSE)</f>
        <v>0</v>
      </c>
      <c r="D217" s="387" t="s">
        <v>175</v>
      </c>
      <c r="E217" s="13">
        <v>3</v>
      </c>
      <c r="F217" s="199">
        <v>3</v>
      </c>
      <c r="G217" s="13" t="s">
        <v>2049</v>
      </c>
      <c r="H217" s="162" t="s">
        <v>478</v>
      </c>
      <c r="I217" s="129" t="s">
        <v>3807</v>
      </c>
      <c r="J217" s="146">
        <v>0</v>
      </c>
      <c r="K217" s="147">
        <v>0</v>
      </c>
      <c r="L217" s="148">
        <v>0</v>
      </c>
      <c r="M217" s="149">
        <v>0</v>
      </c>
      <c r="N217" s="150">
        <v>0</v>
      </c>
      <c r="O217" s="130">
        <v>0</v>
      </c>
      <c r="P217" s="130">
        <v>0</v>
      </c>
      <c r="Q217" s="130">
        <v>0</v>
      </c>
      <c r="R217" s="130">
        <v>0</v>
      </c>
      <c r="S217" s="130">
        <v>0</v>
      </c>
      <c r="T217" s="130">
        <v>0</v>
      </c>
      <c r="U217" s="130">
        <v>0</v>
      </c>
      <c r="V217" s="524">
        <v>0</v>
      </c>
      <c r="W217" s="130">
        <v>0</v>
      </c>
      <c r="X217" s="130">
        <v>0</v>
      </c>
      <c r="Y217" s="130">
        <v>0</v>
      </c>
      <c r="Z217" s="130">
        <v>0</v>
      </c>
      <c r="AA217" s="159" t="s">
        <v>3808</v>
      </c>
      <c r="AB217" s="159" t="s">
        <v>228</v>
      </c>
      <c r="AD217" s="159">
        <v>3</v>
      </c>
      <c r="AE217" s="158" t="b">
        <f>IF(AB217="",TRUE,IF(IF(AC217="",VLOOKUP(AB217,Calculs!$A$19:$S$425,19,FALSE),VLOOKUP(AC217,Calculs!$A$19:$S$425,19,FALSE))&gt;=AD217,TRUE,FALSE))</f>
        <v>0</v>
      </c>
      <c r="AI217" s="158" t="b">
        <f>IF(AF217="",TRUE,IF(IF(AG217="",VLOOKUP(AF217,Calculs!$A$19:$S$425,19,FALSE),VLOOKUP(AG217,Calculs!$A$19:$S$425,19,FALSE))&gt;=AH217,TRUE,FALSE))</f>
        <v>1</v>
      </c>
      <c r="AM217" s="158" t="b">
        <f>IF(AJ217="",TRUE,IF(IF(AK217="",VLOOKUP(AJ217,Calculs!$A$19:$S$425,19,FALSE),VLOOKUP(AK217,Calculs!$A$19:$S$425,19,FALSE))&gt;=AL217,TRUE,FALSE))</f>
        <v>1</v>
      </c>
      <c r="AQ217" s="158" t="b">
        <f>IF(AN217="",TRUE,IF(IF(AO217="",VLOOKUP(AN217,Calculs!$A$19:$S$425,19,FALSE),VLOOKUP(AO217,Calculs!$A$19:$S$425,19,FALSE))&gt;=AP217,TRUE,FALSE))</f>
        <v>1</v>
      </c>
      <c r="AR217" s="158"/>
      <c r="AS217" s="158" t="b">
        <f>IF(AR217="",TRUE,IF(VLOOKUP(AR217,Calculs!$A$427:$G$738,7,FALSE)&gt;0,TRUE,FALSE))</f>
        <v>1</v>
      </c>
      <c r="AT217" s="158"/>
      <c r="AU217" s="158" t="b">
        <f>IF(AT217="",TRUE,IF(VLOOKUP(AT217,Calculs!$A$740:$G$912,7,FALSE)&gt;0,TRUE,FALSE))</f>
        <v>1</v>
      </c>
      <c r="AV217" s="158" t="b">
        <f t="shared" si="23"/>
        <v>0</v>
      </c>
      <c r="AW217" s="158" t="s">
        <v>2078</v>
      </c>
      <c r="AX217" s="162" t="s">
        <v>2087</v>
      </c>
      <c r="AY217" s="15">
        <v>44</v>
      </c>
      <c r="AZ217" s="555" t="s">
        <v>3810</v>
      </c>
      <c r="BA217" s="559">
        <f>IF(Verso!$B$10=Voies!$B217,1,0)</f>
        <v>0</v>
      </c>
      <c r="BB217" s="12">
        <f>IF(Verso!$B$11=Voies!$B217,1,0)</f>
        <v>0</v>
      </c>
      <c r="BC217" s="12">
        <f>IF(Verso!$B$12=Voies!$B217,1,0)</f>
        <v>0</v>
      </c>
      <c r="BD217" s="12">
        <f>IF(Verso!$B$13=Voies!$B217,1,0)</f>
        <v>0</v>
      </c>
      <c r="BE217" s="12">
        <f>IF(Verso!$B$14=Voies!$B217,1,0)</f>
        <v>0</v>
      </c>
      <c r="BF217" s="12">
        <f>IF(Verso!$B$15=Voies!$B217,1,0)</f>
        <v>0</v>
      </c>
      <c r="BG217" s="12">
        <f>IF(Verso!$B$16=Voies!$B217,1,0)</f>
        <v>0</v>
      </c>
      <c r="BH217" s="12">
        <f>IF(Verso!$B$17=Voies!$B217,1,0)</f>
        <v>0</v>
      </c>
      <c r="BI217" s="557">
        <f t="shared" si="24"/>
        <v>0</v>
      </c>
      <c r="BJ217" s="196" t="str">
        <f t="shared" si="25"/>
        <v/>
      </c>
      <c r="BK217" s="196" t="str">
        <f t="shared" si="26"/>
        <v/>
      </c>
      <c r="BL217" s="295" t="str">
        <f t="shared" si="27"/>
        <v/>
      </c>
    </row>
    <row r="218" spans="1:65" ht="47.25" customHeight="1" x14ac:dyDescent="0.25">
      <c r="A218" s="162" t="str">
        <f>IF(AND(Réputation&gt;Voies!E218-1,OR(C218=TRUE,Calculs!$I$8&gt;0),Air&gt;Voies!J218-1,Eau&gt;Voies!K218-1,Feu&gt;Voies!L218-1,Terre&gt;Voies!M218-1,Vide&gt;Voies!N218-1,Constitution&gt;Voies!O218-1,Volonté&gt;Voies!P218-1,Force&gt;Voies!Q218-1,Perception&gt;Voies!R218-1,Reflexes&gt;Voies!S218-1,Agilité&gt;Voies!T218-1,Intuition&gt;Voies!U218-1,Intelligence&gt;Voies!V218-1,Souillure&gt;Voies!W218-1,Honneur&gt;X218-1,Statut&gt;Y218-1,Gloire&gt;Z218-1,AV218=TRUE),Voies!B218,"")</f>
        <v/>
      </c>
      <c r="B218" s="162" t="s">
        <v>3474</v>
      </c>
      <c r="C218" s="162" t="b">
        <f>IF(Clan=Voies!D218,TRUE,FALSE)</f>
        <v>0</v>
      </c>
      <c r="D218" s="387" t="s">
        <v>175</v>
      </c>
      <c r="E218" s="13">
        <v>3</v>
      </c>
      <c r="F218" s="199" t="s">
        <v>625</v>
      </c>
      <c r="G218" s="13" t="s">
        <v>2049</v>
      </c>
      <c r="H218" s="162" t="s">
        <v>476</v>
      </c>
      <c r="I218" s="129" t="s">
        <v>3472</v>
      </c>
      <c r="J218" s="146">
        <v>0</v>
      </c>
      <c r="K218" s="147">
        <v>0</v>
      </c>
      <c r="L218" s="148">
        <v>0</v>
      </c>
      <c r="M218" s="149">
        <v>0</v>
      </c>
      <c r="N218" s="150">
        <v>0</v>
      </c>
      <c r="O218" s="130">
        <v>0</v>
      </c>
      <c r="P218" s="130">
        <v>0</v>
      </c>
      <c r="Q218" s="130">
        <v>0</v>
      </c>
      <c r="R218" s="130">
        <v>0</v>
      </c>
      <c r="S218" s="130">
        <v>0</v>
      </c>
      <c r="T218" s="130">
        <v>0</v>
      </c>
      <c r="U218" s="130">
        <v>0</v>
      </c>
      <c r="V218" s="524">
        <v>0</v>
      </c>
      <c r="W218" s="130">
        <v>0</v>
      </c>
      <c r="X218" s="130">
        <v>0</v>
      </c>
      <c r="Y218" s="130">
        <v>0</v>
      </c>
      <c r="Z218" s="130">
        <v>0</v>
      </c>
      <c r="AA218" s="159" t="s">
        <v>3473</v>
      </c>
      <c r="AB218" s="159" t="s">
        <v>1273</v>
      </c>
      <c r="AD218" s="159">
        <v>4</v>
      </c>
      <c r="AE218" s="158" t="b">
        <f>IF(AB218="",TRUE,IF(IF(AC218="",VLOOKUP(AB218,Calculs!$A$19:$S$425,19,FALSE),VLOOKUP(AC218,Calculs!$A$19:$S$425,19,FALSE))&gt;=AD218,TRUE,FALSE))</f>
        <v>0</v>
      </c>
      <c r="AI218" s="158" t="b">
        <f>IF(AF218="",TRUE,IF(IF(AG218="",VLOOKUP(AF218,Calculs!$A$19:$S$425,19,FALSE),VLOOKUP(AG218,Calculs!$A$19:$S$425,19,FALSE))&gt;=AH218,TRUE,FALSE))</f>
        <v>1</v>
      </c>
      <c r="AM218" s="158" t="b">
        <f>IF(AJ218="",TRUE,IF(IF(AK218="",VLOOKUP(AJ218,Calculs!$A$19:$S$425,19,FALSE),VLOOKUP(AK218,Calculs!$A$19:$S$425,19,FALSE))&gt;=AL218,TRUE,FALSE))</f>
        <v>1</v>
      </c>
      <c r="AQ218" s="158" t="b">
        <f>IF(AN218="",TRUE,IF(IF(AO218="",VLOOKUP(AN218,Calculs!$A$19:$S$425,19,FALSE),VLOOKUP(AO218,Calculs!$A$19:$S$425,19,FALSE))&gt;=AP218,TRUE,FALSE))</f>
        <v>1</v>
      </c>
      <c r="AR218" s="158"/>
      <c r="AS218" s="158" t="b">
        <f>IF(AR218="",TRUE,IF(VLOOKUP(AR218,Calculs!$A$427:$G$738,7,FALSE)&gt;0,TRUE,FALSE))</f>
        <v>1</v>
      </c>
      <c r="AT218" s="158"/>
      <c r="AU218" s="158" t="b">
        <f>IF(AT218="",TRUE,IF(VLOOKUP(AT218,Calculs!$A$740:$G$912,7,FALSE)&gt;0,TRUE,FALSE))</f>
        <v>1</v>
      </c>
      <c r="AV218" s="158" t="b">
        <f t="shared" si="23"/>
        <v>0</v>
      </c>
      <c r="AW218" s="158" t="s">
        <v>2078</v>
      </c>
      <c r="AX218" s="162" t="s">
        <v>160</v>
      </c>
      <c r="AY218" s="15">
        <v>177</v>
      </c>
      <c r="AZ218" s="555" t="s">
        <v>3475</v>
      </c>
      <c r="BA218" s="559">
        <f>IF(Verso!$B$10=Voies!$B218,1,0)</f>
        <v>0</v>
      </c>
      <c r="BB218" s="12">
        <f>IF(Verso!$B$11=Voies!$B218,1,0)</f>
        <v>0</v>
      </c>
      <c r="BC218" s="12">
        <f>IF(Verso!$B$12=Voies!$B218,1,0)</f>
        <v>0</v>
      </c>
      <c r="BD218" s="12">
        <f>IF(Verso!$B$13=Voies!$B218,1,0)</f>
        <v>0</v>
      </c>
      <c r="BE218" s="12">
        <f>IF(Verso!$B$14=Voies!$B218,1,0)</f>
        <v>0</v>
      </c>
      <c r="BF218" s="12">
        <f>IF(Verso!$B$15=Voies!$B218,1,0)</f>
        <v>0</v>
      </c>
      <c r="BG218" s="12">
        <f>IF(Verso!$B$16=Voies!$B218,1,0)</f>
        <v>0</v>
      </c>
      <c r="BH218" s="12">
        <f>IF(Verso!$B$17=Voies!$B218,1,0)</f>
        <v>0</v>
      </c>
      <c r="BI218" s="557">
        <f t="shared" si="24"/>
        <v>0</v>
      </c>
      <c r="BJ218" s="196" t="str">
        <f t="shared" si="25"/>
        <v/>
      </c>
      <c r="BK218" s="196" t="str">
        <f t="shared" si="26"/>
        <v/>
      </c>
      <c r="BL218" s="295" t="str">
        <f t="shared" si="27"/>
        <v/>
      </c>
    </row>
    <row r="219" spans="1:65" ht="47.25" customHeight="1" x14ac:dyDescent="0.25">
      <c r="A219" s="162" t="str">
        <f>IF(AND(Réputation&gt;Voies!E219-1,OR(C219=TRUE,Calculs!$I$8&gt;0),Air&gt;Voies!J219-1,Eau&gt;Voies!K219-1,Feu&gt;Voies!L219-1,Terre&gt;Voies!M219-1,Vide&gt;Voies!N219-1,Constitution&gt;Voies!O219-1,Volonté&gt;Voies!P219-1,Force&gt;Voies!Q219-1,Perception&gt;Voies!R219-1,Reflexes&gt;Voies!S219-1,Agilité&gt;Voies!T219-1,Intuition&gt;Voies!U219-1,Intelligence&gt;Voies!V219-1,Souillure&gt;Voies!W219-1,Honneur&gt;X219-1,Statut&gt;Y219-1,Gloire&gt;Z219-1,AV219=TRUE),Voies!B219,"")</f>
        <v/>
      </c>
      <c r="B219" s="162" t="s">
        <v>2224</v>
      </c>
      <c r="C219" s="162" t="b">
        <f>IF(Clan=Voies!D219,TRUE,FALSE)</f>
        <v>0</v>
      </c>
      <c r="D219" s="387" t="s">
        <v>175</v>
      </c>
      <c r="E219" s="13">
        <v>3</v>
      </c>
      <c r="F219" s="199">
        <v>3</v>
      </c>
      <c r="G219" s="13" t="s">
        <v>2052</v>
      </c>
      <c r="H219" s="162" t="s">
        <v>195</v>
      </c>
      <c r="I219" s="129" t="str">
        <f>IF(B219="","","Rien")</f>
        <v>Rien</v>
      </c>
      <c r="J219" s="146">
        <v>0</v>
      </c>
      <c r="K219" s="147">
        <v>0</v>
      </c>
      <c r="L219" s="148">
        <v>0</v>
      </c>
      <c r="M219" s="149">
        <v>0</v>
      </c>
      <c r="N219" s="150">
        <v>0</v>
      </c>
      <c r="O219" s="130">
        <v>0</v>
      </c>
      <c r="P219" s="130">
        <v>0</v>
      </c>
      <c r="Q219" s="130">
        <v>0</v>
      </c>
      <c r="R219" s="130">
        <v>0</v>
      </c>
      <c r="S219" s="130">
        <v>0</v>
      </c>
      <c r="T219" s="130">
        <v>0</v>
      </c>
      <c r="U219" s="130">
        <v>0</v>
      </c>
      <c r="V219" s="524">
        <v>0</v>
      </c>
      <c r="W219" s="130">
        <v>0</v>
      </c>
      <c r="X219" s="130">
        <v>0</v>
      </c>
      <c r="Y219" s="130">
        <v>0</v>
      </c>
      <c r="Z219" s="130">
        <v>0</v>
      </c>
      <c r="AA219" s="158" t="s">
        <v>2078</v>
      </c>
      <c r="AB219" s="158"/>
      <c r="AC219" s="158"/>
      <c r="AD219" s="158"/>
      <c r="AE219" s="158" t="b">
        <f>IF(AB219="",TRUE,IF(IF(AC219="",VLOOKUP(AB219,Calculs!$A$19:$S$425,19,FALSE),VLOOKUP(AC219,Calculs!$A$19:$S$425,19,FALSE))&gt;=AD219,TRUE,FALSE))</f>
        <v>1</v>
      </c>
      <c r="AF219" s="158"/>
      <c r="AG219" s="158"/>
      <c r="AH219" s="158"/>
      <c r="AI219" s="158" t="b">
        <f>IF(AF219="",TRUE,IF(IF(AG219="",VLOOKUP(AF219,Calculs!$A$19:$S$425,19,FALSE),VLOOKUP(AG219,Calculs!$A$19:$S$425,19,FALSE))&gt;=AH219,TRUE,FALSE))</f>
        <v>1</v>
      </c>
      <c r="AJ219" s="158"/>
      <c r="AK219" s="158"/>
      <c r="AL219" s="158"/>
      <c r="AM219" s="158" t="b">
        <f>IF(AJ219="",TRUE,IF(IF(AK219="",VLOOKUP(AJ219,Calculs!$A$19:$S$425,19,FALSE),VLOOKUP(AK219,Calculs!$A$19:$S$425,19,FALSE))&gt;=AL219,TRUE,FALSE))</f>
        <v>1</v>
      </c>
      <c r="AN219" s="158"/>
      <c r="AO219" s="158"/>
      <c r="AP219" s="158"/>
      <c r="AQ219" s="158" t="b">
        <f>IF(AN219="",TRUE,IF(IF(AO219="",VLOOKUP(AN219,Calculs!$A$19:$S$425,19,FALSE),VLOOKUP(AO219,Calculs!$A$19:$S$425,19,FALSE))&gt;=AP219,TRUE,FALSE))</f>
        <v>1</v>
      </c>
      <c r="AR219" s="158"/>
      <c r="AS219" s="158" t="b">
        <f>IF(AR219="",TRUE,IF(VLOOKUP(AR219,Calculs!$A$427:$G$738,7,FALSE)&gt;0,TRUE,FALSE))</f>
        <v>1</v>
      </c>
      <c r="AT219" s="158"/>
      <c r="AU219" s="158" t="b">
        <f>IF(AT219="",TRUE,IF(VLOOKUP(AT219,Calculs!$A$740:$G$912,7,FALSE)&gt;0,TRUE,FALSE))</f>
        <v>1</v>
      </c>
      <c r="AV219" s="158" t="b">
        <f t="shared" si="23"/>
        <v>1</v>
      </c>
      <c r="AW219" s="158" t="s">
        <v>2078</v>
      </c>
      <c r="AX219" s="162" t="s">
        <v>3</v>
      </c>
      <c r="AY219" s="15">
        <v>108</v>
      </c>
      <c r="AZ219" s="555" t="s">
        <v>8505</v>
      </c>
      <c r="BA219" s="559">
        <f>IF(Verso!$B$10=Voies!$B219,1,0)</f>
        <v>0</v>
      </c>
      <c r="BB219" s="12">
        <f>IF(Verso!$B$11=Voies!$B219,1,0)</f>
        <v>0</v>
      </c>
      <c r="BC219" s="12">
        <f>IF(Verso!$B$12=Voies!$B219,1,0)</f>
        <v>0</v>
      </c>
      <c r="BD219" s="12">
        <f>IF(Verso!$B$13=Voies!$B219,1,0)</f>
        <v>0</v>
      </c>
      <c r="BE219" s="12">
        <f>IF(Verso!$B$14=Voies!$B219,1,0)</f>
        <v>0</v>
      </c>
      <c r="BF219" s="12">
        <f>IF(Verso!$B$15=Voies!$B219,1,0)</f>
        <v>0</v>
      </c>
      <c r="BG219" s="12">
        <f>IF(Verso!$B$16=Voies!$B219,1,0)</f>
        <v>0</v>
      </c>
      <c r="BH219" s="12">
        <f>IF(Verso!$B$17=Voies!$B219,1,0)</f>
        <v>0</v>
      </c>
      <c r="BI219" s="557">
        <f t="shared" si="24"/>
        <v>0</v>
      </c>
      <c r="BJ219" s="196" t="str">
        <f t="shared" si="25"/>
        <v/>
      </c>
      <c r="BK219" s="196" t="str">
        <f t="shared" si="26"/>
        <v/>
      </c>
      <c r="BL219" s="295" t="str">
        <f t="shared" si="27"/>
        <v/>
      </c>
    </row>
    <row r="220" spans="1:65" ht="47.25" customHeight="1" x14ac:dyDescent="0.25">
      <c r="A220" s="162" t="str">
        <f>IF(AND(Réputation&gt;Voies!E220-1,OR(C220=TRUE,Calculs!$I$8&gt;0),Air&gt;Voies!J220-1,Eau&gt;Voies!K220-1,Feu&gt;Voies!L220-1,Terre&gt;Voies!M220-1,Vide&gt;Voies!N220-1,Constitution&gt;Voies!O220-1,Volonté&gt;Voies!P220-1,Force&gt;Voies!Q220-1,Perception&gt;Voies!R220-1,Reflexes&gt;Voies!S220-1,Agilité&gt;Voies!T220-1,Intuition&gt;Voies!U220-1,Intelligence&gt;Voies!V220-1,Souillure&gt;Voies!W220-1,Honneur&gt;X220-1,Statut&gt;Y220-1,Gloire&gt;Z220-1,AV220=TRUE),Voies!B220,"")</f>
        <v/>
      </c>
      <c r="B220" s="162" t="s">
        <v>3500</v>
      </c>
      <c r="C220" s="162" t="b">
        <f>IF(Clan=Voies!D220,TRUE,FALSE)</f>
        <v>0</v>
      </c>
      <c r="D220" s="387" t="s">
        <v>175</v>
      </c>
      <c r="E220" s="13">
        <v>3</v>
      </c>
      <c r="F220" s="199">
        <v>3</v>
      </c>
      <c r="G220" s="13" t="s">
        <v>2050</v>
      </c>
      <c r="H220" s="162" t="s">
        <v>6036</v>
      </c>
      <c r="I220" s="129" t="str">
        <f>IF(B220="","","Rien")</f>
        <v>Rien</v>
      </c>
      <c r="J220" s="146">
        <v>0</v>
      </c>
      <c r="K220" s="147">
        <v>0</v>
      </c>
      <c r="L220" s="148">
        <v>0</v>
      </c>
      <c r="M220" s="149">
        <v>0</v>
      </c>
      <c r="N220" s="150">
        <v>0</v>
      </c>
      <c r="O220" s="130">
        <v>0</v>
      </c>
      <c r="P220" s="130">
        <v>0</v>
      </c>
      <c r="Q220" s="130">
        <v>0</v>
      </c>
      <c r="R220" s="130">
        <v>0</v>
      </c>
      <c r="S220" s="130">
        <v>0</v>
      </c>
      <c r="T220" s="130">
        <v>0</v>
      </c>
      <c r="U220" s="130">
        <v>0</v>
      </c>
      <c r="V220" s="524">
        <v>0</v>
      </c>
      <c r="W220" s="130">
        <v>0</v>
      </c>
      <c r="X220" s="130">
        <v>0</v>
      </c>
      <c r="Y220" s="130">
        <v>0</v>
      </c>
      <c r="Z220" s="130">
        <v>0</v>
      </c>
      <c r="AA220" s="158" t="s">
        <v>2078</v>
      </c>
      <c r="AB220" s="158"/>
      <c r="AC220" s="158"/>
      <c r="AD220" s="158"/>
      <c r="AE220" s="158" t="b">
        <f>IF(AB220="",TRUE,IF(IF(AC220="",VLOOKUP(AB220,Calculs!$A$19:$S$425,19,FALSE),VLOOKUP(AC220,Calculs!$A$19:$S$425,19,FALSE))&gt;=AD220,TRUE,FALSE))</f>
        <v>1</v>
      </c>
      <c r="AF220" s="158"/>
      <c r="AG220" s="158"/>
      <c r="AH220" s="158"/>
      <c r="AI220" s="158" t="b">
        <f>IF(AF220="",TRUE,IF(IF(AG220="",VLOOKUP(AF220,Calculs!$A$19:$S$425,19,FALSE),VLOOKUP(AG220,Calculs!$A$19:$S$425,19,FALSE))&gt;=AH220,TRUE,FALSE))</f>
        <v>1</v>
      </c>
      <c r="AJ220" s="158"/>
      <c r="AK220" s="158"/>
      <c r="AL220" s="158"/>
      <c r="AM220" s="158" t="b">
        <f>IF(AJ220="",TRUE,IF(IF(AK220="",VLOOKUP(AJ220,Calculs!$A$19:$S$425,19,FALSE),VLOOKUP(AK220,Calculs!$A$19:$S$425,19,FALSE))&gt;=AL220,TRUE,FALSE))</f>
        <v>1</v>
      </c>
      <c r="AN220" s="158"/>
      <c r="AO220" s="158"/>
      <c r="AP220" s="158"/>
      <c r="AQ220" s="158" t="b">
        <f>IF(AN220="",TRUE,IF(IF(AO220="",VLOOKUP(AN220,Calculs!$A$19:$S$425,19,FALSE),VLOOKUP(AO220,Calculs!$A$19:$S$425,19,FALSE))&gt;=AP220,TRUE,FALSE))</f>
        <v>1</v>
      </c>
      <c r="AR220" s="158"/>
      <c r="AS220" s="158" t="b">
        <f>IF(AR220="",TRUE,IF(VLOOKUP(AR220,Calculs!$A$427:$G$738,7,FALSE)&gt;0,TRUE,FALSE))</f>
        <v>1</v>
      </c>
      <c r="AT220" s="158"/>
      <c r="AU220" s="158" t="b">
        <f>IF(AT220="",TRUE,IF(VLOOKUP(AT220,Calculs!$A$740:$G$912,7,FALSE)&gt;0,TRUE,FALSE))</f>
        <v>1</v>
      </c>
      <c r="AV220" s="158" t="b">
        <f t="shared" si="23"/>
        <v>1</v>
      </c>
      <c r="AW220" s="158" t="s">
        <v>2078</v>
      </c>
      <c r="AX220" s="162" t="s">
        <v>6061</v>
      </c>
      <c r="AY220" s="15">
        <v>40</v>
      </c>
      <c r="AZ220" s="555" t="s">
        <v>3504</v>
      </c>
      <c r="BA220" s="559">
        <f>IF(Verso!$B$10=Voies!$B220,1,0)</f>
        <v>0</v>
      </c>
      <c r="BB220" s="12">
        <f>IF(Verso!$B$11=Voies!$B220,1,0)</f>
        <v>0</v>
      </c>
      <c r="BC220" s="12">
        <f>IF(Verso!$B$12=Voies!$B220,1,0)</f>
        <v>0</v>
      </c>
      <c r="BD220" s="12">
        <f>IF(Verso!$B$13=Voies!$B220,1,0)</f>
        <v>0</v>
      </c>
      <c r="BE220" s="12">
        <f>IF(Verso!$B$14=Voies!$B220,1,0)</f>
        <v>0</v>
      </c>
      <c r="BF220" s="12">
        <f>IF(Verso!$B$15=Voies!$B220,1,0)</f>
        <v>0</v>
      </c>
      <c r="BG220" s="12">
        <f>IF(Verso!$B$16=Voies!$B220,1,0)</f>
        <v>0</v>
      </c>
      <c r="BH220" s="12">
        <f>IF(Verso!$B$17=Voies!$B220,1,0)</f>
        <v>0</v>
      </c>
      <c r="BI220" s="557">
        <f t="shared" si="24"/>
        <v>0</v>
      </c>
      <c r="BJ220" s="196" t="str">
        <f t="shared" si="25"/>
        <v/>
      </c>
      <c r="BK220" s="196" t="str">
        <f t="shared" si="26"/>
        <v/>
      </c>
      <c r="BL220" s="295" t="str">
        <f t="shared" si="27"/>
        <v/>
      </c>
    </row>
    <row r="221" spans="1:65" ht="47.25" customHeight="1" x14ac:dyDescent="0.25">
      <c r="A221" s="162" t="str">
        <f>IF(AND(Réputation&gt;Voies!E221-1,OR(C221=TRUE,Calculs!$I$8&gt;0),Air&gt;Voies!J221-1,Eau&gt;Voies!K221-1,Feu&gt;Voies!L221-1,Terre&gt;Voies!M221-1,Vide&gt;Voies!N221-1,Constitution&gt;Voies!O221-1,Volonté&gt;Voies!P221-1,Force&gt;Voies!Q221-1,Perception&gt;Voies!R221-1,Reflexes&gt;Voies!S221-1,Agilité&gt;Voies!T221-1,Intuition&gt;Voies!U221-1,Intelligence&gt;Voies!V221-1,Souillure&gt;Voies!W221-1,Honneur&gt;X221-1,Statut&gt;Y221-1,Gloire&gt;Z221-1,AV221=TRUE),Voies!B221,"")</f>
        <v/>
      </c>
      <c r="B221" s="162" t="s">
        <v>3137</v>
      </c>
      <c r="C221" s="162" t="b">
        <f>IF(Clan=Voies!D221,TRUE,FALSE)</f>
        <v>0</v>
      </c>
      <c r="D221" s="387" t="s">
        <v>175</v>
      </c>
      <c r="E221" s="13">
        <v>3</v>
      </c>
      <c r="F221" s="199">
        <v>3</v>
      </c>
      <c r="G221" s="13" t="s">
        <v>2048</v>
      </c>
      <c r="H221" s="162" t="s">
        <v>590</v>
      </c>
      <c r="I221" s="129" t="s">
        <v>3136</v>
      </c>
      <c r="J221" s="146">
        <v>0</v>
      </c>
      <c r="K221" s="147">
        <v>0</v>
      </c>
      <c r="L221" s="148">
        <v>0</v>
      </c>
      <c r="M221" s="149">
        <v>0</v>
      </c>
      <c r="N221" s="150">
        <v>0</v>
      </c>
      <c r="O221" s="130">
        <v>0</v>
      </c>
      <c r="P221" s="130">
        <v>0</v>
      </c>
      <c r="Q221" s="130">
        <v>0</v>
      </c>
      <c r="R221" s="130">
        <v>0</v>
      </c>
      <c r="S221" s="130">
        <v>0</v>
      </c>
      <c r="T221" s="130">
        <v>0</v>
      </c>
      <c r="U221" s="130">
        <v>0</v>
      </c>
      <c r="V221" s="524">
        <v>0</v>
      </c>
      <c r="W221" s="130">
        <v>0</v>
      </c>
      <c r="X221" s="130">
        <v>0</v>
      </c>
      <c r="Y221" s="130">
        <v>0</v>
      </c>
      <c r="Z221" s="130">
        <v>0</v>
      </c>
      <c r="AA221" s="158" t="s">
        <v>2078</v>
      </c>
      <c r="AB221" s="158"/>
      <c r="AC221" s="158"/>
      <c r="AD221" s="158"/>
      <c r="AE221" s="158" t="b">
        <f>IF(AB221="",TRUE,IF(IF(AC221="",VLOOKUP(AB221,Calculs!$A$19:$S$425,19,FALSE),VLOOKUP(AC221,Calculs!$A$19:$S$425,19,FALSE))&gt;=AD221,TRUE,FALSE))</f>
        <v>1</v>
      </c>
      <c r="AF221" s="158"/>
      <c r="AG221" s="158"/>
      <c r="AH221" s="158"/>
      <c r="AI221" s="158" t="b">
        <f>IF(AF221="",TRUE,IF(IF(AG221="",VLOOKUP(AF221,Calculs!$A$19:$S$425,19,FALSE),VLOOKUP(AG221,Calculs!$A$19:$S$425,19,FALSE))&gt;=AH221,TRUE,FALSE))</f>
        <v>1</v>
      </c>
      <c r="AJ221" s="158"/>
      <c r="AK221" s="158"/>
      <c r="AL221" s="158"/>
      <c r="AM221" s="158" t="b">
        <f>IF(AJ221="",TRUE,IF(IF(AK221="",VLOOKUP(AJ221,Calculs!$A$19:$S$425,19,FALSE),VLOOKUP(AK221,Calculs!$A$19:$S$425,19,FALSE))&gt;=AL221,TRUE,FALSE))</f>
        <v>1</v>
      </c>
      <c r="AN221" s="158"/>
      <c r="AO221" s="158"/>
      <c r="AP221" s="158"/>
      <c r="AQ221" s="158" t="b">
        <f>IF(AN221="",TRUE,IF(IF(AO221="",VLOOKUP(AN221,Calculs!$A$19:$S$425,19,FALSE),VLOOKUP(AO221,Calculs!$A$19:$S$425,19,FALSE))&gt;=AP221,TRUE,FALSE))</f>
        <v>1</v>
      </c>
      <c r="AR221" s="158"/>
      <c r="AS221" s="158" t="b">
        <f>IF(AR221="",TRUE,IF(VLOOKUP(AR221,Calculs!$A$427:$G$738,7,FALSE)&gt;0,TRUE,FALSE))</f>
        <v>1</v>
      </c>
      <c r="AT221" s="158"/>
      <c r="AU221" s="158" t="b">
        <f>IF(AT221="",TRUE,IF(VLOOKUP(AT221,Calculs!$A$740:$G$912,7,FALSE)&gt;0,TRUE,FALSE))</f>
        <v>1</v>
      </c>
      <c r="AV221" s="158" t="b">
        <f t="shared" si="23"/>
        <v>1</v>
      </c>
      <c r="AW221" s="158" t="s">
        <v>2078</v>
      </c>
      <c r="AX221" s="162" t="s">
        <v>3</v>
      </c>
      <c r="AY221" s="15">
        <v>251</v>
      </c>
      <c r="AZ221" s="555" t="s">
        <v>8017</v>
      </c>
      <c r="BA221" s="559">
        <f>IF(Verso!$B$10=Voies!$B221,1,0)</f>
        <v>0</v>
      </c>
      <c r="BB221" s="12">
        <f>IF(Verso!$B$11=Voies!$B221,1,0)</f>
        <v>0</v>
      </c>
      <c r="BC221" s="12">
        <f>IF(Verso!$B$12=Voies!$B221,1,0)</f>
        <v>0</v>
      </c>
      <c r="BD221" s="12">
        <f>IF(Verso!$B$13=Voies!$B221,1,0)</f>
        <v>0</v>
      </c>
      <c r="BE221" s="12">
        <f>IF(Verso!$B$14=Voies!$B221,1,0)</f>
        <v>0</v>
      </c>
      <c r="BF221" s="12">
        <f>IF(Verso!$B$15=Voies!$B221,1,0)</f>
        <v>0</v>
      </c>
      <c r="BG221" s="12">
        <f>IF(Verso!$B$16=Voies!$B221,1,0)</f>
        <v>0</v>
      </c>
      <c r="BH221" s="12">
        <f>IF(Verso!$B$17=Voies!$B221,1,0)</f>
        <v>0</v>
      </c>
      <c r="BI221" s="557">
        <f t="shared" si="24"/>
        <v>0</v>
      </c>
      <c r="BJ221" s="196" t="str">
        <f t="shared" si="25"/>
        <v/>
      </c>
      <c r="BK221" s="196" t="str">
        <f t="shared" si="26"/>
        <v/>
      </c>
      <c r="BL221" s="295" t="str">
        <f t="shared" si="27"/>
        <v/>
      </c>
    </row>
    <row r="222" spans="1:65" ht="47.25" customHeight="1" x14ac:dyDescent="0.25">
      <c r="A222" s="162" t="str">
        <f>IF(AND(Réputation&gt;Voies!E222-1,OR(C222=TRUE,Calculs!$I$8&gt;0),Air&gt;Voies!J222-1,Eau&gt;Voies!K222-1,Feu&gt;Voies!L222-1,Terre&gt;Voies!M222-1,Vide&gt;Voies!N222-1,Constitution&gt;Voies!O222-1,Volonté&gt;Voies!P222-1,Force&gt;Voies!Q222-1,Perception&gt;Voies!R222-1,Reflexes&gt;Voies!S222-1,Agilité&gt;Voies!T222-1,Intuition&gt;Voies!U222-1,Intelligence&gt;Voies!V222-1,Souillure&gt;Voies!W222-1,Honneur&gt;X222-1,Statut&gt;Y222-1,Gloire&gt;Z222-1,AV222=TRUE),Voies!B222,"")</f>
        <v/>
      </c>
      <c r="B222" s="162" t="s">
        <v>3495</v>
      </c>
      <c r="C222" s="162" t="b">
        <f>IF(Clan=Voies!D222,TRUE,FALSE)</f>
        <v>0</v>
      </c>
      <c r="D222" s="387" t="s">
        <v>175</v>
      </c>
      <c r="E222" s="13">
        <v>4</v>
      </c>
      <c r="F222" s="199">
        <v>4</v>
      </c>
      <c r="G222" s="13" t="s">
        <v>2055</v>
      </c>
      <c r="H222" s="219" t="s">
        <v>3490</v>
      </c>
      <c r="I222" s="129" t="str">
        <f>IF(B222="","","Rien")</f>
        <v>Rien</v>
      </c>
      <c r="J222" s="146">
        <v>0</v>
      </c>
      <c r="K222" s="147">
        <v>0</v>
      </c>
      <c r="L222" s="148">
        <v>0</v>
      </c>
      <c r="M222" s="149">
        <v>0</v>
      </c>
      <c r="N222" s="150">
        <v>0</v>
      </c>
      <c r="O222" s="130">
        <v>0</v>
      </c>
      <c r="P222" s="130">
        <v>0</v>
      </c>
      <c r="Q222" s="130">
        <v>0</v>
      </c>
      <c r="R222" s="130">
        <v>0</v>
      </c>
      <c r="S222" s="130">
        <v>0</v>
      </c>
      <c r="T222" s="130">
        <v>0</v>
      </c>
      <c r="U222" s="130">
        <v>0</v>
      </c>
      <c r="V222" s="524">
        <v>0</v>
      </c>
      <c r="W222" s="130">
        <v>0</v>
      </c>
      <c r="X222" s="130">
        <v>0</v>
      </c>
      <c r="Y222" s="130">
        <v>0</v>
      </c>
      <c r="Z222" s="130">
        <v>0</v>
      </c>
      <c r="AA222" s="158" t="s">
        <v>2078</v>
      </c>
      <c r="AB222" s="158"/>
      <c r="AC222" s="158"/>
      <c r="AD222" s="158"/>
      <c r="AE222" s="158" t="b">
        <f>IF(AB222="",TRUE,IF(IF(AC222="",VLOOKUP(AB222,Calculs!$A$19:$S$425,19,FALSE),VLOOKUP(AC222,Calculs!$A$19:$S$425,19,FALSE))&gt;=AD222,TRUE,FALSE))</f>
        <v>1</v>
      </c>
      <c r="AF222" s="158"/>
      <c r="AG222" s="158"/>
      <c r="AH222" s="158"/>
      <c r="AI222" s="158" t="b">
        <f>IF(AF222="",TRUE,IF(IF(AG222="",VLOOKUP(AF222,Calculs!$A$19:$S$425,19,FALSE),VLOOKUP(AG222,Calculs!$A$19:$S$425,19,FALSE))&gt;=AH222,TRUE,FALSE))</f>
        <v>1</v>
      </c>
      <c r="AJ222" s="158"/>
      <c r="AK222" s="158"/>
      <c r="AL222" s="158"/>
      <c r="AM222" s="158" t="b">
        <f>IF(AJ222="",TRUE,IF(IF(AK222="",VLOOKUP(AJ222,Calculs!$A$19:$S$425,19,FALSE),VLOOKUP(AK222,Calculs!$A$19:$S$425,19,FALSE))&gt;=AL222,TRUE,FALSE))</f>
        <v>1</v>
      </c>
      <c r="AN222" s="158"/>
      <c r="AO222" s="158"/>
      <c r="AP222" s="158"/>
      <c r="AQ222" s="158" t="b">
        <f>IF(AN222="",TRUE,IF(IF(AO222="",VLOOKUP(AN222,Calculs!$A$19:$S$425,19,FALSE),VLOOKUP(AO222,Calculs!$A$19:$S$425,19,FALSE))&gt;=AP222,TRUE,FALSE))</f>
        <v>1</v>
      </c>
      <c r="AR222" s="158"/>
      <c r="AS222" s="158" t="b">
        <f>IF(AR222="",TRUE,IF(VLOOKUP(AR222,Calculs!$A$427:$G$738,7,FALSE)&gt;0,TRUE,FALSE))</f>
        <v>1</v>
      </c>
      <c r="AT222" s="158"/>
      <c r="AU222" s="158" t="b">
        <f>IF(AT222="",TRUE,IF(VLOOKUP(AT222,Calculs!$A$740:$G$912,7,FALSE)&gt;0,TRUE,FALSE))</f>
        <v>1</v>
      </c>
      <c r="AV222" s="158" t="b">
        <f t="shared" si="23"/>
        <v>1</v>
      </c>
      <c r="AW222" s="158" t="s">
        <v>2078</v>
      </c>
      <c r="AX222" s="162" t="s">
        <v>6061</v>
      </c>
      <c r="AY222" s="15">
        <v>40</v>
      </c>
      <c r="AZ222" s="555" t="s">
        <v>8529</v>
      </c>
      <c r="BA222" s="559">
        <f>IF(Verso!$B$10=Voies!$B222,1,0)</f>
        <v>0</v>
      </c>
      <c r="BB222" s="12">
        <f>IF(Verso!$B$11=Voies!$B222,1,0)</f>
        <v>0</v>
      </c>
      <c r="BC222" s="12">
        <f>IF(Verso!$B$12=Voies!$B222,1,0)</f>
        <v>0</v>
      </c>
      <c r="BD222" s="12">
        <f>IF(Verso!$B$13=Voies!$B222,1,0)</f>
        <v>0</v>
      </c>
      <c r="BE222" s="12">
        <f>IF(Verso!$B$14=Voies!$B222,1,0)</f>
        <v>0</v>
      </c>
      <c r="BF222" s="12">
        <f>IF(Verso!$B$15=Voies!$B222,1,0)</f>
        <v>0</v>
      </c>
      <c r="BG222" s="12">
        <f>IF(Verso!$B$16=Voies!$B222,1,0)</f>
        <v>0</v>
      </c>
      <c r="BH222" s="12">
        <f>IF(Verso!$B$17=Voies!$B222,1,0)</f>
        <v>0</v>
      </c>
      <c r="BI222" s="557">
        <f t="shared" si="24"/>
        <v>0</v>
      </c>
      <c r="BJ222" s="196" t="str">
        <f t="shared" si="25"/>
        <v/>
      </c>
      <c r="BK222" s="196" t="str">
        <f t="shared" si="26"/>
        <v/>
      </c>
      <c r="BL222" s="295" t="str">
        <f t="shared" si="27"/>
        <v/>
      </c>
    </row>
    <row r="223" spans="1:65" ht="47.25" customHeight="1" x14ac:dyDescent="0.25">
      <c r="A223" s="162" t="str">
        <f>IF(AND(Réputation&gt;Voies!E223-1,OR(C223=TRUE,Calculs!$I$8&gt;0),Air&gt;Voies!J223-1,Eau&gt;Voies!K223-1,Feu&gt;Voies!L223-1,Terre&gt;Voies!M223-1,Vide&gt;Voies!N223-1,Constitution&gt;Voies!O223-1,Volonté&gt;Voies!P223-1,Force&gt;Voies!Q223-1,Perception&gt;Voies!R223-1,Reflexes&gt;Voies!S223-1,Agilité&gt;Voies!T223-1,Intuition&gt;Voies!U223-1,Intelligence&gt;Voies!V223-1,Souillure&gt;Voies!W223-1,Honneur&gt;X223-1,Statut&gt;Y223-1,Gloire&gt;Z223-1,AV223=TRUE),Voies!B223,"")</f>
        <v/>
      </c>
      <c r="B223" s="162" t="s">
        <v>2213</v>
      </c>
      <c r="C223" s="162" t="b">
        <f>IF(Clan=Voies!D223,TRUE,FALSE)</f>
        <v>0</v>
      </c>
      <c r="D223" s="387" t="s">
        <v>175</v>
      </c>
      <c r="E223" s="13">
        <v>4</v>
      </c>
      <c r="F223" s="199">
        <v>4</v>
      </c>
      <c r="G223" s="13" t="s">
        <v>2049</v>
      </c>
      <c r="H223" s="162" t="s">
        <v>191</v>
      </c>
      <c r="I223" s="129" t="str">
        <f>IF(B223="","","Rien")</f>
        <v>Rien</v>
      </c>
      <c r="J223" s="146">
        <v>0</v>
      </c>
      <c r="K223" s="147">
        <v>0</v>
      </c>
      <c r="L223" s="148">
        <v>0</v>
      </c>
      <c r="M223" s="149">
        <v>0</v>
      </c>
      <c r="N223" s="150">
        <v>0</v>
      </c>
      <c r="O223" s="130">
        <v>0</v>
      </c>
      <c r="P223" s="130">
        <v>0</v>
      </c>
      <c r="Q223" s="130">
        <v>0</v>
      </c>
      <c r="R223" s="130">
        <v>0</v>
      </c>
      <c r="S223" s="130">
        <v>0</v>
      </c>
      <c r="T223" s="130">
        <v>0</v>
      </c>
      <c r="U223" s="130">
        <v>0</v>
      </c>
      <c r="V223" s="524">
        <v>0</v>
      </c>
      <c r="W223" s="130">
        <v>0</v>
      </c>
      <c r="X223" s="130">
        <v>0</v>
      </c>
      <c r="Y223" s="130">
        <v>0</v>
      </c>
      <c r="Z223" s="130">
        <v>0</v>
      </c>
      <c r="AA223" s="158" t="s">
        <v>2078</v>
      </c>
      <c r="AB223" s="158"/>
      <c r="AC223" s="158"/>
      <c r="AD223" s="158"/>
      <c r="AE223" s="158" t="b">
        <f>IF(AB223="",TRUE,IF(IF(AC223="",VLOOKUP(AB223,Calculs!$A$19:$S$425,19,FALSE),VLOOKUP(AC223,Calculs!$A$19:$S$425,19,FALSE))&gt;=AD223,TRUE,FALSE))</f>
        <v>1</v>
      </c>
      <c r="AF223" s="158"/>
      <c r="AG223" s="158"/>
      <c r="AH223" s="158"/>
      <c r="AI223" s="158" t="b">
        <f>IF(AF223="",TRUE,IF(IF(AG223="",VLOOKUP(AF223,Calculs!$A$19:$S$425,19,FALSE),VLOOKUP(AG223,Calculs!$A$19:$S$425,19,FALSE))&gt;=AH223,TRUE,FALSE))</f>
        <v>1</v>
      </c>
      <c r="AJ223" s="158"/>
      <c r="AK223" s="158"/>
      <c r="AL223" s="158"/>
      <c r="AM223" s="158" t="b">
        <f>IF(AJ223="",TRUE,IF(IF(AK223="",VLOOKUP(AJ223,Calculs!$A$19:$S$425,19,FALSE),VLOOKUP(AK223,Calculs!$A$19:$S$425,19,FALSE))&gt;=AL223,TRUE,FALSE))</f>
        <v>1</v>
      </c>
      <c r="AN223" s="158"/>
      <c r="AO223" s="158"/>
      <c r="AP223" s="158"/>
      <c r="AQ223" s="158" t="b">
        <f>IF(AN223="",TRUE,IF(IF(AO223="",VLOOKUP(AN223,Calculs!$A$19:$S$425,19,FALSE),VLOOKUP(AO223,Calculs!$A$19:$S$425,19,FALSE))&gt;=AP223,TRUE,FALSE))</f>
        <v>1</v>
      </c>
      <c r="AR223" s="158"/>
      <c r="AS223" s="158" t="b">
        <f>IF(AR223="",TRUE,IF(VLOOKUP(AR223,Calculs!$A$427:$G$738,7,FALSE)&gt;0,TRUE,FALSE))</f>
        <v>1</v>
      </c>
      <c r="AT223" s="158"/>
      <c r="AU223" s="158" t="b">
        <f>IF(AT223="",TRUE,IF(VLOOKUP(AT223,Calculs!$A$740:$G$912,7,FALSE)&gt;0,TRUE,FALSE))</f>
        <v>1</v>
      </c>
      <c r="AV223" s="158" t="b">
        <f t="shared" si="23"/>
        <v>1</v>
      </c>
      <c r="AW223" s="158" t="s">
        <v>2078</v>
      </c>
      <c r="AX223" s="162" t="s">
        <v>3</v>
      </c>
      <c r="AY223" s="15">
        <v>106</v>
      </c>
      <c r="AZ223" s="555" t="s">
        <v>2217</v>
      </c>
      <c r="BA223" s="559">
        <f>IF(Verso!$B$10=Voies!$B223,1,0)</f>
        <v>0</v>
      </c>
      <c r="BB223" s="12">
        <f>IF(Verso!$B$11=Voies!$B223,1,0)</f>
        <v>0</v>
      </c>
      <c r="BC223" s="12">
        <f>IF(Verso!$B$12=Voies!$B223,1,0)</f>
        <v>0</v>
      </c>
      <c r="BD223" s="12">
        <f>IF(Verso!$B$13=Voies!$B223,1,0)</f>
        <v>0</v>
      </c>
      <c r="BE223" s="12">
        <f>IF(Verso!$B$14=Voies!$B223,1,0)</f>
        <v>0</v>
      </c>
      <c r="BF223" s="12">
        <f>IF(Verso!$B$15=Voies!$B223,1,0)</f>
        <v>0</v>
      </c>
      <c r="BG223" s="12">
        <f>IF(Verso!$B$16=Voies!$B223,1,0)</f>
        <v>0</v>
      </c>
      <c r="BH223" s="12">
        <f>IF(Verso!$B$17=Voies!$B223,1,0)</f>
        <v>0</v>
      </c>
      <c r="BI223" s="557">
        <f t="shared" si="24"/>
        <v>0</v>
      </c>
      <c r="BJ223" s="196" t="str">
        <f t="shared" si="25"/>
        <v/>
      </c>
      <c r="BK223" s="196" t="str">
        <f t="shared" si="26"/>
        <v/>
      </c>
      <c r="BL223" s="295" t="str">
        <f t="shared" si="27"/>
        <v/>
      </c>
    </row>
    <row r="224" spans="1:65" s="3" customFormat="1" ht="47.25" customHeight="1" x14ac:dyDescent="0.25">
      <c r="A224" s="162" t="str">
        <f>IF(AND(Réputation&gt;Voies!E224-1,OR(C224=TRUE,Calculs!$I$8&gt;0),Air&gt;Voies!J224-1,Eau&gt;Voies!K224-1,Feu&gt;Voies!L224-1,Terre&gt;Voies!M224-1,Vide&gt;Voies!N224-1,Constitution&gt;Voies!O224-1,Volonté&gt;Voies!P224-1,Force&gt;Voies!Q224-1,Perception&gt;Voies!R224-1,Reflexes&gt;Voies!S224-1,Agilité&gt;Voies!T224-1,Intuition&gt;Voies!U224-1,Intelligence&gt;Voies!V224-1,Souillure&gt;Voies!W224-1,Honneur&gt;X224-1,Statut&gt;Y224-1,Gloire&gt;Z224-1,AV224=TRUE),Voies!B224,"")</f>
        <v/>
      </c>
      <c r="B224" s="162" t="s">
        <v>2244</v>
      </c>
      <c r="C224" s="162" t="b">
        <f>IF(Clan=Voies!D224,TRUE,FALSE)</f>
        <v>0</v>
      </c>
      <c r="D224" s="387" t="s">
        <v>175</v>
      </c>
      <c r="E224" s="13">
        <v>4</v>
      </c>
      <c r="F224" s="199">
        <v>4</v>
      </c>
      <c r="G224" s="13" t="s">
        <v>2049</v>
      </c>
      <c r="H224" s="162" t="s">
        <v>193</v>
      </c>
      <c r="I224" s="129" t="str">
        <f>IF(B224="","","Rien")</f>
        <v>Rien</v>
      </c>
      <c r="J224" s="146">
        <v>0</v>
      </c>
      <c r="K224" s="147">
        <v>0</v>
      </c>
      <c r="L224" s="148">
        <v>0</v>
      </c>
      <c r="M224" s="149">
        <v>0</v>
      </c>
      <c r="N224" s="150">
        <v>0</v>
      </c>
      <c r="O224" s="130">
        <v>0</v>
      </c>
      <c r="P224" s="130">
        <v>0</v>
      </c>
      <c r="Q224" s="130">
        <v>0</v>
      </c>
      <c r="R224" s="130">
        <v>0</v>
      </c>
      <c r="S224" s="130">
        <v>0</v>
      </c>
      <c r="T224" s="130">
        <v>0</v>
      </c>
      <c r="U224" s="130">
        <v>0</v>
      </c>
      <c r="V224" s="524">
        <v>0</v>
      </c>
      <c r="W224" s="130">
        <v>0</v>
      </c>
      <c r="X224" s="130">
        <v>0</v>
      </c>
      <c r="Y224" s="130">
        <v>0</v>
      </c>
      <c r="Z224" s="130">
        <v>0</v>
      </c>
      <c r="AA224" s="158" t="s">
        <v>2078</v>
      </c>
      <c r="AB224" s="158"/>
      <c r="AC224" s="158"/>
      <c r="AD224" s="158"/>
      <c r="AE224" s="158" t="b">
        <f>IF(AB224="",TRUE,IF(IF(AC224="",VLOOKUP(AB224,Calculs!$A$19:$S$425,19,FALSE),VLOOKUP(AC224,Calculs!$A$19:$S$425,19,FALSE))&gt;=AD224,TRUE,FALSE))</f>
        <v>1</v>
      </c>
      <c r="AF224" s="158"/>
      <c r="AG224" s="158"/>
      <c r="AH224" s="158"/>
      <c r="AI224" s="158" t="b">
        <f>IF(AF224="",TRUE,IF(IF(AG224="",VLOOKUP(AF224,Calculs!$A$19:$S$425,19,FALSE),VLOOKUP(AG224,Calculs!$A$19:$S$425,19,FALSE))&gt;=AH224,TRUE,FALSE))</f>
        <v>1</v>
      </c>
      <c r="AJ224" s="158"/>
      <c r="AK224" s="158"/>
      <c r="AL224" s="158"/>
      <c r="AM224" s="158" t="b">
        <f>IF(AJ224="",TRUE,IF(IF(AK224="",VLOOKUP(AJ224,Calculs!$A$19:$S$425,19,FALSE),VLOOKUP(AK224,Calculs!$A$19:$S$425,19,FALSE))&gt;=AL224,TRUE,FALSE))</f>
        <v>1</v>
      </c>
      <c r="AN224" s="158"/>
      <c r="AO224" s="158"/>
      <c r="AP224" s="158"/>
      <c r="AQ224" s="158" t="b">
        <f>IF(AN224="",TRUE,IF(IF(AO224="",VLOOKUP(AN224,Calculs!$A$19:$S$425,19,FALSE),VLOOKUP(AO224,Calculs!$A$19:$S$425,19,FALSE))&gt;=AP224,TRUE,FALSE))</f>
        <v>1</v>
      </c>
      <c r="AR224" s="158"/>
      <c r="AS224" s="158" t="b">
        <f>IF(AR224="",TRUE,IF(VLOOKUP(AR224,Calculs!$A$427:$G$738,7,FALSE)&gt;0,TRUE,FALSE))</f>
        <v>1</v>
      </c>
      <c r="AT224" s="158"/>
      <c r="AU224" s="158" t="b">
        <f>IF(AT224="",TRUE,IF(VLOOKUP(AT224,Calculs!$A$740:$G$912,7,FALSE)&gt;0,TRUE,FALSE))</f>
        <v>1</v>
      </c>
      <c r="AV224" s="158" t="b">
        <f t="shared" si="23"/>
        <v>1</v>
      </c>
      <c r="AW224" s="158" t="s">
        <v>2078</v>
      </c>
      <c r="AX224" s="162" t="s">
        <v>3</v>
      </c>
      <c r="AY224" s="15">
        <v>108</v>
      </c>
      <c r="AZ224" s="555" t="s">
        <v>2247</v>
      </c>
      <c r="BA224" s="559">
        <f>IF(Verso!$B$10=Voies!$B224,1,0)</f>
        <v>0</v>
      </c>
      <c r="BB224" s="12">
        <f>IF(Verso!$B$11=Voies!$B224,1,0)</f>
        <v>0</v>
      </c>
      <c r="BC224" s="12">
        <f>IF(Verso!$B$12=Voies!$B224,1,0)</f>
        <v>0</v>
      </c>
      <c r="BD224" s="12">
        <f>IF(Verso!$B$13=Voies!$B224,1,0)</f>
        <v>0</v>
      </c>
      <c r="BE224" s="12">
        <f>IF(Verso!$B$14=Voies!$B224,1,0)</f>
        <v>0</v>
      </c>
      <c r="BF224" s="12">
        <f>IF(Verso!$B$15=Voies!$B224,1,0)</f>
        <v>0</v>
      </c>
      <c r="BG224" s="12">
        <f>IF(Verso!$B$16=Voies!$B224,1,0)</f>
        <v>0</v>
      </c>
      <c r="BH224" s="12">
        <f>IF(Verso!$B$17=Voies!$B224,1,0)</f>
        <v>0</v>
      </c>
      <c r="BI224" s="557">
        <f t="shared" si="24"/>
        <v>0</v>
      </c>
      <c r="BJ224" s="196" t="str">
        <f t="shared" si="25"/>
        <v/>
      </c>
      <c r="BK224" s="196" t="str">
        <f t="shared" si="26"/>
        <v/>
      </c>
      <c r="BL224" s="295" t="str">
        <f t="shared" si="27"/>
        <v/>
      </c>
      <c r="BM224" s="577"/>
    </row>
    <row r="225" spans="1:65" s="3" customFormat="1" ht="47.25" customHeight="1" x14ac:dyDescent="0.25">
      <c r="A225" s="162" t="str">
        <f>IF(AND(Réputation&gt;Voies!E225-1,OR(C225=TRUE,Calculs!$I$8&gt;0),Air&gt;Voies!J225-1,Eau&gt;Voies!K225-1,Feu&gt;Voies!L225-1,Terre&gt;Voies!M225-1,Vide&gt;Voies!N225-1,Constitution&gt;Voies!O225-1,Volonté&gt;Voies!P225-1,Force&gt;Voies!Q225-1,Perception&gt;Voies!R225-1,Reflexes&gt;Voies!S225-1,Agilité&gt;Voies!T225-1,Intuition&gt;Voies!U225-1,Intelligence&gt;Voies!V225-1,Souillure&gt;Voies!W225-1,Honneur&gt;X225-1,Statut&gt;Y225-1,Gloire&gt;Z225-1,AV225=TRUE),Voies!B225,"")</f>
        <v/>
      </c>
      <c r="B225" s="162" t="s">
        <v>2944</v>
      </c>
      <c r="C225" s="162" t="b">
        <f>IF(Clan=Voies!D225,TRUE,FALSE)</f>
        <v>0</v>
      </c>
      <c r="D225" s="387" t="s">
        <v>175</v>
      </c>
      <c r="E225" s="13">
        <v>4</v>
      </c>
      <c r="F225" s="199">
        <v>4</v>
      </c>
      <c r="G225" s="13" t="s">
        <v>2049</v>
      </c>
      <c r="H225" s="162" t="s">
        <v>194</v>
      </c>
      <c r="I225" s="129" t="str">
        <f>IF(B225="","","Rien")</f>
        <v>Rien</v>
      </c>
      <c r="J225" s="146">
        <v>0</v>
      </c>
      <c r="K225" s="147">
        <v>0</v>
      </c>
      <c r="L225" s="148">
        <v>0</v>
      </c>
      <c r="M225" s="149">
        <v>0</v>
      </c>
      <c r="N225" s="150">
        <v>0</v>
      </c>
      <c r="O225" s="130">
        <v>0</v>
      </c>
      <c r="P225" s="130">
        <v>0</v>
      </c>
      <c r="Q225" s="130">
        <v>0</v>
      </c>
      <c r="R225" s="130">
        <v>0</v>
      </c>
      <c r="S225" s="130">
        <v>0</v>
      </c>
      <c r="T225" s="130">
        <v>0</v>
      </c>
      <c r="U225" s="130">
        <v>0</v>
      </c>
      <c r="V225" s="524">
        <v>0</v>
      </c>
      <c r="W225" s="130">
        <v>0</v>
      </c>
      <c r="X225" s="130">
        <v>0</v>
      </c>
      <c r="Y225" s="130">
        <v>0</v>
      </c>
      <c r="Z225" s="130">
        <v>0</v>
      </c>
      <c r="AA225" s="158" t="s">
        <v>2078</v>
      </c>
      <c r="AB225" s="158"/>
      <c r="AC225" s="158"/>
      <c r="AD225" s="158"/>
      <c r="AE225" s="158" t="b">
        <f>IF(AB225="",TRUE,IF(IF(AC225="",VLOOKUP(AB225,Calculs!$A$19:$S$425,19,FALSE),VLOOKUP(AC225,Calculs!$A$19:$S$425,19,FALSE))&gt;=AD225,TRUE,FALSE))</f>
        <v>1</v>
      </c>
      <c r="AF225" s="158"/>
      <c r="AG225" s="158"/>
      <c r="AH225" s="158"/>
      <c r="AI225" s="158" t="b">
        <f>IF(AF225="",TRUE,IF(IF(AG225="",VLOOKUP(AF225,Calculs!$A$19:$S$425,19,FALSE),VLOOKUP(AG225,Calculs!$A$19:$S$425,19,FALSE))&gt;=AH225,TRUE,FALSE))</f>
        <v>1</v>
      </c>
      <c r="AJ225" s="158"/>
      <c r="AK225" s="158"/>
      <c r="AL225" s="158"/>
      <c r="AM225" s="158" t="b">
        <f>IF(AJ225="",TRUE,IF(IF(AK225="",VLOOKUP(AJ225,Calculs!$A$19:$S$425,19,FALSE),VLOOKUP(AK225,Calculs!$A$19:$S$425,19,FALSE))&gt;=AL225,TRUE,FALSE))</f>
        <v>1</v>
      </c>
      <c r="AN225" s="158"/>
      <c r="AO225" s="158"/>
      <c r="AP225" s="158"/>
      <c r="AQ225" s="158" t="b">
        <f>IF(AN225="",TRUE,IF(IF(AO225="",VLOOKUP(AN225,Calculs!$A$19:$S$425,19,FALSE),VLOOKUP(AO225,Calculs!$A$19:$S$425,19,FALSE))&gt;=AP225,TRUE,FALSE))</f>
        <v>1</v>
      </c>
      <c r="AR225" s="158"/>
      <c r="AS225" s="158" t="b">
        <f>IF(AR225="",TRUE,IF(VLOOKUP(AR225,Calculs!$A$427:$G$738,7,FALSE)&gt;0,TRUE,FALSE))</f>
        <v>1</v>
      </c>
      <c r="AT225" s="158"/>
      <c r="AU225" s="158" t="b">
        <f>IF(AT225="",TRUE,IF(VLOOKUP(AT225,Calculs!$A$740:$G$912,7,FALSE)&gt;0,TRUE,FALSE))</f>
        <v>1</v>
      </c>
      <c r="AV225" s="158" t="b">
        <f t="shared" si="23"/>
        <v>1</v>
      </c>
      <c r="AW225" s="158" t="s">
        <v>2078</v>
      </c>
      <c r="AX225" s="162" t="s">
        <v>2077</v>
      </c>
      <c r="AY225" s="15">
        <v>148</v>
      </c>
      <c r="AZ225" s="555" t="s">
        <v>2945</v>
      </c>
      <c r="BA225" s="559">
        <f>IF(Verso!$B$10=Voies!$B225,1,0)</f>
        <v>0</v>
      </c>
      <c r="BB225" s="12">
        <f>IF(Verso!$B$11=Voies!$B225,1,0)</f>
        <v>0</v>
      </c>
      <c r="BC225" s="12">
        <f>IF(Verso!$B$12=Voies!$B225,1,0)</f>
        <v>0</v>
      </c>
      <c r="BD225" s="12">
        <f>IF(Verso!$B$13=Voies!$B225,1,0)</f>
        <v>0</v>
      </c>
      <c r="BE225" s="12">
        <f>IF(Verso!$B$14=Voies!$B225,1,0)</f>
        <v>0</v>
      </c>
      <c r="BF225" s="12">
        <f>IF(Verso!$B$15=Voies!$B225,1,0)</f>
        <v>0</v>
      </c>
      <c r="BG225" s="12">
        <f>IF(Verso!$B$16=Voies!$B225,1,0)</f>
        <v>0</v>
      </c>
      <c r="BH225" s="12">
        <f>IF(Verso!$B$17=Voies!$B225,1,0)</f>
        <v>0</v>
      </c>
      <c r="BI225" s="557">
        <f t="shared" si="24"/>
        <v>0</v>
      </c>
      <c r="BJ225" s="196" t="str">
        <f t="shared" si="25"/>
        <v/>
      </c>
      <c r="BK225" s="196" t="str">
        <f t="shared" si="26"/>
        <v/>
      </c>
      <c r="BL225" s="295" t="str">
        <f t="shared" si="27"/>
        <v/>
      </c>
      <c r="BM225" s="577"/>
    </row>
    <row r="226" spans="1:65" s="3" customFormat="1" ht="47.25" customHeight="1" x14ac:dyDescent="0.25">
      <c r="A226" s="162" t="str">
        <f>IF(AND(Réputation&gt;Voies!E226-1,OR(C226=TRUE,Calculs!$I$8&gt;0),Air&gt;Voies!J226-1,Eau&gt;Voies!K226-1,Feu&gt;Voies!L226-1,Terre&gt;Voies!M226-1,Vide&gt;Voies!N226-1,Constitution&gt;Voies!O226-1,Volonté&gt;Voies!P226-1,Force&gt;Voies!Q226-1,Perception&gt;Voies!R226-1,Reflexes&gt;Voies!S226-1,Agilité&gt;Voies!T226-1,Intuition&gt;Voies!U226-1,Intelligence&gt;Voies!V226-1,Souillure&gt;Voies!W226-1,Honneur&gt;X226-1,Statut&gt;Y226-1,Gloire&gt;Z226-1,AV226=TRUE),Voies!B226,"")</f>
        <v/>
      </c>
      <c r="B226" s="162" t="s">
        <v>2610</v>
      </c>
      <c r="C226" s="162" t="b">
        <f>IF(Clan=Voies!D226,TRUE,FALSE)</f>
        <v>0</v>
      </c>
      <c r="D226" s="387" t="s">
        <v>175</v>
      </c>
      <c r="E226" s="13">
        <v>4</v>
      </c>
      <c r="F226" s="199">
        <v>4</v>
      </c>
      <c r="G226" s="13" t="s">
        <v>2049</v>
      </c>
      <c r="H226" s="162" t="s">
        <v>192</v>
      </c>
      <c r="I226" s="129" t="str">
        <f>IF(B226="","","Rien")</f>
        <v>Rien</v>
      </c>
      <c r="J226" s="146">
        <v>0</v>
      </c>
      <c r="K226" s="147">
        <v>0</v>
      </c>
      <c r="L226" s="148">
        <v>0</v>
      </c>
      <c r="M226" s="149">
        <v>0</v>
      </c>
      <c r="N226" s="150">
        <v>0</v>
      </c>
      <c r="O226" s="130">
        <v>0</v>
      </c>
      <c r="P226" s="130">
        <v>0</v>
      </c>
      <c r="Q226" s="130">
        <v>0</v>
      </c>
      <c r="R226" s="130">
        <v>0</v>
      </c>
      <c r="S226" s="130">
        <v>0</v>
      </c>
      <c r="T226" s="130">
        <v>0</v>
      </c>
      <c r="U226" s="130">
        <v>0</v>
      </c>
      <c r="V226" s="524">
        <v>0</v>
      </c>
      <c r="W226" s="130">
        <v>0</v>
      </c>
      <c r="X226" s="130">
        <v>0</v>
      </c>
      <c r="Y226" s="130">
        <v>0</v>
      </c>
      <c r="Z226" s="130">
        <v>0</v>
      </c>
      <c r="AA226" s="158" t="s">
        <v>2078</v>
      </c>
      <c r="AB226" s="158"/>
      <c r="AC226" s="158"/>
      <c r="AD226" s="158"/>
      <c r="AE226" s="158" t="b">
        <f>IF(AB226="",TRUE,IF(IF(AC226="",VLOOKUP(AB226,Calculs!$A$19:$S$425,19,FALSE),VLOOKUP(AC226,Calculs!$A$19:$S$425,19,FALSE))&gt;=AD226,TRUE,FALSE))</f>
        <v>1</v>
      </c>
      <c r="AF226" s="158"/>
      <c r="AG226" s="158"/>
      <c r="AH226" s="158"/>
      <c r="AI226" s="158" t="b">
        <f>IF(AF226="",TRUE,IF(IF(AG226="",VLOOKUP(AF226,Calculs!$A$19:$S$425,19,FALSE),VLOOKUP(AG226,Calculs!$A$19:$S$425,19,FALSE))&gt;=AH226,TRUE,FALSE))</f>
        <v>1</v>
      </c>
      <c r="AJ226" s="158"/>
      <c r="AK226" s="158"/>
      <c r="AL226" s="158"/>
      <c r="AM226" s="158" t="b">
        <f>IF(AJ226="",TRUE,IF(IF(AK226="",VLOOKUP(AJ226,Calculs!$A$19:$S$425,19,FALSE),VLOOKUP(AK226,Calculs!$A$19:$S$425,19,FALSE))&gt;=AL226,TRUE,FALSE))</f>
        <v>1</v>
      </c>
      <c r="AN226" s="158"/>
      <c r="AO226" s="158"/>
      <c r="AP226" s="158"/>
      <c r="AQ226" s="158" t="b">
        <f>IF(AN226="",TRUE,IF(IF(AO226="",VLOOKUP(AN226,Calculs!$A$19:$S$425,19,FALSE),VLOOKUP(AO226,Calculs!$A$19:$S$425,19,FALSE))&gt;=AP226,TRUE,FALSE))</f>
        <v>1</v>
      </c>
      <c r="AR226" s="158"/>
      <c r="AS226" s="158" t="b">
        <f>IF(AR226="",TRUE,IF(VLOOKUP(AR226,Calculs!$A$427:$G$738,7,FALSE)&gt;0,TRUE,FALSE))</f>
        <v>1</v>
      </c>
      <c r="AT226" s="158"/>
      <c r="AU226" s="158" t="b">
        <f>IF(AT226="",TRUE,IF(VLOOKUP(AT226,Calculs!$A$740:$G$912,7,FALSE)&gt;0,TRUE,FALSE))</f>
        <v>1</v>
      </c>
      <c r="AV226" s="158" t="b">
        <f t="shared" si="23"/>
        <v>1</v>
      </c>
      <c r="AW226" s="158" t="s">
        <v>2078</v>
      </c>
      <c r="AX226" s="162" t="s">
        <v>5202</v>
      </c>
      <c r="AY226" s="15">
        <v>247</v>
      </c>
      <c r="AZ226" s="555" t="str">
        <f>CONCATENATE(Vide, " fois par Session après avoir subi des Dmgs: ActG pour effectuer un test d'Oppostion: Jiujutsu /Agilité vs. Compétence d'Arme/Agilité l'ennemi. En cas de réussite vous frappez l'ennemi avec son arme")</f>
        <v>2 fois par Session après avoir subi des Dmgs: ActG pour effectuer un test d'Oppostion: Jiujutsu /Agilité vs. Compétence d'Arme/Agilité l'ennemi. En cas de réussite vous frappez l'ennemi avec son arme</v>
      </c>
      <c r="BA226" s="559">
        <f>IF(Verso!$B$10=Voies!$B226,1,0)</f>
        <v>0</v>
      </c>
      <c r="BB226" s="12">
        <f>IF(Verso!$B$11=Voies!$B226,1,0)</f>
        <v>0</v>
      </c>
      <c r="BC226" s="12">
        <f>IF(Verso!$B$12=Voies!$B226,1,0)</f>
        <v>0</v>
      </c>
      <c r="BD226" s="12">
        <f>IF(Verso!$B$13=Voies!$B226,1,0)</f>
        <v>0</v>
      </c>
      <c r="BE226" s="12">
        <f>IF(Verso!$B$14=Voies!$B226,1,0)</f>
        <v>0</v>
      </c>
      <c r="BF226" s="12">
        <f>IF(Verso!$B$15=Voies!$B226,1,0)</f>
        <v>0</v>
      </c>
      <c r="BG226" s="12">
        <f>IF(Verso!$B$16=Voies!$B226,1,0)</f>
        <v>0</v>
      </c>
      <c r="BH226" s="12">
        <f>IF(Verso!$B$17=Voies!$B226,1,0)</f>
        <v>0</v>
      </c>
      <c r="BI226" s="557">
        <f t="shared" si="24"/>
        <v>0</v>
      </c>
      <c r="BJ226" s="196" t="str">
        <f t="shared" si="25"/>
        <v/>
      </c>
      <c r="BK226" s="196" t="str">
        <f t="shared" si="26"/>
        <v/>
      </c>
      <c r="BL226" s="295" t="str">
        <f t="shared" si="27"/>
        <v/>
      </c>
      <c r="BM226" s="577"/>
    </row>
    <row r="227" spans="1:65" s="3" customFormat="1" ht="47.25" customHeight="1" x14ac:dyDescent="0.25">
      <c r="A227" s="162" t="str">
        <f>IF(AND(Réputation&gt;Voies!E227-1,OR(C227=TRUE,Calculs!$I$8&gt;0),Air&gt;Voies!J227-1,Eau&gt;Voies!K227-1,Feu&gt;Voies!L227-1,Terre&gt;Voies!M227-1,Vide&gt;Voies!N227-1,Constitution&gt;Voies!O227-1,Volonté&gt;Voies!P227-1,Force&gt;Voies!Q227-1,Perception&gt;Voies!R227-1,Reflexes&gt;Voies!S227-1,Agilité&gt;Voies!T227-1,Intuition&gt;Voies!U227-1,Intelligence&gt;Voies!V227-1,Souillure&gt;Voies!W227-1,Honneur&gt;X227-1,Statut&gt;Y227-1,Gloire&gt;Z227-1,AV227=TRUE),Voies!B227,"")</f>
        <v/>
      </c>
      <c r="B227" s="162" t="s">
        <v>3365</v>
      </c>
      <c r="C227" s="162" t="b">
        <f>IF(Clan=Voies!D227,TRUE,FALSE)</f>
        <v>0</v>
      </c>
      <c r="D227" s="387" t="s">
        <v>175</v>
      </c>
      <c r="E227" s="13">
        <v>4</v>
      </c>
      <c r="F227" s="199">
        <v>4</v>
      </c>
      <c r="G227" s="13" t="s">
        <v>2049</v>
      </c>
      <c r="H227" s="162" t="s">
        <v>477</v>
      </c>
      <c r="I227" s="129" t="s">
        <v>3862</v>
      </c>
      <c r="J227" s="146">
        <v>0</v>
      </c>
      <c r="K227" s="147">
        <v>0</v>
      </c>
      <c r="L227" s="148">
        <v>0</v>
      </c>
      <c r="M227" s="149">
        <v>0</v>
      </c>
      <c r="N227" s="150">
        <v>0</v>
      </c>
      <c r="O227" s="130">
        <v>0</v>
      </c>
      <c r="P227" s="130">
        <v>0</v>
      </c>
      <c r="Q227" s="130">
        <v>0</v>
      </c>
      <c r="R227" s="130">
        <v>0</v>
      </c>
      <c r="S227" s="130">
        <v>4</v>
      </c>
      <c r="T227" s="130">
        <v>0</v>
      </c>
      <c r="U227" s="130">
        <v>0</v>
      </c>
      <c r="V227" s="524">
        <v>0</v>
      </c>
      <c r="W227" s="130">
        <v>0</v>
      </c>
      <c r="X227" s="130">
        <v>0</v>
      </c>
      <c r="Y227" s="130">
        <v>0</v>
      </c>
      <c r="Z227" s="130">
        <v>0</v>
      </c>
      <c r="AA227" s="159" t="s">
        <v>3366</v>
      </c>
      <c r="AB227" s="159" t="s">
        <v>1228</v>
      </c>
      <c r="AC227" s="159"/>
      <c r="AD227" s="159">
        <v>5</v>
      </c>
      <c r="AE227" s="158" t="b">
        <f>IF(AB227="",TRUE,IF(IF(AC227="",VLOOKUP(AB227,Calculs!$A$19:$S$425,19,FALSE),VLOOKUP(AC227,Calculs!$A$19:$S$425,19,FALSE))&gt;=AD227,TRUE,FALSE))</f>
        <v>0</v>
      </c>
      <c r="AF227" s="159"/>
      <c r="AG227" s="159"/>
      <c r="AH227" s="159"/>
      <c r="AI227" s="158" t="b">
        <f>IF(AF227="",TRUE,IF(IF(AG227="",VLOOKUP(AF227,Calculs!$A$19:$S$425,19,FALSE),VLOOKUP(AG227,Calculs!$A$19:$S$425,19,FALSE))&gt;=AH227,TRUE,FALSE))</f>
        <v>1</v>
      </c>
      <c r="AJ227" s="159"/>
      <c r="AK227" s="159"/>
      <c r="AL227" s="159"/>
      <c r="AM227" s="158" t="b">
        <f>IF(AJ227="",TRUE,IF(IF(AK227="",VLOOKUP(AJ227,Calculs!$A$19:$S$425,19,FALSE),VLOOKUP(AK227,Calculs!$A$19:$S$425,19,FALSE))&gt;=AL227,TRUE,FALSE))</f>
        <v>1</v>
      </c>
      <c r="AN227" s="159"/>
      <c r="AO227" s="159"/>
      <c r="AP227" s="159"/>
      <c r="AQ227" s="158" t="b">
        <f>IF(AN227="",TRUE,IF(IF(AO227="",VLOOKUP(AN227,Calculs!$A$19:$S$425,19,FALSE),VLOOKUP(AO227,Calculs!$A$19:$S$425,19,FALSE))&gt;=AP227,TRUE,FALSE))</f>
        <v>1</v>
      </c>
      <c r="AR227" s="158"/>
      <c r="AS227" s="158" t="b">
        <f>IF(AR227="",TRUE,IF(VLOOKUP(AR227,Calculs!$A$427:$G$738,7,FALSE)&gt;0,TRUE,FALSE))</f>
        <v>1</v>
      </c>
      <c r="AT227" s="158"/>
      <c r="AU227" s="158" t="b">
        <f>IF(AT227="",TRUE,IF(VLOOKUP(AT227,Calculs!$A$740:$G$912,7,FALSE)&gt;0,TRUE,FALSE))</f>
        <v>1</v>
      </c>
      <c r="AV227" s="158" t="b">
        <f t="shared" si="23"/>
        <v>0</v>
      </c>
      <c r="AW227" s="158" t="s">
        <v>2078</v>
      </c>
      <c r="AX227" s="162" t="s">
        <v>118</v>
      </c>
      <c r="AY227" s="15">
        <v>172</v>
      </c>
      <c r="AZ227" s="555" t="s">
        <v>8506</v>
      </c>
      <c r="BA227" s="559">
        <f>IF(Verso!$B$10=Voies!$B227,1,0)</f>
        <v>0</v>
      </c>
      <c r="BB227" s="12">
        <f>IF(Verso!$B$11=Voies!$B227,1,0)</f>
        <v>0</v>
      </c>
      <c r="BC227" s="12">
        <f>IF(Verso!$B$12=Voies!$B227,1,0)</f>
        <v>0</v>
      </c>
      <c r="BD227" s="12">
        <f>IF(Verso!$B$13=Voies!$B227,1,0)</f>
        <v>0</v>
      </c>
      <c r="BE227" s="12">
        <f>IF(Verso!$B$14=Voies!$B227,1,0)</f>
        <v>0</v>
      </c>
      <c r="BF227" s="12">
        <f>IF(Verso!$B$15=Voies!$B227,1,0)</f>
        <v>0</v>
      </c>
      <c r="BG227" s="12">
        <f>IF(Verso!$B$16=Voies!$B227,1,0)</f>
        <v>0</v>
      </c>
      <c r="BH227" s="12">
        <f>IF(Verso!$B$17=Voies!$B227,1,0)</f>
        <v>0</v>
      </c>
      <c r="BI227" s="557">
        <f t="shared" si="24"/>
        <v>0</v>
      </c>
      <c r="BJ227" s="196" t="str">
        <f t="shared" si="25"/>
        <v/>
      </c>
      <c r="BK227" s="196" t="str">
        <f t="shared" si="26"/>
        <v/>
      </c>
      <c r="BL227" s="295" t="str">
        <f t="shared" si="27"/>
        <v/>
      </c>
      <c r="BM227" s="577"/>
    </row>
    <row r="228" spans="1:65" ht="47.25" customHeight="1" x14ac:dyDescent="0.25">
      <c r="A228" s="162" t="str">
        <f>IF(AND(Réputation&gt;Voies!E228-1,OR(C228=TRUE,Calculs!$I$8&gt;0),Air&gt;Voies!J228-1,Eau&gt;Voies!K228-1,Feu&gt;Voies!L228-1,Terre&gt;Voies!M228-1,Vide&gt;Voies!N228-1,Constitution&gt;Voies!O228-1,Volonté&gt;Voies!P228-1,Force&gt;Voies!Q228-1,Perception&gt;Voies!R228-1,Reflexes&gt;Voies!S228-1,Agilité&gt;Voies!T228-1,Intuition&gt;Voies!U228-1,Intelligence&gt;Voies!V228-1,Souillure&gt;Voies!W228-1,Honneur&gt;X228-1,Statut&gt;Y228-1,Gloire&gt;Z228-1,AV228=TRUE),Voies!B228,"")</f>
        <v/>
      </c>
      <c r="B228" s="162" t="s">
        <v>3417</v>
      </c>
      <c r="C228" s="162" t="b">
        <f>IF(Clan=Voies!D228,TRUE,FALSE)</f>
        <v>0</v>
      </c>
      <c r="D228" s="387" t="s">
        <v>175</v>
      </c>
      <c r="E228" s="13">
        <v>4</v>
      </c>
      <c r="F228" s="199">
        <v>4</v>
      </c>
      <c r="G228" s="13" t="s">
        <v>2049</v>
      </c>
      <c r="H228" s="162" t="s">
        <v>616</v>
      </c>
      <c r="I228" s="129" t="s">
        <v>3863</v>
      </c>
      <c r="J228" s="146">
        <v>0</v>
      </c>
      <c r="K228" s="147">
        <v>0</v>
      </c>
      <c r="L228" s="148">
        <v>0</v>
      </c>
      <c r="M228" s="149">
        <v>0</v>
      </c>
      <c r="N228" s="150">
        <v>0</v>
      </c>
      <c r="O228" s="130">
        <v>0</v>
      </c>
      <c r="P228" s="130">
        <v>0</v>
      </c>
      <c r="Q228" s="130">
        <v>0</v>
      </c>
      <c r="R228" s="130">
        <v>0</v>
      </c>
      <c r="S228" s="130">
        <v>0</v>
      </c>
      <c r="T228" s="130">
        <v>0</v>
      </c>
      <c r="U228" s="130">
        <v>0</v>
      </c>
      <c r="V228" s="524">
        <v>0</v>
      </c>
      <c r="W228" s="130">
        <v>0</v>
      </c>
      <c r="X228" s="130">
        <v>0</v>
      </c>
      <c r="Y228" s="130">
        <v>0</v>
      </c>
      <c r="Z228" s="130">
        <v>0</v>
      </c>
      <c r="AA228" s="159" t="s">
        <v>3416</v>
      </c>
      <c r="AB228" s="159" t="s">
        <v>1272</v>
      </c>
      <c r="AC228" s="159" t="s">
        <v>1313</v>
      </c>
      <c r="AD228" s="159">
        <v>5</v>
      </c>
      <c r="AE228" s="158" t="b">
        <f>IF(AB228="",TRUE,IF(IF(AC228="",VLOOKUP(AB228,Calculs!$A$19:$S$425,19,FALSE),VLOOKUP(AC228,Calculs!$A$19:$S$425,19,FALSE))&gt;=AD228,TRUE,FALSE))</f>
        <v>0</v>
      </c>
      <c r="AI228" s="158" t="b">
        <f>IF(AF228="",TRUE,IF(IF(AG228="",VLOOKUP(AF228,Calculs!$A$19:$S$425,19,FALSE),VLOOKUP(AG228,Calculs!$A$19:$S$425,19,FALSE))&gt;=AH228,TRUE,FALSE))</f>
        <v>1</v>
      </c>
      <c r="AM228" s="158" t="b">
        <f>IF(AJ228="",TRUE,IF(IF(AK228="",VLOOKUP(AJ228,Calculs!$A$19:$S$425,19,FALSE),VLOOKUP(AK228,Calculs!$A$19:$S$425,19,FALSE))&gt;=AL228,TRUE,FALSE))</f>
        <v>1</v>
      </c>
      <c r="AQ228" s="158" t="b">
        <f>IF(AN228="",TRUE,IF(IF(AO228="",VLOOKUP(AN228,Calculs!$A$19:$S$425,19,FALSE),VLOOKUP(AO228,Calculs!$A$19:$S$425,19,FALSE))&gt;=AP228,TRUE,FALSE))</f>
        <v>1</v>
      </c>
      <c r="AR228" s="158"/>
      <c r="AS228" s="158" t="b">
        <f>IF(AR228="",TRUE,IF(VLOOKUP(AR228,Calculs!$A$427:$G$738,7,FALSE)&gt;0,TRUE,FALSE))</f>
        <v>1</v>
      </c>
      <c r="AT228" s="158"/>
      <c r="AU228" s="158" t="b">
        <f>IF(AT228="",TRUE,IF(VLOOKUP(AT228,Calculs!$A$740:$G$912,7,FALSE)&gt;0,TRUE,FALSE))</f>
        <v>1</v>
      </c>
      <c r="AV228" s="158" t="b">
        <f t="shared" si="23"/>
        <v>0</v>
      </c>
      <c r="AW228" s="158" t="s">
        <v>2078</v>
      </c>
      <c r="AX228" s="162" t="s">
        <v>158</v>
      </c>
      <c r="AY228" s="15">
        <v>191</v>
      </c>
      <c r="AZ228" s="555" t="s">
        <v>8507</v>
      </c>
      <c r="BA228" s="559">
        <f>IF(Verso!$B$10=Voies!$B228,1,0)</f>
        <v>0</v>
      </c>
      <c r="BB228" s="12">
        <f>IF(Verso!$B$11=Voies!$B228,1,0)</f>
        <v>0</v>
      </c>
      <c r="BC228" s="12">
        <f>IF(Verso!$B$12=Voies!$B228,1,0)</f>
        <v>0</v>
      </c>
      <c r="BD228" s="12">
        <f>IF(Verso!$B$13=Voies!$B228,1,0)</f>
        <v>0</v>
      </c>
      <c r="BE228" s="12">
        <f>IF(Verso!$B$14=Voies!$B228,1,0)</f>
        <v>0</v>
      </c>
      <c r="BF228" s="12">
        <f>IF(Verso!$B$15=Voies!$B228,1,0)</f>
        <v>0</v>
      </c>
      <c r="BG228" s="12">
        <f>IF(Verso!$B$16=Voies!$B228,1,0)</f>
        <v>0</v>
      </c>
      <c r="BH228" s="12">
        <f>IF(Verso!$B$17=Voies!$B228,1,0)</f>
        <v>0</v>
      </c>
      <c r="BI228" s="557">
        <f t="shared" si="24"/>
        <v>0</v>
      </c>
      <c r="BJ228" s="196" t="str">
        <f t="shared" si="25"/>
        <v/>
      </c>
      <c r="BK228" s="196" t="str">
        <f t="shared" si="26"/>
        <v/>
      </c>
      <c r="BL228" s="295" t="str">
        <f t="shared" si="27"/>
        <v/>
      </c>
    </row>
    <row r="229" spans="1:65" ht="47.25" customHeight="1" x14ac:dyDescent="0.25">
      <c r="A229" s="162" t="str">
        <f>IF(AND(Réputation&gt;Voies!E229-1,OR(C229=TRUE,Calculs!$I$8&gt;0),Air&gt;Voies!J229-1,Eau&gt;Voies!K229-1,Feu&gt;Voies!L229-1,Terre&gt;Voies!M229-1,Vide&gt;Voies!N229-1,Constitution&gt;Voies!O229-1,Volonté&gt;Voies!P229-1,Force&gt;Voies!Q229-1,Perception&gt;Voies!R229-1,Reflexes&gt;Voies!S229-1,Agilité&gt;Voies!T229-1,Intuition&gt;Voies!U229-1,Intelligence&gt;Voies!V229-1,Souillure&gt;Voies!W229-1,Honneur&gt;X229-1,Statut&gt;Y229-1,Gloire&gt;Z229-1,AV229=TRUE),Voies!B229,"")</f>
        <v/>
      </c>
      <c r="B229" s="162" t="s">
        <v>8508</v>
      </c>
      <c r="C229" s="162" t="b">
        <f>IF(Clan=Voies!D229,TRUE,FALSE)</f>
        <v>0</v>
      </c>
      <c r="D229" s="387" t="s">
        <v>175</v>
      </c>
      <c r="E229" s="13">
        <v>4</v>
      </c>
      <c r="F229" s="199">
        <v>4</v>
      </c>
      <c r="G229" s="13" t="s">
        <v>2049</v>
      </c>
      <c r="H229" s="162" t="s">
        <v>6007</v>
      </c>
      <c r="I229" s="129" t="s">
        <v>6008</v>
      </c>
      <c r="J229" s="146">
        <v>0</v>
      </c>
      <c r="K229" s="147">
        <v>0</v>
      </c>
      <c r="L229" s="148">
        <v>0</v>
      </c>
      <c r="M229" s="149">
        <v>0</v>
      </c>
      <c r="N229" s="150">
        <v>0</v>
      </c>
      <c r="O229" s="130">
        <v>0</v>
      </c>
      <c r="P229" s="130">
        <v>4</v>
      </c>
      <c r="Q229" s="130">
        <v>0</v>
      </c>
      <c r="R229" s="130">
        <v>0</v>
      </c>
      <c r="S229" s="130">
        <v>0</v>
      </c>
      <c r="T229" s="130">
        <v>0</v>
      </c>
      <c r="U229" s="130">
        <v>0</v>
      </c>
      <c r="V229" s="524">
        <v>0</v>
      </c>
      <c r="W229" s="130">
        <v>0</v>
      </c>
      <c r="X229" s="130">
        <v>0</v>
      </c>
      <c r="Y229" s="130">
        <v>0</v>
      </c>
      <c r="Z229" s="130">
        <v>0</v>
      </c>
      <c r="AA229" s="159" t="s">
        <v>6009</v>
      </c>
      <c r="AB229" s="159" t="s">
        <v>376</v>
      </c>
      <c r="AD229" s="159">
        <v>5</v>
      </c>
      <c r="AE229" s="158" t="b">
        <f>IF(AB229="",TRUE,IF(IF(AC229="",VLOOKUP(AB229,Calculs!$A$19:$S$425,19,FALSE),VLOOKUP(AC229,Calculs!$A$19:$S$425,19,FALSE))&gt;=AD229,TRUE,FALSE))</f>
        <v>0</v>
      </c>
      <c r="AI229" s="158" t="b">
        <f>IF(AF229="",TRUE,IF(IF(AG229="",VLOOKUP(AF229,Calculs!$A$19:$S$425,19,FALSE),VLOOKUP(AG229,Calculs!$A$19:$S$425,19,FALSE))&gt;=AH229,TRUE,FALSE))</f>
        <v>1</v>
      </c>
      <c r="AM229" s="158" t="b">
        <f>IF(AJ229="",TRUE,IF(IF(AK229="",VLOOKUP(AJ229,Calculs!$A$19:$S$425,19,FALSE),VLOOKUP(AK229,Calculs!$A$19:$S$425,19,FALSE))&gt;=AL229,TRUE,FALSE))</f>
        <v>1</v>
      </c>
      <c r="AQ229" s="158" t="b">
        <f>IF(AN229="",TRUE,IF(IF(AO229="",VLOOKUP(AN229,Calculs!$A$19:$S$425,19,FALSE),VLOOKUP(AO229,Calculs!$A$19:$S$425,19,FALSE))&gt;=AP229,TRUE,FALSE))</f>
        <v>1</v>
      </c>
      <c r="AR229" s="158"/>
      <c r="AS229" s="158" t="b">
        <f>IF(AR229="",TRUE,IF(VLOOKUP(AR229,Calculs!$A$427:$G$738,7,FALSE)&gt;0,TRUE,FALSE))</f>
        <v>1</v>
      </c>
      <c r="AT229" s="158"/>
      <c r="AU229" s="158" t="b">
        <f>IF(AT229="",TRUE,IF(VLOOKUP(AT229,Calculs!$A$740:$G$912,7,FALSE)&gt;0,TRUE,FALSE))</f>
        <v>1</v>
      </c>
      <c r="AV229" s="158" t="b">
        <f t="shared" si="23"/>
        <v>0</v>
      </c>
      <c r="AW229" s="158" t="s">
        <v>2078</v>
      </c>
      <c r="AX229" s="162" t="s">
        <v>6010</v>
      </c>
      <c r="AZ229" s="555" t="s">
        <v>6011</v>
      </c>
      <c r="BA229" s="559">
        <f>IF(Verso!$B$10=Voies!$B229,1,0)</f>
        <v>0</v>
      </c>
      <c r="BB229" s="12">
        <f>IF(Verso!$B$11=Voies!$B229,1,0)</f>
        <v>0</v>
      </c>
      <c r="BC229" s="12">
        <f>IF(Verso!$B$12=Voies!$B229,1,0)</f>
        <v>0</v>
      </c>
      <c r="BD229" s="12">
        <f>IF(Verso!$B$13=Voies!$B229,1,0)</f>
        <v>0</v>
      </c>
      <c r="BE229" s="12">
        <f>IF(Verso!$B$14=Voies!$B229,1,0)</f>
        <v>0</v>
      </c>
      <c r="BF229" s="12">
        <f>IF(Verso!$B$15=Voies!$B229,1,0)</f>
        <v>0</v>
      </c>
      <c r="BG229" s="12">
        <f>IF(Verso!$B$16=Voies!$B229,1,0)</f>
        <v>0</v>
      </c>
      <c r="BH229" s="12">
        <f>IF(Verso!$B$17=Voies!$B229,1,0)</f>
        <v>0</v>
      </c>
      <c r="BI229" s="557">
        <f t="shared" si="24"/>
        <v>0</v>
      </c>
      <c r="BJ229" s="196" t="str">
        <f t="shared" si="25"/>
        <v/>
      </c>
      <c r="BK229" s="196" t="str">
        <f t="shared" si="26"/>
        <v/>
      </c>
      <c r="BL229" s="295" t="str">
        <f t="shared" si="27"/>
        <v/>
      </c>
    </row>
    <row r="230" spans="1:65" ht="47.25" customHeight="1" x14ac:dyDescent="0.25">
      <c r="A230" s="162" t="str">
        <f>IF(AND(Réputation&gt;Voies!E230-1,OR(C230=TRUE,Calculs!$I$8&gt;0),Air&gt;Voies!J230-1,Eau&gt;Voies!K230-1,Feu&gt;Voies!L230-1,Terre&gt;Voies!M230-1,Vide&gt;Voies!N230-1,Constitution&gt;Voies!O230-1,Volonté&gt;Voies!P230-1,Force&gt;Voies!Q230-1,Perception&gt;Voies!R230-1,Reflexes&gt;Voies!S230-1,Agilité&gt;Voies!T230-1,Intuition&gt;Voies!U230-1,Intelligence&gt;Voies!V230-1,Souillure&gt;Voies!W230-1,Honneur&gt;X230-1,Statut&gt;Y230-1,Gloire&gt;Z230-1,AV230=TRUE),Voies!B230,"")</f>
        <v/>
      </c>
      <c r="B230" s="162" t="s">
        <v>2225</v>
      </c>
      <c r="C230" s="162" t="b">
        <f>IF(Clan=Voies!D230,TRUE,FALSE)</f>
        <v>0</v>
      </c>
      <c r="D230" s="387" t="s">
        <v>175</v>
      </c>
      <c r="E230" s="13">
        <v>4</v>
      </c>
      <c r="F230" s="199">
        <v>4</v>
      </c>
      <c r="G230" s="13" t="s">
        <v>2052</v>
      </c>
      <c r="H230" s="162" t="s">
        <v>195</v>
      </c>
      <c r="I230" s="129" t="str">
        <f>IF(B230="","","Rien")</f>
        <v>Rien</v>
      </c>
      <c r="J230" s="146">
        <v>0</v>
      </c>
      <c r="K230" s="147">
        <v>0</v>
      </c>
      <c r="L230" s="148">
        <v>0</v>
      </c>
      <c r="M230" s="149">
        <v>0</v>
      </c>
      <c r="N230" s="150">
        <v>0</v>
      </c>
      <c r="O230" s="130">
        <v>0</v>
      </c>
      <c r="P230" s="130">
        <v>0</v>
      </c>
      <c r="Q230" s="130">
        <v>0</v>
      </c>
      <c r="R230" s="130">
        <v>0</v>
      </c>
      <c r="S230" s="130">
        <v>0</v>
      </c>
      <c r="T230" s="130">
        <v>0</v>
      </c>
      <c r="U230" s="130">
        <v>0</v>
      </c>
      <c r="V230" s="524">
        <v>0</v>
      </c>
      <c r="W230" s="130">
        <v>0</v>
      </c>
      <c r="X230" s="130">
        <v>0</v>
      </c>
      <c r="Y230" s="130">
        <v>0</v>
      </c>
      <c r="Z230" s="130">
        <v>0</v>
      </c>
      <c r="AA230" s="158" t="s">
        <v>2078</v>
      </c>
      <c r="AB230" s="158"/>
      <c r="AC230" s="158"/>
      <c r="AD230" s="158"/>
      <c r="AE230" s="158" t="b">
        <f>IF(AB230="",TRUE,IF(IF(AC230="",VLOOKUP(AB230,Calculs!$A$19:$S$425,19,FALSE),VLOOKUP(AC230,Calculs!$A$19:$S$425,19,FALSE))&gt;=AD230,TRUE,FALSE))</f>
        <v>1</v>
      </c>
      <c r="AF230" s="158"/>
      <c r="AG230" s="158"/>
      <c r="AH230" s="158"/>
      <c r="AI230" s="158" t="b">
        <f>IF(AF230="",TRUE,IF(IF(AG230="",VLOOKUP(AF230,Calculs!$A$19:$S$425,19,FALSE),VLOOKUP(AG230,Calculs!$A$19:$S$425,19,FALSE))&gt;=AH230,TRUE,FALSE))</f>
        <v>1</v>
      </c>
      <c r="AJ230" s="158"/>
      <c r="AK230" s="158"/>
      <c r="AL230" s="158"/>
      <c r="AM230" s="158" t="b">
        <f>IF(AJ230="",TRUE,IF(IF(AK230="",VLOOKUP(AJ230,Calculs!$A$19:$S$425,19,FALSE),VLOOKUP(AK230,Calculs!$A$19:$S$425,19,FALSE))&gt;=AL230,TRUE,FALSE))</f>
        <v>1</v>
      </c>
      <c r="AN230" s="158"/>
      <c r="AO230" s="158"/>
      <c r="AP230" s="158"/>
      <c r="AQ230" s="158" t="b">
        <f>IF(AN230="",TRUE,IF(IF(AO230="",VLOOKUP(AN230,Calculs!$A$19:$S$425,19,FALSE),VLOOKUP(AO230,Calculs!$A$19:$S$425,19,FALSE))&gt;=AP230,TRUE,FALSE))</f>
        <v>1</v>
      </c>
      <c r="AR230" s="158"/>
      <c r="AS230" s="158" t="b">
        <f>IF(AR230="",TRUE,IF(VLOOKUP(AR230,Calculs!$A$427:$G$738,7,FALSE)&gt;0,TRUE,FALSE))</f>
        <v>1</v>
      </c>
      <c r="AT230" s="158"/>
      <c r="AU230" s="158" t="b">
        <f>IF(AT230="",TRUE,IF(VLOOKUP(AT230,Calculs!$A$740:$G$912,7,FALSE)&gt;0,TRUE,FALSE))</f>
        <v>1</v>
      </c>
      <c r="AV230" s="158" t="b">
        <f t="shared" si="23"/>
        <v>1</v>
      </c>
      <c r="AW230" s="158" t="s">
        <v>2078</v>
      </c>
      <c r="AX230" s="162" t="s">
        <v>3</v>
      </c>
      <c r="AY230" s="15">
        <v>108</v>
      </c>
      <c r="AZ230" s="555" t="s">
        <v>8530</v>
      </c>
      <c r="BA230" s="559">
        <f>IF(Verso!$B$10=Voies!$B230,1,0)</f>
        <v>0</v>
      </c>
      <c r="BB230" s="12">
        <f>IF(Verso!$B$11=Voies!$B230,1,0)</f>
        <v>0</v>
      </c>
      <c r="BC230" s="12">
        <f>IF(Verso!$B$12=Voies!$B230,1,0)</f>
        <v>0</v>
      </c>
      <c r="BD230" s="12">
        <f>IF(Verso!$B$13=Voies!$B230,1,0)</f>
        <v>0</v>
      </c>
      <c r="BE230" s="12">
        <f>IF(Verso!$B$14=Voies!$B230,1,0)</f>
        <v>0</v>
      </c>
      <c r="BF230" s="12">
        <f>IF(Verso!$B$15=Voies!$B230,1,0)</f>
        <v>0</v>
      </c>
      <c r="BG230" s="12">
        <f>IF(Verso!$B$16=Voies!$B230,1,0)</f>
        <v>0</v>
      </c>
      <c r="BH230" s="12">
        <f>IF(Verso!$B$17=Voies!$B230,1,0)</f>
        <v>0</v>
      </c>
      <c r="BI230" s="557">
        <f t="shared" si="24"/>
        <v>0</v>
      </c>
      <c r="BJ230" s="196" t="str">
        <f t="shared" si="25"/>
        <v/>
      </c>
      <c r="BK230" s="196" t="str">
        <f t="shared" si="26"/>
        <v/>
      </c>
      <c r="BL230" s="295" t="str">
        <f t="shared" si="27"/>
        <v/>
      </c>
    </row>
    <row r="231" spans="1:65" ht="47.25" customHeight="1" x14ac:dyDescent="0.25">
      <c r="A231" s="162" t="str">
        <f>IF(AND(Réputation&gt;Voies!E231-1,OR(C231=TRUE,Calculs!$I$8&gt;0),Air&gt;Voies!J231-1,Eau&gt;Voies!K231-1,Feu&gt;Voies!L231-1,Terre&gt;Voies!M231-1,Vide&gt;Voies!N231-1,Constitution&gt;Voies!O231-1,Volonté&gt;Voies!P231-1,Force&gt;Voies!Q231-1,Perception&gt;Voies!R231-1,Reflexes&gt;Voies!S231-1,Agilité&gt;Voies!T231-1,Intuition&gt;Voies!U231-1,Intelligence&gt;Voies!V231-1,Souillure&gt;Voies!W231-1,Honneur&gt;X231-1,Statut&gt;Y231-1,Gloire&gt;Z231-1,AV231=TRUE),Voies!B231,"")</f>
        <v/>
      </c>
      <c r="B231" s="162" t="s">
        <v>3455</v>
      </c>
      <c r="C231" s="162" t="b">
        <f>IF(Clan=Voies!D231,TRUE,FALSE)</f>
        <v>0</v>
      </c>
      <c r="D231" s="387" t="s">
        <v>175</v>
      </c>
      <c r="E231" s="13">
        <v>4</v>
      </c>
      <c r="F231" s="199">
        <v>4</v>
      </c>
      <c r="G231" s="13" t="s">
        <v>2052</v>
      </c>
      <c r="H231" s="162" t="s">
        <v>618</v>
      </c>
      <c r="I231" s="129" t="s">
        <v>3453</v>
      </c>
      <c r="J231" s="146">
        <v>0</v>
      </c>
      <c r="K231" s="147">
        <v>0</v>
      </c>
      <c r="L231" s="148">
        <v>0</v>
      </c>
      <c r="M231" s="149">
        <v>0</v>
      </c>
      <c r="N231" s="150">
        <v>0</v>
      </c>
      <c r="O231" s="130">
        <v>0</v>
      </c>
      <c r="P231" s="130">
        <v>4</v>
      </c>
      <c r="Q231" s="130">
        <v>0</v>
      </c>
      <c r="R231" s="130">
        <v>0</v>
      </c>
      <c r="S231" s="130">
        <v>0</v>
      </c>
      <c r="T231" s="130">
        <v>0</v>
      </c>
      <c r="U231" s="130">
        <v>0</v>
      </c>
      <c r="V231" s="524">
        <v>0</v>
      </c>
      <c r="W231" s="130">
        <v>0</v>
      </c>
      <c r="X231" s="130">
        <v>0</v>
      </c>
      <c r="Y231" s="130">
        <v>0</v>
      </c>
      <c r="Z231" s="130">
        <v>0</v>
      </c>
      <c r="AA231" s="159" t="s">
        <v>3454</v>
      </c>
      <c r="AB231" s="159" t="s">
        <v>311</v>
      </c>
      <c r="AD231" s="159">
        <v>4</v>
      </c>
      <c r="AE231" s="158" t="b">
        <f>IF(AB231="",TRUE,IF(IF(AC231="",VLOOKUP(AB231,Calculs!$A$19:$S$425,19,FALSE),VLOOKUP(AC231,Calculs!$A$19:$S$425,19,FALSE))&gt;=AD231,TRUE,FALSE))</f>
        <v>0</v>
      </c>
      <c r="AF231" s="159" t="s">
        <v>376</v>
      </c>
      <c r="AH231" s="159">
        <v>5</v>
      </c>
      <c r="AI231" s="158" t="b">
        <f>IF(AF231="",TRUE,IF(IF(AG231="",VLOOKUP(AF231,Calculs!$A$19:$S$425,19,FALSE),VLOOKUP(AG231,Calculs!$A$19:$S$425,19,FALSE))&gt;=AH231,TRUE,FALSE))</f>
        <v>0</v>
      </c>
      <c r="AM231" s="158" t="b">
        <f>IF(AJ231="",TRUE,IF(IF(AK231="",VLOOKUP(AJ231,Calculs!$A$19:$S$425,19,FALSE),VLOOKUP(AK231,Calculs!$A$19:$S$425,19,FALSE))&gt;=AL231,TRUE,FALSE))</f>
        <v>1</v>
      </c>
      <c r="AQ231" s="158" t="b">
        <f>IF(AN231="",TRUE,IF(IF(AO231="",VLOOKUP(AN231,Calculs!$A$19:$S$425,19,FALSE),VLOOKUP(AO231,Calculs!$A$19:$S$425,19,FALSE))&gt;=AP231,TRUE,FALSE))</f>
        <v>1</v>
      </c>
      <c r="AR231" s="158"/>
      <c r="AS231" s="158" t="b">
        <f>IF(AR231="",TRUE,IF(VLOOKUP(AR231,Calculs!$A$427:$G$738,7,FALSE)&gt;0,TRUE,FALSE))</f>
        <v>1</v>
      </c>
      <c r="AT231" s="158"/>
      <c r="AU231" s="158" t="b">
        <f>IF(AT231="",TRUE,IF(VLOOKUP(AT231,Calculs!$A$740:$G$912,7,FALSE)&gt;0,TRUE,FALSE))</f>
        <v>1</v>
      </c>
      <c r="AV231" s="158" t="b">
        <f t="shared" si="23"/>
        <v>0</v>
      </c>
      <c r="AW231" s="158" t="s">
        <v>2078</v>
      </c>
      <c r="AX231" s="162" t="s">
        <v>158</v>
      </c>
      <c r="AY231" s="15">
        <v>202</v>
      </c>
      <c r="AZ231" s="555" t="s">
        <v>8509</v>
      </c>
      <c r="BA231" s="559">
        <f>IF(Verso!$B$10=Voies!$B231,1,0)</f>
        <v>0</v>
      </c>
      <c r="BB231" s="12">
        <f>IF(Verso!$B$11=Voies!$B231,1,0)</f>
        <v>0</v>
      </c>
      <c r="BC231" s="12">
        <f>IF(Verso!$B$12=Voies!$B231,1,0)</f>
        <v>0</v>
      </c>
      <c r="BD231" s="12">
        <f>IF(Verso!$B$13=Voies!$B231,1,0)</f>
        <v>0</v>
      </c>
      <c r="BE231" s="12">
        <f>IF(Verso!$B$14=Voies!$B231,1,0)</f>
        <v>0</v>
      </c>
      <c r="BF231" s="12">
        <f>IF(Verso!$B$15=Voies!$B231,1,0)</f>
        <v>0</v>
      </c>
      <c r="BG231" s="12">
        <f>IF(Verso!$B$16=Voies!$B231,1,0)</f>
        <v>0</v>
      </c>
      <c r="BH231" s="12">
        <f>IF(Verso!$B$17=Voies!$B231,1,0)</f>
        <v>0</v>
      </c>
      <c r="BI231" s="557">
        <f t="shared" si="24"/>
        <v>0</v>
      </c>
      <c r="BJ231" s="196" t="str">
        <f t="shared" si="25"/>
        <v/>
      </c>
      <c r="BK231" s="196" t="str">
        <f t="shared" si="26"/>
        <v/>
      </c>
      <c r="BL231" s="295" t="str">
        <f t="shared" si="27"/>
        <v/>
      </c>
    </row>
    <row r="232" spans="1:65" ht="47.25" customHeight="1" x14ac:dyDescent="0.25">
      <c r="A232" s="162" t="str">
        <f>IF(AND(Réputation&gt;Voies!E232-1,OR(C232=TRUE,Calculs!$I$8&gt;0),Air&gt;Voies!J232-1,Eau&gt;Voies!K232-1,Feu&gt;Voies!L232-1,Terre&gt;Voies!M232-1,Vide&gt;Voies!N232-1,Constitution&gt;Voies!O232-1,Volonté&gt;Voies!P232-1,Force&gt;Voies!Q232-1,Perception&gt;Voies!R232-1,Reflexes&gt;Voies!S232-1,Agilité&gt;Voies!T232-1,Intuition&gt;Voies!U232-1,Intelligence&gt;Voies!V232-1,Souillure&gt;Voies!W232-1,Honneur&gt;X232-1,Statut&gt;Y232-1,Gloire&gt;Z232-1,AV232=TRUE),Voies!B232,"")</f>
        <v/>
      </c>
      <c r="B232" s="162" t="s">
        <v>3456</v>
      </c>
      <c r="C232" s="162" t="b">
        <f>IF(Clan=Voies!D232,TRUE,FALSE)</f>
        <v>0</v>
      </c>
      <c r="D232" s="387" t="s">
        <v>175</v>
      </c>
      <c r="E232" s="13">
        <v>4</v>
      </c>
      <c r="F232" s="199">
        <v>4</v>
      </c>
      <c r="G232" s="13" t="s">
        <v>2052</v>
      </c>
      <c r="H232" s="162" t="s">
        <v>482</v>
      </c>
      <c r="I232" s="129" t="s">
        <v>3457</v>
      </c>
      <c r="J232" s="146">
        <v>0</v>
      </c>
      <c r="K232" s="147">
        <v>0</v>
      </c>
      <c r="L232" s="148">
        <v>0</v>
      </c>
      <c r="M232" s="149">
        <v>0</v>
      </c>
      <c r="N232" s="150">
        <v>0</v>
      </c>
      <c r="O232" s="130">
        <v>0</v>
      </c>
      <c r="P232" s="130">
        <v>4</v>
      </c>
      <c r="Q232" s="130">
        <v>0</v>
      </c>
      <c r="R232" s="130">
        <v>0</v>
      </c>
      <c r="S232" s="130">
        <v>0</v>
      </c>
      <c r="T232" s="130">
        <v>0</v>
      </c>
      <c r="U232" s="130">
        <v>0</v>
      </c>
      <c r="V232" s="524">
        <v>0</v>
      </c>
      <c r="W232" s="130">
        <v>0</v>
      </c>
      <c r="X232" s="130">
        <v>0</v>
      </c>
      <c r="Y232" s="130">
        <v>0</v>
      </c>
      <c r="Z232" s="130">
        <v>0</v>
      </c>
      <c r="AA232" s="158" t="s">
        <v>2078</v>
      </c>
      <c r="AB232" s="158"/>
      <c r="AC232" s="158"/>
      <c r="AD232" s="158"/>
      <c r="AE232" s="158" t="b">
        <f>IF(AB232="",TRUE,IF(IF(AC232="",VLOOKUP(AB232,Calculs!$A$19:$S$425,19,FALSE),VLOOKUP(AC232,Calculs!$A$19:$S$425,19,FALSE))&gt;=AD232,TRUE,FALSE))</f>
        <v>1</v>
      </c>
      <c r="AF232" s="158"/>
      <c r="AG232" s="158"/>
      <c r="AH232" s="158"/>
      <c r="AI232" s="158" t="b">
        <f>IF(AF232="",TRUE,IF(IF(AG232="",VLOOKUP(AF232,Calculs!$A$19:$S$425,19,FALSE),VLOOKUP(AG232,Calculs!$A$19:$S$425,19,FALSE))&gt;=AH232,TRUE,FALSE))</f>
        <v>1</v>
      </c>
      <c r="AJ232" s="158"/>
      <c r="AK232" s="158"/>
      <c r="AL232" s="158"/>
      <c r="AM232" s="158" t="b">
        <f>IF(AJ232="",TRUE,IF(IF(AK232="",VLOOKUP(AJ232,Calculs!$A$19:$S$425,19,FALSE),VLOOKUP(AK232,Calculs!$A$19:$S$425,19,FALSE))&gt;=AL232,TRUE,FALSE))</f>
        <v>1</v>
      </c>
      <c r="AN232" s="158"/>
      <c r="AO232" s="158"/>
      <c r="AP232" s="158"/>
      <c r="AQ232" s="158" t="b">
        <f>IF(AN232="",TRUE,IF(IF(AO232="",VLOOKUP(AN232,Calculs!$A$19:$S$425,19,FALSE),VLOOKUP(AO232,Calculs!$A$19:$S$425,19,FALSE))&gt;=AP232,TRUE,FALSE))</f>
        <v>1</v>
      </c>
      <c r="AR232" s="158"/>
      <c r="AS232" s="158" t="b">
        <f>IF(AR232="",TRUE,IF(VLOOKUP(AR232,Calculs!$A$427:$G$738,7,FALSE)&gt;0,TRUE,FALSE))</f>
        <v>1</v>
      </c>
      <c r="AT232" s="158"/>
      <c r="AU232" s="158" t="b">
        <f>IF(OR(Calculs!G787&gt;0,Calculs!G754&gt;0,Calculs!G746&gt;0),TRUE,FALSE)</f>
        <v>0</v>
      </c>
      <c r="AV232" s="158" t="b">
        <f t="shared" si="23"/>
        <v>0</v>
      </c>
      <c r="AW232" s="159" t="s">
        <v>3458</v>
      </c>
      <c r="AX232" s="162" t="s">
        <v>158</v>
      </c>
      <c r="AY232" s="15">
        <v>202</v>
      </c>
      <c r="AZ232" s="555" t="s">
        <v>8531</v>
      </c>
      <c r="BA232" s="559">
        <f>IF(Verso!$B$10=Voies!$B232,1,0)</f>
        <v>0</v>
      </c>
      <c r="BB232" s="12">
        <f>IF(Verso!$B$11=Voies!$B232,1,0)</f>
        <v>0</v>
      </c>
      <c r="BC232" s="12">
        <f>IF(Verso!$B$12=Voies!$B232,1,0)</f>
        <v>0</v>
      </c>
      <c r="BD232" s="12">
        <f>IF(Verso!$B$13=Voies!$B232,1,0)</f>
        <v>0</v>
      </c>
      <c r="BE232" s="12">
        <f>IF(Verso!$B$14=Voies!$B232,1,0)</f>
        <v>0</v>
      </c>
      <c r="BF232" s="12">
        <f>IF(Verso!$B$15=Voies!$B232,1,0)</f>
        <v>0</v>
      </c>
      <c r="BG232" s="12">
        <f>IF(Verso!$B$16=Voies!$B232,1,0)</f>
        <v>0</v>
      </c>
      <c r="BH232" s="12">
        <f>IF(Verso!$B$17=Voies!$B232,1,0)</f>
        <v>0</v>
      </c>
      <c r="BI232" s="557">
        <f t="shared" si="24"/>
        <v>0</v>
      </c>
      <c r="BJ232" s="196" t="str">
        <f t="shared" si="25"/>
        <v/>
      </c>
      <c r="BK232" s="196" t="str">
        <f t="shared" si="26"/>
        <v/>
      </c>
      <c r="BL232" s="295" t="str">
        <f t="shared" si="27"/>
        <v/>
      </c>
    </row>
    <row r="233" spans="1:65" ht="47.25" customHeight="1" x14ac:dyDescent="0.25">
      <c r="A233" s="162" t="str">
        <f>IF(AND(Réputation&gt;Voies!E233-1,OR(C233=TRUE,Calculs!$I$8&gt;0),Air&gt;Voies!J233-1,Eau&gt;Voies!K233-1,Feu&gt;Voies!L233-1,Terre&gt;Voies!M233-1,Vide&gt;Voies!N233-1,Constitution&gt;Voies!O233-1,Volonté&gt;Voies!P233-1,Force&gt;Voies!Q233-1,Perception&gt;Voies!R233-1,Reflexes&gt;Voies!S233-1,Agilité&gt;Voies!T233-1,Intuition&gt;Voies!U233-1,Intelligence&gt;Voies!V233-1,Souillure&gt;Voies!W233-1,Honneur&gt;X233-1,Statut&gt;Y233-1,Gloire&gt;Z233-1,AV233=TRUE),Voies!B233,"")</f>
        <v/>
      </c>
      <c r="B233" s="162" t="s">
        <v>6039</v>
      </c>
      <c r="C233" s="162" t="b">
        <f>IF(Clan=Voies!D233,TRUE,FALSE)</f>
        <v>0</v>
      </c>
      <c r="D233" s="387" t="s">
        <v>175</v>
      </c>
      <c r="E233" s="13">
        <v>4</v>
      </c>
      <c r="F233" s="199">
        <v>4</v>
      </c>
      <c r="G233" s="13" t="s">
        <v>2050</v>
      </c>
      <c r="H233" s="162" t="s">
        <v>6036</v>
      </c>
      <c r="I233" s="129" t="str">
        <f>IF(B233="","","Rien")</f>
        <v>Rien</v>
      </c>
      <c r="J233" s="146">
        <v>0</v>
      </c>
      <c r="K233" s="147">
        <v>0</v>
      </c>
      <c r="L233" s="148">
        <v>0</v>
      </c>
      <c r="M233" s="149">
        <v>0</v>
      </c>
      <c r="N233" s="150">
        <v>0</v>
      </c>
      <c r="O233" s="130">
        <v>0</v>
      </c>
      <c r="P233" s="130">
        <v>0</v>
      </c>
      <c r="Q233" s="130">
        <v>0</v>
      </c>
      <c r="R233" s="130">
        <v>0</v>
      </c>
      <c r="S233" s="130">
        <v>0</v>
      </c>
      <c r="T233" s="130">
        <v>0</v>
      </c>
      <c r="U233" s="130">
        <v>0</v>
      </c>
      <c r="V233" s="524">
        <v>0</v>
      </c>
      <c r="W233" s="130">
        <v>0</v>
      </c>
      <c r="X233" s="130">
        <v>0</v>
      </c>
      <c r="Y233" s="130">
        <v>0</v>
      </c>
      <c r="Z233" s="130">
        <v>0</v>
      </c>
      <c r="AA233" s="158" t="s">
        <v>2078</v>
      </c>
      <c r="AB233" s="158"/>
      <c r="AC233" s="158"/>
      <c r="AD233" s="158"/>
      <c r="AE233" s="158" t="b">
        <f>IF(AB233="",TRUE,IF(IF(AC233="",VLOOKUP(AB233,Calculs!$A$19:$S$425,19,FALSE),VLOOKUP(AC233,Calculs!$A$19:$S$425,19,FALSE))&gt;=AD233,TRUE,FALSE))</f>
        <v>1</v>
      </c>
      <c r="AF233" s="158"/>
      <c r="AG233" s="158"/>
      <c r="AH233" s="158"/>
      <c r="AI233" s="158" t="b">
        <f>IF(AF233="",TRUE,IF(IF(AG233="",VLOOKUP(AF233,Calculs!$A$19:$S$425,19,FALSE),VLOOKUP(AG233,Calculs!$A$19:$S$425,19,FALSE))&gt;=AH233,TRUE,FALSE))</f>
        <v>1</v>
      </c>
      <c r="AJ233" s="158"/>
      <c r="AK233" s="158"/>
      <c r="AL233" s="158"/>
      <c r="AM233" s="158" t="b">
        <f>IF(AJ233="",TRUE,IF(IF(AK233="",VLOOKUP(AJ233,Calculs!$A$19:$S$425,19,FALSE),VLOOKUP(AK233,Calculs!$A$19:$S$425,19,FALSE))&gt;=AL233,TRUE,FALSE))</f>
        <v>1</v>
      </c>
      <c r="AN233" s="158"/>
      <c r="AO233" s="158"/>
      <c r="AP233" s="158"/>
      <c r="AQ233" s="158" t="b">
        <f>IF(AN233="",TRUE,IF(IF(AO233="",VLOOKUP(AN233,Calculs!$A$19:$S$425,19,FALSE),VLOOKUP(AO233,Calculs!$A$19:$S$425,19,FALSE))&gt;=AP233,TRUE,FALSE))</f>
        <v>1</v>
      </c>
      <c r="AR233" s="158"/>
      <c r="AS233" s="158" t="b">
        <f>IF(AR233="",TRUE,IF(VLOOKUP(AR233,Calculs!$A$427:$G$738,7,FALSE)&gt;0,TRUE,FALSE))</f>
        <v>1</v>
      </c>
      <c r="AT233" s="158"/>
      <c r="AU233" s="158" t="b">
        <f>IF(AT233="",TRUE,IF(VLOOKUP(AT233,Calculs!$A$740:$G$912,7,FALSE)&gt;0,TRUE,FALSE))</f>
        <v>1</v>
      </c>
      <c r="AV233" s="158" t="b">
        <f t="shared" si="23"/>
        <v>1</v>
      </c>
      <c r="AW233" s="158" t="s">
        <v>2078</v>
      </c>
      <c r="AX233" s="162" t="s">
        <v>6061</v>
      </c>
      <c r="AY233" s="15">
        <v>41</v>
      </c>
      <c r="AZ233" s="566" t="s">
        <v>3505</v>
      </c>
      <c r="BA233" s="559">
        <f>IF(Verso!$B$10=Voies!$B233,1,0)</f>
        <v>0</v>
      </c>
      <c r="BB233" s="12">
        <f>IF(Verso!$B$11=Voies!$B233,1,0)</f>
        <v>0</v>
      </c>
      <c r="BC233" s="12">
        <f>IF(Verso!$B$12=Voies!$B233,1,0)</f>
        <v>0</v>
      </c>
      <c r="BD233" s="12">
        <f>IF(Verso!$B$13=Voies!$B233,1,0)</f>
        <v>0</v>
      </c>
      <c r="BE233" s="12">
        <f>IF(Verso!$B$14=Voies!$B233,1,0)</f>
        <v>0</v>
      </c>
      <c r="BF233" s="12">
        <f>IF(Verso!$B$15=Voies!$B233,1,0)</f>
        <v>0</v>
      </c>
      <c r="BG233" s="12">
        <f>IF(Verso!$B$16=Voies!$B233,1,0)</f>
        <v>0</v>
      </c>
      <c r="BH233" s="12">
        <f>IF(Verso!$B$17=Voies!$B233,1,0)</f>
        <v>0</v>
      </c>
      <c r="BI233" s="557">
        <f t="shared" si="24"/>
        <v>0</v>
      </c>
      <c r="BJ233" s="196" t="str">
        <f t="shared" si="25"/>
        <v/>
      </c>
      <c r="BK233" s="196" t="str">
        <f t="shared" si="26"/>
        <v/>
      </c>
      <c r="BL233" s="295" t="str">
        <f t="shared" si="27"/>
        <v/>
      </c>
    </row>
    <row r="234" spans="1:65" ht="47.25" customHeight="1" x14ac:dyDescent="0.25">
      <c r="A234" s="162" t="str">
        <f>IF(AND(Réputation&gt;Voies!E234-1,OR(C234=TRUE,Calculs!$I$8&gt;0),Air&gt;Voies!J234-1,Eau&gt;Voies!K234-1,Feu&gt;Voies!L234-1,Terre&gt;Voies!M234-1,Vide&gt;Voies!N234-1,Constitution&gt;Voies!O234-1,Volonté&gt;Voies!P234-1,Force&gt;Voies!Q234-1,Perception&gt;Voies!R234-1,Reflexes&gt;Voies!S234-1,Agilité&gt;Voies!T234-1,Intuition&gt;Voies!U234-1,Intelligence&gt;Voies!V234-1,Souillure&gt;Voies!W234-1,Honneur&gt;X234-1,Statut&gt;Y234-1,Gloire&gt;Z234-1,AV234=TRUE),Voies!B234,"")</f>
        <v/>
      </c>
      <c r="B234" s="162" t="s">
        <v>3440</v>
      </c>
      <c r="C234" s="162" t="b">
        <f>IF(Clan=Voies!D234,TRUE,FALSE)</f>
        <v>0</v>
      </c>
      <c r="D234" s="387" t="s">
        <v>175</v>
      </c>
      <c r="E234" s="13">
        <v>4</v>
      </c>
      <c r="F234" s="199">
        <v>4</v>
      </c>
      <c r="G234" s="13" t="s">
        <v>2048</v>
      </c>
      <c r="H234" s="162" t="s">
        <v>481</v>
      </c>
      <c r="I234" s="129" t="s">
        <v>3438</v>
      </c>
      <c r="J234" s="146">
        <v>0</v>
      </c>
      <c r="K234" s="147">
        <v>0</v>
      </c>
      <c r="L234" s="148">
        <v>0</v>
      </c>
      <c r="M234" s="149">
        <v>5</v>
      </c>
      <c r="N234" s="150">
        <v>0</v>
      </c>
      <c r="O234" s="130">
        <v>0</v>
      </c>
      <c r="P234" s="130">
        <v>0</v>
      </c>
      <c r="Q234" s="130">
        <v>0</v>
      </c>
      <c r="R234" s="130">
        <v>0</v>
      </c>
      <c r="S234" s="130">
        <v>0</v>
      </c>
      <c r="T234" s="130">
        <v>0</v>
      </c>
      <c r="U234" s="130">
        <v>0</v>
      </c>
      <c r="V234" s="524">
        <v>0</v>
      </c>
      <c r="W234" s="130">
        <v>0</v>
      </c>
      <c r="X234" s="130">
        <v>0</v>
      </c>
      <c r="Y234" s="130">
        <v>0</v>
      </c>
      <c r="Z234" s="130">
        <v>0</v>
      </c>
      <c r="AA234" s="159" t="s">
        <v>6336</v>
      </c>
      <c r="AB234" s="159" t="s">
        <v>1260</v>
      </c>
      <c r="AD234" s="159">
        <v>5</v>
      </c>
      <c r="AE234" s="158" t="b">
        <f>IF(AB234="",TRUE,IF(IF(AC234="",VLOOKUP(AB234,Calculs!$A$19:$S$425,19,FALSE),VLOOKUP(AC234,Calculs!$A$19:$S$425,19,FALSE))&gt;=AD234,TRUE,FALSE))</f>
        <v>0</v>
      </c>
      <c r="AF234" s="159" t="s">
        <v>3325</v>
      </c>
      <c r="AG234" s="159" t="s">
        <v>3190</v>
      </c>
      <c r="AH234" s="159">
        <v>5</v>
      </c>
      <c r="AI234" s="158" t="b">
        <f>IF(AF234="",TRUE,IF(IF(AG234="",VLOOKUP(AF234,Calculs!$A$19:$S$425,19,FALSE),VLOOKUP(AG234,Calculs!$A$19:$S$425,19,FALSE))&gt;=AH234,TRUE,FALSE))</f>
        <v>0</v>
      </c>
      <c r="AM234" s="158" t="b">
        <f>IF(AJ234="",TRUE,IF(IF(AK234="",VLOOKUP(AJ234,Calculs!$A$19:$S$425,19,FALSE),VLOOKUP(AK234,Calculs!$A$19:$S$425,19,FALSE))&gt;=AL234,TRUE,FALSE))</f>
        <v>1</v>
      </c>
      <c r="AQ234" s="158" t="b">
        <f>IF(AN234="",TRUE,IF(IF(AO234="",VLOOKUP(AN234,Calculs!$A$19:$S$425,19,FALSE),VLOOKUP(AO234,Calculs!$A$19:$S$425,19,FALSE))&gt;=AP234,TRUE,FALSE))</f>
        <v>1</v>
      </c>
      <c r="AR234" s="158"/>
      <c r="AS234" s="158" t="b">
        <f>IF(AR234="",TRUE,IF(VLOOKUP(AR234,Calculs!$A$427:$G$738,7,FALSE)&gt;0,TRUE,FALSE))</f>
        <v>1</v>
      </c>
      <c r="AT234" s="158"/>
      <c r="AU234" s="158" t="b">
        <f>IF(AT234="",TRUE,IF(VLOOKUP(AT234,Calculs!$A$740:$G$912,7,FALSE)&gt;0,TRUE,FALSE))</f>
        <v>1</v>
      </c>
      <c r="AV234" s="158" t="b">
        <f t="shared" si="23"/>
        <v>0</v>
      </c>
      <c r="AW234" s="159" t="s">
        <v>3439</v>
      </c>
      <c r="AX234" s="162" t="s">
        <v>158</v>
      </c>
      <c r="AY234" s="15">
        <v>195</v>
      </c>
      <c r="AZ234" s="555" t="s">
        <v>3441</v>
      </c>
      <c r="BA234" s="559">
        <f>IF(Verso!$B$10=Voies!$B234,1,0)</f>
        <v>0</v>
      </c>
      <c r="BB234" s="12">
        <f>IF(Verso!$B$11=Voies!$B234,1,0)</f>
        <v>0</v>
      </c>
      <c r="BC234" s="12">
        <f>IF(Verso!$B$12=Voies!$B234,1,0)</f>
        <v>0</v>
      </c>
      <c r="BD234" s="12">
        <f>IF(Verso!$B$13=Voies!$B234,1,0)</f>
        <v>0</v>
      </c>
      <c r="BE234" s="12">
        <f>IF(Verso!$B$14=Voies!$B234,1,0)</f>
        <v>0</v>
      </c>
      <c r="BF234" s="12">
        <f>IF(Verso!$B$15=Voies!$B234,1,0)</f>
        <v>0</v>
      </c>
      <c r="BG234" s="12">
        <f>IF(Verso!$B$16=Voies!$B234,1,0)</f>
        <v>0</v>
      </c>
      <c r="BH234" s="12">
        <f>IF(Verso!$B$17=Voies!$B234,1,0)</f>
        <v>0</v>
      </c>
      <c r="BI234" s="557">
        <f t="shared" si="24"/>
        <v>0</v>
      </c>
      <c r="BJ234" s="196" t="str">
        <f t="shared" si="25"/>
        <v/>
      </c>
      <c r="BK234" s="196" t="str">
        <f t="shared" si="26"/>
        <v/>
      </c>
      <c r="BL234" s="295" t="str">
        <f t="shared" si="27"/>
        <v/>
      </c>
    </row>
    <row r="235" spans="1:65" ht="47.25" customHeight="1" x14ac:dyDescent="0.25">
      <c r="A235" s="162" t="str">
        <f>IF(AND(Réputation&gt;Voies!E235-1,OR(C235=TRUE,Calculs!$I$8&gt;0),Air&gt;Voies!J235-1,Eau&gt;Voies!K235-1,Feu&gt;Voies!L235-1,Terre&gt;Voies!M235-1,Vide&gt;Voies!N235-1,Constitution&gt;Voies!O235-1,Volonté&gt;Voies!P235-1,Force&gt;Voies!Q235-1,Perception&gt;Voies!R235-1,Reflexes&gt;Voies!S235-1,Agilité&gt;Voies!T235-1,Intuition&gt;Voies!U235-1,Intelligence&gt;Voies!V235-1,Souillure&gt;Voies!W235-1,Honneur&gt;X235-1,Statut&gt;Y235-1,Gloire&gt;Z235-1,AV235=TRUE),Voies!B235,"")</f>
        <v/>
      </c>
      <c r="B235" s="162" t="s">
        <v>6035</v>
      </c>
      <c r="C235" s="162" t="b">
        <f>IF(Clan=Voies!D235,TRUE,FALSE)</f>
        <v>0</v>
      </c>
      <c r="D235" s="387" t="s">
        <v>175</v>
      </c>
      <c r="E235" s="13">
        <v>5</v>
      </c>
      <c r="F235" s="199">
        <v>5</v>
      </c>
      <c r="G235" s="13" t="s">
        <v>2055</v>
      </c>
      <c r="H235" s="219" t="s">
        <v>3490</v>
      </c>
      <c r="I235" s="129" t="str">
        <f>IF(B235="","","Rien")</f>
        <v>Rien</v>
      </c>
      <c r="J235" s="146">
        <v>0</v>
      </c>
      <c r="K235" s="147">
        <v>0</v>
      </c>
      <c r="L235" s="148">
        <v>0</v>
      </c>
      <c r="M235" s="149">
        <v>0</v>
      </c>
      <c r="N235" s="150">
        <v>0</v>
      </c>
      <c r="O235" s="130">
        <v>0</v>
      </c>
      <c r="P235" s="130">
        <v>0</v>
      </c>
      <c r="Q235" s="130">
        <v>0</v>
      </c>
      <c r="R235" s="130">
        <v>0</v>
      </c>
      <c r="S235" s="130">
        <v>0</v>
      </c>
      <c r="T235" s="130">
        <v>0</v>
      </c>
      <c r="U235" s="130">
        <v>0</v>
      </c>
      <c r="V235" s="524">
        <v>0</v>
      </c>
      <c r="W235" s="130">
        <v>0</v>
      </c>
      <c r="X235" s="130">
        <v>0</v>
      </c>
      <c r="Y235" s="130">
        <v>0</v>
      </c>
      <c r="Z235" s="130">
        <v>0</v>
      </c>
      <c r="AA235" s="158" t="s">
        <v>2078</v>
      </c>
      <c r="AB235" s="158"/>
      <c r="AC235" s="158"/>
      <c r="AD235" s="158"/>
      <c r="AE235" s="158" t="b">
        <f>IF(AB235="",TRUE,IF(IF(AC235="",VLOOKUP(AB235,Calculs!$A$19:$S$425,19,FALSE),VLOOKUP(AC235,Calculs!$A$19:$S$425,19,FALSE))&gt;=AD235,TRUE,FALSE))</f>
        <v>1</v>
      </c>
      <c r="AF235" s="158"/>
      <c r="AG235" s="158"/>
      <c r="AH235" s="158"/>
      <c r="AI235" s="158" t="b">
        <f>IF(AF235="",TRUE,IF(IF(AG235="",VLOOKUP(AF235,Calculs!$A$19:$S$425,19,FALSE),VLOOKUP(AG235,Calculs!$A$19:$S$425,19,FALSE))&gt;=AH235,TRUE,FALSE))</f>
        <v>1</v>
      </c>
      <c r="AJ235" s="158"/>
      <c r="AK235" s="158"/>
      <c r="AL235" s="158"/>
      <c r="AM235" s="158" t="b">
        <f>IF(AJ235="",TRUE,IF(IF(AK235="",VLOOKUP(AJ235,Calculs!$A$19:$S$425,19,FALSE),VLOOKUP(AK235,Calculs!$A$19:$S$425,19,FALSE))&gt;=AL235,TRUE,FALSE))</f>
        <v>1</v>
      </c>
      <c r="AN235" s="158"/>
      <c r="AO235" s="158"/>
      <c r="AP235" s="158"/>
      <c r="AQ235" s="158" t="b">
        <f>IF(AN235="",TRUE,IF(IF(AO235="",VLOOKUP(AN235,Calculs!$A$19:$S$425,19,FALSE),VLOOKUP(AO235,Calculs!$A$19:$S$425,19,FALSE))&gt;=AP235,TRUE,FALSE))</f>
        <v>1</v>
      </c>
      <c r="AR235" s="158"/>
      <c r="AS235" s="158" t="b">
        <f>IF(AR235="",TRUE,IF(VLOOKUP(AR235,Calculs!$A$427:$G$738,7,FALSE)&gt;0,TRUE,FALSE))</f>
        <v>1</v>
      </c>
      <c r="AT235" s="158"/>
      <c r="AU235" s="158" t="b">
        <f>IF(AT235="",TRUE,IF(VLOOKUP(AT235,Calculs!$A$740:$G$912,7,FALSE)&gt;0,TRUE,FALSE))</f>
        <v>1</v>
      </c>
      <c r="AV235" s="158" t="b">
        <f t="shared" si="23"/>
        <v>1</v>
      </c>
      <c r="AW235" s="158" t="s">
        <v>2078</v>
      </c>
      <c r="AX235" s="162" t="s">
        <v>6061</v>
      </c>
      <c r="AY235" s="15">
        <v>40</v>
      </c>
      <c r="AZ235" s="555" t="s">
        <v>3496</v>
      </c>
      <c r="BA235" s="559">
        <f>IF(Verso!$B$10=Voies!$B235,1,0)</f>
        <v>0</v>
      </c>
      <c r="BB235" s="12">
        <f>IF(Verso!$B$11=Voies!$B235,1,0)</f>
        <v>0</v>
      </c>
      <c r="BC235" s="12">
        <f>IF(Verso!$B$12=Voies!$B235,1,0)</f>
        <v>0</v>
      </c>
      <c r="BD235" s="12">
        <f>IF(Verso!$B$13=Voies!$B235,1,0)</f>
        <v>0</v>
      </c>
      <c r="BE235" s="12">
        <f>IF(Verso!$B$14=Voies!$B235,1,0)</f>
        <v>0</v>
      </c>
      <c r="BF235" s="12">
        <f>IF(Verso!$B$15=Voies!$B235,1,0)</f>
        <v>0</v>
      </c>
      <c r="BG235" s="12">
        <f>IF(Verso!$B$16=Voies!$B235,1,0)</f>
        <v>0</v>
      </c>
      <c r="BH235" s="12">
        <f>IF(Verso!$B$17=Voies!$B235,1,0)</f>
        <v>0</v>
      </c>
      <c r="BI235" s="557">
        <f t="shared" si="24"/>
        <v>0</v>
      </c>
      <c r="BJ235" s="196" t="str">
        <f t="shared" si="25"/>
        <v/>
      </c>
      <c r="BK235" s="196" t="str">
        <f t="shared" si="26"/>
        <v/>
      </c>
      <c r="BL235" s="295" t="str">
        <f t="shared" si="27"/>
        <v/>
      </c>
    </row>
    <row r="236" spans="1:65" ht="47.25" customHeight="1" x14ac:dyDescent="0.25">
      <c r="A236" s="162" t="str">
        <f>IF(AND(Réputation&gt;Voies!E236-1,OR(C236=TRUE,Calculs!$I$8&gt;0),Air&gt;Voies!J236-1,Eau&gt;Voies!K236-1,Feu&gt;Voies!L236-1,Terre&gt;Voies!M236-1,Vide&gt;Voies!N236-1,Constitution&gt;Voies!O236-1,Volonté&gt;Voies!P236-1,Force&gt;Voies!Q236-1,Perception&gt;Voies!R236-1,Reflexes&gt;Voies!S236-1,Agilité&gt;Voies!T236-1,Intuition&gt;Voies!U236-1,Intelligence&gt;Voies!V236-1,Souillure&gt;Voies!W236-1,Honneur&gt;X236-1,Statut&gt;Y236-1,Gloire&gt;Z236-1,AV236=TRUE),Voies!B236,"")</f>
        <v/>
      </c>
      <c r="B236" s="162" t="s">
        <v>2214</v>
      </c>
      <c r="C236" s="162" t="b">
        <f>IF(Clan=Voies!D236,TRUE,FALSE)</f>
        <v>0</v>
      </c>
      <c r="D236" s="387" t="s">
        <v>175</v>
      </c>
      <c r="E236" s="13">
        <v>5</v>
      </c>
      <c r="F236" s="199">
        <v>5</v>
      </c>
      <c r="G236" s="13" t="s">
        <v>2049</v>
      </c>
      <c r="H236" s="162" t="s">
        <v>191</v>
      </c>
      <c r="I236" s="129" t="str">
        <f>IF(B236="","","Rien")</f>
        <v>Rien</v>
      </c>
      <c r="J236" s="146">
        <v>0</v>
      </c>
      <c r="K236" s="147">
        <v>0</v>
      </c>
      <c r="L236" s="148">
        <v>0</v>
      </c>
      <c r="M236" s="149">
        <v>0</v>
      </c>
      <c r="N236" s="150">
        <v>0</v>
      </c>
      <c r="O236" s="130">
        <v>0</v>
      </c>
      <c r="P236" s="130">
        <v>0</v>
      </c>
      <c r="Q236" s="130">
        <v>0</v>
      </c>
      <c r="R236" s="130">
        <v>0</v>
      </c>
      <c r="S236" s="130">
        <v>0</v>
      </c>
      <c r="T236" s="130">
        <v>0</v>
      </c>
      <c r="U236" s="130">
        <v>0</v>
      </c>
      <c r="V236" s="524">
        <v>0</v>
      </c>
      <c r="W236" s="130">
        <v>0</v>
      </c>
      <c r="X236" s="130">
        <v>0</v>
      </c>
      <c r="Y236" s="130">
        <v>0</v>
      </c>
      <c r="Z236" s="130">
        <v>0</v>
      </c>
      <c r="AA236" s="158" t="s">
        <v>2078</v>
      </c>
      <c r="AB236" s="158"/>
      <c r="AC236" s="158"/>
      <c r="AD236" s="158"/>
      <c r="AE236" s="158" t="b">
        <f>IF(AB236="",TRUE,IF(IF(AC236="",VLOOKUP(AB236,Calculs!$A$19:$S$425,19,FALSE),VLOOKUP(AC236,Calculs!$A$19:$S$425,19,FALSE))&gt;=AD236,TRUE,FALSE))</f>
        <v>1</v>
      </c>
      <c r="AF236" s="158"/>
      <c r="AG236" s="158"/>
      <c r="AH236" s="158"/>
      <c r="AI236" s="158" t="b">
        <f>IF(AF236="",TRUE,IF(IF(AG236="",VLOOKUP(AF236,Calculs!$A$19:$S$425,19,FALSE),VLOOKUP(AG236,Calculs!$A$19:$S$425,19,FALSE))&gt;=AH236,TRUE,FALSE))</f>
        <v>1</v>
      </c>
      <c r="AJ236" s="158"/>
      <c r="AK236" s="158"/>
      <c r="AL236" s="158"/>
      <c r="AM236" s="158" t="b">
        <f>IF(AJ236="",TRUE,IF(IF(AK236="",VLOOKUP(AJ236,Calculs!$A$19:$S$425,19,FALSE),VLOOKUP(AK236,Calculs!$A$19:$S$425,19,FALSE))&gt;=AL236,TRUE,FALSE))</f>
        <v>1</v>
      </c>
      <c r="AN236" s="158"/>
      <c r="AO236" s="158"/>
      <c r="AP236" s="158"/>
      <c r="AQ236" s="158" t="b">
        <f>IF(AN236="",TRUE,IF(IF(AO236="",VLOOKUP(AN236,Calculs!$A$19:$S$425,19,FALSE),VLOOKUP(AO236,Calculs!$A$19:$S$425,19,FALSE))&gt;=AP236,TRUE,FALSE))</f>
        <v>1</v>
      </c>
      <c r="AR236" s="158"/>
      <c r="AS236" s="158" t="b">
        <f>IF(AR236="",TRUE,IF(VLOOKUP(AR236,Calculs!$A$427:$G$738,7,FALSE)&gt;0,TRUE,FALSE))</f>
        <v>1</v>
      </c>
      <c r="AT236" s="158"/>
      <c r="AU236" s="158" t="b">
        <f>IF(AT236="",TRUE,IF(VLOOKUP(AT236,Calculs!$A$740:$G$912,7,FALSE)&gt;0,TRUE,FALSE))</f>
        <v>1</v>
      </c>
      <c r="AV236" s="158" t="b">
        <f t="shared" si="23"/>
        <v>1</v>
      </c>
      <c r="AW236" s="158" t="s">
        <v>2078</v>
      </c>
      <c r="AX236" s="162" t="s">
        <v>3</v>
      </c>
      <c r="AY236" s="15">
        <v>106</v>
      </c>
      <c r="AZ236" s="555" t="s">
        <v>8532</v>
      </c>
      <c r="BA236" s="559">
        <f>IF(Verso!$B$10=Voies!$B236,1,0)</f>
        <v>0</v>
      </c>
      <c r="BB236" s="12">
        <f>IF(Verso!$B$11=Voies!$B236,1,0)</f>
        <v>0</v>
      </c>
      <c r="BC236" s="12">
        <f>IF(Verso!$B$12=Voies!$B236,1,0)</f>
        <v>0</v>
      </c>
      <c r="BD236" s="12">
        <f>IF(Verso!$B$13=Voies!$B236,1,0)</f>
        <v>0</v>
      </c>
      <c r="BE236" s="12">
        <f>IF(Verso!$B$14=Voies!$B236,1,0)</f>
        <v>0</v>
      </c>
      <c r="BF236" s="12">
        <f>IF(Verso!$B$15=Voies!$B236,1,0)</f>
        <v>0</v>
      </c>
      <c r="BG236" s="12">
        <f>IF(Verso!$B$16=Voies!$B236,1,0)</f>
        <v>0</v>
      </c>
      <c r="BH236" s="12">
        <f>IF(Verso!$B$17=Voies!$B236,1,0)</f>
        <v>0</v>
      </c>
      <c r="BI236" s="557">
        <f t="shared" si="24"/>
        <v>0</v>
      </c>
      <c r="BJ236" s="196" t="str">
        <f t="shared" si="25"/>
        <v/>
      </c>
      <c r="BK236" s="196" t="str">
        <f t="shared" si="26"/>
        <v/>
      </c>
      <c r="BL236" s="295" t="str">
        <f t="shared" si="27"/>
        <v/>
      </c>
    </row>
    <row r="237" spans="1:65" ht="47.25" customHeight="1" x14ac:dyDescent="0.25">
      <c r="A237" s="162" t="str">
        <f>IF(AND(Réputation&gt;Voies!E237-1,OR(C237=TRUE,Calculs!$I$8&gt;0),Air&gt;Voies!J237-1,Eau&gt;Voies!K237-1,Feu&gt;Voies!L237-1,Terre&gt;Voies!M237-1,Vide&gt;Voies!N237-1,Constitution&gt;Voies!O237-1,Volonté&gt;Voies!P237-1,Force&gt;Voies!Q237-1,Perception&gt;Voies!R237-1,Reflexes&gt;Voies!S237-1,Agilité&gt;Voies!T237-1,Intuition&gt;Voies!U237-1,Intelligence&gt;Voies!V237-1,Souillure&gt;Voies!W237-1,Honneur&gt;X237-1,Statut&gt;Y237-1,Gloire&gt;Z237-1,AV237=TRUE),Voies!B237,"")</f>
        <v/>
      </c>
      <c r="B237" s="162" t="s">
        <v>2245</v>
      </c>
      <c r="C237" s="162" t="b">
        <f>IF(Clan=Voies!D237,TRUE,FALSE)</f>
        <v>0</v>
      </c>
      <c r="D237" s="387" t="s">
        <v>175</v>
      </c>
      <c r="E237" s="13">
        <v>5</v>
      </c>
      <c r="F237" s="199">
        <v>5</v>
      </c>
      <c r="G237" s="199" t="s">
        <v>2049</v>
      </c>
      <c r="H237" s="162" t="s">
        <v>193</v>
      </c>
      <c r="I237" s="129" t="str">
        <f>IF(B237="","","Rien")</f>
        <v>Rien</v>
      </c>
      <c r="J237" s="146">
        <v>0</v>
      </c>
      <c r="K237" s="147">
        <v>0</v>
      </c>
      <c r="L237" s="148">
        <v>0</v>
      </c>
      <c r="M237" s="149">
        <v>0</v>
      </c>
      <c r="N237" s="150">
        <v>0</v>
      </c>
      <c r="O237" s="130">
        <v>0</v>
      </c>
      <c r="P237" s="130">
        <v>0</v>
      </c>
      <c r="Q237" s="130">
        <v>0</v>
      </c>
      <c r="R237" s="130">
        <v>0</v>
      </c>
      <c r="S237" s="130">
        <v>0</v>
      </c>
      <c r="T237" s="130">
        <v>0</v>
      </c>
      <c r="U237" s="130">
        <v>0</v>
      </c>
      <c r="V237" s="524">
        <v>0</v>
      </c>
      <c r="W237" s="130">
        <v>0</v>
      </c>
      <c r="X237" s="130">
        <v>0</v>
      </c>
      <c r="Y237" s="130">
        <v>0</v>
      </c>
      <c r="Z237" s="130">
        <v>0</v>
      </c>
      <c r="AA237" s="158" t="s">
        <v>2078</v>
      </c>
      <c r="AB237" s="158"/>
      <c r="AC237" s="158"/>
      <c r="AD237" s="158"/>
      <c r="AE237" s="158" t="b">
        <f>IF(AB237="",TRUE,IF(IF(AC237="",VLOOKUP(AB237,Calculs!$A$19:$S$425,19,FALSE),VLOOKUP(AC237,Calculs!$A$19:$S$425,19,FALSE))&gt;=AD237,TRUE,FALSE))</f>
        <v>1</v>
      </c>
      <c r="AF237" s="158"/>
      <c r="AG237" s="158"/>
      <c r="AH237" s="158"/>
      <c r="AI237" s="158" t="b">
        <f>IF(AF237="",TRUE,IF(IF(AG237="",VLOOKUP(AF237,Calculs!$A$19:$S$425,19,FALSE),VLOOKUP(AG237,Calculs!$A$19:$S$425,19,FALSE))&gt;=AH237,TRUE,FALSE))</f>
        <v>1</v>
      </c>
      <c r="AJ237" s="158"/>
      <c r="AK237" s="158"/>
      <c r="AL237" s="158"/>
      <c r="AM237" s="158" t="b">
        <f>IF(AJ237="",TRUE,IF(IF(AK237="",VLOOKUP(AJ237,Calculs!$A$19:$S$425,19,FALSE),VLOOKUP(AK237,Calculs!$A$19:$S$425,19,FALSE))&gt;=AL237,TRUE,FALSE))</f>
        <v>1</v>
      </c>
      <c r="AN237" s="158"/>
      <c r="AO237" s="158"/>
      <c r="AP237" s="158"/>
      <c r="AQ237" s="158" t="b">
        <f>IF(AN237="",TRUE,IF(IF(AO237="",VLOOKUP(AN237,Calculs!$A$19:$S$425,19,FALSE),VLOOKUP(AO237,Calculs!$A$19:$S$425,19,FALSE))&gt;=AP237,TRUE,FALSE))</f>
        <v>1</v>
      </c>
      <c r="AR237" s="158"/>
      <c r="AS237" s="158" t="b">
        <f>IF(AR237="",TRUE,IF(VLOOKUP(AR237,Calculs!$A$427:$G$738,7,FALSE)&gt;0,TRUE,FALSE))</f>
        <v>1</v>
      </c>
      <c r="AT237" s="158"/>
      <c r="AU237" s="158" t="b">
        <f>IF(AT237="",TRUE,IF(VLOOKUP(AT237,Calculs!$A$740:$G$912,7,FALSE)&gt;0,TRUE,FALSE))</f>
        <v>1</v>
      </c>
      <c r="AV237" s="158" t="b">
        <f t="shared" si="23"/>
        <v>1</v>
      </c>
      <c r="AW237" s="158" t="s">
        <v>2078</v>
      </c>
      <c r="AX237" s="162" t="s">
        <v>3</v>
      </c>
      <c r="AY237" s="15">
        <v>108</v>
      </c>
      <c r="AZ237" s="555" t="s">
        <v>8533</v>
      </c>
      <c r="BA237" s="559">
        <f>IF(Verso!$B$10=Voies!$B237,1,0)</f>
        <v>0</v>
      </c>
      <c r="BB237" s="12">
        <f>IF(Verso!$B$11=Voies!$B237,1,0)</f>
        <v>0</v>
      </c>
      <c r="BC237" s="12">
        <f>IF(Verso!$B$12=Voies!$B237,1,0)</f>
        <v>0</v>
      </c>
      <c r="BD237" s="12">
        <f>IF(Verso!$B$13=Voies!$B237,1,0)</f>
        <v>0</v>
      </c>
      <c r="BE237" s="12">
        <f>IF(Verso!$B$14=Voies!$B237,1,0)</f>
        <v>0</v>
      </c>
      <c r="BF237" s="12">
        <f>IF(Verso!$B$15=Voies!$B237,1,0)</f>
        <v>0</v>
      </c>
      <c r="BG237" s="12">
        <f>IF(Verso!$B$16=Voies!$B237,1,0)</f>
        <v>0</v>
      </c>
      <c r="BH237" s="12">
        <f>IF(Verso!$B$17=Voies!$B237,1,0)</f>
        <v>0</v>
      </c>
      <c r="BI237" s="557">
        <f t="shared" si="24"/>
        <v>0</v>
      </c>
      <c r="BJ237" s="196" t="str">
        <f t="shared" si="25"/>
        <v/>
      </c>
      <c r="BK237" s="196" t="str">
        <f t="shared" si="26"/>
        <v/>
      </c>
      <c r="BL237" s="295" t="str">
        <f t="shared" si="27"/>
        <v/>
      </c>
    </row>
    <row r="238" spans="1:65" s="3" customFormat="1" ht="47.25" customHeight="1" x14ac:dyDescent="0.25">
      <c r="A238" s="162" t="str">
        <f>IF(AND(Réputation&gt;Voies!E238-1,OR(C238=TRUE,Calculs!$I$8&gt;0),Air&gt;Voies!J238-1,Eau&gt;Voies!K238-1,Feu&gt;Voies!L238-1,Terre&gt;Voies!M238-1,Vide&gt;Voies!N238-1,Constitution&gt;Voies!O238-1,Volonté&gt;Voies!P238-1,Force&gt;Voies!Q238-1,Perception&gt;Voies!R238-1,Reflexes&gt;Voies!S238-1,Agilité&gt;Voies!T238-1,Intuition&gt;Voies!U238-1,Intelligence&gt;Voies!V238-1,Souillure&gt;Voies!W238-1,Honneur&gt;X238-1,Statut&gt;Y238-1,Gloire&gt;Z238-1,AV238=TRUE),Voies!B238,"")</f>
        <v/>
      </c>
      <c r="B238" s="162" t="s">
        <v>2942</v>
      </c>
      <c r="C238" s="162" t="b">
        <f>IF(Clan=Voies!D238,TRUE,FALSE)</f>
        <v>0</v>
      </c>
      <c r="D238" s="387" t="s">
        <v>175</v>
      </c>
      <c r="E238" s="13">
        <v>5</v>
      </c>
      <c r="F238" s="199">
        <v>5</v>
      </c>
      <c r="G238" s="13" t="s">
        <v>2049</v>
      </c>
      <c r="H238" s="162" t="s">
        <v>194</v>
      </c>
      <c r="I238" s="129" t="str">
        <f>IF(B238="","","Rien")</f>
        <v>Rien</v>
      </c>
      <c r="J238" s="146">
        <v>0</v>
      </c>
      <c r="K238" s="147">
        <v>0</v>
      </c>
      <c r="L238" s="148">
        <v>0</v>
      </c>
      <c r="M238" s="149">
        <v>0</v>
      </c>
      <c r="N238" s="150">
        <v>0</v>
      </c>
      <c r="O238" s="130">
        <v>0</v>
      </c>
      <c r="P238" s="130">
        <v>0</v>
      </c>
      <c r="Q238" s="130">
        <v>0</v>
      </c>
      <c r="R238" s="130">
        <v>0</v>
      </c>
      <c r="S238" s="130">
        <v>0</v>
      </c>
      <c r="T238" s="130">
        <v>0</v>
      </c>
      <c r="U238" s="130">
        <v>0</v>
      </c>
      <c r="V238" s="524">
        <v>0</v>
      </c>
      <c r="W238" s="130">
        <v>0</v>
      </c>
      <c r="X238" s="130">
        <v>0</v>
      </c>
      <c r="Y238" s="130">
        <v>0</v>
      </c>
      <c r="Z238" s="130">
        <v>0</v>
      </c>
      <c r="AA238" s="158" t="s">
        <v>2078</v>
      </c>
      <c r="AB238" s="158"/>
      <c r="AC238" s="158"/>
      <c r="AD238" s="158"/>
      <c r="AE238" s="158" t="b">
        <f>IF(AB238="",TRUE,IF(IF(AC238="",VLOOKUP(AB238,Calculs!$A$19:$S$425,19,FALSE),VLOOKUP(AC238,Calculs!$A$19:$S$425,19,FALSE))&gt;=AD238,TRUE,FALSE))</f>
        <v>1</v>
      </c>
      <c r="AF238" s="158"/>
      <c r="AG238" s="158"/>
      <c r="AH238" s="158"/>
      <c r="AI238" s="158" t="b">
        <f>IF(AF238="",TRUE,IF(IF(AG238="",VLOOKUP(AF238,Calculs!$A$19:$S$425,19,FALSE),VLOOKUP(AG238,Calculs!$A$19:$S$425,19,FALSE))&gt;=AH238,TRUE,FALSE))</f>
        <v>1</v>
      </c>
      <c r="AJ238" s="158"/>
      <c r="AK238" s="158"/>
      <c r="AL238" s="158"/>
      <c r="AM238" s="158" t="b">
        <f>IF(AJ238="",TRUE,IF(IF(AK238="",VLOOKUP(AJ238,Calculs!$A$19:$S$425,19,FALSE),VLOOKUP(AK238,Calculs!$A$19:$S$425,19,FALSE))&gt;=AL238,TRUE,FALSE))</f>
        <v>1</v>
      </c>
      <c r="AN238" s="158"/>
      <c r="AO238" s="158"/>
      <c r="AP238" s="158"/>
      <c r="AQ238" s="158" t="b">
        <f>IF(AN238="",TRUE,IF(IF(AO238="",VLOOKUP(AN238,Calculs!$A$19:$S$425,19,FALSE),VLOOKUP(AO238,Calculs!$A$19:$S$425,19,FALSE))&gt;=AP238,TRUE,FALSE))</f>
        <v>1</v>
      </c>
      <c r="AR238" s="158"/>
      <c r="AS238" s="158" t="b">
        <f>IF(AR238="",TRUE,IF(VLOOKUP(AR238,Calculs!$A$427:$G$738,7,FALSE)&gt;0,TRUE,FALSE))</f>
        <v>1</v>
      </c>
      <c r="AT238" s="158"/>
      <c r="AU238" s="158" t="b">
        <f>IF(AT238="",TRUE,IF(VLOOKUP(AT238,Calculs!$A$740:$G$912,7,FALSE)&gt;0,TRUE,FALSE))</f>
        <v>1</v>
      </c>
      <c r="AV238" s="158" t="b">
        <f t="shared" si="23"/>
        <v>1</v>
      </c>
      <c r="AW238" s="158" t="s">
        <v>2078</v>
      </c>
      <c r="AX238" s="162" t="s">
        <v>2077</v>
      </c>
      <c r="AY238" s="15">
        <v>148</v>
      </c>
      <c r="AZ238" s="555" t="s">
        <v>2946</v>
      </c>
      <c r="BA238" s="559">
        <f>IF(Verso!$B$10=Voies!$B238,1,0)</f>
        <v>0</v>
      </c>
      <c r="BB238" s="12">
        <f>IF(Verso!$B$11=Voies!$B238,1,0)</f>
        <v>0</v>
      </c>
      <c r="BC238" s="12">
        <f>IF(Verso!$B$12=Voies!$B238,1,0)</f>
        <v>0</v>
      </c>
      <c r="BD238" s="12">
        <f>IF(Verso!$B$13=Voies!$B238,1,0)</f>
        <v>0</v>
      </c>
      <c r="BE238" s="12">
        <f>IF(Verso!$B$14=Voies!$B238,1,0)</f>
        <v>0</v>
      </c>
      <c r="BF238" s="12">
        <f>IF(Verso!$B$15=Voies!$B238,1,0)</f>
        <v>0</v>
      </c>
      <c r="BG238" s="12">
        <f>IF(Verso!$B$16=Voies!$B238,1,0)</f>
        <v>0</v>
      </c>
      <c r="BH238" s="12">
        <f>IF(Verso!$B$17=Voies!$B238,1,0)</f>
        <v>0</v>
      </c>
      <c r="BI238" s="557">
        <f t="shared" si="24"/>
        <v>0</v>
      </c>
      <c r="BJ238" s="196" t="str">
        <f t="shared" si="25"/>
        <v/>
      </c>
      <c r="BK238" s="196" t="str">
        <f t="shared" si="26"/>
        <v/>
      </c>
      <c r="BL238" s="295" t="str">
        <f t="shared" si="27"/>
        <v/>
      </c>
      <c r="BM238" s="577"/>
    </row>
    <row r="239" spans="1:65" ht="47.25" customHeight="1" x14ac:dyDescent="0.25">
      <c r="A239" s="162" t="str">
        <f>IF(AND(Réputation&gt;Voies!E239-1,OR(C239=TRUE,Calculs!$I$8&gt;0),Air&gt;Voies!J239-1,Eau&gt;Voies!K239-1,Feu&gt;Voies!L239-1,Terre&gt;Voies!M239-1,Vide&gt;Voies!N239-1,Constitution&gt;Voies!O239-1,Volonté&gt;Voies!P239-1,Force&gt;Voies!Q239-1,Perception&gt;Voies!R239-1,Reflexes&gt;Voies!S239-1,Agilité&gt;Voies!T239-1,Intuition&gt;Voies!U239-1,Intelligence&gt;Voies!V239-1,Souillure&gt;Voies!W239-1,Honneur&gt;X239-1,Statut&gt;Y239-1,Gloire&gt;Z239-1,AV239=TRUE),Voies!B239,"")</f>
        <v/>
      </c>
      <c r="B239" s="162" t="s">
        <v>3424</v>
      </c>
      <c r="C239" s="162" t="b">
        <f>IF(Clan=Voies!D239,TRUE,FALSE)</f>
        <v>0</v>
      </c>
      <c r="D239" s="387" t="s">
        <v>175</v>
      </c>
      <c r="E239" s="13">
        <v>5</v>
      </c>
      <c r="F239" s="199">
        <v>5</v>
      </c>
      <c r="G239" s="13" t="s">
        <v>2049</v>
      </c>
      <c r="H239" s="162" t="s">
        <v>480</v>
      </c>
      <c r="I239" s="129" t="s">
        <v>3422</v>
      </c>
      <c r="J239" s="146">
        <v>0</v>
      </c>
      <c r="K239" s="147">
        <v>0</v>
      </c>
      <c r="L239" s="148">
        <v>0</v>
      </c>
      <c r="M239" s="149">
        <v>0</v>
      </c>
      <c r="N239" s="150">
        <v>0</v>
      </c>
      <c r="O239" s="130">
        <v>0</v>
      </c>
      <c r="P239" s="130">
        <v>0</v>
      </c>
      <c r="Q239" s="130">
        <v>0</v>
      </c>
      <c r="R239" s="130">
        <v>0</v>
      </c>
      <c r="S239" s="130">
        <v>0</v>
      </c>
      <c r="T239" s="130">
        <v>0</v>
      </c>
      <c r="U239" s="130">
        <v>0</v>
      </c>
      <c r="V239" s="524">
        <v>0</v>
      </c>
      <c r="W239" s="130">
        <v>0</v>
      </c>
      <c r="X239" s="130">
        <v>0</v>
      </c>
      <c r="Y239" s="130">
        <v>0</v>
      </c>
      <c r="Z239" s="130">
        <v>0</v>
      </c>
      <c r="AA239" s="159" t="s">
        <v>3423</v>
      </c>
      <c r="AB239" s="159" t="s">
        <v>231</v>
      </c>
      <c r="AC239" s="159" t="s">
        <v>6362</v>
      </c>
      <c r="AD239" s="159">
        <v>5</v>
      </c>
      <c r="AE239" s="158" t="b">
        <f>IF(AB239="",TRUE,IF(IF(AC239="",VLOOKUP(AB239,Calculs!$A$19:$S$425,19,FALSE),VLOOKUP(AC239,Calculs!$A$19:$S$425,19,FALSE))&gt;=AD239,TRUE,FALSE))</f>
        <v>0</v>
      </c>
      <c r="AF239" s="159" t="s">
        <v>1279</v>
      </c>
      <c r="AG239" s="159" t="s">
        <v>1325</v>
      </c>
      <c r="AH239" s="159">
        <v>5</v>
      </c>
      <c r="AI239" s="158" t="b">
        <f>IF(AF239="",TRUE,IF(IF(AG239="",VLOOKUP(AF239,Calculs!$A$19:$S$425,19,FALSE),VLOOKUP(AG239,Calculs!$A$19:$S$425,19,FALSE))&gt;=AH239,TRUE,FALSE))</f>
        <v>0</v>
      </c>
      <c r="AM239" s="158" t="b">
        <f>IF(AJ239="",TRUE,IF(IF(AK239="",VLOOKUP(AJ239,Calculs!$A$19:$S$425,19,FALSE),VLOOKUP(AK239,Calculs!$A$19:$S$425,19,FALSE))&gt;=AL239,TRUE,FALSE))</f>
        <v>1</v>
      </c>
      <c r="AQ239" s="158" t="b">
        <f>IF(AN239="",TRUE,IF(IF(AO239="",VLOOKUP(AN239,Calculs!$A$19:$S$425,19,FALSE),VLOOKUP(AO239,Calculs!$A$19:$S$425,19,FALSE))&gt;=AP239,TRUE,FALSE))</f>
        <v>1</v>
      </c>
      <c r="AR239" s="158"/>
      <c r="AS239" s="158" t="b">
        <f>IF(AR239="",TRUE,IF(VLOOKUP(AR239,Calculs!$A$427:$G$738,7,FALSE)&gt;0,TRUE,FALSE))</f>
        <v>1</v>
      </c>
      <c r="AT239" s="158"/>
      <c r="AU239" s="158" t="b">
        <f>IF(AT239="",TRUE,IF(VLOOKUP(AT239,Calculs!$A$740:$G$912,7,FALSE)&gt;0,TRUE,FALSE))</f>
        <v>1</v>
      </c>
      <c r="AV239" s="158" t="b">
        <f t="shared" si="23"/>
        <v>0</v>
      </c>
      <c r="AW239" s="158" t="s">
        <v>2078</v>
      </c>
      <c r="AX239" s="162" t="s">
        <v>158</v>
      </c>
      <c r="AY239" s="15">
        <v>192</v>
      </c>
      <c r="AZ239" s="555" t="s">
        <v>8534</v>
      </c>
      <c r="BA239" s="559">
        <f>IF(Verso!$B$10=Voies!$B239,1,0)</f>
        <v>0</v>
      </c>
      <c r="BB239" s="12">
        <f>IF(Verso!$B$11=Voies!$B239,1,0)</f>
        <v>0</v>
      </c>
      <c r="BC239" s="12">
        <f>IF(Verso!$B$12=Voies!$B239,1,0)</f>
        <v>0</v>
      </c>
      <c r="BD239" s="12">
        <f>IF(Verso!$B$13=Voies!$B239,1,0)</f>
        <v>0</v>
      </c>
      <c r="BE239" s="12">
        <f>IF(Verso!$B$14=Voies!$B239,1,0)</f>
        <v>0</v>
      </c>
      <c r="BF239" s="12">
        <f>IF(Verso!$B$15=Voies!$B239,1,0)</f>
        <v>0</v>
      </c>
      <c r="BG239" s="12">
        <f>IF(Verso!$B$16=Voies!$B239,1,0)</f>
        <v>0</v>
      </c>
      <c r="BH239" s="12">
        <f>IF(Verso!$B$17=Voies!$B239,1,0)</f>
        <v>0</v>
      </c>
      <c r="BI239" s="557">
        <f t="shared" si="24"/>
        <v>0</v>
      </c>
      <c r="BJ239" s="196" t="str">
        <f t="shared" si="25"/>
        <v/>
      </c>
      <c r="BK239" s="196" t="str">
        <f t="shared" si="26"/>
        <v/>
      </c>
      <c r="BL239" s="295" t="str">
        <f t="shared" si="27"/>
        <v/>
      </c>
    </row>
    <row r="240" spans="1:65" ht="47.25" customHeight="1" x14ac:dyDescent="0.25">
      <c r="A240" s="162" t="str">
        <f>IF(AND(Réputation&gt;Voies!E240-1,OR(C240=TRUE,Calculs!$I$8&gt;0),Air&gt;Voies!J240-1,Eau&gt;Voies!K240-1,Feu&gt;Voies!L240-1,Terre&gt;Voies!M240-1,Vide&gt;Voies!N240-1,Constitution&gt;Voies!O240-1,Volonté&gt;Voies!P240-1,Force&gt;Voies!Q240-1,Perception&gt;Voies!R240-1,Reflexes&gt;Voies!S240-1,Agilité&gt;Voies!T240-1,Intuition&gt;Voies!U240-1,Intelligence&gt;Voies!V240-1,Souillure&gt;Voies!W240-1,Honneur&gt;X240-1,Statut&gt;Y240-1,Gloire&gt;Z240-1,AV240=TRUE),Voies!B240,"")</f>
        <v/>
      </c>
      <c r="B240" s="162" t="s">
        <v>2611</v>
      </c>
      <c r="C240" s="162" t="b">
        <f>IF(Clan=Voies!D240,TRUE,FALSE)</f>
        <v>0</v>
      </c>
      <c r="D240" s="387" t="s">
        <v>175</v>
      </c>
      <c r="E240" s="13">
        <v>5</v>
      </c>
      <c r="F240" s="199">
        <v>5</v>
      </c>
      <c r="G240" s="13" t="s">
        <v>2049</v>
      </c>
      <c r="H240" s="162" t="s">
        <v>192</v>
      </c>
      <c r="I240" s="129" t="str">
        <f t="shared" ref="I240:I257" si="28">IF(B240="","","Rien")</f>
        <v>Rien</v>
      </c>
      <c r="J240" s="146">
        <v>0</v>
      </c>
      <c r="K240" s="147">
        <v>0</v>
      </c>
      <c r="L240" s="148">
        <v>0</v>
      </c>
      <c r="M240" s="149">
        <v>0</v>
      </c>
      <c r="N240" s="150">
        <v>0</v>
      </c>
      <c r="O240" s="130">
        <v>0</v>
      </c>
      <c r="P240" s="130">
        <v>0</v>
      </c>
      <c r="Q240" s="130">
        <v>0</v>
      </c>
      <c r="R240" s="130">
        <v>0</v>
      </c>
      <c r="S240" s="130">
        <v>0</v>
      </c>
      <c r="T240" s="130">
        <v>0</v>
      </c>
      <c r="U240" s="130">
        <v>0</v>
      </c>
      <c r="V240" s="524">
        <v>0</v>
      </c>
      <c r="W240" s="130">
        <v>0</v>
      </c>
      <c r="X240" s="130">
        <v>0</v>
      </c>
      <c r="Y240" s="130">
        <v>0</v>
      </c>
      <c r="Z240" s="130">
        <v>0</v>
      </c>
      <c r="AA240" s="158" t="s">
        <v>2078</v>
      </c>
      <c r="AB240" s="158"/>
      <c r="AC240" s="158"/>
      <c r="AD240" s="158"/>
      <c r="AE240" s="158" t="b">
        <f>IF(AB240="",TRUE,IF(IF(AC240="",VLOOKUP(AB240,Calculs!$A$19:$S$425,19,FALSE),VLOOKUP(AC240,Calculs!$A$19:$S$425,19,FALSE))&gt;=AD240,TRUE,FALSE))</f>
        <v>1</v>
      </c>
      <c r="AF240" s="158"/>
      <c r="AG240" s="158"/>
      <c r="AH240" s="158"/>
      <c r="AI240" s="158" t="b">
        <f>IF(AF240="",TRUE,IF(IF(AG240="",VLOOKUP(AF240,Calculs!$A$19:$S$425,19,FALSE),VLOOKUP(AG240,Calculs!$A$19:$S$425,19,FALSE))&gt;=AH240,TRUE,FALSE))</f>
        <v>1</v>
      </c>
      <c r="AJ240" s="158"/>
      <c r="AK240" s="158"/>
      <c r="AL240" s="158"/>
      <c r="AM240" s="158" t="b">
        <f>IF(AJ240="",TRUE,IF(IF(AK240="",VLOOKUP(AJ240,Calculs!$A$19:$S$425,19,FALSE),VLOOKUP(AK240,Calculs!$A$19:$S$425,19,FALSE))&gt;=AL240,TRUE,FALSE))</f>
        <v>1</v>
      </c>
      <c r="AN240" s="158"/>
      <c r="AO240" s="158"/>
      <c r="AP240" s="158"/>
      <c r="AQ240" s="158" t="b">
        <f>IF(AN240="",TRUE,IF(IF(AO240="",VLOOKUP(AN240,Calculs!$A$19:$S$425,19,FALSE),VLOOKUP(AO240,Calculs!$A$19:$S$425,19,FALSE))&gt;=AP240,TRUE,FALSE))</f>
        <v>1</v>
      </c>
      <c r="AR240" s="158"/>
      <c r="AS240" s="158" t="b">
        <f>IF(AR240="",TRUE,IF(VLOOKUP(AR240,Calculs!$A$427:$G$738,7,FALSE)&gt;0,TRUE,FALSE))</f>
        <v>1</v>
      </c>
      <c r="AT240" s="158"/>
      <c r="AU240" s="158" t="b">
        <f>IF(AT240="",TRUE,IF(VLOOKUP(AT240,Calculs!$A$740:$G$912,7,FALSE)&gt;0,TRUE,FALSE))</f>
        <v>1</v>
      </c>
      <c r="AV240" s="158" t="b">
        <f t="shared" si="23"/>
        <v>1</v>
      </c>
      <c r="AW240" s="158" t="s">
        <v>2078</v>
      </c>
      <c r="AX240" s="162" t="s">
        <v>5202</v>
      </c>
      <c r="AY240" s="15">
        <v>247</v>
      </c>
      <c r="AZ240" s="555" t="s">
        <v>8535</v>
      </c>
      <c r="BA240" s="559">
        <f>IF(Verso!$B$10=Voies!$B240,1,0)</f>
        <v>0</v>
      </c>
      <c r="BB240" s="12">
        <f>IF(Verso!$B$11=Voies!$B240,1,0)</f>
        <v>0</v>
      </c>
      <c r="BC240" s="12">
        <f>IF(Verso!$B$12=Voies!$B240,1,0)</f>
        <v>0</v>
      </c>
      <c r="BD240" s="12">
        <f>IF(Verso!$B$13=Voies!$B240,1,0)</f>
        <v>0</v>
      </c>
      <c r="BE240" s="12">
        <f>IF(Verso!$B$14=Voies!$B240,1,0)</f>
        <v>0</v>
      </c>
      <c r="BF240" s="12">
        <f>IF(Verso!$B$15=Voies!$B240,1,0)</f>
        <v>0</v>
      </c>
      <c r="BG240" s="12">
        <f>IF(Verso!$B$16=Voies!$B240,1,0)</f>
        <v>0</v>
      </c>
      <c r="BH240" s="12">
        <f>IF(Verso!$B$17=Voies!$B240,1,0)</f>
        <v>0</v>
      </c>
      <c r="BI240" s="557">
        <f t="shared" si="24"/>
        <v>0</v>
      </c>
      <c r="BJ240" s="196" t="str">
        <f t="shared" si="25"/>
        <v/>
      </c>
      <c r="BK240" s="196" t="str">
        <f t="shared" si="26"/>
        <v/>
      </c>
      <c r="BL240" s="295" t="str">
        <f t="shared" si="27"/>
        <v/>
      </c>
    </row>
    <row r="241" spans="1:65" ht="47.25" customHeight="1" x14ac:dyDescent="0.25">
      <c r="A241" s="162" t="str">
        <f>IF(AND(Réputation&gt;Voies!E241-1,OR(C241=TRUE,Calculs!$I$8&gt;0),Air&gt;Voies!J241-1,Eau&gt;Voies!K241-1,Feu&gt;Voies!L241-1,Terre&gt;Voies!M241-1,Vide&gt;Voies!N241-1,Constitution&gt;Voies!O241-1,Volonté&gt;Voies!P241-1,Force&gt;Voies!Q241-1,Perception&gt;Voies!R241-1,Reflexes&gt;Voies!S241-1,Agilité&gt;Voies!T241-1,Intuition&gt;Voies!U241-1,Intelligence&gt;Voies!V241-1,Souillure&gt;Voies!W241-1,Honneur&gt;X241-1,Statut&gt;Y241-1,Gloire&gt;Z241-1,AV241=TRUE),Voies!B241,"")</f>
        <v/>
      </c>
      <c r="B241" s="162" t="s">
        <v>2226</v>
      </c>
      <c r="C241" s="162" t="b">
        <f>IF(Clan=Voies!D241,TRUE,FALSE)</f>
        <v>0</v>
      </c>
      <c r="D241" s="387" t="s">
        <v>175</v>
      </c>
      <c r="E241" s="13">
        <v>5</v>
      </c>
      <c r="F241" s="199">
        <v>5</v>
      </c>
      <c r="G241" s="199" t="s">
        <v>2052</v>
      </c>
      <c r="H241" s="162" t="s">
        <v>195</v>
      </c>
      <c r="I241" s="129" t="str">
        <f t="shared" si="28"/>
        <v>Rien</v>
      </c>
      <c r="J241" s="146">
        <v>0</v>
      </c>
      <c r="K241" s="147">
        <v>0</v>
      </c>
      <c r="L241" s="148">
        <v>0</v>
      </c>
      <c r="M241" s="149">
        <v>0</v>
      </c>
      <c r="N241" s="150">
        <v>0</v>
      </c>
      <c r="O241" s="130">
        <v>0</v>
      </c>
      <c r="P241" s="130">
        <v>0</v>
      </c>
      <c r="Q241" s="130">
        <v>0</v>
      </c>
      <c r="R241" s="130">
        <v>0</v>
      </c>
      <c r="S241" s="130">
        <v>0</v>
      </c>
      <c r="T241" s="130">
        <v>0</v>
      </c>
      <c r="U241" s="130">
        <v>0</v>
      </c>
      <c r="V241" s="524">
        <v>0</v>
      </c>
      <c r="W241" s="130">
        <v>0</v>
      </c>
      <c r="X241" s="130">
        <v>0</v>
      </c>
      <c r="Y241" s="130">
        <v>0</v>
      </c>
      <c r="Z241" s="130">
        <v>0</v>
      </c>
      <c r="AA241" s="158" t="s">
        <v>2078</v>
      </c>
      <c r="AB241" s="158"/>
      <c r="AC241" s="158"/>
      <c r="AD241" s="158"/>
      <c r="AE241" s="158" t="b">
        <f>IF(AB241="",TRUE,IF(IF(AC241="",VLOOKUP(AB241,Calculs!$A$19:$S$425,19,FALSE),VLOOKUP(AC241,Calculs!$A$19:$S$425,19,FALSE))&gt;=AD241,TRUE,FALSE))</f>
        <v>1</v>
      </c>
      <c r="AF241" s="158"/>
      <c r="AG241" s="158"/>
      <c r="AH241" s="158"/>
      <c r="AI241" s="158" t="b">
        <f>IF(AF241="",TRUE,IF(IF(AG241="",VLOOKUP(AF241,Calculs!$A$19:$S$425,19,FALSE),VLOOKUP(AG241,Calculs!$A$19:$S$425,19,FALSE))&gt;=AH241,TRUE,FALSE))</f>
        <v>1</v>
      </c>
      <c r="AJ241" s="158"/>
      <c r="AK241" s="158"/>
      <c r="AL241" s="158"/>
      <c r="AM241" s="158" t="b">
        <f>IF(AJ241="",TRUE,IF(IF(AK241="",VLOOKUP(AJ241,Calculs!$A$19:$S$425,19,FALSE),VLOOKUP(AK241,Calculs!$A$19:$S$425,19,FALSE))&gt;=AL241,TRUE,FALSE))</f>
        <v>1</v>
      </c>
      <c r="AN241" s="158"/>
      <c r="AO241" s="158"/>
      <c r="AP241" s="158"/>
      <c r="AQ241" s="158" t="b">
        <f>IF(AN241="",TRUE,IF(IF(AO241="",VLOOKUP(AN241,Calculs!$A$19:$S$425,19,FALSE),VLOOKUP(AO241,Calculs!$A$19:$S$425,19,FALSE))&gt;=AP241,TRUE,FALSE))</f>
        <v>1</v>
      </c>
      <c r="AR241" s="158"/>
      <c r="AS241" s="158" t="b">
        <f>IF(AR241="",TRUE,IF(VLOOKUP(AR241,Calculs!$A$427:$G$738,7,FALSE)&gt;0,TRUE,FALSE))</f>
        <v>1</v>
      </c>
      <c r="AT241" s="158"/>
      <c r="AU241" s="158" t="b">
        <f>IF(AT241="",TRUE,IF(VLOOKUP(AT241,Calculs!$A$740:$G$912,7,FALSE)&gt;0,TRUE,FALSE))</f>
        <v>1</v>
      </c>
      <c r="AV241" s="158" t="b">
        <f t="shared" si="23"/>
        <v>1</v>
      </c>
      <c r="AW241" s="158" t="s">
        <v>2078</v>
      </c>
      <c r="AX241" s="162" t="s">
        <v>3</v>
      </c>
      <c r="AY241" s="15">
        <v>108</v>
      </c>
      <c r="AZ241" s="555" t="s">
        <v>2227</v>
      </c>
      <c r="BA241" s="559">
        <f>IF(Verso!$B$10=Voies!$B241,1,0)</f>
        <v>0</v>
      </c>
      <c r="BB241" s="12">
        <f>IF(Verso!$B$11=Voies!$B241,1,0)</f>
        <v>0</v>
      </c>
      <c r="BC241" s="12">
        <f>IF(Verso!$B$12=Voies!$B241,1,0)</f>
        <v>0</v>
      </c>
      <c r="BD241" s="12">
        <f>IF(Verso!$B$13=Voies!$B241,1,0)</f>
        <v>0</v>
      </c>
      <c r="BE241" s="12">
        <f>IF(Verso!$B$14=Voies!$B241,1,0)</f>
        <v>0</v>
      </c>
      <c r="BF241" s="12">
        <f>IF(Verso!$B$15=Voies!$B241,1,0)</f>
        <v>0</v>
      </c>
      <c r="BG241" s="12">
        <f>IF(Verso!$B$16=Voies!$B241,1,0)</f>
        <v>0</v>
      </c>
      <c r="BH241" s="12">
        <f>IF(Verso!$B$17=Voies!$B241,1,0)</f>
        <v>0</v>
      </c>
      <c r="BI241" s="557">
        <f t="shared" si="24"/>
        <v>0</v>
      </c>
      <c r="BJ241" s="196" t="str">
        <f t="shared" si="25"/>
        <v/>
      </c>
      <c r="BK241" s="196" t="str">
        <f t="shared" si="26"/>
        <v/>
      </c>
      <c r="BL241" s="295" t="str">
        <f t="shared" si="27"/>
        <v/>
      </c>
    </row>
    <row r="242" spans="1:65" ht="47.25" customHeight="1" x14ac:dyDescent="0.25">
      <c r="A242" s="162" t="str">
        <f>IF(AND(Réputation&gt;Voies!E242-1,OR(C242=TRUE,Calculs!$I$8&gt;0),Air&gt;Voies!J242-1,Eau&gt;Voies!K242-1,Feu&gt;Voies!L242-1,Terre&gt;Voies!M242-1,Vide&gt;Voies!N242-1,Constitution&gt;Voies!O242-1,Volonté&gt;Voies!P242-1,Force&gt;Voies!Q242-1,Perception&gt;Voies!R242-1,Reflexes&gt;Voies!S242-1,Agilité&gt;Voies!T242-1,Intuition&gt;Voies!U242-1,Intelligence&gt;Voies!V242-1,Souillure&gt;Voies!W242-1,Honneur&gt;X242-1,Statut&gt;Y242-1,Gloire&gt;Z242-1,AV242=TRUE),Voies!B242,"")</f>
        <v/>
      </c>
      <c r="B242" s="162" t="s">
        <v>3501</v>
      </c>
      <c r="C242" s="162" t="b">
        <f>IF(Clan=Voies!D242,TRUE,FALSE)</f>
        <v>0</v>
      </c>
      <c r="D242" s="387" t="s">
        <v>175</v>
      </c>
      <c r="E242" s="13">
        <v>5</v>
      </c>
      <c r="F242" s="199">
        <v>5</v>
      </c>
      <c r="G242" s="199" t="s">
        <v>2050</v>
      </c>
      <c r="H242" s="162" t="s">
        <v>6036</v>
      </c>
      <c r="I242" s="129" t="str">
        <f t="shared" si="28"/>
        <v>Rien</v>
      </c>
      <c r="J242" s="146">
        <v>0</v>
      </c>
      <c r="K242" s="147">
        <v>0</v>
      </c>
      <c r="L242" s="148">
        <v>0</v>
      </c>
      <c r="M242" s="149">
        <v>0</v>
      </c>
      <c r="N242" s="150">
        <v>0</v>
      </c>
      <c r="O242" s="130">
        <v>0</v>
      </c>
      <c r="P242" s="130">
        <v>0</v>
      </c>
      <c r="Q242" s="130">
        <v>0</v>
      </c>
      <c r="R242" s="130">
        <v>0</v>
      </c>
      <c r="S242" s="130">
        <v>0</v>
      </c>
      <c r="T242" s="130">
        <v>0</v>
      </c>
      <c r="U242" s="130">
        <v>0</v>
      </c>
      <c r="V242" s="524">
        <v>0</v>
      </c>
      <c r="W242" s="130">
        <v>0</v>
      </c>
      <c r="X242" s="130">
        <v>0</v>
      </c>
      <c r="Y242" s="130">
        <v>0</v>
      </c>
      <c r="Z242" s="130">
        <v>0</v>
      </c>
      <c r="AA242" s="158" t="s">
        <v>2078</v>
      </c>
      <c r="AB242" s="158"/>
      <c r="AC242" s="158"/>
      <c r="AD242" s="158"/>
      <c r="AE242" s="158" t="b">
        <f>IF(AB242="",TRUE,IF(IF(AC242="",VLOOKUP(AB242,Calculs!$A$19:$S$425,19,FALSE),VLOOKUP(AC242,Calculs!$A$19:$S$425,19,FALSE))&gt;=AD242,TRUE,FALSE))</f>
        <v>1</v>
      </c>
      <c r="AF242" s="158"/>
      <c r="AG242" s="158"/>
      <c r="AH242" s="158"/>
      <c r="AI242" s="158" t="b">
        <f>IF(AF242="",TRUE,IF(IF(AG242="",VLOOKUP(AF242,Calculs!$A$19:$S$425,19,FALSE),VLOOKUP(AG242,Calculs!$A$19:$S$425,19,FALSE))&gt;=AH242,TRUE,FALSE))</f>
        <v>1</v>
      </c>
      <c r="AJ242" s="158"/>
      <c r="AK242" s="158"/>
      <c r="AL242" s="158"/>
      <c r="AM242" s="158" t="b">
        <f>IF(AJ242="",TRUE,IF(IF(AK242="",VLOOKUP(AJ242,Calculs!$A$19:$S$425,19,FALSE),VLOOKUP(AK242,Calculs!$A$19:$S$425,19,FALSE))&gt;=AL242,TRUE,FALSE))</f>
        <v>1</v>
      </c>
      <c r="AN242" s="158"/>
      <c r="AO242" s="158"/>
      <c r="AP242" s="158"/>
      <c r="AQ242" s="158" t="b">
        <f>IF(AN242="",TRUE,IF(IF(AO242="",VLOOKUP(AN242,Calculs!$A$19:$S$425,19,FALSE),VLOOKUP(AO242,Calculs!$A$19:$S$425,19,FALSE))&gt;=AP242,TRUE,FALSE))</f>
        <v>1</v>
      </c>
      <c r="AR242" s="158"/>
      <c r="AS242" s="158" t="b">
        <f>IF(AR242="",TRUE,IF(VLOOKUP(AR242,Calculs!$A$427:$G$738,7,FALSE)&gt;0,TRUE,FALSE))</f>
        <v>1</v>
      </c>
      <c r="AT242" s="158"/>
      <c r="AU242" s="158" t="b">
        <f>IF(AT242="",TRUE,IF(VLOOKUP(AT242,Calculs!$A$740:$G$912,7,FALSE)&gt;0,TRUE,FALSE))</f>
        <v>1</v>
      </c>
      <c r="AV242" s="158" t="b">
        <f t="shared" si="23"/>
        <v>1</v>
      </c>
      <c r="AW242" s="158" t="s">
        <v>2078</v>
      </c>
      <c r="AX242" s="162" t="s">
        <v>6061</v>
      </c>
      <c r="AY242" s="15">
        <v>41</v>
      </c>
      <c r="AZ242" s="566" t="s">
        <v>3506</v>
      </c>
      <c r="BA242" s="559">
        <f>IF(Verso!$B$10=Voies!$B242,1,0)</f>
        <v>0</v>
      </c>
      <c r="BB242" s="12">
        <f>IF(Verso!$B$11=Voies!$B242,1,0)</f>
        <v>0</v>
      </c>
      <c r="BC242" s="12">
        <f>IF(Verso!$B$12=Voies!$B242,1,0)</f>
        <v>0</v>
      </c>
      <c r="BD242" s="12">
        <f>IF(Verso!$B$13=Voies!$B242,1,0)</f>
        <v>0</v>
      </c>
      <c r="BE242" s="12">
        <f>IF(Verso!$B$14=Voies!$B242,1,0)</f>
        <v>0</v>
      </c>
      <c r="BF242" s="12">
        <f>IF(Verso!$B$15=Voies!$B242,1,0)</f>
        <v>0</v>
      </c>
      <c r="BG242" s="12">
        <f>IF(Verso!$B$16=Voies!$B242,1,0)</f>
        <v>0</v>
      </c>
      <c r="BH242" s="12">
        <f>IF(Verso!$B$17=Voies!$B242,1,0)</f>
        <v>0</v>
      </c>
      <c r="BI242" s="557">
        <f t="shared" si="24"/>
        <v>0</v>
      </c>
      <c r="BJ242" s="196" t="str">
        <f t="shared" si="25"/>
        <v/>
      </c>
      <c r="BK242" s="196" t="str">
        <f t="shared" si="26"/>
        <v/>
      </c>
      <c r="BL242" s="295" t="str">
        <f t="shared" si="27"/>
        <v/>
      </c>
    </row>
    <row r="243" spans="1:65" s="196" customFormat="1" ht="47.25" customHeight="1" x14ac:dyDescent="0.25">
      <c r="A243" s="162" t="str">
        <f>IF(AND(Réputation&gt;Voies!E243-1,OR(C243=TRUE,Calculs!$I$8&gt;0),Air&gt;Voies!J243-1,Eau&gt;Voies!K243-1,Feu&gt;Voies!L243-1,Terre&gt;Voies!M243-1,Vide&gt;Voies!N243-1,Constitution&gt;Voies!O243-1,Volonté&gt;Voies!P243-1,Force&gt;Voies!Q243-1,Perception&gt;Voies!R243-1,Reflexes&gt;Voies!S243-1,Agilité&gt;Voies!T243-1,Intuition&gt;Voies!U243-1,Intelligence&gt;Voies!V243-1,Souillure&gt;Voies!W243-1,Honneur&gt;X243-1,Statut&gt;Y243-1,Gloire&gt;Z243-1,AV243=TRUE),Voies!B243,"")</f>
        <v/>
      </c>
      <c r="B243" s="162" t="s">
        <v>6930</v>
      </c>
      <c r="C243" s="162" t="b">
        <f>IF(Clan=Voies!D243,TRUE,FALSE)</f>
        <v>0</v>
      </c>
      <c r="D243" s="466" t="s">
        <v>6760</v>
      </c>
      <c r="E243" s="199">
        <v>1</v>
      </c>
      <c r="F243" s="199">
        <v>1</v>
      </c>
      <c r="G243" s="199" t="s">
        <v>2049</v>
      </c>
      <c r="H243" s="162" t="s">
        <v>6860</v>
      </c>
      <c r="I243" s="129" t="str">
        <f t="shared" si="28"/>
        <v>Rien</v>
      </c>
      <c r="J243" s="146">
        <v>0</v>
      </c>
      <c r="K243" s="147">
        <v>0</v>
      </c>
      <c r="L243" s="148">
        <v>0</v>
      </c>
      <c r="M243" s="149">
        <v>0</v>
      </c>
      <c r="N243" s="150">
        <v>0</v>
      </c>
      <c r="O243" s="130">
        <v>0</v>
      </c>
      <c r="P243" s="130">
        <v>0</v>
      </c>
      <c r="Q243" s="130">
        <v>0</v>
      </c>
      <c r="R243" s="130">
        <v>0</v>
      </c>
      <c r="S243" s="130">
        <v>0</v>
      </c>
      <c r="T243" s="130">
        <v>0</v>
      </c>
      <c r="U243" s="130">
        <v>0</v>
      </c>
      <c r="V243" s="524">
        <v>0</v>
      </c>
      <c r="W243" s="130">
        <v>0</v>
      </c>
      <c r="X243" s="130">
        <v>0</v>
      </c>
      <c r="Y243" s="130">
        <v>0</v>
      </c>
      <c r="Z243" s="130">
        <v>0</v>
      </c>
      <c r="AA243" s="158" t="s">
        <v>2078</v>
      </c>
      <c r="AB243" s="158"/>
      <c r="AC243" s="158"/>
      <c r="AD243" s="158"/>
      <c r="AE243" s="158" t="b">
        <f>IF(AB243="",TRUE,IF(IF(AC243="",VLOOKUP(AB243,Calculs!$A$19:$S$425,19,FALSE),VLOOKUP(AC243,Calculs!$A$19:$S$425,19,FALSE))&gt;=AD243,TRUE,FALSE))</f>
        <v>1</v>
      </c>
      <c r="AF243" s="158"/>
      <c r="AG243" s="158"/>
      <c r="AH243" s="158"/>
      <c r="AI243" s="158" t="b">
        <f>IF(AF243="",TRUE,IF(IF(AG243="",VLOOKUP(AF243,Calculs!$A$19:$S$425,19,FALSE),VLOOKUP(AG243,Calculs!$A$19:$S$425,19,FALSE))&gt;=AH243,TRUE,FALSE))</f>
        <v>1</v>
      </c>
      <c r="AJ243" s="158"/>
      <c r="AK243" s="158"/>
      <c r="AL243" s="158"/>
      <c r="AM243" s="158" t="b">
        <f>IF(AJ243="",TRUE,IF(IF(AK243="",VLOOKUP(AJ243,Calculs!$A$19:$S$425,19,FALSE),VLOOKUP(AK243,Calculs!$A$19:$S$425,19,FALSE))&gt;=AL243,TRUE,FALSE))</f>
        <v>1</v>
      </c>
      <c r="AN243" s="158"/>
      <c r="AO243" s="158"/>
      <c r="AP243" s="158"/>
      <c r="AQ243" s="158" t="b">
        <f>IF(AN243="",TRUE,IF(IF(AO243="",VLOOKUP(AN243,Calculs!$A$19:$S$425,19,FALSE),VLOOKUP(AO243,Calculs!$A$19:$S$425,19,FALSE))&gt;=AP243,TRUE,FALSE))</f>
        <v>1</v>
      </c>
      <c r="AR243" s="158"/>
      <c r="AS243" s="158" t="b">
        <f>IF(AR243="",TRUE,IF(VLOOKUP(AR243,Calculs!$A$427:$G$738,7,FALSE)&gt;0,TRUE,FALSE))</f>
        <v>1</v>
      </c>
      <c r="AT243" s="158"/>
      <c r="AU243" s="158" t="b">
        <f>IF(AT243="",TRUE,IF(VLOOKUP(AT243,Calculs!$A$740:$G$912,7,FALSE)&gt;0,TRUE,FALSE))</f>
        <v>1</v>
      </c>
      <c r="AV243" s="158" t="b">
        <f t="shared" si="23"/>
        <v>1</v>
      </c>
      <c r="AW243" s="158" t="s">
        <v>2078</v>
      </c>
      <c r="AX243" s="162" t="s">
        <v>6816</v>
      </c>
      <c r="AY243" s="15">
        <v>26</v>
      </c>
      <c r="AZ243" s="566" t="s">
        <v>6936</v>
      </c>
      <c r="BA243" s="559">
        <f>IF(Verso!$B$10=Voies!$B243,1,0)</f>
        <v>0</v>
      </c>
      <c r="BB243" s="12">
        <f>IF(Verso!$B$11=Voies!$B243,1,0)</f>
        <v>0</v>
      </c>
      <c r="BC243" s="12">
        <f>IF(Verso!$B$12=Voies!$B243,1,0)</f>
        <v>0</v>
      </c>
      <c r="BD243" s="12">
        <f>IF(Verso!$B$13=Voies!$B243,1,0)</f>
        <v>0</v>
      </c>
      <c r="BE243" s="12">
        <f>IF(Verso!$B$14=Voies!$B243,1,0)</f>
        <v>0</v>
      </c>
      <c r="BF243" s="12">
        <f>IF(Verso!$B$15=Voies!$B243,1,0)</f>
        <v>0</v>
      </c>
      <c r="BG243" s="12">
        <f>IF(Verso!$B$16=Voies!$B243,1,0)</f>
        <v>0</v>
      </c>
      <c r="BH243" s="12">
        <f>IF(Verso!$B$17=Voies!$B243,1,0)</f>
        <v>0</v>
      </c>
      <c r="BI243" s="557">
        <f t="shared" si="24"/>
        <v>0</v>
      </c>
      <c r="BJ243" s="196" t="str">
        <f t="shared" si="25"/>
        <v/>
      </c>
      <c r="BK243" s="196" t="str">
        <f t="shared" si="26"/>
        <v/>
      </c>
      <c r="BL243" s="295" t="str">
        <f t="shared" si="27"/>
        <v/>
      </c>
      <c r="BM243" s="91"/>
    </row>
    <row r="244" spans="1:65" s="196" customFormat="1" ht="47.25" customHeight="1" x14ac:dyDescent="0.25">
      <c r="A244" s="162" t="str">
        <f>IF(AND(Réputation&gt;Voies!E244-1,OR(C244=TRUE,Calculs!$I$8&gt;0),Air&gt;Voies!J244-1,Eau&gt;Voies!K244-1,Feu&gt;Voies!L244-1,Terre&gt;Voies!M244-1,Vide&gt;Voies!N244-1,Constitution&gt;Voies!O244-1,Volonté&gt;Voies!P244-1,Force&gt;Voies!Q244-1,Perception&gt;Voies!R244-1,Reflexes&gt;Voies!S244-1,Agilité&gt;Voies!T244-1,Intuition&gt;Voies!U244-1,Intelligence&gt;Voies!V244-1,Souillure&gt;Voies!W244-1,Honneur&gt;X244-1,Statut&gt;Y244-1,Gloire&gt;Z244-1,AV244=TRUE),Voies!B244,"")</f>
        <v/>
      </c>
      <c r="B244" s="162" t="s">
        <v>6931</v>
      </c>
      <c r="C244" s="162" t="b">
        <f>IF(Clan=Voies!D244,TRUE,FALSE)</f>
        <v>0</v>
      </c>
      <c r="D244" s="466" t="s">
        <v>6760</v>
      </c>
      <c r="E244" s="199">
        <v>2</v>
      </c>
      <c r="F244" s="199">
        <v>2</v>
      </c>
      <c r="G244" s="199" t="s">
        <v>2049</v>
      </c>
      <c r="H244" s="162" t="s">
        <v>6860</v>
      </c>
      <c r="I244" s="129" t="str">
        <f t="shared" si="28"/>
        <v>Rien</v>
      </c>
      <c r="J244" s="146">
        <v>0</v>
      </c>
      <c r="K244" s="147">
        <v>0</v>
      </c>
      <c r="L244" s="148">
        <v>0</v>
      </c>
      <c r="M244" s="149">
        <v>0</v>
      </c>
      <c r="N244" s="150">
        <v>0</v>
      </c>
      <c r="O244" s="130">
        <v>0</v>
      </c>
      <c r="P244" s="130">
        <v>0</v>
      </c>
      <c r="Q244" s="130">
        <v>0</v>
      </c>
      <c r="R244" s="130">
        <v>0</v>
      </c>
      <c r="S244" s="130">
        <v>0</v>
      </c>
      <c r="T244" s="130">
        <v>0</v>
      </c>
      <c r="U244" s="130">
        <v>0</v>
      </c>
      <c r="V244" s="524">
        <v>0</v>
      </c>
      <c r="W244" s="130">
        <v>0</v>
      </c>
      <c r="X244" s="130">
        <v>0</v>
      </c>
      <c r="Y244" s="130">
        <v>0</v>
      </c>
      <c r="Z244" s="130">
        <v>0</v>
      </c>
      <c r="AA244" s="158" t="s">
        <v>2078</v>
      </c>
      <c r="AB244" s="158"/>
      <c r="AC244" s="158"/>
      <c r="AD244" s="158"/>
      <c r="AE244" s="158" t="b">
        <f>IF(AB244="",TRUE,IF(IF(AC244="",VLOOKUP(AB244,Calculs!$A$19:$S$425,19,FALSE),VLOOKUP(AC244,Calculs!$A$19:$S$425,19,FALSE))&gt;=AD244,TRUE,FALSE))</f>
        <v>1</v>
      </c>
      <c r="AF244" s="158"/>
      <c r="AG244" s="158"/>
      <c r="AH244" s="158"/>
      <c r="AI244" s="158" t="b">
        <f>IF(AF244="",TRUE,IF(IF(AG244="",VLOOKUP(AF244,Calculs!$A$19:$S$425,19,FALSE),VLOOKUP(AG244,Calculs!$A$19:$S$425,19,FALSE))&gt;=AH244,TRUE,FALSE))</f>
        <v>1</v>
      </c>
      <c r="AJ244" s="158"/>
      <c r="AK244" s="158"/>
      <c r="AL244" s="158"/>
      <c r="AM244" s="158" t="b">
        <f>IF(AJ244="",TRUE,IF(IF(AK244="",VLOOKUP(AJ244,Calculs!$A$19:$S$425,19,FALSE),VLOOKUP(AK244,Calculs!$A$19:$S$425,19,FALSE))&gt;=AL244,TRUE,FALSE))</f>
        <v>1</v>
      </c>
      <c r="AN244" s="158"/>
      <c r="AO244" s="158"/>
      <c r="AP244" s="158"/>
      <c r="AQ244" s="158" t="b">
        <f>IF(AN244="",TRUE,IF(IF(AO244="",VLOOKUP(AN244,Calculs!$A$19:$S$425,19,FALSE),VLOOKUP(AO244,Calculs!$A$19:$S$425,19,FALSE))&gt;=AP244,TRUE,FALSE))</f>
        <v>1</v>
      </c>
      <c r="AR244" s="158"/>
      <c r="AS244" s="158" t="b">
        <f>IF(AR244="",TRUE,IF(VLOOKUP(AR244,Calculs!$A$427:$G$738,7,FALSE)&gt;0,TRUE,FALSE))</f>
        <v>1</v>
      </c>
      <c r="AT244" s="158"/>
      <c r="AU244" s="158" t="b">
        <f>IF(AT244="",TRUE,IF(VLOOKUP(AT244,Calculs!$A$740:$G$912,7,FALSE)&gt;0,TRUE,FALSE))</f>
        <v>1</v>
      </c>
      <c r="AV244" s="158" t="b">
        <f t="shared" si="23"/>
        <v>1</v>
      </c>
      <c r="AW244" s="158" t="s">
        <v>2078</v>
      </c>
      <c r="AX244" s="162" t="s">
        <v>6816</v>
      </c>
      <c r="AY244" s="15">
        <v>26</v>
      </c>
      <c r="AZ244" s="555" t="s">
        <v>6935</v>
      </c>
      <c r="BA244" s="559">
        <f>IF(Verso!$B$10=Voies!$B244,1,0)</f>
        <v>0</v>
      </c>
      <c r="BB244" s="12">
        <f>IF(Verso!$B$11=Voies!$B244,1,0)</f>
        <v>0</v>
      </c>
      <c r="BC244" s="12">
        <f>IF(Verso!$B$12=Voies!$B244,1,0)</f>
        <v>0</v>
      </c>
      <c r="BD244" s="12">
        <f>IF(Verso!$B$13=Voies!$B244,1,0)</f>
        <v>0</v>
      </c>
      <c r="BE244" s="12">
        <f>IF(Verso!$B$14=Voies!$B244,1,0)</f>
        <v>0</v>
      </c>
      <c r="BF244" s="12">
        <f>IF(Verso!$B$15=Voies!$B244,1,0)</f>
        <v>0</v>
      </c>
      <c r="BG244" s="12">
        <f>IF(Verso!$B$16=Voies!$B244,1,0)</f>
        <v>0</v>
      </c>
      <c r="BH244" s="12">
        <f>IF(Verso!$B$17=Voies!$B244,1,0)</f>
        <v>0</v>
      </c>
      <c r="BI244" s="557">
        <f t="shared" si="24"/>
        <v>0</v>
      </c>
      <c r="BJ244" s="196" t="str">
        <f t="shared" si="25"/>
        <v/>
      </c>
      <c r="BK244" s="196" t="str">
        <f t="shared" si="26"/>
        <v/>
      </c>
      <c r="BL244" s="295" t="str">
        <f t="shared" si="27"/>
        <v/>
      </c>
      <c r="BM244" s="91"/>
    </row>
    <row r="245" spans="1:65" s="196" customFormat="1" ht="47.25" customHeight="1" x14ac:dyDescent="0.25">
      <c r="A245" s="162" t="str">
        <f>IF(AND(Réputation&gt;Voies!E245-1,OR(C245=TRUE,Calculs!$I$8&gt;0),Air&gt;Voies!J245-1,Eau&gt;Voies!K245-1,Feu&gt;Voies!L245-1,Terre&gt;Voies!M245-1,Vide&gt;Voies!N245-1,Constitution&gt;Voies!O245-1,Volonté&gt;Voies!P245-1,Force&gt;Voies!Q245-1,Perception&gt;Voies!R245-1,Reflexes&gt;Voies!S245-1,Agilité&gt;Voies!T245-1,Intuition&gt;Voies!U245-1,Intelligence&gt;Voies!V245-1,Souillure&gt;Voies!W245-1,Honneur&gt;X245-1,Statut&gt;Y245-1,Gloire&gt;Z245-1,AV245=TRUE),Voies!B245,"")</f>
        <v/>
      </c>
      <c r="B245" s="162" t="s">
        <v>6932</v>
      </c>
      <c r="C245" s="162" t="b">
        <f>IF(Clan=Voies!D245,TRUE,FALSE)</f>
        <v>0</v>
      </c>
      <c r="D245" s="466" t="s">
        <v>6760</v>
      </c>
      <c r="E245" s="199">
        <v>3</v>
      </c>
      <c r="F245" s="199">
        <v>3</v>
      </c>
      <c r="G245" s="199" t="s">
        <v>2049</v>
      </c>
      <c r="H245" s="162" t="s">
        <v>6860</v>
      </c>
      <c r="I245" s="129" t="str">
        <f t="shared" si="28"/>
        <v>Rien</v>
      </c>
      <c r="J245" s="146">
        <v>0</v>
      </c>
      <c r="K245" s="147">
        <v>0</v>
      </c>
      <c r="L245" s="148">
        <v>0</v>
      </c>
      <c r="M245" s="149">
        <v>0</v>
      </c>
      <c r="N245" s="150">
        <v>0</v>
      </c>
      <c r="O245" s="130">
        <v>0</v>
      </c>
      <c r="P245" s="130">
        <v>0</v>
      </c>
      <c r="Q245" s="130">
        <v>0</v>
      </c>
      <c r="R245" s="130">
        <v>0</v>
      </c>
      <c r="S245" s="130">
        <v>0</v>
      </c>
      <c r="T245" s="130">
        <v>0</v>
      </c>
      <c r="U245" s="130">
        <v>0</v>
      </c>
      <c r="V245" s="524">
        <v>0</v>
      </c>
      <c r="W245" s="130">
        <v>0</v>
      </c>
      <c r="X245" s="130">
        <v>0</v>
      </c>
      <c r="Y245" s="130">
        <v>0</v>
      </c>
      <c r="Z245" s="130">
        <v>0</v>
      </c>
      <c r="AA245" s="158" t="s">
        <v>2078</v>
      </c>
      <c r="AB245" s="158"/>
      <c r="AC245" s="158"/>
      <c r="AD245" s="158"/>
      <c r="AE245" s="158" t="b">
        <f>IF(AB245="",TRUE,IF(IF(AC245="",VLOOKUP(AB245,Calculs!$A$19:$S$425,19,FALSE),VLOOKUP(AC245,Calculs!$A$19:$S$425,19,FALSE))&gt;=AD245,TRUE,FALSE))</f>
        <v>1</v>
      </c>
      <c r="AF245" s="158"/>
      <c r="AG245" s="158"/>
      <c r="AH245" s="158"/>
      <c r="AI245" s="158" t="b">
        <f>IF(AF245="",TRUE,IF(IF(AG245="",VLOOKUP(AF245,Calculs!$A$19:$S$425,19,FALSE),VLOOKUP(AG245,Calculs!$A$19:$S$425,19,FALSE))&gt;=AH245,TRUE,FALSE))</f>
        <v>1</v>
      </c>
      <c r="AJ245" s="158"/>
      <c r="AK245" s="158"/>
      <c r="AL245" s="158"/>
      <c r="AM245" s="158" t="b">
        <f>IF(AJ245="",TRUE,IF(IF(AK245="",VLOOKUP(AJ245,Calculs!$A$19:$S$425,19,FALSE),VLOOKUP(AK245,Calculs!$A$19:$S$425,19,FALSE))&gt;=AL245,TRUE,FALSE))</f>
        <v>1</v>
      </c>
      <c r="AN245" s="158"/>
      <c r="AO245" s="158"/>
      <c r="AP245" s="158"/>
      <c r="AQ245" s="158" t="b">
        <f>IF(AN245="",TRUE,IF(IF(AO245="",VLOOKUP(AN245,Calculs!$A$19:$S$425,19,FALSE),VLOOKUP(AO245,Calculs!$A$19:$S$425,19,FALSE))&gt;=AP245,TRUE,FALSE))</f>
        <v>1</v>
      </c>
      <c r="AR245" s="158"/>
      <c r="AS245" s="158" t="b">
        <f>IF(AR245="",TRUE,IF(VLOOKUP(AR245,Calculs!$A$427:$G$738,7,FALSE)&gt;0,TRUE,FALSE))</f>
        <v>1</v>
      </c>
      <c r="AT245" s="158"/>
      <c r="AU245" s="158" t="b">
        <f>IF(AT245="",TRUE,IF(VLOOKUP(AT245,Calculs!$A$740:$G$912,7,FALSE)&gt;0,TRUE,FALSE))</f>
        <v>1</v>
      </c>
      <c r="AV245" s="158" t="b">
        <f t="shared" si="23"/>
        <v>1</v>
      </c>
      <c r="AW245" s="158" t="s">
        <v>2078</v>
      </c>
      <c r="AX245" s="162" t="s">
        <v>6816</v>
      </c>
      <c r="AY245" s="15">
        <v>26</v>
      </c>
      <c r="AZ245" s="555" t="s">
        <v>6937</v>
      </c>
      <c r="BA245" s="559">
        <f>IF(Verso!$B$10=Voies!$B245,1,0)</f>
        <v>0</v>
      </c>
      <c r="BB245" s="12">
        <f>IF(Verso!$B$11=Voies!$B245,1,0)</f>
        <v>0</v>
      </c>
      <c r="BC245" s="12">
        <f>IF(Verso!$B$12=Voies!$B245,1,0)</f>
        <v>0</v>
      </c>
      <c r="BD245" s="12">
        <f>IF(Verso!$B$13=Voies!$B245,1,0)</f>
        <v>0</v>
      </c>
      <c r="BE245" s="12">
        <f>IF(Verso!$B$14=Voies!$B245,1,0)</f>
        <v>0</v>
      </c>
      <c r="BF245" s="12">
        <f>IF(Verso!$B$15=Voies!$B245,1,0)</f>
        <v>0</v>
      </c>
      <c r="BG245" s="12">
        <f>IF(Verso!$B$16=Voies!$B245,1,0)</f>
        <v>0</v>
      </c>
      <c r="BH245" s="12">
        <f>IF(Verso!$B$17=Voies!$B245,1,0)</f>
        <v>0</v>
      </c>
      <c r="BI245" s="557">
        <f t="shared" si="24"/>
        <v>0</v>
      </c>
      <c r="BJ245" s="196" t="str">
        <f t="shared" si="25"/>
        <v/>
      </c>
      <c r="BK245" s="196" t="str">
        <f t="shared" si="26"/>
        <v/>
      </c>
      <c r="BL245" s="295" t="str">
        <f t="shared" si="27"/>
        <v/>
      </c>
      <c r="BM245" s="91"/>
    </row>
    <row r="246" spans="1:65" s="196" customFormat="1" ht="47.25" customHeight="1" x14ac:dyDescent="0.25">
      <c r="A246" s="162" t="str">
        <f>IF(AND(Réputation&gt;Voies!E246-1,OR(C246=TRUE,Calculs!$I$8&gt;0),Air&gt;Voies!J246-1,Eau&gt;Voies!K246-1,Feu&gt;Voies!L246-1,Terre&gt;Voies!M246-1,Vide&gt;Voies!N246-1,Constitution&gt;Voies!O246-1,Volonté&gt;Voies!P246-1,Force&gt;Voies!Q246-1,Perception&gt;Voies!R246-1,Reflexes&gt;Voies!S246-1,Agilité&gt;Voies!T246-1,Intuition&gt;Voies!U246-1,Intelligence&gt;Voies!V246-1,Souillure&gt;Voies!W246-1,Honneur&gt;X246-1,Statut&gt;Y246-1,Gloire&gt;Z246-1,AV246=TRUE),Voies!B246,"")</f>
        <v/>
      </c>
      <c r="B246" s="162" t="s">
        <v>6933</v>
      </c>
      <c r="C246" s="162" t="b">
        <f>IF(Clan=Voies!D246,TRUE,FALSE)</f>
        <v>0</v>
      </c>
      <c r="D246" s="466" t="s">
        <v>6760</v>
      </c>
      <c r="E246" s="199">
        <v>4</v>
      </c>
      <c r="F246" s="199">
        <v>4</v>
      </c>
      <c r="G246" s="199" t="s">
        <v>2049</v>
      </c>
      <c r="H246" s="162" t="s">
        <v>6860</v>
      </c>
      <c r="I246" s="129" t="str">
        <f t="shared" si="28"/>
        <v>Rien</v>
      </c>
      <c r="J246" s="146">
        <v>0</v>
      </c>
      <c r="K246" s="147">
        <v>0</v>
      </c>
      <c r="L246" s="148">
        <v>0</v>
      </c>
      <c r="M246" s="149">
        <v>0</v>
      </c>
      <c r="N246" s="150">
        <v>0</v>
      </c>
      <c r="O246" s="130">
        <v>0</v>
      </c>
      <c r="P246" s="130">
        <v>0</v>
      </c>
      <c r="Q246" s="130">
        <v>0</v>
      </c>
      <c r="R246" s="130">
        <v>0</v>
      </c>
      <c r="S246" s="130">
        <v>0</v>
      </c>
      <c r="T246" s="130">
        <v>0</v>
      </c>
      <c r="U246" s="130">
        <v>0</v>
      </c>
      <c r="V246" s="524">
        <v>0</v>
      </c>
      <c r="W246" s="130">
        <v>0</v>
      </c>
      <c r="X246" s="130">
        <v>0</v>
      </c>
      <c r="Y246" s="130">
        <v>0</v>
      </c>
      <c r="Z246" s="130">
        <v>0</v>
      </c>
      <c r="AA246" s="158" t="s">
        <v>2078</v>
      </c>
      <c r="AB246" s="158"/>
      <c r="AC246" s="158"/>
      <c r="AD246" s="158"/>
      <c r="AE246" s="158" t="b">
        <f>IF(AB246="",TRUE,IF(IF(AC246="",VLOOKUP(AB246,Calculs!$A$19:$S$425,19,FALSE),VLOOKUP(AC246,Calculs!$A$19:$S$425,19,FALSE))&gt;=AD246,TRUE,FALSE))</f>
        <v>1</v>
      </c>
      <c r="AF246" s="158"/>
      <c r="AG246" s="158"/>
      <c r="AH246" s="158"/>
      <c r="AI246" s="158" t="b">
        <f>IF(AF246="",TRUE,IF(IF(AG246="",VLOOKUP(AF246,Calculs!$A$19:$S$425,19,FALSE),VLOOKUP(AG246,Calculs!$A$19:$S$425,19,FALSE))&gt;=AH246,TRUE,FALSE))</f>
        <v>1</v>
      </c>
      <c r="AJ246" s="158"/>
      <c r="AK246" s="158"/>
      <c r="AL246" s="158"/>
      <c r="AM246" s="158" t="b">
        <f>IF(AJ246="",TRUE,IF(IF(AK246="",VLOOKUP(AJ246,Calculs!$A$19:$S$425,19,FALSE),VLOOKUP(AK246,Calculs!$A$19:$S$425,19,FALSE))&gt;=AL246,TRUE,FALSE))</f>
        <v>1</v>
      </c>
      <c r="AN246" s="158"/>
      <c r="AO246" s="158"/>
      <c r="AP246" s="158"/>
      <c r="AQ246" s="158" t="b">
        <f>IF(AN246="",TRUE,IF(IF(AO246="",VLOOKUP(AN246,Calculs!$A$19:$S$425,19,FALSE),VLOOKUP(AO246,Calculs!$A$19:$S$425,19,FALSE))&gt;=AP246,TRUE,FALSE))</f>
        <v>1</v>
      </c>
      <c r="AR246" s="158"/>
      <c r="AS246" s="158" t="b">
        <f>IF(AR246="",TRUE,IF(VLOOKUP(AR246,Calculs!$A$427:$G$738,7,FALSE)&gt;0,TRUE,FALSE))</f>
        <v>1</v>
      </c>
      <c r="AT246" s="158"/>
      <c r="AU246" s="158" t="b">
        <f>IF(AT246="",TRUE,IF(VLOOKUP(AT246,Calculs!$A$740:$G$912,7,FALSE)&gt;0,TRUE,FALSE))</f>
        <v>1</v>
      </c>
      <c r="AV246" s="158" t="b">
        <f t="shared" si="23"/>
        <v>1</v>
      </c>
      <c r="AW246" s="158" t="s">
        <v>2078</v>
      </c>
      <c r="AX246" s="162" t="s">
        <v>6816</v>
      </c>
      <c r="AY246" s="15">
        <v>26</v>
      </c>
      <c r="AZ246" s="555" t="s">
        <v>6938</v>
      </c>
      <c r="BA246" s="559">
        <f>IF(Verso!$B$10=Voies!$B246,1,0)</f>
        <v>0</v>
      </c>
      <c r="BB246" s="12">
        <f>IF(Verso!$B$11=Voies!$B246,1,0)</f>
        <v>0</v>
      </c>
      <c r="BC246" s="12">
        <f>IF(Verso!$B$12=Voies!$B246,1,0)</f>
        <v>0</v>
      </c>
      <c r="BD246" s="12">
        <f>IF(Verso!$B$13=Voies!$B246,1,0)</f>
        <v>0</v>
      </c>
      <c r="BE246" s="12">
        <f>IF(Verso!$B$14=Voies!$B246,1,0)</f>
        <v>0</v>
      </c>
      <c r="BF246" s="12">
        <f>IF(Verso!$B$15=Voies!$B246,1,0)</f>
        <v>0</v>
      </c>
      <c r="BG246" s="12">
        <f>IF(Verso!$B$16=Voies!$B246,1,0)</f>
        <v>0</v>
      </c>
      <c r="BH246" s="12">
        <f>IF(Verso!$B$17=Voies!$B246,1,0)</f>
        <v>0</v>
      </c>
      <c r="BI246" s="557">
        <f t="shared" si="24"/>
        <v>0</v>
      </c>
      <c r="BJ246" s="196" t="str">
        <f t="shared" si="25"/>
        <v/>
      </c>
      <c r="BK246" s="196" t="str">
        <f t="shared" si="26"/>
        <v/>
      </c>
      <c r="BL246" s="295" t="str">
        <f t="shared" si="27"/>
        <v/>
      </c>
      <c r="BM246" s="91"/>
    </row>
    <row r="247" spans="1:65" s="196" customFormat="1" ht="47.25" customHeight="1" x14ac:dyDescent="0.25">
      <c r="A247" s="162" t="str">
        <f>IF(AND(Réputation&gt;Voies!E247-1,OR(C247=TRUE,Calculs!$I$8&gt;0),Air&gt;Voies!J247-1,Eau&gt;Voies!K247-1,Feu&gt;Voies!L247-1,Terre&gt;Voies!M247-1,Vide&gt;Voies!N247-1,Constitution&gt;Voies!O247-1,Volonté&gt;Voies!P247-1,Force&gt;Voies!Q247-1,Perception&gt;Voies!R247-1,Reflexes&gt;Voies!S247-1,Agilité&gt;Voies!T247-1,Intuition&gt;Voies!U247-1,Intelligence&gt;Voies!V247-1,Souillure&gt;Voies!W247-1,Honneur&gt;X247-1,Statut&gt;Y247-1,Gloire&gt;Z247-1,AV247=TRUE),Voies!B247,"")</f>
        <v/>
      </c>
      <c r="B247" s="162" t="s">
        <v>6934</v>
      </c>
      <c r="C247" s="162" t="b">
        <f>IF(Clan=Voies!D247,TRUE,FALSE)</f>
        <v>0</v>
      </c>
      <c r="D247" s="466" t="s">
        <v>6760</v>
      </c>
      <c r="E247" s="199">
        <v>5</v>
      </c>
      <c r="F247" s="199">
        <v>5</v>
      </c>
      <c r="G247" s="199" t="s">
        <v>2049</v>
      </c>
      <c r="H247" s="162" t="s">
        <v>6860</v>
      </c>
      <c r="I247" s="129" t="str">
        <f t="shared" si="28"/>
        <v>Rien</v>
      </c>
      <c r="J247" s="146">
        <v>0</v>
      </c>
      <c r="K247" s="147">
        <v>0</v>
      </c>
      <c r="L247" s="148">
        <v>0</v>
      </c>
      <c r="M247" s="149">
        <v>0</v>
      </c>
      <c r="N247" s="150">
        <v>0</v>
      </c>
      <c r="O247" s="130">
        <v>0</v>
      </c>
      <c r="P247" s="130">
        <v>0</v>
      </c>
      <c r="Q247" s="130">
        <v>0</v>
      </c>
      <c r="R247" s="130">
        <v>0</v>
      </c>
      <c r="S247" s="130">
        <v>0</v>
      </c>
      <c r="T247" s="130">
        <v>0</v>
      </c>
      <c r="U247" s="130">
        <v>0</v>
      </c>
      <c r="V247" s="524">
        <v>0</v>
      </c>
      <c r="W247" s="130">
        <v>0</v>
      </c>
      <c r="X247" s="130">
        <v>0</v>
      </c>
      <c r="Y247" s="130">
        <v>0</v>
      </c>
      <c r="Z247" s="130">
        <v>0</v>
      </c>
      <c r="AA247" s="158" t="s">
        <v>2078</v>
      </c>
      <c r="AB247" s="158"/>
      <c r="AC247" s="158"/>
      <c r="AD247" s="158"/>
      <c r="AE247" s="158" t="b">
        <f>IF(AB247="",TRUE,IF(IF(AC247="",VLOOKUP(AB247,Calculs!$A$19:$S$425,19,FALSE),VLOOKUP(AC247,Calculs!$A$19:$S$425,19,FALSE))&gt;=AD247,TRUE,FALSE))</f>
        <v>1</v>
      </c>
      <c r="AF247" s="158"/>
      <c r="AG247" s="158"/>
      <c r="AH247" s="158"/>
      <c r="AI247" s="158" t="b">
        <f>IF(AF247="",TRUE,IF(IF(AG247="",VLOOKUP(AF247,Calculs!$A$19:$S$425,19,FALSE),VLOOKUP(AG247,Calculs!$A$19:$S$425,19,FALSE))&gt;=AH247,TRUE,FALSE))</f>
        <v>1</v>
      </c>
      <c r="AJ247" s="158"/>
      <c r="AK247" s="158"/>
      <c r="AL247" s="158"/>
      <c r="AM247" s="158" t="b">
        <f>IF(AJ247="",TRUE,IF(IF(AK247="",VLOOKUP(AJ247,Calculs!$A$19:$S$425,19,FALSE),VLOOKUP(AK247,Calculs!$A$19:$S$425,19,FALSE))&gt;=AL247,TRUE,FALSE))</f>
        <v>1</v>
      </c>
      <c r="AN247" s="158"/>
      <c r="AO247" s="158"/>
      <c r="AP247" s="158"/>
      <c r="AQ247" s="158" t="b">
        <f>IF(AN247="",TRUE,IF(IF(AO247="",VLOOKUP(AN247,Calculs!$A$19:$S$425,19,FALSE),VLOOKUP(AO247,Calculs!$A$19:$S$425,19,FALSE))&gt;=AP247,TRUE,FALSE))</f>
        <v>1</v>
      </c>
      <c r="AR247" s="158"/>
      <c r="AS247" s="158" t="b">
        <f>IF(AR247="",TRUE,IF(VLOOKUP(AR247,Calculs!$A$427:$G$738,7,FALSE)&gt;0,TRUE,FALSE))</f>
        <v>1</v>
      </c>
      <c r="AT247" s="158"/>
      <c r="AU247" s="158" t="b">
        <f>IF(AT247="",TRUE,IF(VLOOKUP(AT247,Calculs!$A$740:$G$912,7,FALSE)&gt;0,TRUE,FALSE))</f>
        <v>1</v>
      </c>
      <c r="AV247" s="158" t="b">
        <f t="shared" si="23"/>
        <v>1</v>
      </c>
      <c r="AW247" s="158" t="s">
        <v>2078</v>
      </c>
      <c r="AX247" s="162" t="s">
        <v>6816</v>
      </c>
      <c r="AY247" s="15">
        <v>27</v>
      </c>
      <c r="AZ247" s="555" t="s">
        <v>6939</v>
      </c>
      <c r="BA247" s="559">
        <f>IF(Verso!$B$10=Voies!$B247,1,0)</f>
        <v>0</v>
      </c>
      <c r="BB247" s="12">
        <f>IF(Verso!$B$11=Voies!$B247,1,0)</f>
        <v>0</v>
      </c>
      <c r="BC247" s="12">
        <f>IF(Verso!$B$12=Voies!$B247,1,0)</f>
        <v>0</v>
      </c>
      <c r="BD247" s="12">
        <f>IF(Verso!$B$13=Voies!$B247,1,0)</f>
        <v>0</v>
      </c>
      <c r="BE247" s="12">
        <f>IF(Verso!$B$14=Voies!$B247,1,0)</f>
        <v>0</v>
      </c>
      <c r="BF247" s="12">
        <f>IF(Verso!$B$15=Voies!$B247,1,0)</f>
        <v>0</v>
      </c>
      <c r="BG247" s="12">
        <f>IF(Verso!$B$16=Voies!$B247,1,0)</f>
        <v>0</v>
      </c>
      <c r="BH247" s="12">
        <f>IF(Verso!$B$17=Voies!$B247,1,0)</f>
        <v>0</v>
      </c>
      <c r="BI247" s="557">
        <f t="shared" si="24"/>
        <v>0</v>
      </c>
      <c r="BJ247" s="196" t="str">
        <f t="shared" si="25"/>
        <v/>
      </c>
      <c r="BK247" s="196" t="str">
        <f t="shared" si="26"/>
        <v/>
      </c>
      <c r="BL247" s="295" t="str">
        <f t="shared" si="27"/>
        <v/>
      </c>
      <c r="BM247" s="91"/>
    </row>
    <row r="248" spans="1:65" s="196" customFormat="1" ht="47.25" customHeight="1" x14ac:dyDescent="0.25">
      <c r="A248" s="162" t="str">
        <f>IF(AND(Réputation&gt;Voies!E248-1,OR(C248=TRUE,Calculs!$I$8&gt;0),Air&gt;Voies!J248-1,Eau&gt;Voies!K248-1,Feu&gt;Voies!L248-1,Terre&gt;Voies!M248-1,Vide&gt;Voies!N248-1,Constitution&gt;Voies!O248-1,Volonté&gt;Voies!P248-1,Force&gt;Voies!Q248-1,Perception&gt;Voies!R248-1,Reflexes&gt;Voies!S248-1,Agilité&gt;Voies!T248-1,Intuition&gt;Voies!U248-1,Intelligence&gt;Voies!V248-1,Souillure&gt;Voies!W248-1,Honneur&gt;X248-1,Statut&gt;Y248-1,Gloire&gt;Z248-1,AV248=TRUE),Voies!B248,"")</f>
        <v/>
      </c>
      <c r="B248" s="162" t="s">
        <v>7124</v>
      </c>
      <c r="C248" s="162" t="b">
        <f>IF(Clan=Voies!D248,TRUE,FALSE)</f>
        <v>0</v>
      </c>
      <c r="D248" s="466" t="s">
        <v>6789</v>
      </c>
      <c r="E248" s="199">
        <v>1</v>
      </c>
      <c r="F248" s="199">
        <v>1</v>
      </c>
      <c r="G248" s="199" t="s">
        <v>2049</v>
      </c>
      <c r="H248" s="462" t="s">
        <v>6963</v>
      </c>
      <c r="I248" s="129" t="str">
        <f t="shared" si="28"/>
        <v>Rien</v>
      </c>
      <c r="J248" s="146">
        <v>0</v>
      </c>
      <c r="K248" s="147">
        <v>0</v>
      </c>
      <c r="L248" s="148">
        <v>0</v>
      </c>
      <c r="M248" s="149">
        <v>0</v>
      </c>
      <c r="N248" s="150">
        <v>0</v>
      </c>
      <c r="O248" s="130">
        <v>0</v>
      </c>
      <c r="P248" s="130">
        <v>0</v>
      </c>
      <c r="Q248" s="130">
        <v>0</v>
      </c>
      <c r="R248" s="130">
        <v>0</v>
      </c>
      <c r="S248" s="130">
        <v>0</v>
      </c>
      <c r="T248" s="130">
        <v>0</v>
      </c>
      <c r="U248" s="130">
        <v>0</v>
      </c>
      <c r="V248" s="524">
        <v>0</v>
      </c>
      <c r="W248" s="130">
        <v>0</v>
      </c>
      <c r="X248" s="130">
        <v>0</v>
      </c>
      <c r="Y248" s="130">
        <v>0</v>
      </c>
      <c r="Z248" s="130">
        <v>0</v>
      </c>
      <c r="AA248" s="158" t="s">
        <v>2078</v>
      </c>
      <c r="AB248" s="158"/>
      <c r="AC248" s="158"/>
      <c r="AD248" s="158"/>
      <c r="AE248" s="158" t="b">
        <f>IF(AB248="",TRUE,IF(IF(AC248="",VLOOKUP(AB248,Calculs!$A$19:$S$425,19,FALSE),VLOOKUP(AC248,Calculs!$A$19:$S$425,19,FALSE))&gt;=AD248,TRUE,FALSE))</f>
        <v>1</v>
      </c>
      <c r="AF248" s="158"/>
      <c r="AG248" s="158"/>
      <c r="AH248" s="158"/>
      <c r="AI248" s="158" t="b">
        <f>IF(AF248="",TRUE,IF(IF(AG248="",VLOOKUP(AF248,Calculs!$A$19:$S$425,19,FALSE),VLOOKUP(AG248,Calculs!$A$19:$S$425,19,FALSE))&gt;=AH248,TRUE,FALSE))</f>
        <v>1</v>
      </c>
      <c r="AJ248" s="158"/>
      <c r="AK248" s="158"/>
      <c r="AL248" s="158"/>
      <c r="AM248" s="158" t="b">
        <f>IF(AJ248="",TRUE,IF(IF(AK248="",VLOOKUP(AJ248,Calculs!$A$19:$S$425,19,FALSE),VLOOKUP(AK248,Calculs!$A$19:$S$425,19,FALSE))&gt;=AL248,TRUE,FALSE))</f>
        <v>1</v>
      </c>
      <c r="AN248" s="158"/>
      <c r="AO248" s="158"/>
      <c r="AP248" s="158"/>
      <c r="AQ248" s="158" t="b">
        <f>IF(AN248="",TRUE,IF(IF(AO248="",VLOOKUP(AN248,Calculs!$A$19:$S$425,19,FALSE),VLOOKUP(AO248,Calculs!$A$19:$S$425,19,FALSE))&gt;=AP248,TRUE,FALSE))</f>
        <v>1</v>
      </c>
      <c r="AR248" s="158"/>
      <c r="AS248" s="158" t="b">
        <f>IF(AR248="",TRUE,IF(VLOOKUP(AR248,Calculs!$A$427:$G$738,7,FALSE)&gt;0,TRUE,FALSE))</f>
        <v>1</v>
      </c>
      <c r="AT248" s="158"/>
      <c r="AU248" s="158" t="b">
        <f>IF(AT248="",TRUE,IF(VLOOKUP(AT248,Calculs!$A$740:$G$912,7,FALSE)&gt;0,TRUE,FALSE))</f>
        <v>1</v>
      </c>
      <c r="AV248" s="158" t="b">
        <f t="shared" si="23"/>
        <v>1</v>
      </c>
      <c r="AW248" s="158" t="s">
        <v>2078</v>
      </c>
      <c r="AX248" s="162" t="s">
        <v>6816</v>
      </c>
      <c r="AY248" s="15">
        <v>108</v>
      </c>
      <c r="AZ248" s="555" t="s">
        <v>7130</v>
      </c>
      <c r="BA248" s="559">
        <f>IF(Verso!$B$10=Voies!$B248,1,0)</f>
        <v>0</v>
      </c>
      <c r="BB248" s="12">
        <f>IF(Verso!$B$11=Voies!$B248,1,0)</f>
        <v>0</v>
      </c>
      <c r="BC248" s="12">
        <f>IF(Verso!$B$12=Voies!$B248,1,0)</f>
        <v>0</v>
      </c>
      <c r="BD248" s="12">
        <f>IF(Verso!$B$13=Voies!$B248,1,0)</f>
        <v>0</v>
      </c>
      <c r="BE248" s="12">
        <f>IF(Verso!$B$14=Voies!$B248,1,0)</f>
        <v>0</v>
      </c>
      <c r="BF248" s="12">
        <f>IF(Verso!$B$15=Voies!$B248,1,0)</f>
        <v>0</v>
      </c>
      <c r="BG248" s="12">
        <f>IF(Verso!$B$16=Voies!$B248,1,0)</f>
        <v>0</v>
      </c>
      <c r="BH248" s="12">
        <f>IF(Verso!$B$17=Voies!$B248,1,0)</f>
        <v>0</v>
      </c>
      <c r="BI248" s="557">
        <f t="shared" si="24"/>
        <v>0</v>
      </c>
      <c r="BJ248" s="196" t="str">
        <f t="shared" si="25"/>
        <v/>
      </c>
      <c r="BK248" s="196" t="str">
        <f t="shared" si="26"/>
        <v/>
      </c>
      <c r="BL248" s="295" t="str">
        <f t="shared" si="27"/>
        <v/>
      </c>
      <c r="BM248" s="91"/>
    </row>
    <row r="249" spans="1:65" s="196" customFormat="1" ht="47.25" customHeight="1" x14ac:dyDescent="0.25">
      <c r="A249" s="162" t="str">
        <f>IF(AND(Réputation&gt;Voies!E249-1,OR(C249=TRUE,Calculs!$I$8&gt;0),Air&gt;Voies!J249-1,Eau&gt;Voies!K249-1,Feu&gt;Voies!L249-1,Terre&gt;Voies!M249-1,Vide&gt;Voies!N249-1,Constitution&gt;Voies!O249-1,Volonté&gt;Voies!P249-1,Force&gt;Voies!Q249-1,Perception&gt;Voies!R249-1,Reflexes&gt;Voies!S249-1,Agilité&gt;Voies!T249-1,Intuition&gt;Voies!U249-1,Intelligence&gt;Voies!V249-1,Souillure&gt;Voies!W249-1,Honneur&gt;X249-1,Statut&gt;Y249-1,Gloire&gt;Z249-1,AV249=TRUE),Voies!B249,"")</f>
        <v/>
      </c>
      <c r="B249" s="162" t="s">
        <v>7125</v>
      </c>
      <c r="C249" s="162" t="b">
        <f>IF(Clan=Voies!D249,TRUE,FALSE)</f>
        <v>0</v>
      </c>
      <c r="D249" s="466" t="s">
        <v>6789</v>
      </c>
      <c r="E249" s="199">
        <v>2</v>
      </c>
      <c r="F249" s="199">
        <v>2</v>
      </c>
      <c r="G249" s="199" t="s">
        <v>2049</v>
      </c>
      <c r="H249" s="462" t="s">
        <v>6963</v>
      </c>
      <c r="I249" s="129" t="str">
        <f t="shared" si="28"/>
        <v>Rien</v>
      </c>
      <c r="J249" s="146">
        <v>0</v>
      </c>
      <c r="K249" s="147">
        <v>0</v>
      </c>
      <c r="L249" s="148">
        <v>0</v>
      </c>
      <c r="M249" s="149">
        <v>0</v>
      </c>
      <c r="N249" s="150">
        <v>0</v>
      </c>
      <c r="O249" s="130">
        <v>0</v>
      </c>
      <c r="P249" s="130">
        <v>0</v>
      </c>
      <c r="Q249" s="130">
        <v>0</v>
      </c>
      <c r="R249" s="130">
        <v>0</v>
      </c>
      <c r="S249" s="130">
        <v>0</v>
      </c>
      <c r="T249" s="130">
        <v>0</v>
      </c>
      <c r="U249" s="130">
        <v>0</v>
      </c>
      <c r="V249" s="524">
        <v>0</v>
      </c>
      <c r="W249" s="130">
        <v>0</v>
      </c>
      <c r="X249" s="130">
        <v>0</v>
      </c>
      <c r="Y249" s="130">
        <v>0</v>
      </c>
      <c r="Z249" s="130">
        <v>0</v>
      </c>
      <c r="AA249" s="158" t="s">
        <v>2078</v>
      </c>
      <c r="AB249" s="158"/>
      <c r="AC249" s="158"/>
      <c r="AD249" s="158"/>
      <c r="AE249" s="158" t="b">
        <f>IF(AB249="",TRUE,IF(IF(AC249="",VLOOKUP(AB249,Calculs!$A$19:$S$425,19,FALSE),VLOOKUP(AC249,Calculs!$A$19:$S$425,19,FALSE))&gt;=AD249,TRUE,FALSE))</f>
        <v>1</v>
      </c>
      <c r="AF249" s="158"/>
      <c r="AG249" s="158"/>
      <c r="AH249" s="158"/>
      <c r="AI249" s="158" t="b">
        <f>IF(AF249="",TRUE,IF(IF(AG249="",VLOOKUP(AF249,Calculs!$A$19:$S$425,19,FALSE),VLOOKUP(AG249,Calculs!$A$19:$S$425,19,FALSE))&gt;=AH249,TRUE,FALSE))</f>
        <v>1</v>
      </c>
      <c r="AJ249" s="158"/>
      <c r="AK249" s="158"/>
      <c r="AL249" s="158"/>
      <c r="AM249" s="158" t="b">
        <f>IF(AJ249="",TRUE,IF(IF(AK249="",VLOOKUP(AJ249,Calculs!$A$19:$S$425,19,FALSE),VLOOKUP(AK249,Calculs!$A$19:$S$425,19,FALSE))&gt;=AL249,TRUE,FALSE))</f>
        <v>1</v>
      </c>
      <c r="AN249" s="158"/>
      <c r="AO249" s="158"/>
      <c r="AP249" s="158"/>
      <c r="AQ249" s="158" t="b">
        <f>IF(AN249="",TRUE,IF(IF(AO249="",VLOOKUP(AN249,Calculs!$A$19:$S$425,19,FALSE),VLOOKUP(AO249,Calculs!$A$19:$S$425,19,FALSE))&gt;=AP249,TRUE,FALSE))</f>
        <v>1</v>
      </c>
      <c r="AR249" s="158"/>
      <c r="AS249" s="158" t="b">
        <f>IF(AR249="",TRUE,IF(VLOOKUP(AR249,Calculs!$A$427:$G$738,7,FALSE)&gt;0,TRUE,FALSE))</f>
        <v>1</v>
      </c>
      <c r="AT249" s="158"/>
      <c r="AU249" s="158" t="b">
        <f>IF(AT249="",TRUE,IF(VLOOKUP(AT249,Calculs!$A$740:$G$912,7,FALSE)&gt;0,TRUE,FALSE))</f>
        <v>1</v>
      </c>
      <c r="AV249" s="158" t="b">
        <f t="shared" si="23"/>
        <v>1</v>
      </c>
      <c r="AW249" s="158" t="s">
        <v>2078</v>
      </c>
      <c r="AX249" s="162" t="s">
        <v>6816</v>
      </c>
      <c r="AY249" s="15">
        <v>108</v>
      </c>
      <c r="AZ249" s="555" t="s">
        <v>7131</v>
      </c>
      <c r="BA249" s="559">
        <f>IF(Verso!$B$10=Voies!$B249,1,0)</f>
        <v>0</v>
      </c>
      <c r="BB249" s="12">
        <f>IF(Verso!$B$11=Voies!$B249,1,0)</f>
        <v>0</v>
      </c>
      <c r="BC249" s="12">
        <f>IF(Verso!$B$12=Voies!$B249,1,0)</f>
        <v>0</v>
      </c>
      <c r="BD249" s="12">
        <f>IF(Verso!$B$13=Voies!$B249,1,0)</f>
        <v>0</v>
      </c>
      <c r="BE249" s="12">
        <f>IF(Verso!$B$14=Voies!$B249,1,0)</f>
        <v>0</v>
      </c>
      <c r="BF249" s="12">
        <f>IF(Verso!$B$15=Voies!$B249,1,0)</f>
        <v>0</v>
      </c>
      <c r="BG249" s="12">
        <f>IF(Verso!$B$16=Voies!$B249,1,0)</f>
        <v>0</v>
      </c>
      <c r="BH249" s="12">
        <f>IF(Verso!$B$17=Voies!$B249,1,0)</f>
        <v>0</v>
      </c>
      <c r="BI249" s="557">
        <f t="shared" si="24"/>
        <v>0</v>
      </c>
      <c r="BJ249" s="196" t="str">
        <f t="shared" si="25"/>
        <v/>
      </c>
      <c r="BK249" s="196" t="str">
        <f t="shared" si="26"/>
        <v/>
      </c>
      <c r="BL249" s="295" t="str">
        <f t="shared" si="27"/>
        <v/>
      </c>
      <c r="BM249" s="91"/>
    </row>
    <row r="250" spans="1:65" s="196" customFormat="1" ht="47.25" customHeight="1" x14ac:dyDescent="0.25">
      <c r="A250" s="162" t="str">
        <f>IF(AND(Réputation&gt;Voies!E250-1,OR(C250=TRUE,Calculs!$I$8&gt;0),Air&gt;Voies!J250-1,Eau&gt;Voies!K250-1,Feu&gt;Voies!L250-1,Terre&gt;Voies!M250-1,Vide&gt;Voies!N250-1,Constitution&gt;Voies!O250-1,Volonté&gt;Voies!P250-1,Force&gt;Voies!Q250-1,Perception&gt;Voies!R250-1,Reflexes&gt;Voies!S250-1,Agilité&gt;Voies!T250-1,Intuition&gt;Voies!U250-1,Intelligence&gt;Voies!V250-1,Souillure&gt;Voies!W250-1,Honneur&gt;X250-1,Statut&gt;Y250-1,Gloire&gt;Z250-1,AV250=TRUE),Voies!B250,"")</f>
        <v/>
      </c>
      <c r="B250" s="162" t="s">
        <v>7129</v>
      </c>
      <c r="C250" s="162" t="b">
        <f>IF(Clan=Voies!D250,TRUE,FALSE)</f>
        <v>0</v>
      </c>
      <c r="D250" s="466" t="s">
        <v>6789</v>
      </c>
      <c r="E250" s="199">
        <v>2</v>
      </c>
      <c r="F250" s="199">
        <v>2</v>
      </c>
      <c r="G250" s="199" t="s">
        <v>2049</v>
      </c>
      <c r="H250" s="462" t="s">
        <v>7123</v>
      </c>
      <c r="I250" s="129" t="str">
        <f t="shared" si="28"/>
        <v>Rien</v>
      </c>
      <c r="J250" s="146">
        <v>0</v>
      </c>
      <c r="K250" s="147">
        <v>0</v>
      </c>
      <c r="L250" s="148">
        <v>0</v>
      </c>
      <c r="M250" s="149">
        <v>0</v>
      </c>
      <c r="N250" s="150">
        <v>0</v>
      </c>
      <c r="O250" s="130">
        <v>0</v>
      </c>
      <c r="P250" s="130">
        <v>0</v>
      </c>
      <c r="Q250" s="130">
        <v>0</v>
      </c>
      <c r="R250" s="130">
        <v>0</v>
      </c>
      <c r="S250" s="130">
        <v>0</v>
      </c>
      <c r="T250" s="130">
        <v>0</v>
      </c>
      <c r="U250" s="130">
        <v>0</v>
      </c>
      <c r="V250" s="524">
        <v>0</v>
      </c>
      <c r="W250" s="130">
        <v>0</v>
      </c>
      <c r="X250" s="130">
        <v>0</v>
      </c>
      <c r="Y250" s="130">
        <v>0</v>
      </c>
      <c r="Z250" s="130">
        <v>0</v>
      </c>
      <c r="AA250" s="158" t="s">
        <v>2078</v>
      </c>
      <c r="AB250" s="158"/>
      <c r="AC250" s="158"/>
      <c r="AD250" s="158"/>
      <c r="AE250" s="158" t="b">
        <f>IF(AB250="",TRUE,IF(IF(AC250="",VLOOKUP(AB250,Calculs!$A$19:$S$425,19,FALSE),VLOOKUP(AC250,Calculs!$A$19:$S$425,19,FALSE))&gt;=AD250,TRUE,FALSE))</f>
        <v>1</v>
      </c>
      <c r="AF250" s="158"/>
      <c r="AG250" s="158"/>
      <c r="AH250" s="158"/>
      <c r="AI250" s="158" t="b">
        <f>IF(AF250="",TRUE,IF(IF(AG250="",VLOOKUP(AF250,Calculs!$A$19:$S$425,19,FALSE),VLOOKUP(AG250,Calculs!$A$19:$S$425,19,FALSE))&gt;=AH250,TRUE,FALSE))</f>
        <v>1</v>
      </c>
      <c r="AJ250" s="158"/>
      <c r="AK250" s="158"/>
      <c r="AL250" s="158"/>
      <c r="AM250" s="158" t="b">
        <f>IF(AJ250="",TRUE,IF(IF(AK250="",VLOOKUP(AJ250,Calculs!$A$19:$S$425,19,FALSE),VLOOKUP(AK250,Calculs!$A$19:$S$425,19,FALSE))&gt;=AL250,TRUE,FALSE))</f>
        <v>1</v>
      </c>
      <c r="AN250" s="158"/>
      <c r="AO250" s="158"/>
      <c r="AP250" s="158"/>
      <c r="AQ250" s="158" t="b">
        <f>IF(AN250="",TRUE,IF(IF(AO250="",VLOOKUP(AN250,Calculs!$A$19:$S$425,19,FALSE),VLOOKUP(AO250,Calculs!$A$19:$S$425,19,FALSE))&gt;=AP250,TRUE,FALSE))</f>
        <v>1</v>
      </c>
      <c r="AR250" s="158"/>
      <c r="AS250" s="158" t="b">
        <f>IF(AR250="",TRUE,IF(VLOOKUP(AR250,Calculs!$A$427:$G$738,7,FALSE)&gt;0,TRUE,FALSE))</f>
        <v>1</v>
      </c>
      <c r="AT250" s="158"/>
      <c r="AU250" s="158" t="b">
        <f>IF(AT250="",TRUE,IF(VLOOKUP(AT250,Calculs!$A$740:$G$912,7,FALSE)&gt;0,TRUE,FALSE))</f>
        <v>1</v>
      </c>
      <c r="AV250" s="158" t="b">
        <f t="shared" si="23"/>
        <v>1</v>
      </c>
      <c r="AW250" s="158" t="s">
        <v>2078</v>
      </c>
      <c r="AX250" s="162" t="s">
        <v>6816</v>
      </c>
      <c r="AY250" s="15">
        <v>108</v>
      </c>
      <c r="AZ250" s="555" t="str">
        <f>CONCATENATE("+",Volonté," à tous test Social opposé et à vos jets d'Enquête.")</f>
        <v>+2 à tous test Social opposé et à vos jets d'Enquête.</v>
      </c>
      <c r="BA250" s="559">
        <f>IF(Verso!$B$10=Voies!$B250,1,0)</f>
        <v>0</v>
      </c>
      <c r="BB250" s="12">
        <f>IF(Verso!$B$11=Voies!$B250,1,0)</f>
        <v>0</v>
      </c>
      <c r="BC250" s="12">
        <f>IF(Verso!$B$12=Voies!$B250,1,0)</f>
        <v>0</v>
      </c>
      <c r="BD250" s="12">
        <f>IF(Verso!$B$13=Voies!$B250,1,0)</f>
        <v>0</v>
      </c>
      <c r="BE250" s="12">
        <f>IF(Verso!$B$14=Voies!$B250,1,0)</f>
        <v>0</v>
      </c>
      <c r="BF250" s="12">
        <f>IF(Verso!$B$15=Voies!$B250,1,0)</f>
        <v>0</v>
      </c>
      <c r="BG250" s="12">
        <f>IF(Verso!$B$16=Voies!$B250,1,0)</f>
        <v>0</v>
      </c>
      <c r="BH250" s="12">
        <f>IF(Verso!$B$17=Voies!$B250,1,0)</f>
        <v>0</v>
      </c>
      <c r="BI250" s="557">
        <f t="shared" si="24"/>
        <v>0</v>
      </c>
      <c r="BJ250" s="196" t="str">
        <f t="shared" si="25"/>
        <v/>
      </c>
      <c r="BK250" s="196" t="str">
        <f t="shared" si="26"/>
        <v/>
      </c>
      <c r="BL250" s="295" t="str">
        <f t="shared" si="27"/>
        <v/>
      </c>
      <c r="BM250" s="91"/>
    </row>
    <row r="251" spans="1:65" s="196" customFormat="1" ht="47.25" customHeight="1" x14ac:dyDescent="0.25">
      <c r="A251" s="162" t="str">
        <f>IF(AND(Réputation&gt;Voies!E251-1,OR(C251=TRUE,Calculs!$I$8&gt;0),Air&gt;Voies!J251-1,Eau&gt;Voies!K251-1,Feu&gt;Voies!L251-1,Terre&gt;Voies!M251-1,Vide&gt;Voies!N251-1,Constitution&gt;Voies!O251-1,Volonté&gt;Voies!P251-1,Force&gt;Voies!Q251-1,Perception&gt;Voies!R251-1,Reflexes&gt;Voies!S251-1,Agilité&gt;Voies!T251-1,Intuition&gt;Voies!U251-1,Intelligence&gt;Voies!V251-1,Souillure&gt;Voies!W251-1,Honneur&gt;X251-1,Statut&gt;Y251-1,Gloire&gt;Z251-1,AV251=TRUE),Voies!B251,"")</f>
        <v/>
      </c>
      <c r="B251" s="162" t="s">
        <v>7126</v>
      </c>
      <c r="C251" s="162" t="b">
        <f>IF(Clan=Voies!D251,TRUE,FALSE)</f>
        <v>0</v>
      </c>
      <c r="D251" s="466" t="s">
        <v>6789</v>
      </c>
      <c r="E251" s="199">
        <v>3</v>
      </c>
      <c r="F251" s="199">
        <v>3</v>
      </c>
      <c r="G251" s="199" t="s">
        <v>2049</v>
      </c>
      <c r="H251" s="462" t="s">
        <v>6963</v>
      </c>
      <c r="I251" s="129" t="str">
        <f t="shared" si="28"/>
        <v>Rien</v>
      </c>
      <c r="J251" s="146">
        <v>0</v>
      </c>
      <c r="K251" s="147">
        <v>0</v>
      </c>
      <c r="L251" s="148">
        <v>0</v>
      </c>
      <c r="M251" s="149">
        <v>0</v>
      </c>
      <c r="N251" s="150">
        <v>0</v>
      </c>
      <c r="O251" s="130">
        <v>0</v>
      </c>
      <c r="P251" s="130">
        <v>0</v>
      </c>
      <c r="Q251" s="130">
        <v>0</v>
      </c>
      <c r="R251" s="130">
        <v>0</v>
      </c>
      <c r="S251" s="130">
        <v>0</v>
      </c>
      <c r="T251" s="130">
        <v>0</v>
      </c>
      <c r="U251" s="130">
        <v>0</v>
      </c>
      <c r="V251" s="524">
        <v>0</v>
      </c>
      <c r="W251" s="130">
        <v>0</v>
      </c>
      <c r="X251" s="130">
        <v>0</v>
      </c>
      <c r="Y251" s="130">
        <v>0</v>
      </c>
      <c r="Z251" s="130">
        <v>0</v>
      </c>
      <c r="AA251" s="158" t="s">
        <v>2078</v>
      </c>
      <c r="AB251" s="158"/>
      <c r="AC251" s="158"/>
      <c r="AD251" s="158"/>
      <c r="AE251" s="158" t="b">
        <f>IF(AB251="",TRUE,IF(IF(AC251="",VLOOKUP(AB251,Calculs!$A$19:$S$425,19,FALSE),VLOOKUP(AC251,Calculs!$A$19:$S$425,19,FALSE))&gt;=AD251,TRUE,FALSE))</f>
        <v>1</v>
      </c>
      <c r="AF251" s="158"/>
      <c r="AG251" s="158"/>
      <c r="AH251" s="158"/>
      <c r="AI251" s="158" t="b">
        <f>IF(AF251="",TRUE,IF(IF(AG251="",VLOOKUP(AF251,Calculs!$A$19:$S$425,19,FALSE),VLOOKUP(AG251,Calculs!$A$19:$S$425,19,FALSE))&gt;=AH251,TRUE,FALSE))</f>
        <v>1</v>
      </c>
      <c r="AJ251" s="158"/>
      <c r="AK251" s="158"/>
      <c r="AL251" s="158"/>
      <c r="AM251" s="158" t="b">
        <f>IF(AJ251="",TRUE,IF(IF(AK251="",VLOOKUP(AJ251,Calculs!$A$19:$S$425,19,FALSE),VLOOKUP(AK251,Calculs!$A$19:$S$425,19,FALSE))&gt;=AL251,TRUE,FALSE))</f>
        <v>1</v>
      </c>
      <c r="AN251" s="158"/>
      <c r="AO251" s="158"/>
      <c r="AP251" s="158"/>
      <c r="AQ251" s="158" t="b">
        <f>IF(AN251="",TRUE,IF(IF(AO251="",VLOOKUP(AN251,Calculs!$A$19:$S$425,19,FALSE),VLOOKUP(AO251,Calculs!$A$19:$S$425,19,FALSE))&gt;=AP251,TRUE,FALSE))</f>
        <v>1</v>
      </c>
      <c r="AR251" s="158"/>
      <c r="AS251" s="158" t="b">
        <f>IF(AR251="",TRUE,IF(VLOOKUP(AR251,Calculs!$A$427:$G$738,7,FALSE)&gt;0,TRUE,FALSE))</f>
        <v>1</v>
      </c>
      <c r="AT251" s="158"/>
      <c r="AU251" s="158" t="b">
        <f>IF(AT251="",TRUE,IF(VLOOKUP(AT251,Calculs!$A$740:$G$912,7,FALSE)&gt;0,TRUE,FALSE))</f>
        <v>1</v>
      </c>
      <c r="AV251" s="158" t="b">
        <f t="shared" si="23"/>
        <v>1</v>
      </c>
      <c r="AW251" s="158" t="s">
        <v>2078</v>
      </c>
      <c r="AX251" s="162" t="s">
        <v>6816</v>
      </c>
      <c r="AY251" s="15">
        <v>108</v>
      </c>
      <c r="AZ251" s="555" t="s">
        <v>2247</v>
      </c>
      <c r="BA251" s="559">
        <f>IF(Verso!$B$10=Voies!$B251,1,0)</f>
        <v>0</v>
      </c>
      <c r="BB251" s="12">
        <f>IF(Verso!$B$11=Voies!$B251,1,0)</f>
        <v>0</v>
      </c>
      <c r="BC251" s="12">
        <f>IF(Verso!$B$12=Voies!$B251,1,0)</f>
        <v>0</v>
      </c>
      <c r="BD251" s="12">
        <f>IF(Verso!$B$13=Voies!$B251,1,0)</f>
        <v>0</v>
      </c>
      <c r="BE251" s="12">
        <f>IF(Verso!$B$14=Voies!$B251,1,0)</f>
        <v>0</v>
      </c>
      <c r="BF251" s="12">
        <f>IF(Verso!$B$15=Voies!$B251,1,0)</f>
        <v>0</v>
      </c>
      <c r="BG251" s="12">
        <f>IF(Verso!$B$16=Voies!$B251,1,0)</f>
        <v>0</v>
      </c>
      <c r="BH251" s="12">
        <f>IF(Verso!$B$17=Voies!$B251,1,0)</f>
        <v>0</v>
      </c>
      <c r="BI251" s="557">
        <f t="shared" si="24"/>
        <v>0</v>
      </c>
      <c r="BJ251" s="196" t="str">
        <f t="shared" si="25"/>
        <v/>
      </c>
      <c r="BK251" s="196" t="str">
        <f t="shared" si="26"/>
        <v/>
      </c>
      <c r="BL251" s="295" t="str">
        <f t="shared" si="27"/>
        <v/>
      </c>
      <c r="BM251" s="91"/>
    </row>
    <row r="252" spans="1:65" s="196" customFormat="1" ht="47.25" customHeight="1" x14ac:dyDescent="0.25">
      <c r="A252" s="162" t="str">
        <f>IF(AND(Réputation&gt;Voies!E252-1,OR(C252=TRUE,Calculs!$I$8&gt;0),Air&gt;Voies!J252-1,Eau&gt;Voies!K252-1,Feu&gt;Voies!L252-1,Terre&gt;Voies!M252-1,Vide&gt;Voies!N252-1,Constitution&gt;Voies!O252-1,Volonté&gt;Voies!P252-1,Force&gt;Voies!Q252-1,Perception&gt;Voies!R252-1,Reflexes&gt;Voies!S252-1,Agilité&gt;Voies!T252-1,Intuition&gt;Voies!U252-1,Intelligence&gt;Voies!V252-1,Souillure&gt;Voies!W252-1,Honneur&gt;X252-1,Statut&gt;Y252-1,Gloire&gt;Z252-1,AV252=TRUE),Voies!B252,"")</f>
        <v/>
      </c>
      <c r="B252" s="162" t="s">
        <v>7127</v>
      </c>
      <c r="C252" s="162" t="b">
        <f>IF(Clan=Voies!D252,TRUE,FALSE)</f>
        <v>0</v>
      </c>
      <c r="D252" s="466" t="s">
        <v>6789</v>
      </c>
      <c r="E252" s="199">
        <v>4</v>
      </c>
      <c r="F252" s="199">
        <v>4</v>
      </c>
      <c r="G252" s="199" t="s">
        <v>2049</v>
      </c>
      <c r="H252" s="462" t="s">
        <v>6963</v>
      </c>
      <c r="I252" s="129" t="str">
        <f t="shared" si="28"/>
        <v>Rien</v>
      </c>
      <c r="J252" s="146">
        <v>0</v>
      </c>
      <c r="K252" s="147">
        <v>0</v>
      </c>
      <c r="L252" s="148">
        <v>0</v>
      </c>
      <c r="M252" s="149">
        <v>0</v>
      </c>
      <c r="N252" s="150">
        <v>0</v>
      </c>
      <c r="O252" s="130">
        <v>0</v>
      </c>
      <c r="P252" s="130">
        <v>0</v>
      </c>
      <c r="Q252" s="130">
        <v>0</v>
      </c>
      <c r="R252" s="130">
        <v>0</v>
      </c>
      <c r="S252" s="130">
        <v>0</v>
      </c>
      <c r="T252" s="130">
        <v>0</v>
      </c>
      <c r="U252" s="130">
        <v>0</v>
      </c>
      <c r="V252" s="524">
        <v>0</v>
      </c>
      <c r="W252" s="130">
        <v>0</v>
      </c>
      <c r="X252" s="130">
        <v>0</v>
      </c>
      <c r="Y252" s="130">
        <v>0</v>
      </c>
      <c r="Z252" s="130">
        <v>0</v>
      </c>
      <c r="AA252" s="158" t="s">
        <v>2078</v>
      </c>
      <c r="AB252" s="158"/>
      <c r="AC252" s="158"/>
      <c r="AD252" s="158"/>
      <c r="AE252" s="158" t="b">
        <f>IF(AB252="",TRUE,IF(IF(AC252="",VLOOKUP(AB252,Calculs!$A$19:$S$425,19,FALSE),VLOOKUP(AC252,Calculs!$A$19:$S$425,19,FALSE))&gt;=AD252,TRUE,FALSE))</f>
        <v>1</v>
      </c>
      <c r="AF252" s="158"/>
      <c r="AG252" s="158"/>
      <c r="AH252" s="158"/>
      <c r="AI252" s="158" t="b">
        <f>IF(AF252="",TRUE,IF(IF(AG252="",VLOOKUP(AF252,Calculs!$A$19:$S$425,19,FALSE),VLOOKUP(AG252,Calculs!$A$19:$S$425,19,FALSE))&gt;=AH252,TRUE,FALSE))</f>
        <v>1</v>
      </c>
      <c r="AJ252" s="158"/>
      <c r="AK252" s="158"/>
      <c r="AL252" s="158"/>
      <c r="AM252" s="158" t="b">
        <f>IF(AJ252="",TRUE,IF(IF(AK252="",VLOOKUP(AJ252,Calculs!$A$19:$S$425,19,FALSE),VLOOKUP(AK252,Calculs!$A$19:$S$425,19,FALSE))&gt;=AL252,TRUE,FALSE))</f>
        <v>1</v>
      </c>
      <c r="AN252" s="158"/>
      <c r="AO252" s="158"/>
      <c r="AP252" s="158"/>
      <c r="AQ252" s="158" t="b">
        <f>IF(AN252="",TRUE,IF(IF(AO252="",VLOOKUP(AN252,Calculs!$A$19:$S$425,19,FALSE),VLOOKUP(AO252,Calculs!$A$19:$S$425,19,FALSE))&gt;=AP252,TRUE,FALSE))</f>
        <v>1</v>
      </c>
      <c r="AR252" s="158"/>
      <c r="AS252" s="158" t="b">
        <f>IF(AR252="",TRUE,IF(VLOOKUP(AR252,Calculs!$A$427:$G$738,7,FALSE)&gt;0,TRUE,FALSE))</f>
        <v>1</v>
      </c>
      <c r="AT252" s="158"/>
      <c r="AU252" s="158" t="b">
        <f>IF(AT252="",TRUE,IF(VLOOKUP(AT252,Calculs!$A$740:$G$912,7,FALSE)&gt;0,TRUE,FALSE))</f>
        <v>1</v>
      </c>
      <c r="AV252" s="158" t="b">
        <f t="shared" si="23"/>
        <v>1</v>
      </c>
      <c r="AW252" s="158" t="s">
        <v>2078</v>
      </c>
      <c r="AX252" s="162" t="s">
        <v>6816</v>
      </c>
      <c r="AY252" s="15">
        <v>108</v>
      </c>
      <c r="AZ252" s="555" t="s">
        <v>7132</v>
      </c>
      <c r="BA252" s="559">
        <f>IF(Verso!$B$10=Voies!$B252,1,0)</f>
        <v>0</v>
      </c>
      <c r="BB252" s="12">
        <f>IF(Verso!$B$11=Voies!$B252,1,0)</f>
        <v>0</v>
      </c>
      <c r="BC252" s="12">
        <f>IF(Verso!$B$12=Voies!$B252,1,0)</f>
        <v>0</v>
      </c>
      <c r="BD252" s="12">
        <f>IF(Verso!$B$13=Voies!$B252,1,0)</f>
        <v>0</v>
      </c>
      <c r="BE252" s="12">
        <f>IF(Verso!$B$14=Voies!$B252,1,0)</f>
        <v>0</v>
      </c>
      <c r="BF252" s="12">
        <f>IF(Verso!$B$15=Voies!$B252,1,0)</f>
        <v>0</v>
      </c>
      <c r="BG252" s="12">
        <f>IF(Verso!$B$16=Voies!$B252,1,0)</f>
        <v>0</v>
      </c>
      <c r="BH252" s="12">
        <f>IF(Verso!$B$17=Voies!$B252,1,0)</f>
        <v>0</v>
      </c>
      <c r="BI252" s="557">
        <f t="shared" si="24"/>
        <v>0</v>
      </c>
      <c r="BJ252" s="196" t="str">
        <f t="shared" si="25"/>
        <v/>
      </c>
      <c r="BK252" s="196" t="str">
        <f t="shared" si="26"/>
        <v/>
      </c>
      <c r="BL252" s="295" t="str">
        <f t="shared" si="27"/>
        <v/>
      </c>
      <c r="BM252" s="91"/>
    </row>
    <row r="253" spans="1:65" s="196" customFormat="1" ht="47.25" customHeight="1" x14ac:dyDescent="0.25">
      <c r="A253" s="162" t="str">
        <f>IF(AND(Réputation&gt;Voies!E253-1,OR(C253=TRUE,Calculs!$I$8&gt;0),Air&gt;Voies!J253-1,Eau&gt;Voies!K253-1,Feu&gt;Voies!L253-1,Terre&gt;Voies!M253-1,Vide&gt;Voies!N253-1,Constitution&gt;Voies!O253-1,Volonté&gt;Voies!P253-1,Force&gt;Voies!Q253-1,Perception&gt;Voies!R253-1,Reflexes&gt;Voies!S253-1,Agilité&gt;Voies!T253-1,Intuition&gt;Voies!U253-1,Intelligence&gt;Voies!V253-1,Souillure&gt;Voies!W253-1,Honneur&gt;X253-1,Statut&gt;Y253-1,Gloire&gt;Z253-1,AV253=TRUE),Voies!B253,"")</f>
        <v/>
      </c>
      <c r="B253" s="162" t="s">
        <v>7128</v>
      </c>
      <c r="C253" s="162" t="b">
        <f>IF(Clan=Voies!D253,TRUE,FALSE)</f>
        <v>0</v>
      </c>
      <c r="D253" s="466" t="s">
        <v>6789</v>
      </c>
      <c r="E253" s="199">
        <v>5</v>
      </c>
      <c r="F253" s="199">
        <v>5</v>
      </c>
      <c r="G253" s="199" t="s">
        <v>2049</v>
      </c>
      <c r="H253" s="462" t="s">
        <v>6963</v>
      </c>
      <c r="I253" s="129" t="str">
        <f t="shared" si="28"/>
        <v>Rien</v>
      </c>
      <c r="J253" s="146">
        <v>0</v>
      </c>
      <c r="K253" s="147">
        <v>0</v>
      </c>
      <c r="L253" s="148">
        <v>0</v>
      </c>
      <c r="M253" s="149">
        <v>0</v>
      </c>
      <c r="N253" s="150">
        <v>0</v>
      </c>
      <c r="O253" s="130">
        <v>0</v>
      </c>
      <c r="P253" s="130">
        <v>0</v>
      </c>
      <c r="Q253" s="130">
        <v>0</v>
      </c>
      <c r="R253" s="130">
        <v>0</v>
      </c>
      <c r="S253" s="130">
        <v>0</v>
      </c>
      <c r="T253" s="130">
        <v>0</v>
      </c>
      <c r="U253" s="130">
        <v>0</v>
      </c>
      <c r="V253" s="524">
        <v>0</v>
      </c>
      <c r="W253" s="130">
        <v>0</v>
      </c>
      <c r="X253" s="130">
        <v>0</v>
      </c>
      <c r="Y253" s="130">
        <v>0</v>
      </c>
      <c r="Z253" s="130">
        <v>0</v>
      </c>
      <c r="AA253" s="158" t="s">
        <v>2078</v>
      </c>
      <c r="AB253" s="158"/>
      <c r="AC253" s="158"/>
      <c r="AD253" s="158"/>
      <c r="AE253" s="158" t="b">
        <f>IF(AB253="",TRUE,IF(IF(AC253="",VLOOKUP(AB253,Calculs!$A$19:$S$425,19,FALSE),VLOOKUP(AC253,Calculs!$A$19:$S$425,19,FALSE))&gt;=AD253,TRUE,FALSE))</f>
        <v>1</v>
      </c>
      <c r="AF253" s="158"/>
      <c r="AG253" s="158"/>
      <c r="AH253" s="158"/>
      <c r="AI253" s="158" t="b">
        <f>IF(AF253="",TRUE,IF(IF(AG253="",VLOOKUP(AF253,Calculs!$A$19:$S$425,19,FALSE),VLOOKUP(AG253,Calculs!$A$19:$S$425,19,FALSE))&gt;=AH253,TRUE,FALSE))</f>
        <v>1</v>
      </c>
      <c r="AJ253" s="158"/>
      <c r="AK253" s="158"/>
      <c r="AL253" s="158"/>
      <c r="AM253" s="158" t="b">
        <f>IF(AJ253="",TRUE,IF(IF(AK253="",VLOOKUP(AJ253,Calculs!$A$19:$S$425,19,FALSE),VLOOKUP(AK253,Calculs!$A$19:$S$425,19,FALSE))&gt;=AL253,TRUE,FALSE))</f>
        <v>1</v>
      </c>
      <c r="AN253" s="158"/>
      <c r="AO253" s="158"/>
      <c r="AP253" s="158"/>
      <c r="AQ253" s="158" t="b">
        <f>IF(AN253="",TRUE,IF(IF(AO253="",VLOOKUP(AN253,Calculs!$A$19:$S$425,19,FALSE),VLOOKUP(AO253,Calculs!$A$19:$S$425,19,FALSE))&gt;=AP253,TRUE,FALSE))</f>
        <v>1</v>
      </c>
      <c r="AR253" s="158"/>
      <c r="AS253" s="158" t="b">
        <f>IF(AR253="",TRUE,IF(VLOOKUP(AR253,Calculs!$A$427:$G$738,7,FALSE)&gt;0,TRUE,FALSE))</f>
        <v>1</v>
      </c>
      <c r="AT253" s="158"/>
      <c r="AU253" s="158" t="b">
        <f>IF(AT253="",TRUE,IF(VLOOKUP(AT253,Calculs!$A$740:$G$912,7,FALSE)&gt;0,TRUE,FALSE))</f>
        <v>1</v>
      </c>
      <c r="AV253" s="158" t="b">
        <f t="shared" si="23"/>
        <v>1</v>
      </c>
      <c r="AW253" s="158" t="s">
        <v>2078</v>
      </c>
      <c r="AX253" s="162" t="s">
        <v>6816</v>
      </c>
      <c r="AY253" s="15">
        <v>108</v>
      </c>
      <c r="AZ253" s="555" t="s">
        <v>7133</v>
      </c>
      <c r="BA253" s="559">
        <f>IF(Verso!$B$10=Voies!$B253,1,0)</f>
        <v>0</v>
      </c>
      <c r="BB253" s="12">
        <f>IF(Verso!$B$11=Voies!$B253,1,0)</f>
        <v>0</v>
      </c>
      <c r="BC253" s="12">
        <f>IF(Verso!$B$12=Voies!$B253,1,0)</f>
        <v>0</v>
      </c>
      <c r="BD253" s="12">
        <f>IF(Verso!$B$13=Voies!$B253,1,0)</f>
        <v>0</v>
      </c>
      <c r="BE253" s="12">
        <f>IF(Verso!$B$14=Voies!$B253,1,0)</f>
        <v>0</v>
      </c>
      <c r="BF253" s="12">
        <f>IF(Verso!$B$15=Voies!$B253,1,0)</f>
        <v>0</v>
      </c>
      <c r="BG253" s="12">
        <f>IF(Verso!$B$16=Voies!$B253,1,0)</f>
        <v>0</v>
      </c>
      <c r="BH253" s="12">
        <f>IF(Verso!$B$17=Voies!$B253,1,0)</f>
        <v>0</v>
      </c>
      <c r="BI253" s="557">
        <f t="shared" si="24"/>
        <v>0</v>
      </c>
      <c r="BJ253" s="196" t="str">
        <f t="shared" si="25"/>
        <v/>
      </c>
      <c r="BK253" s="196" t="str">
        <f t="shared" si="26"/>
        <v/>
      </c>
      <c r="BL253" s="295" t="str">
        <f t="shared" si="27"/>
        <v/>
      </c>
      <c r="BM253" s="91"/>
    </row>
    <row r="254" spans="1:65" ht="47.25" customHeight="1" x14ac:dyDescent="0.25">
      <c r="A254" s="162" t="str">
        <f>IF(AND(Réputation&gt;Voies!E254-1,OR(C254=TRUE,Calculs!$I$8&gt;0),Air&gt;Voies!J254-1,Eau&gt;Voies!K254-1,Feu&gt;Voies!L254-1,Terre&gt;Voies!M254-1,Vide&gt;Voies!N254-1,Constitution&gt;Voies!O254-1,Volonté&gt;Voies!P254-1,Force&gt;Voies!Q254-1,Perception&gt;Voies!R254-1,Reflexes&gt;Voies!S254-1,Agilité&gt;Voies!T254-1,Intuition&gt;Voies!U254-1,Intelligence&gt;Voies!V254-1,Souillure&gt;Voies!W254-1,Honneur&gt;X254-1,Statut&gt;Y254-1,Gloire&gt;Z254-1,AV254=TRUE),Voies!B254,"")</f>
        <v/>
      </c>
      <c r="B254" s="162" t="s">
        <v>2583</v>
      </c>
      <c r="C254" s="162" t="b">
        <f>IF(Clan=Voies!D254,TRUE,FALSE)</f>
        <v>0</v>
      </c>
      <c r="D254" s="387" t="s">
        <v>15</v>
      </c>
      <c r="E254" s="13">
        <v>0</v>
      </c>
      <c r="F254" s="199">
        <v>0</v>
      </c>
      <c r="G254" s="199" t="s">
        <v>2049</v>
      </c>
      <c r="H254" s="162" t="s">
        <v>2578</v>
      </c>
      <c r="I254" s="129" t="str">
        <f t="shared" si="28"/>
        <v>Rien</v>
      </c>
      <c r="J254" s="146">
        <v>0</v>
      </c>
      <c r="K254" s="147">
        <v>0</v>
      </c>
      <c r="L254" s="148">
        <v>4</v>
      </c>
      <c r="M254" s="149">
        <v>0</v>
      </c>
      <c r="N254" s="150">
        <v>4</v>
      </c>
      <c r="O254" s="130">
        <v>0</v>
      </c>
      <c r="P254" s="130">
        <v>0</v>
      </c>
      <c r="Q254" s="130">
        <v>0</v>
      </c>
      <c r="R254" s="130">
        <v>0</v>
      </c>
      <c r="S254" s="130">
        <v>0</v>
      </c>
      <c r="T254" s="130">
        <v>0</v>
      </c>
      <c r="U254" s="130">
        <v>0</v>
      </c>
      <c r="V254" s="524">
        <v>0</v>
      </c>
      <c r="W254" s="130">
        <v>0</v>
      </c>
      <c r="X254" s="130">
        <v>0</v>
      </c>
      <c r="Y254" s="130">
        <v>0</v>
      </c>
      <c r="Z254" s="130">
        <v>0</v>
      </c>
      <c r="AA254" s="159" t="s">
        <v>6364</v>
      </c>
      <c r="AB254" s="159" t="s">
        <v>1221</v>
      </c>
      <c r="AD254" s="159">
        <v>5</v>
      </c>
      <c r="AE254" s="158" t="b">
        <f>IF(AB254="",TRUE,IF(IF(AC254="",VLOOKUP(AB254,Calculs!$A$19:$S$425,19,FALSE),VLOOKUP(AC254,Calculs!$A$19:$S$425,19,FALSE))&gt;=AD254,TRUE,FALSE))</f>
        <v>0</v>
      </c>
      <c r="AF254" s="159" t="s">
        <v>3325</v>
      </c>
      <c r="AG254" s="159" t="s">
        <v>3214</v>
      </c>
      <c r="AH254" s="159">
        <v>4</v>
      </c>
      <c r="AI254" s="158" t="b">
        <f>IF(AF254="",TRUE,IF(IF(AG254="",VLOOKUP(AF254,Calculs!$A$19:$S$425,19,FALSE),VLOOKUP(AG254,Calculs!$A$19:$S$425,19,FALSE))&gt;=AH254,TRUE,FALSE))</f>
        <v>0</v>
      </c>
      <c r="AJ254" s="159" t="s">
        <v>351</v>
      </c>
      <c r="AL254" s="159">
        <v>5</v>
      </c>
      <c r="AM254" s="158" t="b">
        <f>IF(AJ254="",TRUE,IF(IF(AK254="",VLOOKUP(AJ254,Calculs!$A$19:$S$425,19,FALSE),VLOOKUP(AK254,Calculs!$A$19:$S$425,19,FALSE))&gt;=AL254,TRUE,FALSE))</f>
        <v>0</v>
      </c>
      <c r="AQ254" s="158" t="b">
        <f>IF(AN254="",TRUE,IF(IF(AO254="",VLOOKUP(AN254,Calculs!$A$19:$S$425,19,FALSE),VLOOKUP(AO254,Calculs!$A$19:$S$425,19,FALSE))&gt;=AP254,TRUE,FALSE))</f>
        <v>1</v>
      </c>
      <c r="AR254" s="158"/>
      <c r="AS254" s="158" t="b">
        <f>IF(AR254="",TRUE,IF(VLOOKUP(AR254,Calculs!$A$427:$G$738,7,FALSE)&gt;0,TRUE,FALSE))</f>
        <v>1</v>
      </c>
      <c r="AT254" s="158"/>
      <c r="AU254" s="158" t="b">
        <f>IF(AT254="",TRUE,IF(VLOOKUP(AT254,Calculs!$A$740:$G$912,7,FALSE)&gt;0,TRUE,FALSE))</f>
        <v>1</v>
      </c>
      <c r="AV254" s="158" t="b">
        <f t="shared" si="23"/>
        <v>0</v>
      </c>
      <c r="AW254" s="158" t="s">
        <v>2078</v>
      </c>
      <c r="AX254" s="162" t="s">
        <v>3</v>
      </c>
      <c r="AY254" s="15">
        <v>247</v>
      </c>
      <c r="AZ254" s="555" t="s">
        <v>2648</v>
      </c>
      <c r="BA254" s="559">
        <f>IF(Verso!$B$10=Voies!$B254,1,0)</f>
        <v>0</v>
      </c>
      <c r="BB254" s="12">
        <f>IF(Verso!$B$11=Voies!$B254,1,0)</f>
        <v>0</v>
      </c>
      <c r="BC254" s="12">
        <f>IF(Verso!$B$12=Voies!$B254,1,0)</f>
        <v>0</v>
      </c>
      <c r="BD254" s="12">
        <f>IF(Verso!$B$13=Voies!$B254,1,0)</f>
        <v>0</v>
      </c>
      <c r="BE254" s="12">
        <f>IF(Verso!$B$14=Voies!$B254,1,0)</f>
        <v>0</v>
      </c>
      <c r="BF254" s="12">
        <f>IF(Verso!$B$15=Voies!$B254,1,0)</f>
        <v>0</v>
      </c>
      <c r="BG254" s="12">
        <f>IF(Verso!$B$16=Voies!$B254,1,0)</f>
        <v>0</v>
      </c>
      <c r="BH254" s="12">
        <f>IF(Verso!$B$17=Voies!$B254,1,0)</f>
        <v>0</v>
      </c>
      <c r="BI254" s="557">
        <f t="shared" si="24"/>
        <v>0</v>
      </c>
      <c r="BJ254" s="196" t="str">
        <f t="shared" si="25"/>
        <v/>
      </c>
      <c r="BK254" s="196" t="str">
        <f t="shared" si="26"/>
        <v/>
      </c>
      <c r="BL254" s="295" t="str">
        <f t="shared" si="27"/>
        <v/>
      </c>
    </row>
    <row r="255" spans="1:65" ht="47.25" customHeight="1" x14ac:dyDescent="0.25">
      <c r="A255" s="162" t="str">
        <f>IF(AND(Réputation&gt;Voies!E255-1,OR(C255=TRUE,Calculs!$I$8&gt;0),Air&gt;Voies!J255-1,Eau&gt;Voies!K255-1,Feu&gt;Voies!L255-1,Terre&gt;Voies!M255-1,Vide&gt;Voies!N255-1,Constitution&gt;Voies!O255-1,Volonté&gt;Voies!P255-1,Force&gt;Voies!Q255-1,Perception&gt;Voies!R255-1,Reflexes&gt;Voies!S255-1,Agilité&gt;Voies!T255-1,Intuition&gt;Voies!U255-1,Intelligence&gt;Voies!V255-1,Souillure&gt;Voies!W255-1,Honneur&gt;X255-1,Statut&gt;Y255-1,Gloire&gt;Z255-1,AV255=TRUE),Voies!B255,"")</f>
        <v/>
      </c>
      <c r="B255" s="162" t="s">
        <v>6043</v>
      </c>
      <c r="C255" s="162" t="b">
        <f>IF(Clan=Voies!D255,TRUE,FALSE)</f>
        <v>0</v>
      </c>
      <c r="D255" s="387" t="s">
        <v>15</v>
      </c>
      <c r="E255" s="13">
        <v>0</v>
      </c>
      <c r="F255" s="199">
        <v>0</v>
      </c>
      <c r="G255" s="199" t="s">
        <v>2049</v>
      </c>
      <c r="H255" s="162" t="s">
        <v>420</v>
      </c>
      <c r="I255" s="129" t="str">
        <f t="shared" si="28"/>
        <v>Rien</v>
      </c>
      <c r="J255" s="146">
        <v>5</v>
      </c>
      <c r="K255" s="147">
        <v>0</v>
      </c>
      <c r="L255" s="148">
        <v>0</v>
      </c>
      <c r="M255" s="149">
        <v>4</v>
      </c>
      <c r="N255" s="150">
        <v>5</v>
      </c>
      <c r="O255" s="130">
        <v>0</v>
      </c>
      <c r="P255" s="130">
        <v>0</v>
      </c>
      <c r="Q255" s="130">
        <v>0</v>
      </c>
      <c r="R255" s="130">
        <v>0</v>
      </c>
      <c r="S255" s="130">
        <v>0</v>
      </c>
      <c r="T255" s="130">
        <v>0</v>
      </c>
      <c r="U255" s="130">
        <v>0</v>
      </c>
      <c r="V255" s="524">
        <v>0</v>
      </c>
      <c r="W255" s="130">
        <v>0</v>
      </c>
      <c r="X255" s="130">
        <v>0</v>
      </c>
      <c r="Y255" s="130">
        <v>0</v>
      </c>
      <c r="Z255" s="130">
        <v>0</v>
      </c>
      <c r="AA255" s="159" t="s">
        <v>2814</v>
      </c>
      <c r="AB255" s="159" t="s">
        <v>351</v>
      </c>
      <c r="AD255" s="159">
        <v>5</v>
      </c>
      <c r="AE255" s="158" t="b">
        <f>IF(AB255="",TRUE,IF(IF(AC255="",VLOOKUP(AB255,Calculs!$A$19:$S$425,19,FALSE),VLOOKUP(AC255,Calculs!$A$19:$S$425,19,FALSE))&gt;=AD255,TRUE,FALSE))</f>
        <v>0</v>
      </c>
      <c r="AF255" s="159" t="s">
        <v>1265</v>
      </c>
      <c r="AH255" s="159">
        <v>6</v>
      </c>
      <c r="AI255" s="158" t="b">
        <f>IF(AF255="",TRUE,IF(IF(AG255="",VLOOKUP(AF255,Calculs!$A$19:$S$425,19,FALSE),VLOOKUP(AG255,Calculs!$A$19:$S$425,19,FALSE))&gt;=AH255,TRUE,FALSE))</f>
        <v>0</v>
      </c>
      <c r="AM255" s="158" t="b">
        <f>IF(AJ255="",TRUE,IF(IF(AK255="",VLOOKUP(AJ255,Calculs!$A$19:$S$425,19,FALSE),VLOOKUP(AK255,Calculs!$A$19:$S$425,19,FALSE))&gt;=AL255,TRUE,FALSE))</f>
        <v>1</v>
      </c>
      <c r="AQ255" s="158" t="b">
        <f>IF(AN255="",TRUE,IF(IF(AO255="",VLOOKUP(AN255,Calculs!$A$19:$S$425,19,FALSE),VLOOKUP(AO255,Calculs!$A$19:$S$425,19,FALSE))&gt;=AP255,TRUE,FALSE))</f>
        <v>1</v>
      </c>
      <c r="AR255" s="158"/>
      <c r="AS255" s="158" t="b">
        <f>IF(AR255="",TRUE,IF(VLOOKUP(AR255,Calculs!$A$427:$G$738,7,FALSE)&gt;0,TRUE,FALSE))</f>
        <v>1</v>
      </c>
      <c r="AT255" s="158"/>
      <c r="AU255" s="158" t="b">
        <f>IF(OR(Calculs!G799&lt;&gt;0,Calculs!G878&lt;&gt;0),TRUE,FALSE)</f>
        <v>0</v>
      </c>
      <c r="AV255" s="158" t="b">
        <f t="shared" si="23"/>
        <v>0</v>
      </c>
      <c r="AW255" s="158" t="s">
        <v>3413</v>
      </c>
      <c r="AX255" s="162" t="s">
        <v>6061</v>
      </c>
      <c r="AY255" s="15">
        <v>69</v>
      </c>
      <c r="AZ255" s="555" t="s">
        <v>2816</v>
      </c>
      <c r="BA255" s="559">
        <f>IF(Verso!$B$10=Voies!$B255,1,0)</f>
        <v>0</v>
      </c>
      <c r="BB255" s="12">
        <f>IF(Verso!$B$11=Voies!$B255,1,0)</f>
        <v>0</v>
      </c>
      <c r="BC255" s="12">
        <f>IF(Verso!$B$12=Voies!$B255,1,0)</f>
        <v>0</v>
      </c>
      <c r="BD255" s="12">
        <f>IF(Verso!$B$13=Voies!$B255,1,0)</f>
        <v>0</v>
      </c>
      <c r="BE255" s="12">
        <f>IF(Verso!$B$14=Voies!$B255,1,0)</f>
        <v>0</v>
      </c>
      <c r="BF255" s="12">
        <f>IF(Verso!$B$15=Voies!$B255,1,0)</f>
        <v>0</v>
      </c>
      <c r="BG255" s="12">
        <f>IF(Verso!$B$16=Voies!$B255,1,0)</f>
        <v>0</v>
      </c>
      <c r="BH255" s="12">
        <f>IF(Verso!$B$17=Voies!$B255,1,0)</f>
        <v>0</v>
      </c>
      <c r="BI255" s="557">
        <f t="shared" si="24"/>
        <v>0</v>
      </c>
      <c r="BJ255" s="196" t="str">
        <f t="shared" si="25"/>
        <v/>
      </c>
      <c r="BK255" s="196" t="str">
        <f t="shared" si="26"/>
        <v/>
      </c>
      <c r="BL255" s="295" t="str">
        <f t="shared" si="27"/>
        <v/>
      </c>
    </row>
    <row r="256" spans="1:65" ht="47.25" customHeight="1" x14ac:dyDescent="0.25">
      <c r="A256" s="162" t="str">
        <f>IF(AND(Réputation&gt;Voies!E256-1,OR(C256=TRUE,Calculs!$I$8&gt;0),Air&gt;Voies!J256-1,Eau&gt;Voies!K256-1,Feu&gt;Voies!L256-1,Terre&gt;Voies!M256-1,Vide&gt;Voies!N256-1,Constitution&gt;Voies!O256-1,Volonté&gt;Voies!P256-1,Force&gt;Voies!Q256-1,Perception&gt;Voies!R256-1,Reflexes&gt;Voies!S256-1,Agilité&gt;Voies!T256-1,Intuition&gt;Voies!U256-1,Intelligence&gt;Voies!V256-1,Souillure&gt;Voies!W256-1,Honneur&gt;X256-1,Statut&gt;Y256-1,Gloire&gt;Z256-1,AV256=TRUE),Voies!B256,"")</f>
        <v/>
      </c>
      <c r="B256" s="162" t="s">
        <v>2584</v>
      </c>
      <c r="C256" s="162" t="b">
        <f>IF(Clan=Voies!D256,TRUE,FALSE)</f>
        <v>0</v>
      </c>
      <c r="D256" s="387" t="s">
        <v>15</v>
      </c>
      <c r="E256" s="13">
        <v>0</v>
      </c>
      <c r="F256" s="199">
        <v>0</v>
      </c>
      <c r="G256" s="199" t="s">
        <v>2049</v>
      </c>
      <c r="H256" s="162" t="s">
        <v>2578</v>
      </c>
      <c r="I256" s="129" t="str">
        <f t="shared" si="28"/>
        <v>Rien</v>
      </c>
      <c r="J256" s="146">
        <v>0</v>
      </c>
      <c r="K256" s="147">
        <v>0</v>
      </c>
      <c r="L256" s="148">
        <v>4</v>
      </c>
      <c r="M256" s="149">
        <v>0</v>
      </c>
      <c r="N256" s="150">
        <v>4</v>
      </c>
      <c r="O256" s="130">
        <v>0</v>
      </c>
      <c r="P256" s="130">
        <v>0</v>
      </c>
      <c r="Q256" s="130">
        <v>0</v>
      </c>
      <c r="R256" s="130">
        <v>0</v>
      </c>
      <c r="S256" s="130">
        <v>0</v>
      </c>
      <c r="T256" s="130">
        <v>0</v>
      </c>
      <c r="U256" s="130">
        <v>0</v>
      </c>
      <c r="V256" s="524">
        <v>0</v>
      </c>
      <c r="W256" s="130">
        <v>0</v>
      </c>
      <c r="X256" s="130">
        <v>0</v>
      </c>
      <c r="Y256" s="130">
        <v>0</v>
      </c>
      <c r="Z256" s="130">
        <v>0</v>
      </c>
      <c r="AA256" s="159" t="s">
        <v>6337</v>
      </c>
      <c r="AB256" s="159" t="s">
        <v>1221</v>
      </c>
      <c r="AD256" s="159">
        <v>5</v>
      </c>
      <c r="AE256" s="158" t="b">
        <f>IF(AB256="",TRUE,IF(IF(AC256="",VLOOKUP(AB256,Calculs!$A$19:$S$425,19,FALSE),VLOOKUP(AC256,Calculs!$A$19:$S$425,19,FALSE))&gt;=AD256,TRUE,FALSE))</f>
        <v>0</v>
      </c>
      <c r="AF256" s="159" t="s">
        <v>3325</v>
      </c>
      <c r="AG256" s="159" t="s">
        <v>3214</v>
      </c>
      <c r="AH256" s="159">
        <v>4</v>
      </c>
      <c r="AI256" s="158" t="b">
        <f>IF(AF256="",TRUE,IF(IF(AG256="",VLOOKUP(AF256,Calculs!$A$19:$S$425,19,FALSE),VLOOKUP(AG256,Calculs!$A$19:$S$425,19,FALSE))&gt;=AH256,TRUE,FALSE))</f>
        <v>0</v>
      </c>
      <c r="AJ256" s="159" t="s">
        <v>351</v>
      </c>
      <c r="AL256" s="159">
        <v>5</v>
      </c>
      <c r="AM256" s="158" t="b">
        <f>IF(AJ256="",TRUE,IF(IF(AK256="",VLOOKUP(AJ256,Calculs!$A$19:$S$425,19,FALSE),VLOOKUP(AK256,Calculs!$A$19:$S$425,19,FALSE))&gt;=AL256,TRUE,FALSE))</f>
        <v>0</v>
      </c>
      <c r="AQ256" s="158" t="b">
        <f>IF(AN256="",TRUE,IF(IF(AO256="",VLOOKUP(AN256,Calculs!$A$19:$S$425,19,FALSE),VLOOKUP(AO256,Calculs!$A$19:$S$425,19,FALSE))&gt;=AP256,TRUE,FALSE))</f>
        <v>1</v>
      </c>
      <c r="AR256" s="158"/>
      <c r="AS256" s="158" t="b">
        <f>IF(AR256="",TRUE,IF(VLOOKUP(AR256,Calculs!$A$427:$G$738,7,FALSE)&gt;0,TRUE,FALSE))</f>
        <v>1</v>
      </c>
      <c r="AT256" s="158"/>
      <c r="AU256" s="158" t="b">
        <f>IF(AT256="",TRUE,IF(VLOOKUP(AT256,Calculs!$A$740:$G$912,7,FALSE)&gt;0,TRUE,FALSE))</f>
        <v>1</v>
      </c>
      <c r="AV256" s="158" t="b">
        <f t="shared" si="23"/>
        <v>0</v>
      </c>
      <c r="AW256" s="158" t="s">
        <v>2078</v>
      </c>
      <c r="AX256" s="162" t="s">
        <v>3</v>
      </c>
      <c r="AY256" s="15">
        <v>247</v>
      </c>
      <c r="AZ256" s="566" t="s">
        <v>2649</v>
      </c>
      <c r="BA256" s="559">
        <f>IF(Verso!$B$10=Voies!$B256,1,0)</f>
        <v>0</v>
      </c>
      <c r="BB256" s="12">
        <f>IF(Verso!$B$11=Voies!$B256,1,0)</f>
        <v>0</v>
      </c>
      <c r="BC256" s="12">
        <f>IF(Verso!$B$12=Voies!$B256,1,0)</f>
        <v>0</v>
      </c>
      <c r="BD256" s="12">
        <f>IF(Verso!$B$13=Voies!$B256,1,0)</f>
        <v>0</v>
      </c>
      <c r="BE256" s="12">
        <f>IF(Verso!$B$14=Voies!$B256,1,0)</f>
        <v>0</v>
      </c>
      <c r="BF256" s="12">
        <f>IF(Verso!$B$15=Voies!$B256,1,0)</f>
        <v>0</v>
      </c>
      <c r="BG256" s="12">
        <f>IF(Verso!$B$16=Voies!$B256,1,0)</f>
        <v>0</v>
      </c>
      <c r="BH256" s="12">
        <f>IF(Verso!$B$17=Voies!$B256,1,0)</f>
        <v>0</v>
      </c>
      <c r="BI256" s="557">
        <f t="shared" si="24"/>
        <v>0</v>
      </c>
      <c r="BJ256" s="196" t="str">
        <f t="shared" si="25"/>
        <v/>
      </c>
      <c r="BK256" s="196" t="str">
        <f t="shared" si="26"/>
        <v/>
      </c>
      <c r="BL256" s="295" t="str">
        <f t="shared" si="27"/>
        <v/>
      </c>
    </row>
    <row r="257" spans="1:65" ht="47.25" customHeight="1" x14ac:dyDescent="0.25">
      <c r="A257" s="162" t="str">
        <f>IF(AND(Réputation&gt;Voies!E257-1,OR(C257=TRUE,Calculs!$I$8&gt;0),Air&gt;Voies!J257-1,Eau&gt;Voies!K257-1,Feu&gt;Voies!L257-1,Terre&gt;Voies!M257-1,Vide&gt;Voies!N257-1,Constitution&gt;Voies!O257-1,Volonté&gt;Voies!P257-1,Force&gt;Voies!Q257-1,Perception&gt;Voies!R257-1,Reflexes&gt;Voies!S257-1,Agilité&gt;Voies!T257-1,Intuition&gt;Voies!U257-1,Intelligence&gt;Voies!V257-1,Souillure&gt;Voies!W257-1,Honneur&gt;X257-1,Statut&gt;Y257-1,Gloire&gt;Z257-1,AV257=TRUE),Voies!B257,"")</f>
        <v/>
      </c>
      <c r="B257" s="162" t="s">
        <v>2585</v>
      </c>
      <c r="C257" s="162" t="b">
        <f>IF(Clan=Voies!D257,TRUE,FALSE)</f>
        <v>0</v>
      </c>
      <c r="D257" s="387" t="s">
        <v>15</v>
      </c>
      <c r="E257" s="13">
        <v>0</v>
      </c>
      <c r="F257" s="199">
        <v>0</v>
      </c>
      <c r="G257" s="13" t="s">
        <v>2049</v>
      </c>
      <c r="H257" s="162" t="s">
        <v>2578</v>
      </c>
      <c r="I257" s="129" t="str">
        <f t="shared" si="28"/>
        <v>Rien</v>
      </c>
      <c r="J257" s="146">
        <v>0</v>
      </c>
      <c r="K257" s="147">
        <v>0</v>
      </c>
      <c r="L257" s="148">
        <v>4</v>
      </c>
      <c r="M257" s="149">
        <v>0</v>
      </c>
      <c r="N257" s="150">
        <v>4</v>
      </c>
      <c r="O257" s="130">
        <v>0</v>
      </c>
      <c r="P257" s="130">
        <v>0</v>
      </c>
      <c r="Q257" s="130">
        <v>0</v>
      </c>
      <c r="R257" s="130">
        <v>0</v>
      </c>
      <c r="S257" s="130">
        <v>0</v>
      </c>
      <c r="T257" s="130">
        <v>0</v>
      </c>
      <c r="U257" s="130">
        <v>0</v>
      </c>
      <c r="V257" s="524">
        <v>0</v>
      </c>
      <c r="W257" s="130">
        <v>0</v>
      </c>
      <c r="X257" s="130">
        <v>0</v>
      </c>
      <c r="Y257" s="130">
        <v>0</v>
      </c>
      <c r="Z257" s="130">
        <v>0</v>
      </c>
      <c r="AA257" s="159" t="s">
        <v>6337</v>
      </c>
      <c r="AB257" s="159" t="s">
        <v>1221</v>
      </c>
      <c r="AD257" s="159">
        <v>5</v>
      </c>
      <c r="AE257" s="158" t="b">
        <f>IF(AB257="",TRUE,IF(IF(AC257="",VLOOKUP(AB257,Calculs!$A$19:$S$425,19,FALSE),VLOOKUP(AC257,Calculs!$A$19:$S$425,19,FALSE))&gt;=AD257,TRUE,FALSE))</f>
        <v>0</v>
      </c>
      <c r="AF257" s="159" t="s">
        <v>3325</v>
      </c>
      <c r="AG257" s="159" t="s">
        <v>3214</v>
      </c>
      <c r="AH257" s="159">
        <v>4</v>
      </c>
      <c r="AI257" s="158" t="b">
        <f>IF(AF257="",TRUE,IF(IF(AG257="",VLOOKUP(AF257,Calculs!$A$19:$S$425,19,FALSE),VLOOKUP(AG257,Calculs!$A$19:$S$425,19,FALSE))&gt;=AH257,TRUE,FALSE))</f>
        <v>0</v>
      </c>
      <c r="AJ257" s="159" t="s">
        <v>351</v>
      </c>
      <c r="AL257" s="159">
        <v>5</v>
      </c>
      <c r="AM257" s="158" t="b">
        <f>IF(AJ257="",TRUE,IF(IF(AK257="",VLOOKUP(AJ257,Calculs!$A$19:$S$425,19,FALSE),VLOOKUP(AK257,Calculs!$A$19:$S$425,19,FALSE))&gt;=AL257,TRUE,FALSE))</f>
        <v>0</v>
      </c>
      <c r="AQ257" s="158" t="b">
        <f>IF(AN257="",TRUE,IF(IF(AO257="",VLOOKUP(AN257,Calculs!$A$19:$S$425,19,FALSE),VLOOKUP(AO257,Calculs!$A$19:$S$425,19,FALSE))&gt;=AP257,TRUE,FALSE))</f>
        <v>1</v>
      </c>
      <c r="AR257" s="158"/>
      <c r="AS257" s="158" t="b">
        <f>IF(AR257="",TRUE,IF(VLOOKUP(AR257,Calculs!$A$427:$G$738,7,FALSE)&gt;0,TRUE,FALSE))</f>
        <v>1</v>
      </c>
      <c r="AT257" s="158"/>
      <c r="AU257" s="158" t="b">
        <f>IF(AT257="",TRUE,IF(VLOOKUP(AT257,Calculs!$A$740:$G$912,7,FALSE)&gt;0,TRUE,FALSE))</f>
        <v>1</v>
      </c>
      <c r="AV257" s="158" t="b">
        <f t="shared" si="23"/>
        <v>0</v>
      </c>
      <c r="AW257" s="158" t="s">
        <v>2078</v>
      </c>
      <c r="AX257" s="162" t="s">
        <v>3</v>
      </c>
      <c r="AY257" s="15">
        <v>247</v>
      </c>
      <c r="AZ257" s="555" t="s">
        <v>2650</v>
      </c>
      <c r="BA257" s="559">
        <f>IF(Verso!$B$10=Voies!$B257,1,0)</f>
        <v>0</v>
      </c>
      <c r="BB257" s="12">
        <f>IF(Verso!$B$11=Voies!$B257,1,0)</f>
        <v>0</v>
      </c>
      <c r="BC257" s="12">
        <f>IF(Verso!$B$12=Voies!$B257,1,0)</f>
        <v>0</v>
      </c>
      <c r="BD257" s="12">
        <f>IF(Verso!$B$13=Voies!$B257,1,0)</f>
        <v>0</v>
      </c>
      <c r="BE257" s="12">
        <f>IF(Verso!$B$14=Voies!$B257,1,0)</f>
        <v>0</v>
      </c>
      <c r="BF257" s="12">
        <f>IF(Verso!$B$15=Voies!$B257,1,0)</f>
        <v>0</v>
      </c>
      <c r="BG257" s="12">
        <f>IF(Verso!$B$16=Voies!$B257,1,0)</f>
        <v>0</v>
      </c>
      <c r="BH257" s="12">
        <f>IF(Verso!$B$17=Voies!$B257,1,0)</f>
        <v>0</v>
      </c>
      <c r="BI257" s="557">
        <f t="shared" si="24"/>
        <v>0</v>
      </c>
      <c r="BJ257" s="196" t="str">
        <f t="shared" si="25"/>
        <v/>
      </c>
      <c r="BK257" s="196" t="str">
        <f t="shared" si="26"/>
        <v/>
      </c>
      <c r="BL257" s="295" t="str">
        <f t="shared" si="27"/>
        <v/>
      </c>
    </row>
    <row r="258" spans="1:65" s="196" customFormat="1" ht="47.25" customHeight="1" x14ac:dyDescent="0.25">
      <c r="A258" s="162" t="str">
        <f>IF(AND(Réputation&gt;Voies!E258-1,OR(C258=TRUE,Calculs!$I$8&gt;0),Air&gt;Voies!J258-1,Eau&gt;Voies!K258-1,Feu&gt;Voies!L258-1,Terre&gt;Voies!M258-1,Vide&gt;Voies!N258-1,Constitution&gt;Voies!O258-1,Volonté&gt;Voies!P258-1,Force&gt;Voies!Q258-1,Perception&gt;Voies!R258-1,Reflexes&gt;Voies!S258-1,Agilité&gt;Voies!T258-1,Intuition&gt;Voies!U258-1,Intelligence&gt;Voies!V258-1,Souillure&gt;Voies!W258-1,Honneur&gt;X258-1,Statut&gt;Y258-1,Gloire&gt;Z258-1,AV258=TRUE),Voies!B258,"")</f>
        <v/>
      </c>
      <c r="B258" s="162" t="s">
        <v>5838</v>
      </c>
      <c r="C258" s="162" t="b">
        <f>IF(Clan=Voies!D258,TRUE,FALSE)</f>
        <v>0</v>
      </c>
      <c r="D258" s="387" t="s">
        <v>15</v>
      </c>
      <c r="E258" s="199">
        <v>0</v>
      </c>
      <c r="F258" s="199">
        <v>0</v>
      </c>
      <c r="G258" s="199" t="s">
        <v>2052</v>
      </c>
      <c r="H258" s="162" t="s">
        <v>4775</v>
      </c>
      <c r="I258" s="129" t="s">
        <v>3370</v>
      </c>
      <c r="J258" s="146">
        <v>0</v>
      </c>
      <c r="K258" s="147">
        <v>0</v>
      </c>
      <c r="L258" s="148">
        <v>0</v>
      </c>
      <c r="M258" s="149">
        <v>0</v>
      </c>
      <c r="N258" s="150">
        <v>0</v>
      </c>
      <c r="O258" s="130">
        <v>0</v>
      </c>
      <c r="P258" s="130">
        <v>0</v>
      </c>
      <c r="Q258" s="130">
        <v>0</v>
      </c>
      <c r="R258" s="130">
        <v>0</v>
      </c>
      <c r="S258" s="130">
        <v>0</v>
      </c>
      <c r="T258" s="130">
        <v>0</v>
      </c>
      <c r="U258" s="130">
        <v>0</v>
      </c>
      <c r="V258" s="524">
        <v>0</v>
      </c>
      <c r="W258" s="130">
        <v>0</v>
      </c>
      <c r="X258" s="130">
        <v>0</v>
      </c>
      <c r="Y258" s="130">
        <v>0</v>
      </c>
      <c r="Z258" s="130">
        <v>0</v>
      </c>
      <c r="AA258" s="158" t="s">
        <v>2078</v>
      </c>
      <c r="AB258" s="158"/>
      <c r="AC258" s="158"/>
      <c r="AD258" s="158"/>
      <c r="AE258" s="158" t="b">
        <f>IF(AB258="",TRUE,IF(IF(AC258="",VLOOKUP(AB258,Calculs!$A$19:$S$425,19,FALSE),VLOOKUP(AC258,Calculs!$A$19:$S$425,19,FALSE))&gt;=AD258,TRUE,FALSE))</f>
        <v>1</v>
      </c>
      <c r="AF258" s="158"/>
      <c r="AG258" s="158"/>
      <c r="AH258" s="158"/>
      <c r="AI258" s="158" t="b">
        <f>IF(AF258="",TRUE,IF(IF(AG258="",VLOOKUP(AF258,Calculs!$A$19:$S$425,19,FALSE),VLOOKUP(AG258,Calculs!$A$19:$S$425,19,FALSE))&gt;=AH258,TRUE,FALSE))</f>
        <v>1</v>
      </c>
      <c r="AJ258" s="158"/>
      <c r="AK258" s="158"/>
      <c r="AL258" s="158"/>
      <c r="AM258" s="158" t="b">
        <f>IF(AJ258="",TRUE,IF(IF(AK258="",VLOOKUP(AJ258,Calculs!$A$19:$S$425,19,FALSE),VLOOKUP(AK258,Calculs!$A$19:$S$425,19,FALSE))&gt;=AL258,TRUE,FALSE))</f>
        <v>1</v>
      </c>
      <c r="AN258" s="158"/>
      <c r="AO258" s="158"/>
      <c r="AP258" s="158"/>
      <c r="AQ258" s="158" t="b">
        <f>IF(AN258="",TRUE,IF(IF(AO258="",VLOOKUP(AN258,Calculs!$A$19:$S$425,19,FALSE),VLOOKUP(AO258,Calculs!$A$19:$S$425,19,FALSE))&gt;=AP258,TRUE,FALSE))</f>
        <v>1</v>
      </c>
      <c r="AR258" s="158"/>
      <c r="AS258" s="158" t="b">
        <f>IF(AR258="",TRUE,IF(VLOOKUP(AR258,Calculs!$A$427:$G$738,7,FALSE)&gt;0,TRUE,FALSE))</f>
        <v>1</v>
      </c>
      <c r="AT258" s="158"/>
      <c r="AU258" s="158" t="b">
        <f>IF(AT258="",TRUE,IF(VLOOKUP(AT258,Calculs!$A$740:$G$912,7,FALSE)&gt;0,TRUE,FALSE))</f>
        <v>1</v>
      </c>
      <c r="AV258" s="158" t="b">
        <f t="shared" si="23"/>
        <v>1</v>
      </c>
      <c r="AW258" s="159" t="s">
        <v>5839</v>
      </c>
      <c r="AX258" s="162" t="s">
        <v>4403</v>
      </c>
      <c r="AY258" s="15">
        <v>186</v>
      </c>
      <c r="AZ258" s="555" t="s">
        <v>5840</v>
      </c>
      <c r="BA258" s="559">
        <f>IF(Verso!$B$10=Voies!$B258,1,0)</f>
        <v>0</v>
      </c>
      <c r="BB258" s="12">
        <f>IF(Verso!$B$11=Voies!$B258,1,0)</f>
        <v>0</v>
      </c>
      <c r="BC258" s="12">
        <f>IF(Verso!$B$12=Voies!$B258,1,0)</f>
        <v>0</v>
      </c>
      <c r="BD258" s="12">
        <f>IF(Verso!$B$13=Voies!$B258,1,0)</f>
        <v>0</v>
      </c>
      <c r="BE258" s="12">
        <f>IF(Verso!$B$14=Voies!$B258,1,0)</f>
        <v>0</v>
      </c>
      <c r="BF258" s="12">
        <f>IF(Verso!$B$15=Voies!$B258,1,0)</f>
        <v>0</v>
      </c>
      <c r="BG258" s="12">
        <f>IF(Verso!$B$16=Voies!$B258,1,0)</f>
        <v>0</v>
      </c>
      <c r="BH258" s="12">
        <f>IF(Verso!$B$17=Voies!$B258,1,0)</f>
        <v>0</v>
      </c>
      <c r="BI258" s="557">
        <f t="shared" si="24"/>
        <v>0</v>
      </c>
      <c r="BJ258" s="196" t="str">
        <f t="shared" si="25"/>
        <v/>
      </c>
      <c r="BK258" s="196" t="str">
        <f t="shared" si="26"/>
        <v/>
      </c>
      <c r="BL258" s="295" t="str">
        <f t="shared" si="27"/>
        <v/>
      </c>
      <c r="BM258" s="91"/>
    </row>
    <row r="259" spans="1:65" ht="47.25" customHeight="1" x14ac:dyDescent="0.25">
      <c r="A259" s="162" t="str">
        <f>IF(AND(Réputation&gt;Voies!E259-1,OR(C259=TRUE,Calculs!$I$8&gt;0),Air&gt;Voies!J259-1,Eau&gt;Voies!K259-1,Feu&gt;Voies!L259-1,Terre&gt;Voies!M259-1,Vide&gt;Voies!N259-1,Constitution&gt;Voies!O259-1,Volonté&gt;Voies!P259-1,Force&gt;Voies!Q259-1,Perception&gt;Voies!R259-1,Reflexes&gt;Voies!S259-1,Agilité&gt;Voies!T259-1,Intuition&gt;Voies!U259-1,Intelligence&gt;Voies!V259-1,Souillure&gt;Voies!W259-1,Honneur&gt;X259-1,Statut&gt;Y259-1,Gloire&gt;Z259-1,AV259=TRUE),Voies!B259,"")</f>
        <v/>
      </c>
      <c r="B259" s="162" t="s">
        <v>6045</v>
      </c>
      <c r="C259" s="162" t="b">
        <f>IF(Clan=Voies!D259,TRUE,FALSE)</f>
        <v>0</v>
      </c>
      <c r="D259" s="387" t="s">
        <v>15</v>
      </c>
      <c r="E259" s="13">
        <v>0</v>
      </c>
      <c r="F259" s="199">
        <v>0</v>
      </c>
      <c r="G259" s="13" t="s">
        <v>2048</v>
      </c>
      <c r="H259" s="162" t="s">
        <v>421</v>
      </c>
      <c r="I259" s="129" t="str">
        <f t="shared" ref="I259:I266" si="29">IF(B259="","","Rien")</f>
        <v>Rien</v>
      </c>
      <c r="J259" s="146">
        <v>0</v>
      </c>
      <c r="K259" s="147">
        <v>0</v>
      </c>
      <c r="L259" s="148">
        <v>0</v>
      </c>
      <c r="M259" s="149">
        <v>0</v>
      </c>
      <c r="N259" s="150">
        <v>0</v>
      </c>
      <c r="O259" s="130">
        <v>0</v>
      </c>
      <c r="P259" s="130">
        <v>0</v>
      </c>
      <c r="Q259" s="130">
        <v>0</v>
      </c>
      <c r="R259" s="130">
        <v>0</v>
      </c>
      <c r="S259" s="130">
        <v>0</v>
      </c>
      <c r="T259" s="130">
        <v>0</v>
      </c>
      <c r="U259" s="130">
        <v>0</v>
      </c>
      <c r="V259" s="524">
        <v>0</v>
      </c>
      <c r="W259" s="130">
        <v>0</v>
      </c>
      <c r="X259" s="130">
        <v>0</v>
      </c>
      <c r="Y259" s="130">
        <v>0</v>
      </c>
      <c r="Z259" s="130">
        <v>0</v>
      </c>
      <c r="AA259" s="159" t="s">
        <v>2818</v>
      </c>
      <c r="AB259" s="159" t="s">
        <v>1260</v>
      </c>
      <c r="AD259" s="159">
        <v>5</v>
      </c>
      <c r="AE259" s="158" t="b">
        <f>IF(AB259="",TRUE,IF(IF(AC259="",VLOOKUP(AB259,Calculs!$A$19:$S$425,19,FALSE),VLOOKUP(AC259,Calculs!$A$19:$S$425,19,FALSE))&gt;=AD259,TRUE,FALSE))</f>
        <v>0</v>
      </c>
      <c r="AI259" s="158" t="b">
        <f>IF(AF259="",TRUE,IF(IF(AG259="",VLOOKUP(AF259,Calculs!$A$19:$S$425,19,FALSE),VLOOKUP(AG259,Calculs!$A$19:$S$425,19,FALSE))&gt;=AH259,TRUE,FALSE))</f>
        <v>1</v>
      </c>
      <c r="AM259" s="158" t="b">
        <f>IF(AJ259="",TRUE,IF(IF(AK259="",VLOOKUP(AJ259,Calculs!$A$19:$S$425,19,FALSE),VLOOKUP(AK259,Calculs!$A$19:$S$425,19,FALSE))&gt;=AL259,TRUE,FALSE))</f>
        <v>1</v>
      </c>
      <c r="AQ259" s="158" t="b">
        <f>IF(AN259="",TRUE,IF(IF(AO259="",VLOOKUP(AN259,Calculs!$A$19:$S$425,19,FALSE),VLOOKUP(AO259,Calculs!$A$19:$S$425,19,FALSE))&gt;=AP259,TRUE,FALSE))</f>
        <v>1</v>
      </c>
      <c r="AR259" s="158"/>
      <c r="AS259" s="158" t="b">
        <f>IF(AR259="",TRUE,IF(VLOOKUP(AR259,Calculs!$A$427:$G$738,7,FALSE)&gt;0,TRUE,FALSE))</f>
        <v>1</v>
      </c>
      <c r="AT259" s="158"/>
      <c r="AU259" s="158" t="b">
        <f>IF(AT259="",TRUE,IF(VLOOKUP(AT259,Calculs!$A$740:$G$912,7,FALSE)&gt;0,TRUE,FALSE))</f>
        <v>1</v>
      </c>
      <c r="AV259" s="158" t="b">
        <f t="shared" ref="AV259:AV322" si="30">IF(AND(AE259=TRUE,AI259=TRUE,AM259=TRUE,AQ259=TRUE,AS259=TRUE,AU259=TRUE),TRUE,FALSE)</f>
        <v>0</v>
      </c>
      <c r="AW259" s="158" t="s">
        <v>2078</v>
      </c>
      <c r="AX259" s="162" t="s">
        <v>6061</v>
      </c>
      <c r="AY259" s="15">
        <v>69</v>
      </c>
      <c r="AZ259" s="555" t="s">
        <v>2822</v>
      </c>
      <c r="BA259" s="559">
        <f>IF(Verso!$B$10=Voies!$B259,1,0)</f>
        <v>0</v>
      </c>
      <c r="BB259" s="12">
        <f>IF(Verso!$B$11=Voies!$B259,1,0)</f>
        <v>0</v>
      </c>
      <c r="BC259" s="12">
        <f>IF(Verso!$B$12=Voies!$B259,1,0)</f>
        <v>0</v>
      </c>
      <c r="BD259" s="12">
        <f>IF(Verso!$B$13=Voies!$B259,1,0)</f>
        <v>0</v>
      </c>
      <c r="BE259" s="12">
        <f>IF(Verso!$B$14=Voies!$B259,1,0)</f>
        <v>0</v>
      </c>
      <c r="BF259" s="12">
        <f>IF(Verso!$B$15=Voies!$B259,1,0)</f>
        <v>0</v>
      </c>
      <c r="BG259" s="12">
        <f>IF(Verso!$B$16=Voies!$B259,1,0)</f>
        <v>0</v>
      </c>
      <c r="BH259" s="12">
        <f>IF(Verso!$B$17=Voies!$B259,1,0)</f>
        <v>0</v>
      </c>
      <c r="BI259" s="557">
        <f t="shared" ref="BI259:BI322" si="31">SUM(BA259:BH259)</f>
        <v>0</v>
      </c>
      <c r="BJ259" s="196" t="str">
        <f t="shared" si="25"/>
        <v/>
      </c>
      <c r="BK259" s="196" t="str">
        <f t="shared" si="26"/>
        <v/>
      </c>
      <c r="BL259" s="295" t="str">
        <f t="shared" si="27"/>
        <v/>
      </c>
    </row>
    <row r="260" spans="1:65" ht="47.25" customHeight="1" x14ac:dyDescent="0.25">
      <c r="A260" s="162" t="str">
        <f>IF(AND(Réputation&gt;Voies!E260-1,OR(C260=TRUE,Calculs!$I$8&gt;0),Air&gt;Voies!J260-1,Eau&gt;Voies!K260-1,Feu&gt;Voies!L260-1,Terre&gt;Voies!M260-1,Vide&gt;Voies!N260-1,Constitution&gt;Voies!O260-1,Volonté&gt;Voies!P260-1,Force&gt;Voies!Q260-1,Perception&gt;Voies!R260-1,Reflexes&gt;Voies!S260-1,Agilité&gt;Voies!T260-1,Intuition&gt;Voies!U260-1,Intelligence&gt;Voies!V260-1,Souillure&gt;Voies!W260-1,Honneur&gt;X260-1,Statut&gt;Y260-1,Gloire&gt;Z260-1,AV260=TRUE),Voies!B260,"")</f>
        <v/>
      </c>
      <c r="B260" s="162" t="s">
        <v>2250</v>
      </c>
      <c r="C260" s="162" t="b">
        <f>IF(Clan=Voies!D260,TRUE,FALSE)</f>
        <v>0</v>
      </c>
      <c r="D260" s="387" t="s">
        <v>15</v>
      </c>
      <c r="E260" s="13">
        <v>1</v>
      </c>
      <c r="F260" s="199">
        <v>1</v>
      </c>
      <c r="G260" s="13" t="s">
        <v>2049</v>
      </c>
      <c r="H260" s="162" t="s">
        <v>313</v>
      </c>
      <c r="I260" s="129" t="str">
        <f t="shared" si="29"/>
        <v>Rien</v>
      </c>
      <c r="J260" s="146">
        <v>0</v>
      </c>
      <c r="K260" s="147">
        <v>0</v>
      </c>
      <c r="L260" s="148">
        <v>0</v>
      </c>
      <c r="M260" s="149">
        <v>0</v>
      </c>
      <c r="N260" s="150">
        <v>0</v>
      </c>
      <c r="O260" s="130">
        <v>0</v>
      </c>
      <c r="P260" s="130">
        <v>0</v>
      </c>
      <c r="Q260" s="130">
        <v>0</v>
      </c>
      <c r="R260" s="130">
        <v>0</v>
      </c>
      <c r="S260" s="130">
        <v>0</v>
      </c>
      <c r="T260" s="130">
        <v>0</v>
      </c>
      <c r="U260" s="130">
        <v>0</v>
      </c>
      <c r="V260" s="524">
        <v>0</v>
      </c>
      <c r="W260" s="130">
        <v>0</v>
      </c>
      <c r="X260" s="130">
        <v>0</v>
      </c>
      <c r="Y260" s="130">
        <v>0</v>
      </c>
      <c r="Z260" s="130">
        <v>0</v>
      </c>
      <c r="AA260" s="158" t="s">
        <v>2078</v>
      </c>
      <c r="AB260" s="158"/>
      <c r="AC260" s="158"/>
      <c r="AD260" s="158"/>
      <c r="AE260" s="158" t="b">
        <f>IF(AB260="",TRUE,IF(IF(AC260="",VLOOKUP(AB260,Calculs!$A$19:$S$425,19,FALSE),VLOOKUP(AC260,Calculs!$A$19:$S$425,19,FALSE))&gt;=AD260,TRUE,FALSE))</f>
        <v>1</v>
      </c>
      <c r="AF260" s="158"/>
      <c r="AG260" s="158"/>
      <c r="AH260" s="158"/>
      <c r="AI260" s="158" t="b">
        <f>IF(AF260="",TRUE,IF(IF(AG260="",VLOOKUP(AF260,Calculs!$A$19:$S$425,19,FALSE),VLOOKUP(AG260,Calculs!$A$19:$S$425,19,FALSE))&gt;=AH260,TRUE,FALSE))</f>
        <v>1</v>
      </c>
      <c r="AJ260" s="158"/>
      <c r="AK260" s="158"/>
      <c r="AL260" s="158"/>
      <c r="AM260" s="158" t="b">
        <f>IF(AJ260="",TRUE,IF(IF(AK260="",VLOOKUP(AJ260,Calculs!$A$19:$S$425,19,FALSE),VLOOKUP(AK260,Calculs!$A$19:$S$425,19,FALSE))&gt;=AL260,TRUE,FALSE))</f>
        <v>1</v>
      </c>
      <c r="AN260" s="158"/>
      <c r="AO260" s="158"/>
      <c r="AP260" s="158"/>
      <c r="AQ260" s="158" t="b">
        <f>IF(AN260="",TRUE,IF(IF(AO260="",VLOOKUP(AN260,Calculs!$A$19:$S$425,19,FALSE),VLOOKUP(AO260,Calculs!$A$19:$S$425,19,FALSE))&gt;=AP260,TRUE,FALSE))</f>
        <v>1</v>
      </c>
      <c r="AR260" s="158"/>
      <c r="AS260" s="158" t="b">
        <f>IF(AR260="",TRUE,IF(VLOOKUP(AR260,Calculs!$A$427:$G$738,7,FALSE)&gt;0,TRUE,FALSE))</f>
        <v>1</v>
      </c>
      <c r="AT260" s="158"/>
      <c r="AU260" s="158" t="b">
        <f>IF(AT260="",TRUE,IF(VLOOKUP(AT260,Calculs!$A$740:$G$912,7,FALSE)&gt;0,TRUE,FALSE))</f>
        <v>1</v>
      </c>
      <c r="AV260" s="158" t="b">
        <f t="shared" si="30"/>
        <v>1</v>
      </c>
      <c r="AW260" s="158" t="s">
        <v>2078</v>
      </c>
      <c r="AX260" s="162" t="s">
        <v>3</v>
      </c>
      <c r="AY260" s="15">
        <v>110</v>
      </c>
      <c r="AZ260" s="555" t="s">
        <v>2255</v>
      </c>
      <c r="BA260" s="559">
        <f>IF(Verso!$B$10=Voies!$B260,1,0)</f>
        <v>0</v>
      </c>
      <c r="BB260" s="12">
        <f>IF(Verso!$B$11=Voies!$B260,1,0)</f>
        <v>0</v>
      </c>
      <c r="BC260" s="12">
        <f>IF(Verso!$B$12=Voies!$B260,1,0)</f>
        <v>0</v>
      </c>
      <c r="BD260" s="12">
        <f>IF(Verso!$B$13=Voies!$B260,1,0)</f>
        <v>0</v>
      </c>
      <c r="BE260" s="12">
        <f>IF(Verso!$B$14=Voies!$B260,1,0)</f>
        <v>0</v>
      </c>
      <c r="BF260" s="12">
        <f>IF(Verso!$B$15=Voies!$B260,1,0)</f>
        <v>0</v>
      </c>
      <c r="BG260" s="12">
        <f>IF(Verso!$B$16=Voies!$B260,1,0)</f>
        <v>0</v>
      </c>
      <c r="BH260" s="12">
        <f>IF(Verso!$B$17=Voies!$B260,1,0)</f>
        <v>0</v>
      </c>
      <c r="BI260" s="557">
        <f t="shared" si="31"/>
        <v>0</v>
      </c>
      <c r="BJ260" s="196" t="str">
        <f t="shared" ref="BJ260:BJ323" si="32">IF(A260="","",ROW())</f>
        <v/>
      </c>
      <c r="BK260" s="196" t="str">
        <f t="shared" ref="BK260:BK323" si="33">IFERROR(SMALL(BJ:BJ,ROW()-2),"")</f>
        <v/>
      </c>
      <c r="BL260" s="295" t="str">
        <f t="shared" ref="BL260:BL323" si="34">IFERROR(INDEX(A:A,BK260),"")</f>
        <v/>
      </c>
    </row>
    <row r="261" spans="1:65" ht="47.25" customHeight="1" x14ac:dyDescent="0.25">
      <c r="A261" s="162" t="str">
        <f>IF(AND(Réputation&gt;Voies!E261-1,OR(C261=TRUE,Calculs!$I$8&gt;0),Air&gt;Voies!J261-1,Eau&gt;Voies!K261-1,Feu&gt;Voies!L261-1,Terre&gt;Voies!M261-1,Vide&gt;Voies!N261-1,Constitution&gt;Voies!O261-1,Volonté&gt;Voies!P261-1,Force&gt;Voies!Q261-1,Perception&gt;Voies!R261-1,Reflexes&gt;Voies!S261-1,Agilité&gt;Voies!T261-1,Intuition&gt;Voies!U261-1,Intelligence&gt;Voies!V261-1,Souillure&gt;Voies!W261-1,Honneur&gt;X261-1,Statut&gt;Y261-1,Gloire&gt;Z261-1,AV261=TRUE),Voies!B261,"")</f>
        <v/>
      </c>
      <c r="B261" s="162" t="s">
        <v>2616</v>
      </c>
      <c r="C261" s="162" t="b">
        <f>IF(Clan=Voies!D261,TRUE,FALSE)</f>
        <v>0</v>
      </c>
      <c r="D261" s="387" t="s">
        <v>15</v>
      </c>
      <c r="E261" s="13">
        <v>1</v>
      </c>
      <c r="F261" s="199">
        <v>1</v>
      </c>
      <c r="G261" s="199" t="s">
        <v>2049</v>
      </c>
      <c r="H261" s="162" t="s">
        <v>1936</v>
      </c>
      <c r="I261" s="129" t="str">
        <f t="shared" si="29"/>
        <v>Rien</v>
      </c>
      <c r="J261" s="146">
        <v>0</v>
      </c>
      <c r="K261" s="147">
        <v>0</v>
      </c>
      <c r="L261" s="148">
        <v>0</v>
      </c>
      <c r="M261" s="149">
        <v>0</v>
      </c>
      <c r="N261" s="150">
        <v>0</v>
      </c>
      <c r="O261" s="130">
        <v>0</v>
      </c>
      <c r="P261" s="130">
        <v>0</v>
      </c>
      <c r="Q261" s="130">
        <v>0</v>
      </c>
      <c r="R261" s="130">
        <v>0</v>
      </c>
      <c r="S261" s="130">
        <v>0</v>
      </c>
      <c r="T261" s="130">
        <v>0</v>
      </c>
      <c r="U261" s="130">
        <v>0</v>
      </c>
      <c r="V261" s="524">
        <v>0</v>
      </c>
      <c r="W261" s="130">
        <v>0</v>
      </c>
      <c r="X261" s="130">
        <v>0</v>
      </c>
      <c r="Y261" s="130">
        <v>0</v>
      </c>
      <c r="Z261" s="130">
        <v>0</v>
      </c>
      <c r="AA261" s="158" t="s">
        <v>2078</v>
      </c>
      <c r="AB261" s="158"/>
      <c r="AC261" s="158"/>
      <c r="AD261" s="158"/>
      <c r="AE261" s="158" t="b">
        <f>IF(AB261="",TRUE,IF(IF(AC261="",VLOOKUP(AB261,Calculs!$A$19:$S$425,19,FALSE),VLOOKUP(AC261,Calculs!$A$19:$S$425,19,FALSE))&gt;=AD261,TRUE,FALSE))</f>
        <v>1</v>
      </c>
      <c r="AF261" s="158"/>
      <c r="AG261" s="158"/>
      <c r="AH261" s="158"/>
      <c r="AI261" s="158" t="b">
        <f>IF(AF261="",TRUE,IF(IF(AG261="",VLOOKUP(AF261,Calculs!$A$19:$S$425,19,FALSE),VLOOKUP(AG261,Calculs!$A$19:$S$425,19,FALSE))&gt;=AH261,TRUE,FALSE))</f>
        <v>1</v>
      </c>
      <c r="AJ261" s="158"/>
      <c r="AK261" s="158"/>
      <c r="AL261" s="158"/>
      <c r="AM261" s="158" t="b">
        <f>IF(AJ261="",TRUE,IF(IF(AK261="",VLOOKUP(AJ261,Calculs!$A$19:$S$425,19,FALSE),VLOOKUP(AK261,Calculs!$A$19:$S$425,19,FALSE))&gt;=AL261,TRUE,FALSE))</f>
        <v>1</v>
      </c>
      <c r="AN261" s="158"/>
      <c r="AO261" s="158"/>
      <c r="AP261" s="158"/>
      <c r="AQ261" s="158" t="b">
        <f>IF(AN261="",TRUE,IF(IF(AO261="",VLOOKUP(AN261,Calculs!$A$19:$S$425,19,FALSE),VLOOKUP(AO261,Calculs!$A$19:$S$425,19,FALSE))&gt;=AP261,TRUE,FALSE))</f>
        <v>1</v>
      </c>
      <c r="AR261" s="158"/>
      <c r="AS261" s="158" t="b">
        <f>IF(AR261="",TRUE,IF(VLOOKUP(AR261,Calculs!$A$427:$G$738,7,FALSE)&gt;0,TRUE,FALSE))</f>
        <v>1</v>
      </c>
      <c r="AT261" s="158"/>
      <c r="AU261" s="158" t="b">
        <f>IF(AT261="",TRUE,IF(VLOOKUP(AT261,Calculs!$A$740:$G$912,7,FALSE)&gt;0,TRUE,FALSE))</f>
        <v>1</v>
      </c>
      <c r="AV261" s="158" t="b">
        <f t="shared" si="30"/>
        <v>1</v>
      </c>
      <c r="AW261" s="158" t="s">
        <v>2078</v>
      </c>
      <c r="AX261" s="162" t="s">
        <v>5202</v>
      </c>
      <c r="AY261" s="15">
        <v>221</v>
      </c>
      <c r="AZ261" s="555" t="s">
        <v>2640</v>
      </c>
      <c r="BA261" s="559">
        <f>IF(Verso!$B$10=Voies!$B261,1,0)</f>
        <v>0</v>
      </c>
      <c r="BB261" s="12">
        <f>IF(Verso!$B$11=Voies!$B261,1,0)</f>
        <v>0</v>
      </c>
      <c r="BC261" s="12">
        <f>IF(Verso!$B$12=Voies!$B261,1,0)</f>
        <v>0</v>
      </c>
      <c r="BD261" s="12">
        <f>IF(Verso!$B$13=Voies!$B261,1,0)</f>
        <v>0</v>
      </c>
      <c r="BE261" s="12">
        <f>IF(Verso!$B$14=Voies!$B261,1,0)</f>
        <v>0</v>
      </c>
      <c r="BF261" s="12">
        <f>IF(Verso!$B$15=Voies!$B261,1,0)</f>
        <v>0</v>
      </c>
      <c r="BG261" s="12">
        <f>IF(Verso!$B$16=Voies!$B261,1,0)</f>
        <v>0</v>
      </c>
      <c r="BH261" s="12">
        <f>IF(Verso!$B$17=Voies!$B261,1,0)</f>
        <v>0</v>
      </c>
      <c r="BI261" s="557">
        <f t="shared" si="31"/>
        <v>0</v>
      </c>
      <c r="BJ261" s="196" t="str">
        <f t="shared" si="32"/>
        <v/>
      </c>
      <c r="BK261" s="196" t="str">
        <f t="shared" si="33"/>
        <v/>
      </c>
      <c r="BL261" s="295" t="str">
        <f t="shared" si="34"/>
        <v/>
      </c>
    </row>
    <row r="262" spans="1:65" ht="47.25" customHeight="1" x14ac:dyDescent="0.25">
      <c r="A262" s="162" t="str">
        <f>IF(AND(Réputation&gt;Voies!E262-1,OR(C262=TRUE,Calculs!$I$8&gt;0),Air&gt;Voies!J262-1,Eau&gt;Voies!K262-1,Feu&gt;Voies!L262-1,Terre&gt;Voies!M262-1,Vide&gt;Voies!N262-1,Constitution&gt;Voies!O262-1,Volonté&gt;Voies!P262-1,Force&gt;Voies!Q262-1,Perception&gt;Voies!R262-1,Reflexes&gt;Voies!S262-1,Agilité&gt;Voies!T262-1,Intuition&gt;Voies!U262-1,Intelligence&gt;Voies!V262-1,Souillure&gt;Voies!W262-1,Honneur&gt;X262-1,Statut&gt;Y262-1,Gloire&gt;Z262-1,AV262=TRUE),Voies!B262,"")</f>
        <v/>
      </c>
      <c r="B262" s="162" t="s">
        <v>2263</v>
      </c>
      <c r="C262" s="162" t="b">
        <f>IF(Clan=Voies!D262,TRUE,FALSE)</f>
        <v>0</v>
      </c>
      <c r="D262" s="387" t="s">
        <v>15</v>
      </c>
      <c r="E262" s="13">
        <v>1</v>
      </c>
      <c r="F262" s="199">
        <v>1</v>
      </c>
      <c r="G262" s="199" t="s">
        <v>2052</v>
      </c>
      <c r="H262" s="162" t="s">
        <v>316</v>
      </c>
      <c r="I262" s="129" t="str">
        <f t="shared" si="29"/>
        <v>Rien</v>
      </c>
      <c r="J262" s="146">
        <v>0</v>
      </c>
      <c r="K262" s="147">
        <v>0</v>
      </c>
      <c r="L262" s="148">
        <v>0</v>
      </c>
      <c r="M262" s="149">
        <v>0</v>
      </c>
      <c r="N262" s="150">
        <v>0</v>
      </c>
      <c r="O262" s="130">
        <v>0</v>
      </c>
      <c r="P262" s="130">
        <v>0</v>
      </c>
      <c r="Q262" s="130">
        <v>0</v>
      </c>
      <c r="R262" s="130">
        <v>0</v>
      </c>
      <c r="S262" s="130">
        <v>0</v>
      </c>
      <c r="T262" s="130">
        <v>0</v>
      </c>
      <c r="U262" s="130">
        <v>0</v>
      </c>
      <c r="V262" s="524">
        <v>0</v>
      </c>
      <c r="W262" s="130">
        <v>0</v>
      </c>
      <c r="X262" s="130">
        <v>0</v>
      </c>
      <c r="Y262" s="130">
        <v>0</v>
      </c>
      <c r="Z262" s="130">
        <v>0</v>
      </c>
      <c r="AA262" s="158" t="s">
        <v>2078</v>
      </c>
      <c r="AB262" s="158"/>
      <c r="AC262" s="158"/>
      <c r="AD262" s="158"/>
      <c r="AE262" s="158" t="b">
        <f>IF(AB262="",TRUE,IF(IF(AC262="",VLOOKUP(AB262,Calculs!$A$19:$S$425,19,FALSE),VLOOKUP(AC262,Calculs!$A$19:$S$425,19,FALSE))&gt;=AD262,TRUE,FALSE))</f>
        <v>1</v>
      </c>
      <c r="AF262" s="158"/>
      <c r="AG262" s="158"/>
      <c r="AH262" s="158"/>
      <c r="AI262" s="158" t="b">
        <f>IF(AF262="",TRUE,IF(IF(AG262="",VLOOKUP(AF262,Calculs!$A$19:$S$425,19,FALSE),VLOOKUP(AG262,Calculs!$A$19:$S$425,19,FALSE))&gt;=AH262,TRUE,FALSE))</f>
        <v>1</v>
      </c>
      <c r="AJ262" s="158"/>
      <c r="AK262" s="158"/>
      <c r="AL262" s="158"/>
      <c r="AM262" s="158" t="b">
        <f>IF(AJ262="",TRUE,IF(IF(AK262="",VLOOKUP(AJ262,Calculs!$A$19:$S$425,19,FALSE),VLOOKUP(AK262,Calculs!$A$19:$S$425,19,FALSE))&gt;=AL262,TRUE,FALSE))</f>
        <v>1</v>
      </c>
      <c r="AN262" s="158"/>
      <c r="AO262" s="158"/>
      <c r="AP262" s="158"/>
      <c r="AQ262" s="158" t="b">
        <f>IF(AN262="",TRUE,IF(IF(AO262="",VLOOKUP(AN262,Calculs!$A$19:$S$425,19,FALSE),VLOOKUP(AO262,Calculs!$A$19:$S$425,19,FALSE))&gt;=AP262,TRUE,FALSE))</f>
        <v>1</v>
      </c>
      <c r="AR262" s="158"/>
      <c r="AS262" s="158" t="b">
        <f>IF(AR262="",TRUE,IF(VLOOKUP(AR262,Calculs!$A$427:$G$738,7,FALSE)&gt;0,TRUE,FALSE))</f>
        <v>1</v>
      </c>
      <c r="AT262" s="158"/>
      <c r="AU262" s="158" t="b">
        <f>IF(AT262="",TRUE,IF(VLOOKUP(AT262,Calculs!$A$740:$G$912,7,FALSE)&gt;0,TRUE,FALSE))</f>
        <v>1</v>
      </c>
      <c r="AV262" s="158" t="b">
        <f t="shared" si="30"/>
        <v>1</v>
      </c>
      <c r="AW262" s="158" t="s">
        <v>2078</v>
      </c>
      <c r="AX262" s="162" t="s">
        <v>3</v>
      </c>
      <c r="AY262" s="15">
        <v>111</v>
      </c>
      <c r="AZ262" s="555" t="str">
        <f>CONCATENATE("AG à tous vos jets d'Enquête.  Vous gagnez +",Perception," à votre ND d'Armure")</f>
        <v>AG à tous vos jets d'Enquête.  Vous gagnez +2 à votre ND d'Armure</v>
      </c>
      <c r="BA262" s="559">
        <f>IF(Verso!$B$10=Voies!$B262,1,0)</f>
        <v>0</v>
      </c>
      <c r="BB262" s="12">
        <f>IF(Verso!$B$11=Voies!$B262,1,0)</f>
        <v>0</v>
      </c>
      <c r="BC262" s="12">
        <f>IF(Verso!$B$12=Voies!$B262,1,0)</f>
        <v>0</v>
      </c>
      <c r="BD262" s="12">
        <f>IF(Verso!$B$13=Voies!$B262,1,0)</f>
        <v>0</v>
      </c>
      <c r="BE262" s="12">
        <f>IF(Verso!$B$14=Voies!$B262,1,0)</f>
        <v>0</v>
      </c>
      <c r="BF262" s="12">
        <f>IF(Verso!$B$15=Voies!$B262,1,0)</f>
        <v>0</v>
      </c>
      <c r="BG262" s="12">
        <f>IF(Verso!$B$16=Voies!$B262,1,0)</f>
        <v>0</v>
      </c>
      <c r="BH262" s="12">
        <f>IF(Verso!$B$17=Voies!$B262,1,0)</f>
        <v>0</v>
      </c>
      <c r="BI262" s="557">
        <f t="shared" si="31"/>
        <v>0</v>
      </c>
      <c r="BJ262" s="196" t="str">
        <f t="shared" si="32"/>
        <v/>
      </c>
      <c r="BK262" s="196" t="str">
        <f t="shared" si="33"/>
        <v/>
      </c>
      <c r="BL262" s="295" t="str">
        <f t="shared" si="34"/>
        <v/>
      </c>
    </row>
    <row r="263" spans="1:65" ht="47.25" customHeight="1" x14ac:dyDescent="0.25">
      <c r="A263" s="162" t="str">
        <f>IF(AND(Réputation&gt;Voies!E263-1,OR(C263=TRUE,Calculs!$I$8&gt;0),Air&gt;Voies!J263-1,Eau&gt;Voies!K263-1,Feu&gt;Voies!L263-1,Terre&gt;Voies!M263-1,Vide&gt;Voies!N263-1,Constitution&gt;Voies!O263-1,Volonté&gt;Voies!P263-1,Force&gt;Voies!Q263-1,Perception&gt;Voies!R263-1,Reflexes&gt;Voies!S263-1,Agilité&gt;Voies!T263-1,Intuition&gt;Voies!U263-1,Intelligence&gt;Voies!V263-1,Souillure&gt;Voies!W263-1,Honneur&gt;X263-1,Statut&gt;Y263-1,Gloire&gt;Z263-1,AV263=TRUE),Voies!B263,"")</f>
        <v/>
      </c>
      <c r="B263" s="162" t="s">
        <v>2949</v>
      </c>
      <c r="C263" s="162" t="b">
        <f>IF(Clan=Voies!D263,TRUE,FALSE)</f>
        <v>0</v>
      </c>
      <c r="D263" s="387" t="s">
        <v>15</v>
      </c>
      <c r="E263" s="13">
        <v>1</v>
      </c>
      <c r="F263" s="199">
        <v>1</v>
      </c>
      <c r="G263" s="13" t="s">
        <v>2050</v>
      </c>
      <c r="H263" s="162" t="s">
        <v>200</v>
      </c>
      <c r="I263" s="129" t="str">
        <f t="shared" si="29"/>
        <v>Rien</v>
      </c>
      <c r="J263" s="146">
        <v>0</v>
      </c>
      <c r="K263" s="147">
        <v>0</v>
      </c>
      <c r="L263" s="148">
        <v>0</v>
      </c>
      <c r="M263" s="149">
        <v>0</v>
      </c>
      <c r="N263" s="150">
        <v>0</v>
      </c>
      <c r="O263" s="130">
        <v>0</v>
      </c>
      <c r="P263" s="130">
        <v>0</v>
      </c>
      <c r="Q263" s="130">
        <v>0</v>
      </c>
      <c r="R263" s="130">
        <v>0</v>
      </c>
      <c r="S263" s="130">
        <v>0</v>
      </c>
      <c r="T263" s="130">
        <v>0</v>
      </c>
      <c r="U263" s="130">
        <v>0</v>
      </c>
      <c r="V263" s="524">
        <v>0</v>
      </c>
      <c r="W263" s="130">
        <v>0</v>
      </c>
      <c r="X263" s="130">
        <v>0</v>
      </c>
      <c r="Y263" s="130">
        <v>0</v>
      </c>
      <c r="Z263" s="130">
        <v>0</v>
      </c>
      <c r="AA263" s="158" t="s">
        <v>2078</v>
      </c>
      <c r="AB263" s="158"/>
      <c r="AC263" s="158"/>
      <c r="AD263" s="158"/>
      <c r="AE263" s="158" t="b">
        <f>IF(AB263="",TRUE,IF(IF(AC263="",VLOOKUP(AB263,Calculs!$A$19:$S$425,19,FALSE),VLOOKUP(AC263,Calculs!$A$19:$S$425,19,FALSE))&gt;=AD263,TRUE,FALSE))</f>
        <v>1</v>
      </c>
      <c r="AF263" s="158"/>
      <c r="AG263" s="158"/>
      <c r="AH263" s="158"/>
      <c r="AI263" s="158" t="b">
        <f>IF(AF263="",TRUE,IF(IF(AG263="",VLOOKUP(AF263,Calculs!$A$19:$S$425,19,FALSE),VLOOKUP(AG263,Calculs!$A$19:$S$425,19,FALSE))&gt;=AH263,TRUE,FALSE))</f>
        <v>1</v>
      </c>
      <c r="AJ263" s="158"/>
      <c r="AK263" s="158"/>
      <c r="AL263" s="158"/>
      <c r="AM263" s="158" t="b">
        <f>IF(AJ263="",TRUE,IF(IF(AK263="",VLOOKUP(AJ263,Calculs!$A$19:$S$425,19,FALSE),VLOOKUP(AK263,Calculs!$A$19:$S$425,19,FALSE))&gt;=AL263,TRUE,FALSE))</f>
        <v>1</v>
      </c>
      <c r="AN263" s="158"/>
      <c r="AO263" s="158"/>
      <c r="AP263" s="158"/>
      <c r="AQ263" s="158" t="b">
        <f>IF(AN263="",TRUE,IF(IF(AO263="",VLOOKUP(AN263,Calculs!$A$19:$S$425,19,FALSE),VLOOKUP(AO263,Calculs!$A$19:$S$425,19,FALSE))&gt;=AP263,TRUE,FALSE))</f>
        <v>1</v>
      </c>
      <c r="AR263" s="158"/>
      <c r="AS263" s="158" t="b">
        <f>IF(AR263="",TRUE,IF(VLOOKUP(AR263,Calculs!$A$427:$G$738,7,FALSE)&gt;0,TRUE,FALSE))</f>
        <v>1</v>
      </c>
      <c r="AT263" s="158"/>
      <c r="AU263" s="158" t="b">
        <f>IF(AT263="",TRUE,IF(VLOOKUP(AT263,Calculs!$A$740:$G$912,7,FALSE)&gt;0,TRUE,FALSE))</f>
        <v>1</v>
      </c>
      <c r="AV263" s="158" t="b">
        <f t="shared" si="30"/>
        <v>1</v>
      </c>
      <c r="AW263" s="158" t="s">
        <v>2078</v>
      </c>
      <c r="AX263" s="162" t="s">
        <v>2077</v>
      </c>
      <c r="AY263" s="15">
        <v>215</v>
      </c>
      <c r="AZ263" s="555" t="s">
        <v>8536</v>
      </c>
      <c r="BA263" s="559">
        <f>IF(Verso!$B$10=Voies!$B263,1,0)</f>
        <v>0</v>
      </c>
      <c r="BB263" s="12">
        <f>IF(Verso!$B$11=Voies!$B263,1,0)</f>
        <v>0</v>
      </c>
      <c r="BC263" s="12">
        <f>IF(Verso!$B$12=Voies!$B263,1,0)</f>
        <v>0</v>
      </c>
      <c r="BD263" s="12">
        <f>IF(Verso!$B$13=Voies!$B263,1,0)</f>
        <v>0</v>
      </c>
      <c r="BE263" s="12">
        <f>IF(Verso!$B$14=Voies!$B263,1,0)</f>
        <v>0</v>
      </c>
      <c r="BF263" s="12">
        <f>IF(Verso!$B$15=Voies!$B263,1,0)</f>
        <v>0</v>
      </c>
      <c r="BG263" s="12">
        <f>IF(Verso!$B$16=Voies!$B263,1,0)</f>
        <v>0</v>
      </c>
      <c r="BH263" s="12">
        <f>IF(Verso!$B$17=Voies!$B263,1,0)</f>
        <v>0</v>
      </c>
      <c r="BI263" s="557">
        <f t="shared" si="31"/>
        <v>0</v>
      </c>
      <c r="BJ263" s="196" t="str">
        <f t="shared" si="32"/>
        <v/>
      </c>
      <c r="BK263" s="196" t="str">
        <f t="shared" si="33"/>
        <v/>
      </c>
      <c r="BL263" s="295" t="str">
        <f t="shared" si="34"/>
        <v/>
      </c>
    </row>
    <row r="264" spans="1:65" ht="47.25" customHeight="1" x14ac:dyDescent="0.25">
      <c r="A264" s="162" t="str">
        <f>IF(AND(Réputation&gt;Voies!E264-1,OR(C264=TRUE,Calculs!$I$8&gt;0),Air&gt;Voies!J264-1,Eau&gt;Voies!K264-1,Feu&gt;Voies!L264-1,Terre&gt;Voies!M264-1,Vide&gt;Voies!N264-1,Constitution&gt;Voies!O264-1,Volonté&gt;Voies!P264-1,Force&gt;Voies!Q264-1,Perception&gt;Voies!R264-1,Reflexes&gt;Voies!S264-1,Agilité&gt;Voies!T264-1,Intuition&gt;Voies!U264-1,Intelligence&gt;Voies!V264-1,Souillure&gt;Voies!W264-1,Honneur&gt;X264-1,Statut&gt;Y264-1,Gloire&gt;Z264-1,AV264=TRUE),Voies!B264,"")</f>
        <v/>
      </c>
      <c r="B264" s="162" t="s">
        <v>2273</v>
      </c>
      <c r="C264" s="162" t="b">
        <f>IF(Clan=Voies!D264,TRUE,FALSE)</f>
        <v>0</v>
      </c>
      <c r="D264" s="387" t="s">
        <v>15</v>
      </c>
      <c r="E264" s="13">
        <v>1</v>
      </c>
      <c r="F264" s="199">
        <v>1</v>
      </c>
      <c r="G264" s="13" t="s">
        <v>2050</v>
      </c>
      <c r="H264" s="162" t="s">
        <v>202</v>
      </c>
      <c r="I264" s="129" t="str">
        <f t="shared" si="29"/>
        <v>Rien</v>
      </c>
      <c r="J264" s="146">
        <v>0</v>
      </c>
      <c r="K264" s="147">
        <v>0</v>
      </c>
      <c r="L264" s="148">
        <v>0</v>
      </c>
      <c r="M264" s="149">
        <v>0</v>
      </c>
      <c r="N264" s="150">
        <v>0</v>
      </c>
      <c r="O264" s="130">
        <v>0</v>
      </c>
      <c r="P264" s="130">
        <v>0</v>
      </c>
      <c r="Q264" s="130">
        <v>0</v>
      </c>
      <c r="R264" s="130">
        <v>0</v>
      </c>
      <c r="S264" s="130">
        <v>0</v>
      </c>
      <c r="T264" s="130">
        <v>0</v>
      </c>
      <c r="U264" s="130">
        <v>0</v>
      </c>
      <c r="V264" s="524">
        <v>0</v>
      </c>
      <c r="W264" s="130">
        <v>0</v>
      </c>
      <c r="X264" s="130">
        <v>0</v>
      </c>
      <c r="Y264" s="130">
        <v>0</v>
      </c>
      <c r="Z264" s="130">
        <v>0</v>
      </c>
      <c r="AA264" s="158" t="s">
        <v>2078</v>
      </c>
      <c r="AB264" s="158"/>
      <c r="AC264" s="158"/>
      <c r="AD264" s="158"/>
      <c r="AE264" s="158" t="b">
        <f>IF(AB264="",TRUE,IF(IF(AC264="",VLOOKUP(AB264,Calculs!$A$19:$S$425,19,FALSE),VLOOKUP(AC264,Calculs!$A$19:$S$425,19,FALSE))&gt;=AD264,TRUE,FALSE))</f>
        <v>1</v>
      </c>
      <c r="AF264" s="158"/>
      <c r="AG264" s="158"/>
      <c r="AH264" s="158"/>
      <c r="AI264" s="158" t="b">
        <f>IF(AF264="",TRUE,IF(IF(AG264="",VLOOKUP(AF264,Calculs!$A$19:$S$425,19,FALSE),VLOOKUP(AG264,Calculs!$A$19:$S$425,19,FALSE))&gt;=AH264,TRUE,FALSE))</f>
        <v>1</v>
      </c>
      <c r="AJ264" s="158"/>
      <c r="AK264" s="158"/>
      <c r="AL264" s="158"/>
      <c r="AM264" s="158" t="b">
        <f>IF(AJ264="",TRUE,IF(IF(AK264="",VLOOKUP(AJ264,Calculs!$A$19:$S$425,19,FALSE),VLOOKUP(AK264,Calculs!$A$19:$S$425,19,FALSE))&gt;=AL264,TRUE,FALSE))</f>
        <v>1</v>
      </c>
      <c r="AN264" s="158"/>
      <c r="AO264" s="158"/>
      <c r="AP264" s="158"/>
      <c r="AQ264" s="158" t="b">
        <f>IF(AN264="",TRUE,IF(IF(AO264="",VLOOKUP(AN264,Calculs!$A$19:$S$425,19,FALSE),VLOOKUP(AO264,Calculs!$A$19:$S$425,19,FALSE))&gt;=AP264,TRUE,FALSE))</f>
        <v>1</v>
      </c>
      <c r="AR264" s="158"/>
      <c r="AS264" s="158" t="b">
        <f>IF(AR264="",TRUE,IF(VLOOKUP(AR264,Calculs!$A$427:$G$738,7,FALSE)&gt;0,TRUE,FALSE))</f>
        <v>1</v>
      </c>
      <c r="AT264" s="158"/>
      <c r="AU264" s="158" t="b">
        <f>IF(AT264="",TRUE,IF(VLOOKUP(AT264,Calculs!$A$740:$G$912,7,FALSE)&gt;0,TRUE,FALSE))</f>
        <v>1</v>
      </c>
      <c r="AV264" s="158" t="b">
        <f t="shared" si="30"/>
        <v>1</v>
      </c>
      <c r="AW264" s="158" t="s">
        <v>2078</v>
      </c>
      <c r="AX264" s="162" t="s">
        <v>3</v>
      </c>
      <c r="AY264" s="15">
        <v>111</v>
      </c>
      <c r="AZ264" s="555" t="s">
        <v>2274</v>
      </c>
      <c r="BA264" s="559">
        <f>IF(Verso!$B$10=Voies!$B264,1,0)</f>
        <v>0</v>
      </c>
      <c r="BB264" s="12">
        <f>IF(Verso!$B$11=Voies!$B264,1,0)</f>
        <v>0</v>
      </c>
      <c r="BC264" s="12">
        <f>IF(Verso!$B$12=Voies!$B264,1,0)</f>
        <v>0</v>
      </c>
      <c r="BD264" s="12">
        <f>IF(Verso!$B$13=Voies!$B264,1,0)</f>
        <v>0</v>
      </c>
      <c r="BE264" s="12">
        <f>IF(Verso!$B$14=Voies!$B264,1,0)</f>
        <v>0</v>
      </c>
      <c r="BF264" s="12">
        <f>IF(Verso!$B$15=Voies!$B264,1,0)</f>
        <v>0</v>
      </c>
      <c r="BG264" s="12">
        <f>IF(Verso!$B$16=Voies!$B264,1,0)</f>
        <v>0</v>
      </c>
      <c r="BH264" s="12">
        <f>IF(Verso!$B$17=Voies!$B264,1,0)</f>
        <v>0</v>
      </c>
      <c r="BI264" s="557">
        <f t="shared" si="31"/>
        <v>0</v>
      </c>
      <c r="BJ264" s="196" t="str">
        <f t="shared" si="32"/>
        <v/>
      </c>
      <c r="BK264" s="196" t="str">
        <f t="shared" si="33"/>
        <v/>
      </c>
      <c r="BL264" s="295" t="str">
        <f t="shared" si="34"/>
        <v/>
      </c>
    </row>
    <row r="265" spans="1:65" ht="47.25" customHeight="1" x14ac:dyDescent="0.25">
      <c r="A265" s="162" t="str">
        <f>IF(AND(Réputation&gt;Voies!E265-1,OR(C265=TRUE,Calculs!$I$8&gt;0),Air&gt;Voies!J265-1,Eau&gt;Voies!K265-1,Feu&gt;Voies!L265-1,Terre&gt;Voies!M265-1,Vide&gt;Voies!N265-1,Constitution&gt;Voies!O265-1,Volonté&gt;Voies!P265-1,Force&gt;Voies!Q265-1,Perception&gt;Voies!R265-1,Reflexes&gt;Voies!S265-1,Agilité&gt;Voies!T265-1,Intuition&gt;Voies!U265-1,Intelligence&gt;Voies!V265-1,Souillure&gt;Voies!W265-1,Honneur&gt;X265-1,Statut&gt;Y265-1,Gloire&gt;Z265-1,AV265=TRUE),Voies!B265,"")</f>
        <v/>
      </c>
      <c r="B265" s="162" t="s">
        <v>2952</v>
      </c>
      <c r="C265" s="162" t="b">
        <f>IF(Clan=Voies!D265,TRUE,FALSE)</f>
        <v>0</v>
      </c>
      <c r="D265" s="387" t="s">
        <v>15</v>
      </c>
      <c r="E265" s="13">
        <v>1</v>
      </c>
      <c r="F265" s="199">
        <v>1</v>
      </c>
      <c r="G265" s="199" t="s">
        <v>2050</v>
      </c>
      <c r="H265" s="162" t="s">
        <v>201</v>
      </c>
      <c r="I265" s="129" t="str">
        <f t="shared" si="29"/>
        <v>Rien</v>
      </c>
      <c r="J265" s="146">
        <v>0</v>
      </c>
      <c r="K265" s="147">
        <v>0</v>
      </c>
      <c r="L265" s="148">
        <v>0</v>
      </c>
      <c r="M265" s="149">
        <v>0</v>
      </c>
      <c r="N265" s="150">
        <v>0</v>
      </c>
      <c r="O265" s="130">
        <v>0</v>
      </c>
      <c r="P265" s="130">
        <v>0</v>
      </c>
      <c r="Q265" s="130">
        <v>0</v>
      </c>
      <c r="R265" s="130">
        <v>0</v>
      </c>
      <c r="S265" s="130">
        <v>0</v>
      </c>
      <c r="T265" s="130">
        <v>0</v>
      </c>
      <c r="U265" s="130">
        <v>0</v>
      </c>
      <c r="V265" s="524">
        <v>0</v>
      </c>
      <c r="W265" s="130">
        <v>0</v>
      </c>
      <c r="X265" s="130">
        <v>0</v>
      </c>
      <c r="Y265" s="130">
        <v>0</v>
      </c>
      <c r="Z265" s="130">
        <v>0</v>
      </c>
      <c r="AA265" s="158" t="s">
        <v>2078</v>
      </c>
      <c r="AB265" s="158"/>
      <c r="AC265" s="158"/>
      <c r="AD265" s="158"/>
      <c r="AE265" s="158" t="b">
        <f>IF(AB265="",TRUE,IF(IF(AC265="",VLOOKUP(AB265,Calculs!$A$19:$S$425,19,FALSE),VLOOKUP(AC265,Calculs!$A$19:$S$425,19,FALSE))&gt;=AD265,TRUE,FALSE))</f>
        <v>1</v>
      </c>
      <c r="AF265" s="158"/>
      <c r="AG265" s="158"/>
      <c r="AH265" s="158"/>
      <c r="AI265" s="158" t="b">
        <f>IF(AF265="",TRUE,IF(IF(AG265="",VLOOKUP(AF265,Calculs!$A$19:$S$425,19,FALSE),VLOOKUP(AG265,Calculs!$A$19:$S$425,19,FALSE))&gt;=AH265,TRUE,FALSE))</f>
        <v>1</v>
      </c>
      <c r="AJ265" s="158"/>
      <c r="AK265" s="158"/>
      <c r="AL265" s="158"/>
      <c r="AM265" s="158" t="b">
        <f>IF(AJ265="",TRUE,IF(IF(AK265="",VLOOKUP(AJ265,Calculs!$A$19:$S$425,19,FALSE),VLOOKUP(AK265,Calculs!$A$19:$S$425,19,FALSE))&gt;=AL265,TRUE,FALSE))</f>
        <v>1</v>
      </c>
      <c r="AN265" s="158"/>
      <c r="AO265" s="158"/>
      <c r="AP265" s="158"/>
      <c r="AQ265" s="158" t="b">
        <f>IF(AN265="",TRUE,IF(IF(AO265="",VLOOKUP(AN265,Calculs!$A$19:$S$425,19,FALSE),VLOOKUP(AO265,Calculs!$A$19:$S$425,19,FALSE))&gt;=AP265,TRUE,FALSE))</f>
        <v>1</v>
      </c>
      <c r="AR265" s="158"/>
      <c r="AS265" s="158" t="b">
        <f>IF(AR265="",TRUE,IF(VLOOKUP(AR265,Calculs!$A$427:$G$738,7,FALSE)&gt;0,TRUE,FALSE))</f>
        <v>1</v>
      </c>
      <c r="AT265" s="158"/>
      <c r="AU265" s="158" t="b">
        <f>IF(AT265="",TRUE,IF(VLOOKUP(AT265,Calculs!$A$740:$G$912,7,FALSE)&gt;0,TRUE,FALSE))</f>
        <v>1</v>
      </c>
      <c r="AV265" s="158" t="b">
        <f t="shared" si="30"/>
        <v>1</v>
      </c>
      <c r="AW265" s="158" t="s">
        <v>2078</v>
      </c>
      <c r="AX265" s="162" t="s">
        <v>2077</v>
      </c>
      <c r="AY265" s="15">
        <v>215</v>
      </c>
      <c r="AZ265" s="555" t="str">
        <f>CONCATENATE("Vous gagnez un tatouage. Ajoutez ",Reflexes," à votre ND d'Armure. Vous pouvez utiliser vos Réflexes à la place de votre Force pour contrôler une Empoignade.")</f>
        <v>Vous gagnez un tatouage. Ajoutez 2 à votre ND d'Armure. Vous pouvez utiliser vos Réflexes à la place de votre Force pour contrôler une Empoignade.</v>
      </c>
      <c r="BA265" s="559">
        <f>IF(Verso!$B$10=Voies!$B265,1,0)</f>
        <v>0</v>
      </c>
      <c r="BB265" s="12">
        <f>IF(Verso!$B$11=Voies!$B265,1,0)</f>
        <v>0</v>
      </c>
      <c r="BC265" s="12">
        <f>IF(Verso!$B$12=Voies!$B265,1,0)</f>
        <v>0</v>
      </c>
      <c r="BD265" s="12">
        <f>IF(Verso!$B$13=Voies!$B265,1,0)</f>
        <v>0</v>
      </c>
      <c r="BE265" s="12">
        <f>IF(Verso!$B$14=Voies!$B265,1,0)</f>
        <v>0</v>
      </c>
      <c r="BF265" s="12">
        <f>IF(Verso!$B$15=Voies!$B265,1,0)</f>
        <v>0</v>
      </c>
      <c r="BG265" s="12">
        <f>IF(Verso!$B$16=Voies!$B265,1,0)</f>
        <v>0</v>
      </c>
      <c r="BH265" s="12">
        <f>IF(Verso!$B$17=Voies!$B265,1,0)</f>
        <v>0</v>
      </c>
      <c r="BI265" s="557">
        <f t="shared" si="31"/>
        <v>0</v>
      </c>
      <c r="BJ265" s="196" t="str">
        <f t="shared" si="32"/>
        <v/>
      </c>
      <c r="BK265" s="196" t="str">
        <f t="shared" si="33"/>
        <v/>
      </c>
      <c r="BL265" s="295" t="str">
        <f t="shared" si="34"/>
        <v/>
      </c>
    </row>
    <row r="266" spans="1:65" ht="47.25" customHeight="1" x14ac:dyDescent="0.25">
      <c r="A266" s="162" t="str">
        <f>IF(AND(Réputation&gt;Voies!E266-1,OR(C266=TRUE,Calculs!$I$8&gt;0),Air&gt;Voies!J266-1,Eau&gt;Voies!K266-1,Feu&gt;Voies!L266-1,Terre&gt;Voies!M266-1,Vide&gt;Voies!N266-1,Constitution&gt;Voies!O266-1,Volonté&gt;Voies!P266-1,Force&gt;Voies!Q266-1,Perception&gt;Voies!R266-1,Reflexes&gt;Voies!S266-1,Agilité&gt;Voies!T266-1,Intuition&gt;Voies!U266-1,Intelligence&gt;Voies!V266-1,Souillure&gt;Voies!W266-1,Honneur&gt;X266-1,Statut&gt;Y266-1,Gloire&gt;Z266-1,AV266=TRUE),Voies!B266,"")</f>
        <v/>
      </c>
      <c r="B266" s="162" t="s">
        <v>2259</v>
      </c>
      <c r="C266" s="162" t="b">
        <f>IF(Clan=Voies!D266,TRUE,FALSE)</f>
        <v>0</v>
      </c>
      <c r="D266" s="387" t="s">
        <v>15</v>
      </c>
      <c r="E266" s="13">
        <v>1</v>
      </c>
      <c r="F266" s="199">
        <v>1</v>
      </c>
      <c r="G266" s="199" t="s">
        <v>2048</v>
      </c>
      <c r="H266" s="162" t="s">
        <v>315</v>
      </c>
      <c r="I266" s="129" t="str">
        <f t="shared" si="29"/>
        <v>Rien</v>
      </c>
      <c r="J266" s="146">
        <v>0</v>
      </c>
      <c r="K266" s="147">
        <v>0</v>
      </c>
      <c r="L266" s="148">
        <v>0</v>
      </c>
      <c r="M266" s="149">
        <v>0</v>
      </c>
      <c r="N266" s="150">
        <v>0</v>
      </c>
      <c r="O266" s="130">
        <v>0</v>
      </c>
      <c r="P266" s="130">
        <v>0</v>
      </c>
      <c r="Q266" s="130">
        <v>0</v>
      </c>
      <c r="R266" s="130">
        <v>0</v>
      </c>
      <c r="S266" s="130">
        <v>0</v>
      </c>
      <c r="T266" s="130">
        <v>0</v>
      </c>
      <c r="U266" s="130">
        <v>0</v>
      </c>
      <c r="V266" s="524">
        <v>0</v>
      </c>
      <c r="W266" s="130">
        <v>0</v>
      </c>
      <c r="X266" s="130">
        <v>0</v>
      </c>
      <c r="Y266" s="130">
        <v>0</v>
      </c>
      <c r="Z266" s="130">
        <v>0</v>
      </c>
      <c r="AA266" s="158" t="s">
        <v>2078</v>
      </c>
      <c r="AB266" s="158"/>
      <c r="AC266" s="158"/>
      <c r="AD266" s="158"/>
      <c r="AE266" s="158" t="b">
        <f>IF(AB266="",TRUE,IF(IF(AC266="",VLOOKUP(AB266,Calculs!$A$19:$S$425,19,FALSE),VLOOKUP(AC266,Calculs!$A$19:$S$425,19,FALSE))&gt;=AD266,TRUE,FALSE))</f>
        <v>1</v>
      </c>
      <c r="AF266" s="158"/>
      <c r="AG266" s="158"/>
      <c r="AH266" s="158"/>
      <c r="AI266" s="158" t="b">
        <f>IF(AF266="",TRUE,IF(IF(AG266="",VLOOKUP(AF266,Calculs!$A$19:$S$425,19,FALSE),VLOOKUP(AG266,Calculs!$A$19:$S$425,19,FALSE))&gt;=AH266,TRUE,FALSE))</f>
        <v>1</v>
      </c>
      <c r="AJ266" s="158"/>
      <c r="AK266" s="158"/>
      <c r="AL266" s="158"/>
      <c r="AM266" s="158" t="b">
        <f>IF(AJ266="",TRUE,IF(IF(AK266="",VLOOKUP(AJ266,Calculs!$A$19:$S$425,19,FALSE),VLOOKUP(AK266,Calculs!$A$19:$S$425,19,FALSE))&gt;=AL266,TRUE,FALSE))</f>
        <v>1</v>
      </c>
      <c r="AN266" s="158"/>
      <c r="AO266" s="158"/>
      <c r="AP266" s="158"/>
      <c r="AQ266" s="158" t="b">
        <f>IF(AN266="",TRUE,IF(IF(AO266="",VLOOKUP(AN266,Calculs!$A$19:$S$425,19,FALSE),VLOOKUP(AO266,Calculs!$A$19:$S$425,19,FALSE))&gt;=AP266,TRUE,FALSE))</f>
        <v>1</v>
      </c>
      <c r="AR266" s="158"/>
      <c r="AS266" s="158" t="b">
        <f>IF(AR266="",TRUE,IF(VLOOKUP(AR266,Calculs!$A$427:$G$738,7,FALSE)&gt;0,TRUE,FALSE))</f>
        <v>1</v>
      </c>
      <c r="AT266" s="158"/>
      <c r="AU266" s="158" t="b">
        <f>IF(AT266="",TRUE,IF(VLOOKUP(AT266,Calculs!$A$740:$G$912,7,FALSE)&gt;0,TRUE,FALSE))</f>
        <v>1</v>
      </c>
      <c r="AV266" s="158" t="b">
        <f t="shared" si="30"/>
        <v>1</v>
      </c>
      <c r="AW266" s="158" t="s">
        <v>2078</v>
      </c>
      <c r="AX266" s="162" t="s">
        <v>3</v>
      </c>
      <c r="AY266" s="15">
        <v>110</v>
      </c>
      <c r="AZ266" s="555" t="s">
        <v>8537</v>
      </c>
      <c r="BA266" s="559">
        <f>IF(Verso!$B$10=Voies!$B266,1,0)</f>
        <v>0</v>
      </c>
      <c r="BB266" s="12">
        <f>IF(Verso!$B$11=Voies!$B266,1,0)</f>
        <v>0</v>
      </c>
      <c r="BC266" s="12">
        <f>IF(Verso!$B$12=Voies!$B266,1,0)</f>
        <v>0</v>
      </c>
      <c r="BD266" s="12">
        <f>IF(Verso!$B$13=Voies!$B266,1,0)</f>
        <v>0</v>
      </c>
      <c r="BE266" s="12">
        <f>IF(Verso!$B$14=Voies!$B266,1,0)</f>
        <v>0</v>
      </c>
      <c r="BF266" s="12">
        <f>IF(Verso!$B$15=Voies!$B266,1,0)</f>
        <v>0</v>
      </c>
      <c r="BG266" s="12">
        <f>IF(Verso!$B$16=Voies!$B266,1,0)</f>
        <v>0</v>
      </c>
      <c r="BH266" s="12">
        <f>IF(Verso!$B$17=Voies!$B266,1,0)</f>
        <v>0</v>
      </c>
      <c r="BI266" s="557">
        <f t="shared" si="31"/>
        <v>0</v>
      </c>
      <c r="BJ266" s="196" t="str">
        <f t="shared" si="32"/>
        <v/>
      </c>
      <c r="BK266" s="196" t="str">
        <f t="shared" si="33"/>
        <v/>
      </c>
      <c r="BL266" s="295" t="str">
        <f t="shared" si="34"/>
        <v/>
      </c>
    </row>
    <row r="267" spans="1:65" ht="47.25" customHeight="1" x14ac:dyDescent="0.25">
      <c r="A267" s="162" t="str">
        <f>IF(AND(Réputation&gt;Voies!E267-1,OR(C267=TRUE,Calculs!$I$8&gt;0),Air&gt;Voies!J267-1,Eau&gt;Voies!K267-1,Feu&gt;Voies!L267-1,Terre&gt;Voies!M267-1,Vide&gt;Voies!N267-1,Constitution&gt;Voies!O267-1,Volonté&gt;Voies!P267-1,Force&gt;Voies!Q267-1,Perception&gt;Voies!R267-1,Reflexes&gt;Voies!S267-1,Agilité&gt;Voies!T267-1,Intuition&gt;Voies!U267-1,Intelligence&gt;Voies!V267-1,Souillure&gt;Voies!W267-1,Honneur&gt;X267-1,Statut&gt;Y267-1,Gloire&gt;Z267-1,AV267=TRUE),Voies!B267,"")</f>
        <v/>
      </c>
      <c r="B267" s="162" t="s">
        <v>3819</v>
      </c>
      <c r="C267" s="162" t="b">
        <f>IF(Clan=Voies!D267,TRUE,FALSE)</f>
        <v>0</v>
      </c>
      <c r="D267" s="387" t="s">
        <v>15</v>
      </c>
      <c r="E267" s="13">
        <v>2</v>
      </c>
      <c r="F267" s="199">
        <v>2</v>
      </c>
      <c r="G267" s="157" t="s">
        <v>2078</v>
      </c>
      <c r="H267" s="162" t="s">
        <v>500</v>
      </c>
      <c r="I267" s="129" t="s">
        <v>3816</v>
      </c>
      <c r="J267" s="146">
        <v>0</v>
      </c>
      <c r="K267" s="147">
        <v>0</v>
      </c>
      <c r="L267" s="148">
        <v>0</v>
      </c>
      <c r="M267" s="149">
        <v>0</v>
      </c>
      <c r="N267" s="150">
        <v>0</v>
      </c>
      <c r="O267" s="130">
        <v>0</v>
      </c>
      <c r="P267" s="130">
        <v>0</v>
      </c>
      <c r="Q267" s="130">
        <v>0</v>
      </c>
      <c r="R267" s="130">
        <v>0</v>
      </c>
      <c r="S267" s="130">
        <v>0</v>
      </c>
      <c r="T267" s="130">
        <v>0</v>
      </c>
      <c r="U267" s="130">
        <v>0</v>
      </c>
      <c r="V267" s="524">
        <v>0</v>
      </c>
      <c r="W267" s="130">
        <v>0</v>
      </c>
      <c r="X267" s="130">
        <v>0</v>
      </c>
      <c r="Y267" s="130">
        <v>0</v>
      </c>
      <c r="Z267" s="130">
        <v>0</v>
      </c>
      <c r="AA267" s="159" t="s">
        <v>3817</v>
      </c>
      <c r="AB267" s="159" t="s">
        <v>3328</v>
      </c>
      <c r="AD267" s="159">
        <v>3</v>
      </c>
      <c r="AE267" s="158" t="b">
        <f>IF(AB267="",TRUE,IF(IF(AC267="",VLOOKUP(AB267,Calculs!$A$19:$S$425,19,FALSE),VLOOKUP(AC267,Calculs!$A$19:$S$425,19,FALSE))&gt;=AD267,TRUE,FALSE))</f>
        <v>0</v>
      </c>
      <c r="AF267" s="159" t="s">
        <v>3326</v>
      </c>
      <c r="AH267" s="159">
        <v>3</v>
      </c>
      <c r="AI267" s="158" t="b">
        <f>IF(AF267="",TRUE,IF(IF(AG267="",VLOOKUP(AF267,Calculs!$A$19:$S$425,19,FALSE),VLOOKUP(AG267,Calculs!$A$19:$S$425,19,FALSE))&gt;=AH267,TRUE,FALSE))</f>
        <v>0</v>
      </c>
      <c r="AJ267" s="159" t="s">
        <v>3327</v>
      </c>
      <c r="AL267" s="159">
        <v>3</v>
      </c>
      <c r="AM267" s="158" t="b">
        <f>IF(AJ267="",TRUE,IF(IF(AK267="",VLOOKUP(AJ267,Calculs!$A$19:$S$425,19,FALSE),VLOOKUP(AK267,Calculs!$A$19:$S$425,19,FALSE))&gt;=AL267,TRUE,FALSE))</f>
        <v>0</v>
      </c>
      <c r="AQ267" s="158" t="b">
        <f>IF(AN267="",TRUE,IF(IF(AO267="",VLOOKUP(AN267,Calculs!$A$19:$S$425,19,FALSE),VLOOKUP(AO267,Calculs!$A$19:$S$425,19,FALSE))&gt;=AP267,TRUE,FALSE))</f>
        <v>1</v>
      </c>
      <c r="AR267" s="158"/>
      <c r="AS267" s="158" t="b">
        <f>IF(AR267="",TRUE,IF(VLOOKUP(AR267,Calculs!$A$427:$G$738,7,FALSE)&gt;0,TRUE,FALSE))</f>
        <v>1</v>
      </c>
      <c r="AT267" s="158"/>
      <c r="AU267" s="158" t="b">
        <f>IF(AT267="",TRUE,IF(VLOOKUP(AT267,Calculs!$A$740:$G$912,7,FALSE)&gt;0,TRUE,FALSE))</f>
        <v>1</v>
      </c>
      <c r="AV267" s="158" t="b">
        <f t="shared" si="30"/>
        <v>0</v>
      </c>
      <c r="AW267" s="158" t="s">
        <v>2078</v>
      </c>
      <c r="AX267" s="162" t="s">
        <v>2087</v>
      </c>
      <c r="AY267" s="15">
        <v>108</v>
      </c>
      <c r="AZ267" s="555" t="str">
        <f>CONCATENATE("Dépensez un PVide ou un emplacement de sort d'eau pour ajouter +",Eau*2,"  au total de toutes les compétences d'artisanat que vous faites pour le reste de la journée. Vous ne pouvez bénéficier que d'une unique utilisation de cette technique à la fois. (Max 1 Pvide OU 1 Empl./Jour)")</f>
        <v>Dépensez un PVide ou un emplacement de sort d'eau pour ajouter +4  au total de toutes les compétences d'artisanat que vous faites pour le reste de la journée. Vous ne pouvez bénéficier que d'une unique utilisation de cette technique à la fois. (Max 1 Pvide OU 1 Empl./Jour)</v>
      </c>
      <c r="BA267" s="559">
        <f>IF(Verso!$B$10=Voies!$B267,1,0)</f>
        <v>0</v>
      </c>
      <c r="BB267" s="12">
        <f>IF(Verso!$B$11=Voies!$B267,1,0)</f>
        <v>0</v>
      </c>
      <c r="BC267" s="12">
        <f>IF(Verso!$B$12=Voies!$B267,1,0)</f>
        <v>0</v>
      </c>
      <c r="BD267" s="12">
        <f>IF(Verso!$B$13=Voies!$B267,1,0)</f>
        <v>0</v>
      </c>
      <c r="BE267" s="12">
        <f>IF(Verso!$B$14=Voies!$B267,1,0)</f>
        <v>0</v>
      </c>
      <c r="BF267" s="12">
        <f>IF(Verso!$B$15=Voies!$B267,1,0)</f>
        <v>0</v>
      </c>
      <c r="BG267" s="12">
        <f>IF(Verso!$B$16=Voies!$B267,1,0)</f>
        <v>0</v>
      </c>
      <c r="BH267" s="12">
        <f>IF(Verso!$B$17=Voies!$B267,1,0)</f>
        <v>0</v>
      </c>
      <c r="BI267" s="557">
        <f t="shared" si="31"/>
        <v>0</v>
      </c>
      <c r="BJ267" s="196" t="str">
        <f t="shared" si="32"/>
        <v/>
      </c>
      <c r="BK267" s="196" t="str">
        <f t="shared" si="33"/>
        <v/>
      </c>
      <c r="BL267" s="295" t="str">
        <f t="shared" si="34"/>
        <v/>
      </c>
    </row>
    <row r="268" spans="1:65" ht="47.25" customHeight="1" x14ac:dyDescent="0.25">
      <c r="A268" s="162" t="str">
        <f>IF(AND(Réputation&gt;Voies!E268-1,OR(C268=TRUE,Calculs!$I$8&gt;0),Air&gt;Voies!J268-1,Eau&gt;Voies!K268-1,Feu&gt;Voies!L268-1,Terre&gt;Voies!M268-1,Vide&gt;Voies!N268-1,Constitution&gt;Voies!O268-1,Volonté&gt;Voies!P268-1,Force&gt;Voies!Q268-1,Perception&gt;Voies!R268-1,Reflexes&gt;Voies!S268-1,Agilité&gt;Voies!T268-1,Intuition&gt;Voies!U268-1,Intelligence&gt;Voies!V268-1,Souillure&gt;Voies!W268-1,Honneur&gt;X268-1,Statut&gt;Y268-1,Gloire&gt;Z268-1,AV268=TRUE),Voies!B268,"")</f>
        <v/>
      </c>
      <c r="B268" s="162" t="s">
        <v>3725</v>
      </c>
      <c r="C268" s="162" t="b">
        <f>IF(Clan=Voies!D268,TRUE,FALSE)</f>
        <v>0</v>
      </c>
      <c r="D268" s="387" t="s">
        <v>15</v>
      </c>
      <c r="E268" s="13">
        <v>2</v>
      </c>
      <c r="F268" s="199">
        <v>2</v>
      </c>
      <c r="G268" s="157" t="s">
        <v>2078</v>
      </c>
      <c r="H268" s="162" t="s">
        <v>493</v>
      </c>
      <c r="I268" s="129" t="s">
        <v>3724</v>
      </c>
      <c r="J268" s="146">
        <v>0</v>
      </c>
      <c r="K268" s="147">
        <v>0</v>
      </c>
      <c r="L268" s="148">
        <v>0</v>
      </c>
      <c r="M268" s="149">
        <v>0</v>
      </c>
      <c r="N268" s="150">
        <v>0</v>
      </c>
      <c r="O268" s="130">
        <v>0</v>
      </c>
      <c r="P268" s="130">
        <v>0</v>
      </c>
      <c r="Q268" s="130">
        <v>0</v>
      </c>
      <c r="R268" s="130">
        <v>0</v>
      </c>
      <c r="S268" s="130">
        <v>0</v>
      </c>
      <c r="T268" s="130">
        <v>0</v>
      </c>
      <c r="U268" s="130">
        <v>0</v>
      </c>
      <c r="V268" s="524">
        <v>0</v>
      </c>
      <c r="W268" s="130">
        <v>0</v>
      </c>
      <c r="X268" s="130">
        <v>0</v>
      </c>
      <c r="Y268" s="130">
        <v>0</v>
      </c>
      <c r="Z268" s="130">
        <v>0</v>
      </c>
      <c r="AA268" s="159" t="s">
        <v>6377</v>
      </c>
      <c r="AB268" s="159" t="s">
        <v>3325</v>
      </c>
      <c r="AC268" s="159" t="s">
        <v>3170</v>
      </c>
      <c r="AD268" s="159">
        <v>2</v>
      </c>
      <c r="AE268" s="158" t="b">
        <f>IF(AB268="",TRUE,IF(IF(AC268="",VLOOKUP(AB268,Calculs!$A$19:$S$425,19,FALSE),VLOOKUP(AC268,Calculs!$A$19:$S$425,19,FALSE))&gt;=AD268,TRUE,FALSE))</f>
        <v>0</v>
      </c>
      <c r="AF268" s="159" t="s">
        <v>3325</v>
      </c>
      <c r="AG268" s="159" t="s">
        <v>3214</v>
      </c>
      <c r="AH268" s="159">
        <v>3</v>
      </c>
      <c r="AI268" s="158" t="b">
        <f>IF(AF268="",TRUE,IF(IF(AG268="",VLOOKUP(AF268,Calculs!$A$19:$S$425,19,FALSE),VLOOKUP(AG268,Calculs!$A$19:$S$425,19,FALSE))&gt;=AH268,TRUE,FALSE))</f>
        <v>0</v>
      </c>
      <c r="AM268" s="158" t="b">
        <f>IF(AJ268="",TRUE,IF(IF(AK268="",VLOOKUP(AJ268,Calculs!$A$19:$S$425,19,FALSE),VLOOKUP(AK268,Calculs!$A$19:$S$425,19,FALSE))&gt;=AL268,TRUE,FALSE))</f>
        <v>1</v>
      </c>
      <c r="AQ268" s="158" t="b">
        <f>IF(AN268="",TRUE,IF(IF(AO268="",VLOOKUP(AN268,Calculs!$A$19:$S$425,19,FALSE),VLOOKUP(AO268,Calculs!$A$19:$S$425,19,FALSE))&gt;=AP268,TRUE,FALSE))</f>
        <v>1</v>
      </c>
      <c r="AR268" s="158"/>
      <c r="AS268" s="158" t="b">
        <f>IF(AR268="",TRUE,IF(VLOOKUP(AR268,Calculs!$A$427:$G$738,7,FALSE)&gt;0,TRUE,FALSE))</f>
        <v>1</v>
      </c>
      <c r="AT268" s="158"/>
      <c r="AU268" s="158" t="b">
        <f>IF(AT268="",TRUE,IF(VLOOKUP(AT268,Calculs!$A$740:$G$912,7,FALSE)&gt;0,TRUE,FALSE))</f>
        <v>1</v>
      </c>
      <c r="AV268" s="158" t="b">
        <f t="shared" si="30"/>
        <v>0</v>
      </c>
      <c r="AW268" s="158" t="s">
        <v>2078</v>
      </c>
      <c r="AX268" s="162" t="s">
        <v>2921</v>
      </c>
      <c r="AY268" s="15">
        <v>98</v>
      </c>
      <c r="AZ268" s="555" t="s">
        <v>3726</v>
      </c>
      <c r="BA268" s="559">
        <f>IF(Verso!$B$10=Voies!$B268,1,0)</f>
        <v>0</v>
      </c>
      <c r="BB268" s="12">
        <f>IF(Verso!$B$11=Voies!$B268,1,0)</f>
        <v>0</v>
      </c>
      <c r="BC268" s="12">
        <f>IF(Verso!$B$12=Voies!$B268,1,0)</f>
        <v>0</v>
      </c>
      <c r="BD268" s="12">
        <f>IF(Verso!$B$13=Voies!$B268,1,0)</f>
        <v>0</v>
      </c>
      <c r="BE268" s="12">
        <f>IF(Verso!$B$14=Voies!$B268,1,0)</f>
        <v>0</v>
      </c>
      <c r="BF268" s="12">
        <f>IF(Verso!$B$15=Voies!$B268,1,0)</f>
        <v>0</v>
      </c>
      <c r="BG268" s="12">
        <f>IF(Verso!$B$16=Voies!$B268,1,0)</f>
        <v>0</v>
      </c>
      <c r="BH268" s="12">
        <f>IF(Verso!$B$17=Voies!$B268,1,0)</f>
        <v>0</v>
      </c>
      <c r="BI268" s="557">
        <f t="shared" si="31"/>
        <v>0</v>
      </c>
      <c r="BJ268" s="196" t="str">
        <f t="shared" si="32"/>
        <v/>
      </c>
      <c r="BK268" s="196" t="str">
        <f t="shared" si="33"/>
        <v/>
      </c>
      <c r="BL268" s="295" t="str">
        <f t="shared" si="34"/>
        <v/>
      </c>
    </row>
    <row r="269" spans="1:65" ht="47.25" customHeight="1" x14ac:dyDescent="0.25">
      <c r="A269" s="162" t="str">
        <f>IF(AND(Réputation&gt;Voies!E269-1,OR(C269=TRUE,Calculs!$I$8&gt;0),Air&gt;Voies!J269-1,Eau&gt;Voies!K269-1,Feu&gt;Voies!L269-1,Terre&gt;Voies!M269-1,Vide&gt;Voies!N269-1,Constitution&gt;Voies!O269-1,Volonté&gt;Voies!P269-1,Force&gt;Voies!Q269-1,Perception&gt;Voies!R269-1,Reflexes&gt;Voies!S269-1,Agilité&gt;Voies!T269-1,Intuition&gt;Voies!U269-1,Intelligence&gt;Voies!V269-1,Souillure&gt;Voies!W269-1,Honneur&gt;X269-1,Statut&gt;Y269-1,Gloire&gt;Z269-1,AV269=TRUE),Voies!B269,"")</f>
        <v/>
      </c>
      <c r="B269" s="162" t="s">
        <v>2251</v>
      </c>
      <c r="C269" s="162" t="b">
        <f>IF(Clan=Voies!D269,TRUE,FALSE)</f>
        <v>0</v>
      </c>
      <c r="D269" s="387" t="s">
        <v>15</v>
      </c>
      <c r="E269" s="13">
        <v>2</v>
      </c>
      <c r="F269" s="199">
        <v>2</v>
      </c>
      <c r="G269" s="13" t="s">
        <v>2049</v>
      </c>
      <c r="H269" s="162" t="s">
        <v>313</v>
      </c>
      <c r="I269" s="129" t="str">
        <f>IF(B269="","","Rien")</f>
        <v>Rien</v>
      </c>
      <c r="J269" s="146">
        <v>0</v>
      </c>
      <c r="K269" s="147">
        <v>0</v>
      </c>
      <c r="L269" s="148">
        <v>0</v>
      </c>
      <c r="M269" s="149">
        <v>0</v>
      </c>
      <c r="N269" s="150">
        <v>0</v>
      </c>
      <c r="O269" s="130">
        <v>0</v>
      </c>
      <c r="P269" s="130">
        <v>0</v>
      </c>
      <c r="Q269" s="130">
        <v>0</v>
      </c>
      <c r="R269" s="130">
        <v>0</v>
      </c>
      <c r="S269" s="130">
        <v>0</v>
      </c>
      <c r="T269" s="130">
        <v>0</v>
      </c>
      <c r="U269" s="130">
        <v>0</v>
      </c>
      <c r="V269" s="524">
        <v>0</v>
      </c>
      <c r="W269" s="130">
        <v>0</v>
      </c>
      <c r="X269" s="130">
        <v>0</v>
      </c>
      <c r="Y269" s="130">
        <v>0</v>
      </c>
      <c r="Z269" s="130">
        <v>0</v>
      </c>
      <c r="AA269" s="158" t="s">
        <v>2078</v>
      </c>
      <c r="AB269" s="158"/>
      <c r="AC269" s="158"/>
      <c r="AD269" s="158"/>
      <c r="AE269" s="158" t="b">
        <f>IF(AB269="",TRUE,IF(IF(AC269="",VLOOKUP(AB269,Calculs!$A$19:$S$425,19,FALSE),VLOOKUP(AC269,Calculs!$A$19:$S$425,19,FALSE))&gt;=AD269,TRUE,FALSE))</f>
        <v>1</v>
      </c>
      <c r="AF269" s="158"/>
      <c r="AG269" s="158"/>
      <c r="AH269" s="158"/>
      <c r="AI269" s="158" t="b">
        <f>IF(AF269="",TRUE,IF(IF(AG269="",VLOOKUP(AF269,Calculs!$A$19:$S$425,19,FALSE),VLOOKUP(AG269,Calculs!$A$19:$S$425,19,FALSE))&gt;=AH269,TRUE,FALSE))</f>
        <v>1</v>
      </c>
      <c r="AJ269" s="158"/>
      <c r="AK269" s="158"/>
      <c r="AL269" s="158"/>
      <c r="AM269" s="158" t="b">
        <f>IF(AJ269="",TRUE,IF(IF(AK269="",VLOOKUP(AJ269,Calculs!$A$19:$S$425,19,FALSE),VLOOKUP(AK269,Calculs!$A$19:$S$425,19,FALSE))&gt;=AL269,TRUE,FALSE))</f>
        <v>1</v>
      </c>
      <c r="AN269" s="158"/>
      <c r="AO269" s="158"/>
      <c r="AP269" s="158"/>
      <c r="AQ269" s="158" t="b">
        <f>IF(AN269="",TRUE,IF(IF(AO269="",VLOOKUP(AN269,Calculs!$A$19:$S$425,19,FALSE),VLOOKUP(AO269,Calculs!$A$19:$S$425,19,FALSE))&gt;=AP269,TRUE,FALSE))</f>
        <v>1</v>
      </c>
      <c r="AR269" s="158"/>
      <c r="AS269" s="158" t="b">
        <f>IF(AR269="",TRUE,IF(VLOOKUP(AR269,Calculs!$A$427:$G$738,7,FALSE)&gt;0,TRUE,FALSE))</f>
        <v>1</v>
      </c>
      <c r="AT269" s="158"/>
      <c r="AU269" s="158" t="b">
        <f>IF(AT269="",TRUE,IF(VLOOKUP(AT269,Calculs!$A$740:$G$912,7,FALSE)&gt;0,TRUE,FALSE))</f>
        <v>1</v>
      </c>
      <c r="AV269" s="158" t="b">
        <f t="shared" si="30"/>
        <v>1</v>
      </c>
      <c r="AW269" s="158" t="s">
        <v>2078</v>
      </c>
      <c r="AX269" s="162" t="s">
        <v>3</v>
      </c>
      <c r="AY269" s="15">
        <v>110</v>
      </c>
      <c r="AZ269" s="555" t="s">
        <v>2256</v>
      </c>
      <c r="BA269" s="559">
        <f>IF(Verso!$B$10=Voies!$B269,1,0)</f>
        <v>0</v>
      </c>
      <c r="BB269" s="12">
        <f>IF(Verso!$B$11=Voies!$B269,1,0)</f>
        <v>0</v>
      </c>
      <c r="BC269" s="12">
        <f>IF(Verso!$B$12=Voies!$B269,1,0)</f>
        <v>0</v>
      </c>
      <c r="BD269" s="12">
        <f>IF(Verso!$B$13=Voies!$B269,1,0)</f>
        <v>0</v>
      </c>
      <c r="BE269" s="12">
        <f>IF(Verso!$B$14=Voies!$B269,1,0)</f>
        <v>0</v>
      </c>
      <c r="BF269" s="12">
        <f>IF(Verso!$B$15=Voies!$B269,1,0)</f>
        <v>0</v>
      </c>
      <c r="BG269" s="12">
        <f>IF(Verso!$B$16=Voies!$B269,1,0)</f>
        <v>0</v>
      </c>
      <c r="BH269" s="12">
        <f>IF(Verso!$B$17=Voies!$B269,1,0)</f>
        <v>0</v>
      </c>
      <c r="BI269" s="557">
        <f t="shared" si="31"/>
        <v>0</v>
      </c>
      <c r="BJ269" s="196" t="str">
        <f t="shared" si="32"/>
        <v/>
      </c>
      <c r="BK269" s="196" t="str">
        <f t="shared" si="33"/>
        <v/>
      </c>
      <c r="BL269" s="295" t="str">
        <f t="shared" si="34"/>
        <v/>
      </c>
    </row>
    <row r="270" spans="1:65" ht="47.25" customHeight="1" x14ac:dyDescent="0.25">
      <c r="A270" s="162" t="str">
        <f>IF(AND(Réputation&gt;Voies!E270-1,OR(C270=TRUE,Calculs!$I$8&gt;0),Air&gt;Voies!J270-1,Eau&gt;Voies!K270-1,Feu&gt;Voies!L270-1,Terre&gt;Voies!M270-1,Vide&gt;Voies!N270-1,Constitution&gt;Voies!O270-1,Volonté&gt;Voies!P270-1,Force&gt;Voies!Q270-1,Perception&gt;Voies!R270-1,Reflexes&gt;Voies!S270-1,Agilité&gt;Voies!T270-1,Intuition&gt;Voies!U270-1,Intelligence&gt;Voies!V270-1,Souillure&gt;Voies!W270-1,Honneur&gt;X270-1,Statut&gt;Y270-1,Gloire&gt;Z270-1,AV270=TRUE),Voies!B270,"")</f>
        <v/>
      </c>
      <c r="B270" s="162" t="s">
        <v>4814</v>
      </c>
      <c r="C270" s="162" t="b">
        <f>IF(Clan=Voies!D270,TRUE,FALSE)</f>
        <v>0</v>
      </c>
      <c r="D270" s="387" t="s">
        <v>15</v>
      </c>
      <c r="E270" s="13">
        <v>2</v>
      </c>
      <c r="F270" s="199">
        <v>2</v>
      </c>
      <c r="G270" s="13" t="s">
        <v>2049</v>
      </c>
      <c r="H270" s="162" t="s">
        <v>1936</v>
      </c>
      <c r="I270" s="129" t="str">
        <f>IF(B270="","","Rien")</f>
        <v>Rien</v>
      </c>
      <c r="J270" s="146">
        <v>0</v>
      </c>
      <c r="K270" s="147">
        <v>0</v>
      </c>
      <c r="L270" s="148">
        <v>0</v>
      </c>
      <c r="M270" s="149">
        <v>0</v>
      </c>
      <c r="N270" s="150">
        <v>0</v>
      </c>
      <c r="O270" s="130">
        <v>0</v>
      </c>
      <c r="P270" s="130">
        <v>0</v>
      </c>
      <c r="Q270" s="130">
        <v>0</v>
      </c>
      <c r="R270" s="130">
        <v>0</v>
      </c>
      <c r="S270" s="130">
        <v>0</v>
      </c>
      <c r="T270" s="130">
        <v>0</v>
      </c>
      <c r="U270" s="130">
        <v>0</v>
      </c>
      <c r="V270" s="524">
        <v>0</v>
      </c>
      <c r="W270" s="130">
        <v>0</v>
      </c>
      <c r="X270" s="130">
        <v>0</v>
      </c>
      <c r="Y270" s="130">
        <v>0</v>
      </c>
      <c r="Z270" s="130">
        <v>0</v>
      </c>
      <c r="AA270" s="158" t="s">
        <v>2078</v>
      </c>
      <c r="AB270" s="158"/>
      <c r="AC270" s="158"/>
      <c r="AD270" s="158"/>
      <c r="AE270" s="158" t="b">
        <f>IF(AB270="",TRUE,IF(IF(AC270="",VLOOKUP(AB270,Calculs!$A$19:$S$425,19,FALSE),VLOOKUP(AC270,Calculs!$A$19:$S$425,19,FALSE))&gt;=AD270,TRUE,FALSE))</f>
        <v>1</v>
      </c>
      <c r="AF270" s="158"/>
      <c r="AG270" s="158"/>
      <c r="AH270" s="158"/>
      <c r="AI270" s="158" t="b">
        <f>IF(AF270="",TRUE,IF(IF(AG270="",VLOOKUP(AF270,Calculs!$A$19:$S$425,19,FALSE),VLOOKUP(AG270,Calculs!$A$19:$S$425,19,FALSE))&gt;=AH270,TRUE,FALSE))</f>
        <v>1</v>
      </c>
      <c r="AJ270" s="158"/>
      <c r="AK270" s="158"/>
      <c r="AL270" s="158"/>
      <c r="AM270" s="158" t="b">
        <f>IF(AJ270="",TRUE,IF(IF(AK270="",VLOOKUP(AJ270,Calculs!$A$19:$S$425,19,FALSE),VLOOKUP(AK270,Calculs!$A$19:$S$425,19,FALSE))&gt;=AL270,TRUE,FALSE))</f>
        <v>1</v>
      </c>
      <c r="AN270" s="158"/>
      <c r="AO270" s="158"/>
      <c r="AP270" s="158"/>
      <c r="AQ270" s="158" t="b">
        <f>IF(AN270="",TRUE,IF(IF(AO270="",VLOOKUP(AN270,Calculs!$A$19:$S$425,19,FALSE),VLOOKUP(AO270,Calculs!$A$19:$S$425,19,FALSE))&gt;=AP270,TRUE,FALSE))</f>
        <v>1</v>
      </c>
      <c r="AR270" s="158"/>
      <c r="AS270" s="158" t="b">
        <f>IF(AR270="",TRUE,IF(VLOOKUP(AR270,Calculs!$A$427:$G$738,7,FALSE)&gt;0,TRUE,FALSE))</f>
        <v>1</v>
      </c>
      <c r="AT270" s="158"/>
      <c r="AU270" s="158" t="b">
        <f>IF(AT270="",TRUE,IF(VLOOKUP(AT270,Calculs!$A$740:$G$912,7,FALSE)&gt;0,TRUE,FALSE))</f>
        <v>1</v>
      </c>
      <c r="AV270" s="158" t="b">
        <f t="shared" si="30"/>
        <v>1</v>
      </c>
      <c r="AW270" s="158" t="s">
        <v>2078</v>
      </c>
      <c r="AX270" s="162" t="s">
        <v>5202</v>
      </c>
      <c r="AY270" s="15">
        <v>221</v>
      </c>
      <c r="AZ270" s="555" t="s">
        <v>2641</v>
      </c>
      <c r="BA270" s="559">
        <f>IF(Verso!$B$10=Voies!$B270,1,0)</f>
        <v>0</v>
      </c>
      <c r="BB270" s="12">
        <f>IF(Verso!$B$11=Voies!$B270,1,0)</f>
        <v>0</v>
      </c>
      <c r="BC270" s="12">
        <f>IF(Verso!$B$12=Voies!$B270,1,0)</f>
        <v>0</v>
      </c>
      <c r="BD270" s="12">
        <f>IF(Verso!$B$13=Voies!$B270,1,0)</f>
        <v>0</v>
      </c>
      <c r="BE270" s="12">
        <f>IF(Verso!$B$14=Voies!$B270,1,0)</f>
        <v>0</v>
      </c>
      <c r="BF270" s="12">
        <f>IF(Verso!$B$15=Voies!$B270,1,0)</f>
        <v>0</v>
      </c>
      <c r="BG270" s="12">
        <f>IF(Verso!$B$16=Voies!$B270,1,0)</f>
        <v>0</v>
      </c>
      <c r="BH270" s="12">
        <f>IF(Verso!$B$17=Voies!$B270,1,0)</f>
        <v>0</v>
      </c>
      <c r="BI270" s="557">
        <f t="shared" si="31"/>
        <v>0</v>
      </c>
      <c r="BJ270" s="196" t="str">
        <f t="shared" si="32"/>
        <v/>
      </c>
      <c r="BK270" s="196" t="str">
        <f t="shared" si="33"/>
        <v/>
      </c>
      <c r="BL270" s="295" t="str">
        <f t="shared" si="34"/>
        <v/>
      </c>
    </row>
    <row r="271" spans="1:65" ht="47.25" customHeight="1" x14ac:dyDescent="0.25">
      <c r="A271" s="162" t="str">
        <f>IF(AND(Réputation&gt;Voies!E271-1,OR(C271=TRUE,Calculs!$I$8&gt;0),Air&gt;Voies!J271-1,Eau&gt;Voies!K271-1,Feu&gt;Voies!L271-1,Terre&gt;Voies!M271-1,Vide&gt;Voies!N271-1,Constitution&gt;Voies!O271-1,Volonté&gt;Voies!P271-1,Force&gt;Voies!Q271-1,Perception&gt;Voies!R271-1,Reflexes&gt;Voies!S271-1,Agilité&gt;Voies!T271-1,Intuition&gt;Voies!U271-1,Intelligence&gt;Voies!V271-1,Souillure&gt;Voies!W271-1,Honneur&gt;X271-1,Statut&gt;Y271-1,Gloire&gt;Z271-1,AV271=TRUE),Voies!B271,"")</f>
        <v/>
      </c>
      <c r="B271" s="162" t="s">
        <v>3143</v>
      </c>
      <c r="C271" s="162" t="b">
        <f>IF(Clan=Voies!D271,TRUE,FALSE)</f>
        <v>0</v>
      </c>
      <c r="D271" s="387" t="s">
        <v>15</v>
      </c>
      <c r="E271" s="13">
        <v>2</v>
      </c>
      <c r="F271" s="199">
        <v>2</v>
      </c>
      <c r="G271" s="13" t="s">
        <v>2049</v>
      </c>
      <c r="H271" s="162" t="s">
        <v>496</v>
      </c>
      <c r="I271" s="129" t="s">
        <v>3142</v>
      </c>
      <c r="J271" s="146">
        <v>0</v>
      </c>
      <c r="K271" s="147">
        <v>0</v>
      </c>
      <c r="L271" s="148">
        <v>0</v>
      </c>
      <c r="M271" s="149">
        <v>0</v>
      </c>
      <c r="N271" s="150">
        <v>0</v>
      </c>
      <c r="O271" s="130">
        <v>0</v>
      </c>
      <c r="P271" s="130">
        <v>0</v>
      </c>
      <c r="Q271" s="130">
        <v>0</v>
      </c>
      <c r="R271" s="130">
        <v>0</v>
      </c>
      <c r="S271" s="130">
        <v>0</v>
      </c>
      <c r="T271" s="130">
        <v>0</v>
      </c>
      <c r="U271" s="130">
        <v>0</v>
      </c>
      <c r="V271" s="524">
        <v>0</v>
      </c>
      <c r="W271" s="130">
        <v>0</v>
      </c>
      <c r="X271" s="130">
        <v>0</v>
      </c>
      <c r="Y271" s="130">
        <v>0</v>
      </c>
      <c r="Z271" s="130">
        <v>0</v>
      </c>
      <c r="AA271" s="159" t="s">
        <v>3144</v>
      </c>
      <c r="AB271" s="159" t="s">
        <v>1267</v>
      </c>
      <c r="AC271" s="159" t="s">
        <v>1384</v>
      </c>
      <c r="AD271" s="159">
        <v>3</v>
      </c>
      <c r="AE271" s="158" t="b">
        <f>IF(AB271="",TRUE,IF(IF(AC271="",VLOOKUP(AB271,Calculs!$A$19:$S$425,19,FALSE),VLOOKUP(AC271,Calculs!$A$19:$S$425,19,FALSE))&gt;=AD271,TRUE,FALSE))</f>
        <v>0</v>
      </c>
      <c r="AI271" s="158" t="b">
        <f>IF(AF271="",TRUE,IF(IF(AG271="",VLOOKUP(AF271,Calculs!$A$19:$S$425,19,FALSE),VLOOKUP(AG271,Calculs!$A$19:$S$425,19,FALSE))&gt;=AH271,TRUE,FALSE))</f>
        <v>1</v>
      </c>
      <c r="AM271" s="158" t="b">
        <f>IF(AJ271="",TRUE,IF(IF(AK271="",VLOOKUP(AJ271,Calculs!$A$19:$S$425,19,FALSE),VLOOKUP(AK271,Calculs!$A$19:$S$425,19,FALSE))&gt;=AL271,TRUE,FALSE))</f>
        <v>1</v>
      </c>
      <c r="AQ271" s="158" t="b">
        <f>IF(AN271="",TRUE,IF(IF(AO271="",VLOOKUP(AN271,Calculs!$A$19:$S$425,19,FALSE),VLOOKUP(AO271,Calculs!$A$19:$S$425,19,FALSE))&gt;=AP271,TRUE,FALSE))</f>
        <v>1</v>
      </c>
      <c r="AR271" s="158"/>
      <c r="AS271" s="158" t="b">
        <f>IF(AR271="",TRUE,IF(VLOOKUP(AR271,Calculs!$A$427:$G$738,7,FALSE)&gt;0,TRUE,FALSE))</f>
        <v>1</v>
      </c>
      <c r="AT271" s="158"/>
      <c r="AU271" s="158" t="b">
        <f>IF(AT271="",TRUE,IF(VLOOKUP(AT271,Calculs!$A$740:$G$912,7,FALSE)&gt;0,TRUE,FALSE))</f>
        <v>1</v>
      </c>
      <c r="AV271" s="158" t="b">
        <f t="shared" si="30"/>
        <v>0</v>
      </c>
      <c r="AW271" s="158" t="s">
        <v>2078</v>
      </c>
      <c r="AX271" s="162" t="s">
        <v>3</v>
      </c>
      <c r="AY271" s="15">
        <v>252</v>
      </c>
      <c r="AZ271" s="555" t="s">
        <v>3145</v>
      </c>
      <c r="BA271" s="559">
        <f>IF(Verso!$B$10=Voies!$B271,1,0)</f>
        <v>0</v>
      </c>
      <c r="BB271" s="12">
        <f>IF(Verso!$B$11=Voies!$B271,1,0)</f>
        <v>0</v>
      </c>
      <c r="BC271" s="12">
        <f>IF(Verso!$B$12=Voies!$B271,1,0)</f>
        <v>0</v>
      </c>
      <c r="BD271" s="12">
        <f>IF(Verso!$B$13=Voies!$B271,1,0)</f>
        <v>0</v>
      </c>
      <c r="BE271" s="12">
        <f>IF(Verso!$B$14=Voies!$B271,1,0)</f>
        <v>0</v>
      </c>
      <c r="BF271" s="12">
        <f>IF(Verso!$B$15=Voies!$B271,1,0)</f>
        <v>0</v>
      </c>
      <c r="BG271" s="12">
        <f>IF(Verso!$B$16=Voies!$B271,1,0)</f>
        <v>0</v>
      </c>
      <c r="BH271" s="12">
        <f>IF(Verso!$B$17=Voies!$B271,1,0)</f>
        <v>0</v>
      </c>
      <c r="BI271" s="557">
        <f t="shared" si="31"/>
        <v>0</v>
      </c>
      <c r="BJ271" s="196" t="str">
        <f t="shared" si="32"/>
        <v/>
      </c>
      <c r="BK271" s="196" t="str">
        <f t="shared" si="33"/>
        <v/>
      </c>
      <c r="BL271" s="295" t="str">
        <f t="shared" si="34"/>
        <v/>
      </c>
    </row>
    <row r="272" spans="1:65" ht="47.25" customHeight="1" x14ac:dyDescent="0.25">
      <c r="A272" s="162" t="str">
        <f>IF(AND(Réputation&gt;Voies!E272-1,OR(C272=TRUE,Calculs!$I$8&gt;0),Air&gt;Voies!J272-1,Eau&gt;Voies!K272-1,Feu&gt;Voies!L272-1,Terre&gt;Voies!M272-1,Vide&gt;Voies!N272-1,Constitution&gt;Voies!O272-1,Volonté&gt;Voies!P272-1,Force&gt;Voies!Q272-1,Perception&gt;Voies!R272-1,Reflexes&gt;Voies!S272-1,Agilité&gt;Voies!T272-1,Intuition&gt;Voies!U272-1,Intelligence&gt;Voies!V272-1,Souillure&gt;Voies!W272-1,Honneur&gt;X272-1,Statut&gt;Y272-1,Gloire&gt;Z272-1,AV272=TRUE),Voies!B272,"")</f>
        <v/>
      </c>
      <c r="B272" s="162" t="s">
        <v>2264</v>
      </c>
      <c r="C272" s="162" t="b">
        <f>IF(Clan=Voies!D272,TRUE,FALSE)</f>
        <v>0</v>
      </c>
      <c r="D272" s="387" t="s">
        <v>15</v>
      </c>
      <c r="E272" s="13">
        <v>2</v>
      </c>
      <c r="F272" s="199">
        <v>2</v>
      </c>
      <c r="G272" s="13" t="s">
        <v>2052</v>
      </c>
      <c r="H272" s="162" t="s">
        <v>316</v>
      </c>
      <c r="I272" s="129" t="str">
        <f>IF(B272="","","Rien")</f>
        <v>Rien</v>
      </c>
      <c r="J272" s="146">
        <v>0</v>
      </c>
      <c r="K272" s="147">
        <v>0</v>
      </c>
      <c r="L272" s="148">
        <v>0</v>
      </c>
      <c r="M272" s="149">
        <v>0</v>
      </c>
      <c r="N272" s="150">
        <v>0</v>
      </c>
      <c r="O272" s="130">
        <v>0</v>
      </c>
      <c r="P272" s="130">
        <v>0</v>
      </c>
      <c r="Q272" s="130">
        <v>0</v>
      </c>
      <c r="R272" s="130">
        <v>0</v>
      </c>
      <c r="S272" s="130">
        <v>0</v>
      </c>
      <c r="T272" s="130">
        <v>0</v>
      </c>
      <c r="U272" s="130">
        <v>0</v>
      </c>
      <c r="V272" s="524">
        <v>0</v>
      </c>
      <c r="W272" s="130">
        <v>0</v>
      </c>
      <c r="X272" s="130">
        <v>0</v>
      </c>
      <c r="Y272" s="130">
        <v>0</v>
      </c>
      <c r="Z272" s="130">
        <v>0</v>
      </c>
      <c r="AA272" s="158" t="s">
        <v>2078</v>
      </c>
      <c r="AB272" s="158"/>
      <c r="AC272" s="158"/>
      <c r="AD272" s="158"/>
      <c r="AE272" s="158" t="b">
        <f>IF(AB272="",TRUE,IF(IF(AC272="",VLOOKUP(AB272,Calculs!$A$19:$S$425,19,FALSE),VLOOKUP(AC272,Calculs!$A$19:$S$425,19,FALSE))&gt;=AD272,TRUE,FALSE))</f>
        <v>1</v>
      </c>
      <c r="AF272" s="158"/>
      <c r="AG272" s="158"/>
      <c r="AH272" s="158"/>
      <c r="AI272" s="158" t="b">
        <f>IF(AF272="",TRUE,IF(IF(AG272="",VLOOKUP(AF272,Calculs!$A$19:$S$425,19,FALSE),VLOOKUP(AG272,Calculs!$A$19:$S$425,19,FALSE))&gt;=AH272,TRUE,FALSE))</f>
        <v>1</v>
      </c>
      <c r="AJ272" s="158"/>
      <c r="AK272" s="158"/>
      <c r="AL272" s="158"/>
      <c r="AM272" s="158" t="b">
        <f>IF(AJ272="",TRUE,IF(IF(AK272="",VLOOKUP(AJ272,Calculs!$A$19:$S$425,19,FALSE),VLOOKUP(AK272,Calculs!$A$19:$S$425,19,FALSE))&gt;=AL272,TRUE,FALSE))</f>
        <v>1</v>
      </c>
      <c r="AN272" s="158"/>
      <c r="AO272" s="158"/>
      <c r="AP272" s="158"/>
      <c r="AQ272" s="158" t="b">
        <f>IF(AN272="",TRUE,IF(IF(AO272="",VLOOKUP(AN272,Calculs!$A$19:$S$425,19,FALSE),VLOOKUP(AO272,Calculs!$A$19:$S$425,19,FALSE))&gt;=AP272,TRUE,FALSE))</f>
        <v>1</v>
      </c>
      <c r="AR272" s="158"/>
      <c r="AS272" s="158" t="b">
        <f>IF(AR272="",TRUE,IF(VLOOKUP(AR272,Calculs!$A$427:$G$738,7,FALSE)&gt;0,TRUE,FALSE))</f>
        <v>1</v>
      </c>
      <c r="AT272" s="158"/>
      <c r="AU272" s="158" t="b">
        <f>IF(AT272="",TRUE,IF(VLOOKUP(AT272,Calculs!$A$740:$G$912,7,FALSE)&gt;0,TRUE,FALSE))</f>
        <v>1</v>
      </c>
      <c r="AV272" s="158" t="b">
        <f t="shared" si="30"/>
        <v>1</v>
      </c>
      <c r="AW272" s="158" t="s">
        <v>2078</v>
      </c>
      <c r="AX272" s="162" t="s">
        <v>3</v>
      </c>
      <c r="AY272" s="15">
        <v>111</v>
      </c>
      <c r="AZ272" s="555" t="s">
        <v>2268</v>
      </c>
      <c r="BA272" s="559">
        <f>IF(Verso!$B$10=Voies!$B272,1,0)</f>
        <v>0</v>
      </c>
      <c r="BB272" s="12">
        <f>IF(Verso!$B$11=Voies!$B272,1,0)</f>
        <v>0</v>
      </c>
      <c r="BC272" s="12">
        <f>IF(Verso!$B$12=Voies!$B272,1,0)</f>
        <v>0</v>
      </c>
      <c r="BD272" s="12">
        <f>IF(Verso!$B$13=Voies!$B272,1,0)</f>
        <v>0</v>
      </c>
      <c r="BE272" s="12">
        <f>IF(Verso!$B$14=Voies!$B272,1,0)</f>
        <v>0</v>
      </c>
      <c r="BF272" s="12">
        <f>IF(Verso!$B$15=Voies!$B272,1,0)</f>
        <v>0</v>
      </c>
      <c r="BG272" s="12">
        <f>IF(Verso!$B$16=Voies!$B272,1,0)</f>
        <v>0</v>
      </c>
      <c r="BH272" s="12">
        <f>IF(Verso!$B$17=Voies!$B272,1,0)</f>
        <v>0</v>
      </c>
      <c r="BI272" s="557">
        <f t="shared" si="31"/>
        <v>0</v>
      </c>
      <c r="BJ272" s="196" t="str">
        <f t="shared" si="32"/>
        <v/>
      </c>
      <c r="BK272" s="196" t="str">
        <f t="shared" si="33"/>
        <v/>
      </c>
      <c r="BL272" s="295" t="str">
        <f t="shared" si="34"/>
        <v/>
      </c>
    </row>
    <row r="273" spans="1:65" ht="47.25" customHeight="1" x14ac:dyDescent="0.25">
      <c r="A273" s="162" t="str">
        <f>IF(AND(Réputation&gt;Voies!E273-1,OR(C273=TRUE,Calculs!$I$8&gt;0),Air&gt;Voies!J273-1,Eau&gt;Voies!K273-1,Feu&gt;Voies!L273-1,Terre&gt;Voies!M273-1,Vide&gt;Voies!N273-1,Constitution&gt;Voies!O273-1,Volonté&gt;Voies!P273-1,Force&gt;Voies!Q273-1,Perception&gt;Voies!R273-1,Reflexes&gt;Voies!S273-1,Agilité&gt;Voies!T273-1,Intuition&gt;Voies!U273-1,Intelligence&gt;Voies!V273-1,Souillure&gt;Voies!W273-1,Honneur&gt;X273-1,Statut&gt;Y273-1,Gloire&gt;Z273-1,AV273=TRUE),Voies!B273,"")</f>
        <v/>
      </c>
      <c r="B273" s="162" t="s">
        <v>3517</v>
      </c>
      <c r="C273" s="162" t="b">
        <f>IF(Clan=Voies!D273,TRUE,FALSE)</f>
        <v>0</v>
      </c>
      <c r="D273" s="387" t="s">
        <v>15</v>
      </c>
      <c r="E273" s="13">
        <v>2</v>
      </c>
      <c r="F273" s="199">
        <v>2</v>
      </c>
      <c r="G273" s="13" t="s">
        <v>2050</v>
      </c>
      <c r="H273" s="162" t="s">
        <v>499</v>
      </c>
      <c r="I273" s="129" t="s">
        <v>3515</v>
      </c>
      <c r="J273" s="146">
        <v>0</v>
      </c>
      <c r="K273" s="147">
        <v>0</v>
      </c>
      <c r="L273" s="148">
        <v>3</v>
      </c>
      <c r="M273" s="149">
        <v>3</v>
      </c>
      <c r="N273" s="150">
        <v>0</v>
      </c>
      <c r="O273" s="130">
        <v>0</v>
      </c>
      <c r="P273" s="130">
        <v>0</v>
      </c>
      <c r="Q273" s="130">
        <v>0</v>
      </c>
      <c r="R273" s="130">
        <v>0</v>
      </c>
      <c r="S273" s="130">
        <v>0</v>
      </c>
      <c r="T273" s="130">
        <v>0</v>
      </c>
      <c r="U273" s="130">
        <v>0</v>
      </c>
      <c r="V273" s="524">
        <v>0</v>
      </c>
      <c r="W273" s="130">
        <v>0</v>
      </c>
      <c r="X273" s="130">
        <v>0</v>
      </c>
      <c r="Y273" s="130">
        <v>0</v>
      </c>
      <c r="Z273" s="130">
        <v>0</v>
      </c>
      <c r="AA273" s="159" t="s">
        <v>3516</v>
      </c>
      <c r="AB273" s="159" t="s">
        <v>1265</v>
      </c>
      <c r="AD273" s="159">
        <v>3</v>
      </c>
      <c r="AE273" s="158" t="b">
        <f>IF(AB273="",TRUE,IF(IF(AC273="",VLOOKUP(AB273,Calculs!$A$19:$S$425,19,FALSE),VLOOKUP(AC273,Calculs!$A$19:$S$425,19,FALSE))&gt;=AD273,TRUE,FALSE))</f>
        <v>0</v>
      </c>
      <c r="AI273" s="158" t="b">
        <f>IF(AF273="",TRUE,IF(IF(AG273="",VLOOKUP(AF273,Calculs!$A$19:$S$425,19,FALSE),VLOOKUP(AG273,Calculs!$A$19:$S$425,19,FALSE))&gt;=AH273,TRUE,FALSE))</f>
        <v>1</v>
      </c>
      <c r="AM273" s="158" t="b">
        <f>IF(AJ273="",TRUE,IF(IF(AK273="",VLOOKUP(AJ273,Calculs!$A$19:$S$425,19,FALSE),VLOOKUP(AK273,Calculs!$A$19:$S$425,19,FALSE))&gt;=AL273,TRUE,FALSE))</f>
        <v>1</v>
      </c>
      <c r="AQ273" s="158" t="b">
        <f>IF(AN273="",TRUE,IF(IF(AO273="",VLOOKUP(AN273,Calculs!$A$19:$S$425,19,FALSE),VLOOKUP(AO273,Calculs!$A$19:$S$425,19,FALSE))&gt;=AP273,TRUE,FALSE))</f>
        <v>1</v>
      </c>
      <c r="AR273" s="158"/>
      <c r="AS273" s="158" t="b">
        <f>IF(AR273="",TRUE,IF(VLOOKUP(AR273,Calculs!$A$427:$G$738,7,FALSE)&gt;0,TRUE,FALSE))</f>
        <v>1</v>
      </c>
      <c r="AT273" s="158"/>
      <c r="AU273" s="158" t="b">
        <f>IF(AT273="",TRUE,IF(VLOOKUP(AT273,Calculs!$A$740:$G$912,7,FALSE)&gt;0,TRUE,FALSE))</f>
        <v>1</v>
      </c>
      <c r="AV273" s="158" t="b">
        <f t="shared" si="30"/>
        <v>0</v>
      </c>
      <c r="AW273" s="158" t="s">
        <v>2078</v>
      </c>
      <c r="AX273" s="162" t="s">
        <v>160</v>
      </c>
      <c r="AY273" s="15">
        <v>181</v>
      </c>
      <c r="AZ273" s="555" t="s">
        <v>3518</v>
      </c>
      <c r="BA273" s="559">
        <f>IF(Verso!$B$10=Voies!$B273,1,0)</f>
        <v>0</v>
      </c>
      <c r="BB273" s="12">
        <f>IF(Verso!$B$11=Voies!$B273,1,0)</f>
        <v>0</v>
      </c>
      <c r="BC273" s="12">
        <f>IF(Verso!$B$12=Voies!$B273,1,0)</f>
        <v>0</v>
      </c>
      <c r="BD273" s="12">
        <f>IF(Verso!$B$13=Voies!$B273,1,0)</f>
        <v>0</v>
      </c>
      <c r="BE273" s="12">
        <f>IF(Verso!$B$14=Voies!$B273,1,0)</f>
        <v>0</v>
      </c>
      <c r="BF273" s="12">
        <f>IF(Verso!$B$15=Voies!$B273,1,0)</f>
        <v>0</v>
      </c>
      <c r="BG273" s="12">
        <f>IF(Verso!$B$16=Voies!$B273,1,0)</f>
        <v>0</v>
      </c>
      <c r="BH273" s="12">
        <f>IF(Verso!$B$17=Voies!$B273,1,0)</f>
        <v>0</v>
      </c>
      <c r="BI273" s="557">
        <f t="shared" si="31"/>
        <v>0</v>
      </c>
      <c r="BJ273" s="196" t="str">
        <f t="shared" si="32"/>
        <v/>
      </c>
      <c r="BK273" s="196" t="str">
        <f t="shared" si="33"/>
        <v/>
      </c>
      <c r="BL273" s="295" t="str">
        <f t="shared" si="34"/>
        <v/>
      </c>
    </row>
    <row r="274" spans="1:65" ht="47.25" customHeight="1" x14ac:dyDescent="0.25">
      <c r="A274" s="162" t="str">
        <f>IF(AND(Réputation&gt;Voies!E274-1,OR(C274=TRUE,Calculs!$I$8&gt;0),Air&gt;Voies!J274-1,Eau&gt;Voies!K274-1,Feu&gt;Voies!L274-1,Terre&gt;Voies!M274-1,Vide&gt;Voies!N274-1,Constitution&gt;Voies!O274-1,Volonté&gt;Voies!P274-1,Force&gt;Voies!Q274-1,Perception&gt;Voies!R274-1,Reflexes&gt;Voies!S274-1,Agilité&gt;Voies!T274-1,Intuition&gt;Voies!U274-1,Intelligence&gt;Voies!V274-1,Souillure&gt;Voies!W274-1,Honneur&gt;X274-1,Statut&gt;Y274-1,Gloire&gt;Z274-1,AV274=TRUE),Voies!B274,"")</f>
        <v/>
      </c>
      <c r="B274" s="162" t="s">
        <v>2275</v>
      </c>
      <c r="C274" s="162" t="b">
        <f>IF(Clan=Voies!D274,TRUE,FALSE)</f>
        <v>0</v>
      </c>
      <c r="D274" s="387" t="s">
        <v>15</v>
      </c>
      <c r="E274" s="13">
        <v>2</v>
      </c>
      <c r="F274" s="199">
        <v>2</v>
      </c>
      <c r="G274" s="13" t="s">
        <v>2050</v>
      </c>
      <c r="H274" s="162" t="s">
        <v>202</v>
      </c>
      <c r="I274" s="129" t="str">
        <f>IF(B274="","","Rien")</f>
        <v>Rien</v>
      </c>
      <c r="J274" s="146">
        <v>0</v>
      </c>
      <c r="K274" s="147">
        <v>0</v>
      </c>
      <c r="L274" s="148">
        <v>0</v>
      </c>
      <c r="M274" s="149">
        <v>0</v>
      </c>
      <c r="N274" s="150">
        <v>0</v>
      </c>
      <c r="O274" s="130">
        <v>0</v>
      </c>
      <c r="P274" s="130">
        <v>0</v>
      </c>
      <c r="Q274" s="130">
        <v>0</v>
      </c>
      <c r="R274" s="130">
        <v>0</v>
      </c>
      <c r="S274" s="130">
        <v>0</v>
      </c>
      <c r="T274" s="130">
        <v>0</v>
      </c>
      <c r="U274" s="130">
        <v>0</v>
      </c>
      <c r="V274" s="524">
        <v>0</v>
      </c>
      <c r="W274" s="130">
        <v>0</v>
      </c>
      <c r="X274" s="130">
        <v>0</v>
      </c>
      <c r="Y274" s="130">
        <v>0</v>
      </c>
      <c r="Z274" s="130">
        <v>0</v>
      </c>
      <c r="AA274" s="158" t="s">
        <v>2078</v>
      </c>
      <c r="AB274" s="158"/>
      <c r="AC274" s="158"/>
      <c r="AD274" s="158"/>
      <c r="AE274" s="158" t="b">
        <f>IF(AB274="",TRUE,IF(IF(AC274="",VLOOKUP(AB274,Calculs!$A$19:$S$425,19,FALSE),VLOOKUP(AC274,Calculs!$A$19:$S$425,19,FALSE))&gt;=AD274,TRUE,FALSE))</f>
        <v>1</v>
      </c>
      <c r="AF274" s="158"/>
      <c r="AG274" s="158"/>
      <c r="AH274" s="158"/>
      <c r="AI274" s="158" t="b">
        <f>IF(AF274="",TRUE,IF(IF(AG274="",VLOOKUP(AF274,Calculs!$A$19:$S$425,19,FALSE),VLOOKUP(AG274,Calculs!$A$19:$S$425,19,FALSE))&gt;=AH274,TRUE,FALSE))</f>
        <v>1</v>
      </c>
      <c r="AJ274" s="158"/>
      <c r="AK274" s="158"/>
      <c r="AL274" s="158"/>
      <c r="AM274" s="158" t="b">
        <f>IF(AJ274="",TRUE,IF(IF(AK274="",VLOOKUP(AJ274,Calculs!$A$19:$S$425,19,FALSE),VLOOKUP(AK274,Calculs!$A$19:$S$425,19,FALSE))&gt;=AL274,TRUE,FALSE))</f>
        <v>1</v>
      </c>
      <c r="AN274" s="158"/>
      <c r="AO274" s="158"/>
      <c r="AP274" s="158"/>
      <c r="AQ274" s="158" t="b">
        <f>IF(AN274="",TRUE,IF(IF(AO274="",VLOOKUP(AN274,Calculs!$A$19:$S$425,19,FALSE),VLOOKUP(AO274,Calculs!$A$19:$S$425,19,FALSE))&gt;=AP274,TRUE,FALSE))</f>
        <v>1</v>
      </c>
      <c r="AR274" s="158"/>
      <c r="AS274" s="158" t="b">
        <f>IF(AR274="",TRUE,IF(VLOOKUP(AR274,Calculs!$A$427:$G$738,7,FALSE)&gt;0,TRUE,FALSE))</f>
        <v>1</v>
      </c>
      <c r="AT274" s="158"/>
      <c r="AU274" s="158" t="b">
        <f>IF(AT274="",TRUE,IF(VLOOKUP(AT274,Calculs!$A$740:$G$912,7,FALSE)&gt;0,TRUE,FALSE))</f>
        <v>1</v>
      </c>
      <c r="AV274" s="158" t="b">
        <f t="shared" si="30"/>
        <v>1</v>
      </c>
      <c r="AW274" s="158" t="s">
        <v>2078</v>
      </c>
      <c r="AX274" s="162" t="s">
        <v>3</v>
      </c>
      <c r="AY274" s="15">
        <v>111</v>
      </c>
      <c r="AZ274" s="566" t="s">
        <v>2276</v>
      </c>
      <c r="BA274" s="559">
        <f>IF(Verso!$B$10=Voies!$B274,1,0)</f>
        <v>0</v>
      </c>
      <c r="BB274" s="12">
        <f>IF(Verso!$B$11=Voies!$B274,1,0)</f>
        <v>0</v>
      </c>
      <c r="BC274" s="12">
        <f>IF(Verso!$B$12=Voies!$B274,1,0)</f>
        <v>0</v>
      </c>
      <c r="BD274" s="12">
        <f>IF(Verso!$B$13=Voies!$B274,1,0)</f>
        <v>0</v>
      </c>
      <c r="BE274" s="12">
        <f>IF(Verso!$B$14=Voies!$B274,1,0)</f>
        <v>0</v>
      </c>
      <c r="BF274" s="12">
        <f>IF(Verso!$B$15=Voies!$B274,1,0)</f>
        <v>0</v>
      </c>
      <c r="BG274" s="12">
        <f>IF(Verso!$B$16=Voies!$B274,1,0)</f>
        <v>0</v>
      </c>
      <c r="BH274" s="12">
        <f>IF(Verso!$B$17=Voies!$B274,1,0)</f>
        <v>0</v>
      </c>
      <c r="BI274" s="557">
        <f t="shared" si="31"/>
        <v>0</v>
      </c>
      <c r="BJ274" s="196" t="str">
        <f t="shared" si="32"/>
        <v/>
      </c>
      <c r="BK274" s="196" t="str">
        <f t="shared" si="33"/>
        <v/>
      </c>
      <c r="BL274" s="295" t="str">
        <f t="shared" si="34"/>
        <v/>
      </c>
    </row>
    <row r="275" spans="1:65" ht="47.25" customHeight="1" x14ac:dyDescent="0.25">
      <c r="A275" s="162" t="str">
        <f>IF(AND(Réputation&gt;Voies!E275-1,OR(C275=TRUE,Calculs!$I$8&gt;0),Air&gt;Voies!J275-1,Eau&gt;Voies!K275-1,Feu&gt;Voies!L275-1,Terre&gt;Voies!M275-1,Vide&gt;Voies!N275-1,Constitution&gt;Voies!O275-1,Volonté&gt;Voies!P275-1,Force&gt;Voies!Q275-1,Perception&gt;Voies!R275-1,Reflexes&gt;Voies!S275-1,Agilité&gt;Voies!T275-1,Intuition&gt;Voies!U275-1,Intelligence&gt;Voies!V275-1,Souillure&gt;Voies!W275-1,Honneur&gt;X275-1,Statut&gt;Y275-1,Gloire&gt;Z275-1,AV275=TRUE),Voies!B275,"")</f>
        <v/>
      </c>
      <c r="B275" s="162" t="s">
        <v>2953</v>
      </c>
      <c r="C275" s="162" t="b">
        <f>IF(Clan=Voies!D275,TRUE,FALSE)</f>
        <v>0</v>
      </c>
      <c r="D275" s="387" t="s">
        <v>15</v>
      </c>
      <c r="E275" s="13">
        <v>2</v>
      </c>
      <c r="F275" s="199">
        <v>2</v>
      </c>
      <c r="G275" s="13" t="s">
        <v>2050</v>
      </c>
      <c r="H275" s="162" t="s">
        <v>201</v>
      </c>
      <c r="I275" s="129" t="str">
        <f>IF(B275="","","Rien")</f>
        <v>Rien</v>
      </c>
      <c r="J275" s="146">
        <v>0</v>
      </c>
      <c r="K275" s="147">
        <v>0</v>
      </c>
      <c r="L275" s="148">
        <v>0</v>
      </c>
      <c r="M275" s="149">
        <v>0</v>
      </c>
      <c r="N275" s="150">
        <v>0</v>
      </c>
      <c r="O275" s="130">
        <v>0</v>
      </c>
      <c r="P275" s="130">
        <v>0</v>
      </c>
      <c r="Q275" s="130">
        <v>0</v>
      </c>
      <c r="R275" s="130">
        <v>0</v>
      </c>
      <c r="S275" s="130">
        <v>0</v>
      </c>
      <c r="T275" s="130">
        <v>0</v>
      </c>
      <c r="U275" s="130">
        <v>0</v>
      </c>
      <c r="V275" s="524">
        <v>0</v>
      </c>
      <c r="W275" s="130">
        <v>0</v>
      </c>
      <c r="X275" s="130">
        <v>0</v>
      </c>
      <c r="Y275" s="130">
        <v>0</v>
      </c>
      <c r="Z275" s="130">
        <v>0</v>
      </c>
      <c r="AA275" s="158" t="s">
        <v>2078</v>
      </c>
      <c r="AB275" s="158"/>
      <c r="AC275" s="158"/>
      <c r="AD275" s="158"/>
      <c r="AE275" s="158" t="b">
        <f>IF(AB275="",TRUE,IF(IF(AC275="",VLOOKUP(AB275,Calculs!$A$19:$S$425,19,FALSE),VLOOKUP(AC275,Calculs!$A$19:$S$425,19,FALSE))&gt;=AD275,TRUE,FALSE))</f>
        <v>1</v>
      </c>
      <c r="AF275" s="158"/>
      <c r="AG275" s="158"/>
      <c r="AH275" s="158"/>
      <c r="AI275" s="158" t="b">
        <f>IF(AF275="",TRUE,IF(IF(AG275="",VLOOKUP(AF275,Calculs!$A$19:$S$425,19,FALSE),VLOOKUP(AG275,Calculs!$A$19:$S$425,19,FALSE))&gt;=AH275,TRUE,FALSE))</f>
        <v>1</v>
      </c>
      <c r="AJ275" s="158"/>
      <c r="AK275" s="158"/>
      <c r="AL275" s="158"/>
      <c r="AM275" s="158" t="b">
        <f>IF(AJ275="",TRUE,IF(IF(AK275="",VLOOKUP(AJ275,Calculs!$A$19:$S$425,19,FALSE),VLOOKUP(AK275,Calculs!$A$19:$S$425,19,FALSE))&gt;=AL275,TRUE,FALSE))</f>
        <v>1</v>
      </c>
      <c r="AN275" s="158"/>
      <c r="AO275" s="158"/>
      <c r="AP275" s="158"/>
      <c r="AQ275" s="158" t="b">
        <f>IF(AN275="",TRUE,IF(IF(AO275="",VLOOKUP(AN275,Calculs!$A$19:$S$425,19,FALSE),VLOOKUP(AO275,Calculs!$A$19:$S$425,19,FALSE))&gt;=AP275,TRUE,FALSE))</f>
        <v>1</v>
      </c>
      <c r="AR275" s="158"/>
      <c r="AS275" s="158" t="b">
        <f>IF(AR275="",TRUE,IF(VLOOKUP(AR275,Calculs!$A$427:$G$738,7,FALSE)&gt;0,TRUE,FALSE))</f>
        <v>1</v>
      </c>
      <c r="AT275" s="158"/>
      <c r="AU275" s="158" t="b">
        <f>IF(AT275="",TRUE,IF(VLOOKUP(AT275,Calculs!$A$740:$G$912,7,FALSE)&gt;0,TRUE,FALSE))</f>
        <v>1</v>
      </c>
      <c r="AV275" s="158" t="b">
        <f t="shared" si="30"/>
        <v>1</v>
      </c>
      <c r="AW275" s="158" t="s">
        <v>2078</v>
      </c>
      <c r="AX275" s="162" t="s">
        <v>2077</v>
      </c>
      <c r="AY275" s="15">
        <v>215</v>
      </c>
      <c r="AZ275" s="555" t="s">
        <v>2957</v>
      </c>
      <c r="BA275" s="559">
        <f>IF(Verso!$B$10=Voies!$B275,1,0)</f>
        <v>0</v>
      </c>
      <c r="BB275" s="12">
        <f>IF(Verso!$B$11=Voies!$B275,1,0)</f>
        <v>0</v>
      </c>
      <c r="BC275" s="12">
        <f>IF(Verso!$B$12=Voies!$B275,1,0)</f>
        <v>0</v>
      </c>
      <c r="BD275" s="12">
        <f>IF(Verso!$B$13=Voies!$B275,1,0)</f>
        <v>0</v>
      </c>
      <c r="BE275" s="12">
        <f>IF(Verso!$B$14=Voies!$B275,1,0)</f>
        <v>0</v>
      </c>
      <c r="BF275" s="12">
        <f>IF(Verso!$B$15=Voies!$B275,1,0)</f>
        <v>0</v>
      </c>
      <c r="BG275" s="12">
        <f>IF(Verso!$B$16=Voies!$B275,1,0)</f>
        <v>0</v>
      </c>
      <c r="BH275" s="12">
        <f>IF(Verso!$B$17=Voies!$B275,1,0)</f>
        <v>0</v>
      </c>
      <c r="BI275" s="557">
        <f t="shared" si="31"/>
        <v>0</v>
      </c>
      <c r="BJ275" s="196" t="str">
        <f t="shared" si="32"/>
        <v/>
      </c>
      <c r="BK275" s="196" t="str">
        <f t="shared" si="33"/>
        <v/>
      </c>
      <c r="BL275" s="295" t="str">
        <f t="shared" si="34"/>
        <v/>
      </c>
    </row>
    <row r="276" spans="1:65" ht="47.25" customHeight="1" x14ac:dyDescent="0.25">
      <c r="A276" s="162" t="str">
        <f>IF(AND(Réputation&gt;Voies!E276-1,OR(C276=TRUE,Calculs!$I$8&gt;0),Air&gt;Voies!J276-1,Eau&gt;Voies!K276-1,Feu&gt;Voies!L276-1,Terre&gt;Voies!M276-1,Vide&gt;Voies!N276-1,Constitution&gt;Voies!O276-1,Volonté&gt;Voies!P276-1,Force&gt;Voies!Q276-1,Perception&gt;Voies!R276-1,Reflexes&gt;Voies!S276-1,Agilité&gt;Voies!T276-1,Intuition&gt;Voies!U276-1,Intelligence&gt;Voies!V276-1,Souillure&gt;Voies!W276-1,Honneur&gt;X276-1,Statut&gt;Y276-1,Gloire&gt;Z276-1,AV276=TRUE),Voies!B276,"")</f>
        <v/>
      </c>
      <c r="B276" s="162" t="s">
        <v>3444</v>
      </c>
      <c r="C276" s="162" t="b">
        <f>IF(Clan=Voies!D276,TRUE,FALSE)</f>
        <v>0</v>
      </c>
      <c r="D276" s="387" t="s">
        <v>15</v>
      </c>
      <c r="E276" s="13">
        <v>2</v>
      </c>
      <c r="F276" s="199">
        <v>2</v>
      </c>
      <c r="G276" s="13" t="s">
        <v>2056</v>
      </c>
      <c r="H276" s="162" t="s">
        <v>498</v>
      </c>
      <c r="I276" s="129" t="s">
        <v>3442</v>
      </c>
      <c r="J276" s="146">
        <v>0</v>
      </c>
      <c r="K276" s="147">
        <v>0</v>
      </c>
      <c r="L276" s="148">
        <v>0</v>
      </c>
      <c r="M276" s="149">
        <v>0</v>
      </c>
      <c r="N276" s="150">
        <v>0</v>
      </c>
      <c r="O276" s="130">
        <v>0</v>
      </c>
      <c r="P276" s="130">
        <v>0</v>
      </c>
      <c r="Q276" s="130">
        <v>0</v>
      </c>
      <c r="R276" s="130">
        <v>0</v>
      </c>
      <c r="S276" s="130">
        <v>0</v>
      </c>
      <c r="T276" s="130">
        <v>0</v>
      </c>
      <c r="U276" s="130">
        <v>0</v>
      </c>
      <c r="V276" s="524">
        <v>0</v>
      </c>
      <c r="W276" s="130">
        <v>0</v>
      </c>
      <c r="X276" s="130">
        <v>0</v>
      </c>
      <c r="Y276" s="130">
        <v>0</v>
      </c>
      <c r="Z276" s="130">
        <v>0</v>
      </c>
      <c r="AA276" s="159" t="s">
        <v>6363</v>
      </c>
      <c r="AB276" s="159" t="s">
        <v>3328</v>
      </c>
      <c r="AC276" s="159" t="s">
        <v>3183</v>
      </c>
      <c r="AD276" s="159">
        <v>3</v>
      </c>
      <c r="AE276" s="158" t="b">
        <f>IF(AB276="",TRUE,IF(IF(AC276="",VLOOKUP(AB276,Calculs!$A$19:$S$425,19,FALSE),VLOOKUP(AC276,Calculs!$A$19:$S$425,19,FALSE))&gt;=AD276,TRUE,FALSE))</f>
        <v>0</v>
      </c>
      <c r="AI276" s="158" t="b">
        <f>IF(AF276="",TRUE,IF(IF(AG276="",VLOOKUP(AF276,Calculs!$A$19:$S$425,19,FALSE),VLOOKUP(AG276,Calculs!$A$19:$S$425,19,FALSE))&gt;=AH276,TRUE,FALSE))</f>
        <v>1</v>
      </c>
      <c r="AM276" s="158" t="b">
        <f>IF(AJ276="",TRUE,IF(IF(AK276="",VLOOKUP(AJ276,Calculs!$A$19:$S$425,19,FALSE),VLOOKUP(AK276,Calculs!$A$19:$S$425,19,FALSE))&gt;=AL276,TRUE,FALSE))</f>
        <v>1</v>
      </c>
      <c r="AQ276" s="158" t="b">
        <f>IF(AN276="",TRUE,IF(IF(AO276="",VLOOKUP(AN276,Calculs!$A$19:$S$425,19,FALSE),VLOOKUP(AO276,Calculs!$A$19:$S$425,19,FALSE))&gt;=AP276,TRUE,FALSE))</f>
        <v>1</v>
      </c>
      <c r="AR276" s="158"/>
      <c r="AS276" s="158" t="b">
        <f>IF(AR276="",TRUE,IF(VLOOKUP(AR276,Calculs!$A$427:$G$738,7,FALSE)&gt;0,TRUE,FALSE))</f>
        <v>1</v>
      </c>
      <c r="AT276" s="158"/>
      <c r="AU276" s="158" t="b">
        <f>IF(AT276="",TRUE,IF(VLOOKUP(AT276,Calculs!$A$740:$G$912,7,FALSE)&gt;0,TRUE,FALSE))</f>
        <v>1</v>
      </c>
      <c r="AV276" s="158" t="b">
        <f t="shared" si="30"/>
        <v>0</v>
      </c>
      <c r="AW276" s="159" t="s">
        <v>3443</v>
      </c>
      <c r="AX276" s="162" t="s">
        <v>158</v>
      </c>
      <c r="AY276" s="151">
        <v>196</v>
      </c>
      <c r="AZ276" s="555" t="str">
        <f>CONCATENATE("Dépensez tous vos Pvide qd vs faites un test d'Artisanat pr créer une Arme Samurai. L'arme gagne ",Terre, " AG qui peuvent être utilisés en maniant cette lame. Les AG dépensées se régénèrent après 30 j. Vous ne pouvez créer qu'au maximum ",Terre," armes de cette façon")</f>
        <v>Dépensez tous vos Pvide qd vs faites un test d'Artisanat pr créer une Arme Samurai. L'arme gagne 2 AG qui peuvent être utilisés en maniant cette lame. Les AG dépensées se régénèrent après 30 j. Vous ne pouvez créer qu'au maximum 2 armes de cette façon</v>
      </c>
      <c r="BA276" s="559">
        <f>IF(Verso!$B$10=Voies!$B276,1,0)</f>
        <v>0</v>
      </c>
      <c r="BB276" s="12">
        <f>IF(Verso!$B$11=Voies!$B276,1,0)</f>
        <v>0</v>
      </c>
      <c r="BC276" s="12">
        <f>IF(Verso!$B$12=Voies!$B276,1,0)</f>
        <v>0</v>
      </c>
      <c r="BD276" s="12">
        <f>IF(Verso!$B$13=Voies!$B276,1,0)</f>
        <v>0</v>
      </c>
      <c r="BE276" s="12">
        <f>IF(Verso!$B$14=Voies!$B276,1,0)</f>
        <v>0</v>
      </c>
      <c r="BF276" s="12">
        <f>IF(Verso!$B$15=Voies!$B276,1,0)</f>
        <v>0</v>
      </c>
      <c r="BG276" s="12">
        <f>IF(Verso!$B$16=Voies!$B276,1,0)</f>
        <v>0</v>
      </c>
      <c r="BH276" s="12">
        <f>IF(Verso!$B$17=Voies!$B276,1,0)</f>
        <v>0</v>
      </c>
      <c r="BI276" s="557">
        <f t="shared" si="31"/>
        <v>0</v>
      </c>
      <c r="BJ276" s="196" t="str">
        <f t="shared" si="32"/>
        <v/>
      </c>
      <c r="BK276" s="196" t="str">
        <f t="shared" si="33"/>
        <v/>
      </c>
      <c r="BL276" s="295" t="str">
        <f t="shared" si="34"/>
        <v/>
      </c>
    </row>
    <row r="277" spans="1:65" ht="47.25" customHeight="1" x14ac:dyDescent="0.25">
      <c r="A277" s="162" t="str">
        <f>IF(AND(Réputation&gt;Voies!E277-1,OR(C277=TRUE,Calculs!$I$8&gt;0),Air&gt;Voies!J277-1,Eau&gt;Voies!K277-1,Feu&gt;Voies!L277-1,Terre&gt;Voies!M277-1,Vide&gt;Voies!N277-1,Constitution&gt;Voies!O277-1,Volonté&gt;Voies!P277-1,Force&gt;Voies!Q277-1,Perception&gt;Voies!R277-1,Reflexes&gt;Voies!S277-1,Agilité&gt;Voies!T277-1,Intuition&gt;Voies!U277-1,Intelligence&gt;Voies!V277-1,Souillure&gt;Voies!W277-1,Honneur&gt;X277-1,Statut&gt;Y277-1,Gloire&gt;Z277-1,AV277=TRUE),Voies!B277,"")</f>
        <v/>
      </c>
      <c r="B277" s="162" t="s">
        <v>2252</v>
      </c>
      <c r="C277" s="162" t="b">
        <f>IF(Clan=Voies!D277,TRUE,FALSE)</f>
        <v>0</v>
      </c>
      <c r="D277" s="387" t="s">
        <v>15</v>
      </c>
      <c r="E277" s="13">
        <v>3</v>
      </c>
      <c r="F277" s="199">
        <v>3</v>
      </c>
      <c r="G277" s="13" t="s">
        <v>2049</v>
      </c>
      <c r="H277" s="162" t="s">
        <v>313</v>
      </c>
      <c r="I277" s="129" t="str">
        <f>IF(B277="","","Rien")</f>
        <v>Rien</v>
      </c>
      <c r="J277" s="146">
        <v>0</v>
      </c>
      <c r="K277" s="147">
        <v>0</v>
      </c>
      <c r="L277" s="148">
        <v>0</v>
      </c>
      <c r="M277" s="149">
        <v>0</v>
      </c>
      <c r="N277" s="150">
        <v>0</v>
      </c>
      <c r="O277" s="130">
        <v>0</v>
      </c>
      <c r="P277" s="130">
        <v>0</v>
      </c>
      <c r="Q277" s="130">
        <v>0</v>
      </c>
      <c r="R277" s="130">
        <v>0</v>
      </c>
      <c r="S277" s="130">
        <v>0</v>
      </c>
      <c r="T277" s="130">
        <v>0</v>
      </c>
      <c r="U277" s="130">
        <v>0</v>
      </c>
      <c r="V277" s="524">
        <v>0</v>
      </c>
      <c r="W277" s="130">
        <v>0</v>
      </c>
      <c r="X277" s="130">
        <v>0</v>
      </c>
      <c r="Y277" s="130">
        <v>0</v>
      </c>
      <c r="Z277" s="130">
        <v>0</v>
      </c>
      <c r="AA277" s="158" t="s">
        <v>2078</v>
      </c>
      <c r="AB277" s="158"/>
      <c r="AC277" s="158"/>
      <c r="AD277" s="158"/>
      <c r="AE277" s="158" t="b">
        <f>IF(AB277="",TRUE,IF(IF(AC277="",VLOOKUP(AB277,Calculs!$A$19:$S$425,19,FALSE),VLOOKUP(AC277,Calculs!$A$19:$S$425,19,FALSE))&gt;=AD277,TRUE,FALSE))</f>
        <v>1</v>
      </c>
      <c r="AF277" s="158"/>
      <c r="AG277" s="158"/>
      <c r="AH277" s="158"/>
      <c r="AI277" s="158" t="b">
        <f>IF(AF277="",TRUE,IF(IF(AG277="",VLOOKUP(AF277,Calculs!$A$19:$S$425,19,FALSE),VLOOKUP(AG277,Calculs!$A$19:$S$425,19,FALSE))&gt;=AH277,TRUE,FALSE))</f>
        <v>1</v>
      </c>
      <c r="AJ277" s="158"/>
      <c r="AK277" s="158"/>
      <c r="AL277" s="158"/>
      <c r="AM277" s="158" t="b">
        <f>IF(AJ277="",TRUE,IF(IF(AK277="",VLOOKUP(AJ277,Calculs!$A$19:$S$425,19,FALSE),VLOOKUP(AK277,Calculs!$A$19:$S$425,19,FALSE))&gt;=AL277,TRUE,FALSE))</f>
        <v>1</v>
      </c>
      <c r="AN277" s="158"/>
      <c r="AO277" s="158"/>
      <c r="AP277" s="158"/>
      <c r="AQ277" s="158" t="b">
        <f>IF(AN277="",TRUE,IF(IF(AO277="",VLOOKUP(AN277,Calculs!$A$19:$S$425,19,FALSE),VLOOKUP(AO277,Calculs!$A$19:$S$425,19,FALSE))&gt;=AP277,TRUE,FALSE))</f>
        <v>1</v>
      </c>
      <c r="AR277" s="158"/>
      <c r="AS277" s="158" t="b">
        <f>IF(AR277="",TRUE,IF(VLOOKUP(AR277,Calculs!$A$427:$G$738,7,FALSE)&gt;0,TRUE,FALSE))</f>
        <v>1</v>
      </c>
      <c r="AT277" s="158"/>
      <c r="AU277" s="158" t="b">
        <f>IF(AT277="",TRUE,IF(VLOOKUP(AT277,Calculs!$A$740:$G$912,7,FALSE)&gt;0,TRUE,FALSE))</f>
        <v>1</v>
      </c>
      <c r="AV277" s="158" t="b">
        <f t="shared" si="30"/>
        <v>1</v>
      </c>
      <c r="AW277" s="158" t="s">
        <v>2078</v>
      </c>
      <c r="AX277" s="162" t="s">
        <v>3</v>
      </c>
      <c r="AY277" s="15">
        <v>110</v>
      </c>
      <c r="AZ277" s="555" t="s">
        <v>2247</v>
      </c>
      <c r="BA277" s="559">
        <f>IF(Verso!$B$10=Voies!$B277,1,0)</f>
        <v>0</v>
      </c>
      <c r="BB277" s="12">
        <f>IF(Verso!$B$11=Voies!$B277,1,0)</f>
        <v>0</v>
      </c>
      <c r="BC277" s="12">
        <f>IF(Verso!$B$12=Voies!$B277,1,0)</f>
        <v>0</v>
      </c>
      <c r="BD277" s="12">
        <f>IF(Verso!$B$13=Voies!$B277,1,0)</f>
        <v>0</v>
      </c>
      <c r="BE277" s="12">
        <f>IF(Verso!$B$14=Voies!$B277,1,0)</f>
        <v>0</v>
      </c>
      <c r="BF277" s="12">
        <f>IF(Verso!$B$15=Voies!$B277,1,0)</f>
        <v>0</v>
      </c>
      <c r="BG277" s="12">
        <f>IF(Verso!$B$16=Voies!$B277,1,0)</f>
        <v>0</v>
      </c>
      <c r="BH277" s="12">
        <f>IF(Verso!$B$17=Voies!$B277,1,0)</f>
        <v>0</v>
      </c>
      <c r="BI277" s="557">
        <f t="shared" si="31"/>
        <v>0</v>
      </c>
      <c r="BJ277" s="196" t="str">
        <f t="shared" si="32"/>
        <v/>
      </c>
      <c r="BK277" s="196" t="str">
        <f t="shared" si="33"/>
        <v/>
      </c>
      <c r="BL277" s="295" t="str">
        <f t="shared" si="34"/>
        <v/>
      </c>
    </row>
    <row r="278" spans="1:65" ht="47.25" customHeight="1" x14ac:dyDescent="0.25">
      <c r="A278" s="162" t="str">
        <f>IF(AND(Réputation&gt;Voies!E278-1,OR(C278=TRUE,Calculs!$I$8&gt;0),Air&gt;Voies!J278-1,Eau&gt;Voies!K278-1,Feu&gt;Voies!L278-1,Terre&gt;Voies!M278-1,Vide&gt;Voies!N278-1,Constitution&gt;Voies!O278-1,Volonté&gt;Voies!P278-1,Force&gt;Voies!Q278-1,Perception&gt;Voies!R278-1,Reflexes&gt;Voies!S278-1,Agilité&gt;Voies!T278-1,Intuition&gt;Voies!U278-1,Intelligence&gt;Voies!V278-1,Souillure&gt;Voies!W278-1,Honneur&gt;X278-1,Statut&gt;Y278-1,Gloire&gt;Z278-1,AV278=TRUE),Voies!B278,"")</f>
        <v/>
      </c>
      <c r="B278" s="162" t="s">
        <v>4815</v>
      </c>
      <c r="C278" s="162" t="b">
        <f>IF(Clan=Voies!D278,TRUE,FALSE)</f>
        <v>0</v>
      </c>
      <c r="D278" s="387" t="s">
        <v>15</v>
      </c>
      <c r="E278" s="13">
        <v>3</v>
      </c>
      <c r="F278" s="199">
        <v>3</v>
      </c>
      <c r="G278" s="13" t="s">
        <v>2049</v>
      </c>
      <c r="H278" s="162" t="s">
        <v>1936</v>
      </c>
      <c r="I278" s="129" t="str">
        <f>IF(B278="","","Rien")</f>
        <v>Rien</v>
      </c>
      <c r="J278" s="146">
        <v>0</v>
      </c>
      <c r="K278" s="147">
        <v>0</v>
      </c>
      <c r="L278" s="148">
        <v>0</v>
      </c>
      <c r="M278" s="149">
        <v>0</v>
      </c>
      <c r="N278" s="150">
        <v>0</v>
      </c>
      <c r="O278" s="130">
        <v>0</v>
      </c>
      <c r="P278" s="130">
        <v>0</v>
      </c>
      <c r="Q278" s="130">
        <v>0</v>
      </c>
      <c r="R278" s="130">
        <v>0</v>
      </c>
      <c r="S278" s="130">
        <v>0</v>
      </c>
      <c r="T278" s="130">
        <v>0</v>
      </c>
      <c r="U278" s="130">
        <v>0</v>
      </c>
      <c r="V278" s="524">
        <v>0</v>
      </c>
      <c r="W278" s="130">
        <v>0</v>
      </c>
      <c r="X278" s="130">
        <v>0</v>
      </c>
      <c r="Y278" s="130">
        <v>0</v>
      </c>
      <c r="Z278" s="130">
        <v>0</v>
      </c>
      <c r="AA278" s="158" t="s">
        <v>2078</v>
      </c>
      <c r="AB278" s="158"/>
      <c r="AC278" s="158"/>
      <c r="AD278" s="158"/>
      <c r="AE278" s="158" t="b">
        <f>IF(AB278="",TRUE,IF(IF(AC278="",VLOOKUP(AB278,Calculs!$A$19:$S$425,19,FALSE),VLOOKUP(AC278,Calculs!$A$19:$S$425,19,FALSE))&gt;=AD278,TRUE,FALSE))</f>
        <v>1</v>
      </c>
      <c r="AF278" s="158"/>
      <c r="AG278" s="158"/>
      <c r="AH278" s="158"/>
      <c r="AI278" s="158" t="b">
        <f>IF(AF278="",TRUE,IF(IF(AG278="",VLOOKUP(AF278,Calculs!$A$19:$S$425,19,FALSE),VLOOKUP(AG278,Calculs!$A$19:$S$425,19,FALSE))&gt;=AH278,TRUE,FALSE))</f>
        <v>1</v>
      </c>
      <c r="AJ278" s="158"/>
      <c r="AK278" s="158"/>
      <c r="AL278" s="158"/>
      <c r="AM278" s="158" t="b">
        <f>IF(AJ278="",TRUE,IF(IF(AK278="",VLOOKUP(AJ278,Calculs!$A$19:$S$425,19,FALSE),VLOOKUP(AK278,Calculs!$A$19:$S$425,19,FALSE))&gt;=AL278,TRUE,FALSE))</f>
        <v>1</v>
      </c>
      <c r="AN278" s="158"/>
      <c r="AO278" s="158"/>
      <c r="AP278" s="158"/>
      <c r="AQ278" s="158" t="b">
        <f>IF(AN278="",TRUE,IF(IF(AO278="",VLOOKUP(AN278,Calculs!$A$19:$S$425,19,FALSE),VLOOKUP(AO278,Calculs!$A$19:$S$425,19,FALSE))&gt;=AP278,TRUE,FALSE))</f>
        <v>1</v>
      </c>
      <c r="AR278" s="158"/>
      <c r="AS278" s="158" t="b">
        <f>IF(AR278="",TRUE,IF(VLOOKUP(AR278,Calculs!$A$427:$G$738,7,FALSE)&gt;0,TRUE,FALSE))</f>
        <v>1</v>
      </c>
      <c r="AT278" s="158"/>
      <c r="AU278" s="158" t="b">
        <f>IF(AT278="",TRUE,IF(VLOOKUP(AT278,Calculs!$A$740:$G$912,7,FALSE)&gt;0,TRUE,FALSE))</f>
        <v>1</v>
      </c>
      <c r="AV278" s="158" t="b">
        <f t="shared" si="30"/>
        <v>1</v>
      </c>
      <c r="AW278" s="158" t="s">
        <v>2078</v>
      </c>
      <c r="AX278" s="162" t="s">
        <v>5202</v>
      </c>
      <c r="AY278" s="15">
        <v>221</v>
      </c>
      <c r="AZ278" s="555" t="s">
        <v>2644</v>
      </c>
      <c r="BA278" s="559">
        <f>IF(Verso!$B$10=Voies!$B278,1,0)</f>
        <v>0</v>
      </c>
      <c r="BB278" s="12">
        <f>IF(Verso!$B$11=Voies!$B278,1,0)</f>
        <v>0</v>
      </c>
      <c r="BC278" s="12">
        <f>IF(Verso!$B$12=Voies!$B278,1,0)</f>
        <v>0</v>
      </c>
      <c r="BD278" s="12">
        <f>IF(Verso!$B$13=Voies!$B278,1,0)</f>
        <v>0</v>
      </c>
      <c r="BE278" s="12">
        <f>IF(Verso!$B$14=Voies!$B278,1,0)</f>
        <v>0</v>
      </c>
      <c r="BF278" s="12">
        <f>IF(Verso!$B$15=Voies!$B278,1,0)</f>
        <v>0</v>
      </c>
      <c r="BG278" s="12">
        <f>IF(Verso!$B$16=Voies!$B278,1,0)</f>
        <v>0</v>
      </c>
      <c r="BH278" s="12">
        <f>IF(Verso!$B$17=Voies!$B278,1,0)</f>
        <v>0</v>
      </c>
      <c r="BI278" s="557">
        <f t="shared" si="31"/>
        <v>0</v>
      </c>
      <c r="BJ278" s="196" t="str">
        <f t="shared" si="32"/>
        <v/>
      </c>
      <c r="BK278" s="196" t="str">
        <f t="shared" si="33"/>
        <v/>
      </c>
      <c r="BL278" s="295" t="str">
        <f t="shared" si="34"/>
        <v/>
      </c>
    </row>
    <row r="279" spans="1:65" ht="47.25" customHeight="1" x14ac:dyDescent="0.25">
      <c r="A279" s="162" t="str">
        <f>IF(AND(Réputation&gt;Voies!E279-1,OR(C279=TRUE,Calculs!$I$8&gt;0),Air&gt;Voies!J279-1,Eau&gt;Voies!K279-1,Feu&gt;Voies!L279-1,Terre&gt;Voies!M279-1,Vide&gt;Voies!N279-1,Constitution&gt;Voies!O279-1,Volonté&gt;Voies!P279-1,Force&gt;Voies!Q279-1,Perception&gt;Voies!R279-1,Reflexes&gt;Voies!S279-1,Agilité&gt;Voies!T279-1,Intuition&gt;Voies!U279-1,Intelligence&gt;Voies!V279-1,Souillure&gt;Voies!W279-1,Honneur&gt;X279-1,Statut&gt;Y279-1,Gloire&gt;Z279-1,AV279=TRUE),Voies!B279,"")</f>
        <v/>
      </c>
      <c r="B279" s="162" t="s">
        <v>3645</v>
      </c>
      <c r="C279" s="162" t="b">
        <f>IF(Clan=Voies!D279,TRUE,FALSE)</f>
        <v>0</v>
      </c>
      <c r="D279" s="387" t="s">
        <v>15</v>
      </c>
      <c r="E279" s="13">
        <v>3</v>
      </c>
      <c r="F279" s="199">
        <v>3</v>
      </c>
      <c r="G279" s="13" t="s">
        <v>2049</v>
      </c>
      <c r="H279" s="162" t="s">
        <v>495</v>
      </c>
      <c r="I279" s="129" t="s">
        <v>3610</v>
      </c>
      <c r="J279" s="146">
        <v>0</v>
      </c>
      <c r="K279" s="147">
        <v>0</v>
      </c>
      <c r="L279" s="148">
        <v>0</v>
      </c>
      <c r="M279" s="149">
        <v>0</v>
      </c>
      <c r="N279" s="150">
        <v>0</v>
      </c>
      <c r="O279" s="130">
        <v>0</v>
      </c>
      <c r="P279" s="130">
        <v>0</v>
      </c>
      <c r="Q279" s="130">
        <v>0</v>
      </c>
      <c r="R279" s="130">
        <v>0</v>
      </c>
      <c r="S279" s="130">
        <v>0</v>
      </c>
      <c r="T279" s="130">
        <v>0</v>
      </c>
      <c r="U279" s="130">
        <v>0</v>
      </c>
      <c r="V279" s="524">
        <v>0</v>
      </c>
      <c r="W279" s="130">
        <v>0</v>
      </c>
      <c r="X279" s="130">
        <v>0</v>
      </c>
      <c r="Y279" s="130">
        <v>0</v>
      </c>
      <c r="Z279" s="130">
        <v>0</v>
      </c>
      <c r="AA279" s="159" t="s">
        <v>3644</v>
      </c>
      <c r="AB279" s="159" t="s">
        <v>1263</v>
      </c>
      <c r="AD279" s="159">
        <v>4</v>
      </c>
      <c r="AE279" s="158" t="b">
        <f>IF(AB279="",TRUE,IF(IF(AC279="",VLOOKUP(AB279,Calculs!$A$19:$S$425,19,FALSE),VLOOKUP(AC279,Calculs!$A$19:$S$425,19,FALSE))&gt;=AD279,TRUE,FALSE))</f>
        <v>0</v>
      </c>
      <c r="AF279" s="159" t="s">
        <v>1221</v>
      </c>
      <c r="AH279" s="159">
        <v>4</v>
      </c>
      <c r="AI279" s="158" t="b">
        <f>IF(AF279="",TRUE,IF(IF(AG279="",VLOOKUP(AF279,Calculs!$A$19:$S$425,19,FALSE),VLOOKUP(AG279,Calculs!$A$19:$S$425,19,FALSE))&gt;=AH279,TRUE,FALSE))</f>
        <v>0</v>
      </c>
      <c r="AM279" s="158" t="b">
        <f>IF(AJ279="",TRUE,IF(IF(AK279="",VLOOKUP(AJ279,Calculs!$A$19:$S$425,19,FALSE),VLOOKUP(AK279,Calculs!$A$19:$S$425,19,FALSE))&gt;=AL279,TRUE,FALSE))</f>
        <v>1</v>
      </c>
      <c r="AQ279" s="158" t="b">
        <f>IF(AN279="",TRUE,IF(IF(AO279="",VLOOKUP(AN279,Calculs!$A$19:$S$425,19,FALSE),VLOOKUP(AO279,Calculs!$A$19:$S$425,19,FALSE))&gt;=AP279,TRUE,FALSE))</f>
        <v>1</v>
      </c>
      <c r="AR279" s="158"/>
      <c r="AS279" s="158" t="b">
        <f>IF(AR279="",TRUE,IF(VLOOKUP(AR279,Calculs!$A$427:$G$738,7,FALSE)&gt;0,TRUE,FALSE))</f>
        <v>1</v>
      </c>
      <c r="AT279" s="158"/>
      <c r="AU279" s="158" t="b">
        <f>IF(AT279="",TRUE,IF(VLOOKUP(AT279,Calculs!$A$740:$G$912,7,FALSE)&gt;0,TRUE,FALSE))</f>
        <v>1</v>
      </c>
      <c r="AV279" s="158" t="b">
        <f t="shared" si="30"/>
        <v>0</v>
      </c>
      <c r="AW279" s="158" t="s">
        <v>2078</v>
      </c>
      <c r="AX279" s="162" t="s">
        <v>2077</v>
      </c>
      <c r="AY279" s="15">
        <v>149</v>
      </c>
      <c r="AZ279" s="555" t="s">
        <v>8538</v>
      </c>
      <c r="BA279" s="559">
        <f>IF(Verso!$B$10=Voies!$B279,1,0)</f>
        <v>0</v>
      </c>
      <c r="BB279" s="12">
        <f>IF(Verso!$B$11=Voies!$B279,1,0)</f>
        <v>0</v>
      </c>
      <c r="BC279" s="12">
        <f>IF(Verso!$B$12=Voies!$B279,1,0)</f>
        <v>0</v>
      </c>
      <c r="BD279" s="12">
        <f>IF(Verso!$B$13=Voies!$B279,1,0)</f>
        <v>0</v>
      </c>
      <c r="BE279" s="12">
        <f>IF(Verso!$B$14=Voies!$B279,1,0)</f>
        <v>0</v>
      </c>
      <c r="BF279" s="12">
        <f>IF(Verso!$B$15=Voies!$B279,1,0)</f>
        <v>0</v>
      </c>
      <c r="BG279" s="12">
        <f>IF(Verso!$B$16=Voies!$B279,1,0)</f>
        <v>0</v>
      </c>
      <c r="BH279" s="12">
        <f>IF(Verso!$B$17=Voies!$B279,1,0)</f>
        <v>0</v>
      </c>
      <c r="BI279" s="557">
        <f t="shared" si="31"/>
        <v>0</v>
      </c>
      <c r="BJ279" s="196" t="str">
        <f t="shared" si="32"/>
        <v/>
      </c>
      <c r="BK279" s="196" t="str">
        <f t="shared" si="33"/>
        <v/>
      </c>
      <c r="BL279" s="295" t="str">
        <f t="shared" si="34"/>
        <v/>
      </c>
    </row>
    <row r="280" spans="1:65" s="196" customFormat="1" ht="47.25" customHeight="1" x14ac:dyDescent="0.25">
      <c r="A280" s="162" t="str">
        <f>IF(AND(Réputation&gt;Voies!E280-1,OR(C280=TRUE,Calculs!$I$8&gt;0),Air&gt;Voies!J280-1,Eau&gt;Voies!K280-1,Feu&gt;Voies!L280-1,Terre&gt;Voies!M280-1,Vide&gt;Voies!N280-1,Constitution&gt;Voies!O280-1,Volonté&gt;Voies!P280-1,Force&gt;Voies!Q280-1,Perception&gt;Voies!R280-1,Reflexes&gt;Voies!S280-1,Agilité&gt;Voies!T280-1,Intuition&gt;Voies!U280-1,Intelligence&gt;Voies!V280-1,Souillure&gt;Voies!W280-1,Honneur&gt;X280-1,Statut&gt;Y280-1,Gloire&gt;Z280-1,AV280=TRUE),Voies!B280,"")</f>
        <v/>
      </c>
      <c r="B280" s="162" t="s">
        <v>8028</v>
      </c>
      <c r="C280" s="162" t="b">
        <f>IF(Clan=Voies!D280,TRUE,FALSE)</f>
        <v>0</v>
      </c>
      <c r="D280" s="387" t="s">
        <v>15</v>
      </c>
      <c r="E280" s="199">
        <v>3</v>
      </c>
      <c r="F280" s="199">
        <v>3</v>
      </c>
      <c r="G280" s="199" t="s">
        <v>2049</v>
      </c>
      <c r="H280" s="162" t="s">
        <v>8029</v>
      </c>
      <c r="I280" s="129" t="s">
        <v>8030</v>
      </c>
      <c r="J280" s="146">
        <v>0</v>
      </c>
      <c r="K280" s="147">
        <v>0</v>
      </c>
      <c r="L280" s="148">
        <v>0</v>
      </c>
      <c r="M280" s="149">
        <v>0</v>
      </c>
      <c r="N280" s="150">
        <v>0</v>
      </c>
      <c r="O280" s="130">
        <v>0</v>
      </c>
      <c r="P280" s="130">
        <v>0</v>
      </c>
      <c r="Q280" s="130">
        <v>0</v>
      </c>
      <c r="R280" s="130">
        <v>0</v>
      </c>
      <c r="S280" s="130">
        <v>0</v>
      </c>
      <c r="T280" s="130">
        <v>0</v>
      </c>
      <c r="U280" s="130">
        <v>0</v>
      </c>
      <c r="V280" s="524">
        <v>0</v>
      </c>
      <c r="W280" s="130">
        <v>0</v>
      </c>
      <c r="X280" s="130">
        <v>0</v>
      </c>
      <c r="Y280" s="130">
        <v>0</v>
      </c>
      <c r="Z280" s="130">
        <v>0</v>
      </c>
      <c r="AA280" s="158" t="s">
        <v>2078</v>
      </c>
      <c r="AB280" s="158"/>
      <c r="AC280" s="158"/>
      <c r="AD280" s="158"/>
      <c r="AE280" s="158" t="b">
        <f>IF(AB280="",TRUE,IF(IF(AC280="",VLOOKUP(AB280,Calculs!$A$19:$S$425,19,FALSE),VLOOKUP(AC280,Calculs!$A$19:$S$425,19,FALSE))&gt;=AD280,TRUE,FALSE))</f>
        <v>1</v>
      </c>
      <c r="AF280" s="158"/>
      <c r="AG280" s="158"/>
      <c r="AH280" s="158"/>
      <c r="AI280" s="158" t="b">
        <f>IF(AF280="",TRUE,IF(IF(AG280="",VLOOKUP(AF280,Calculs!$A$19:$S$425,19,FALSE),VLOOKUP(AG280,Calculs!$A$19:$S$425,19,FALSE))&gt;=AH280,TRUE,FALSE))</f>
        <v>1</v>
      </c>
      <c r="AJ280" s="158"/>
      <c r="AK280" s="158"/>
      <c r="AL280" s="158"/>
      <c r="AM280" s="158" t="b">
        <f>IF(AJ280="",TRUE,IF(IF(AK280="",VLOOKUP(AJ280,Calculs!$A$19:$S$425,19,FALSE),VLOOKUP(AK280,Calculs!$A$19:$S$425,19,FALSE))&gt;=AL280,TRUE,FALSE))</f>
        <v>1</v>
      </c>
      <c r="AN280" s="158"/>
      <c r="AO280" s="158"/>
      <c r="AP280" s="158"/>
      <c r="AQ280" s="158" t="b">
        <f>IF(AN280="",TRUE,IF(IF(AO280="",VLOOKUP(AN280,Calculs!$A$19:$S$425,19,FALSE),VLOOKUP(AO280,Calculs!$A$19:$S$425,19,FALSE))&gt;=AP280,TRUE,FALSE))</f>
        <v>1</v>
      </c>
      <c r="AR280" s="158"/>
      <c r="AS280" s="158" t="b">
        <f>IF(AR280="",TRUE,IF(VLOOKUP(AR280,Calculs!$A$427:$G$738,7,FALSE)&gt;0,TRUE,FALSE))</f>
        <v>1</v>
      </c>
      <c r="AT280" s="158"/>
      <c r="AU280" s="158" t="b">
        <f>IF(AT280="",TRUE,IF(VLOOKUP(AT280,Calculs!$A$740:$G$912,7,FALSE)&gt;0,TRUE,FALSE))</f>
        <v>1</v>
      </c>
      <c r="AV280" s="158" t="b">
        <f t="shared" si="30"/>
        <v>1</v>
      </c>
      <c r="AW280" s="158" t="s">
        <v>2078</v>
      </c>
      <c r="AX280" s="162" t="s">
        <v>8021</v>
      </c>
      <c r="AY280" s="15">
        <v>15</v>
      </c>
      <c r="AZ280" s="555" t="s">
        <v>8031</v>
      </c>
      <c r="BA280" s="559">
        <f>IF(Verso!$B$10=Voies!$B280,1,0)</f>
        <v>0</v>
      </c>
      <c r="BB280" s="12">
        <f>IF(Verso!$B$11=Voies!$B280,1,0)</f>
        <v>0</v>
      </c>
      <c r="BC280" s="12">
        <f>IF(Verso!$B$12=Voies!$B280,1,0)</f>
        <v>0</v>
      </c>
      <c r="BD280" s="12">
        <f>IF(Verso!$B$13=Voies!$B280,1,0)</f>
        <v>0</v>
      </c>
      <c r="BE280" s="12">
        <f>IF(Verso!$B$14=Voies!$B280,1,0)</f>
        <v>0</v>
      </c>
      <c r="BF280" s="12">
        <f>IF(Verso!$B$15=Voies!$B280,1,0)</f>
        <v>0</v>
      </c>
      <c r="BG280" s="12">
        <f>IF(Verso!$B$16=Voies!$B280,1,0)</f>
        <v>0</v>
      </c>
      <c r="BH280" s="12">
        <f>IF(Verso!$B$17=Voies!$B280,1,0)</f>
        <v>0</v>
      </c>
      <c r="BI280" s="557">
        <f t="shared" si="31"/>
        <v>0</v>
      </c>
      <c r="BJ280" s="196" t="str">
        <f t="shared" si="32"/>
        <v/>
      </c>
      <c r="BK280" s="196" t="str">
        <f t="shared" si="33"/>
        <v/>
      </c>
      <c r="BL280" s="295" t="str">
        <f t="shared" si="34"/>
        <v/>
      </c>
      <c r="BM280" s="91"/>
    </row>
    <row r="281" spans="1:65" ht="47.25" customHeight="1" x14ac:dyDescent="0.25">
      <c r="A281" s="162" t="str">
        <f>IF(AND(Réputation&gt;Voies!E281-1,OR(C281=TRUE,Calculs!$I$8&gt;0),Air&gt;Voies!J281-1,Eau&gt;Voies!K281-1,Feu&gt;Voies!L281-1,Terre&gt;Voies!M281-1,Vide&gt;Voies!N281-1,Constitution&gt;Voies!O281-1,Volonté&gt;Voies!P281-1,Force&gt;Voies!Q281-1,Perception&gt;Voies!R281-1,Reflexes&gt;Voies!S281-1,Agilité&gt;Voies!T281-1,Intuition&gt;Voies!U281-1,Intelligence&gt;Voies!V281-1,Souillure&gt;Voies!W281-1,Honneur&gt;X281-1,Statut&gt;Y281-1,Gloire&gt;Z281-1,AV281=TRUE),Voies!B281,"")</f>
        <v/>
      </c>
      <c r="B281" s="162" t="s">
        <v>3815</v>
      </c>
      <c r="C281" s="162" t="b">
        <f>IF(Clan=Voies!D281,TRUE,FALSE)</f>
        <v>0</v>
      </c>
      <c r="D281" s="387" t="s">
        <v>15</v>
      </c>
      <c r="E281" s="13">
        <v>3</v>
      </c>
      <c r="F281" s="199" t="s">
        <v>625</v>
      </c>
      <c r="G281" s="13" t="s">
        <v>2049</v>
      </c>
      <c r="H281" s="162" t="s">
        <v>497</v>
      </c>
      <c r="I281" s="129" t="s">
        <v>3814</v>
      </c>
      <c r="J281" s="146">
        <v>0</v>
      </c>
      <c r="K281" s="147">
        <v>0</v>
      </c>
      <c r="L281" s="148">
        <v>0</v>
      </c>
      <c r="M281" s="149">
        <v>0</v>
      </c>
      <c r="N281" s="150">
        <v>0</v>
      </c>
      <c r="O281" s="130">
        <v>0</v>
      </c>
      <c r="P281" s="130">
        <v>0</v>
      </c>
      <c r="Q281" s="130">
        <v>0</v>
      </c>
      <c r="R281" s="130">
        <v>0</v>
      </c>
      <c r="S281" s="130">
        <v>0</v>
      </c>
      <c r="T281" s="130">
        <v>0</v>
      </c>
      <c r="U281" s="130">
        <v>0</v>
      </c>
      <c r="V281" s="524">
        <v>0</v>
      </c>
      <c r="W281" s="130">
        <v>0</v>
      </c>
      <c r="X281" s="130">
        <v>0</v>
      </c>
      <c r="Y281" s="130">
        <v>0</v>
      </c>
      <c r="Z281" s="130">
        <v>0</v>
      </c>
      <c r="AA281" s="158" t="s">
        <v>2078</v>
      </c>
      <c r="AB281" s="158"/>
      <c r="AC281" s="158"/>
      <c r="AD281" s="158"/>
      <c r="AE281" s="158" t="b">
        <f>IF(AB281="",TRUE,IF(IF(AC281="",VLOOKUP(AB281,Calculs!$A$19:$S$425,19,FALSE),VLOOKUP(AC281,Calculs!$A$19:$S$425,19,FALSE))&gt;=AD281,TRUE,FALSE))</f>
        <v>1</v>
      </c>
      <c r="AF281" s="158"/>
      <c r="AG281" s="158"/>
      <c r="AH281" s="158"/>
      <c r="AI281" s="158" t="b">
        <f>IF(AF281="",TRUE,IF(IF(AG281="",VLOOKUP(AF281,Calculs!$A$19:$S$425,19,FALSE),VLOOKUP(AG281,Calculs!$A$19:$S$425,19,FALSE))&gt;=AH281,TRUE,FALSE))</f>
        <v>1</v>
      </c>
      <c r="AJ281" s="158"/>
      <c r="AK281" s="158"/>
      <c r="AL281" s="158"/>
      <c r="AM281" s="158" t="b">
        <f>IF(AJ281="",TRUE,IF(IF(AK281="",VLOOKUP(AJ281,Calculs!$A$19:$S$425,19,FALSE),VLOOKUP(AK281,Calculs!$A$19:$S$425,19,FALSE))&gt;=AL281,TRUE,FALSE))</f>
        <v>1</v>
      </c>
      <c r="AN281" s="158"/>
      <c r="AO281" s="158"/>
      <c r="AP281" s="158"/>
      <c r="AQ281" s="158" t="b">
        <f>IF(AN281="",TRUE,IF(IF(AO281="",VLOOKUP(AN281,Calculs!$A$19:$S$425,19,FALSE),VLOOKUP(AO281,Calculs!$A$19:$S$425,19,FALSE))&gt;=AP281,TRUE,FALSE))</f>
        <v>1</v>
      </c>
      <c r="AR281" s="158" t="s">
        <v>699</v>
      </c>
      <c r="AS281" s="158" t="b">
        <f>IF(AR281="",TRUE,IF(VLOOKUP(AR281,Calculs!$A$427:$G$738,7,FALSE)&gt;0,TRUE,FALSE))</f>
        <v>0</v>
      </c>
      <c r="AT281" s="158"/>
      <c r="AU281" s="158" t="b">
        <f>IF(AT281="",TRUE,IF(VLOOKUP(AT281,Calculs!$A$740:$G$912,7,FALSE)&gt;0,TRUE,FALSE))</f>
        <v>1</v>
      </c>
      <c r="AV281" s="158" t="b">
        <f t="shared" si="30"/>
        <v>0</v>
      </c>
      <c r="AW281" s="159" t="s">
        <v>3451</v>
      </c>
      <c r="AX281" s="162" t="s">
        <v>2087</v>
      </c>
      <c r="AY281" s="15">
        <v>108</v>
      </c>
      <c r="AZ281" s="555" t="s">
        <v>8539</v>
      </c>
      <c r="BA281" s="559">
        <f>IF(Verso!$B$10=Voies!$B281,1,0)</f>
        <v>0</v>
      </c>
      <c r="BB281" s="12">
        <f>IF(Verso!$B$11=Voies!$B281,1,0)</f>
        <v>0</v>
      </c>
      <c r="BC281" s="12">
        <f>IF(Verso!$B$12=Voies!$B281,1,0)</f>
        <v>0</v>
      </c>
      <c r="BD281" s="12">
        <f>IF(Verso!$B$13=Voies!$B281,1,0)</f>
        <v>0</v>
      </c>
      <c r="BE281" s="12">
        <f>IF(Verso!$B$14=Voies!$B281,1,0)</f>
        <v>0</v>
      </c>
      <c r="BF281" s="12">
        <f>IF(Verso!$B$15=Voies!$B281,1,0)</f>
        <v>0</v>
      </c>
      <c r="BG281" s="12">
        <f>IF(Verso!$B$16=Voies!$B281,1,0)</f>
        <v>0</v>
      </c>
      <c r="BH281" s="12">
        <f>IF(Verso!$B$17=Voies!$B281,1,0)</f>
        <v>0</v>
      </c>
      <c r="BI281" s="557">
        <f t="shared" si="31"/>
        <v>0</v>
      </c>
      <c r="BJ281" s="196" t="str">
        <f t="shared" si="32"/>
        <v/>
      </c>
      <c r="BK281" s="196" t="str">
        <f t="shared" si="33"/>
        <v/>
      </c>
      <c r="BL281" s="295" t="str">
        <f t="shared" si="34"/>
        <v/>
      </c>
    </row>
    <row r="282" spans="1:65" s="196" customFormat="1" ht="47.25" customHeight="1" x14ac:dyDescent="0.25">
      <c r="A282" s="162" t="str">
        <f>IF(AND(Réputation&gt;Voies!E282-1,OR(C282=TRUE,Calculs!$I$8&gt;0),Air&gt;Voies!J282-1,Eau&gt;Voies!K282-1,Feu&gt;Voies!L282-1,Terre&gt;Voies!M282-1,Vide&gt;Voies!N282-1,Constitution&gt;Voies!O282-1,Volonté&gt;Voies!P282-1,Force&gt;Voies!Q282-1,Perception&gt;Voies!R282-1,Reflexes&gt;Voies!S282-1,Agilité&gt;Voies!T282-1,Intuition&gt;Voies!U282-1,Intelligence&gt;Voies!V282-1,Souillure&gt;Voies!W282-1,Honneur&gt;X282-1,Statut&gt;Y282-1,Gloire&gt;Z282-1,AV282=TRUE),Voies!B282,"")</f>
        <v/>
      </c>
      <c r="B282" s="162" t="s">
        <v>8036</v>
      </c>
      <c r="C282" s="162" t="b">
        <f>IF(Clan=Voies!D282,TRUE,FALSE)</f>
        <v>0</v>
      </c>
      <c r="D282" s="387" t="s">
        <v>15</v>
      </c>
      <c r="E282" s="199">
        <v>3</v>
      </c>
      <c r="F282" s="199">
        <v>3</v>
      </c>
      <c r="G282" s="199" t="s">
        <v>8032</v>
      </c>
      <c r="H282" s="162" t="s">
        <v>8034</v>
      </c>
      <c r="I282" s="129" t="s">
        <v>8033</v>
      </c>
      <c r="J282" s="146">
        <v>0</v>
      </c>
      <c r="K282" s="147">
        <v>0</v>
      </c>
      <c r="L282" s="148">
        <v>0</v>
      </c>
      <c r="M282" s="149">
        <v>0</v>
      </c>
      <c r="N282" s="150">
        <v>0</v>
      </c>
      <c r="O282" s="130">
        <v>0</v>
      </c>
      <c r="P282" s="130">
        <v>0</v>
      </c>
      <c r="Q282" s="130">
        <v>0</v>
      </c>
      <c r="R282" s="130">
        <v>0</v>
      </c>
      <c r="S282" s="130">
        <v>0</v>
      </c>
      <c r="T282" s="130">
        <v>0</v>
      </c>
      <c r="U282" s="130">
        <v>0</v>
      </c>
      <c r="V282" s="524">
        <v>0</v>
      </c>
      <c r="W282" s="130">
        <v>0</v>
      </c>
      <c r="X282" s="130">
        <v>0</v>
      </c>
      <c r="Y282" s="130">
        <v>0</v>
      </c>
      <c r="Z282" s="130">
        <v>0</v>
      </c>
      <c r="AA282" s="158" t="s">
        <v>2078</v>
      </c>
      <c r="AB282" s="158"/>
      <c r="AC282" s="158"/>
      <c r="AD282" s="158"/>
      <c r="AE282" s="158" t="b">
        <f>IF(AB282="",TRUE,IF(IF(AC282="",VLOOKUP(AB282,Calculs!$A$19:$S$425,19,FALSE),VLOOKUP(AC282,Calculs!$A$19:$S$425,19,FALSE))&gt;=AD282,TRUE,FALSE))</f>
        <v>1</v>
      </c>
      <c r="AF282" s="158"/>
      <c r="AG282" s="158"/>
      <c r="AH282" s="158"/>
      <c r="AI282" s="158" t="b">
        <f>IF(AF282="",TRUE,IF(IF(AG282="",VLOOKUP(AF282,Calculs!$A$19:$S$425,19,FALSE),VLOOKUP(AG282,Calculs!$A$19:$S$425,19,FALSE))&gt;=AH282,TRUE,FALSE))</f>
        <v>1</v>
      </c>
      <c r="AJ282" s="158"/>
      <c r="AK282" s="158"/>
      <c r="AL282" s="158"/>
      <c r="AM282" s="158" t="b">
        <f>IF(AJ282="",TRUE,IF(IF(AK282="",VLOOKUP(AJ282,Calculs!$A$19:$S$425,19,FALSE),VLOOKUP(AK282,Calculs!$A$19:$S$425,19,FALSE))&gt;=AL282,TRUE,FALSE))</f>
        <v>1</v>
      </c>
      <c r="AN282" s="158"/>
      <c r="AO282" s="158"/>
      <c r="AP282" s="158"/>
      <c r="AQ282" s="158" t="b">
        <f>IF(AN282="",TRUE,IF(IF(AO282="",VLOOKUP(AN282,Calculs!$A$19:$S$425,19,FALSE),VLOOKUP(AO282,Calculs!$A$19:$S$425,19,FALSE))&gt;=AP282,TRUE,FALSE))</f>
        <v>1</v>
      </c>
      <c r="AR282" s="158"/>
      <c r="AS282" s="158" t="b">
        <f>IF(AR282="",TRUE,IF(VLOOKUP(AR282,Calculs!$A$427:$G$738,7,FALSE)&gt;0,TRUE,FALSE))</f>
        <v>1</v>
      </c>
      <c r="AT282" s="158"/>
      <c r="AU282" s="158" t="b">
        <f>IF(AT282="",TRUE,IF(VLOOKUP(AT282,Calculs!$A$740:$G$912,7,FALSE)&gt;0,TRUE,FALSE))</f>
        <v>1</v>
      </c>
      <c r="AV282" s="158" t="b">
        <f t="shared" si="30"/>
        <v>1</v>
      </c>
      <c r="AW282" s="158" t="s">
        <v>2078</v>
      </c>
      <c r="AX282" s="162" t="s">
        <v>8021</v>
      </c>
      <c r="AY282" s="15">
        <v>15</v>
      </c>
      <c r="AZ282" s="555" t="s">
        <v>8035</v>
      </c>
      <c r="BA282" s="559">
        <f>IF(Verso!$B$10=Voies!$B282,1,0)</f>
        <v>0</v>
      </c>
      <c r="BB282" s="12">
        <f>IF(Verso!$B$11=Voies!$B282,1,0)</f>
        <v>0</v>
      </c>
      <c r="BC282" s="12">
        <f>IF(Verso!$B$12=Voies!$B282,1,0)</f>
        <v>0</v>
      </c>
      <c r="BD282" s="12">
        <f>IF(Verso!$B$13=Voies!$B282,1,0)</f>
        <v>0</v>
      </c>
      <c r="BE282" s="12">
        <f>IF(Verso!$B$14=Voies!$B282,1,0)</f>
        <v>0</v>
      </c>
      <c r="BF282" s="12">
        <f>IF(Verso!$B$15=Voies!$B282,1,0)</f>
        <v>0</v>
      </c>
      <c r="BG282" s="12">
        <f>IF(Verso!$B$16=Voies!$B282,1,0)</f>
        <v>0</v>
      </c>
      <c r="BH282" s="12">
        <f>IF(Verso!$B$17=Voies!$B282,1,0)</f>
        <v>0</v>
      </c>
      <c r="BI282" s="557">
        <f t="shared" si="31"/>
        <v>0</v>
      </c>
      <c r="BJ282" s="196" t="str">
        <f t="shared" si="32"/>
        <v/>
      </c>
      <c r="BK282" s="196" t="str">
        <f t="shared" si="33"/>
        <v/>
      </c>
      <c r="BL282" s="295" t="str">
        <f t="shared" si="34"/>
        <v/>
      </c>
      <c r="BM282" s="91"/>
    </row>
    <row r="283" spans="1:65" s="196" customFormat="1" ht="47.25" customHeight="1" x14ac:dyDescent="0.25">
      <c r="A283" s="162" t="str">
        <f>IF(AND(Réputation&gt;Voies!E283-1,OR(C283=TRUE,Calculs!$I$8&gt;0),Air&gt;Voies!J283-1,Eau&gt;Voies!K283-1,Feu&gt;Voies!L283-1,Terre&gt;Voies!M283-1,Vide&gt;Voies!N283-1,Constitution&gt;Voies!O283-1,Volonté&gt;Voies!P283-1,Force&gt;Voies!Q283-1,Perception&gt;Voies!R283-1,Reflexes&gt;Voies!S283-1,Agilité&gt;Voies!T283-1,Intuition&gt;Voies!U283-1,Intelligence&gt;Voies!V283-1,Souillure&gt;Voies!W283-1,Honneur&gt;X283-1,Statut&gt;Y283-1,Gloire&gt;Z283-1,AV283=TRUE),Voies!B283,"")</f>
        <v/>
      </c>
      <c r="B283" s="162" t="s">
        <v>2265</v>
      </c>
      <c r="C283" s="162" t="b">
        <f>IF(Clan=Voies!D283,TRUE,FALSE)</f>
        <v>0</v>
      </c>
      <c r="D283" s="387" t="s">
        <v>15</v>
      </c>
      <c r="E283" s="199">
        <v>3</v>
      </c>
      <c r="F283" s="199">
        <v>3</v>
      </c>
      <c r="G283" s="199" t="s">
        <v>2052</v>
      </c>
      <c r="H283" s="162" t="s">
        <v>316</v>
      </c>
      <c r="I283" s="129" t="str">
        <f>IF(B283="","","Rien")</f>
        <v>Rien</v>
      </c>
      <c r="J283" s="146">
        <v>0</v>
      </c>
      <c r="K283" s="147">
        <v>0</v>
      </c>
      <c r="L283" s="148">
        <v>0</v>
      </c>
      <c r="M283" s="149">
        <v>0</v>
      </c>
      <c r="N283" s="150">
        <v>0</v>
      </c>
      <c r="O283" s="130">
        <v>0</v>
      </c>
      <c r="P283" s="130">
        <v>0</v>
      </c>
      <c r="Q283" s="130">
        <v>0</v>
      </c>
      <c r="R283" s="130">
        <v>0</v>
      </c>
      <c r="S283" s="130">
        <v>0</v>
      </c>
      <c r="T283" s="130">
        <v>0</v>
      </c>
      <c r="U283" s="130">
        <v>0</v>
      </c>
      <c r="V283" s="524">
        <v>0</v>
      </c>
      <c r="W283" s="130">
        <v>0</v>
      </c>
      <c r="X283" s="130">
        <v>0</v>
      </c>
      <c r="Y283" s="130">
        <v>0</v>
      </c>
      <c r="Z283" s="130">
        <v>0</v>
      </c>
      <c r="AA283" s="158" t="s">
        <v>2078</v>
      </c>
      <c r="AB283" s="158"/>
      <c r="AC283" s="158"/>
      <c r="AD283" s="158"/>
      <c r="AE283" s="158" t="b">
        <f>IF(AB283="",TRUE,IF(IF(AC283="",VLOOKUP(AB283,Calculs!$A$19:$S$425,19,FALSE),VLOOKUP(AC283,Calculs!$A$19:$S$425,19,FALSE))&gt;=AD283,TRUE,FALSE))</f>
        <v>1</v>
      </c>
      <c r="AF283" s="158"/>
      <c r="AG283" s="158"/>
      <c r="AH283" s="158"/>
      <c r="AI283" s="158" t="b">
        <f>IF(AF283="",TRUE,IF(IF(AG283="",VLOOKUP(AF283,Calculs!$A$19:$S$425,19,FALSE),VLOOKUP(AG283,Calculs!$A$19:$S$425,19,FALSE))&gt;=AH283,TRUE,FALSE))</f>
        <v>1</v>
      </c>
      <c r="AJ283" s="158"/>
      <c r="AK283" s="158"/>
      <c r="AL283" s="158"/>
      <c r="AM283" s="158" t="b">
        <f>IF(AJ283="",TRUE,IF(IF(AK283="",VLOOKUP(AJ283,Calculs!$A$19:$S$425,19,FALSE),VLOOKUP(AK283,Calculs!$A$19:$S$425,19,FALSE))&gt;=AL283,TRUE,FALSE))</f>
        <v>1</v>
      </c>
      <c r="AN283" s="158"/>
      <c r="AO283" s="158"/>
      <c r="AP283" s="158"/>
      <c r="AQ283" s="158" t="b">
        <f>IF(AN283="",TRUE,IF(IF(AO283="",VLOOKUP(AN283,Calculs!$A$19:$S$425,19,FALSE),VLOOKUP(AO283,Calculs!$A$19:$S$425,19,FALSE))&gt;=AP283,TRUE,FALSE))</f>
        <v>1</v>
      </c>
      <c r="AR283" s="158"/>
      <c r="AS283" s="158" t="b">
        <f>IF(AR283="",TRUE,IF(VLOOKUP(AR283,Calculs!$A$427:$G$738,7,FALSE)&gt;0,TRUE,FALSE))</f>
        <v>1</v>
      </c>
      <c r="AT283" s="158"/>
      <c r="AU283" s="158" t="b">
        <f>IF(AT283="",TRUE,IF(VLOOKUP(AT283,Calculs!$A$740:$G$912,7,FALSE)&gt;0,TRUE,FALSE))</f>
        <v>1</v>
      </c>
      <c r="AV283" s="158" t="b">
        <f t="shared" si="30"/>
        <v>1</v>
      </c>
      <c r="AW283" s="158" t="s">
        <v>2078</v>
      </c>
      <c r="AX283" s="162" t="s">
        <v>3</v>
      </c>
      <c r="AY283" s="15">
        <v>111</v>
      </c>
      <c r="AZ283" s="555" t="s">
        <v>8540</v>
      </c>
      <c r="BA283" s="559">
        <f>IF(Verso!$B$10=Voies!$B283,1,0)</f>
        <v>0</v>
      </c>
      <c r="BB283" s="12">
        <f>IF(Verso!$B$11=Voies!$B283,1,0)</f>
        <v>0</v>
      </c>
      <c r="BC283" s="12">
        <f>IF(Verso!$B$12=Voies!$B283,1,0)</f>
        <v>0</v>
      </c>
      <c r="BD283" s="12">
        <f>IF(Verso!$B$13=Voies!$B283,1,0)</f>
        <v>0</v>
      </c>
      <c r="BE283" s="12">
        <f>IF(Verso!$B$14=Voies!$B283,1,0)</f>
        <v>0</v>
      </c>
      <c r="BF283" s="12">
        <f>IF(Verso!$B$15=Voies!$B283,1,0)</f>
        <v>0</v>
      </c>
      <c r="BG283" s="12">
        <f>IF(Verso!$B$16=Voies!$B283,1,0)</f>
        <v>0</v>
      </c>
      <c r="BH283" s="12">
        <f>IF(Verso!$B$17=Voies!$B283,1,0)</f>
        <v>0</v>
      </c>
      <c r="BI283" s="557">
        <f t="shared" si="31"/>
        <v>0</v>
      </c>
      <c r="BJ283" s="196" t="str">
        <f t="shared" si="32"/>
        <v/>
      </c>
      <c r="BK283" s="196" t="str">
        <f t="shared" si="33"/>
        <v/>
      </c>
      <c r="BL283" s="295" t="str">
        <f t="shared" si="34"/>
        <v/>
      </c>
      <c r="BM283" s="91"/>
    </row>
    <row r="284" spans="1:65" ht="47.25" customHeight="1" x14ac:dyDescent="0.25">
      <c r="A284" s="162" t="str">
        <f>IF(AND(Réputation&gt;Voies!E284-1,OR(C284=TRUE,Calculs!$I$8&gt;0),Air&gt;Voies!J284-1,Eau&gt;Voies!K284-1,Feu&gt;Voies!L284-1,Terre&gt;Voies!M284-1,Vide&gt;Voies!N284-1,Constitution&gt;Voies!O284-1,Volonté&gt;Voies!P284-1,Force&gt;Voies!Q284-1,Perception&gt;Voies!R284-1,Reflexes&gt;Voies!S284-1,Agilité&gt;Voies!T284-1,Intuition&gt;Voies!U284-1,Intelligence&gt;Voies!V284-1,Souillure&gt;Voies!W284-1,Honneur&gt;X284-1,Statut&gt;Y284-1,Gloire&gt;Z284-1,AV284=TRUE),Voies!B284,"")</f>
        <v/>
      </c>
      <c r="B284" s="162" t="s">
        <v>6047</v>
      </c>
      <c r="C284" s="162" t="b">
        <f>IF(Clan=Voies!D284,TRUE,FALSE)</f>
        <v>0</v>
      </c>
      <c r="D284" s="387" t="s">
        <v>15</v>
      </c>
      <c r="E284" s="13">
        <v>3</v>
      </c>
      <c r="F284" s="199">
        <v>3</v>
      </c>
      <c r="G284" s="13" t="s">
        <v>2052</v>
      </c>
      <c r="H284" s="162" t="s">
        <v>6046</v>
      </c>
      <c r="I284" s="129" t="s">
        <v>3610</v>
      </c>
      <c r="J284" s="146">
        <v>0</v>
      </c>
      <c r="K284" s="147">
        <v>0</v>
      </c>
      <c r="L284" s="148">
        <v>0</v>
      </c>
      <c r="M284" s="149">
        <v>0</v>
      </c>
      <c r="N284" s="150">
        <v>0</v>
      </c>
      <c r="O284" s="130">
        <v>0</v>
      </c>
      <c r="P284" s="130">
        <v>0</v>
      </c>
      <c r="Q284" s="130">
        <v>0</v>
      </c>
      <c r="R284" s="130">
        <v>0</v>
      </c>
      <c r="S284" s="130">
        <v>0</v>
      </c>
      <c r="T284" s="130">
        <v>0</v>
      </c>
      <c r="U284" s="130">
        <v>0</v>
      </c>
      <c r="V284" s="524">
        <v>0</v>
      </c>
      <c r="W284" s="130">
        <v>0</v>
      </c>
      <c r="X284" s="130">
        <v>0</v>
      </c>
      <c r="Y284" s="130">
        <v>0</v>
      </c>
      <c r="Z284" s="130">
        <v>0</v>
      </c>
      <c r="AA284" s="159" t="s">
        <v>3611</v>
      </c>
      <c r="AB284" s="159" t="s">
        <v>189</v>
      </c>
      <c r="AD284" s="159">
        <v>3</v>
      </c>
      <c r="AE284" s="158" t="b">
        <f>IF(AB284="",TRUE,IF(IF(AC284="",VLOOKUP(AB284,Calculs!$A$19:$S$425,19,FALSE),VLOOKUP(AC284,Calculs!$A$19:$S$425,19,FALSE))&gt;=AD284,TRUE,FALSE))</f>
        <v>0</v>
      </c>
      <c r="AF284" s="159" t="s">
        <v>1208</v>
      </c>
      <c r="AG284" s="159" t="s">
        <v>1299</v>
      </c>
      <c r="AH284" s="159">
        <v>5</v>
      </c>
      <c r="AI284" s="158" t="b">
        <f>IF(AF284="",TRUE,IF(IF(AG284="",VLOOKUP(AF284,Calculs!$A$19:$S$425,19,FALSE),VLOOKUP(AG284,Calculs!$A$19:$S$425,19,FALSE))&gt;=AH284,TRUE,FALSE))</f>
        <v>0</v>
      </c>
      <c r="AM284" s="158" t="b">
        <f>IF(AJ284="",TRUE,IF(IF(AK284="",VLOOKUP(AJ284,Calculs!$A$19:$S$425,19,FALSE),VLOOKUP(AK284,Calculs!$A$19:$S$425,19,FALSE))&gt;=AL284,TRUE,FALSE))</f>
        <v>1</v>
      </c>
      <c r="AQ284" s="158" t="b">
        <f>IF(AN284="",TRUE,IF(IF(AO284="",VLOOKUP(AN284,Calculs!$A$19:$S$425,19,FALSE),VLOOKUP(AO284,Calculs!$A$19:$S$425,19,FALSE))&gt;=AP284,TRUE,FALSE))</f>
        <v>1</v>
      </c>
      <c r="AR284" s="158"/>
      <c r="AS284" s="158" t="b">
        <f>IF(AR284="",TRUE,IF(VLOOKUP(AR284,Calculs!$A$427:$G$738,7,FALSE)&gt;0,TRUE,FALSE))</f>
        <v>1</v>
      </c>
      <c r="AT284" s="158"/>
      <c r="AU284" s="158" t="b">
        <f>IF(AT284="",TRUE,IF(VLOOKUP(AT284,Calculs!$A$740:$G$912,7,FALSE)&gt;0,TRUE,FALSE))</f>
        <v>1</v>
      </c>
      <c r="AV284" s="158" t="b">
        <f t="shared" si="30"/>
        <v>0</v>
      </c>
      <c r="AW284" s="158" t="s">
        <v>2078</v>
      </c>
      <c r="AX284" s="162" t="s">
        <v>6061</v>
      </c>
      <c r="AY284" s="15">
        <v>70</v>
      </c>
      <c r="AZ284" s="555" t="s">
        <v>3612</v>
      </c>
      <c r="BA284" s="559">
        <f>IF(Verso!$B$10=Voies!$B284,1,0)</f>
        <v>0</v>
      </c>
      <c r="BB284" s="12">
        <f>IF(Verso!$B$11=Voies!$B284,1,0)</f>
        <v>0</v>
      </c>
      <c r="BC284" s="12">
        <f>IF(Verso!$B$12=Voies!$B284,1,0)</f>
        <v>0</v>
      </c>
      <c r="BD284" s="12">
        <f>IF(Verso!$B$13=Voies!$B284,1,0)</f>
        <v>0</v>
      </c>
      <c r="BE284" s="12">
        <f>IF(Verso!$B$14=Voies!$B284,1,0)</f>
        <v>0</v>
      </c>
      <c r="BF284" s="12">
        <f>IF(Verso!$B$15=Voies!$B284,1,0)</f>
        <v>0</v>
      </c>
      <c r="BG284" s="12">
        <f>IF(Verso!$B$16=Voies!$B284,1,0)</f>
        <v>0</v>
      </c>
      <c r="BH284" s="12">
        <f>IF(Verso!$B$17=Voies!$B284,1,0)</f>
        <v>0</v>
      </c>
      <c r="BI284" s="557">
        <f t="shared" si="31"/>
        <v>0</v>
      </c>
      <c r="BJ284" s="196" t="str">
        <f t="shared" si="32"/>
        <v/>
      </c>
      <c r="BK284" s="196" t="str">
        <f t="shared" si="33"/>
        <v/>
      </c>
      <c r="BL284" s="295" t="str">
        <f t="shared" si="34"/>
        <v/>
      </c>
    </row>
    <row r="285" spans="1:65" ht="47.25" customHeight="1" x14ac:dyDescent="0.25">
      <c r="A285" s="162" t="str">
        <f>IF(AND(Réputation&gt;Voies!E285-1,OR(C285=TRUE,Calculs!$I$8&gt;0),Air&gt;Voies!J285-1,Eau&gt;Voies!K285-1,Feu&gt;Voies!L285-1,Terre&gt;Voies!M285-1,Vide&gt;Voies!N285-1,Constitution&gt;Voies!O285-1,Volonté&gt;Voies!P285-1,Force&gt;Voies!Q285-1,Perception&gt;Voies!R285-1,Reflexes&gt;Voies!S285-1,Agilité&gt;Voies!T285-1,Intuition&gt;Voies!U285-1,Intelligence&gt;Voies!V285-1,Souillure&gt;Voies!W285-1,Honneur&gt;X285-1,Statut&gt;Y285-1,Gloire&gt;Z285-1,AV285=TRUE),Voies!B285,"")</f>
        <v/>
      </c>
      <c r="B285" s="162" t="s">
        <v>6051</v>
      </c>
      <c r="C285" s="162" t="b">
        <f>IF(Clan=Voies!D285,TRUE,FALSE)</f>
        <v>0</v>
      </c>
      <c r="D285" s="387" t="s">
        <v>15</v>
      </c>
      <c r="E285" s="13">
        <v>3</v>
      </c>
      <c r="F285" s="199">
        <v>3</v>
      </c>
      <c r="G285" s="13" t="s">
        <v>2050</v>
      </c>
      <c r="H285" s="162" t="s">
        <v>6050</v>
      </c>
      <c r="I285" s="128" t="s">
        <v>3615</v>
      </c>
      <c r="J285" s="146">
        <v>0</v>
      </c>
      <c r="K285" s="147">
        <v>0</v>
      </c>
      <c r="L285" s="148">
        <v>0</v>
      </c>
      <c r="M285" s="149">
        <v>0</v>
      </c>
      <c r="N285" s="150">
        <v>0</v>
      </c>
      <c r="O285" s="130">
        <v>0</v>
      </c>
      <c r="P285" s="130">
        <v>0</v>
      </c>
      <c r="Q285" s="130">
        <v>0</v>
      </c>
      <c r="R285" s="130">
        <v>0</v>
      </c>
      <c r="S285" s="130">
        <v>0</v>
      </c>
      <c r="T285" s="130">
        <v>0</v>
      </c>
      <c r="U285" s="130">
        <v>0</v>
      </c>
      <c r="V285" s="524">
        <v>0</v>
      </c>
      <c r="W285" s="130">
        <v>0</v>
      </c>
      <c r="X285" s="130">
        <v>0</v>
      </c>
      <c r="Y285" s="130">
        <v>0</v>
      </c>
      <c r="Z285" s="130">
        <v>0</v>
      </c>
      <c r="AA285" s="158" t="s">
        <v>2078</v>
      </c>
      <c r="AB285" s="158"/>
      <c r="AC285" s="158"/>
      <c r="AD285" s="158"/>
      <c r="AE285" s="158" t="b">
        <f>IF(AB285="",TRUE,IF(IF(AC285="",VLOOKUP(AB285,Calculs!$A$19:$S$425,19,FALSE),VLOOKUP(AC285,Calculs!$A$19:$S$425,19,FALSE))&gt;=AD285,TRUE,FALSE))</f>
        <v>1</v>
      </c>
      <c r="AF285" s="158"/>
      <c r="AG285" s="158"/>
      <c r="AH285" s="158"/>
      <c r="AI285" s="158" t="b">
        <f>IF(AF285="",TRUE,IF(IF(AG285="",VLOOKUP(AF285,Calculs!$A$19:$S$425,19,FALSE),VLOOKUP(AG285,Calculs!$A$19:$S$425,19,FALSE))&gt;=AH285,TRUE,FALSE))</f>
        <v>1</v>
      </c>
      <c r="AJ285" s="158"/>
      <c r="AK285" s="158"/>
      <c r="AL285" s="158"/>
      <c r="AM285" s="158" t="b">
        <f>IF(AJ285="",TRUE,IF(IF(AK285="",VLOOKUP(AJ285,Calculs!$A$19:$S$425,19,FALSE),VLOOKUP(AK285,Calculs!$A$19:$S$425,19,FALSE))&gt;=AL285,TRUE,FALSE))</f>
        <v>1</v>
      </c>
      <c r="AN285" s="158"/>
      <c r="AO285" s="158"/>
      <c r="AP285" s="158"/>
      <c r="AQ285" s="158" t="b">
        <f>IF(AN285="",TRUE,IF(IF(AO285="",VLOOKUP(AN285,Calculs!$A$19:$S$425,19,FALSE),VLOOKUP(AO285,Calculs!$A$19:$S$425,19,FALSE))&gt;=AP285,TRUE,FALSE))</f>
        <v>1</v>
      </c>
      <c r="AR285" s="158"/>
      <c r="AS285" s="158" t="b">
        <f>IF(AR285="",TRUE,IF(VLOOKUP(AR285,Calculs!$A$427:$G$738,7,FALSE)&gt;0,TRUE,FALSE))</f>
        <v>1</v>
      </c>
      <c r="AT285" s="158"/>
      <c r="AU285" s="158" t="b">
        <f>IF(AT285="",TRUE,IF(VLOOKUP(AT285,Calculs!$A$740:$G$912,7,FALSE)&gt;0,TRUE,FALSE))</f>
        <v>1</v>
      </c>
      <c r="AV285" s="158" t="b">
        <f t="shared" si="30"/>
        <v>1</v>
      </c>
      <c r="AW285" s="158" t="s">
        <v>2078</v>
      </c>
      <c r="AX285" s="162" t="s">
        <v>6061</v>
      </c>
      <c r="AY285" s="15">
        <v>103</v>
      </c>
      <c r="AZ285" s="555" t="str">
        <f>CONCATENATE("Sans armure, ni Kiho ou tatouage ​​actif, vous gagnez ",Vide+3," pts de Réduction. Vous gagnez un tatouage supplémentaire.")</f>
        <v>Sans armure, ni Kiho ou tatouage ​​actif, vous gagnez 5 pts de Réduction. Vous gagnez un tatouage supplémentaire.</v>
      </c>
      <c r="BA285" s="559">
        <f>IF(Verso!$B$10=Voies!$B285,1,0)</f>
        <v>0</v>
      </c>
      <c r="BB285" s="12">
        <f>IF(Verso!$B$11=Voies!$B285,1,0)</f>
        <v>0</v>
      </c>
      <c r="BC285" s="12">
        <f>IF(Verso!$B$12=Voies!$B285,1,0)</f>
        <v>0</v>
      </c>
      <c r="BD285" s="12">
        <f>IF(Verso!$B$13=Voies!$B285,1,0)</f>
        <v>0</v>
      </c>
      <c r="BE285" s="12">
        <f>IF(Verso!$B$14=Voies!$B285,1,0)</f>
        <v>0</v>
      </c>
      <c r="BF285" s="12">
        <f>IF(Verso!$B$15=Voies!$B285,1,0)</f>
        <v>0</v>
      </c>
      <c r="BG285" s="12">
        <f>IF(Verso!$B$16=Voies!$B285,1,0)</f>
        <v>0</v>
      </c>
      <c r="BH285" s="12">
        <f>IF(Verso!$B$17=Voies!$B285,1,0)</f>
        <v>0</v>
      </c>
      <c r="BI285" s="557">
        <f t="shared" si="31"/>
        <v>0</v>
      </c>
      <c r="BJ285" s="196" t="str">
        <f t="shared" si="32"/>
        <v/>
      </c>
      <c r="BK285" s="196" t="str">
        <f t="shared" si="33"/>
        <v/>
      </c>
      <c r="BL285" s="295" t="str">
        <f t="shared" si="34"/>
        <v/>
      </c>
    </row>
    <row r="286" spans="1:65" ht="47.25" customHeight="1" x14ac:dyDescent="0.25">
      <c r="A286" s="162" t="str">
        <f>IF(AND(Réputation&gt;Voies!E286-1,OR(C286=TRUE,Calculs!$I$8&gt;0),Air&gt;Voies!J286-1,Eau&gt;Voies!K286-1,Feu&gt;Voies!L286-1,Terre&gt;Voies!M286-1,Vide&gt;Voies!N286-1,Constitution&gt;Voies!O286-1,Volonté&gt;Voies!P286-1,Force&gt;Voies!Q286-1,Perception&gt;Voies!R286-1,Reflexes&gt;Voies!S286-1,Agilité&gt;Voies!T286-1,Intuition&gt;Voies!U286-1,Intelligence&gt;Voies!V286-1,Souillure&gt;Voies!W286-1,Honneur&gt;X286-1,Statut&gt;Y286-1,Gloire&gt;Z286-1,AV286=TRUE),Voies!B286,"")</f>
        <v/>
      </c>
      <c r="B286" s="162" t="s">
        <v>2279</v>
      </c>
      <c r="C286" s="162" t="b">
        <f>IF(Clan=Voies!D286,TRUE,FALSE)</f>
        <v>0</v>
      </c>
      <c r="D286" s="387" t="s">
        <v>15</v>
      </c>
      <c r="E286" s="13">
        <v>3</v>
      </c>
      <c r="F286" s="199">
        <v>3</v>
      </c>
      <c r="G286" s="13" t="s">
        <v>2050</v>
      </c>
      <c r="H286" s="162" t="s">
        <v>202</v>
      </c>
      <c r="I286" s="129" t="str">
        <f>IF(B286="","","Rien")</f>
        <v>Rien</v>
      </c>
      <c r="J286" s="146">
        <v>0</v>
      </c>
      <c r="K286" s="147">
        <v>0</v>
      </c>
      <c r="L286" s="148">
        <v>0</v>
      </c>
      <c r="M286" s="149">
        <v>0</v>
      </c>
      <c r="N286" s="150">
        <v>0</v>
      </c>
      <c r="O286" s="130">
        <v>0</v>
      </c>
      <c r="P286" s="130">
        <v>0</v>
      </c>
      <c r="Q286" s="130">
        <v>0</v>
      </c>
      <c r="R286" s="130">
        <v>0</v>
      </c>
      <c r="S286" s="130">
        <v>0</v>
      </c>
      <c r="T286" s="130">
        <v>0</v>
      </c>
      <c r="U286" s="130">
        <v>0</v>
      </c>
      <c r="V286" s="524">
        <v>0</v>
      </c>
      <c r="W286" s="130">
        <v>0</v>
      </c>
      <c r="X286" s="130">
        <v>0</v>
      </c>
      <c r="Y286" s="130">
        <v>0</v>
      </c>
      <c r="Z286" s="130">
        <v>0</v>
      </c>
      <c r="AA286" s="158" t="s">
        <v>2078</v>
      </c>
      <c r="AB286" s="158"/>
      <c r="AC286" s="158"/>
      <c r="AD286" s="158"/>
      <c r="AE286" s="158" t="b">
        <f>IF(AB286="",TRUE,IF(IF(AC286="",VLOOKUP(AB286,Calculs!$A$19:$S$425,19,FALSE),VLOOKUP(AC286,Calculs!$A$19:$S$425,19,FALSE))&gt;=AD286,TRUE,FALSE))</f>
        <v>1</v>
      </c>
      <c r="AF286" s="158"/>
      <c r="AG286" s="158"/>
      <c r="AH286" s="158"/>
      <c r="AI286" s="158" t="b">
        <f>IF(AF286="",TRUE,IF(IF(AG286="",VLOOKUP(AF286,Calculs!$A$19:$S$425,19,FALSE),VLOOKUP(AG286,Calculs!$A$19:$S$425,19,FALSE))&gt;=AH286,TRUE,FALSE))</f>
        <v>1</v>
      </c>
      <c r="AJ286" s="158"/>
      <c r="AK286" s="158"/>
      <c r="AL286" s="158"/>
      <c r="AM286" s="158" t="b">
        <f>IF(AJ286="",TRUE,IF(IF(AK286="",VLOOKUP(AJ286,Calculs!$A$19:$S$425,19,FALSE),VLOOKUP(AK286,Calculs!$A$19:$S$425,19,FALSE))&gt;=AL286,TRUE,FALSE))</f>
        <v>1</v>
      </c>
      <c r="AN286" s="158"/>
      <c r="AO286" s="158"/>
      <c r="AP286" s="158"/>
      <c r="AQ286" s="158" t="b">
        <f>IF(AN286="",TRUE,IF(IF(AO286="",VLOOKUP(AN286,Calculs!$A$19:$S$425,19,FALSE),VLOOKUP(AO286,Calculs!$A$19:$S$425,19,FALSE))&gt;=AP286,TRUE,FALSE))</f>
        <v>1</v>
      </c>
      <c r="AR286" s="158"/>
      <c r="AS286" s="158" t="b">
        <f>IF(AR286="",TRUE,IF(VLOOKUP(AR286,Calculs!$A$427:$G$738,7,FALSE)&gt;0,TRUE,FALSE))</f>
        <v>1</v>
      </c>
      <c r="AT286" s="158"/>
      <c r="AU286" s="158" t="b">
        <f>IF(AT286="",TRUE,IF(VLOOKUP(AT286,Calculs!$A$740:$G$912,7,FALSE)&gt;0,TRUE,FALSE))</f>
        <v>1</v>
      </c>
      <c r="AV286" s="158" t="b">
        <f t="shared" si="30"/>
        <v>1</v>
      </c>
      <c r="AW286" s="158" t="s">
        <v>2078</v>
      </c>
      <c r="AX286" s="162" t="s">
        <v>3</v>
      </c>
      <c r="AY286" s="15">
        <v>71</v>
      </c>
      <c r="AZ286" s="555" t="s">
        <v>2277</v>
      </c>
      <c r="BA286" s="559">
        <f>IF(Verso!$B$10=Voies!$B286,1,0)</f>
        <v>0</v>
      </c>
      <c r="BB286" s="12">
        <f>IF(Verso!$B$11=Voies!$B286,1,0)</f>
        <v>0</v>
      </c>
      <c r="BC286" s="12">
        <f>IF(Verso!$B$12=Voies!$B286,1,0)</f>
        <v>0</v>
      </c>
      <c r="BD286" s="12">
        <f>IF(Verso!$B$13=Voies!$B286,1,0)</f>
        <v>0</v>
      </c>
      <c r="BE286" s="12">
        <f>IF(Verso!$B$14=Voies!$B286,1,0)</f>
        <v>0</v>
      </c>
      <c r="BF286" s="12">
        <f>IF(Verso!$B$15=Voies!$B286,1,0)</f>
        <v>0</v>
      </c>
      <c r="BG286" s="12">
        <f>IF(Verso!$B$16=Voies!$B286,1,0)</f>
        <v>0</v>
      </c>
      <c r="BH286" s="12">
        <f>IF(Verso!$B$17=Voies!$B286,1,0)</f>
        <v>0</v>
      </c>
      <c r="BI286" s="557">
        <f t="shared" si="31"/>
        <v>0</v>
      </c>
      <c r="BJ286" s="196" t="str">
        <f t="shared" si="32"/>
        <v/>
      </c>
      <c r="BK286" s="196" t="str">
        <f t="shared" si="33"/>
        <v/>
      </c>
      <c r="BL286" s="295" t="str">
        <f t="shared" si="34"/>
        <v/>
      </c>
    </row>
    <row r="287" spans="1:65" ht="47.25" customHeight="1" x14ac:dyDescent="0.25">
      <c r="A287" s="162" t="str">
        <f>IF(AND(Réputation&gt;Voies!E287-1,OR(C287=TRUE,Calculs!$I$8&gt;0),Air&gt;Voies!J287-1,Eau&gt;Voies!K287-1,Feu&gt;Voies!L287-1,Terre&gt;Voies!M287-1,Vide&gt;Voies!N287-1,Constitution&gt;Voies!O287-1,Volonté&gt;Voies!P287-1,Force&gt;Voies!Q287-1,Perception&gt;Voies!R287-1,Reflexes&gt;Voies!S287-1,Agilité&gt;Voies!T287-1,Intuition&gt;Voies!U287-1,Intelligence&gt;Voies!V287-1,Souillure&gt;Voies!W287-1,Honneur&gt;X287-1,Statut&gt;Y287-1,Gloire&gt;Z287-1,AV287=TRUE),Voies!B287,"")</f>
        <v/>
      </c>
      <c r="B287" s="162" t="s">
        <v>2954</v>
      </c>
      <c r="C287" s="162" t="b">
        <f>IF(Clan=Voies!D287,TRUE,FALSE)</f>
        <v>0</v>
      </c>
      <c r="D287" s="387" t="s">
        <v>15</v>
      </c>
      <c r="E287" s="13">
        <v>3</v>
      </c>
      <c r="F287" s="199">
        <v>3</v>
      </c>
      <c r="G287" s="13" t="s">
        <v>2050</v>
      </c>
      <c r="H287" s="162" t="s">
        <v>201</v>
      </c>
      <c r="I287" s="129" t="str">
        <f>IF(B287="","","Rien")</f>
        <v>Rien</v>
      </c>
      <c r="J287" s="146">
        <v>0</v>
      </c>
      <c r="K287" s="147">
        <v>0</v>
      </c>
      <c r="L287" s="148">
        <v>0</v>
      </c>
      <c r="M287" s="149">
        <v>0</v>
      </c>
      <c r="N287" s="150">
        <v>0</v>
      </c>
      <c r="O287" s="130">
        <v>0</v>
      </c>
      <c r="P287" s="130">
        <v>0</v>
      </c>
      <c r="Q287" s="130">
        <v>0</v>
      </c>
      <c r="R287" s="130">
        <v>0</v>
      </c>
      <c r="S287" s="130">
        <v>0</v>
      </c>
      <c r="T287" s="130">
        <v>0</v>
      </c>
      <c r="U287" s="130">
        <v>0</v>
      </c>
      <c r="V287" s="524">
        <v>0</v>
      </c>
      <c r="W287" s="130">
        <v>0</v>
      </c>
      <c r="X287" s="130">
        <v>0</v>
      </c>
      <c r="Y287" s="130">
        <v>0</v>
      </c>
      <c r="Z287" s="130">
        <v>0</v>
      </c>
      <c r="AA287" s="158" t="s">
        <v>2078</v>
      </c>
      <c r="AB287" s="158"/>
      <c r="AC287" s="158"/>
      <c r="AD287" s="158"/>
      <c r="AE287" s="158" t="b">
        <f>IF(AB287="",TRUE,IF(IF(AC287="",VLOOKUP(AB287,Calculs!$A$19:$S$425,19,FALSE),VLOOKUP(AC287,Calculs!$A$19:$S$425,19,FALSE))&gt;=AD287,TRUE,FALSE))</f>
        <v>1</v>
      </c>
      <c r="AF287" s="158"/>
      <c r="AG287" s="158"/>
      <c r="AH287" s="158"/>
      <c r="AI287" s="158" t="b">
        <f>IF(AF287="",TRUE,IF(IF(AG287="",VLOOKUP(AF287,Calculs!$A$19:$S$425,19,FALSE),VLOOKUP(AG287,Calculs!$A$19:$S$425,19,FALSE))&gt;=AH287,TRUE,FALSE))</f>
        <v>1</v>
      </c>
      <c r="AJ287" s="158"/>
      <c r="AK287" s="158"/>
      <c r="AL287" s="158"/>
      <c r="AM287" s="158" t="b">
        <f>IF(AJ287="",TRUE,IF(IF(AK287="",VLOOKUP(AJ287,Calculs!$A$19:$S$425,19,FALSE),VLOOKUP(AK287,Calculs!$A$19:$S$425,19,FALSE))&gt;=AL287,TRUE,FALSE))</f>
        <v>1</v>
      </c>
      <c r="AN287" s="158"/>
      <c r="AO287" s="158"/>
      <c r="AP287" s="158"/>
      <c r="AQ287" s="158" t="b">
        <f>IF(AN287="",TRUE,IF(IF(AO287="",VLOOKUP(AN287,Calculs!$A$19:$S$425,19,FALSE),VLOOKUP(AO287,Calculs!$A$19:$S$425,19,FALSE))&gt;=AP287,TRUE,FALSE))</f>
        <v>1</v>
      </c>
      <c r="AR287" s="158"/>
      <c r="AS287" s="158" t="b">
        <f>IF(AR287="",TRUE,IF(VLOOKUP(AR287,Calculs!$A$427:$G$738,7,FALSE)&gt;0,TRUE,FALSE))</f>
        <v>1</v>
      </c>
      <c r="AT287" s="158"/>
      <c r="AU287" s="158" t="b">
        <f>IF(AT287="",TRUE,IF(VLOOKUP(AT287,Calculs!$A$740:$G$912,7,FALSE)&gt;0,TRUE,FALSE))</f>
        <v>1</v>
      </c>
      <c r="AV287" s="158" t="b">
        <f t="shared" si="30"/>
        <v>1</v>
      </c>
      <c r="AW287" s="158" t="s">
        <v>2078</v>
      </c>
      <c r="AX287" s="162" t="s">
        <v>2077</v>
      </c>
      <c r="AY287" s="15">
        <v>215</v>
      </c>
      <c r="AZ287" s="555" t="s">
        <v>2958</v>
      </c>
      <c r="BA287" s="559">
        <f>IF(Verso!$B$10=Voies!$B287,1,0)</f>
        <v>0</v>
      </c>
      <c r="BB287" s="12">
        <f>IF(Verso!$B$11=Voies!$B287,1,0)</f>
        <v>0</v>
      </c>
      <c r="BC287" s="12">
        <f>IF(Verso!$B$12=Voies!$B287,1,0)</f>
        <v>0</v>
      </c>
      <c r="BD287" s="12">
        <f>IF(Verso!$B$13=Voies!$B287,1,0)</f>
        <v>0</v>
      </c>
      <c r="BE287" s="12">
        <f>IF(Verso!$B$14=Voies!$B287,1,0)</f>
        <v>0</v>
      </c>
      <c r="BF287" s="12">
        <f>IF(Verso!$B$15=Voies!$B287,1,0)</f>
        <v>0</v>
      </c>
      <c r="BG287" s="12">
        <f>IF(Verso!$B$16=Voies!$B287,1,0)</f>
        <v>0</v>
      </c>
      <c r="BH287" s="12">
        <f>IF(Verso!$B$17=Voies!$B287,1,0)</f>
        <v>0</v>
      </c>
      <c r="BI287" s="557">
        <f t="shared" si="31"/>
        <v>0</v>
      </c>
      <c r="BJ287" s="196" t="str">
        <f t="shared" si="32"/>
        <v/>
      </c>
      <c r="BK287" s="196" t="str">
        <f t="shared" si="33"/>
        <v/>
      </c>
      <c r="BL287" s="295" t="str">
        <f t="shared" si="34"/>
        <v/>
      </c>
    </row>
    <row r="288" spans="1:65" ht="47.25" customHeight="1" x14ac:dyDescent="0.25">
      <c r="A288" s="162" t="str">
        <f>IF(AND(Réputation&gt;Voies!E288-1,OR(C288=TRUE,Calculs!$I$8&gt;0),Air&gt;Voies!J288-1,Eau&gt;Voies!K288-1,Feu&gt;Voies!L288-1,Terre&gt;Voies!M288-1,Vide&gt;Voies!N288-1,Constitution&gt;Voies!O288-1,Volonté&gt;Voies!P288-1,Force&gt;Voies!Q288-1,Perception&gt;Voies!R288-1,Reflexes&gt;Voies!S288-1,Agilité&gt;Voies!T288-1,Intuition&gt;Voies!U288-1,Intelligence&gt;Voies!V288-1,Souillure&gt;Voies!W288-1,Honneur&gt;X288-1,Statut&gt;Y288-1,Gloire&gt;Z288-1,AV288=TRUE),Voies!B288,"")</f>
        <v/>
      </c>
      <c r="B288" s="162" t="s">
        <v>6116</v>
      </c>
      <c r="C288" s="162" t="b">
        <f>IF(Clan=Voies!D288,TRUE,FALSE)</f>
        <v>0</v>
      </c>
      <c r="D288" s="387" t="s">
        <v>15</v>
      </c>
      <c r="E288" s="13">
        <v>3</v>
      </c>
      <c r="F288" s="199" t="s">
        <v>625</v>
      </c>
      <c r="H288" s="162" t="s">
        <v>6117</v>
      </c>
      <c r="I288" s="129" t="s">
        <v>6118</v>
      </c>
      <c r="J288" s="146">
        <v>0</v>
      </c>
      <c r="K288" s="147">
        <v>0</v>
      </c>
      <c r="L288" s="148">
        <v>0</v>
      </c>
      <c r="M288" s="149">
        <v>0</v>
      </c>
      <c r="N288" s="150">
        <v>0</v>
      </c>
      <c r="O288" s="130">
        <v>0</v>
      </c>
      <c r="P288" s="130">
        <v>0</v>
      </c>
      <c r="Q288" s="130">
        <v>0</v>
      </c>
      <c r="R288" s="130">
        <v>0</v>
      </c>
      <c r="S288" s="130">
        <v>0</v>
      </c>
      <c r="T288" s="130">
        <v>0</v>
      </c>
      <c r="U288" s="130">
        <v>0</v>
      </c>
      <c r="V288" s="524">
        <v>0</v>
      </c>
      <c r="W288" s="130">
        <v>0</v>
      </c>
      <c r="X288" s="130">
        <v>0</v>
      </c>
      <c r="Y288" s="130">
        <v>0</v>
      </c>
      <c r="Z288" s="130">
        <v>0</v>
      </c>
      <c r="AA288" s="158" t="s">
        <v>6119</v>
      </c>
      <c r="AB288" s="158" t="s">
        <v>1268</v>
      </c>
      <c r="AC288" s="158"/>
      <c r="AD288" s="158">
        <v>5</v>
      </c>
      <c r="AE288" s="158" t="b">
        <f>IF(AB288="",TRUE,IF(IF(AC288="",VLOOKUP(AB288,Calculs!$A$19:$S$425,19,FALSE),VLOOKUP(AC288,Calculs!$A$19:$S$425,19,FALSE))&gt;=AD288,TRUE,FALSE))</f>
        <v>0</v>
      </c>
      <c r="AF288" s="158" t="s">
        <v>1228</v>
      </c>
      <c r="AG288" s="158" t="s">
        <v>1355</v>
      </c>
      <c r="AH288" s="158">
        <v>5</v>
      </c>
      <c r="AI288" s="158" t="b">
        <f>IF(AF288="",TRUE,IF(IF(AG288="",VLOOKUP(AF288,Calculs!$A$19:$S$425,19,FALSE),VLOOKUP(AG288,Calculs!$A$19:$S$425,19,FALSE))&gt;=AH288,TRUE,FALSE))</f>
        <v>0</v>
      </c>
      <c r="AJ288" s="158"/>
      <c r="AK288" s="158"/>
      <c r="AL288" s="158"/>
      <c r="AM288" s="158" t="b">
        <f>IF(AJ288="",TRUE,IF(IF(AK288="",VLOOKUP(AJ288,Calculs!$A$19:$S$425,19,FALSE),VLOOKUP(AK288,Calculs!$A$19:$S$425,19,FALSE))&gt;=AL288,TRUE,FALSE))</f>
        <v>1</v>
      </c>
      <c r="AN288" s="158"/>
      <c r="AO288" s="158"/>
      <c r="AP288" s="158"/>
      <c r="AQ288" s="158" t="b">
        <f>IF(AN288="",TRUE,IF(IF(AO288="",VLOOKUP(AN288,Calculs!$A$19:$S$425,19,FALSE),VLOOKUP(AO288,Calculs!$A$19:$S$425,19,FALSE))&gt;=AP288,TRUE,FALSE))</f>
        <v>1</v>
      </c>
      <c r="AR288" s="158"/>
      <c r="AS288" s="158" t="b">
        <f>IF(AR288="",TRUE,IF(VLOOKUP(AR288,Calculs!$A$427:$G$738,7,FALSE)&gt;0,TRUE,FALSE))</f>
        <v>1</v>
      </c>
      <c r="AT288" s="158"/>
      <c r="AU288" s="158" t="b">
        <f>IF(AT288="",TRUE,IF(VLOOKUP(AT288,Calculs!$A$740:$G$912,7,FALSE)&gt;0,TRUE,FALSE))</f>
        <v>1</v>
      </c>
      <c r="AV288" s="158" t="b">
        <f t="shared" si="30"/>
        <v>0</v>
      </c>
      <c r="AW288" s="158" t="s">
        <v>2078</v>
      </c>
      <c r="AX288" s="162" t="s">
        <v>6010</v>
      </c>
      <c r="AY288" s="15">
        <v>205</v>
      </c>
      <c r="AZ288" s="555" t="s">
        <v>8541</v>
      </c>
      <c r="BA288" s="559">
        <f>IF(Verso!$B$10=Voies!$B288,1,0)</f>
        <v>0</v>
      </c>
      <c r="BB288" s="12">
        <f>IF(Verso!$B$11=Voies!$B288,1,0)</f>
        <v>0</v>
      </c>
      <c r="BC288" s="12">
        <f>IF(Verso!$B$12=Voies!$B288,1,0)</f>
        <v>0</v>
      </c>
      <c r="BD288" s="12">
        <f>IF(Verso!$B$13=Voies!$B288,1,0)</f>
        <v>0</v>
      </c>
      <c r="BE288" s="12">
        <f>IF(Verso!$B$14=Voies!$B288,1,0)</f>
        <v>0</v>
      </c>
      <c r="BF288" s="12">
        <f>IF(Verso!$B$15=Voies!$B288,1,0)</f>
        <v>0</v>
      </c>
      <c r="BG288" s="12">
        <f>IF(Verso!$B$16=Voies!$B288,1,0)</f>
        <v>0</v>
      </c>
      <c r="BH288" s="12">
        <f>IF(Verso!$B$17=Voies!$B288,1,0)</f>
        <v>0</v>
      </c>
      <c r="BI288" s="557">
        <f t="shared" si="31"/>
        <v>0</v>
      </c>
      <c r="BJ288" s="196" t="str">
        <f t="shared" si="32"/>
        <v/>
      </c>
      <c r="BK288" s="196" t="str">
        <f t="shared" si="33"/>
        <v/>
      </c>
      <c r="BL288" s="295" t="str">
        <f t="shared" si="34"/>
        <v/>
      </c>
    </row>
    <row r="289" spans="1:65" s="3" customFormat="1" ht="47.25" customHeight="1" x14ac:dyDescent="0.25">
      <c r="A289" s="162" t="str">
        <f>IF(AND(Réputation&gt;Voies!E289-1,OR(C289=TRUE,Calculs!$I$8&gt;0),Air&gt;Voies!J289-1,Eau&gt;Voies!K289-1,Feu&gt;Voies!L289-1,Terre&gt;Voies!M289-1,Vide&gt;Voies!N289-1,Constitution&gt;Voies!O289-1,Volonté&gt;Voies!P289-1,Force&gt;Voies!Q289-1,Perception&gt;Voies!R289-1,Reflexes&gt;Voies!S289-1,Agilité&gt;Voies!T289-1,Intuition&gt;Voies!U289-1,Intelligence&gt;Voies!V289-1,Souillure&gt;Voies!W289-1,Honneur&gt;X289-1,Statut&gt;Y289-1,Gloire&gt;Z289-1,AV289=TRUE),Voies!B289,"")</f>
        <v/>
      </c>
      <c r="B289" s="162" t="s">
        <v>2253</v>
      </c>
      <c r="C289" s="162" t="b">
        <f>IF(Clan=Voies!D289,TRUE,FALSE)</f>
        <v>0</v>
      </c>
      <c r="D289" s="387" t="s">
        <v>15</v>
      </c>
      <c r="E289" s="13">
        <v>4</v>
      </c>
      <c r="F289" s="199">
        <v>4</v>
      </c>
      <c r="G289" s="13" t="s">
        <v>2049</v>
      </c>
      <c r="H289" s="162" t="s">
        <v>313</v>
      </c>
      <c r="I289" s="129" t="str">
        <f>IF(B289="","","Rien")</f>
        <v>Rien</v>
      </c>
      <c r="J289" s="146">
        <v>0</v>
      </c>
      <c r="K289" s="147">
        <v>0</v>
      </c>
      <c r="L289" s="148">
        <v>0</v>
      </c>
      <c r="M289" s="149">
        <v>0</v>
      </c>
      <c r="N289" s="150">
        <v>0</v>
      </c>
      <c r="O289" s="130">
        <v>0</v>
      </c>
      <c r="P289" s="130">
        <v>0</v>
      </c>
      <c r="Q289" s="130">
        <v>0</v>
      </c>
      <c r="R289" s="130">
        <v>0</v>
      </c>
      <c r="S289" s="130">
        <v>0</v>
      </c>
      <c r="T289" s="130">
        <v>0</v>
      </c>
      <c r="U289" s="130">
        <v>0</v>
      </c>
      <c r="V289" s="524">
        <v>0</v>
      </c>
      <c r="W289" s="130">
        <v>0</v>
      </c>
      <c r="X289" s="130">
        <v>0</v>
      </c>
      <c r="Y289" s="130">
        <v>0</v>
      </c>
      <c r="Z289" s="130">
        <v>0</v>
      </c>
      <c r="AA289" s="158" t="s">
        <v>2078</v>
      </c>
      <c r="AB289" s="158"/>
      <c r="AC289" s="158"/>
      <c r="AD289" s="158"/>
      <c r="AE289" s="158" t="b">
        <f>IF(AB289="",TRUE,IF(IF(AC289="",VLOOKUP(AB289,Calculs!$A$19:$S$425,19,FALSE),VLOOKUP(AC289,Calculs!$A$19:$S$425,19,FALSE))&gt;=AD289,TRUE,FALSE))</f>
        <v>1</v>
      </c>
      <c r="AF289" s="158"/>
      <c r="AG289" s="158"/>
      <c r="AH289" s="158"/>
      <c r="AI289" s="158" t="b">
        <f>IF(AF289="",TRUE,IF(IF(AG289="",VLOOKUP(AF289,Calculs!$A$19:$S$425,19,FALSE),VLOOKUP(AG289,Calculs!$A$19:$S$425,19,FALSE))&gt;=AH289,TRUE,FALSE))</f>
        <v>1</v>
      </c>
      <c r="AJ289" s="158"/>
      <c r="AK289" s="158"/>
      <c r="AL289" s="158"/>
      <c r="AM289" s="158" t="b">
        <f>IF(AJ289="",TRUE,IF(IF(AK289="",VLOOKUP(AJ289,Calculs!$A$19:$S$425,19,FALSE),VLOOKUP(AK289,Calculs!$A$19:$S$425,19,FALSE))&gt;=AL289,TRUE,FALSE))</f>
        <v>1</v>
      </c>
      <c r="AN289" s="158"/>
      <c r="AO289" s="158"/>
      <c r="AP289" s="158"/>
      <c r="AQ289" s="158" t="b">
        <f>IF(AN289="",TRUE,IF(IF(AO289="",VLOOKUP(AN289,Calculs!$A$19:$S$425,19,FALSE),VLOOKUP(AO289,Calculs!$A$19:$S$425,19,FALSE))&gt;=AP289,TRUE,FALSE))</f>
        <v>1</v>
      </c>
      <c r="AR289" s="158"/>
      <c r="AS289" s="158" t="b">
        <f>IF(AR289="",TRUE,IF(VLOOKUP(AR289,Calculs!$A$427:$G$738,7,FALSE)&gt;0,TRUE,FALSE))</f>
        <v>1</v>
      </c>
      <c r="AT289" s="158"/>
      <c r="AU289" s="158" t="b">
        <f>IF(AT289="",TRUE,IF(VLOOKUP(AT289,Calculs!$A$740:$G$912,7,FALSE)&gt;0,TRUE,FALSE))</f>
        <v>1</v>
      </c>
      <c r="AV289" s="158" t="b">
        <f t="shared" si="30"/>
        <v>1</v>
      </c>
      <c r="AW289" s="158" t="s">
        <v>2078</v>
      </c>
      <c r="AX289" s="162" t="s">
        <v>3</v>
      </c>
      <c r="AY289" s="15">
        <v>110</v>
      </c>
      <c r="AZ289" s="555" t="s">
        <v>2257</v>
      </c>
      <c r="BA289" s="559">
        <f>IF(Verso!$B$10=Voies!$B289,1,0)</f>
        <v>0</v>
      </c>
      <c r="BB289" s="12">
        <f>IF(Verso!$B$11=Voies!$B289,1,0)</f>
        <v>0</v>
      </c>
      <c r="BC289" s="12">
        <f>IF(Verso!$B$12=Voies!$B289,1,0)</f>
        <v>0</v>
      </c>
      <c r="BD289" s="12">
        <f>IF(Verso!$B$13=Voies!$B289,1,0)</f>
        <v>0</v>
      </c>
      <c r="BE289" s="12">
        <f>IF(Verso!$B$14=Voies!$B289,1,0)</f>
        <v>0</v>
      </c>
      <c r="BF289" s="12">
        <f>IF(Verso!$B$15=Voies!$B289,1,0)</f>
        <v>0</v>
      </c>
      <c r="BG289" s="12">
        <f>IF(Verso!$B$16=Voies!$B289,1,0)</f>
        <v>0</v>
      </c>
      <c r="BH289" s="12">
        <f>IF(Verso!$B$17=Voies!$B289,1,0)</f>
        <v>0</v>
      </c>
      <c r="BI289" s="557">
        <f t="shared" si="31"/>
        <v>0</v>
      </c>
      <c r="BJ289" s="196" t="str">
        <f t="shared" si="32"/>
        <v/>
      </c>
      <c r="BK289" s="196" t="str">
        <f t="shared" si="33"/>
        <v/>
      </c>
      <c r="BL289" s="295" t="str">
        <f t="shared" si="34"/>
        <v/>
      </c>
      <c r="BM289" s="577"/>
    </row>
    <row r="290" spans="1:65" ht="47.25" customHeight="1" x14ac:dyDescent="0.25">
      <c r="A290" s="162" t="str">
        <f>IF(AND(Réputation&gt;Voies!E290-1,OR(C290=TRUE,Calculs!$I$8&gt;0),Air&gt;Voies!J290-1,Eau&gt;Voies!K290-1,Feu&gt;Voies!L290-1,Terre&gt;Voies!M290-1,Vide&gt;Voies!N290-1,Constitution&gt;Voies!O290-1,Volonté&gt;Voies!P290-1,Force&gt;Voies!Q290-1,Perception&gt;Voies!R290-1,Reflexes&gt;Voies!S290-1,Agilité&gt;Voies!T290-1,Intuition&gt;Voies!U290-1,Intelligence&gt;Voies!V290-1,Souillure&gt;Voies!W290-1,Honneur&gt;X290-1,Statut&gt;Y290-1,Gloire&gt;Z290-1,AV290=TRUE),Voies!B290,"")</f>
        <v/>
      </c>
      <c r="B290" s="162" t="s">
        <v>2617</v>
      </c>
      <c r="C290" s="162" t="b">
        <f>IF(Clan=Voies!D290,TRUE,FALSE)</f>
        <v>0</v>
      </c>
      <c r="D290" s="387" t="s">
        <v>15</v>
      </c>
      <c r="E290" s="13">
        <v>4</v>
      </c>
      <c r="F290" s="199">
        <v>4</v>
      </c>
      <c r="G290" s="13" t="s">
        <v>2049</v>
      </c>
      <c r="H290" s="162" t="s">
        <v>1936</v>
      </c>
      <c r="I290" s="129" t="str">
        <f>IF(B290="","","Rien")</f>
        <v>Rien</v>
      </c>
      <c r="J290" s="146">
        <v>0</v>
      </c>
      <c r="K290" s="147">
        <v>0</v>
      </c>
      <c r="L290" s="148">
        <v>0</v>
      </c>
      <c r="M290" s="149">
        <v>0</v>
      </c>
      <c r="N290" s="150">
        <v>0</v>
      </c>
      <c r="O290" s="130">
        <v>0</v>
      </c>
      <c r="P290" s="130">
        <v>0</v>
      </c>
      <c r="Q290" s="130">
        <v>0</v>
      </c>
      <c r="R290" s="130">
        <v>0</v>
      </c>
      <c r="S290" s="130">
        <v>0</v>
      </c>
      <c r="T290" s="130">
        <v>0</v>
      </c>
      <c r="U290" s="130">
        <v>0</v>
      </c>
      <c r="V290" s="524">
        <v>0</v>
      </c>
      <c r="W290" s="130">
        <v>0</v>
      </c>
      <c r="X290" s="130">
        <v>0</v>
      </c>
      <c r="Y290" s="130">
        <v>0</v>
      </c>
      <c r="Z290" s="130">
        <v>0</v>
      </c>
      <c r="AA290" s="158" t="s">
        <v>2078</v>
      </c>
      <c r="AB290" s="158"/>
      <c r="AC290" s="158"/>
      <c r="AD290" s="158"/>
      <c r="AE290" s="158" t="b">
        <f>IF(AB290="",TRUE,IF(IF(AC290="",VLOOKUP(AB290,Calculs!$A$19:$S$425,19,FALSE),VLOOKUP(AC290,Calculs!$A$19:$S$425,19,FALSE))&gt;=AD290,TRUE,FALSE))</f>
        <v>1</v>
      </c>
      <c r="AF290" s="158"/>
      <c r="AG290" s="158"/>
      <c r="AH290" s="158"/>
      <c r="AI290" s="158" t="b">
        <f>IF(AF290="",TRUE,IF(IF(AG290="",VLOOKUP(AF290,Calculs!$A$19:$S$425,19,FALSE),VLOOKUP(AG290,Calculs!$A$19:$S$425,19,FALSE))&gt;=AH290,TRUE,FALSE))</f>
        <v>1</v>
      </c>
      <c r="AJ290" s="158"/>
      <c r="AK290" s="158"/>
      <c r="AL290" s="158"/>
      <c r="AM290" s="158" t="b">
        <f>IF(AJ290="",TRUE,IF(IF(AK290="",VLOOKUP(AJ290,Calculs!$A$19:$S$425,19,FALSE),VLOOKUP(AK290,Calculs!$A$19:$S$425,19,FALSE))&gt;=AL290,TRUE,FALSE))</f>
        <v>1</v>
      </c>
      <c r="AN290" s="158"/>
      <c r="AO290" s="158"/>
      <c r="AP290" s="158"/>
      <c r="AQ290" s="158" t="b">
        <f>IF(AN290="",TRUE,IF(IF(AO290="",VLOOKUP(AN290,Calculs!$A$19:$S$425,19,FALSE),VLOOKUP(AO290,Calculs!$A$19:$S$425,19,FALSE))&gt;=AP290,TRUE,FALSE))</f>
        <v>1</v>
      </c>
      <c r="AR290" s="158"/>
      <c r="AS290" s="158" t="b">
        <f>IF(AR290="",TRUE,IF(VLOOKUP(AR290,Calculs!$A$427:$G$738,7,FALSE)&gt;0,TRUE,FALSE))</f>
        <v>1</v>
      </c>
      <c r="AT290" s="158"/>
      <c r="AU290" s="158" t="b">
        <f>IF(AT290="",TRUE,IF(VLOOKUP(AT290,Calculs!$A$740:$G$912,7,FALSE)&gt;0,TRUE,FALSE))</f>
        <v>1</v>
      </c>
      <c r="AV290" s="158" t="b">
        <f t="shared" si="30"/>
        <v>1</v>
      </c>
      <c r="AW290" s="158" t="s">
        <v>2078</v>
      </c>
      <c r="AX290" s="162" t="s">
        <v>5202</v>
      </c>
      <c r="AY290" s="15">
        <v>221</v>
      </c>
      <c r="AZ290" s="555" t="s">
        <v>2642</v>
      </c>
      <c r="BA290" s="559">
        <f>IF(Verso!$B$10=Voies!$B290,1,0)</f>
        <v>0</v>
      </c>
      <c r="BB290" s="12">
        <f>IF(Verso!$B$11=Voies!$B290,1,0)</f>
        <v>0</v>
      </c>
      <c r="BC290" s="12">
        <f>IF(Verso!$B$12=Voies!$B290,1,0)</f>
        <v>0</v>
      </c>
      <c r="BD290" s="12">
        <f>IF(Verso!$B$13=Voies!$B290,1,0)</f>
        <v>0</v>
      </c>
      <c r="BE290" s="12">
        <f>IF(Verso!$B$14=Voies!$B290,1,0)</f>
        <v>0</v>
      </c>
      <c r="BF290" s="12">
        <f>IF(Verso!$B$15=Voies!$B290,1,0)</f>
        <v>0</v>
      </c>
      <c r="BG290" s="12">
        <f>IF(Verso!$B$16=Voies!$B290,1,0)</f>
        <v>0</v>
      </c>
      <c r="BH290" s="12">
        <f>IF(Verso!$B$17=Voies!$B290,1,0)</f>
        <v>0</v>
      </c>
      <c r="BI290" s="557">
        <f t="shared" si="31"/>
        <v>0</v>
      </c>
      <c r="BJ290" s="196" t="str">
        <f t="shared" si="32"/>
        <v/>
      </c>
      <c r="BK290" s="196" t="str">
        <f t="shared" si="33"/>
        <v/>
      </c>
      <c r="BL290" s="295" t="str">
        <f t="shared" si="34"/>
        <v/>
      </c>
    </row>
    <row r="291" spans="1:65" ht="47.25" customHeight="1" x14ac:dyDescent="0.25">
      <c r="A291" s="162" t="str">
        <f>IF(AND(Réputation&gt;Voies!E291-1,OR(C291=TRUE,Calculs!$I$8&gt;0),Air&gt;Voies!J291-1,Eau&gt;Voies!K291-1,Feu&gt;Voies!L291-1,Terre&gt;Voies!M291-1,Vide&gt;Voies!N291-1,Constitution&gt;Voies!O291-1,Volonté&gt;Voies!P291-1,Force&gt;Voies!Q291-1,Perception&gt;Voies!R291-1,Reflexes&gt;Voies!S291-1,Agilité&gt;Voies!T291-1,Intuition&gt;Voies!U291-1,Intelligence&gt;Voies!V291-1,Souillure&gt;Voies!W291-1,Honneur&gt;X291-1,Statut&gt;Y291-1,Gloire&gt;Z291-1,AV291=TRUE),Voies!B291,"")</f>
        <v/>
      </c>
      <c r="B291" s="162" t="s">
        <v>6049</v>
      </c>
      <c r="C291" s="162" t="b">
        <f>IF(Clan=Voies!D291,TRUE,FALSE)</f>
        <v>0</v>
      </c>
      <c r="D291" s="387" t="s">
        <v>15</v>
      </c>
      <c r="E291" s="13">
        <v>4</v>
      </c>
      <c r="F291" s="199">
        <v>4</v>
      </c>
      <c r="G291" s="13" t="s">
        <v>2049</v>
      </c>
      <c r="H291" s="162" t="s">
        <v>6048</v>
      </c>
      <c r="I291" s="129" t="s">
        <v>3613</v>
      </c>
      <c r="J291" s="146">
        <v>0</v>
      </c>
      <c r="K291" s="147">
        <v>0</v>
      </c>
      <c r="L291" s="148">
        <v>0</v>
      </c>
      <c r="M291" s="149">
        <v>0</v>
      </c>
      <c r="N291" s="150">
        <v>0</v>
      </c>
      <c r="O291" s="130">
        <v>0</v>
      </c>
      <c r="P291" s="130">
        <v>0</v>
      </c>
      <c r="Q291" s="130">
        <v>0</v>
      </c>
      <c r="R291" s="130">
        <v>0</v>
      </c>
      <c r="S291" s="130">
        <v>0</v>
      </c>
      <c r="T291" s="130">
        <v>0</v>
      </c>
      <c r="U291" s="130">
        <v>0</v>
      </c>
      <c r="V291" s="524">
        <v>0</v>
      </c>
      <c r="W291" s="130">
        <v>0</v>
      </c>
      <c r="X291" s="130">
        <v>0</v>
      </c>
      <c r="Y291" s="130">
        <v>0</v>
      </c>
      <c r="Z291" s="130">
        <v>0</v>
      </c>
      <c r="AA291" s="159" t="s">
        <v>3366</v>
      </c>
      <c r="AB291" s="158" t="s">
        <v>1228</v>
      </c>
      <c r="AC291" s="158"/>
      <c r="AD291" s="158">
        <v>5</v>
      </c>
      <c r="AE291" s="158" t="b">
        <f>IF(AB291="",TRUE,IF(IF(AC291="",VLOOKUP(AB291,Calculs!$A$19:$S$425,19,FALSE),VLOOKUP(AC291,Calculs!$A$19:$S$425,19,FALSE))&gt;=AD291,TRUE,FALSE))</f>
        <v>0</v>
      </c>
      <c r="AI291" s="158" t="b">
        <f>IF(AF291="",TRUE,IF(IF(AG291="",VLOOKUP(AF291,Calculs!$A$19:$S$425,19,FALSE),VLOOKUP(AG291,Calculs!$A$19:$S$425,19,FALSE))&gt;=AH291,TRUE,FALSE))</f>
        <v>1</v>
      </c>
      <c r="AM291" s="158" t="b">
        <f>IF(AJ291="",TRUE,IF(IF(AK291="",VLOOKUP(AJ291,Calculs!$A$19:$S$425,19,FALSE),VLOOKUP(AK291,Calculs!$A$19:$S$425,19,FALSE))&gt;=AL291,TRUE,FALSE))</f>
        <v>1</v>
      </c>
      <c r="AQ291" s="158" t="b">
        <f>IF(AN291="",TRUE,IF(IF(AO291="",VLOOKUP(AN291,Calculs!$A$19:$S$425,19,FALSE),VLOOKUP(AO291,Calculs!$A$19:$S$425,19,FALSE))&gt;=AP291,TRUE,FALSE))</f>
        <v>1</v>
      </c>
      <c r="AR291" s="158"/>
      <c r="AS291" s="158" t="b">
        <f>IF(AR291="",TRUE,IF(VLOOKUP(AR291,Calculs!$A$427:$G$738,7,FALSE)&gt;0,TRUE,FALSE))</f>
        <v>1</v>
      </c>
      <c r="AT291" s="158"/>
      <c r="AU291" s="158" t="b">
        <f>IF(AT291="",TRUE,IF(VLOOKUP(AT291,Calculs!$A$740:$G$912,7,FALSE)&gt;0,TRUE,FALSE))</f>
        <v>1</v>
      </c>
      <c r="AV291" s="158" t="b">
        <f t="shared" si="30"/>
        <v>0</v>
      </c>
      <c r="AW291" s="158" t="s">
        <v>2078</v>
      </c>
      <c r="AX291" s="162" t="s">
        <v>6061</v>
      </c>
      <c r="AY291" s="15">
        <v>70</v>
      </c>
      <c r="AZ291" s="566" t="s">
        <v>3614</v>
      </c>
      <c r="BA291" s="559">
        <f>IF(Verso!$B$10=Voies!$B291,1,0)</f>
        <v>0</v>
      </c>
      <c r="BB291" s="12">
        <f>IF(Verso!$B$11=Voies!$B291,1,0)</f>
        <v>0</v>
      </c>
      <c r="BC291" s="12">
        <f>IF(Verso!$B$12=Voies!$B291,1,0)</f>
        <v>0</v>
      </c>
      <c r="BD291" s="12">
        <f>IF(Verso!$B$13=Voies!$B291,1,0)</f>
        <v>0</v>
      </c>
      <c r="BE291" s="12">
        <f>IF(Verso!$B$14=Voies!$B291,1,0)</f>
        <v>0</v>
      </c>
      <c r="BF291" s="12">
        <f>IF(Verso!$B$15=Voies!$B291,1,0)</f>
        <v>0</v>
      </c>
      <c r="BG291" s="12">
        <f>IF(Verso!$B$16=Voies!$B291,1,0)</f>
        <v>0</v>
      </c>
      <c r="BH291" s="12">
        <f>IF(Verso!$B$17=Voies!$B291,1,0)</f>
        <v>0</v>
      </c>
      <c r="BI291" s="557">
        <f t="shared" si="31"/>
        <v>0</v>
      </c>
      <c r="BJ291" s="196" t="str">
        <f t="shared" si="32"/>
        <v/>
      </c>
      <c r="BK291" s="196" t="str">
        <f t="shared" si="33"/>
        <v/>
      </c>
      <c r="BL291" s="295" t="str">
        <f t="shared" si="34"/>
        <v/>
      </c>
    </row>
    <row r="292" spans="1:65" ht="47.25" customHeight="1" x14ac:dyDescent="0.25">
      <c r="A292" s="162" t="str">
        <f>IF(AND(Réputation&gt;Voies!E292-1,OR(C292=TRUE,Calculs!$I$8&gt;0),Air&gt;Voies!J292-1,Eau&gt;Voies!K292-1,Feu&gt;Voies!L292-1,Terre&gt;Voies!M292-1,Vide&gt;Voies!N292-1,Constitution&gt;Voies!O292-1,Volonté&gt;Voies!P292-1,Force&gt;Voies!Q292-1,Perception&gt;Voies!R292-1,Reflexes&gt;Voies!S292-1,Agilité&gt;Voies!T292-1,Intuition&gt;Voies!U292-1,Intelligence&gt;Voies!V292-1,Souillure&gt;Voies!W292-1,Honneur&gt;X292-1,Statut&gt;Y292-1,Gloire&gt;Z292-1,AV292=TRUE),Voies!B292,"")</f>
        <v/>
      </c>
      <c r="B292" s="162" t="s">
        <v>6041</v>
      </c>
      <c r="C292" s="162" t="b">
        <f>IF(Clan=Voies!D292,TRUE,FALSE)</f>
        <v>0</v>
      </c>
      <c r="D292" s="387" t="s">
        <v>15</v>
      </c>
      <c r="E292" s="13">
        <v>4</v>
      </c>
      <c r="F292" s="199">
        <v>5</v>
      </c>
      <c r="G292" s="13" t="s">
        <v>2049</v>
      </c>
      <c r="H292" s="162" t="s">
        <v>420</v>
      </c>
      <c r="I292" s="129" t="str">
        <f>IF(B292="","","Rien")</f>
        <v>Rien</v>
      </c>
      <c r="J292" s="146">
        <v>5</v>
      </c>
      <c r="K292" s="147">
        <v>0</v>
      </c>
      <c r="L292" s="148">
        <v>0</v>
      </c>
      <c r="M292" s="149">
        <v>4</v>
      </c>
      <c r="N292" s="150">
        <v>5</v>
      </c>
      <c r="O292" s="130">
        <v>0</v>
      </c>
      <c r="P292" s="130">
        <v>0</v>
      </c>
      <c r="Q292" s="130">
        <v>0</v>
      </c>
      <c r="R292" s="130">
        <v>0</v>
      </c>
      <c r="S292" s="130">
        <v>0</v>
      </c>
      <c r="T292" s="130">
        <v>0</v>
      </c>
      <c r="U292" s="130">
        <v>0</v>
      </c>
      <c r="V292" s="524">
        <v>0</v>
      </c>
      <c r="W292" s="130">
        <v>0</v>
      </c>
      <c r="X292" s="130">
        <v>0</v>
      </c>
      <c r="Y292" s="130">
        <v>0</v>
      </c>
      <c r="Z292" s="130">
        <v>0</v>
      </c>
      <c r="AA292" s="159" t="s">
        <v>2814</v>
      </c>
      <c r="AB292" s="159" t="s">
        <v>351</v>
      </c>
      <c r="AD292" s="159">
        <v>5</v>
      </c>
      <c r="AE292" s="158" t="b">
        <f>IF(AB292="",TRUE,IF(IF(AC292="",VLOOKUP(AB292,Calculs!$A$19:$S$425,19,FALSE),VLOOKUP(AC292,Calculs!$A$19:$S$425,19,FALSE))&gt;=AD292,TRUE,FALSE))</f>
        <v>0</v>
      </c>
      <c r="AF292" s="159" t="s">
        <v>1265</v>
      </c>
      <c r="AH292" s="159">
        <v>6</v>
      </c>
      <c r="AI292" s="158" t="b">
        <f>IF(AF292="",TRUE,IF(IF(AG292="",VLOOKUP(AF292,Calculs!$A$19:$S$425,19,FALSE),VLOOKUP(AG292,Calculs!$A$19:$S$425,19,FALSE))&gt;=AH292,TRUE,FALSE))</f>
        <v>0</v>
      </c>
      <c r="AM292" s="158" t="b">
        <f>IF(AJ292="",TRUE,IF(IF(AK292="",VLOOKUP(AJ292,Calculs!$A$19:$S$425,19,FALSE),VLOOKUP(AK292,Calculs!$A$19:$S$425,19,FALSE))&gt;=AL292,TRUE,FALSE))</f>
        <v>1</v>
      </c>
      <c r="AQ292" s="158" t="b">
        <f>IF(AN292="",TRUE,IF(IF(AO292="",VLOOKUP(AN292,Calculs!$A$19:$S$425,19,FALSE),VLOOKUP(AO292,Calculs!$A$19:$S$425,19,FALSE))&gt;=AP292,TRUE,FALSE))</f>
        <v>1</v>
      </c>
      <c r="AR292" s="158"/>
      <c r="AS292" s="158" t="b">
        <f>IF(AR292="",TRUE,IF(VLOOKUP(AR292,Calculs!$A$427:$G$738,7,FALSE)&gt;0,TRUE,FALSE))</f>
        <v>1</v>
      </c>
      <c r="AT292" s="158"/>
      <c r="AU292" s="158" t="b">
        <f>IF(OR(Calculs!G799&lt;&gt;0,Calculs!G878&lt;&gt;0),TRUE,FALSE)</f>
        <v>0</v>
      </c>
      <c r="AV292" s="158" t="b">
        <f t="shared" si="30"/>
        <v>0</v>
      </c>
      <c r="AW292" s="158" t="s">
        <v>3413</v>
      </c>
      <c r="AX292" s="162" t="s">
        <v>6061</v>
      </c>
      <c r="AY292" s="15">
        <v>69</v>
      </c>
      <c r="AZ292" s="555" t="s">
        <v>2815</v>
      </c>
      <c r="BA292" s="559">
        <f>IF(Verso!$B$10=Voies!$B292,1,0)</f>
        <v>0</v>
      </c>
      <c r="BB292" s="12">
        <f>IF(Verso!$B$11=Voies!$B292,1,0)</f>
        <v>0</v>
      </c>
      <c r="BC292" s="12">
        <f>IF(Verso!$B$12=Voies!$B292,1,0)</f>
        <v>0</v>
      </c>
      <c r="BD292" s="12">
        <f>IF(Verso!$B$13=Voies!$B292,1,0)</f>
        <v>0</v>
      </c>
      <c r="BE292" s="12">
        <f>IF(Verso!$B$14=Voies!$B292,1,0)</f>
        <v>0</v>
      </c>
      <c r="BF292" s="12">
        <f>IF(Verso!$B$15=Voies!$B292,1,0)</f>
        <v>0</v>
      </c>
      <c r="BG292" s="12">
        <f>IF(Verso!$B$16=Voies!$B292,1,0)</f>
        <v>0</v>
      </c>
      <c r="BH292" s="12">
        <f>IF(Verso!$B$17=Voies!$B292,1,0)</f>
        <v>0</v>
      </c>
      <c r="BI292" s="557">
        <f t="shared" si="31"/>
        <v>0</v>
      </c>
      <c r="BJ292" s="196" t="str">
        <f t="shared" si="32"/>
        <v/>
      </c>
      <c r="BK292" s="196" t="str">
        <f t="shared" si="33"/>
        <v/>
      </c>
      <c r="BL292" s="295" t="str">
        <f t="shared" si="34"/>
        <v/>
      </c>
    </row>
    <row r="293" spans="1:65" ht="47.25" customHeight="1" x14ac:dyDescent="0.25">
      <c r="A293" s="162" t="str">
        <f>IF(AND(Réputation&gt;Voies!E293-1,OR(C293=TRUE,Calculs!$I$8&gt;0),Air&gt;Voies!J293-1,Eau&gt;Voies!K293-1,Feu&gt;Voies!L293-1,Terre&gt;Voies!M293-1,Vide&gt;Voies!N293-1,Constitution&gt;Voies!O293-1,Volonté&gt;Voies!P293-1,Force&gt;Voies!Q293-1,Perception&gt;Voies!R293-1,Reflexes&gt;Voies!S293-1,Agilité&gt;Voies!T293-1,Intuition&gt;Voies!U293-1,Intelligence&gt;Voies!V293-1,Souillure&gt;Voies!W293-1,Honneur&gt;X293-1,Statut&gt;Y293-1,Gloire&gt;Z293-1,AV293=TRUE),Voies!B293,"")</f>
        <v/>
      </c>
      <c r="B293" s="162" t="s">
        <v>3477</v>
      </c>
      <c r="C293" s="162" t="b">
        <f>IF(Clan=Voies!D293,TRUE,FALSE)</f>
        <v>0</v>
      </c>
      <c r="D293" s="387" t="s">
        <v>15</v>
      </c>
      <c r="E293" s="13">
        <v>4</v>
      </c>
      <c r="F293" s="199" t="s">
        <v>624</v>
      </c>
      <c r="G293" s="13" t="s">
        <v>2049</v>
      </c>
      <c r="H293" s="162" t="s">
        <v>494</v>
      </c>
      <c r="I293" s="129" t="s">
        <v>3476</v>
      </c>
      <c r="J293" s="146">
        <v>0</v>
      </c>
      <c r="K293" s="147">
        <v>0</v>
      </c>
      <c r="L293" s="148">
        <v>0</v>
      </c>
      <c r="M293" s="149">
        <v>0</v>
      </c>
      <c r="N293" s="150">
        <v>0</v>
      </c>
      <c r="O293" s="130">
        <v>0</v>
      </c>
      <c r="P293" s="130">
        <v>0</v>
      </c>
      <c r="Q293" s="130">
        <v>0</v>
      </c>
      <c r="R293" s="130">
        <v>0</v>
      </c>
      <c r="S293" s="130">
        <v>0</v>
      </c>
      <c r="T293" s="130">
        <v>0</v>
      </c>
      <c r="U293" s="130">
        <v>0</v>
      </c>
      <c r="V293" s="524">
        <v>0</v>
      </c>
      <c r="W293" s="130">
        <v>0</v>
      </c>
      <c r="X293" s="130">
        <v>0</v>
      </c>
      <c r="Y293" s="130">
        <v>0</v>
      </c>
      <c r="Z293" s="130">
        <v>0</v>
      </c>
      <c r="AA293" s="159" t="s">
        <v>3478</v>
      </c>
      <c r="AB293" s="159" t="s">
        <v>1221</v>
      </c>
      <c r="AD293" s="159">
        <v>5</v>
      </c>
      <c r="AE293" s="158" t="b">
        <f>IF(AB293="",TRUE,IF(IF(AC293="",VLOOKUP(AB293,Calculs!$A$19:$S$425,19,FALSE),VLOOKUP(AC293,Calculs!$A$19:$S$425,19,FALSE))&gt;=AD293,TRUE,FALSE))</f>
        <v>0</v>
      </c>
      <c r="AI293" s="158" t="b">
        <f>IF(AF293="",TRUE,IF(IF(AG293="",VLOOKUP(AF293,Calculs!$A$19:$S$425,19,FALSE),VLOOKUP(AG293,Calculs!$A$19:$S$425,19,FALSE))&gt;=AH293,TRUE,FALSE))</f>
        <v>1</v>
      </c>
      <c r="AM293" s="158" t="b">
        <f>IF(AJ293="",TRUE,IF(IF(AK293="",VLOOKUP(AJ293,Calculs!$A$19:$S$425,19,FALSE),VLOOKUP(AK293,Calculs!$A$19:$S$425,19,FALSE))&gt;=AL293,TRUE,FALSE))</f>
        <v>1</v>
      </c>
      <c r="AQ293" s="158" t="b">
        <f>IF(AN293="",TRUE,IF(IF(AO293="",VLOOKUP(AN293,Calculs!$A$19:$S$425,19,FALSE),VLOOKUP(AO293,Calculs!$A$19:$S$425,19,FALSE))&gt;=AP293,TRUE,FALSE))</f>
        <v>1</v>
      </c>
      <c r="AR293" s="158"/>
      <c r="AS293" s="158" t="b">
        <f>IF(AR293="",TRUE,IF(VLOOKUP(AR293,Calculs!$A$427:$G$738,7,FALSE)&gt;0,TRUE,FALSE))</f>
        <v>1</v>
      </c>
      <c r="AT293" s="158"/>
      <c r="AU293" s="158" t="b">
        <f>IF(AT293="",TRUE,IF(VLOOKUP(AT293,Calculs!$A$740:$G$912,7,FALSE)&gt;0,TRUE,FALSE))</f>
        <v>1</v>
      </c>
      <c r="AV293" s="158" t="b">
        <f t="shared" si="30"/>
        <v>0</v>
      </c>
      <c r="AW293" s="158" t="s">
        <v>2078</v>
      </c>
      <c r="AX293" s="162" t="s">
        <v>160</v>
      </c>
      <c r="AY293" s="15">
        <v>177</v>
      </c>
      <c r="AZ293" s="567" t="s">
        <v>3479</v>
      </c>
      <c r="BA293" s="559">
        <f>IF(Verso!$B$10=Voies!$B293,1,0)</f>
        <v>0</v>
      </c>
      <c r="BB293" s="12">
        <f>IF(Verso!$B$11=Voies!$B293,1,0)</f>
        <v>0</v>
      </c>
      <c r="BC293" s="12">
        <f>IF(Verso!$B$12=Voies!$B293,1,0)</f>
        <v>0</v>
      </c>
      <c r="BD293" s="12">
        <f>IF(Verso!$B$13=Voies!$B293,1,0)</f>
        <v>0</v>
      </c>
      <c r="BE293" s="12">
        <f>IF(Verso!$B$14=Voies!$B293,1,0)</f>
        <v>0</v>
      </c>
      <c r="BF293" s="12">
        <f>IF(Verso!$B$15=Voies!$B293,1,0)</f>
        <v>0</v>
      </c>
      <c r="BG293" s="12">
        <f>IF(Verso!$B$16=Voies!$B293,1,0)</f>
        <v>0</v>
      </c>
      <c r="BH293" s="12">
        <f>IF(Verso!$B$17=Voies!$B293,1,0)</f>
        <v>0</v>
      </c>
      <c r="BI293" s="557">
        <f t="shared" si="31"/>
        <v>0</v>
      </c>
      <c r="BJ293" s="196" t="str">
        <f t="shared" si="32"/>
        <v/>
      </c>
      <c r="BK293" s="196" t="str">
        <f t="shared" si="33"/>
        <v/>
      </c>
      <c r="BL293" s="295" t="str">
        <f t="shared" si="34"/>
        <v/>
      </c>
    </row>
    <row r="294" spans="1:65" ht="47.25" customHeight="1" x14ac:dyDescent="0.25">
      <c r="A294" s="162" t="str">
        <f>IF(AND(Réputation&gt;Voies!E294-1,OR(C294=TRUE,Calculs!$I$8&gt;0),Air&gt;Voies!J294-1,Eau&gt;Voies!K294-1,Feu&gt;Voies!L294-1,Terre&gt;Voies!M294-1,Vide&gt;Voies!N294-1,Constitution&gt;Voies!O294-1,Volonté&gt;Voies!P294-1,Force&gt;Voies!Q294-1,Perception&gt;Voies!R294-1,Reflexes&gt;Voies!S294-1,Agilité&gt;Voies!T294-1,Intuition&gt;Voies!U294-1,Intelligence&gt;Voies!V294-1,Souillure&gt;Voies!W294-1,Honneur&gt;X294-1,Statut&gt;Y294-1,Gloire&gt;Z294-1,AV294=TRUE),Voies!B294,"")</f>
        <v/>
      </c>
      <c r="B294" s="162" t="s">
        <v>2266</v>
      </c>
      <c r="C294" s="162" t="b">
        <f>IF(Clan=Voies!D294,TRUE,FALSE)</f>
        <v>0</v>
      </c>
      <c r="D294" s="387" t="s">
        <v>15</v>
      </c>
      <c r="E294" s="13">
        <v>4</v>
      </c>
      <c r="F294" s="199">
        <v>4</v>
      </c>
      <c r="G294" s="13" t="s">
        <v>2052</v>
      </c>
      <c r="H294" s="162" t="s">
        <v>316</v>
      </c>
      <c r="I294" s="129" t="str">
        <f>IF(B294="","","Rien")</f>
        <v>Rien</v>
      </c>
      <c r="J294" s="146">
        <v>0</v>
      </c>
      <c r="K294" s="147">
        <v>0</v>
      </c>
      <c r="L294" s="148">
        <v>0</v>
      </c>
      <c r="M294" s="149">
        <v>0</v>
      </c>
      <c r="N294" s="150">
        <v>0</v>
      </c>
      <c r="O294" s="130">
        <v>0</v>
      </c>
      <c r="P294" s="130">
        <v>0</v>
      </c>
      <c r="Q294" s="130">
        <v>0</v>
      </c>
      <c r="R294" s="130">
        <v>0</v>
      </c>
      <c r="S294" s="130">
        <v>0</v>
      </c>
      <c r="T294" s="130">
        <v>0</v>
      </c>
      <c r="U294" s="130">
        <v>0</v>
      </c>
      <c r="V294" s="524">
        <v>0</v>
      </c>
      <c r="W294" s="130">
        <v>0</v>
      </c>
      <c r="X294" s="130">
        <v>0</v>
      </c>
      <c r="Y294" s="130">
        <v>0</v>
      </c>
      <c r="Z294" s="130">
        <v>0</v>
      </c>
      <c r="AA294" s="158" t="s">
        <v>2078</v>
      </c>
      <c r="AB294" s="158"/>
      <c r="AC294" s="158"/>
      <c r="AD294" s="158"/>
      <c r="AE294" s="158" t="b">
        <f>IF(AB294="",TRUE,IF(IF(AC294="",VLOOKUP(AB294,Calculs!$A$19:$S$425,19,FALSE),VLOOKUP(AC294,Calculs!$A$19:$S$425,19,FALSE))&gt;=AD294,TRUE,FALSE))</f>
        <v>1</v>
      </c>
      <c r="AF294" s="158"/>
      <c r="AG294" s="158"/>
      <c r="AH294" s="158"/>
      <c r="AI294" s="158" t="b">
        <f>IF(AF294="",TRUE,IF(IF(AG294="",VLOOKUP(AF294,Calculs!$A$19:$S$425,19,FALSE),VLOOKUP(AG294,Calculs!$A$19:$S$425,19,FALSE))&gt;=AH294,TRUE,FALSE))</f>
        <v>1</v>
      </c>
      <c r="AJ294" s="158"/>
      <c r="AK294" s="158"/>
      <c r="AL294" s="158"/>
      <c r="AM294" s="158" t="b">
        <f>IF(AJ294="",TRUE,IF(IF(AK294="",VLOOKUP(AJ294,Calculs!$A$19:$S$425,19,FALSE),VLOOKUP(AK294,Calculs!$A$19:$S$425,19,FALSE))&gt;=AL294,TRUE,FALSE))</f>
        <v>1</v>
      </c>
      <c r="AN294" s="158"/>
      <c r="AO294" s="158"/>
      <c r="AP294" s="158"/>
      <c r="AQ294" s="158" t="b">
        <f>IF(AN294="",TRUE,IF(IF(AO294="",VLOOKUP(AN294,Calculs!$A$19:$S$425,19,FALSE),VLOOKUP(AO294,Calculs!$A$19:$S$425,19,FALSE))&gt;=AP294,TRUE,FALSE))</f>
        <v>1</v>
      </c>
      <c r="AR294" s="158"/>
      <c r="AS294" s="158" t="b">
        <f>IF(AR294="",TRUE,IF(VLOOKUP(AR294,Calculs!$A$427:$G$738,7,FALSE)&gt;0,TRUE,FALSE))</f>
        <v>1</v>
      </c>
      <c r="AT294" s="158"/>
      <c r="AU294" s="158" t="b">
        <f>IF(AT294="",TRUE,IF(VLOOKUP(AT294,Calculs!$A$740:$G$912,7,FALSE)&gt;0,TRUE,FALSE))</f>
        <v>1</v>
      </c>
      <c r="AV294" s="158" t="b">
        <f t="shared" si="30"/>
        <v>1</v>
      </c>
      <c r="AW294" s="158" t="s">
        <v>2078</v>
      </c>
      <c r="AX294" s="162" t="s">
        <v>3</v>
      </c>
      <c r="AY294" s="15">
        <v>111</v>
      </c>
      <c r="AZ294" s="555" t="s">
        <v>2270</v>
      </c>
      <c r="BA294" s="559">
        <f>IF(Verso!$B$10=Voies!$B294,1,0)</f>
        <v>0</v>
      </c>
      <c r="BB294" s="12">
        <f>IF(Verso!$B$11=Voies!$B294,1,0)</f>
        <v>0</v>
      </c>
      <c r="BC294" s="12">
        <f>IF(Verso!$B$12=Voies!$B294,1,0)</f>
        <v>0</v>
      </c>
      <c r="BD294" s="12">
        <f>IF(Verso!$B$13=Voies!$B294,1,0)</f>
        <v>0</v>
      </c>
      <c r="BE294" s="12">
        <f>IF(Verso!$B$14=Voies!$B294,1,0)</f>
        <v>0</v>
      </c>
      <c r="BF294" s="12">
        <f>IF(Verso!$B$15=Voies!$B294,1,0)</f>
        <v>0</v>
      </c>
      <c r="BG294" s="12">
        <f>IF(Verso!$B$16=Voies!$B294,1,0)</f>
        <v>0</v>
      </c>
      <c r="BH294" s="12">
        <f>IF(Verso!$B$17=Voies!$B294,1,0)</f>
        <v>0</v>
      </c>
      <c r="BI294" s="557">
        <f t="shared" si="31"/>
        <v>0</v>
      </c>
      <c r="BJ294" s="196" t="str">
        <f t="shared" si="32"/>
        <v/>
      </c>
      <c r="BK294" s="196" t="str">
        <f t="shared" si="33"/>
        <v/>
      </c>
      <c r="BL294" s="295" t="str">
        <f t="shared" si="34"/>
        <v/>
      </c>
    </row>
    <row r="295" spans="1:65" ht="47.25" customHeight="1" x14ac:dyDescent="0.25">
      <c r="A295" s="162" t="str">
        <f>IF(AND(Réputation&gt;Voies!E295-1,OR(C295=TRUE,Calculs!$I$8&gt;0),Air&gt;Voies!J295-1,Eau&gt;Voies!K295-1,Feu&gt;Voies!L295-1,Terre&gt;Voies!M295-1,Vide&gt;Voies!N295-1,Constitution&gt;Voies!O295-1,Volonté&gt;Voies!P295-1,Force&gt;Voies!Q295-1,Perception&gt;Voies!R295-1,Reflexes&gt;Voies!S295-1,Agilité&gt;Voies!T295-1,Intuition&gt;Voies!U295-1,Intelligence&gt;Voies!V295-1,Souillure&gt;Voies!W295-1,Honneur&gt;X295-1,Statut&gt;Y295-1,Gloire&gt;Z295-1,AV295=TRUE),Voies!B295,"")</f>
        <v/>
      </c>
      <c r="B295" s="162" t="s">
        <v>2280</v>
      </c>
      <c r="C295" s="162" t="b">
        <f>IF(Clan=Voies!D295,TRUE,FALSE)</f>
        <v>0</v>
      </c>
      <c r="D295" s="387" t="s">
        <v>15</v>
      </c>
      <c r="E295" s="13">
        <v>4</v>
      </c>
      <c r="F295" s="199">
        <v>4</v>
      </c>
      <c r="G295" s="13" t="s">
        <v>2050</v>
      </c>
      <c r="H295" s="162" t="s">
        <v>202</v>
      </c>
      <c r="I295" s="129" t="str">
        <f>IF(B295="","","Rien")</f>
        <v>Rien</v>
      </c>
      <c r="J295" s="146">
        <v>0</v>
      </c>
      <c r="K295" s="147">
        <v>0</v>
      </c>
      <c r="L295" s="148">
        <v>0</v>
      </c>
      <c r="M295" s="149">
        <v>0</v>
      </c>
      <c r="N295" s="150">
        <v>0</v>
      </c>
      <c r="O295" s="130">
        <v>0</v>
      </c>
      <c r="P295" s="130">
        <v>0</v>
      </c>
      <c r="Q295" s="130">
        <v>0</v>
      </c>
      <c r="R295" s="130">
        <v>0</v>
      </c>
      <c r="S295" s="130">
        <v>0</v>
      </c>
      <c r="T295" s="130">
        <v>0</v>
      </c>
      <c r="U295" s="130">
        <v>0</v>
      </c>
      <c r="V295" s="524">
        <v>0</v>
      </c>
      <c r="W295" s="130">
        <v>0</v>
      </c>
      <c r="X295" s="130">
        <v>0</v>
      </c>
      <c r="Y295" s="130">
        <v>0</v>
      </c>
      <c r="Z295" s="130">
        <v>0</v>
      </c>
      <c r="AA295" s="158" t="s">
        <v>2078</v>
      </c>
      <c r="AB295" s="158"/>
      <c r="AC295" s="158"/>
      <c r="AD295" s="158"/>
      <c r="AE295" s="158" t="b">
        <f>IF(AB295="",TRUE,IF(IF(AC295="",VLOOKUP(AB295,Calculs!$A$19:$S$425,19,FALSE),VLOOKUP(AC295,Calculs!$A$19:$S$425,19,FALSE))&gt;=AD295,TRUE,FALSE))</f>
        <v>1</v>
      </c>
      <c r="AF295" s="158"/>
      <c r="AG295" s="158"/>
      <c r="AH295" s="158"/>
      <c r="AI295" s="158" t="b">
        <f>IF(AF295="",TRUE,IF(IF(AG295="",VLOOKUP(AF295,Calculs!$A$19:$S$425,19,FALSE),VLOOKUP(AG295,Calculs!$A$19:$S$425,19,FALSE))&gt;=AH295,TRUE,FALSE))</f>
        <v>1</v>
      </c>
      <c r="AJ295" s="158"/>
      <c r="AK295" s="158"/>
      <c r="AL295" s="158"/>
      <c r="AM295" s="158" t="b">
        <f>IF(AJ295="",TRUE,IF(IF(AK295="",VLOOKUP(AJ295,Calculs!$A$19:$S$425,19,FALSE),VLOOKUP(AK295,Calculs!$A$19:$S$425,19,FALSE))&gt;=AL295,TRUE,FALSE))</f>
        <v>1</v>
      </c>
      <c r="AN295" s="158"/>
      <c r="AO295" s="158"/>
      <c r="AP295" s="158"/>
      <c r="AQ295" s="158" t="b">
        <f>IF(AN295="",TRUE,IF(IF(AO295="",VLOOKUP(AN295,Calculs!$A$19:$S$425,19,FALSE),VLOOKUP(AO295,Calculs!$A$19:$S$425,19,FALSE))&gt;=AP295,TRUE,FALSE))</f>
        <v>1</v>
      </c>
      <c r="AR295" s="158"/>
      <c r="AS295" s="158" t="b">
        <f>IF(AR295="",TRUE,IF(VLOOKUP(AR295,Calculs!$A$427:$G$738,7,FALSE)&gt;0,TRUE,FALSE))</f>
        <v>1</v>
      </c>
      <c r="AT295" s="158"/>
      <c r="AU295" s="158" t="b">
        <f>IF(AT295="",TRUE,IF(VLOOKUP(AT295,Calculs!$A$740:$G$912,7,FALSE)&gt;0,TRUE,FALSE))</f>
        <v>1</v>
      </c>
      <c r="AV295" s="158" t="b">
        <f t="shared" si="30"/>
        <v>1</v>
      </c>
      <c r="AW295" s="158" t="s">
        <v>2078</v>
      </c>
      <c r="AX295" s="162" t="s">
        <v>3</v>
      </c>
      <c r="AY295" s="15">
        <v>111</v>
      </c>
      <c r="AZ295" s="555" t="s">
        <v>2278</v>
      </c>
      <c r="BA295" s="559">
        <f>IF(Verso!$B$10=Voies!$B295,1,0)</f>
        <v>0</v>
      </c>
      <c r="BB295" s="12">
        <f>IF(Verso!$B$11=Voies!$B295,1,0)</f>
        <v>0</v>
      </c>
      <c r="BC295" s="12">
        <f>IF(Verso!$B$12=Voies!$B295,1,0)</f>
        <v>0</v>
      </c>
      <c r="BD295" s="12">
        <f>IF(Verso!$B$13=Voies!$B295,1,0)</f>
        <v>0</v>
      </c>
      <c r="BE295" s="12">
        <f>IF(Verso!$B$14=Voies!$B295,1,0)</f>
        <v>0</v>
      </c>
      <c r="BF295" s="12">
        <f>IF(Verso!$B$15=Voies!$B295,1,0)</f>
        <v>0</v>
      </c>
      <c r="BG295" s="12">
        <f>IF(Verso!$B$16=Voies!$B295,1,0)</f>
        <v>0</v>
      </c>
      <c r="BH295" s="12">
        <f>IF(Verso!$B$17=Voies!$B295,1,0)</f>
        <v>0</v>
      </c>
      <c r="BI295" s="557">
        <f t="shared" si="31"/>
        <v>0</v>
      </c>
      <c r="BJ295" s="196" t="str">
        <f t="shared" si="32"/>
        <v/>
      </c>
      <c r="BK295" s="196" t="str">
        <f t="shared" si="33"/>
        <v/>
      </c>
      <c r="BL295" s="295" t="str">
        <f t="shared" si="34"/>
        <v/>
      </c>
    </row>
    <row r="296" spans="1:65" ht="47.25" customHeight="1" x14ac:dyDescent="0.25">
      <c r="A296" s="162" t="str">
        <f>IF(AND(Réputation&gt;Voies!E296-1,OR(C296=TRUE,Calculs!$I$8&gt;0),Air&gt;Voies!J296-1,Eau&gt;Voies!K296-1,Feu&gt;Voies!L296-1,Terre&gt;Voies!M296-1,Vide&gt;Voies!N296-1,Constitution&gt;Voies!O296-1,Volonté&gt;Voies!P296-1,Force&gt;Voies!Q296-1,Perception&gt;Voies!R296-1,Reflexes&gt;Voies!S296-1,Agilité&gt;Voies!T296-1,Intuition&gt;Voies!U296-1,Intelligence&gt;Voies!V296-1,Souillure&gt;Voies!W296-1,Honneur&gt;X296-1,Statut&gt;Y296-1,Gloire&gt;Z296-1,AV296=TRUE),Voies!B296,"")</f>
        <v/>
      </c>
      <c r="B296" s="162" t="s">
        <v>2955</v>
      </c>
      <c r="C296" s="162" t="b">
        <f>IF(Clan=Voies!D296,TRUE,FALSE)</f>
        <v>0</v>
      </c>
      <c r="D296" s="387" t="s">
        <v>15</v>
      </c>
      <c r="E296" s="13">
        <v>4</v>
      </c>
      <c r="F296" s="199">
        <v>4</v>
      </c>
      <c r="G296" s="13" t="s">
        <v>2050</v>
      </c>
      <c r="H296" s="162" t="s">
        <v>201</v>
      </c>
      <c r="I296" s="129" t="str">
        <f>IF(B296="","","Rien")</f>
        <v>Rien</v>
      </c>
      <c r="J296" s="146">
        <v>0</v>
      </c>
      <c r="K296" s="147">
        <v>0</v>
      </c>
      <c r="L296" s="148">
        <v>0</v>
      </c>
      <c r="M296" s="149">
        <v>0</v>
      </c>
      <c r="N296" s="150">
        <v>0</v>
      </c>
      <c r="O296" s="130">
        <v>0</v>
      </c>
      <c r="P296" s="130">
        <v>0</v>
      </c>
      <c r="Q296" s="130">
        <v>0</v>
      </c>
      <c r="R296" s="130">
        <v>0</v>
      </c>
      <c r="S296" s="130">
        <v>0</v>
      </c>
      <c r="T296" s="130">
        <v>0</v>
      </c>
      <c r="U296" s="130">
        <v>0</v>
      </c>
      <c r="V296" s="524">
        <v>0</v>
      </c>
      <c r="W296" s="130">
        <v>0</v>
      </c>
      <c r="X296" s="130">
        <v>0</v>
      </c>
      <c r="Y296" s="130">
        <v>0</v>
      </c>
      <c r="Z296" s="130">
        <v>0</v>
      </c>
      <c r="AA296" s="158" t="s">
        <v>2078</v>
      </c>
      <c r="AB296" s="158"/>
      <c r="AC296" s="158"/>
      <c r="AD296" s="158"/>
      <c r="AE296" s="158" t="b">
        <f>IF(AB296="",TRUE,IF(IF(AC296="",VLOOKUP(AB296,Calculs!$A$19:$S$425,19,FALSE),VLOOKUP(AC296,Calculs!$A$19:$S$425,19,FALSE))&gt;=AD296,TRUE,FALSE))</f>
        <v>1</v>
      </c>
      <c r="AF296" s="158"/>
      <c r="AG296" s="158"/>
      <c r="AH296" s="158"/>
      <c r="AI296" s="158" t="b">
        <f>IF(AF296="",TRUE,IF(IF(AG296="",VLOOKUP(AF296,Calculs!$A$19:$S$425,19,FALSE),VLOOKUP(AG296,Calculs!$A$19:$S$425,19,FALSE))&gt;=AH296,TRUE,FALSE))</f>
        <v>1</v>
      </c>
      <c r="AJ296" s="158"/>
      <c r="AK296" s="158"/>
      <c r="AL296" s="158"/>
      <c r="AM296" s="158" t="b">
        <f>IF(AJ296="",TRUE,IF(IF(AK296="",VLOOKUP(AJ296,Calculs!$A$19:$S$425,19,FALSE),VLOOKUP(AK296,Calculs!$A$19:$S$425,19,FALSE))&gt;=AL296,TRUE,FALSE))</f>
        <v>1</v>
      </c>
      <c r="AN296" s="158"/>
      <c r="AO296" s="158"/>
      <c r="AP296" s="158"/>
      <c r="AQ296" s="158" t="b">
        <f>IF(AN296="",TRUE,IF(IF(AO296="",VLOOKUP(AN296,Calculs!$A$19:$S$425,19,FALSE),VLOOKUP(AO296,Calculs!$A$19:$S$425,19,FALSE))&gt;=AP296,TRUE,FALSE))</f>
        <v>1</v>
      </c>
      <c r="AR296" s="158"/>
      <c r="AS296" s="158" t="b">
        <f>IF(AR296="",TRUE,IF(VLOOKUP(AR296,Calculs!$A$427:$G$738,7,FALSE)&gt;0,TRUE,FALSE))</f>
        <v>1</v>
      </c>
      <c r="AT296" s="158"/>
      <c r="AU296" s="158" t="b">
        <f>IF(AT296="",TRUE,IF(VLOOKUP(AT296,Calculs!$A$740:$G$912,7,FALSE)&gt;0,TRUE,FALSE))</f>
        <v>1</v>
      </c>
      <c r="AV296" s="158" t="b">
        <f t="shared" si="30"/>
        <v>1</v>
      </c>
      <c r="AW296" s="158" t="s">
        <v>2078</v>
      </c>
      <c r="AX296" s="162" t="s">
        <v>2077</v>
      </c>
      <c r="AY296" s="15">
        <v>215</v>
      </c>
      <c r="AZ296" s="555" t="s">
        <v>2959</v>
      </c>
      <c r="BA296" s="559">
        <f>IF(Verso!$B$10=Voies!$B296,1,0)</f>
        <v>0</v>
      </c>
      <c r="BB296" s="12">
        <f>IF(Verso!$B$11=Voies!$B296,1,0)</f>
        <v>0</v>
      </c>
      <c r="BC296" s="12">
        <f>IF(Verso!$B$12=Voies!$B296,1,0)</f>
        <v>0</v>
      </c>
      <c r="BD296" s="12">
        <f>IF(Verso!$B$13=Voies!$B296,1,0)</f>
        <v>0</v>
      </c>
      <c r="BE296" s="12">
        <f>IF(Verso!$B$14=Voies!$B296,1,0)</f>
        <v>0</v>
      </c>
      <c r="BF296" s="12">
        <f>IF(Verso!$B$15=Voies!$B296,1,0)</f>
        <v>0</v>
      </c>
      <c r="BG296" s="12">
        <f>IF(Verso!$B$16=Voies!$B296,1,0)</f>
        <v>0</v>
      </c>
      <c r="BH296" s="12">
        <f>IF(Verso!$B$17=Voies!$B296,1,0)</f>
        <v>0</v>
      </c>
      <c r="BI296" s="557">
        <f t="shared" si="31"/>
        <v>0</v>
      </c>
      <c r="BJ296" s="196" t="str">
        <f t="shared" si="32"/>
        <v/>
      </c>
      <c r="BK296" s="196" t="str">
        <f t="shared" si="33"/>
        <v/>
      </c>
      <c r="BL296" s="295" t="str">
        <f t="shared" si="34"/>
        <v/>
      </c>
    </row>
    <row r="297" spans="1:65" ht="47.25" customHeight="1" x14ac:dyDescent="0.25">
      <c r="A297" s="162" t="str">
        <f>IF(AND(Réputation&gt;Voies!E297-1,OR(C297=TRUE,Calculs!$I$8&gt;0),Air&gt;Voies!J297-1,Eau&gt;Voies!K297-1,Feu&gt;Voies!L297-1,Terre&gt;Voies!M297-1,Vide&gt;Voies!N297-1,Constitution&gt;Voies!O297-1,Volonté&gt;Voies!P297-1,Force&gt;Voies!Q297-1,Perception&gt;Voies!R297-1,Reflexes&gt;Voies!S297-1,Agilité&gt;Voies!T297-1,Intuition&gt;Voies!U297-1,Intelligence&gt;Voies!V297-1,Souillure&gt;Voies!W297-1,Honneur&gt;X297-1,Statut&gt;Y297-1,Gloire&gt;Z297-1,AV297=TRUE),Voies!B297,"")</f>
        <v/>
      </c>
      <c r="B297" s="162" t="s">
        <v>3138</v>
      </c>
      <c r="C297" s="162" t="b">
        <f>IF(Clan=Voies!D297,TRUE,FALSE)</f>
        <v>0</v>
      </c>
      <c r="D297" s="387" t="s">
        <v>15</v>
      </c>
      <c r="E297" s="13">
        <v>4</v>
      </c>
      <c r="F297" s="199">
        <v>4</v>
      </c>
      <c r="G297" s="13" t="s">
        <v>2048</v>
      </c>
      <c r="H297" s="162" t="s">
        <v>620</v>
      </c>
      <c r="I297" s="129" t="s">
        <v>3139</v>
      </c>
      <c r="J297" s="146">
        <v>0</v>
      </c>
      <c r="K297" s="147">
        <v>0</v>
      </c>
      <c r="L297" s="148">
        <v>0</v>
      </c>
      <c r="M297" s="149">
        <v>0</v>
      </c>
      <c r="N297" s="150">
        <v>0</v>
      </c>
      <c r="O297" s="130">
        <v>0</v>
      </c>
      <c r="P297" s="130">
        <v>0</v>
      </c>
      <c r="Q297" s="130">
        <v>0</v>
      </c>
      <c r="R297" s="130">
        <v>0</v>
      </c>
      <c r="S297" s="130">
        <v>0</v>
      </c>
      <c r="T297" s="130">
        <v>0</v>
      </c>
      <c r="U297" s="130">
        <v>0</v>
      </c>
      <c r="V297" s="524">
        <v>0</v>
      </c>
      <c r="W297" s="130">
        <v>0</v>
      </c>
      <c r="X297" s="130">
        <v>0</v>
      </c>
      <c r="Y297" s="130">
        <v>0</v>
      </c>
      <c r="Z297" s="130">
        <v>0</v>
      </c>
      <c r="AA297" s="159" t="s">
        <v>3140</v>
      </c>
      <c r="AE297" s="158" t="b">
        <f>IF(AB297="",TRUE,IF(IF(AC297="",VLOOKUP(AB297,Calculs!$A$19:$S$425,19,FALSE),VLOOKUP(AC297,Calculs!$A$19:$S$425,19,FALSE))&gt;=AD297,TRUE,FALSE))</f>
        <v>1</v>
      </c>
      <c r="AI297" s="158" t="b">
        <f>IF(AF297="",TRUE,IF(IF(AG297="",VLOOKUP(AF297,Calculs!$A$19:$S$425,19,FALSE),VLOOKUP(AG297,Calculs!$A$19:$S$425,19,FALSE))&gt;=AH297,TRUE,FALSE))</f>
        <v>1</v>
      </c>
      <c r="AM297" s="158" t="b">
        <f>IF(AJ297="",TRUE,IF(IF(AK297="",VLOOKUP(AJ297,Calculs!$A$19:$S$425,19,FALSE),VLOOKUP(AK297,Calculs!$A$19:$S$425,19,FALSE))&gt;=AL297,TRUE,FALSE))</f>
        <v>1</v>
      </c>
      <c r="AQ297" s="158" t="b">
        <f>IF(AN297="",TRUE,IF(IF(AO297="",VLOOKUP(AN297,Calculs!$A$19:$S$425,19,FALSE),VLOOKUP(AO297,Calculs!$A$19:$S$425,19,FALSE))&gt;=AP297,TRUE,FALSE))</f>
        <v>1</v>
      </c>
      <c r="AR297" s="158"/>
      <c r="AS297" s="158" t="b">
        <f>IF(AR297="",TRUE,IF(VLOOKUP(AR297,Calculs!$A$427:$G$738,7,FALSE)&gt;0,TRUE,FALSE))</f>
        <v>1</v>
      </c>
      <c r="AT297" s="158"/>
      <c r="AU297" s="158" t="b">
        <f>IF(AT297="",TRUE,IF(VLOOKUP(AT297,Calculs!$A$740:$G$912,7,FALSE)&gt;0,TRUE,FALSE))</f>
        <v>1</v>
      </c>
      <c r="AV297" s="158" t="b">
        <f t="shared" si="30"/>
        <v>1</v>
      </c>
      <c r="AW297" s="158" t="s">
        <v>2078</v>
      </c>
      <c r="AX297" s="162" t="s">
        <v>3</v>
      </c>
      <c r="AY297" s="15">
        <v>252</v>
      </c>
      <c r="AZ297" s="555" t="s">
        <v>3141</v>
      </c>
      <c r="BA297" s="559">
        <f>IF(Verso!$B$10=Voies!$B297,1,0)</f>
        <v>0</v>
      </c>
      <c r="BB297" s="12">
        <f>IF(Verso!$B$11=Voies!$B297,1,0)</f>
        <v>0</v>
      </c>
      <c r="BC297" s="12">
        <f>IF(Verso!$B$12=Voies!$B297,1,0)</f>
        <v>0</v>
      </c>
      <c r="BD297" s="12">
        <f>IF(Verso!$B$13=Voies!$B297,1,0)</f>
        <v>0</v>
      </c>
      <c r="BE297" s="12">
        <f>IF(Verso!$B$14=Voies!$B297,1,0)</f>
        <v>0</v>
      </c>
      <c r="BF297" s="12">
        <f>IF(Verso!$B$15=Voies!$B297,1,0)</f>
        <v>0</v>
      </c>
      <c r="BG297" s="12">
        <f>IF(Verso!$B$16=Voies!$B297,1,0)</f>
        <v>0</v>
      </c>
      <c r="BH297" s="12">
        <f>IF(Verso!$B$17=Voies!$B297,1,0)</f>
        <v>0</v>
      </c>
      <c r="BI297" s="557">
        <f t="shared" si="31"/>
        <v>0</v>
      </c>
      <c r="BJ297" s="196" t="str">
        <f t="shared" si="32"/>
        <v/>
      </c>
      <c r="BK297" s="196" t="str">
        <f t="shared" si="33"/>
        <v/>
      </c>
      <c r="BL297" s="295" t="str">
        <f t="shared" si="34"/>
        <v/>
      </c>
    </row>
    <row r="298" spans="1:65" ht="47.25" customHeight="1" x14ac:dyDescent="0.25">
      <c r="A298" s="162" t="str">
        <f>IF(AND(Réputation&gt;Voies!E298-1,OR(C298=TRUE,Calculs!$I$8&gt;0),Air&gt;Voies!J298-1,Eau&gt;Voies!K298-1,Feu&gt;Voies!L298-1,Terre&gt;Voies!M298-1,Vide&gt;Voies!N298-1,Constitution&gt;Voies!O298-1,Volonté&gt;Voies!P298-1,Force&gt;Voies!Q298-1,Perception&gt;Voies!R298-1,Reflexes&gt;Voies!S298-1,Agilité&gt;Voies!T298-1,Intuition&gt;Voies!U298-1,Intelligence&gt;Voies!V298-1,Souillure&gt;Voies!W298-1,Honneur&gt;X298-1,Statut&gt;Y298-1,Gloire&gt;Z298-1,AV298=TRUE),Voies!B298,"")</f>
        <v/>
      </c>
      <c r="B298" s="162" t="s">
        <v>6044</v>
      </c>
      <c r="C298" s="162" t="b">
        <f>IF(Clan=Voies!D298,TRUE,FALSE)</f>
        <v>0</v>
      </c>
      <c r="D298" s="387" t="s">
        <v>15</v>
      </c>
      <c r="E298" s="13">
        <v>4</v>
      </c>
      <c r="F298" s="199">
        <v>4</v>
      </c>
      <c r="G298" s="13" t="s">
        <v>2048</v>
      </c>
      <c r="H298" s="162" t="s">
        <v>421</v>
      </c>
      <c r="I298" s="129" t="str">
        <f t="shared" ref="I298:I310" si="35">IF(B298="","","Rien")</f>
        <v>Rien</v>
      </c>
      <c r="J298" s="146">
        <v>0</v>
      </c>
      <c r="K298" s="147">
        <v>0</v>
      </c>
      <c r="L298" s="148">
        <v>0</v>
      </c>
      <c r="M298" s="149">
        <v>0</v>
      </c>
      <c r="N298" s="150">
        <v>0</v>
      </c>
      <c r="O298" s="130">
        <v>0</v>
      </c>
      <c r="P298" s="130">
        <v>0</v>
      </c>
      <c r="Q298" s="130">
        <v>0</v>
      </c>
      <c r="R298" s="130">
        <v>0</v>
      </c>
      <c r="S298" s="130">
        <v>0</v>
      </c>
      <c r="T298" s="130">
        <v>0</v>
      </c>
      <c r="U298" s="130">
        <v>0</v>
      </c>
      <c r="V298" s="524">
        <v>0</v>
      </c>
      <c r="W298" s="130">
        <v>0</v>
      </c>
      <c r="X298" s="130">
        <v>0</v>
      </c>
      <c r="Y298" s="130">
        <v>0</v>
      </c>
      <c r="Z298" s="130">
        <v>0</v>
      </c>
      <c r="AA298" s="159" t="s">
        <v>2818</v>
      </c>
      <c r="AB298" s="159" t="s">
        <v>1260</v>
      </c>
      <c r="AD298" s="159">
        <v>5</v>
      </c>
      <c r="AE298" s="158" t="b">
        <f>IF(AB298="",TRUE,IF(IF(AC298="",VLOOKUP(AB298,Calculs!$A$19:$S$425,19,FALSE),VLOOKUP(AC298,Calculs!$A$19:$S$425,19,FALSE))&gt;=AD298,TRUE,FALSE))</f>
        <v>0</v>
      </c>
      <c r="AI298" s="158" t="b">
        <f>IF(AF298="",TRUE,IF(IF(AG298="",VLOOKUP(AF298,Calculs!$A$19:$S$425,19,FALSE),VLOOKUP(AG298,Calculs!$A$19:$S$425,19,FALSE))&gt;=AH298,TRUE,FALSE))</f>
        <v>1</v>
      </c>
      <c r="AM298" s="158" t="b">
        <f>IF(AJ298="",TRUE,IF(IF(AK298="",VLOOKUP(AJ298,Calculs!$A$19:$S$425,19,FALSE),VLOOKUP(AK298,Calculs!$A$19:$S$425,19,FALSE))&gt;=AL298,TRUE,FALSE))</f>
        <v>1</v>
      </c>
      <c r="AQ298" s="158" t="b">
        <f>IF(AN298="",TRUE,IF(IF(AO298="",VLOOKUP(AN298,Calculs!$A$19:$S$425,19,FALSE),VLOOKUP(AO298,Calculs!$A$19:$S$425,19,FALSE))&gt;=AP298,TRUE,FALSE))</f>
        <v>1</v>
      </c>
      <c r="AR298" s="158"/>
      <c r="AS298" s="158" t="b">
        <f>IF(AR298="",TRUE,IF(VLOOKUP(AR298,Calculs!$A$427:$G$738,7,FALSE)&gt;0,TRUE,FALSE))</f>
        <v>1</v>
      </c>
      <c r="AT298" s="158"/>
      <c r="AU298" s="158" t="b">
        <f>IF(AT298="",TRUE,IF(VLOOKUP(AT298,Calculs!$A$740:$G$912,7,FALSE)&gt;0,TRUE,FALSE))</f>
        <v>1</v>
      </c>
      <c r="AV298" s="158" t="b">
        <f t="shared" si="30"/>
        <v>0</v>
      </c>
      <c r="AW298" s="158" t="s">
        <v>2078</v>
      </c>
      <c r="AX298" s="162" t="s">
        <v>6061</v>
      </c>
      <c r="AY298" s="15">
        <v>69</v>
      </c>
      <c r="AZ298" s="555" t="s">
        <v>2820</v>
      </c>
      <c r="BA298" s="559">
        <f>IF(Verso!$B$10=Voies!$B298,1,0)</f>
        <v>0</v>
      </c>
      <c r="BB298" s="12">
        <f>IF(Verso!$B$11=Voies!$B298,1,0)</f>
        <v>0</v>
      </c>
      <c r="BC298" s="12">
        <f>IF(Verso!$B$12=Voies!$B298,1,0)</f>
        <v>0</v>
      </c>
      <c r="BD298" s="12">
        <f>IF(Verso!$B$13=Voies!$B298,1,0)</f>
        <v>0</v>
      </c>
      <c r="BE298" s="12">
        <f>IF(Verso!$B$14=Voies!$B298,1,0)</f>
        <v>0</v>
      </c>
      <c r="BF298" s="12">
        <f>IF(Verso!$B$15=Voies!$B298,1,0)</f>
        <v>0</v>
      </c>
      <c r="BG298" s="12">
        <f>IF(Verso!$B$16=Voies!$B298,1,0)</f>
        <v>0</v>
      </c>
      <c r="BH298" s="12">
        <f>IF(Verso!$B$17=Voies!$B298,1,0)</f>
        <v>0</v>
      </c>
      <c r="BI298" s="557">
        <f t="shared" si="31"/>
        <v>0</v>
      </c>
      <c r="BJ298" s="196" t="str">
        <f t="shared" si="32"/>
        <v/>
      </c>
      <c r="BK298" s="196" t="str">
        <f t="shared" si="33"/>
        <v/>
      </c>
      <c r="BL298" s="295" t="str">
        <f t="shared" si="34"/>
        <v/>
      </c>
    </row>
    <row r="299" spans="1:65" ht="47.25" customHeight="1" x14ac:dyDescent="0.25">
      <c r="A299" s="162" t="str">
        <f>IF(AND(Réputation&gt;Voies!E299-1,OR(C299=TRUE,Calculs!$I$8&gt;0),Air&gt;Voies!J299-1,Eau&gt;Voies!K299-1,Feu&gt;Voies!L299-1,Terre&gt;Voies!M299-1,Vide&gt;Voies!N299-1,Constitution&gt;Voies!O299-1,Volonté&gt;Voies!P299-1,Force&gt;Voies!Q299-1,Perception&gt;Voies!R299-1,Reflexes&gt;Voies!S299-1,Agilité&gt;Voies!T299-1,Intuition&gt;Voies!U299-1,Intelligence&gt;Voies!V299-1,Souillure&gt;Voies!W299-1,Honneur&gt;X299-1,Statut&gt;Y299-1,Gloire&gt;Z299-1,AV299=TRUE),Voies!B299,"")</f>
        <v/>
      </c>
      <c r="B299" s="162" t="s">
        <v>2254</v>
      </c>
      <c r="C299" s="162" t="b">
        <f>IF(Clan=Voies!D299,TRUE,FALSE)</f>
        <v>0</v>
      </c>
      <c r="D299" s="387" t="s">
        <v>15</v>
      </c>
      <c r="E299" s="13">
        <v>5</v>
      </c>
      <c r="F299" s="199">
        <v>5</v>
      </c>
      <c r="G299" s="13" t="s">
        <v>2049</v>
      </c>
      <c r="H299" s="162" t="s">
        <v>313</v>
      </c>
      <c r="I299" s="129" t="str">
        <f t="shared" si="35"/>
        <v>Rien</v>
      </c>
      <c r="J299" s="146">
        <v>0</v>
      </c>
      <c r="K299" s="147">
        <v>0</v>
      </c>
      <c r="L299" s="148">
        <v>0</v>
      </c>
      <c r="M299" s="149">
        <v>0</v>
      </c>
      <c r="N299" s="150">
        <v>0</v>
      </c>
      <c r="O299" s="130">
        <v>0</v>
      </c>
      <c r="P299" s="130">
        <v>0</v>
      </c>
      <c r="Q299" s="130">
        <v>0</v>
      </c>
      <c r="R299" s="130">
        <v>0</v>
      </c>
      <c r="S299" s="130">
        <v>0</v>
      </c>
      <c r="T299" s="130">
        <v>0</v>
      </c>
      <c r="U299" s="130">
        <v>0</v>
      </c>
      <c r="V299" s="524">
        <v>0</v>
      </c>
      <c r="W299" s="130">
        <v>0</v>
      </c>
      <c r="X299" s="130">
        <v>0</v>
      </c>
      <c r="Y299" s="130">
        <v>0</v>
      </c>
      <c r="Z299" s="130">
        <v>0</v>
      </c>
      <c r="AA299" s="158" t="s">
        <v>2078</v>
      </c>
      <c r="AB299" s="158"/>
      <c r="AC299" s="158"/>
      <c r="AD299" s="158"/>
      <c r="AE299" s="158" t="b">
        <f>IF(AB299="",TRUE,IF(IF(AC299="",VLOOKUP(AB299,Calculs!$A$19:$S$425,19,FALSE),VLOOKUP(AC299,Calculs!$A$19:$S$425,19,FALSE))&gt;=AD299,TRUE,FALSE))</f>
        <v>1</v>
      </c>
      <c r="AF299" s="158"/>
      <c r="AG299" s="158"/>
      <c r="AH299" s="158"/>
      <c r="AI299" s="158" t="b">
        <f>IF(AF299="",TRUE,IF(IF(AG299="",VLOOKUP(AF299,Calculs!$A$19:$S$425,19,FALSE),VLOOKUP(AG299,Calculs!$A$19:$S$425,19,FALSE))&gt;=AH299,TRUE,FALSE))</f>
        <v>1</v>
      </c>
      <c r="AJ299" s="158"/>
      <c r="AK299" s="158"/>
      <c r="AL299" s="158"/>
      <c r="AM299" s="158" t="b">
        <f>IF(AJ299="",TRUE,IF(IF(AK299="",VLOOKUP(AJ299,Calculs!$A$19:$S$425,19,FALSE),VLOOKUP(AK299,Calculs!$A$19:$S$425,19,FALSE))&gt;=AL299,TRUE,FALSE))</f>
        <v>1</v>
      </c>
      <c r="AN299" s="158"/>
      <c r="AO299" s="158"/>
      <c r="AP299" s="158"/>
      <c r="AQ299" s="158" t="b">
        <f>IF(AN299="",TRUE,IF(IF(AO299="",VLOOKUP(AN299,Calculs!$A$19:$S$425,19,FALSE),VLOOKUP(AO299,Calculs!$A$19:$S$425,19,FALSE))&gt;=AP299,TRUE,FALSE))</f>
        <v>1</v>
      </c>
      <c r="AR299" s="158"/>
      <c r="AS299" s="158" t="b">
        <f>IF(AR299="",TRUE,IF(VLOOKUP(AR299,Calculs!$A$427:$G$738,7,FALSE)&gt;0,TRUE,FALSE))</f>
        <v>1</v>
      </c>
      <c r="AT299" s="158"/>
      <c r="AU299" s="158" t="b">
        <f>IF(AT299="",TRUE,IF(VLOOKUP(AT299,Calculs!$A$740:$G$912,7,FALSE)&gt;0,TRUE,FALSE))</f>
        <v>1</v>
      </c>
      <c r="AV299" s="158" t="b">
        <f t="shared" si="30"/>
        <v>1</v>
      </c>
      <c r="AW299" s="158" t="s">
        <v>2078</v>
      </c>
      <c r="AX299" s="162" t="s">
        <v>3</v>
      </c>
      <c r="AY299" s="15">
        <v>110</v>
      </c>
      <c r="AZ299" s="555" t="s">
        <v>2258</v>
      </c>
      <c r="BA299" s="559">
        <f>IF(Verso!$B$10=Voies!$B299,1,0)</f>
        <v>0</v>
      </c>
      <c r="BB299" s="12">
        <f>IF(Verso!$B$11=Voies!$B299,1,0)</f>
        <v>0</v>
      </c>
      <c r="BC299" s="12">
        <f>IF(Verso!$B$12=Voies!$B299,1,0)</f>
        <v>0</v>
      </c>
      <c r="BD299" s="12">
        <f>IF(Verso!$B$13=Voies!$B299,1,0)</f>
        <v>0</v>
      </c>
      <c r="BE299" s="12">
        <f>IF(Verso!$B$14=Voies!$B299,1,0)</f>
        <v>0</v>
      </c>
      <c r="BF299" s="12">
        <f>IF(Verso!$B$15=Voies!$B299,1,0)</f>
        <v>0</v>
      </c>
      <c r="BG299" s="12">
        <f>IF(Verso!$B$16=Voies!$B299,1,0)</f>
        <v>0</v>
      </c>
      <c r="BH299" s="12">
        <f>IF(Verso!$B$17=Voies!$B299,1,0)</f>
        <v>0</v>
      </c>
      <c r="BI299" s="557">
        <f t="shared" si="31"/>
        <v>0</v>
      </c>
      <c r="BJ299" s="196" t="str">
        <f t="shared" si="32"/>
        <v/>
      </c>
      <c r="BK299" s="196" t="str">
        <f t="shared" si="33"/>
        <v/>
      </c>
      <c r="BL299" s="295" t="str">
        <f t="shared" si="34"/>
        <v/>
      </c>
    </row>
    <row r="300" spans="1:65" ht="47.25" customHeight="1" x14ac:dyDescent="0.25">
      <c r="A300" s="162" t="str">
        <f>IF(AND(Réputation&gt;Voies!E300-1,OR(C300=TRUE,Calculs!$I$8&gt;0),Air&gt;Voies!J300-1,Eau&gt;Voies!K300-1,Feu&gt;Voies!L300-1,Terre&gt;Voies!M300-1,Vide&gt;Voies!N300-1,Constitution&gt;Voies!O300-1,Volonté&gt;Voies!P300-1,Force&gt;Voies!Q300-1,Perception&gt;Voies!R300-1,Reflexes&gt;Voies!S300-1,Agilité&gt;Voies!T300-1,Intuition&gt;Voies!U300-1,Intelligence&gt;Voies!V300-1,Souillure&gt;Voies!W300-1,Honneur&gt;X300-1,Statut&gt;Y300-1,Gloire&gt;Z300-1,AV300=TRUE),Voies!B300,"")</f>
        <v/>
      </c>
      <c r="B300" s="162" t="s">
        <v>4816</v>
      </c>
      <c r="C300" s="162" t="b">
        <f>IF(Clan=Voies!D300,TRUE,FALSE)</f>
        <v>0</v>
      </c>
      <c r="D300" s="387" t="s">
        <v>15</v>
      </c>
      <c r="E300" s="13">
        <v>5</v>
      </c>
      <c r="F300" s="199">
        <v>5</v>
      </c>
      <c r="G300" s="13" t="s">
        <v>2049</v>
      </c>
      <c r="H300" s="162" t="s">
        <v>1936</v>
      </c>
      <c r="I300" s="129" t="str">
        <f t="shared" si="35"/>
        <v>Rien</v>
      </c>
      <c r="J300" s="146">
        <v>0</v>
      </c>
      <c r="K300" s="147">
        <v>0</v>
      </c>
      <c r="L300" s="148">
        <v>0</v>
      </c>
      <c r="M300" s="149">
        <v>0</v>
      </c>
      <c r="N300" s="150">
        <v>0</v>
      </c>
      <c r="O300" s="130">
        <v>0</v>
      </c>
      <c r="P300" s="130">
        <v>0</v>
      </c>
      <c r="Q300" s="130">
        <v>0</v>
      </c>
      <c r="R300" s="130">
        <v>0</v>
      </c>
      <c r="S300" s="130">
        <v>0</v>
      </c>
      <c r="T300" s="130">
        <v>0</v>
      </c>
      <c r="U300" s="130">
        <v>0</v>
      </c>
      <c r="V300" s="524">
        <v>0</v>
      </c>
      <c r="W300" s="130">
        <v>0</v>
      </c>
      <c r="X300" s="130">
        <v>0</v>
      </c>
      <c r="Y300" s="130">
        <v>0</v>
      </c>
      <c r="Z300" s="130">
        <v>0</v>
      </c>
      <c r="AA300" s="158" t="s">
        <v>2078</v>
      </c>
      <c r="AB300" s="158"/>
      <c r="AC300" s="158"/>
      <c r="AD300" s="158"/>
      <c r="AE300" s="158" t="b">
        <f>IF(AB300="",TRUE,IF(IF(AC300="",VLOOKUP(AB300,Calculs!$A$19:$S$425,19,FALSE),VLOOKUP(AC300,Calculs!$A$19:$S$425,19,FALSE))&gt;=AD300,TRUE,FALSE))</f>
        <v>1</v>
      </c>
      <c r="AF300" s="158"/>
      <c r="AG300" s="158"/>
      <c r="AH300" s="158"/>
      <c r="AI300" s="158" t="b">
        <f>IF(AF300="",TRUE,IF(IF(AG300="",VLOOKUP(AF300,Calculs!$A$19:$S$425,19,FALSE),VLOOKUP(AG300,Calculs!$A$19:$S$425,19,FALSE))&gt;=AH300,TRUE,FALSE))</f>
        <v>1</v>
      </c>
      <c r="AJ300" s="158"/>
      <c r="AK300" s="158"/>
      <c r="AL300" s="158"/>
      <c r="AM300" s="158" t="b">
        <f>IF(AJ300="",TRUE,IF(IF(AK300="",VLOOKUP(AJ300,Calculs!$A$19:$S$425,19,FALSE),VLOOKUP(AK300,Calculs!$A$19:$S$425,19,FALSE))&gt;=AL300,TRUE,FALSE))</f>
        <v>1</v>
      </c>
      <c r="AN300" s="158"/>
      <c r="AO300" s="158"/>
      <c r="AP300" s="158"/>
      <c r="AQ300" s="158" t="b">
        <f>IF(AN300="",TRUE,IF(IF(AO300="",VLOOKUP(AN300,Calculs!$A$19:$S$425,19,FALSE),VLOOKUP(AO300,Calculs!$A$19:$S$425,19,FALSE))&gt;=AP300,TRUE,FALSE))</f>
        <v>1</v>
      </c>
      <c r="AR300" s="158"/>
      <c r="AS300" s="158" t="b">
        <f>IF(AR300="",TRUE,IF(VLOOKUP(AR300,Calculs!$A$427:$G$738,7,FALSE)&gt;0,TRUE,FALSE))</f>
        <v>1</v>
      </c>
      <c r="AT300" s="158"/>
      <c r="AU300" s="158" t="b">
        <f>IF(AT300="",TRUE,IF(VLOOKUP(AT300,Calculs!$A$740:$G$912,7,FALSE)&gt;0,TRUE,FALSE))</f>
        <v>1</v>
      </c>
      <c r="AV300" s="158" t="b">
        <f t="shared" si="30"/>
        <v>1</v>
      </c>
      <c r="AW300" s="158" t="s">
        <v>2078</v>
      </c>
      <c r="AX300" s="162" t="s">
        <v>5202</v>
      </c>
      <c r="AY300" s="15">
        <v>221</v>
      </c>
      <c r="AZ300" s="555" t="s">
        <v>2643</v>
      </c>
      <c r="BA300" s="559">
        <f>IF(Verso!$B$10=Voies!$B300,1,0)</f>
        <v>0</v>
      </c>
      <c r="BB300" s="12">
        <f>IF(Verso!$B$11=Voies!$B300,1,0)</f>
        <v>0</v>
      </c>
      <c r="BC300" s="12">
        <f>IF(Verso!$B$12=Voies!$B300,1,0)</f>
        <v>0</v>
      </c>
      <c r="BD300" s="12">
        <f>IF(Verso!$B$13=Voies!$B300,1,0)</f>
        <v>0</v>
      </c>
      <c r="BE300" s="12">
        <f>IF(Verso!$B$14=Voies!$B300,1,0)</f>
        <v>0</v>
      </c>
      <c r="BF300" s="12">
        <f>IF(Verso!$B$15=Voies!$B300,1,0)</f>
        <v>0</v>
      </c>
      <c r="BG300" s="12">
        <f>IF(Verso!$B$16=Voies!$B300,1,0)</f>
        <v>0</v>
      </c>
      <c r="BH300" s="12">
        <f>IF(Verso!$B$17=Voies!$B300,1,0)</f>
        <v>0</v>
      </c>
      <c r="BI300" s="557">
        <f t="shared" si="31"/>
        <v>0</v>
      </c>
      <c r="BJ300" s="196" t="str">
        <f t="shared" si="32"/>
        <v/>
      </c>
      <c r="BK300" s="196" t="str">
        <f t="shared" si="33"/>
        <v/>
      </c>
      <c r="BL300" s="295" t="str">
        <f t="shared" si="34"/>
        <v/>
      </c>
    </row>
    <row r="301" spans="1:65" ht="47.25" customHeight="1" x14ac:dyDescent="0.25">
      <c r="A301" s="162" t="str">
        <f>IF(AND(Réputation&gt;Voies!E301-1,OR(C301=TRUE,Calculs!$I$8&gt;0),Air&gt;Voies!J301-1,Eau&gt;Voies!K301-1,Feu&gt;Voies!L301-1,Terre&gt;Voies!M301-1,Vide&gt;Voies!N301-1,Constitution&gt;Voies!O301-1,Volonté&gt;Voies!P301-1,Force&gt;Voies!Q301-1,Perception&gt;Voies!R301-1,Reflexes&gt;Voies!S301-1,Agilité&gt;Voies!T301-1,Intuition&gt;Voies!U301-1,Intelligence&gt;Voies!V301-1,Souillure&gt;Voies!W301-1,Honneur&gt;X301-1,Statut&gt;Y301-1,Gloire&gt;Z301-1,AV301=TRUE),Voies!B301,"")</f>
        <v/>
      </c>
      <c r="B301" s="162" t="s">
        <v>6042</v>
      </c>
      <c r="C301" s="162" t="b">
        <f>IF(Clan=Voies!D301,TRUE,FALSE)</f>
        <v>0</v>
      </c>
      <c r="D301" s="387" t="s">
        <v>15</v>
      </c>
      <c r="E301" s="13">
        <v>5</v>
      </c>
      <c r="F301" s="199">
        <v>6</v>
      </c>
      <c r="G301" s="13" t="s">
        <v>2049</v>
      </c>
      <c r="H301" s="162" t="s">
        <v>420</v>
      </c>
      <c r="I301" s="129" t="str">
        <f t="shared" si="35"/>
        <v>Rien</v>
      </c>
      <c r="J301" s="146">
        <v>5</v>
      </c>
      <c r="K301" s="147">
        <v>0</v>
      </c>
      <c r="L301" s="148">
        <v>0</v>
      </c>
      <c r="M301" s="149">
        <v>4</v>
      </c>
      <c r="N301" s="150">
        <v>5</v>
      </c>
      <c r="O301" s="130">
        <v>0</v>
      </c>
      <c r="P301" s="130">
        <v>0</v>
      </c>
      <c r="Q301" s="130">
        <v>0</v>
      </c>
      <c r="R301" s="130">
        <v>0</v>
      </c>
      <c r="S301" s="130">
        <v>0</v>
      </c>
      <c r="T301" s="130">
        <v>0</v>
      </c>
      <c r="U301" s="130">
        <v>0</v>
      </c>
      <c r="V301" s="524">
        <v>0</v>
      </c>
      <c r="W301" s="130">
        <v>0</v>
      </c>
      <c r="X301" s="130">
        <v>0</v>
      </c>
      <c r="Y301" s="130">
        <v>0</v>
      </c>
      <c r="Z301" s="130">
        <v>0</v>
      </c>
      <c r="AA301" s="159" t="s">
        <v>2814</v>
      </c>
      <c r="AB301" s="159" t="s">
        <v>351</v>
      </c>
      <c r="AD301" s="159">
        <v>5</v>
      </c>
      <c r="AE301" s="158" t="b">
        <f>IF(AB301="",TRUE,IF(IF(AC301="",VLOOKUP(AB301,Calculs!$A$19:$S$425,19,FALSE),VLOOKUP(AC301,Calculs!$A$19:$S$425,19,FALSE))&gt;=AD301,TRUE,FALSE))</f>
        <v>0</v>
      </c>
      <c r="AF301" s="159" t="s">
        <v>1265</v>
      </c>
      <c r="AH301" s="159">
        <v>6</v>
      </c>
      <c r="AI301" s="158" t="b">
        <f>IF(AF301="",TRUE,IF(IF(AG301="",VLOOKUP(AF301,Calculs!$A$19:$S$425,19,FALSE),VLOOKUP(AG301,Calculs!$A$19:$S$425,19,FALSE))&gt;=AH301,TRUE,FALSE))</f>
        <v>0</v>
      </c>
      <c r="AM301" s="158" t="b">
        <f>IF(AJ301="",TRUE,IF(IF(AK301="",VLOOKUP(AJ301,Calculs!$A$19:$S$425,19,FALSE),VLOOKUP(AK301,Calculs!$A$19:$S$425,19,FALSE))&gt;=AL301,TRUE,FALSE))</f>
        <v>1</v>
      </c>
      <c r="AQ301" s="158" t="b">
        <f>IF(AN301="",TRUE,IF(IF(AO301="",VLOOKUP(AN301,Calculs!$A$19:$S$425,19,FALSE),VLOOKUP(AO301,Calculs!$A$19:$S$425,19,FALSE))&gt;=AP301,TRUE,FALSE))</f>
        <v>1</v>
      </c>
      <c r="AR301" s="158"/>
      <c r="AS301" s="158" t="b">
        <f>IF(AR301="",TRUE,IF(VLOOKUP(AR301,Calculs!$A$427:$G$738,7,FALSE)&gt;0,TRUE,FALSE))</f>
        <v>1</v>
      </c>
      <c r="AT301" s="158"/>
      <c r="AU301" s="158" t="b">
        <f>IF(OR(Calculs!G808&lt;&gt;0,Calculs!G887&lt;&gt;0),TRUE,FALSE)</f>
        <v>0</v>
      </c>
      <c r="AV301" s="158" t="b">
        <f t="shared" si="30"/>
        <v>0</v>
      </c>
      <c r="AW301" s="158" t="s">
        <v>3413</v>
      </c>
      <c r="AX301" s="162" t="s">
        <v>6061</v>
      </c>
      <c r="AY301" s="15">
        <v>69</v>
      </c>
      <c r="AZ301" s="555" t="s">
        <v>8542</v>
      </c>
      <c r="BA301" s="559">
        <f>IF(Verso!$B$10=Voies!$B301,1,0)</f>
        <v>0</v>
      </c>
      <c r="BB301" s="12">
        <f>IF(Verso!$B$11=Voies!$B301,1,0)</f>
        <v>0</v>
      </c>
      <c r="BC301" s="12">
        <f>IF(Verso!$B$12=Voies!$B301,1,0)</f>
        <v>0</v>
      </c>
      <c r="BD301" s="12">
        <f>IF(Verso!$B$13=Voies!$B301,1,0)</f>
        <v>0</v>
      </c>
      <c r="BE301" s="12">
        <f>IF(Verso!$B$14=Voies!$B301,1,0)</f>
        <v>0</v>
      </c>
      <c r="BF301" s="12">
        <f>IF(Verso!$B$15=Voies!$B301,1,0)</f>
        <v>0</v>
      </c>
      <c r="BG301" s="12">
        <f>IF(Verso!$B$16=Voies!$B301,1,0)</f>
        <v>0</v>
      </c>
      <c r="BH301" s="12">
        <f>IF(Verso!$B$17=Voies!$B301,1,0)</f>
        <v>0</v>
      </c>
      <c r="BI301" s="557">
        <f t="shared" si="31"/>
        <v>0</v>
      </c>
      <c r="BJ301" s="196" t="str">
        <f t="shared" si="32"/>
        <v/>
      </c>
      <c r="BK301" s="196" t="str">
        <f t="shared" si="33"/>
        <v/>
      </c>
      <c r="BL301" s="295" t="str">
        <f t="shared" si="34"/>
        <v/>
      </c>
    </row>
    <row r="302" spans="1:65" ht="47.25" customHeight="1" x14ac:dyDescent="0.25">
      <c r="A302" s="162" t="str">
        <f>IF(AND(Réputation&gt;Voies!E302-1,OR(C302=TRUE,Calculs!$I$8&gt;0),Air&gt;Voies!J302-1,Eau&gt;Voies!K302-1,Feu&gt;Voies!L302-1,Terre&gt;Voies!M302-1,Vide&gt;Voies!N302-1,Constitution&gt;Voies!O302-1,Volonté&gt;Voies!P302-1,Force&gt;Voies!Q302-1,Perception&gt;Voies!R302-1,Reflexes&gt;Voies!S302-1,Agilité&gt;Voies!T302-1,Intuition&gt;Voies!U302-1,Intelligence&gt;Voies!V302-1,Souillure&gt;Voies!W302-1,Honneur&gt;X302-1,Statut&gt;Y302-1,Gloire&gt;Z302-1,AV302=TRUE),Voies!B302,"")</f>
        <v/>
      </c>
      <c r="B302" s="162" t="s">
        <v>2267</v>
      </c>
      <c r="C302" s="162" t="b">
        <f>IF(Clan=Voies!D302,TRUE,FALSE)</f>
        <v>0</v>
      </c>
      <c r="D302" s="387" t="s">
        <v>15</v>
      </c>
      <c r="E302" s="13">
        <v>5</v>
      </c>
      <c r="F302" s="199">
        <v>5</v>
      </c>
      <c r="G302" s="13" t="s">
        <v>2052</v>
      </c>
      <c r="H302" s="162" t="s">
        <v>316</v>
      </c>
      <c r="I302" s="129" t="str">
        <f t="shared" si="35"/>
        <v>Rien</v>
      </c>
      <c r="J302" s="146">
        <v>0</v>
      </c>
      <c r="K302" s="147">
        <v>0</v>
      </c>
      <c r="L302" s="148">
        <v>0</v>
      </c>
      <c r="M302" s="149">
        <v>0</v>
      </c>
      <c r="N302" s="150">
        <v>0</v>
      </c>
      <c r="O302" s="130">
        <v>0</v>
      </c>
      <c r="P302" s="130">
        <v>0</v>
      </c>
      <c r="Q302" s="130">
        <v>0</v>
      </c>
      <c r="R302" s="130">
        <v>0</v>
      </c>
      <c r="S302" s="130">
        <v>0</v>
      </c>
      <c r="T302" s="130">
        <v>0</v>
      </c>
      <c r="U302" s="130">
        <v>0</v>
      </c>
      <c r="V302" s="524">
        <v>0</v>
      </c>
      <c r="W302" s="130">
        <v>0</v>
      </c>
      <c r="X302" s="130">
        <v>0</v>
      </c>
      <c r="Y302" s="130">
        <v>0</v>
      </c>
      <c r="Z302" s="130">
        <v>0</v>
      </c>
      <c r="AA302" s="158" t="s">
        <v>2078</v>
      </c>
      <c r="AB302" s="158"/>
      <c r="AC302" s="158"/>
      <c r="AD302" s="158"/>
      <c r="AE302" s="158" t="b">
        <f>IF(AB302="",TRUE,IF(IF(AC302="",VLOOKUP(AB302,Calculs!$A$19:$S$425,19,FALSE),VLOOKUP(AC302,Calculs!$A$19:$S$425,19,FALSE))&gt;=AD302,TRUE,FALSE))</f>
        <v>1</v>
      </c>
      <c r="AF302" s="158"/>
      <c r="AG302" s="158"/>
      <c r="AH302" s="158"/>
      <c r="AI302" s="158" t="b">
        <f>IF(AF302="",TRUE,IF(IF(AG302="",VLOOKUP(AF302,Calculs!$A$19:$S$425,19,FALSE),VLOOKUP(AG302,Calculs!$A$19:$S$425,19,FALSE))&gt;=AH302,TRUE,FALSE))</f>
        <v>1</v>
      </c>
      <c r="AJ302" s="158"/>
      <c r="AK302" s="158"/>
      <c r="AL302" s="158"/>
      <c r="AM302" s="158" t="b">
        <f>IF(AJ302="",TRUE,IF(IF(AK302="",VLOOKUP(AJ302,Calculs!$A$19:$S$425,19,FALSE),VLOOKUP(AK302,Calculs!$A$19:$S$425,19,FALSE))&gt;=AL302,TRUE,FALSE))</f>
        <v>1</v>
      </c>
      <c r="AN302" s="158"/>
      <c r="AO302" s="158"/>
      <c r="AP302" s="158"/>
      <c r="AQ302" s="158" t="b">
        <f>IF(AN302="",TRUE,IF(IF(AO302="",VLOOKUP(AN302,Calculs!$A$19:$S$425,19,FALSE),VLOOKUP(AO302,Calculs!$A$19:$S$425,19,FALSE))&gt;=AP302,TRUE,FALSE))</f>
        <v>1</v>
      </c>
      <c r="AR302" s="158"/>
      <c r="AS302" s="158" t="b">
        <f>IF(AR302="",TRUE,IF(VLOOKUP(AR302,Calculs!$A$427:$G$738,7,FALSE)&gt;0,TRUE,FALSE))</f>
        <v>1</v>
      </c>
      <c r="AT302" s="158"/>
      <c r="AU302" s="158" t="b">
        <f>IF(AT302="",TRUE,IF(VLOOKUP(AT302,Calculs!$A$740:$G$912,7,FALSE)&gt;0,TRUE,FALSE))</f>
        <v>1</v>
      </c>
      <c r="AV302" s="158" t="b">
        <f t="shared" si="30"/>
        <v>1</v>
      </c>
      <c r="AW302" s="158" t="s">
        <v>2078</v>
      </c>
      <c r="AX302" s="162" t="s">
        <v>3</v>
      </c>
      <c r="AY302" s="15">
        <v>111</v>
      </c>
      <c r="AZ302" s="555" t="s">
        <v>2269</v>
      </c>
      <c r="BA302" s="559">
        <f>IF(Verso!$B$10=Voies!$B302,1,0)</f>
        <v>0</v>
      </c>
      <c r="BB302" s="12">
        <f>IF(Verso!$B$11=Voies!$B302,1,0)</f>
        <v>0</v>
      </c>
      <c r="BC302" s="12">
        <f>IF(Verso!$B$12=Voies!$B302,1,0)</f>
        <v>0</v>
      </c>
      <c r="BD302" s="12">
        <f>IF(Verso!$B$13=Voies!$B302,1,0)</f>
        <v>0</v>
      </c>
      <c r="BE302" s="12">
        <f>IF(Verso!$B$14=Voies!$B302,1,0)</f>
        <v>0</v>
      </c>
      <c r="BF302" s="12">
        <f>IF(Verso!$B$15=Voies!$B302,1,0)</f>
        <v>0</v>
      </c>
      <c r="BG302" s="12">
        <f>IF(Verso!$B$16=Voies!$B302,1,0)</f>
        <v>0</v>
      </c>
      <c r="BH302" s="12">
        <f>IF(Verso!$B$17=Voies!$B302,1,0)</f>
        <v>0</v>
      </c>
      <c r="BI302" s="557">
        <f t="shared" si="31"/>
        <v>0</v>
      </c>
      <c r="BJ302" s="196" t="str">
        <f t="shared" si="32"/>
        <v/>
      </c>
      <c r="BK302" s="196" t="str">
        <f t="shared" si="33"/>
        <v/>
      </c>
      <c r="BL302" s="295" t="str">
        <f t="shared" si="34"/>
        <v/>
      </c>
    </row>
    <row r="303" spans="1:65" ht="47.25" customHeight="1" x14ac:dyDescent="0.25">
      <c r="A303" s="162" t="str">
        <f>IF(AND(Réputation&gt;Voies!E303-1,OR(C303=TRUE,Calculs!$I$8&gt;0),Air&gt;Voies!J303-1,Eau&gt;Voies!K303-1,Feu&gt;Voies!L303-1,Terre&gt;Voies!M303-1,Vide&gt;Voies!N303-1,Constitution&gt;Voies!O303-1,Volonté&gt;Voies!P303-1,Force&gt;Voies!Q303-1,Perception&gt;Voies!R303-1,Reflexes&gt;Voies!S303-1,Agilité&gt;Voies!T303-1,Intuition&gt;Voies!U303-1,Intelligence&gt;Voies!V303-1,Souillure&gt;Voies!W303-1,Honneur&gt;X303-1,Statut&gt;Y303-1,Gloire&gt;Z303-1,AV303=TRUE),Voies!B303,"")</f>
        <v/>
      </c>
      <c r="B303" s="162" t="s">
        <v>2281</v>
      </c>
      <c r="C303" s="162" t="b">
        <f>IF(Clan=Voies!D303,TRUE,FALSE)</f>
        <v>0</v>
      </c>
      <c r="D303" s="387" t="s">
        <v>15</v>
      </c>
      <c r="E303" s="13">
        <v>5</v>
      </c>
      <c r="F303" s="199">
        <v>5</v>
      </c>
      <c r="G303" s="13" t="s">
        <v>2050</v>
      </c>
      <c r="H303" s="162" t="s">
        <v>202</v>
      </c>
      <c r="I303" s="129" t="str">
        <f t="shared" si="35"/>
        <v>Rien</v>
      </c>
      <c r="J303" s="146">
        <v>0</v>
      </c>
      <c r="K303" s="147">
        <v>0</v>
      </c>
      <c r="L303" s="148">
        <v>0</v>
      </c>
      <c r="M303" s="149">
        <v>0</v>
      </c>
      <c r="N303" s="150">
        <v>0</v>
      </c>
      <c r="O303" s="130">
        <v>0</v>
      </c>
      <c r="P303" s="130">
        <v>0</v>
      </c>
      <c r="Q303" s="130">
        <v>0</v>
      </c>
      <c r="R303" s="130">
        <v>0</v>
      </c>
      <c r="S303" s="130">
        <v>0</v>
      </c>
      <c r="T303" s="130">
        <v>0</v>
      </c>
      <c r="U303" s="130">
        <v>0</v>
      </c>
      <c r="V303" s="524">
        <v>0</v>
      </c>
      <c r="W303" s="130">
        <v>0</v>
      </c>
      <c r="X303" s="130">
        <v>0</v>
      </c>
      <c r="Y303" s="130">
        <v>0</v>
      </c>
      <c r="Z303" s="130">
        <v>0</v>
      </c>
      <c r="AA303" s="158" t="s">
        <v>2078</v>
      </c>
      <c r="AB303" s="158"/>
      <c r="AC303" s="158"/>
      <c r="AD303" s="158"/>
      <c r="AE303" s="158" t="b">
        <f>IF(AB303="",TRUE,IF(IF(AC303="",VLOOKUP(AB303,Calculs!$A$19:$S$425,19,FALSE),VLOOKUP(AC303,Calculs!$A$19:$S$425,19,FALSE))&gt;=AD303,TRUE,FALSE))</f>
        <v>1</v>
      </c>
      <c r="AF303" s="158"/>
      <c r="AG303" s="158"/>
      <c r="AH303" s="158"/>
      <c r="AI303" s="158" t="b">
        <f>IF(AF303="",TRUE,IF(IF(AG303="",VLOOKUP(AF303,Calculs!$A$19:$S$425,19,FALSE),VLOOKUP(AG303,Calculs!$A$19:$S$425,19,FALSE))&gt;=AH303,TRUE,FALSE))</f>
        <v>1</v>
      </c>
      <c r="AJ303" s="158"/>
      <c r="AK303" s="158"/>
      <c r="AL303" s="158"/>
      <c r="AM303" s="158" t="b">
        <f>IF(AJ303="",TRUE,IF(IF(AK303="",VLOOKUP(AJ303,Calculs!$A$19:$S$425,19,FALSE),VLOOKUP(AK303,Calculs!$A$19:$S$425,19,FALSE))&gt;=AL303,TRUE,FALSE))</f>
        <v>1</v>
      </c>
      <c r="AN303" s="158"/>
      <c r="AO303" s="158"/>
      <c r="AP303" s="158"/>
      <c r="AQ303" s="158" t="b">
        <f>IF(AN303="",TRUE,IF(IF(AO303="",VLOOKUP(AN303,Calculs!$A$19:$S$425,19,FALSE),VLOOKUP(AO303,Calculs!$A$19:$S$425,19,FALSE))&gt;=AP303,TRUE,FALSE))</f>
        <v>1</v>
      </c>
      <c r="AR303" s="158"/>
      <c r="AS303" s="158" t="b">
        <f>IF(AR303="",TRUE,IF(VLOOKUP(AR303,Calculs!$A$427:$G$738,7,FALSE)&gt;0,TRUE,FALSE))</f>
        <v>1</v>
      </c>
      <c r="AT303" s="158"/>
      <c r="AU303" s="158" t="b">
        <f>IF(AT303="",TRUE,IF(VLOOKUP(AT303,Calculs!$A$740:$G$912,7,FALSE)&gt;0,TRUE,FALSE))</f>
        <v>1</v>
      </c>
      <c r="AV303" s="158" t="b">
        <f t="shared" si="30"/>
        <v>1</v>
      </c>
      <c r="AW303" s="158" t="s">
        <v>2078</v>
      </c>
      <c r="AX303" s="162" t="s">
        <v>3</v>
      </c>
      <c r="AY303" s="15">
        <v>111</v>
      </c>
      <c r="AZ303" s="555" t="s">
        <v>2277</v>
      </c>
      <c r="BA303" s="559">
        <f>IF(Verso!$B$10=Voies!$B303,1,0)</f>
        <v>0</v>
      </c>
      <c r="BB303" s="12">
        <f>IF(Verso!$B$11=Voies!$B303,1,0)</f>
        <v>0</v>
      </c>
      <c r="BC303" s="12">
        <f>IF(Verso!$B$12=Voies!$B303,1,0)</f>
        <v>0</v>
      </c>
      <c r="BD303" s="12">
        <f>IF(Verso!$B$13=Voies!$B303,1,0)</f>
        <v>0</v>
      </c>
      <c r="BE303" s="12">
        <f>IF(Verso!$B$14=Voies!$B303,1,0)</f>
        <v>0</v>
      </c>
      <c r="BF303" s="12">
        <f>IF(Verso!$B$15=Voies!$B303,1,0)</f>
        <v>0</v>
      </c>
      <c r="BG303" s="12">
        <f>IF(Verso!$B$16=Voies!$B303,1,0)</f>
        <v>0</v>
      </c>
      <c r="BH303" s="12">
        <f>IF(Verso!$B$17=Voies!$B303,1,0)</f>
        <v>0</v>
      </c>
      <c r="BI303" s="557">
        <f t="shared" si="31"/>
        <v>0</v>
      </c>
      <c r="BJ303" s="196" t="str">
        <f t="shared" si="32"/>
        <v/>
      </c>
      <c r="BK303" s="196" t="str">
        <f t="shared" si="33"/>
        <v/>
      </c>
      <c r="BL303" s="295" t="str">
        <f t="shared" si="34"/>
        <v/>
      </c>
    </row>
    <row r="304" spans="1:65" ht="47.25" customHeight="1" x14ac:dyDescent="0.25">
      <c r="A304" s="162" t="str">
        <f>IF(AND(Réputation&gt;Voies!E304-1,OR(C304=TRUE,Calculs!$I$8&gt;0),Air&gt;Voies!J304-1,Eau&gt;Voies!K304-1,Feu&gt;Voies!L304-1,Terre&gt;Voies!M304-1,Vide&gt;Voies!N304-1,Constitution&gt;Voies!O304-1,Volonté&gt;Voies!P304-1,Force&gt;Voies!Q304-1,Perception&gt;Voies!R304-1,Reflexes&gt;Voies!S304-1,Agilité&gt;Voies!T304-1,Intuition&gt;Voies!U304-1,Intelligence&gt;Voies!V304-1,Souillure&gt;Voies!W304-1,Honneur&gt;X304-1,Statut&gt;Y304-1,Gloire&gt;Z304-1,AV304=TRUE),Voies!B304,"")</f>
        <v/>
      </c>
      <c r="B304" s="162" t="s">
        <v>2956</v>
      </c>
      <c r="C304" s="162" t="b">
        <f>IF(Clan=Voies!D304,TRUE,FALSE)</f>
        <v>0</v>
      </c>
      <c r="D304" s="387" t="s">
        <v>15</v>
      </c>
      <c r="E304" s="13">
        <v>5</v>
      </c>
      <c r="F304" s="199">
        <v>5</v>
      </c>
      <c r="G304" s="13" t="s">
        <v>2050</v>
      </c>
      <c r="H304" s="162" t="s">
        <v>201</v>
      </c>
      <c r="I304" s="129" t="str">
        <f t="shared" si="35"/>
        <v>Rien</v>
      </c>
      <c r="J304" s="146">
        <v>0</v>
      </c>
      <c r="K304" s="147">
        <v>0</v>
      </c>
      <c r="L304" s="148">
        <v>0</v>
      </c>
      <c r="M304" s="149">
        <v>0</v>
      </c>
      <c r="N304" s="150">
        <v>0</v>
      </c>
      <c r="O304" s="130">
        <v>0</v>
      </c>
      <c r="P304" s="130">
        <v>0</v>
      </c>
      <c r="Q304" s="130">
        <v>0</v>
      </c>
      <c r="R304" s="130">
        <v>0</v>
      </c>
      <c r="S304" s="130">
        <v>0</v>
      </c>
      <c r="T304" s="130">
        <v>0</v>
      </c>
      <c r="U304" s="130">
        <v>0</v>
      </c>
      <c r="V304" s="524">
        <v>0</v>
      </c>
      <c r="W304" s="130">
        <v>0</v>
      </c>
      <c r="X304" s="130">
        <v>0</v>
      </c>
      <c r="Y304" s="130">
        <v>0</v>
      </c>
      <c r="Z304" s="130">
        <v>0</v>
      </c>
      <c r="AA304" s="158" t="s">
        <v>2078</v>
      </c>
      <c r="AB304" s="158"/>
      <c r="AC304" s="158"/>
      <c r="AD304" s="158"/>
      <c r="AE304" s="158" t="b">
        <f>IF(AB304="",TRUE,IF(IF(AC304="",VLOOKUP(AB304,Calculs!$A$19:$S$425,19,FALSE),VLOOKUP(AC304,Calculs!$A$19:$S$425,19,FALSE))&gt;=AD304,TRUE,FALSE))</f>
        <v>1</v>
      </c>
      <c r="AF304" s="158"/>
      <c r="AG304" s="158"/>
      <c r="AH304" s="158"/>
      <c r="AI304" s="158" t="b">
        <f>IF(AF304="",TRUE,IF(IF(AG304="",VLOOKUP(AF304,Calculs!$A$19:$S$425,19,FALSE),VLOOKUP(AG304,Calculs!$A$19:$S$425,19,FALSE))&gt;=AH304,TRUE,FALSE))</f>
        <v>1</v>
      </c>
      <c r="AJ304" s="158"/>
      <c r="AK304" s="158"/>
      <c r="AL304" s="158"/>
      <c r="AM304" s="158" t="b">
        <f>IF(AJ304="",TRUE,IF(IF(AK304="",VLOOKUP(AJ304,Calculs!$A$19:$S$425,19,FALSE),VLOOKUP(AK304,Calculs!$A$19:$S$425,19,FALSE))&gt;=AL304,TRUE,FALSE))</f>
        <v>1</v>
      </c>
      <c r="AN304" s="158"/>
      <c r="AO304" s="158"/>
      <c r="AP304" s="158"/>
      <c r="AQ304" s="158" t="b">
        <f>IF(AN304="",TRUE,IF(IF(AO304="",VLOOKUP(AN304,Calculs!$A$19:$S$425,19,FALSE),VLOOKUP(AO304,Calculs!$A$19:$S$425,19,FALSE))&gt;=AP304,TRUE,FALSE))</f>
        <v>1</v>
      </c>
      <c r="AR304" s="158"/>
      <c r="AS304" s="158" t="b">
        <f>IF(AR304="",TRUE,IF(VLOOKUP(AR304,Calculs!$A$427:$G$738,7,FALSE)&gt;0,TRUE,FALSE))</f>
        <v>1</v>
      </c>
      <c r="AT304" s="158"/>
      <c r="AU304" s="158" t="b">
        <f>IF(AT304="",TRUE,IF(VLOOKUP(AT304,Calculs!$A$740:$G$912,7,FALSE)&gt;0,TRUE,FALSE))</f>
        <v>1</v>
      </c>
      <c r="AV304" s="158" t="b">
        <f t="shared" si="30"/>
        <v>1</v>
      </c>
      <c r="AW304" s="158" t="s">
        <v>2078</v>
      </c>
      <c r="AX304" s="162" t="s">
        <v>2077</v>
      </c>
      <c r="AY304" s="15">
        <v>215</v>
      </c>
      <c r="AZ304" s="555" t="s">
        <v>2960</v>
      </c>
      <c r="BA304" s="559">
        <f>IF(Verso!$B$10=Voies!$B304,1,0)</f>
        <v>0</v>
      </c>
      <c r="BB304" s="12">
        <f>IF(Verso!$B$11=Voies!$B304,1,0)</f>
        <v>0</v>
      </c>
      <c r="BC304" s="12">
        <f>IF(Verso!$B$12=Voies!$B304,1,0)</f>
        <v>0</v>
      </c>
      <c r="BD304" s="12">
        <f>IF(Verso!$B$13=Voies!$B304,1,0)</f>
        <v>0</v>
      </c>
      <c r="BE304" s="12">
        <f>IF(Verso!$B$14=Voies!$B304,1,0)</f>
        <v>0</v>
      </c>
      <c r="BF304" s="12">
        <f>IF(Verso!$B$15=Voies!$B304,1,0)</f>
        <v>0</v>
      </c>
      <c r="BG304" s="12">
        <f>IF(Verso!$B$16=Voies!$B304,1,0)</f>
        <v>0</v>
      </c>
      <c r="BH304" s="12">
        <f>IF(Verso!$B$17=Voies!$B304,1,0)</f>
        <v>0</v>
      </c>
      <c r="BI304" s="557">
        <f t="shared" si="31"/>
        <v>0</v>
      </c>
      <c r="BJ304" s="196" t="str">
        <f t="shared" si="32"/>
        <v/>
      </c>
      <c r="BK304" s="196" t="str">
        <f t="shared" si="33"/>
        <v/>
      </c>
      <c r="BL304" s="295" t="str">
        <f t="shared" si="34"/>
        <v/>
      </c>
    </row>
    <row r="305" spans="1:65" ht="47.25" customHeight="1" x14ac:dyDescent="0.25">
      <c r="A305" s="162" t="str">
        <f>IF(AND(Réputation&gt;Voies!E305-1,OR(C305=TRUE,Calculs!$I$8&gt;0),Air&gt;Voies!J305-1,Eau&gt;Voies!K305-1,Feu&gt;Voies!L305-1,Terre&gt;Voies!M305-1,Vide&gt;Voies!N305-1,Constitution&gt;Voies!O305-1,Volonté&gt;Voies!P305-1,Force&gt;Voies!Q305-1,Perception&gt;Voies!R305-1,Reflexes&gt;Voies!S305-1,Agilité&gt;Voies!T305-1,Intuition&gt;Voies!U305-1,Intelligence&gt;Voies!V305-1,Souillure&gt;Voies!W305-1,Honneur&gt;X305-1,Statut&gt;Y305-1,Gloire&gt;Z305-1,AV305=TRUE),Voies!B305,"")</f>
        <v/>
      </c>
      <c r="B305" s="162" t="s">
        <v>2819</v>
      </c>
      <c r="C305" s="162" t="b">
        <f>IF(Clan=Voies!D305,TRUE,FALSE)</f>
        <v>0</v>
      </c>
      <c r="D305" s="387" t="s">
        <v>15</v>
      </c>
      <c r="E305" s="13">
        <v>5</v>
      </c>
      <c r="F305" s="199">
        <v>5</v>
      </c>
      <c r="G305" s="13" t="s">
        <v>2048</v>
      </c>
      <c r="H305" s="162" t="s">
        <v>421</v>
      </c>
      <c r="I305" s="129" t="str">
        <f t="shared" si="35"/>
        <v>Rien</v>
      </c>
      <c r="J305" s="146">
        <v>0</v>
      </c>
      <c r="K305" s="147">
        <v>0</v>
      </c>
      <c r="L305" s="148">
        <v>0</v>
      </c>
      <c r="M305" s="149">
        <v>0</v>
      </c>
      <c r="N305" s="150">
        <v>0</v>
      </c>
      <c r="O305" s="130">
        <v>0</v>
      </c>
      <c r="P305" s="130">
        <v>0</v>
      </c>
      <c r="Q305" s="130">
        <v>0</v>
      </c>
      <c r="R305" s="130">
        <v>0</v>
      </c>
      <c r="S305" s="130">
        <v>0</v>
      </c>
      <c r="T305" s="130">
        <v>0</v>
      </c>
      <c r="U305" s="130">
        <v>0</v>
      </c>
      <c r="V305" s="524">
        <v>0</v>
      </c>
      <c r="W305" s="130">
        <v>0</v>
      </c>
      <c r="X305" s="130">
        <v>0</v>
      </c>
      <c r="Y305" s="130">
        <v>0</v>
      </c>
      <c r="Z305" s="130">
        <v>0</v>
      </c>
      <c r="AA305" s="159" t="s">
        <v>2818</v>
      </c>
      <c r="AB305" s="159" t="s">
        <v>1260</v>
      </c>
      <c r="AD305" s="159">
        <v>5</v>
      </c>
      <c r="AE305" s="158" t="b">
        <f>IF(AB305="",TRUE,IF(IF(AC305="",VLOOKUP(AB305,Calculs!$A$19:$S$425,19,FALSE),VLOOKUP(AC305,Calculs!$A$19:$S$425,19,FALSE))&gt;=AD305,TRUE,FALSE))</f>
        <v>0</v>
      </c>
      <c r="AI305" s="158" t="b">
        <f>IF(AF305="",TRUE,IF(IF(AG305="",VLOOKUP(AF305,Calculs!$A$19:$S$425,19,FALSE),VLOOKUP(AG305,Calculs!$A$19:$S$425,19,FALSE))&gt;=AH305,TRUE,FALSE))</f>
        <v>1</v>
      </c>
      <c r="AM305" s="158" t="b">
        <f>IF(AJ305="",TRUE,IF(IF(AK305="",VLOOKUP(AJ305,Calculs!$A$19:$S$425,19,FALSE),VLOOKUP(AK305,Calculs!$A$19:$S$425,19,FALSE))&gt;=AL305,TRUE,FALSE))</f>
        <v>1</v>
      </c>
      <c r="AQ305" s="158" t="b">
        <f>IF(AN305="",TRUE,IF(IF(AO305="",VLOOKUP(AN305,Calculs!$A$19:$S$425,19,FALSE),VLOOKUP(AO305,Calculs!$A$19:$S$425,19,FALSE))&gt;=AP305,TRUE,FALSE))</f>
        <v>1</v>
      </c>
      <c r="AR305" s="158"/>
      <c r="AS305" s="158" t="b">
        <f>IF(AR305="",TRUE,IF(VLOOKUP(AR305,Calculs!$A$427:$G$738,7,FALSE)&gt;0,TRUE,FALSE))</f>
        <v>1</v>
      </c>
      <c r="AT305" s="158"/>
      <c r="AU305" s="158" t="b">
        <f>IF(AT305="",TRUE,IF(VLOOKUP(AT305,Calculs!$A$740:$G$912,7,FALSE)&gt;0,TRUE,FALSE))</f>
        <v>1</v>
      </c>
      <c r="AV305" s="158" t="b">
        <f t="shared" si="30"/>
        <v>0</v>
      </c>
      <c r="AW305" s="158" t="s">
        <v>2078</v>
      </c>
      <c r="AX305" s="162" t="s">
        <v>6061</v>
      </c>
      <c r="AY305" s="15">
        <v>69</v>
      </c>
      <c r="AZ305" s="555" t="s">
        <v>2821</v>
      </c>
      <c r="BA305" s="559">
        <f>IF(Verso!$B$10=Voies!$B305,1,0)</f>
        <v>0</v>
      </c>
      <c r="BB305" s="12">
        <f>IF(Verso!$B$11=Voies!$B305,1,0)</f>
        <v>0</v>
      </c>
      <c r="BC305" s="12">
        <f>IF(Verso!$B$12=Voies!$B305,1,0)</f>
        <v>0</v>
      </c>
      <c r="BD305" s="12">
        <f>IF(Verso!$B$13=Voies!$B305,1,0)</f>
        <v>0</v>
      </c>
      <c r="BE305" s="12">
        <f>IF(Verso!$B$14=Voies!$B305,1,0)</f>
        <v>0</v>
      </c>
      <c r="BF305" s="12">
        <f>IF(Verso!$B$15=Voies!$B305,1,0)</f>
        <v>0</v>
      </c>
      <c r="BG305" s="12">
        <f>IF(Verso!$B$16=Voies!$B305,1,0)</f>
        <v>0</v>
      </c>
      <c r="BH305" s="12">
        <f>IF(Verso!$B$17=Voies!$B305,1,0)</f>
        <v>0</v>
      </c>
      <c r="BI305" s="557">
        <f t="shared" si="31"/>
        <v>0</v>
      </c>
      <c r="BJ305" s="196" t="str">
        <f t="shared" si="32"/>
        <v/>
      </c>
      <c r="BK305" s="196" t="str">
        <f t="shared" si="33"/>
        <v/>
      </c>
      <c r="BL305" s="295" t="str">
        <f t="shared" si="34"/>
        <v/>
      </c>
    </row>
    <row r="306" spans="1:65" s="196" customFormat="1" ht="47.25" customHeight="1" x14ac:dyDescent="0.25">
      <c r="A306" s="162" t="str">
        <f>IF(AND(Réputation&gt;Voies!E306-1,OR(C306=TRUE,Calculs!$I$8&gt;0),Air&gt;Voies!J306-1,Eau&gt;Voies!K306-1,Feu&gt;Voies!L306-1,Terre&gt;Voies!M306-1,Vide&gt;Voies!N306-1,Constitution&gt;Voies!O306-1,Volonté&gt;Voies!P306-1,Force&gt;Voies!Q306-1,Perception&gt;Voies!R306-1,Reflexes&gt;Voies!S306-1,Agilité&gt;Voies!T306-1,Intuition&gt;Voies!U306-1,Intelligence&gt;Voies!V306-1,Souillure&gt;Voies!W306-1,Honneur&gt;X306-1,Statut&gt;Y306-1,Gloire&gt;Z306-1,AV306=TRUE),Voies!B306,"")</f>
        <v/>
      </c>
      <c r="B306" s="162" t="s">
        <v>6988</v>
      </c>
      <c r="C306" s="162" t="b">
        <f>IF(Clan=Voies!D306,TRUE,FALSE)</f>
        <v>0</v>
      </c>
      <c r="D306" s="466" t="s">
        <v>6764</v>
      </c>
      <c r="E306" s="199">
        <v>1</v>
      </c>
      <c r="F306" s="199">
        <v>1</v>
      </c>
      <c r="G306" s="199" t="s">
        <v>2049</v>
      </c>
      <c r="H306" s="162" t="s">
        <v>6870</v>
      </c>
      <c r="I306" s="129" t="str">
        <f t="shared" si="35"/>
        <v>Rien</v>
      </c>
      <c r="J306" s="146">
        <v>0</v>
      </c>
      <c r="K306" s="147">
        <v>0</v>
      </c>
      <c r="L306" s="148">
        <v>0</v>
      </c>
      <c r="M306" s="149">
        <v>0</v>
      </c>
      <c r="N306" s="150">
        <v>0</v>
      </c>
      <c r="O306" s="130">
        <v>0</v>
      </c>
      <c r="P306" s="130">
        <v>0</v>
      </c>
      <c r="Q306" s="130">
        <v>0</v>
      </c>
      <c r="R306" s="130">
        <v>0</v>
      </c>
      <c r="S306" s="130">
        <v>0</v>
      </c>
      <c r="T306" s="130">
        <v>0</v>
      </c>
      <c r="U306" s="130">
        <v>0</v>
      </c>
      <c r="V306" s="524">
        <v>0</v>
      </c>
      <c r="W306" s="130">
        <v>0</v>
      </c>
      <c r="X306" s="130">
        <v>0</v>
      </c>
      <c r="Y306" s="130">
        <v>0</v>
      </c>
      <c r="Z306" s="130">
        <v>0</v>
      </c>
      <c r="AA306" s="158" t="s">
        <v>2078</v>
      </c>
      <c r="AB306" s="158"/>
      <c r="AC306" s="158"/>
      <c r="AD306" s="158"/>
      <c r="AE306" s="158" t="b">
        <f>IF(AB306="",TRUE,IF(IF(AC306="",VLOOKUP(AB306,Calculs!$A$19:$S$425,19,FALSE),VLOOKUP(AC306,Calculs!$A$19:$S$425,19,FALSE))&gt;=AD306,TRUE,FALSE))</f>
        <v>1</v>
      </c>
      <c r="AF306" s="158"/>
      <c r="AG306" s="158"/>
      <c r="AH306" s="158"/>
      <c r="AI306" s="158" t="b">
        <f>IF(AF306="",TRUE,IF(IF(AG306="",VLOOKUP(AF306,Calculs!$A$19:$S$425,19,FALSE),VLOOKUP(AG306,Calculs!$A$19:$S$425,19,FALSE))&gt;=AH306,TRUE,FALSE))</f>
        <v>1</v>
      </c>
      <c r="AJ306" s="158"/>
      <c r="AK306" s="158"/>
      <c r="AL306" s="158"/>
      <c r="AM306" s="158" t="b">
        <f>IF(AJ306="",TRUE,IF(IF(AK306="",VLOOKUP(AJ306,Calculs!$A$19:$S$425,19,FALSE),VLOOKUP(AK306,Calculs!$A$19:$S$425,19,FALSE))&gt;=AL306,TRUE,FALSE))</f>
        <v>1</v>
      </c>
      <c r="AN306" s="158"/>
      <c r="AO306" s="158"/>
      <c r="AP306" s="158"/>
      <c r="AQ306" s="158" t="b">
        <f>IF(AN306="",TRUE,IF(IF(AO306="",VLOOKUP(AN306,Calculs!$A$19:$S$425,19,FALSE),VLOOKUP(AO306,Calculs!$A$19:$S$425,19,FALSE))&gt;=AP306,TRUE,FALSE))</f>
        <v>1</v>
      </c>
      <c r="AR306" s="158"/>
      <c r="AS306" s="158" t="b">
        <f>IF(AR306="",TRUE,IF(VLOOKUP(AR306,Calculs!$A$427:$G$738,7,FALSE)&gt;0,TRUE,FALSE))</f>
        <v>1</v>
      </c>
      <c r="AT306" s="158"/>
      <c r="AU306" s="158" t="b">
        <f>IF(AT306="",TRUE,IF(VLOOKUP(AT306,Calculs!$A$740:$G$912,7,FALSE)&gt;0,TRUE,FALSE))</f>
        <v>1</v>
      </c>
      <c r="AV306" s="158" t="b">
        <f t="shared" si="30"/>
        <v>1</v>
      </c>
      <c r="AW306" s="158" t="s">
        <v>2078</v>
      </c>
      <c r="AX306" s="162" t="s">
        <v>6816</v>
      </c>
      <c r="AY306" s="15">
        <v>33</v>
      </c>
      <c r="AZ306" s="555" t="s">
        <v>8543</v>
      </c>
      <c r="BA306" s="559">
        <f>IF(Verso!$B$10=Voies!$B306,1,0)</f>
        <v>0</v>
      </c>
      <c r="BB306" s="12">
        <f>IF(Verso!$B$11=Voies!$B306,1,0)</f>
        <v>0</v>
      </c>
      <c r="BC306" s="12">
        <f>IF(Verso!$B$12=Voies!$B306,1,0)</f>
        <v>0</v>
      </c>
      <c r="BD306" s="12">
        <f>IF(Verso!$B$13=Voies!$B306,1,0)</f>
        <v>0</v>
      </c>
      <c r="BE306" s="12">
        <f>IF(Verso!$B$14=Voies!$B306,1,0)</f>
        <v>0</v>
      </c>
      <c r="BF306" s="12">
        <f>IF(Verso!$B$15=Voies!$B306,1,0)</f>
        <v>0</v>
      </c>
      <c r="BG306" s="12">
        <f>IF(Verso!$B$16=Voies!$B306,1,0)</f>
        <v>0</v>
      </c>
      <c r="BH306" s="12">
        <f>IF(Verso!$B$17=Voies!$B306,1,0)</f>
        <v>0</v>
      </c>
      <c r="BI306" s="557">
        <f t="shared" si="31"/>
        <v>0</v>
      </c>
      <c r="BJ306" s="196" t="str">
        <f t="shared" si="32"/>
        <v/>
      </c>
      <c r="BK306" s="196" t="str">
        <f t="shared" si="33"/>
        <v/>
      </c>
      <c r="BL306" s="295" t="str">
        <f t="shared" si="34"/>
        <v/>
      </c>
      <c r="BM306" s="91"/>
    </row>
    <row r="307" spans="1:65" s="196" customFormat="1" ht="47.25" customHeight="1" x14ac:dyDescent="0.25">
      <c r="A307" s="162" t="str">
        <f>IF(AND(Réputation&gt;Voies!E307-1,OR(C307=TRUE,Calculs!$I$8&gt;0),Air&gt;Voies!J307-1,Eau&gt;Voies!K307-1,Feu&gt;Voies!L307-1,Terre&gt;Voies!M307-1,Vide&gt;Voies!N307-1,Constitution&gt;Voies!O307-1,Volonté&gt;Voies!P307-1,Force&gt;Voies!Q307-1,Perception&gt;Voies!R307-1,Reflexes&gt;Voies!S307-1,Agilité&gt;Voies!T307-1,Intuition&gt;Voies!U307-1,Intelligence&gt;Voies!V307-1,Souillure&gt;Voies!W307-1,Honneur&gt;X307-1,Statut&gt;Y307-1,Gloire&gt;Z307-1,AV307=TRUE),Voies!B307,"")</f>
        <v/>
      </c>
      <c r="B307" s="162" t="s">
        <v>6989</v>
      </c>
      <c r="C307" s="162" t="b">
        <f>IF(Clan=Voies!D307,TRUE,FALSE)</f>
        <v>0</v>
      </c>
      <c r="D307" s="466" t="s">
        <v>6764</v>
      </c>
      <c r="E307" s="199">
        <v>2</v>
      </c>
      <c r="F307" s="199">
        <v>2</v>
      </c>
      <c r="G307" s="199" t="s">
        <v>2049</v>
      </c>
      <c r="H307" s="162" t="s">
        <v>6870</v>
      </c>
      <c r="I307" s="129" t="str">
        <f t="shared" si="35"/>
        <v>Rien</v>
      </c>
      <c r="J307" s="146">
        <v>0</v>
      </c>
      <c r="K307" s="147">
        <v>0</v>
      </c>
      <c r="L307" s="148">
        <v>0</v>
      </c>
      <c r="M307" s="149">
        <v>0</v>
      </c>
      <c r="N307" s="150">
        <v>0</v>
      </c>
      <c r="O307" s="130">
        <v>0</v>
      </c>
      <c r="P307" s="130">
        <v>0</v>
      </c>
      <c r="Q307" s="130">
        <v>0</v>
      </c>
      <c r="R307" s="130">
        <v>0</v>
      </c>
      <c r="S307" s="130">
        <v>0</v>
      </c>
      <c r="T307" s="130">
        <v>0</v>
      </c>
      <c r="U307" s="130">
        <v>0</v>
      </c>
      <c r="V307" s="524">
        <v>0</v>
      </c>
      <c r="W307" s="130">
        <v>0</v>
      </c>
      <c r="X307" s="130">
        <v>0</v>
      </c>
      <c r="Y307" s="130">
        <v>0</v>
      </c>
      <c r="Z307" s="130">
        <v>0</v>
      </c>
      <c r="AA307" s="158" t="s">
        <v>2078</v>
      </c>
      <c r="AB307" s="158"/>
      <c r="AC307" s="158"/>
      <c r="AD307" s="158"/>
      <c r="AE307" s="158" t="b">
        <f>IF(AB307="",TRUE,IF(IF(AC307="",VLOOKUP(AB307,Calculs!$A$19:$S$425,19,FALSE),VLOOKUP(AC307,Calculs!$A$19:$S$425,19,FALSE))&gt;=AD307,TRUE,FALSE))</f>
        <v>1</v>
      </c>
      <c r="AF307" s="158"/>
      <c r="AG307" s="158"/>
      <c r="AH307" s="158"/>
      <c r="AI307" s="158" t="b">
        <f>IF(AF307="",TRUE,IF(IF(AG307="",VLOOKUP(AF307,Calculs!$A$19:$S$425,19,FALSE),VLOOKUP(AG307,Calculs!$A$19:$S$425,19,FALSE))&gt;=AH307,TRUE,FALSE))</f>
        <v>1</v>
      </c>
      <c r="AJ307" s="158"/>
      <c r="AK307" s="158"/>
      <c r="AL307" s="158"/>
      <c r="AM307" s="158" t="b">
        <f>IF(AJ307="",TRUE,IF(IF(AK307="",VLOOKUP(AJ307,Calculs!$A$19:$S$425,19,FALSE),VLOOKUP(AK307,Calculs!$A$19:$S$425,19,FALSE))&gt;=AL307,TRUE,FALSE))</f>
        <v>1</v>
      </c>
      <c r="AN307" s="158"/>
      <c r="AO307" s="158"/>
      <c r="AP307" s="158"/>
      <c r="AQ307" s="158" t="b">
        <f>IF(AN307="",TRUE,IF(IF(AO307="",VLOOKUP(AN307,Calculs!$A$19:$S$425,19,FALSE),VLOOKUP(AO307,Calculs!$A$19:$S$425,19,FALSE))&gt;=AP307,TRUE,FALSE))</f>
        <v>1</v>
      </c>
      <c r="AR307" s="158"/>
      <c r="AS307" s="158" t="b">
        <f>IF(AR307="",TRUE,IF(VLOOKUP(AR307,Calculs!$A$427:$G$738,7,FALSE)&gt;0,TRUE,FALSE))</f>
        <v>1</v>
      </c>
      <c r="AT307" s="158"/>
      <c r="AU307" s="158" t="b">
        <f>IF(AT307="",TRUE,IF(VLOOKUP(AT307,Calculs!$A$740:$G$912,7,FALSE)&gt;0,TRUE,FALSE))</f>
        <v>1</v>
      </c>
      <c r="AV307" s="158" t="b">
        <f t="shared" si="30"/>
        <v>1</v>
      </c>
      <c r="AW307" s="158" t="s">
        <v>2078</v>
      </c>
      <c r="AX307" s="162" t="s">
        <v>6816</v>
      </c>
      <c r="AY307" s="15">
        <v>33</v>
      </c>
      <c r="AZ307" s="555" t="s">
        <v>6993</v>
      </c>
      <c r="BA307" s="559">
        <f>IF(Verso!$B$10=Voies!$B307,1,0)</f>
        <v>0</v>
      </c>
      <c r="BB307" s="12">
        <f>IF(Verso!$B$11=Voies!$B307,1,0)</f>
        <v>0</v>
      </c>
      <c r="BC307" s="12">
        <f>IF(Verso!$B$12=Voies!$B307,1,0)</f>
        <v>0</v>
      </c>
      <c r="BD307" s="12">
        <f>IF(Verso!$B$13=Voies!$B307,1,0)</f>
        <v>0</v>
      </c>
      <c r="BE307" s="12">
        <f>IF(Verso!$B$14=Voies!$B307,1,0)</f>
        <v>0</v>
      </c>
      <c r="BF307" s="12">
        <f>IF(Verso!$B$15=Voies!$B307,1,0)</f>
        <v>0</v>
      </c>
      <c r="BG307" s="12">
        <f>IF(Verso!$B$16=Voies!$B307,1,0)</f>
        <v>0</v>
      </c>
      <c r="BH307" s="12">
        <f>IF(Verso!$B$17=Voies!$B307,1,0)</f>
        <v>0</v>
      </c>
      <c r="BI307" s="557">
        <f t="shared" si="31"/>
        <v>0</v>
      </c>
      <c r="BJ307" s="196" t="str">
        <f t="shared" si="32"/>
        <v/>
      </c>
      <c r="BK307" s="196" t="str">
        <f t="shared" si="33"/>
        <v/>
      </c>
      <c r="BL307" s="295" t="str">
        <f t="shared" si="34"/>
        <v/>
      </c>
      <c r="BM307" s="91"/>
    </row>
    <row r="308" spans="1:65" s="196" customFormat="1" ht="47.25" customHeight="1" x14ac:dyDescent="0.25">
      <c r="A308" s="162" t="str">
        <f>IF(AND(Réputation&gt;Voies!E308-1,OR(C308=TRUE,Calculs!$I$8&gt;0),Air&gt;Voies!J308-1,Eau&gt;Voies!K308-1,Feu&gt;Voies!L308-1,Terre&gt;Voies!M308-1,Vide&gt;Voies!N308-1,Constitution&gt;Voies!O308-1,Volonté&gt;Voies!P308-1,Force&gt;Voies!Q308-1,Perception&gt;Voies!R308-1,Reflexes&gt;Voies!S308-1,Agilité&gt;Voies!T308-1,Intuition&gt;Voies!U308-1,Intelligence&gt;Voies!V308-1,Souillure&gt;Voies!W308-1,Honneur&gt;X308-1,Statut&gt;Y308-1,Gloire&gt;Z308-1,AV308=TRUE),Voies!B308,"")</f>
        <v/>
      </c>
      <c r="B308" s="162" t="s">
        <v>6990</v>
      </c>
      <c r="C308" s="162" t="b">
        <f>IF(Clan=Voies!D308,TRUE,FALSE)</f>
        <v>0</v>
      </c>
      <c r="D308" s="466" t="s">
        <v>6764</v>
      </c>
      <c r="E308" s="199">
        <v>3</v>
      </c>
      <c r="F308" s="199">
        <v>3</v>
      </c>
      <c r="G308" s="199" t="s">
        <v>2049</v>
      </c>
      <c r="H308" s="162" t="s">
        <v>6870</v>
      </c>
      <c r="I308" s="129" t="str">
        <f t="shared" si="35"/>
        <v>Rien</v>
      </c>
      <c r="J308" s="146">
        <v>0</v>
      </c>
      <c r="K308" s="147">
        <v>0</v>
      </c>
      <c r="L308" s="148">
        <v>0</v>
      </c>
      <c r="M308" s="149">
        <v>0</v>
      </c>
      <c r="N308" s="150">
        <v>0</v>
      </c>
      <c r="O308" s="130">
        <v>0</v>
      </c>
      <c r="P308" s="130">
        <v>0</v>
      </c>
      <c r="Q308" s="130">
        <v>0</v>
      </c>
      <c r="R308" s="130">
        <v>0</v>
      </c>
      <c r="S308" s="130">
        <v>0</v>
      </c>
      <c r="T308" s="130">
        <v>0</v>
      </c>
      <c r="U308" s="130">
        <v>0</v>
      </c>
      <c r="V308" s="524">
        <v>0</v>
      </c>
      <c r="W308" s="130">
        <v>0</v>
      </c>
      <c r="X308" s="130">
        <v>0</v>
      </c>
      <c r="Y308" s="130">
        <v>0</v>
      </c>
      <c r="Z308" s="130">
        <v>0</v>
      </c>
      <c r="AA308" s="158" t="s">
        <v>2078</v>
      </c>
      <c r="AB308" s="158"/>
      <c r="AC308" s="158"/>
      <c r="AD308" s="158"/>
      <c r="AE308" s="158" t="b">
        <f>IF(AB308="",TRUE,IF(IF(AC308="",VLOOKUP(AB308,Calculs!$A$19:$S$425,19,FALSE),VLOOKUP(AC308,Calculs!$A$19:$S$425,19,FALSE))&gt;=AD308,TRUE,FALSE))</f>
        <v>1</v>
      </c>
      <c r="AF308" s="158"/>
      <c r="AG308" s="158"/>
      <c r="AH308" s="158"/>
      <c r="AI308" s="158" t="b">
        <f>IF(AF308="",TRUE,IF(IF(AG308="",VLOOKUP(AF308,Calculs!$A$19:$S$425,19,FALSE),VLOOKUP(AG308,Calculs!$A$19:$S$425,19,FALSE))&gt;=AH308,TRUE,FALSE))</f>
        <v>1</v>
      </c>
      <c r="AJ308" s="158"/>
      <c r="AK308" s="158"/>
      <c r="AL308" s="158"/>
      <c r="AM308" s="158" t="b">
        <f>IF(AJ308="",TRUE,IF(IF(AK308="",VLOOKUP(AJ308,Calculs!$A$19:$S$425,19,FALSE),VLOOKUP(AK308,Calculs!$A$19:$S$425,19,FALSE))&gt;=AL308,TRUE,FALSE))</f>
        <v>1</v>
      </c>
      <c r="AN308" s="158"/>
      <c r="AO308" s="158"/>
      <c r="AP308" s="158"/>
      <c r="AQ308" s="158" t="b">
        <f>IF(AN308="",TRUE,IF(IF(AO308="",VLOOKUP(AN308,Calculs!$A$19:$S$425,19,FALSE),VLOOKUP(AO308,Calculs!$A$19:$S$425,19,FALSE))&gt;=AP308,TRUE,FALSE))</f>
        <v>1</v>
      </c>
      <c r="AR308" s="158"/>
      <c r="AS308" s="158" t="b">
        <f>IF(AR308="",TRUE,IF(VLOOKUP(AR308,Calculs!$A$427:$G$738,7,FALSE)&gt;0,TRUE,FALSE))</f>
        <v>1</v>
      </c>
      <c r="AT308" s="158"/>
      <c r="AU308" s="158" t="b">
        <f>IF(AT308="",TRUE,IF(VLOOKUP(AT308,Calculs!$A$740:$G$912,7,FALSE)&gt;0,TRUE,FALSE))</f>
        <v>1</v>
      </c>
      <c r="AV308" s="158" t="b">
        <f t="shared" si="30"/>
        <v>1</v>
      </c>
      <c r="AW308" s="158" t="s">
        <v>2078</v>
      </c>
      <c r="AX308" s="162" t="s">
        <v>6816</v>
      </c>
      <c r="AY308" s="15">
        <v>33</v>
      </c>
      <c r="AZ308" s="555" t="s">
        <v>6994</v>
      </c>
      <c r="BA308" s="559">
        <f>IF(Verso!$B$10=Voies!$B308,1,0)</f>
        <v>0</v>
      </c>
      <c r="BB308" s="12">
        <f>IF(Verso!$B$11=Voies!$B308,1,0)</f>
        <v>0</v>
      </c>
      <c r="BC308" s="12">
        <f>IF(Verso!$B$12=Voies!$B308,1,0)</f>
        <v>0</v>
      </c>
      <c r="BD308" s="12">
        <f>IF(Verso!$B$13=Voies!$B308,1,0)</f>
        <v>0</v>
      </c>
      <c r="BE308" s="12">
        <f>IF(Verso!$B$14=Voies!$B308,1,0)</f>
        <v>0</v>
      </c>
      <c r="BF308" s="12">
        <f>IF(Verso!$B$15=Voies!$B308,1,0)</f>
        <v>0</v>
      </c>
      <c r="BG308" s="12">
        <f>IF(Verso!$B$16=Voies!$B308,1,0)</f>
        <v>0</v>
      </c>
      <c r="BH308" s="12">
        <f>IF(Verso!$B$17=Voies!$B308,1,0)</f>
        <v>0</v>
      </c>
      <c r="BI308" s="557">
        <f t="shared" si="31"/>
        <v>0</v>
      </c>
      <c r="BJ308" s="196" t="str">
        <f t="shared" si="32"/>
        <v/>
      </c>
      <c r="BK308" s="196" t="str">
        <f t="shared" si="33"/>
        <v/>
      </c>
      <c r="BL308" s="295" t="str">
        <f t="shared" si="34"/>
        <v/>
      </c>
      <c r="BM308" s="91"/>
    </row>
    <row r="309" spans="1:65" s="196" customFormat="1" ht="47.25" customHeight="1" x14ac:dyDescent="0.25">
      <c r="A309" s="162" t="str">
        <f>IF(AND(Réputation&gt;Voies!E309-1,OR(C309=TRUE,Calculs!$I$8&gt;0),Air&gt;Voies!J309-1,Eau&gt;Voies!K309-1,Feu&gt;Voies!L309-1,Terre&gt;Voies!M309-1,Vide&gt;Voies!N309-1,Constitution&gt;Voies!O309-1,Volonté&gt;Voies!P309-1,Force&gt;Voies!Q309-1,Perception&gt;Voies!R309-1,Reflexes&gt;Voies!S309-1,Agilité&gt;Voies!T309-1,Intuition&gt;Voies!U309-1,Intelligence&gt;Voies!V309-1,Souillure&gt;Voies!W309-1,Honneur&gt;X309-1,Statut&gt;Y309-1,Gloire&gt;Z309-1,AV309=TRUE),Voies!B309,"")</f>
        <v/>
      </c>
      <c r="B309" s="162" t="s">
        <v>6991</v>
      </c>
      <c r="C309" s="162" t="b">
        <f>IF(Clan=Voies!D309,TRUE,FALSE)</f>
        <v>0</v>
      </c>
      <c r="D309" s="466" t="s">
        <v>6764</v>
      </c>
      <c r="E309" s="199">
        <v>4</v>
      </c>
      <c r="F309" s="199">
        <v>4</v>
      </c>
      <c r="G309" s="199" t="s">
        <v>2049</v>
      </c>
      <c r="H309" s="162" t="s">
        <v>6870</v>
      </c>
      <c r="I309" s="129" t="str">
        <f t="shared" si="35"/>
        <v>Rien</v>
      </c>
      <c r="J309" s="146">
        <v>0</v>
      </c>
      <c r="K309" s="147">
        <v>0</v>
      </c>
      <c r="L309" s="148">
        <v>0</v>
      </c>
      <c r="M309" s="149">
        <v>0</v>
      </c>
      <c r="N309" s="150">
        <v>0</v>
      </c>
      <c r="O309" s="130">
        <v>0</v>
      </c>
      <c r="P309" s="130">
        <v>0</v>
      </c>
      <c r="Q309" s="130">
        <v>0</v>
      </c>
      <c r="R309" s="130">
        <v>0</v>
      </c>
      <c r="S309" s="130">
        <v>0</v>
      </c>
      <c r="T309" s="130">
        <v>0</v>
      </c>
      <c r="U309" s="130">
        <v>0</v>
      </c>
      <c r="V309" s="524">
        <v>0</v>
      </c>
      <c r="W309" s="130">
        <v>0</v>
      </c>
      <c r="X309" s="130">
        <v>0</v>
      </c>
      <c r="Y309" s="130">
        <v>0</v>
      </c>
      <c r="Z309" s="130">
        <v>0</v>
      </c>
      <c r="AA309" s="158" t="s">
        <v>2078</v>
      </c>
      <c r="AB309" s="158"/>
      <c r="AC309" s="158"/>
      <c r="AD309" s="158"/>
      <c r="AE309" s="158" t="b">
        <f>IF(AB309="",TRUE,IF(IF(AC309="",VLOOKUP(AB309,Calculs!$A$19:$S$425,19,FALSE),VLOOKUP(AC309,Calculs!$A$19:$S$425,19,FALSE))&gt;=AD309,TRUE,FALSE))</f>
        <v>1</v>
      </c>
      <c r="AF309" s="158"/>
      <c r="AG309" s="158"/>
      <c r="AH309" s="158"/>
      <c r="AI309" s="158" t="b">
        <f>IF(AF309="",TRUE,IF(IF(AG309="",VLOOKUP(AF309,Calculs!$A$19:$S$425,19,FALSE),VLOOKUP(AG309,Calculs!$A$19:$S$425,19,FALSE))&gt;=AH309,TRUE,FALSE))</f>
        <v>1</v>
      </c>
      <c r="AJ309" s="158"/>
      <c r="AK309" s="158"/>
      <c r="AL309" s="158"/>
      <c r="AM309" s="158" t="b">
        <f>IF(AJ309="",TRUE,IF(IF(AK309="",VLOOKUP(AJ309,Calculs!$A$19:$S$425,19,FALSE),VLOOKUP(AK309,Calculs!$A$19:$S$425,19,FALSE))&gt;=AL309,TRUE,FALSE))</f>
        <v>1</v>
      </c>
      <c r="AN309" s="158"/>
      <c r="AO309" s="158"/>
      <c r="AP309" s="158"/>
      <c r="AQ309" s="158" t="b">
        <f>IF(AN309="",TRUE,IF(IF(AO309="",VLOOKUP(AN309,Calculs!$A$19:$S$425,19,FALSE),VLOOKUP(AO309,Calculs!$A$19:$S$425,19,FALSE))&gt;=AP309,TRUE,FALSE))</f>
        <v>1</v>
      </c>
      <c r="AR309" s="158"/>
      <c r="AS309" s="158" t="b">
        <f>IF(AR309="",TRUE,IF(VLOOKUP(AR309,Calculs!$A$427:$G$738,7,FALSE)&gt;0,TRUE,FALSE))</f>
        <v>1</v>
      </c>
      <c r="AT309" s="158"/>
      <c r="AU309" s="158" t="b">
        <f>IF(AT309="",TRUE,IF(VLOOKUP(AT309,Calculs!$A$740:$G$912,7,FALSE)&gt;0,TRUE,FALSE))</f>
        <v>1</v>
      </c>
      <c r="AV309" s="158" t="b">
        <f t="shared" si="30"/>
        <v>1</v>
      </c>
      <c r="AW309" s="158" t="s">
        <v>2078</v>
      </c>
      <c r="AX309" s="162" t="s">
        <v>6816</v>
      </c>
      <c r="AY309" s="15">
        <v>33</v>
      </c>
      <c r="AZ309" s="555" t="s">
        <v>6995</v>
      </c>
      <c r="BA309" s="559">
        <f>IF(Verso!$B$10=Voies!$B309,1,0)</f>
        <v>0</v>
      </c>
      <c r="BB309" s="12">
        <f>IF(Verso!$B$11=Voies!$B309,1,0)</f>
        <v>0</v>
      </c>
      <c r="BC309" s="12">
        <f>IF(Verso!$B$12=Voies!$B309,1,0)</f>
        <v>0</v>
      </c>
      <c r="BD309" s="12">
        <f>IF(Verso!$B$13=Voies!$B309,1,0)</f>
        <v>0</v>
      </c>
      <c r="BE309" s="12">
        <f>IF(Verso!$B$14=Voies!$B309,1,0)</f>
        <v>0</v>
      </c>
      <c r="BF309" s="12">
        <f>IF(Verso!$B$15=Voies!$B309,1,0)</f>
        <v>0</v>
      </c>
      <c r="BG309" s="12">
        <f>IF(Verso!$B$16=Voies!$B309,1,0)</f>
        <v>0</v>
      </c>
      <c r="BH309" s="12">
        <f>IF(Verso!$B$17=Voies!$B309,1,0)</f>
        <v>0</v>
      </c>
      <c r="BI309" s="557">
        <f t="shared" si="31"/>
        <v>0</v>
      </c>
      <c r="BJ309" s="196" t="str">
        <f t="shared" si="32"/>
        <v/>
      </c>
      <c r="BK309" s="196" t="str">
        <f t="shared" si="33"/>
        <v/>
      </c>
      <c r="BL309" s="295" t="str">
        <f t="shared" si="34"/>
        <v/>
      </c>
      <c r="BM309" s="91"/>
    </row>
    <row r="310" spans="1:65" s="196" customFormat="1" ht="47.25" customHeight="1" x14ac:dyDescent="0.25">
      <c r="A310" s="162" t="str">
        <f>IF(AND(Réputation&gt;Voies!E310-1,OR(C310=TRUE,Calculs!$I$8&gt;0),Air&gt;Voies!J310-1,Eau&gt;Voies!K310-1,Feu&gt;Voies!L310-1,Terre&gt;Voies!M310-1,Vide&gt;Voies!N310-1,Constitution&gt;Voies!O310-1,Volonté&gt;Voies!P310-1,Force&gt;Voies!Q310-1,Perception&gt;Voies!R310-1,Reflexes&gt;Voies!S310-1,Agilité&gt;Voies!T310-1,Intuition&gt;Voies!U310-1,Intelligence&gt;Voies!V310-1,Souillure&gt;Voies!W310-1,Honneur&gt;X310-1,Statut&gt;Y310-1,Gloire&gt;Z310-1,AV310=TRUE),Voies!B310,"")</f>
        <v/>
      </c>
      <c r="B310" s="162" t="s">
        <v>6992</v>
      </c>
      <c r="C310" s="162" t="b">
        <f>IF(Clan=Voies!D310,TRUE,FALSE)</f>
        <v>0</v>
      </c>
      <c r="D310" s="466" t="s">
        <v>6764</v>
      </c>
      <c r="E310" s="199">
        <v>5</v>
      </c>
      <c r="F310" s="199">
        <v>5</v>
      </c>
      <c r="G310" s="199" t="s">
        <v>2049</v>
      </c>
      <c r="H310" s="162" t="s">
        <v>6870</v>
      </c>
      <c r="I310" s="129" t="str">
        <f t="shared" si="35"/>
        <v>Rien</v>
      </c>
      <c r="J310" s="146">
        <v>0</v>
      </c>
      <c r="K310" s="147">
        <v>0</v>
      </c>
      <c r="L310" s="148">
        <v>0</v>
      </c>
      <c r="M310" s="149">
        <v>0</v>
      </c>
      <c r="N310" s="150">
        <v>0</v>
      </c>
      <c r="O310" s="130">
        <v>0</v>
      </c>
      <c r="P310" s="130">
        <v>0</v>
      </c>
      <c r="Q310" s="130">
        <v>0</v>
      </c>
      <c r="R310" s="130">
        <v>0</v>
      </c>
      <c r="S310" s="130">
        <v>0</v>
      </c>
      <c r="T310" s="130">
        <v>0</v>
      </c>
      <c r="U310" s="130">
        <v>0</v>
      </c>
      <c r="V310" s="524">
        <v>0</v>
      </c>
      <c r="W310" s="130">
        <v>0</v>
      </c>
      <c r="X310" s="130">
        <v>0</v>
      </c>
      <c r="Y310" s="130">
        <v>0</v>
      </c>
      <c r="Z310" s="130">
        <v>0</v>
      </c>
      <c r="AA310" s="158" t="s">
        <v>2078</v>
      </c>
      <c r="AB310" s="158"/>
      <c r="AC310" s="158"/>
      <c r="AD310" s="158"/>
      <c r="AE310" s="158" t="b">
        <f>IF(AB310="",TRUE,IF(IF(AC310="",VLOOKUP(AB310,Calculs!$A$19:$S$425,19,FALSE),VLOOKUP(AC310,Calculs!$A$19:$S$425,19,FALSE))&gt;=AD310,TRUE,FALSE))</f>
        <v>1</v>
      </c>
      <c r="AF310" s="158"/>
      <c r="AG310" s="158"/>
      <c r="AH310" s="158"/>
      <c r="AI310" s="158" t="b">
        <f>IF(AF310="",TRUE,IF(IF(AG310="",VLOOKUP(AF310,Calculs!$A$19:$S$425,19,FALSE),VLOOKUP(AG310,Calculs!$A$19:$S$425,19,FALSE))&gt;=AH310,TRUE,FALSE))</f>
        <v>1</v>
      </c>
      <c r="AJ310" s="158"/>
      <c r="AK310" s="158"/>
      <c r="AL310" s="158"/>
      <c r="AM310" s="158" t="b">
        <f>IF(AJ310="",TRUE,IF(IF(AK310="",VLOOKUP(AJ310,Calculs!$A$19:$S$425,19,FALSE),VLOOKUP(AK310,Calculs!$A$19:$S$425,19,FALSE))&gt;=AL310,TRUE,FALSE))</f>
        <v>1</v>
      </c>
      <c r="AN310" s="158"/>
      <c r="AO310" s="158"/>
      <c r="AP310" s="158"/>
      <c r="AQ310" s="158" t="b">
        <f>IF(AN310="",TRUE,IF(IF(AO310="",VLOOKUP(AN310,Calculs!$A$19:$S$425,19,FALSE),VLOOKUP(AO310,Calculs!$A$19:$S$425,19,FALSE))&gt;=AP310,TRUE,FALSE))</f>
        <v>1</v>
      </c>
      <c r="AR310" s="158"/>
      <c r="AS310" s="158" t="b">
        <f>IF(AR310="",TRUE,IF(VLOOKUP(AR310,Calculs!$A$427:$G$738,7,FALSE)&gt;0,TRUE,FALSE))</f>
        <v>1</v>
      </c>
      <c r="AT310" s="158"/>
      <c r="AU310" s="158" t="b">
        <f>IF(AT310="",TRUE,IF(VLOOKUP(AT310,Calculs!$A$740:$G$912,7,FALSE)&gt;0,TRUE,FALSE))</f>
        <v>1</v>
      </c>
      <c r="AV310" s="158" t="b">
        <f t="shared" si="30"/>
        <v>1</v>
      </c>
      <c r="AW310" s="158" t="s">
        <v>2078</v>
      </c>
      <c r="AX310" s="162" t="s">
        <v>6816</v>
      </c>
      <c r="AY310" s="15">
        <v>33</v>
      </c>
      <c r="AZ310" s="555" t="s">
        <v>6996</v>
      </c>
      <c r="BA310" s="559">
        <f>IF(Verso!$B$10=Voies!$B310,1,0)</f>
        <v>0</v>
      </c>
      <c r="BB310" s="12">
        <f>IF(Verso!$B$11=Voies!$B310,1,0)</f>
        <v>0</v>
      </c>
      <c r="BC310" s="12">
        <f>IF(Verso!$B$12=Voies!$B310,1,0)</f>
        <v>0</v>
      </c>
      <c r="BD310" s="12">
        <f>IF(Verso!$B$13=Voies!$B310,1,0)</f>
        <v>0</v>
      </c>
      <c r="BE310" s="12">
        <f>IF(Verso!$B$14=Voies!$B310,1,0)</f>
        <v>0</v>
      </c>
      <c r="BF310" s="12">
        <f>IF(Verso!$B$15=Voies!$B310,1,0)</f>
        <v>0</v>
      </c>
      <c r="BG310" s="12">
        <f>IF(Verso!$B$16=Voies!$B310,1,0)</f>
        <v>0</v>
      </c>
      <c r="BH310" s="12">
        <f>IF(Verso!$B$17=Voies!$B310,1,0)</f>
        <v>0</v>
      </c>
      <c r="BI310" s="557">
        <f t="shared" si="31"/>
        <v>0</v>
      </c>
      <c r="BJ310" s="196" t="str">
        <f t="shared" si="32"/>
        <v/>
      </c>
      <c r="BK310" s="196" t="str">
        <f t="shared" si="33"/>
        <v/>
      </c>
      <c r="BL310" s="295" t="str">
        <f t="shared" si="34"/>
        <v/>
      </c>
      <c r="BM310" s="91"/>
    </row>
    <row r="311" spans="1:65" s="196" customFormat="1" ht="47.25" customHeight="1" x14ac:dyDescent="0.25">
      <c r="A311" s="162" t="str">
        <f>IF(AND(Réputation&gt;Voies!E311-1,OR(C311=TRUE,Calculs!$I$8&gt;0),Air&gt;Voies!J311-1,Eau&gt;Voies!K311-1,Feu&gt;Voies!L311-1,Terre&gt;Voies!M311-1,Vide&gt;Voies!N311-1,Constitution&gt;Voies!O311-1,Volonté&gt;Voies!P311-1,Force&gt;Voies!Q311-1,Perception&gt;Voies!R311-1,Reflexes&gt;Voies!S311-1,Agilité&gt;Voies!T311-1,Intuition&gt;Voies!U311-1,Intelligence&gt;Voies!V311-1,Souillure&gt;Voies!W311-1,Honneur&gt;X311-1,Statut&gt;Y311-1,Gloire&gt;Z311-1,AV311=TRUE),Voies!B311,"")</f>
        <v/>
      </c>
      <c r="B311" s="162" t="s">
        <v>8286</v>
      </c>
      <c r="C311" s="162" t="b">
        <f t="shared" ref="C311:C320" si="36">IF(OR(Clan="Guêpe",Clan="Mante"),TRUE,FALSE)</f>
        <v>0</v>
      </c>
      <c r="D311" s="387" t="s">
        <v>8285</v>
      </c>
      <c r="E311" s="199">
        <v>1</v>
      </c>
      <c r="F311" s="199">
        <v>1</v>
      </c>
      <c r="G311" s="199" t="s">
        <v>2049</v>
      </c>
      <c r="H311" s="219" t="s">
        <v>8260</v>
      </c>
      <c r="I311" s="129" t="s">
        <v>3370</v>
      </c>
      <c r="J311" s="146">
        <v>0</v>
      </c>
      <c r="K311" s="147">
        <v>0</v>
      </c>
      <c r="L311" s="148">
        <v>0</v>
      </c>
      <c r="M311" s="149">
        <v>0</v>
      </c>
      <c r="N311" s="150">
        <v>0</v>
      </c>
      <c r="O311" s="130">
        <v>0</v>
      </c>
      <c r="P311" s="130">
        <v>0</v>
      </c>
      <c r="Q311" s="130">
        <v>0</v>
      </c>
      <c r="R311" s="130">
        <v>0</v>
      </c>
      <c r="S311" s="130">
        <v>0</v>
      </c>
      <c r="T311" s="130">
        <v>0</v>
      </c>
      <c r="U311" s="130">
        <v>0</v>
      </c>
      <c r="V311" s="524">
        <v>0</v>
      </c>
      <c r="W311" s="130">
        <v>0</v>
      </c>
      <c r="X311" s="130">
        <v>0</v>
      </c>
      <c r="Y311" s="130">
        <v>0</v>
      </c>
      <c r="Z311" s="130">
        <v>0</v>
      </c>
      <c r="AA311" s="158" t="s">
        <v>2078</v>
      </c>
      <c r="AB311" s="159"/>
      <c r="AC311" s="159"/>
      <c r="AD311" s="159"/>
      <c r="AE311" s="158" t="b">
        <f>IF(AB311="",TRUE,IF(IF(AC311="",VLOOKUP(AB311,Calculs!$A$19:$S$425,19,FALSE),VLOOKUP(AC311,Calculs!$A$19:$S$425,19,FALSE))&gt;=AD311,TRUE,FALSE))</f>
        <v>1</v>
      </c>
      <c r="AF311" s="159"/>
      <c r="AG311" s="159"/>
      <c r="AH311" s="159"/>
      <c r="AI311" s="158" t="b">
        <f>IF(AF311="",TRUE,IF(IF(AG311="",VLOOKUP(AF311,Calculs!$A$19:$S$425,19,FALSE),VLOOKUP(AG311,Calculs!$A$19:$S$425,19,FALSE))&gt;=AH311,TRUE,FALSE))</f>
        <v>1</v>
      </c>
      <c r="AJ311" s="159"/>
      <c r="AK311" s="159"/>
      <c r="AL311" s="159"/>
      <c r="AM311" s="158" t="b">
        <f>IF(AJ311="",TRUE,IF(IF(AK311="",VLOOKUP(AJ311,Calculs!$A$19:$S$425,19,FALSE),VLOOKUP(AK311,Calculs!$A$19:$S$425,19,FALSE))&gt;=AL311,TRUE,FALSE))</f>
        <v>1</v>
      </c>
      <c r="AN311" s="159"/>
      <c r="AO311" s="159"/>
      <c r="AP311" s="159"/>
      <c r="AQ311" s="158" t="b">
        <f>IF(AN311="",TRUE,IF(IF(AO311="",VLOOKUP(AN311,Calculs!$A$19:$S$425,19,FALSE),VLOOKUP(AO311,Calculs!$A$19:$S$425,19,FALSE))&gt;=AP311,TRUE,FALSE))</f>
        <v>1</v>
      </c>
      <c r="AR311" s="158"/>
      <c r="AS311" s="158" t="b">
        <f>IF(AR311="",TRUE,IF(VLOOKUP(AR311,Calculs!$A$427:$G$738,7,FALSE)&gt;0,TRUE,FALSE))</f>
        <v>1</v>
      </c>
      <c r="AT311" s="158"/>
      <c r="AU311" s="158" t="b">
        <f>IF(AT311="",TRUE,IF(VLOOKUP(AT311,Calculs!$A$740:$G$912,7,FALSE)&gt;0,TRUE,FALSE))</f>
        <v>1</v>
      </c>
      <c r="AV311" s="158" t="b">
        <f t="shared" si="30"/>
        <v>1</v>
      </c>
      <c r="AW311" s="158" t="s">
        <v>2078</v>
      </c>
      <c r="AX311" s="162" t="s">
        <v>6816</v>
      </c>
      <c r="AY311" s="15">
        <v>35</v>
      </c>
      <c r="AZ311" s="566" t="s">
        <v>8544</v>
      </c>
      <c r="BA311" s="559">
        <f>IF(Verso!$B$10=Voies!$B311,1,0)</f>
        <v>0</v>
      </c>
      <c r="BB311" s="12">
        <f>IF(Verso!$B$11=Voies!$B311,1,0)</f>
        <v>0</v>
      </c>
      <c r="BC311" s="12">
        <f>IF(Verso!$B$12=Voies!$B311,1,0)</f>
        <v>0</v>
      </c>
      <c r="BD311" s="12">
        <f>IF(Verso!$B$13=Voies!$B311,1,0)</f>
        <v>0</v>
      </c>
      <c r="BE311" s="12">
        <f>IF(Verso!$B$14=Voies!$B311,1,0)</f>
        <v>0</v>
      </c>
      <c r="BF311" s="12">
        <f>IF(Verso!$B$15=Voies!$B311,1,0)</f>
        <v>0</v>
      </c>
      <c r="BG311" s="12">
        <f>IF(Verso!$B$16=Voies!$B311,1,0)</f>
        <v>0</v>
      </c>
      <c r="BH311" s="12">
        <f>IF(Verso!$B$17=Voies!$B311,1,0)</f>
        <v>0</v>
      </c>
      <c r="BI311" s="557">
        <f t="shared" si="31"/>
        <v>0</v>
      </c>
      <c r="BJ311" s="196" t="str">
        <f t="shared" si="32"/>
        <v/>
      </c>
      <c r="BK311" s="196" t="str">
        <f t="shared" si="33"/>
        <v/>
      </c>
      <c r="BL311" s="295" t="str">
        <f t="shared" si="34"/>
        <v/>
      </c>
      <c r="BM311" s="91"/>
    </row>
    <row r="312" spans="1:65" s="196" customFormat="1" ht="47.25" customHeight="1" x14ac:dyDescent="0.25">
      <c r="A312" s="162" t="str">
        <f>IF(AND(Réputation&gt;Voies!E312-1,OR(C312=TRUE,Calculs!$I$8&gt;0),Air&gt;Voies!J312-1,Eau&gt;Voies!K312-1,Feu&gt;Voies!L312-1,Terre&gt;Voies!M312-1,Vide&gt;Voies!N312-1,Constitution&gt;Voies!O312-1,Volonté&gt;Voies!P312-1,Force&gt;Voies!Q312-1,Perception&gt;Voies!R312-1,Reflexes&gt;Voies!S312-1,Agilité&gt;Voies!T312-1,Intuition&gt;Voies!U312-1,Intelligence&gt;Voies!V312-1,Souillure&gt;Voies!W312-1,Honneur&gt;X312-1,Statut&gt;Y312-1,Gloire&gt;Z312-1,AV312=TRUE),Voies!B312,"")</f>
        <v/>
      </c>
      <c r="B312" s="162" t="s">
        <v>8278</v>
      </c>
      <c r="C312" s="162" t="b">
        <f t="shared" si="36"/>
        <v>0</v>
      </c>
      <c r="D312" s="387" t="s">
        <v>8285</v>
      </c>
      <c r="E312" s="199">
        <v>2</v>
      </c>
      <c r="F312" s="199">
        <v>2</v>
      </c>
      <c r="G312" s="199" t="s">
        <v>2049</v>
      </c>
      <c r="H312" s="219" t="s">
        <v>8260</v>
      </c>
      <c r="I312" s="129" t="s">
        <v>3370</v>
      </c>
      <c r="J312" s="146">
        <v>0</v>
      </c>
      <c r="K312" s="147">
        <v>0</v>
      </c>
      <c r="L312" s="148">
        <v>0</v>
      </c>
      <c r="M312" s="149">
        <v>0</v>
      </c>
      <c r="N312" s="150">
        <v>0</v>
      </c>
      <c r="O312" s="130">
        <v>0</v>
      </c>
      <c r="P312" s="130">
        <v>0</v>
      </c>
      <c r="Q312" s="130">
        <v>0</v>
      </c>
      <c r="R312" s="130">
        <v>0</v>
      </c>
      <c r="S312" s="130">
        <v>0</v>
      </c>
      <c r="T312" s="130">
        <v>0</v>
      </c>
      <c r="U312" s="130">
        <v>0</v>
      </c>
      <c r="V312" s="524">
        <v>0</v>
      </c>
      <c r="W312" s="130">
        <v>0</v>
      </c>
      <c r="X312" s="130">
        <v>0</v>
      </c>
      <c r="Y312" s="130">
        <v>0</v>
      </c>
      <c r="Z312" s="130">
        <v>0</v>
      </c>
      <c r="AA312" s="158" t="s">
        <v>2078</v>
      </c>
      <c r="AB312" s="159"/>
      <c r="AC312" s="159"/>
      <c r="AD312" s="159"/>
      <c r="AE312" s="158" t="b">
        <f>IF(AB312="",TRUE,IF(IF(AC312="",VLOOKUP(AB312,Calculs!$A$19:$S$425,19,FALSE),VLOOKUP(AC312,Calculs!$A$19:$S$425,19,FALSE))&gt;=AD312,TRUE,FALSE))</f>
        <v>1</v>
      </c>
      <c r="AF312" s="159"/>
      <c r="AG312" s="159"/>
      <c r="AH312" s="159"/>
      <c r="AI312" s="158" t="b">
        <f>IF(AF312="",TRUE,IF(IF(AG312="",VLOOKUP(AF312,Calculs!$A$19:$S$425,19,FALSE),VLOOKUP(AG312,Calculs!$A$19:$S$425,19,FALSE))&gt;=AH312,TRUE,FALSE))</f>
        <v>1</v>
      </c>
      <c r="AJ312" s="159"/>
      <c r="AK312" s="159"/>
      <c r="AL312" s="159"/>
      <c r="AM312" s="158" t="b">
        <f>IF(AJ312="",TRUE,IF(IF(AK312="",VLOOKUP(AJ312,Calculs!$A$19:$S$425,19,FALSE),VLOOKUP(AK312,Calculs!$A$19:$S$425,19,FALSE))&gt;=AL312,TRUE,FALSE))</f>
        <v>1</v>
      </c>
      <c r="AN312" s="159"/>
      <c r="AO312" s="159"/>
      <c r="AP312" s="159"/>
      <c r="AQ312" s="158" t="b">
        <f>IF(AN312="",TRUE,IF(IF(AO312="",VLOOKUP(AN312,Calculs!$A$19:$S$425,19,FALSE),VLOOKUP(AO312,Calculs!$A$19:$S$425,19,FALSE))&gt;=AP312,TRUE,FALSE))</f>
        <v>1</v>
      </c>
      <c r="AR312" s="158"/>
      <c r="AS312" s="158" t="b">
        <f>IF(AR312="",TRUE,IF(VLOOKUP(AR312,Calculs!$A$427:$G$738,7,FALSE)&gt;0,TRUE,FALSE))</f>
        <v>1</v>
      </c>
      <c r="AT312" s="158"/>
      <c r="AU312" s="158" t="b">
        <f>IF(AT312="",TRUE,IF(VLOOKUP(AT312,Calculs!$A$740:$G$912,7,FALSE)&gt;0,TRUE,FALSE))</f>
        <v>1</v>
      </c>
      <c r="AV312" s="158" t="b">
        <f t="shared" si="30"/>
        <v>1</v>
      </c>
      <c r="AW312" s="158" t="s">
        <v>2078</v>
      </c>
      <c r="AX312" s="162" t="s">
        <v>6816</v>
      </c>
      <c r="AY312" s="15">
        <v>35</v>
      </c>
      <c r="AZ312" s="555" t="s">
        <v>8281</v>
      </c>
      <c r="BA312" s="559">
        <f>IF(Verso!$B$10=Voies!$B312,1,0)</f>
        <v>0</v>
      </c>
      <c r="BB312" s="12">
        <f>IF(Verso!$B$11=Voies!$B312,1,0)</f>
        <v>0</v>
      </c>
      <c r="BC312" s="12">
        <f>IF(Verso!$B$12=Voies!$B312,1,0)</f>
        <v>0</v>
      </c>
      <c r="BD312" s="12">
        <f>IF(Verso!$B$13=Voies!$B312,1,0)</f>
        <v>0</v>
      </c>
      <c r="BE312" s="12">
        <f>IF(Verso!$B$14=Voies!$B312,1,0)</f>
        <v>0</v>
      </c>
      <c r="BF312" s="12">
        <f>IF(Verso!$B$15=Voies!$B312,1,0)</f>
        <v>0</v>
      </c>
      <c r="BG312" s="12">
        <f>IF(Verso!$B$16=Voies!$B312,1,0)</f>
        <v>0</v>
      </c>
      <c r="BH312" s="12">
        <f>IF(Verso!$B$17=Voies!$B312,1,0)</f>
        <v>0</v>
      </c>
      <c r="BI312" s="557">
        <f t="shared" si="31"/>
        <v>0</v>
      </c>
      <c r="BJ312" s="196" t="str">
        <f t="shared" si="32"/>
        <v/>
      </c>
      <c r="BK312" s="196" t="str">
        <f t="shared" si="33"/>
        <v/>
      </c>
      <c r="BL312" s="295" t="str">
        <f t="shared" si="34"/>
        <v/>
      </c>
      <c r="BM312" s="91"/>
    </row>
    <row r="313" spans="1:65" s="196" customFormat="1" ht="47.25" customHeight="1" x14ac:dyDescent="0.25">
      <c r="A313" s="162" t="str">
        <f>IF(AND(Réputation&gt;Voies!E313-1,OR(C313=TRUE,Calculs!$I$8&gt;0),Air&gt;Voies!J313-1,Eau&gt;Voies!K313-1,Feu&gt;Voies!L313-1,Terre&gt;Voies!M313-1,Vide&gt;Voies!N313-1,Constitution&gt;Voies!O313-1,Volonté&gt;Voies!P313-1,Force&gt;Voies!Q313-1,Perception&gt;Voies!R313-1,Reflexes&gt;Voies!S313-1,Agilité&gt;Voies!T313-1,Intuition&gt;Voies!U313-1,Intelligence&gt;Voies!V313-1,Souillure&gt;Voies!W313-1,Honneur&gt;X313-1,Statut&gt;Y313-1,Gloire&gt;Z313-1,AV313=TRUE),Voies!B313,"")</f>
        <v/>
      </c>
      <c r="B313" s="162" t="s">
        <v>8279</v>
      </c>
      <c r="C313" s="162" t="b">
        <f t="shared" si="36"/>
        <v>0</v>
      </c>
      <c r="D313" s="387" t="s">
        <v>8285</v>
      </c>
      <c r="E313" s="199">
        <v>3</v>
      </c>
      <c r="F313" s="199">
        <v>3</v>
      </c>
      <c r="G313" s="199" t="s">
        <v>2049</v>
      </c>
      <c r="H313" s="219" t="s">
        <v>8260</v>
      </c>
      <c r="I313" s="129" t="s">
        <v>3370</v>
      </c>
      <c r="J313" s="146">
        <v>0</v>
      </c>
      <c r="K313" s="147">
        <v>0</v>
      </c>
      <c r="L313" s="148">
        <v>0</v>
      </c>
      <c r="M313" s="149">
        <v>0</v>
      </c>
      <c r="N313" s="150">
        <v>0</v>
      </c>
      <c r="O313" s="130">
        <v>0</v>
      </c>
      <c r="P313" s="130">
        <v>0</v>
      </c>
      <c r="Q313" s="130">
        <v>0</v>
      </c>
      <c r="R313" s="130">
        <v>0</v>
      </c>
      <c r="S313" s="130">
        <v>0</v>
      </c>
      <c r="T313" s="130">
        <v>0</v>
      </c>
      <c r="U313" s="130">
        <v>0</v>
      </c>
      <c r="V313" s="524">
        <v>0</v>
      </c>
      <c r="W313" s="130">
        <v>0</v>
      </c>
      <c r="X313" s="130">
        <v>0</v>
      </c>
      <c r="Y313" s="130">
        <v>0</v>
      </c>
      <c r="Z313" s="130">
        <v>0</v>
      </c>
      <c r="AA313" s="158" t="s">
        <v>2078</v>
      </c>
      <c r="AB313" s="159"/>
      <c r="AC313" s="159"/>
      <c r="AD313" s="159"/>
      <c r="AE313" s="158" t="b">
        <f>IF(AB313="",TRUE,IF(IF(AC313="",VLOOKUP(AB313,Calculs!$A$19:$S$425,19,FALSE),VLOOKUP(AC313,Calculs!$A$19:$S$425,19,FALSE))&gt;=AD313,TRUE,FALSE))</f>
        <v>1</v>
      </c>
      <c r="AF313" s="159"/>
      <c r="AG313" s="159"/>
      <c r="AH313" s="159"/>
      <c r="AI313" s="158" t="b">
        <f>IF(AF313="",TRUE,IF(IF(AG313="",VLOOKUP(AF313,Calculs!$A$19:$S$425,19,FALSE),VLOOKUP(AG313,Calculs!$A$19:$S$425,19,FALSE))&gt;=AH313,TRUE,FALSE))</f>
        <v>1</v>
      </c>
      <c r="AJ313" s="159"/>
      <c r="AK313" s="159"/>
      <c r="AL313" s="159"/>
      <c r="AM313" s="158" t="b">
        <f>IF(AJ313="",TRUE,IF(IF(AK313="",VLOOKUP(AJ313,Calculs!$A$19:$S$425,19,FALSE),VLOOKUP(AK313,Calculs!$A$19:$S$425,19,FALSE))&gt;=AL313,TRUE,FALSE))</f>
        <v>1</v>
      </c>
      <c r="AN313" s="159"/>
      <c r="AO313" s="159"/>
      <c r="AP313" s="159"/>
      <c r="AQ313" s="158" t="b">
        <f>IF(AN313="",TRUE,IF(IF(AO313="",VLOOKUP(AN313,Calculs!$A$19:$S$425,19,FALSE),VLOOKUP(AO313,Calculs!$A$19:$S$425,19,FALSE))&gt;=AP313,TRUE,FALSE))</f>
        <v>1</v>
      </c>
      <c r="AR313" s="158"/>
      <c r="AS313" s="158" t="b">
        <f>IF(AR313="",TRUE,IF(VLOOKUP(AR313,Calculs!$A$427:$G$738,7,FALSE)&gt;0,TRUE,FALSE))</f>
        <v>1</v>
      </c>
      <c r="AT313" s="158"/>
      <c r="AU313" s="158" t="b">
        <f>IF(AT313="",TRUE,IF(VLOOKUP(AT313,Calculs!$A$740:$G$912,7,FALSE)&gt;0,TRUE,FALSE))</f>
        <v>1</v>
      </c>
      <c r="AV313" s="158" t="b">
        <f t="shared" si="30"/>
        <v>1</v>
      </c>
      <c r="AW313" s="158" t="s">
        <v>2078</v>
      </c>
      <c r="AX313" s="162" t="s">
        <v>6816</v>
      </c>
      <c r="AY313" s="15">
        <v>35</v>
      </c>
      <c r="AZ313" s="555" t="s">
        <v>8282</v>
      </c>
      <c r="BA313" s="559">
        <f>IF(Verso!$B$10=Voies!$B313,1,0)</f>
        <v>0</v>
      </c>
      <c r="BB313" s="12">
        <f>IF(Verso!$B$11=Voies!$B313,1,0)</f>
        <v>0</v>
      </c>
      <c r="BC313" s="12">
        <f>IF(Verso!$B$12=Voies!$B313,1,0)</f>
        <v>0</v>
      </c>
      <c r="BD313" s="12">
        <f>IF(Verso!$B$13=Voies!$B313,1,0)</f>
        <v>0</v>
      </c>
      <c r="BE313" s="12">
        <f>IF(Verso!$B$14=Voies!$B313,1,0)</f>
        <v>0</v>
      </c>
      <c r="BF313" s="12">
        <f>IF(Verso!$B$15=Voies!$B313,1,0)</f>
        <v>0</v>
      </c>
      <c r="BG313" s="12">
        <f>IF(Verso!$B$16=Voies!$B313,1,0)</f>
        <v>0</v>
      </c>
      <c r="BH313" s="12">
        <f>IF(Verso!$B$17=Voies!$B313,1,0)</f>
        <v>0</v>
      </c>
      <c r="BI313" s="557">
        <f t="shared" si="31"/>
        <v>0</v>
      </c>
      <c r="BJ313" s="196" t="str">
        <f t="shared" si="32"/>
        <v/>
      </c>
      <c r="BK313" s="196" t="str">
        <f t="shared" si="33"/>
        <v/>
      </c>
      <c r="BL313" s="295" t="str">
        <f t="shared" si="34"/>
        <v/>
      </c>
      <c r="BM313" s="91"/>
    </row>
    <row r="314" spans="1:65" s="196" customFormat="1" ht="47.25" customHeight="1" x14ac:dyDescent="0.25">
      <c r="A314" s="162" t="str">
        <f>IF(AND(Réputation&gt;Voies!E314-1,OR(C314=TRUE,Calculs!$I$8&gt;0),Air&gt;Voies!J314-1,Eau&gt;Voies!K314-1,Feu&gt;Voies!L314-1,Terre&gt;Voies!M314-1,Vide&gt;Voies!N314-1,Constitution&gt;Voies!O314-1,Volonté&gt;Voies!P314-1,Force&gt;Voies!Q314-1,Perception&gt;Voies!R314-1,Reflexes&gt;Voies!S314-1,Agilité&gt;Voies!T314-1,Intuition&gt;Voies!U314-1,Intelligence&gt;Voies!V314-1,Souillure&gt;Voies!W314-1,Honneur&gt;X314-1,Statut&gt;Y314-1,Gloire&gt;Z314-1,AV314=TRUE),Voies!B314,"")</f>
        <v/>
      </c>
      <c r="B314" s="162" t="s">
        <v>8280</v>
      </c>
      <c r="C314" s="162" t="b">
        <f t="shared" si="36"/>
        <v>0</v>
      </c>
      <c r="D314" s="387" t="s">
        <v>8285</v>
      </c>
      <c r="E314" s="199">
        <v>4</v>
      </c>
      <c r="F314" s="199">
        <v>4</v>
      </c>
      <c r="G314" s="199" t="s">
        <v>2049</v>
      </c>
      <c r="H314" s="219" t="s">
        <v>8260</v>
      </c>
      <c r="I314" s="129" t="s">
        <v>3370</v>
      </c>
      <c r="J314" s="146">
        <v>0</v>
      </c>
      <c r="K314" s="147">
        <v>0</v>
      </c>
      <c r="L314" s="148">
        <v>0</v>
      </c>
      <c r="M314" s="149">
        <v>0</v>
      </c>
      <c r="N314" s="150">
        <v>0</v>
      </c>
      <c r="O314" s="130">
        <v>0</v>
      </c>
      <c r="P314" s="130">
        <v>0</v>
      </c>
      <c r="Q314" s="130">
        <v>0</v>
      </c>
      <c r="R314" s="130">
        <v>0</v>
      </c>
      <c r="S314" s="130">
        <v>0</v>
      </c>
      <c r="T314" s="130">
        <v>0</v>
      </c>
      <c r="U314" s="130">
        <v>0</v>
      </c>
      <c r="V314" s="524">
        <v>0</v>
      </c>
      <c r="W314" s="130">
        <v>0</v>
      </c>
      <c r="X314" s="130">
        <v>0</v>
      </c>
      <c r="Y314" s="130">
        <v>0</v>
      </c>
      <c r="Z314" s="130">
        <v>0</v>
      </c>
      <c r="AA314" s="158" t="s">
        <v>2078</v>
      </c>
      <c r="AB314" s="159"/>
      <c r="AC314" s="159"/>
      <c r="AD314" s="159"/>
      <c r="AE314" s="158" t="b">
        <f>IF(AB314="",TRUE,IF(IF(AC314="",VLOOKUP(AB314,Calculs!$A$19:$S$425,19,FALSE),VLOOKUP(AC314,Calculs!$A$19:$S$425,19,FALSE))&gt;=AD314,TRUE,FALSE))</f>
        <v>1</v>
      </c>
      <c r="AF314" s="159"/>
      <c r="AG314" s="159"/>
      <c r="AH314" s="159"/>
      <c r="AI314" s="158" t="b">
        <f>IF(AF314="",TRUE,IF(IF(AG314="",VLOOKUP(AF314,Calculs!$A$19:$S$425,19,FALSE),VLOOKUP(AG314,Calculs!$A$19:$S$425,19,FALSE))&gt;=AH314,TRUE,FALSE))</f>
        <v>1</v>
      </c>
      <c r="AJ314" s="159"/>
      <c r="AK314" s="159"/>
      <c r="AL314" s="159"/>
      <c r="AM314" s="158" t="b">
        <f>IF(AJ314="",TRUE,IF(IF(AK314="",VLOOKUP(AJ314,Calculs!$A$19:$S$425,19,FALSE),VLOOKUP(AK314,Calculs!$A$19:$S$425,19,FALSE))&gt;=AL314,TRUE,FALSE))</f>
        <v>1</v>
      </c>
      <c r="AN314" s="159"/>
      <c r="AO314" s="159"/>
      <c r="AP314" s="159"/>
      <c r="AQ314" s="158" t="b">
        <f>IF(AN314="",TRUE,IF(IF(AO314="",VLOOKUP(AN314,Calculs!$A$19:$S$425,19,FALSE),VLOOKUP(AO314,Calculs!$A$19:$S$425,19,FALSE))&gt;=AP314,TRUE,FALSE))</f>
        <v>1</v>
      </c>
      <c r="AR314" s="158"/>
      <c r="AS314" s="158" t="b">
        <f>IF(AR314="",TRUE,IF(VLOOKUP(AR314,Calculs!$A$427:$G$738,7,FALSE)&gt;0,TRUE,FALSE))</f>
        <v>1</v>
      </c>
      <c r="AT314" s="158"/>
      <c r="AU314" s="158" t="b">
        <f>IF(AT314="",TRUE,IF(VLOOKUP(AT314,Calculs!$A$740:$G$912,7,FALSE)&gt;0,TRUE,FALSE))</f>
        <v>1</v>
      </c>
      <c r="AV314" s="158" t="b">
        <f t="shared" si="30"/>
        <v>1</v>
      </c>
      <c r="AW314" s="158" t="s">
        <v>2078</v>
      </c>
      <c r="AX314" s="162" t="s">
        <v>6816</v>
      </c>
      <c r="AY314" s="15">
        <v>35</v>
      </c>
      <c r="AZ314" s="555" t="s">
        <v>8283</v>
      </c>
      <c r="BA314" s="559">
        <f>IF(Verso!$B$10=Voies!$B314,1,0)</f>
        <v>0</v>
      </c>
      <c r="BB314" s="12">
        <f>IF(Verso!$B$11=Voies!$B314,1,0)</f>
        <v>0</v>
      </c>
      <c r="BC314" s="12">
        <f>IF(Verso!$B$12=Voies!$B314,1,0)</f>
        <v>0</v>
      </c>
      <c r="BD314" s="12">
        <f>IF(Verso!$B$13=Voies!$B314,1,0)</f>
        <v>0</v>
      </c>
      <c r="BE314" s="12">
        <f>IF(Verso!$B$14=Voies!$B314,1,0)</f>
        <v>0</v>
      </c>
      <c r="BF314" s="12">
        <f>IF(Verso!$B$15=Voies!$B314,1,0)</f>
        <v>0</v>
      </c>
      <c r="BG314" s="12">
        <f>IF(Verso!$B$16=Voies!$B314,1,0)</f>
        <v>0</v>
      </c>
      <c r="BH314" s="12">
        <f>IF(Verso!$B$17=Voies!$B314,1,0)</f>
        <v>0</v>
      </c>
      <c r="BI314" s="557">
        <f t="shared" si="31"/>
        <v>0</v>
      </c>
      <c r="BJ314" s="196" t="str">
        <f t="shared" si="32"/>
        <v/>
      </c>
      <c r="BK314" s="196" t="str">
        <f t="shared" si="33"/>
        <v/>
      </c>
      <c r="BL314" s="295" t="str">
        <f t="shared" si="34"/>
        <v/>
      </c>
      <c r="BM314" s="91"/>
    </row>
    <row r="315" spans="1:65" s="196" customFormat="1" ht="47.25" customHeight="1" x14ac:dyDescent="0.25">
      <c r="A315" s="162" t="str">
        <f>IF(AND(Réputation&gt;Voies!E315-1,OR(C315=TRUE,Calculs!$I$8&gt;0),Air&gt;Voies!J315-1,Eau&gt;Voies!K315-1,Feu&gt;Voies!L315-1,Terre&gt;Voies!M315-1,Vide&gt;Voies!N315-1,Constitution&gt;Voies!O315-1,Volonté&gt;Voies!P315-1,Force&gt;Voies!Q315-1,Perception&gt;Voies!R315-1,Reflexes&gt;Voies!S315-1,Agilité&gt;Voies!T315-1,Intuition&gt;Voies!U315-1,Intelligence&gt;Voies!V315-1,Souillure&gt;Voies!W315-1,Honneur&gt;X315-1,Statut&gt;Y315-1,Gloire&gt;Z315-1,AV315=TRUE),Voies!B315,"")</f>
        <v/>
      </c>
      <c r="B315" s="162" t="s">
        <v>8287</v>
      </c>
      <c r="C315" s="162" t="b">
        <f t="shared" si="36"/>
        <v>0</v>
      </c>
      <c r="D315" s="387" t="s">
        <v>8285</v>
      </c>
      <c r="E315" s="199">
        <v>5</v>
      </c>
      <c r="F315" s="199">
        <v>5</v>
      </c>
      <c r="G315" s="199" t="s">
        <v>2049</v>
      </c>
      <c r="H315" s="219" t="s">
        <v>8260</v>
      </c>
      <c r="I315" s="129" t="s">
        <v>3370</v>
      </c>
      <c r="J315" s="146">
        <v>0</v>
      </c>
      <c r="K315" s="147">
        <v>0</v>
      </c>
      <c r="L315" s="148">
        <v>0</v>
      </c>
      <c r="M315" s="149">
        <v>0</v>
      </c>
      <c r="N315" s="150">
        <v>0</v>
      </c>
      <c r="O315" s="130">
        <v>0</v>
      </c>
      <c r="P315" s="130">
        <v>0</v>
      </c>
      <c r="Q315" s="130">
        <v>0</v>
      </c>
      <c r="R315" s="130">
        <v>0</v>
      </c>
      <c r="S315" s="130">
        <v>0</v>
      </c>
      <c r="T315" s="130">
        <v>0</v>
      </c>
      <c r="U315" s="130">
        <v>0</v>
      </c>
      <c r="V315" s="524">
        <v>0</v>
      </c>
      <c r="W315" s="130">
        <v>0</v>
      </c>
      <c r="X315" s="130">
        <v>0</v>
      </c>
      <c r="Y315" s="130">
        <v>0</v>
      </c>
      <c r="Z315" s="130">
        <v>0</v>
      </c>
      <c r="AA315" s="158" t="s">
        <v>2078</v>
      </c>
      <c r="AB315" s="159"/>
      <c r="AC315" s="159"/>
      <c r="AD315" s="159"/>
      <c r="AE315" s="158" t="b">
        <f>IF(AB315="",TRUE,IF(IF(AC315="",VLOOKUP(AB315,Calculs!$A$19:$S$425,19,FALSE),VLOOKUP(AC315,Calculs!$A$19:$S$425,19,FALSE))&gt;=AD315,TRUE,FALSE))</f>
        <v>1</v>
      </c>
      <c r="AF315" s="159"/>
      <c r="AG315" s="159"/>
      <c r="AH315" s="159"/>
      <c r="AI315" s="158" t="b">
        <f>IF(AF315="",TRUE,IF(IF(AG315="",VLOOKUP(AF315,Calculs!$A$19:$S$425,19,FALSE),VLOOKUP(AG315,Calculs!$A$19:$S$425,19,FALSE))&gt;=AH315,TRUE,FALSE))</f>
        <v>1</v>
      </c>
      <c r="AJ315" s="159"/>
      <c r="AK315" s="159"/>
      <c r="AL315" s="159"/>
      <c r="AM315" s="158" t="b">
        <f>IF(AJ315="",TRUE,IF(IF(AK315="",VLOOKUP(AJ315,Calculs!$A$19:$S$425,19,FALSE),VLOOKUP(AK315,Calculs!$A$19:$S$425,19,FALSE))&gt;=AL315,TRUE,FALSE))</f>
        <v>1</v>
      </c>
      <c r="AN315" s="159"/>
      <c r="AO315" s="159"/>
      <c r="AP315" s="159"/>
      <c r="AQ315" s="158" t="b">
        <f>IF(AN315="",TRUE,IF(IF(AO315="",VLOOKUP(AN315,Calculs!$A$19:$S$425,19,FALSE),VLOOKUP(AO315,Calculs!$A$19:$S$425,19,FALSE))&gt;=AP315,TRUE,FALSE))</f>
        <v>1</v>
      </c>
      <c r="AR315" s="158"/>
      <c r="AS315" s="158" t="b">
        <f>IF(AR315="",TRUE,IF(VLOOKUP(AR315,Calculs!$A$427:$G$738,7,FALSE)&gt;0,TRUE,FALSE))</f>
        <v>1</v>
      </c>
      <c r="AT315" s="158"/>
      <c r="AU315" s="158" t="b">
        <f>IF(AT315="",TRUE,IF(VLOOKUP(AT315,Calculs!$A$740:$G$912,7,FALSE)&gt;0,TRUE,FALSE))</f>
        <v>1</v>
      </c>
      <c r="AV315" s="158" t="b">
        <f t="shared" si="30"/>
        <v>1</v>
      </c>
      <c r="AW315" s="158" t="s">
        <v>2078</v>
      </c>
      <c r="AX315" s="162" t="s">
        <v>6816</v>
      </c>
      <c r="AY315" s="15">
        <v>35</v>
      </c>
      <c r="AZ315" s="555" t="str">
        <f>CONCATENATE("Quand un ennemi manque une attaque de mêlée contre vous pendant que vous êtes en posture de Défense, vous pouvez immédiatement dépenser un PVide pour lui infliger ",Terre,"g1, dégâts qui ignorent toute réduction.")</f>
        <v>Quand un ennemi manque une attaque de mêlée contre vous pendant que vous êtes en posture de Défense, vous pouvez immédiatement dépenser un PVide pour lui infliger 2g1, dégâts qui ignorent toute réduction.</v>
      </c>
      <c r="BA315" s="559">
        <f>IF(Verso!$B$10=Voies!$B315,1,0)</f>
        <v>0</v>
      </c>
      <c r="BB315" s="12">
        <f>IF(Verso!$B$11=Voies!$B315,1,0)</f>
        <v>0</v>
      </c>
      <c r="BC315" s="12">
        <f>IF(Verso!$B$12=Voies!$B315,1,0)</f>
        <v>0</v>
      </c>
      <c r="BD315" s="12">
        <f>IF(Verso!$B$13=Voies!$B315,1,0)</f>
        <v>0</v>
      </c>
      <c r="BE315" s="12">
        <f>IF(Verso!$B$14=Voies!$B315,1,0)</f>
        <v>0</v>
      </c>
      <c r="BF315" s="12">
        <f>IF(Verso!$B$15=Voies!$B315,1,0)</f>
        <v>0</v>
      </c>
      <c r="BG315" s="12">
        <f>IF(Verso!$B$16=Voies!$B315,1,0)</f>
        <v>0</v>
      </c>
      <c r="BH315" s="12">
        <f>IF(Verso!$B$17=Voies!$B315,1,0)</f>
        <v>0</v>
      </c>
      <c r="BI315" s="557">
        <f t="shared" si="31"/>
        <v>0</v>
      </c>
      <c r="BJ315" s="196" t="str">
        <f t="shared" si="32"/>
        <v/>
      </c>
      <c r="BK315" s="196" t="str">
        <f t="shared" si="33"/>
        <v/>
      </c>
      <c r="BL315" s="295" t="str">
        <f t="shared" si="34"/>
        <v/>
      </c>
      <c r="BM315" s="91"/>
    </row>
    <row r="316" spans="1:65" s="196" customFormat="1" ht="47.25" customHeight="1" x14ac:dyDescent="0.25">
      <c r="A316" s="162" t="str">
        <f>IF(AND(Réputation&gt;Voies!E316-1,OR(C316=TRUE,Calculs!$I$8&gt;0),Air&gt;Voies!J316-1,Eau&gt;Voies!K316-1,Feu&gt;Voies!L316-1,Terre&gt;Voies!M316-1,Vide&gt;Voies!N316-1,Constitution&gt;Voies!O316-1,Volonté&gt;Voies!P316-1,Force&gt;Voies!Q316-1,Perception&gt;Voies!R316-1,Reflexes&gt;Voies!S316-1,Agilité&gt;Voies!T316-1,Intuition&gt;Voies!U316-1,Intelligence&gt;Voies!V316-1,Souillure&gt;Voies!W316-1,Honneur&gt;X316-1,Statut&gt;Y316-1,Gloire&gt;Z316-1,AV316=TRUE),Voies!B316,"")</f>
        <v/>
      </c>
      <c r="B316" s="162" t="s">
        <v>8330</v>
      </c>
      <c r="C316" s="162" t="b">
        <f t="shared" si="36"/>
        <v>0</v>
      </c>
      <c r="D316" s="387" t="s">
        <v>7733</v>
      </c>
      <c r="E316" s="199">
        <v>1</v>
      </c>
      <c r="F316" s="199">
        <v>1</v>
      </c>
      <c r="G316" s="199" t="s">
        <v>2049</v>
      </c>
      <c r="H316" s="219" t="s">
        <v>8327</v>
      </c>
      <c r="I316" s="129" t="s">
        <v>3370</v>
      </c>
      <c r="J316" s="146">
        <v>0</v>
      </c>
      <c r="K316" s="147">
        <v>0</v>
      </c>
      <c r="L316" s="148">
        <v>0</v>
      </c>
      <c r="M316" s="149">
        <v>0</v>
      </c>
      <c r="N316" s="150">
        <v>0</v>
      </c>
      <c r="O316" s="130">
        <v>0</v>
      </c>
      <c r="P316" s="130">
        <v>0</v>
      </c>
      <c r="Q316" s="130">
        <v>0</v>
      </c>
      <c r="R316" s="130">
        <v>0</v>
      </c>
      <c r="S316" s="130">
        <v>0</v>
      </c>
      <c r="T316" s="130">
        <v>0</v>
      </c>
      <c r="U316" s="130">
        <v>0</v>
      </c>
      <c r="V316" s="524">
        <v>0</v>
      </c>
      <c r="W316" s="130">
        <v>0</v>
      </c>
      <c r="X316" s="130">
        <v>0</v>
      </c>
      <c r="Y316" s="130">
        <v>0</v>
      </c>
      <c r="Z316" s="130">
        <v>0</v>
      </c>
      <c r="AA316" s="158" t="s">
        <v>2078</v>
      </c>
      <c r="AB316" s="159"/>
      <c r="AC316" s="159"/>
      <c r="AD316" s="159"/>
      <c r="AE316" s="158" t="b">
        <f>IF(AB316="",TRUE,IF(IF(AC316="",VLOOKUP(AB316,Calculs!$A$19:$S$425,19,FALSE),VLOOKUP(AC316,Calculs!$A$19:$S$425,19,FALSE))&gt;=AD316,TRUE,FALSE))</f>
        <v>1</v>
      </c>
      <c r="AF316" s="159"/>
      <c r="AG316" s="159"/>
      <c r="AH316" s="159"/>
      <c r="AI316" s="158" t="b">
        <f>IF(AF316="",TRUE,IF(IF(AG316="",VLOOKUP(AF316,Calculs!$A$19:$S$425,19,FALSE),VLOOKUP(AG316,Calculs!$A$19:$S$425,19,FALSE))&gt;=AH316,TRUE,FALSE))</f>
        <v>1</v>
      </c>
      <c r="AJ316" s="159"/>
      <c r="AK316" s="159"/>
      <c r="AL316" s="159"/>
      <c r="AM316" s="158" t="b">
        <f>IF(AJ316="",TRUE,IF(IF(AK316="",VLOOKUP(AJ316,Calculs!$A$19:$S$425,19,FALSE),VLOOKUP(AK316,Calculs!$A$19:$S$425,19,FALSE))&gt;=AL316,TRUE,FALSE))</f>
        <v>1</v>
      </c>
      <c r="AN316" s="159"/>
      <c r="AO316" s="159"/>
      <c r="AP316" s="159"/>
      <c r="AQ316" s="158" t="b">
        <f>IF(AN316="",TRUE,IF(IF(AO316="",VLOOKUP(AN316,Calculs!$A$19:$S$425,19,FALSE),VLOOKUP(AO316,Calculs!$A$19:$S$425,19,FALSE))&gt;=AP316,TRUE,FALSE))</f>
        <v>1</v>
      </c>
      <c r="AR316" s="158"/>
      <c r="AS316" s="158" t="b">
        <f>IF(AR316="",TRUE,IF(VLOOKUP(AR316,Calculs!$A$427:$G$738,7,FALSE)&gt;0,TRUE,FALSE))</f>
        <v>1</v>
      </c>
      <c r="AT316" s="158"/>
      <c r="AU316" s="158" t="b">
        <f>IF(AT316="",TRUE,IF(VLOOKUP(AT316,Calculs!$A$740:$G$912,7,FALSE)&gt;0,TRUE,FALSE))</f>
        <v>1</v>
      </c>
      <c r="AV316" s="158" t="b">
        <f t="shared" si="30"/>
        <v>1</v>
      </c>
      <c r="AW316" s="158" t="s">
        <v>2078</v>
      </c>
      <c r="AX316" s="162" t="s">
        <v>6816</v>
      </c>
      <c r="AY316" s="15">
        <v>103</v>
      </c>
      <c r="AZ316" s="555" t="s">
        <v>8335</v>
      </c>
      <c r="BA316" s="559">
        <f>IF(Verso!$B$10=Voies!$B316,1,0)</f>
        <v>0</v>
      </c>
      <c r="BB316" s="12">
        <f>IF(Verso!$B$11=Voies!$B316,1,0)</f>
        <v>0</v>
      </c>
      <c r="BC316" s="12">
        <f>IF(Verso!$B$12=Voies!$B316,1,0)</f>
        <v>0</v>
      </c>
      <c r="BD316" s="12">
        <f>IF(Verso!$B$13=Voies!$B316,1,0)</f>
        <v>0</v>
      </c>
      <c r="BE316" s="12">
        <f>IF(Verso!$B$14=Voies!$B316,1,0)</f>
        <v>0</v>
      </c>
      <c r="BF316" s="12">
        <f>IF(Verso!$B$15=Voies!$B316,1,0)</f>
        <v>0</v>
      </c>
      <c r="BG316" s="12">
        <f>IF(Verso!$B$16=Voies!$B316,1,0)</f>
        <v>0</v>
      </c>
      <c r="BH316" s="12">
        <f>IF(Verso!$B$17=Voies!$B316,1,0)</f>
        <v>0</v>
      </c>
      <c r="BI316" s="557">
        <f t="shared" si="31"/>
        <v>0</v>
      </c>
      <c r="BJ316" s="196" t="str">
        <f t="shared" si="32"/>
        <v/>
      </c>
      <c r="BK316" s="196" t="str">
        <f t="shared" si="33"/>
        <v/>
      </c>
      <c r="BL316" s="295" t="str">
        <f t="shared" si="34"/>
        <v/>
      </c>
      <c r="BM316" s="91"/>
    </row>
    <row r="317" spans="1:65" s="196" customFormat="1" ht="47.25" customHeight="1" x14ac:dyDescent="0.25">
      <c r="A317" s="162" t="str">
        <f>IF(AND(Réputation&gt;Voies!E317-1,OR(C317=TRUE,Calculs!$I$8&gt;0),Air&gt;Voies!J317-1,Eau&gt;Voies!K317-1,Feu&gt;Voies!L317-1,Terre&gt;Voies!M317-1,Vide&gt;Voies!N317-1,Constitution&gt;Voies!O317-1,Volonté&gt;Voies!P317-1,Force&gt;Voies!Q317-1,Perception&gt;Voies!R317-1,Reflexes&gt;Voies!S317-1,Agilité&gt;Voies!T317-1,Intuition&gt;Voies!U317-1,Intelligence&gt;Voies!V317-1,Souillure&gt;Voies!W317-1,Honneur&gt;X317-1,Statut&gt;Y317-1,Gloire&gt;Z317-1,AV317=TRUE),Voies!B317,"")</f>
        <v/>
      </c>
      <c r="B317" s="162" t="s">
        <v>8331</v>
      </c>
      <c r="C317" s="162" t="b">
        <f t="shared" si="36"/>
        <v>0</v>
      </c>
      <c r="D317" s="387" t="s">
        <v>7733</v>
      </c>
      <c r="E317" s="199">
        <v>2</v>
      </c>
      <c r="F317" s="199">
        <v>2</v>
      </c>
      <c r="G317" s="199" t="s">
        <v>2049</v>
      </c>
      <c r="H317" s="219" t="s">
        <v>8327</v>
      </c>
      <c r="I317" s="129" t="s">
        <v>3370</v>
      </c>
      <c r="J317" s="146">
        <v>0</v>
      </c>
      <c r="K317" s="147">
        <v>0</v>
      </c>
      <c r="L317" s="148">
        <v>0</v>
      </c>
      <c r="M317" s="149">
        <v>0</v>
      </c>
      <c r="N317" s="150">
        <v>0</v>
      </c>
      <c r="O317" s="130">
        <v>0</v>
      </c>
      <c r="P317" s="130">
        <v>0</v>
      </c>
      <c r="Q317" s="130">
        <v>0</v>
      </c>
      <c r="R317" s="130">
        <v>0</v>
      </c>
      <c r="S317" s="130">
        <v>0</v>
      </c>
      <c r="T317" s="130">
        <v>0</v>
      </c>
      <c r="U317" s="130">
        <v>0</v>
      </c>
      <c r="V317" s="524">
        <v>0</v>
      </c>
      <c r="W317" s="130">
        <v>0</v>
      </c>
      <c r="X317" s="130">
        <v>0</v>
      </c>
      <c r="Y317" s="130">
        <v>0</v>
      </c>
      <c r="Z317" s="130">
        <v>0</v>
      </c>
      <c r="AA317" s="158" t="s">
        <v>2078</v>
      </c>
      <c r="AB317" s="159"/>
      <c r="AC317" s="159"/>
      <c r="AD317" s="159"/>
      <c r="AE317" s="158" t="b">
        <f>IF(AB317="",TRUE,IF(IF(AC317="",VLOOKUP(AB317,Calculs!$A$19:$S$425,19,FALSE),VLOOKUP(AC317,Calculs!$A$19:$S$425,19,FALSE))&gt;=AD317,TRUE,FALSE))</f>
        <v>1</v>
      </c>
      <c r="AF317" s="159"/>
      <c r="AG317" s="159"/>
      <c r="AH317" s="159"/>
      <c r="AI317" s="158" t="b">
        <f>IF(AF317="",TRUE,IF(IF(AG317="",VLOOKUP(AF317,Calculs!$A$19:$S$425,19,FALSE),VLOOKUP(AG317,Calculs!$A$19:$S$425,19,FALSE))&gt;=AH317,TRUE,FALSE))</f>
        <v>1</v>
      </c>
      <c r="AJ317" s="159"/>
      <c r="AK317" s="159"/>
      <c r="AL317" s="159"/>
      <c r="AM317" s="158" t="b">
        <f>IF(AJ317="",TRUE,IF(IF(AK317="",VLOOKUP(AJ317,Calculs!$A$19:$S$425,19,FALSE),VLOOKUP(AK317,Calculs!$A$19:$S$425,19,FALSE))&gt;=AL317,TRUE,FALSE))</f>
        <v>1</v>
      </c>
      <c r="AN317" s="159"/>
      <c r="AO317" s="159"/>
      <c r="AP317" s="159"/>
      <c r="AQ317" s="158" t="b">
        <f>IF(AN317="",TRUE,IF(IF(AO317="",VLOOKUP(AN317,Calculs!$A$19:$S$425,19,FALSE),VLOOKUP(AO317,Calculs!$A$19:$S$425,19,FALSE))&gt;=AP317,TRUE,FALSE))</f>
        <v>1</v>
      </c>
      <c r="AR317" s="158"/>
      <c r="AS317" s="158" t="b">
        <f>IF(AR317="",TRUE,IF(VLOOKUP(AR317,Calculs!$A$427:$G$738,7,FALSE)&gt;0,TRUE,FALSE))</f>
        <v>1</v>
      </c>
      <c r="AT317" s="158"/>
      <c r="AU317" s="158" t="b">
        <f>IF(AT317="",TRUE,IF(VLOOKUP(AT317,Calculs!$A$740:$G$912,7,FALSE)&gt;0,TRUE,FALSE))</f>
        <v>1</v>
      </c>
      <c r="AV317" s="158" t="b">
        <f t="shared" si="30"/>
        <v>1</v>
      </c>
      <c r="AW317" s="158" t="s">
        <v>2078</v>
      </c>
      <c r="AX317" s="162" t="s">
        <v>6816</v>
      </c>
      <c r="AY317" s="15">
        <v>103</v>
      </c>
      <c r="AZ317" s="555" t="s">
        <v>8545</v>
      </c>
      <c r="BA317" s="559">
        <f>IF(Verso!$B$10=Voies!$B317,1,0)</f>
        <v>0</v>
      </c>
      <c r="BB317" s="12">
        <f>IF(Verso!$B$11=Voies!$B317,1,0)</f>
        <v>0</v>
      </c>
      <c r="BC317" s="12">
        <f>IF(Verso!$B$12=Voies!$B317,1,0)</f>
        <v>0</v>
      </c>
      <c r="BD317" s="12">
        <f>IF(Verso!$B$13=Voies!$B317,1,0)</f>
        <v>0</v>
      </c>
      <c r="BE317" s="12">
        <f>IF(Verso!$B$14=Voies!$B317,1,0)</f>
        <v>0</v>
      </c>
      <c r="BF317" s="12">
        <f>IF(Verso!$B$15=Voies!$B317,1,0)</f>
        <v>0</v>
      </c>
      <c r="BG317" s="12">
        <f>IF(Verso!$B$16=Voies!$B317,1,0)</f>
        <v>0</v>
      </c>
      <c r="BH317" s="12">
        <f>IF(Verso!$B$17=Voies!$B317,1,0)</f>
        <v>0</v>
      </c>
      <c r="BI317" s="557">
        <f t="shared" si="31"/>
        <v>0</v>
      </c>
      <c r="BJ317" s="196" t="str">
        <f t="shared" si="32"/>
        <v/>
      </c>
      <c r="BK317" s="196" t="str">
        <f t="shared" si="33"/>
        <v/>
      </c>
      <c r="BL317" s="295" t="str">
        <f t="shared" si="34"/>
        <v/>
      </c>
      <c r="BM317" s="91"/>
    </row>
    <row r="318" spans="1:65" s="196" customFormat="1" ht="47.25" customHeight="1" x14ac:dyDescent="0.25">
      <c r="A318" s="162" t="str">
        <f>IF(AND(Réputation&gt;Voies!E318-1,OR(C318=TRUE,Calculs!$I$8&gt;0),Air&gt;Voies!J318-1,Eau&gt;Voies!K318-1,Feu&gt;Voies!L318-1,Terre&gt;Voies!M318-1,Vide&gt;Voies!N318-1,Constitution&gt;Voies!O318-1,Volonté&gt;Voies!P318-1,Force&gt;Voies!Q318-1,Perception&gt;Voies!R318-1,Reflexes&gt;Voies!S318-1,Agilité&gt;Voies!T318-1,Intuition&gt;Voies!U318-1,Intelligence&gt;Voies!V318-1,Souillure&gt;Voies!W318-1,Honneur&gt;X318-1,Statut&gt;Y318-1,Gloire&gt;Z318-1,AV318=TRUE),Voies!B318,"")</f>
        <v/>
      </c>
      <c r="B318" s="162" t="s">
        <v>8336</v>
      </c>
      <c r="C318" s="162" t="b">
        <f t="shared" si="36"/>
        <v>0</v>
      </c>
      <c r="D318" s="387" t="s">
        <v>7733</v>
      </c>
      <c r="E318" s="199">
        <v>3</v>
      </c>
      <c r="F318" s="199">
        <v>3</v>
      </c>
      <c r="G318" s="199" t="s">
        <v>2049</v>
      </c>
      <c r="H318" s="219" t="s">
        <v>8327</v>
      </c>
      <c r="I318" s="129" t="s">
        <v>3370</v>
      </c>
      <c r="J318" s="146">
        <v>0</v>
      </c>
      <c r="K318" s="147">
        <v>0</v>
      </c>
      <c r="L318" s="148">
        <v>0</v>
      </c>
      <c r="M318" s="149">
        <v>0</v>
      </c>
      <c r="N318" s="150">
        <v>0</v>
      </c>
      <c r="O318" s="130">
        <v>0</v>
      </c>
      <c r="P318" s="130">
        <v>0</v>
      </c>
      <c r="Q318" s="130">
        <v>0</v>
      </c>
      <c r="R318" s="130">
        <v>0</v>
      </c>
      <c r="S318" s="130">
        <v>0</v>
      </c>
      <c r="T318" s="130">
        <v>0</v>
      </c>
      <c r="U318" s="130">
        <v>0</v>
      </c>
      <c r="V318" s="524">
        <v>0</v>
      </c>
      <c r="W318" s="130">
        <v>0</v>
      </c>
      <c r="X318" s="130">
        <v>0</v>
      </c>
      <c r="Y318" s="130">
        <v>0</v>
      </c>
      <c r="Z318" s="130">
        <v>0</v>
      </c>
      <c r="AA318" s="158" t="s">
        <v>2078</v>
      </c>
      <c r="AB318" s="159"/>
      <c r="AC318" s="159"/>
      <c r="AD318" s="159"/>
      <c r="AE318" s="158" t="b">
        <f>IF(AB318="",TRUE,IF(IF(AC318="",VLOOKUP(AB318,Calculs!$A$19:$S$425,19,FALSE),VLOOKUP(AC318,Calculs!$A$19:$S$425,19,FALSE))&gt;=AD318,TRUE,FALSE))</f>
        <v>1</v>
      </c>
      <c r="AF318" s="159"/>
      <c r="AG318" s="159"/>
      <c r="AH318" s="159"/>
      <c r="AI318" s="158" t="b">
        <f>IF(AF318="",TRUE,IF(IF(AG318="",VLOOKUP(AF318,Calculs!$A$19:$S$425,19,FALSE),VLOOKUP(AG318,Calculs!$A$19:$S$425,19,FALSE))&gt;=AH318,TRUE,FALSE))</f>
        <v>1</v>
      </c>
      <c r="AJ318" s="159"/>
      <c r="AK318" s="159"/>
      <c r="AL318" s="159"/>
      <c r="AM318" s="158" t="b">
        <f>IF(AJ318="",TRUE,IF(IF(AK318="",VLOOKUP(AJ318,Calculs!$A$19:$S$425,19,FALSE),VLOOKUP(AK318,Calculs!$A$19:$S$425,19,FALSE))&gt;=AL318,TRUE,FALSE))</f>
        <v>1</v>
      </c>
      <c r="AN318" s="159"/>
      <c r="AO318" s="159"/>
      <c r="AP318" s="159"/>
      <c r="AQ318" s="158" t="b">
        <f>IF(AN318="",TRUE,IF(IF(AO318="",VLOOKUP(AN318,Calculs!$A$19:$S$425,19,FALSE),VLOOKUP(AO318,Calculs!$A$19:$S$425,19,FALSE))&gt;=AP318,TRUE,FALSE))</f>
        <v>1</v>
      </c>
      <c r="AR318" s="158"/>
      <c r="AS318" s="158" t="b">
        <f>IF(AR318="",TRUE,IF(VLOOKUP(AR318,Calculs!$A$427:$G$738,7,FALSE)&gt;0,TRUE,FALSE))</f>
        <v>1</v>
      </c>
      <c r="AT318" s="158"/>
      <c r="AU318" s="158" t="b">
        <f>IF(AT318="",TRUE,IF(VLOOKUP(AT318,Calculs!$A$740:$G$912,7,FALSE)&gt;0,TRUE,FALSE))</f>
        <v>1</v>
      </c>
      <c r="AV318" s="158" t="b">
        <f t="shared" si="30"/>
        <v>1</v>
      </c>
      <c r="AW318" s="158" t="s">
        <v>2078</v>
      </c>
      <c r="AX318" s="162" t="s">
        <v>6816</v>
      </c>
      <c r="AY318" s="15">
        <v>103</v>
      </c>
      <c r="AZ318" s="555" t="s">
        <v>8337</v>
      </c>
      <c r="BA318" s="559">
        <f>IF(Verso!$B$10=Voies!$B318,1,0)</f>
        <v>0</v>
      </c>
      <c r="BB318" s="12">
        <f>IF(Verso!$B$11=Voies!$B318,1,0)</f>
        <v>0</v>
      </c>
      <c r="BC318" s="12">
        <f>IF(Verso!$B$12=Voies!$B318,1,0)</f>
        <v>0</v>
      </c>
      <c r="BD318" s="12">
        <f>IF(Verso!$B$13=Voies!$B318,1,0)</f>
        <v>0</v>
      </c>
      <c r="BE318" s="12">
        <f>IF(Verso!$B$14=Voies!$B318,1,0)</f>
        <v>0</v>
      </c>
      <c r="BF318" s="12">
        <f>IF(Verso!$B$15=Voies!$B318,1,0)</f>
        <v>0</v>
      </c>
      <c r="BG318" s="12">
        <f>IF(Verso!$B$16=Voies!$B318,1,0)</f>
        <v>0</v>
      </c>
      <c r="BH318" s="12">
        <f>IF(Verso!$B$17=Voies!$B318,1,0)</f>
        <v>0</v>
      </c>
      <c r="BI318" s="557">
        <f t="shared" si="31"/>
        <v>0</v>
      </c>
      <c r="BJ318" s="196" t="str">
        <f t="shared" si="32"/>
        <v/>
      </c>
      <c r="BK318" s="196" t="str">
        <f t="shared" si="33"/>
        <v/>
      </c>
      <c r="BL318" s="295" t="str">
        <f t="shared" si="34"/>
        <v/>
      </c>
      <c r="BM318" s="91"/>
    </row>
    <row r="319" spans="1:65" s="196" customFormat="1" ht="47.25" customHeight="1" x14ac:dyDescent="0.25">
      <c r="A319" s="162" t="str">
        <f>IF(AND(Réputation&gt;Voies!E319-1,OR(C319=TRUE,Calculs!$I$8&gt;0),Air&gt;Voies!J319-1,Eau&gt;Voies!K319-1,Feu&gt;Voies!L319-1,Terre&gt;Voies!M319-1,Vide&gt;Voies!N319-1,Constitution&gt;Voies!O319-1,Volonté&gt;Voies!P319-1,Force&gt;Voies!Q319-1,Perception&gt;Voies!R319-1,Reflexes&gt;Voies!S319-1,Agilité&gt;Voies!T319-1,Intuition&gt;Voies!U319-1,Intelligence&gt;Voies!V319-1,Souillure&gt;Voies!W319-1,Honneur&gt;X319-1,Statut&gt;Y319-1,Gloire&gt;Z319-1,AV319=TRUE),Voies!B319,"")</f>
        <v/>
      </c>
      <c r="B319" s="162" t="s">
        <v>8332</v>
      </c>
      <c r="C319" s="162" t="b">
        <f t="shared" si="36"/>
        <v>0</v>
      </c>
      <c r="D319" s="387" t="s">
        <v>7733</v>
      </c>
      <c r="E319" s="199">
        <v>4</v>
      </c>
      <c r="F319" s="199">
        <v>4</v>
      </c>
      <c r="G319" s="199" t="s">
        <v>2049</v>
      </c>
      <c r="H319" s="219" t="s">
        <v>8327</v>
      </c>
      <c r="I319" s="129" t="s">
        <v>3370</v>
      </c>
      <c r="J319" s="146">
        <v>0</v>
      </c>
      <c r="K319" s="147">
        <v>0</v>
      </c>
      <c r="L319" s="148">
        <v>0</v>
      </c>
      <c r="M319" s="149">
        <v>0</v>
      </c>
      <c r="N319" s="150">
        <v>0</v>
      </c>
      <c r="O319" s="130">
        <v>0</v>
      </c>
      <c r="P319" s="130">
        <v>0</v>
      </c>
      <c r="Q319" s="130">
        <v>0</v>
      </c>
      <c r="R319" s="130">
        <v>0</v>
      </c>
      <c r="S319" s="130">
        <v>0</v>
      </c>
      <c r="T319" s="130">
        <v>0</v>
      </c>
      <c r="U319" s="130">
        <v>0</v>
      </c>
      <c r="V319" s="524">
        <v>0</v>
      </c>
      <c r="W319" s="130">
        <v>0</v>
      </c>
      <c r="X319" s="130">
        <v>0</v>
      </c>
      <c r="Y319" s="130">
        <v>0</v>
      </c>
      <c r="Z319" s="130">
        <v>0</v>
      </c>
      <c r="AA319" s="158" t="s">
        <v>2078</v>
      </c>
      <c r="AB319" s="159"/>
      <c r="AC319" s="159"/>
      <c r="AD319" s="159"/>
      <c r="AE319" s="158" t="b">
        <f>IF(AB319="",TRUE,IF(IF(AC319="",VLOOKUP(AB319,Calculs!$A$19:$S$425,19,FALSE),VLOOKUP(AC319,Calculs!$A$19:$S$425,19,FALSE))&gt;=AD319,TRUE,FALSE))</f>
        <v>1</v>
      </c>
      <c r="AF319" s="159"/>
      <c r="AG319" s="159"/>
      <c r="AH319" s="159"/>
      <c r="AI319" s="158" t="b">
        <f>IF(AF319="",TRUE,IF(IF(AG319="",VLOOKUP(AF319,Calculs!$A$19:$S$425,19,FALSE),VLOOKUP(AG319,Calculs!$A$19:$S$425,19,FALSE))&gt;=AH319,TRUE,FALSE))</f>
        <v>1</v>
      </c>
      <c r="AJ319" s="159"/>
      <c r="AK319" s="159"/>
      <c r="AL319" s="159"/>
      <c r="AM319" s="158" t="b">
        <f>IF(AJ319="",TRUE,IF(IF(AK319="",VLOOKUP(AJ319,Calculs!$A$19:$S$425,19,FALSE),VLOOKUP(AK319,Calculs!$A$19:$S$425,19,FALSE))&gt;=AL319,TRUE,FALSE))</f>
        <v>1</v>
      </c>
      <c r="AN319" s="159"/>
      <c r="AO319" s="159"/>
      <c r="AP319" s="159"/>
      <c r="AQ319" s="158" t="b">
        <f>IF(AN319="",TRUE,IF(IF(AO319="",VLOOKUP(AN319,Calculs!$A$19:$S$425,19,FALSE),VLOOKUP(AO319,Calculs!$A$19:$S$425,19,FALSE))&gt;=AP319,TRUE,FALSE))</f>
        <v>1</v>
      </c>
      <c r="AR319" s="158"/>
      <c r="AS319" s="158" t="b">
        <f>IF(AR319="",TRUE,IF(VLOOKUP(AR319,Calculs!$A$427:$G$738,7,FALSE)&gt;0,TRUE,FALSE))</f>
        <v>1</v>
      </c>
      <c r="AT319" s="158"/>
      <c r="AU319" s="158" t="b">
        <f>IF(AT319="",TRUE,IF(VLOOKUP(AT319,Calculs!$A$740:$G$912,7,FALSE)&gt;0,TRUE,FALSE))</f>
        <v>1</v>
      </c>
      <c r="AV319" s="158" t="b">
        <f t="shared" si="30"/>
        <v>1</v>
      </c>
      <c r="AW319" s="158" t="s">
        <v>2078</v>
      </c>
      <c r="AX319" s="162" t="s">
        <v>6816</v>
      </c>
      <c r="AY319" s="15">
        <v>103</v>
      </c>
      <c r="AZ319" s="555" t="s">
        <v>8338</v>
      </c>
      <c r="BA319" s="559">
        <f>IF(Verso!$B$10=Voies!$B319,1,0)</f>
        <v>0</v>
      </c>
      <c r="BB319" s="12">
        <f>IF(Verso!$B$11=Voies!$B319,1,0)</f>
        <v>0</v>
      </c>
      <c r="BC319" s="12">
        <f>IF(Verso!$B$12=Voies!$B319,1,0)</f>
        <v>0</v>
      </c>
      <c r="BD319" s="12">
        <f>IF(Verso!$B$13=Voies!$B319,1,0)</f>
        <v>0</v>
      </c>
      <c r="BE319" s="12">
        <f>IF(Verso!$B$14=Voies!$B319,1,0)</f>
        <v>0</v>
      </c>
      <c r="BF319" s="12">
        <f>IF(Verso!$B$15=Voies!$B319,1,0)</f>
        <v>0</v>
      </c>
      <c r="BG319" s="12">
        <f>IF(Verso!$B$16=Voies!$B319,1,0)</f>
        <v>0</v>
      </c>
      <c r="BH319" s="12">
        <f>IF(Verso!$B$17=Voies!$B319,1,0)</f>
        <v>0</v>
      </c>
      <c r="BI319" s="557">
        <f t="shared" si="31"/>
        <v>0</v>
      </c>
      <c r="BJ319" s="196" t="str">
        <f t="shared" si="32"/>
        <v/>
      </c>
      <c r="BK319" s="196" t="str">
        <f t="shared" si="33"/>
        <v/>
      </c>
      <c r="BL319" s="295" t="str">
        <f t="shared" si="34"/>
        <v/>
      </c>
      <c r="BM319" s="91"/>
    </row>
    <row r="320" spans="1:65" s="196" customFormat="1" ht="47.25" customHeight="1" x14ac:dyDescent="0.25">
      <c r="A320" s="162" t="str">
        <f>IF(AND(Réputation&gt;Voies!E320-1,OR(C320=TRUE,Calculs!$I$8&gt;0),Air&gt;Voies!J320-1,Eau&gt;Voies!K320-1,Feu&gt;Voies!L320-1,Terre&gt;Voies!M320-1,Vide&gt;Voies!N320-1,Constitution&gt;Voies!O320-1,Volonté&gt;Voies!P320-1,Force&gt;Voies!Q320-1,Perception&gt;Voies!R320-1,Reflexes&gt;Voies!S320-1,Agilité&gt;Voies!T320-1,Intuition&gt;Voies!U320-1,Intelligence&gt;Voies!V320-1,Souillure&gt;Voies!W320-1,Honneur&gt;X320-1,Statut&gt;Y320-1,Gloire&gt;Z320-1,AV320=TRUE),Voies!B320,"")</f>
        <v/>
      </c>
      <c r="B320" s="162" t="s">
        <v>8333</v>
      </c>
      <c r="C320" s="162" t="b">
        <f t="shared" si="36"/>
        <v>0</v>
      </c>
      <c r="D320" s="387" t="s">
        <v>7733</v>
      </c>
      <c r="E320" s="199">
        <v>5</v>
      </c>
      <c r="F320" s="199">
        <v>5</v>
      </c>
      <c r="G320" s="199" t="s">
        <v>2049</v>
      </c>
      <c r="H320" s="219" t="s">
        <v>8327</v>
      </c>
      <c r="I320" s="129" t="s">
        <v>3370</v>
      </c>
      <c r="J320" s="146">
        <v>0</v>
      </c>
      <c r="K320" s="147">
        <v>0</v>
      </c>
      <c r="L320" s="148">
        <v>0</v>
      </c>
      <c r="M320" s="149">
        <v>0</v>
      </c>
      <c r="N320" s="150">
        <v>0</v>
      </c>
      <c r="O320" s="130">
        <v>0</v>
      </c>
      <c r="P320" s="130">
        <v>0</v>
      </c>
      <c r="Q320" s="130">
        <v>0</v>
      </c>
      <c r="R320" s="130">
        <v>0</v>
      </c>
      <c r="S320" s="130">
        <v>0</v>
      </c>
      <c r="T320" s="130">
        <v>0</v>
      </c>
      <c r="U320" s="130">
        <v>0</v>
      </c>
      <c r="V320" s="524">
        <v>0</v>
      </c>
      <c r="W320" s="130">
        <v>0</v>
      </c>
      <c r="X320" s="130">
        <v>0</v>
      </c>
      <c r="Y320" s="130">
        <v>0</v>
      </c>
      <c r="Z320" s="130">
        <v>0</v>
      </c>
      <c r="AA320" s="158" t="s">
        <v>2078</v>
      </c>
      <c r="AB320" s="159"/>
      <c r="AC320" s="159"/>
      <c r="AD320" s="159"/>
      <c r="AE320" s="158" t="b">
        <f>IF(AB320="",TRUE,IF(IF(AC320="",VLOOKUP(AB320,Calculs!$A$19:$S$425,19,FALSE),VLOOKUP(AC320,Calculs!$A$19:$S$425,19,FALSE))&gt;=AD320,TRUE,FALSE))</f>
        <v>1</v>
      </c>
      <c r="AF320" s="159"/>
      <c r="AG320" s="159"/>
      <c r="AH320" s="159"/>
      <c r="AI320" s="158" t="b">
        <f>IF(AF320="",TRUE,IF(IF(AG320="",VLOOKUP(AF320,Calculs!$A$19:$S$425,19,FALSE),VLOOKUP(AG320,Calculs!$A$19:$S$425,19,FALSE))&gt;=AH320,TRUE,FALSE))</f>
        <v>1</v>
      </c>
      <c r="AJ320" s="159"/>
      <c r="AK320" s="159"/>
      <c r="AL320" s="159"/>
      <c r="AM320" s="158" t="b">
        <f>IF(AJ320="",TRUE,IF(IF(AK320="",VLOOKUP(AJ320,Calculs!$A$19:$S$425,19,FALSE),VLOOKUP(AK320,Calculs!$A$19:$S$425,19,FALSE))&gt;=AL320,TRUE,FALSE))</f>
        <v>1</v>
      </c>
      <c r="AN320" s="159"/>
      <c r="AO320" s="159"/>
      <c r="AP320" s="159"/>
      <c r="AQ320" s="158" t="b">
        <f>IF(AN320="",TRUE,IF(IF(AO320="",VLOOKUP(AN320,Calculs!$A$19:$S$425,19,FALSE),VLOOKUP(AO320,Calculs!$A$19:$S$425,19,FALSE))&gt;=AP320,TRUE,FALSE))</f>
        <v>1</v>
      </c>
      <c r="AR320" s="158"/>
      <c r="AS320" s="158" t="b">
        <f>IF(AR320="",TRUE,IF(VLOOKUP(AR320,Calculs!$A$427:$G$738,7,FALSE)&gt;0,TRUE,FALSE))</f>
        <v>1</v>
      </c>
      <c r="AT320" s="158"/>
      <c r="AU320" s="158" t="b">
        <f>IF(AT320="",TRUE,IF(VLOOKUP(AT320,Calculs!$A$740:$G$912,7,FALSE)&gt;0,TRUE,FALSE))</f>
        <v>1</v>
      </c>
      <c r="AV320" s="158" t="b">
        <f t="shared" si="30"/>
        <v>1</v>
      </c>
      <c r="AW320" s="158" t="s">
        <v>2078</v>
      </c>
      <c r="AX320" s="162" t="s">
        <v>6816</v>
      </c>
      <c r="AY320" s="15">
        <v>104</v>
      </c>
      <c r="AZ320" s="555" t="s">
        <v>8339</v>
      </c>
      <c r="BA320" s="559">
        <f>IF(Verso!$B$10=Voies!$B320,1,0)</f>
        <v>0</v>
      </c>
      <c r="BB320" s="12">
        <f>IF(Verso!$B$11=Voies!$B320,1,0)</f>
        <v>0</v>
      </c>
      <c r="BC320" s="12">
        <f>IF(Verso!$B$12=Voies!$B320,1,0)</f>
        <v>0</v>
      </c>
      <c r="BD320" s="12">
        <f>IF(Verso!$B$13=Voies!$B320,1,0)</f>
        <v>0</v>
      </c>
      <c r="BE320" s="12">
        <f>IF(Verso!$B$14=Voies!$B320,1,0)</f>
        <v>0</v>
      </c>
      <c r="BF320" s="12">
        <f>IF(Verso!$B$15=Voies!$B320,1,0)</f>
        <v>0</v>
      </c>
      <c r="BG320" s="12">
        <f>IF(Verso!$B$16=Voies!$B320,1,0)</f>
        <v>0</v>
      </c>
      <c r="BH320" s="12">
        <f>IF(Verso!$B$17=Voies!$B320,1,0)</f>
        <v>0</v>
      </c>
      <c r="BI320" s="557">
        <f t="shared" si="31"/>
        <v>0</v>
      </c>
      <c r="BJ320" s="196" t="str">
        <f t="shared" si="32"/>
        <v/>
      </c>
      <c r="BK320" s="196" t="str">
        <f t="shared" si="33"/>
        <v/>
      </c>
      <c r="BL320" s="295" t="str">
        <f t="shared" si="34"/>
        <v/>
      </c>
      <c r="BM320" s="91"/>
    </row>
    <row r="321" spans="1:65" s="196" customFormat="1" ht="47.25" customHeight="1" x14ac:dyDescent="0.25">
      <c r="A321" s="162" t="str">
        <f>IF(AND(Réputation&gt;Voies!E321-1,OR(C321=TRUE,Calculs!$I$8&gt;0),Air&gt;Voies!J321-1,Eau&gt;Voies!K321-1,Feu&gt;Voies!L321-1,Terre&gt;Voies!M321-1,Vide&gt;Voies!N321-1,Constitution&gt;Voies!O321-1,Volonté&gt;Voies!P321-1,Force&gt;Voies!Q321-1,Perception&gt;Voies!R321-1,Reflexes&gt;Voies!S321-1,Agilité&gt;Voies!T321-1,Intuition&gt;Voies!U321-1,Intelligence&gt;Voies!V321-1,Souillure&gt;Voies!W321-1,Honneur&gt;X321-1,Statut&gt;Y321-1,Gloire&gt;Z321-1,AV321=TRUE),Voies!B321,"")</f>
        <v/>
      </c>
      <c r="B321" s="162" t="s">
        <v>8794</v>
      </c>
      <c r="C321" s="162" t="b">
        <f>IF(Clan=Voies!D321,TRUE,FALSE)</f>
        <v>0</v>
      </c>
      <c r="D321" s="387" t="s">
        <v>8787</v>
      </c>
      <c r="E321" s="199">
        <v>1</v>
      </c>
      <c r="F321" s="199">
        <v>1</v>
      </c>
      <c r="G321" s="199" t="s">
        <v>2049</v>
      </c>
      <c r="H321" s="219" t="s">
        <v>8786</v>
      </c>
      <c r="I321" s="129" t="s">
        <v>3370</v>
      </c>
      <c r="J321" s="146">
        <v>0</v>
      </c>
      <c r="K321" s="147">
        <v>0</v>
      </c>
      <c r="L321" s="148">
        <v>0</v>
      </c>
      <c r="M321" s="149">
        <v>0</v>
      </c>
      <c r="N321" s="150">
        <v>0</v>
      </c>
      <c r="O321" s="130">
        <v>0</v>
      </c>
      <c r="P321" s="130">
        <v>0</v>
      </c>
      <c r="Q321" s="130">
        <v>0</v>
      </c>
      <c r="R321" s="130">
        <v>0</v>
      </c>
      <c r="S321" s="130">
        <v>0</v>
      </c>
      <c r="T321" s="130">
        <v>0</v>
      </c>
      <c r="U321" s="130">
        <v>0</v>
      </c>
      <c r="V321" s="524">
        <v>0</v>
      </c>
      <c r="W321" s="130">
        <v>0</v>
      </c>
      <c r="X321" s="130">
        <v>0</v>
      </c>
      <c r="Y321" s="130">
        <v>0</v>
      </c>
      <c r="Z321" s="130">
        <v>0</v>
      </c>
      <c r="AA321" s="158" t="s">
        <v>2078</v>
      </c>
      <c r="AB321" s="159"/>
      <c r="AC321" s="159"/>
      <c r="AD321" s="159"/>
      <c r="AE321" s="158" t="b">
        <f>IF(AB321="",TRUE,IF(IF(AC321="",VLOOKUP(AB321,Calculs!$A$19:$S$425,19,FALSE),VLOOKUP(AC321,Calculs!$A$19:$S$425,19,FALSE))&gt;=AD321,TRUE,FALSE))</f>
        <v>1</v>
      </c>
      <c r="AF321" s="159"/>
      <c r="AG321" s="159"/>
      <c r="AH321" s="159"/>
      <c r="AI321" s="158" t="b">
        <f>IF(AF321="",TRUE,IF(IF(AG321="",VLOOKUP(AF321,Calculs!$A$19:$S$425,19,FALSE),VLOOKUP(AG321,Calculs!$A$19:$S$425,19,FALSE))&gt;=AH321,TRUE,FALSE))</f>
        <v>1</v>
      </c>
      <c r="AJ321" s="159"/>
      <c r="AK321" s="159"/>
      <c r="AL321" s="159"/>
      <c r="AM321" s="158" t="b">
        <f>IF(AJ321="",TRUE,IF(IF(AK321="",VLOOKUP(AJ321,Calculs!$A$19:$S$425,19,FALSE),VLOOKUP(AK321,Calculs!$A$19:$S$425,19,FALSE))&gt;=AL321,TRUE,FALSE))</f>
        <v>1</v>
      </c>
      <c r="AN321" s="159"/>
      <c r="AO321" s="159"/>
      <c r="AP321" s="159"/>
      <c r="AQ321" s="158" t="b">
        <f>IF(AN321="",TRUE,IF(IF(AO321="",VLOOKUP(AN321,Calculs!$A$19:$S$425,19,FALSE),VLOOKUP(AO321,Calculs!$A$19:$S$425,19,FALSE))&gt;=AP321,TRUE,FALSE))</f>
        <v>1</v>
      </c>
      <c r="AR321" s="158"/>
      <c r="AS321" s="158" t="b">
        <f>IF(AR321="",TRUE,IF(VLOOKUP(AR321,Calculs!$A$427:$G$738,7,FALSE)&gt;0,TRUE,FALSE))</f>
        <v>1</v>
      </c>
      <c r="AT321" s="158"/>
      <c r="AU321" s="158" t="b">
        <f>IF(AT321="",TRUE,IF(VLOOKUP(AT321,Calculs!$A$740:$G$912,7,FALSE)&gt;0,TRUE,FALSE))</f>
        <v>1</v>
      </c>
      <c r="AV321" s="158" t="b">
        <f t="shared" si="30"/>
        <v>1</v>
      </c>
      <c r="AW321" s="158" t="s">
        <v>2078</v>
      </c>
      <c r="AX321" s="162" t="s">
        <v>6816</v>
      </c>
      <c r="AY321" s="15">
        <v>40</v>
      </c>
      <c r="AZ321" s="566" t="s">
        <v>8800</v>
      </c>
      <c r="BA321" s="559">
        <f>IF(Verso!$B$10=Voies!$B321,1,0)</f>
        <v>0</v>
      </c>
      <c r="BB321" s="12">
        <f>IF(Verso!$B$11=Voies!$B321,1,0)</f>
        <v>0</v>
      </c>
      <c r="BC321" s="12">
        <f>IF(Verso!$B$12=Voies!$B321,1,0)</f>
        <v>0</v>
      </c>
      <c r="BD321" s="12">
        <f>IF(Verso!$B$13=Voies!$B321,1,0)</f>
        <v>0</v>
      </c>
      <c r="BE321" s="12">
        <f>IF(Verso!$B$14=Voies!$B321,1,0)</f>
        <v>0</v>
      </c>
      <c r="BF321" s="12">
        <f>IF(Verso!$B$15=Voies!$B321,1,0)</f>
        <v>0</v>
      </c>
      <c r="BG321" s="12">
        <f>IF(Verso!$B$16=Voies!$B321,1,0)</f>
        <v>0</v>
      </c>
      <c r="BH321" s="12">
        <f>IF(Verso!$B$17=Voies!$B321,1,0)</f>
        <v>0</v>
      </c>
      <c r="BI321" s="557">
        <f t="shared" si="31"/>
        <v>0</v>
      </c>
      <c r="BJ321" s="196" t="str">
        <f t="shared" si="32"/>
        <v/>
      </c>
      <c r="BK321" s="196" t="str">
        <f t="shared" si="33"/>
        <v/>
      </c>
      <c r="BL321" s="295" t="str">
        <f t="shared" si="34"/>
        <v/>
      </c>
      <c r="BM321" s="91"/>
    </row>
    <row r="322" spans="1:65" s="196" customFormat="1" ht="47.25" customHeight="1" x14ac:dyDescent="0.25">
      <c r="A322" s="162" t="str">
        <f>IF(AND(Réputation&gt;Voies!E322-1,OR(C322=TRUE,Calculs!$I$8&gt;0),Air&gt;Voies!J322-1,Eau&gt;Voies!K322-1,Feu&gt;Voies!L322-1,Terre&gt;Voies!M322-1,Vide&gt;Voies!N322-1,Constitution&gt;Voies!O322-1,Volonté&gt;Voies!P322-1,Force&gt;Voies!Q322-1,Perception&gt;Voies!R322-1,Reflexes&gt;Voies!S322-1,Agilité&gt;Voies!T322-1,Intuition&gt;Voies!U322-1,Intelligence&gt;Voies!V322-1,Souillure&gt;Voies!W322-1,Honneur&gt;X322-1,Statut&gt;Y322-1,Gloire&gt;Z322-1,AV322=TRUE),Voies!B323,"")</f>
        <v/>
      </c>
      <c r="B322" s="162" t="s">
        <v>8799</v>
      </c>
      <c r="C322" s="162" t="b">
        <f>IF(Clan=Voies!D322,TRUE,FALSE)</f>
        <v>0</v>
      </c>
      <c r="D322" s="387" t="s">
        <v>8787</v>
      </c>
      <c r="E322" s="199">
        <v>1</v>
      </c>
      <c r="F322" s="199">
        <v>1</v>
      </c>
      <c r="G322" s="199" t="s">
        <v>2048</v>
      </c>
      <c r="H322" s="219" t="s">
        <v>8790</v>
      </c>
      <c r="I322" s="129" t="s">
        <v>3370</v>
      </c>
      <c r="J322" s="146">
        <v>0</v>
      </c>
      <c r="K322" s="147">
        <v>0</v>
      </c>
      <c r="L322" s="148">
        <v>0</v>
      </c>
      <c r="M322" s="149">
        <v>0</v>
      </c>
      <c r="N322" s="150">
        <v>0</v>
      </c>
      <c r="O322" s="130">
        <v>0</v>
      </c>
      <c r="P322" s="130">
        <v>0</v>
      </c>
      <c r="Q322" s="130">
        <v>0</v>
      </c>
      <c r="R322" s="130">
        <v>0</v>
      </c>
      <c r="S322" s="130">
        <v>0</v>
      </c>
      <c r="T322" s="130">
        <v>0</v>
      </c>
      <c r="U322" s="130">
        <v>0</v>
      </c>
      <c r="V322" s="524">
        <v>0</v>
      </c>
      <c r="W322" s="130">
        <v>0</v>
      </c>
      <c r="X322" s="130">
        <v>0</v>
      </c>
      <c r="Y322" s="130">
        <v>0</v>
      </c>
      <c r="Z322" s="130">
        <v>0</v>
      </c>
      <c r="AA322" s="158" t="s">
        <v>2078</v>
      </c>
      <c r="AB322" s="159"/>
      <c r="AC322" s="159"/>
      <c r="AD322" s="159"/>
      <c r="AE322" s="158" t="b">
        <f>IF(AB322="",TRUE,IF(IF(AC322="",VLOOKUP(AB322,Calculs!$A$19:$S$425,19,FALSE),VLOOKUP(AC322,Calculs!$A$19:$S$425,19,FALSE))&gt;=AD322,TRUE,FALSE))</f>
        <v>1</v>
      </c>
      <c r="AF322" s="159"/>
      <c r="AG322" s="159"/>
      <c r="AH322" s="159"/>
      <c r="AI322" s="158" t="b">
        <f>IF(AF322="",TRUE,IF(IF(AG322="",VLOOKUP(AF322,Calculs!$A$19:$S$425,19,FALSE),VLOOKUP(AG322,Calculs!$A$19:$S$425,19,FALSE))&gt;=AH322,TRUE,FALSE))</f>
        <v>1</v>
      </c>
      <c r="AJ322" s="159"/>
      <c r="AK322" s="159"/>
      <c r="AL322" s="159"/>
      <c r="AM322" s="158" t="b">
        <f>IF(AJ322="",TRUE,IF(IF(AK322="",VLOOKUP(AJ322,Calculs!$A$19:$S$425,19,FALSE),VLOOKUP(AK322,Calculs!$A$19:$S$425,19,FALSE))&gt;=AL322,TRUE,FALSE))</f>
        <v>1</v>
      </c>
      <c r="AN322" s="159"/>
      <c r="AO322" s="159"/>
      <c r="AP322" s="159"/>
      <c r="AQ322" s="158" t="b">
        <f>IF(AN322="",TRUE,IF(IF(AO322="",VLOOKUP(AN322,Calculs!$A$19:$S$425,19,FALSE),VLOOKUP(AO322,Calculs!$A$19:$S$425,19,FALSE))&gt;=AP322,TRUE,FALSE))</f>
        <v>1</v>
      </c>
      <c r="AR322" s="158"/>
      <c r="AS322" s="158" t="b">
        <f>IF(AR322="",TRUE,IF(VLOOKUP(AR322,Calculs!$A$427:$G$738,7,FALSE)&gt;0,TRUE,FALSE))</f>
        <v>1</v>
      </c>
      <c r="AT322" s="158"/>
      <c r="AU322" s="158" t="b">
        <f>IF(AT322="",TRUE,IF(VLOOKUP(AT322,Calculs!$A$740:$G$912,7,FALSE)&gt;0,TRUE,FALSE))</f>
        <v>1</v>
      </c>
      <c r="AV322" s="158" t="b">
        <f t="shared" si="30"/>
        <v>1</v>
      </c>
      <c r="AW322" s="158" t="s">
        <v>2078</v>
      </c>
      <c r="AX322" s="162" t="s">
        <v>6816</v>
      </c>
      <c r="AY322" s="15">
        <v>41</v>
      </c>
      <c r="AZ322" s="555" t="s">
        <v>8801</v>
      </c>
      <c r="BA322" s="559">
        <f>IF(Verso!$B$10=Voies!$B322,1,0)</f>
        <v>0</v>
      </c>
      <c r="BB322" s="12">
        <f>IF(Verso!$B$11=Voies!$B322,1,0)</f>
        <v>0</v>
      </c>
      <c r="BC322" s="12">
        <f>IF(Verso!$B$12=Voies!$B322,1,0)</f>
        <v>0</v>
      </c>
      <c r="BD322" s="12">
        <f>IF(Verso!$B$13=Voies!$B322,1,0)</f>
        <v>0</v>
      </c>
      <c r="BE322" s="12">
        <f>IF(Verso!$B$14=Voies!$B322,1,0)</f>
        <v>0</v>
      </c>
      <c r="BF322" s="12">
        <f>IF(Verso!$B$15=Voies!$B322,1,0)</f>
        <v>0</v>
      </c>
      <c r="BG322" s="12">
        <f>IF(Verso!$B$16=Voies!$B322,1,0)</f>
        <v>0</v>
      </c>
      <c r="BH322" s="12">
        <f>IF(Verso!$B$17=Voies!$B322,1,0)</f>
        <v>0</v>
      </c>
      <c r="BI322" s="557">
        <f t="shared" si="31"/>
        <v>0</v>
      </c>
      <c r="BJ322" s="196" t="str">
        <f t="shared" si="32"/>
        <v/>
      </c>
      <c r="BK322" s="196" t="str">
        <f t="shared" si="33"/>
        <v/>
      </c>
      <c r="BL322" s="295" t="str">
        <f t="shared" si="34"/>
        <v/>
      </c>
      <c r="BM322" s="91"/>
    </row>
    <row r="323" spans="1:65" s="196" customFormat="1" ht="47.25" customHeight="1" x14ac:dyDescent="0.25">
      <c r="A323" s="162" t="str">
        <f>IF(AND(Réputation&gt;Voies!E323-1,OR(C323=TRUE,Calculs!$I$8&gt;0),Air&gt;Voies!J323-1,Eau&gt;Voies!K323-1,Feu&gt;Voies!L323-1,Terre&gt;Voies!M323-1,Vide&gt;Voies!N323-1,Constitution&gt;Voies!O323-1,Volonté&gt;Voies!P323-1,Force&gt;Voies!Q323-1,Perception&gt;Voies!R323-1,Reflexes&gt;Voies!S323-1,Agilité&gt;Voies!T323-1,Intuition&gt;Voies!U323-1,Intelligence&gt;Voies!V323-1,Souillure&gt;Voies!W323-1,Honneur&gt;X323-1,Statut&gt;Y323-1,Gloire&gt;Z323-1,AV323=TRUE),Voies!#REF!,"")</f>
        <v/>
      </c>
      <c r="B323" s="162" t="s">
        <v>8795</v>
      </c>
      <c r="C323" s="162" t="b">
        <f>IF(Clan=Voies!D323,TRUE,FALSE)</f>
        <v>0</v>
      </c>
      <c r="D323" s="387" t="s">
        <v>8787</v>
      </c>
      <c r="E323" s="199">
        <v>2</v>
      </c>
      <c r="F323" s="199">
        <v>2</v>
      </c>
      <c r="G323" s="199" t="s">
        <v>2049</v>
      </c>
      <c r="H323" s="219" t="s">
        <v>8786</v>
      </c>
      <c r="I323" s="129" t="s">
        <v>3370</v>
      </c>
      <c r="J323" s="146">
        <v>0</v>
      </c>
      <c r="K323" s="147">
        <v>0</v>
      </c>
      <c r="L323" s="148">
        <v>0</v>
      </c>
      <c r="M323" s="149">
        <v>0</v>
      </c>
      <c r="N323" s="150">
        <v>0</v>
      </c>
      <c r="O323" s="130">
        <v>0</v>
      </c>
      <c r="P323" s="130">
        <v>0</v>
      </c>
      <c r="Q323" s="130">
        <v>0</v>
      </c>
      <c r="R323" s="130">
        <v>0</v>
      </c>
      <c r="S323" s="130">
        <v>0</v>
      </c>
      <c r="T323" s="130">
        <v>0</v>
      </c>
      <c r="U323" s="130">
        <v>0</v>
      </c>
      <c r="V323" s="524">
        <v>0</v>
      </c>
      <c r="W323" s="130">
        <v>0</v>
      </c>
      <c r="X323" s="130">
        <v>0</v>
      </c>
      <c r="Y323" s="130">
        <v>0</v>
      </c>
      <c r="Z323" s="130">
        <v>0</v>
      </c>
      <c r="AA323" s="158" t="s">
        <v>2078</v>
      </c>
      <c r="AB323" s="159"/>
      <c r="AC323" s="159"/>
      <c r="AD323" s="159"/>
      <c r="AE323" s="158" t="b">
        <f>IF(AB323="",TRUE,IF(IF(AC323="",VLOOKUP(AB323,Calculs!$A$19:$S$425,19,FALSE),VLOOKUP(AC323,Calculs!$A$19:$S$425,19,FALSE))&gt;=AD323,TRUE,FALSE))</f>
        <v>1</v>
      </c>
      <c r="AF323" s="159"/>
      <c r="AG323" s="159"/>
      <c r="AH323" s="159"/>
      <c r="AI323" s="158" t="b">
        <f>IF(AF323="",TRUE,IF(IF(AG323="",VLOOKUP(AF323,Calculs!$A$19:$S$425,19,FALSE),VLOOKUP(AG323,Calculs!$A$19:$S$425,19,FALSE))&gt;=AH323,TRUE,FALSE))</f>
        <v>1</v>
      </c>
      <c r="AJ323" s="159"/>
      <c r="AK323" s="159"/>
      <c r="AL323" s="159"/>
      <c r="AM323" s="158" t="b">
        <f>IF(AJ323="",TRUE,IF(IF(AK323="",VLOOKUP(AJ323,Calculs!$A$19:$S$425,19,FALSE),VLOOKUP(AK323,Calculs!$A$19:$S$425,19,FALSE))&gt;=AL323,TRUE,FALSE))</f>
        <v>1</v>
      </c>
      <c r="AN323" s="159"/>
      <c r="AO323" s="159"/>
      <c r="AP323" s="159"/>
      <c r="AQ323" s="158" t="b">
        <f>IF(AN323="",TRUE,IF(IF(AO323="",VLOOKUP(AN323,Calculs!$A$19:$S$425,19,FALSE),VLOOKUP(AO323,Calculs!$A$19:$S$425,19,FALSE))&gt;=AP323,TRUE,FALSE))</f>
        <v>1</v>
      </c>
      <c r="AR323" s="158"/>
      <c r="AS323" s="158" t="b">
        <f>IF(AR323="",TRUE,IF(VLOOKUP(AR323,Calculs!$A$427:$G$738,7,FALSE)&gt;0,TRUE,FALSE))</f>
        <v>1</v>
      </c>
      <c r="AT323" s="158"/>
      <c r="AU323" s="158" t="b">
        <f>IF(AT323="",TRUE,IF(VLOOKUP(AT323,Calculs!$A$740:$G$912,7,FALSE)&gt;0,TRUE,FALSE))</f>
        <v>1</v>
      </c>
      <c r="AV323" s="158" t="b">
        <f t="shared" ref="AV323:AV386" si="37">IF(AND(AE323=TRUE,AI323=TRUE,AM323=TRUE,AQ323=TRUE,AS323=TRUE,AU323=TRUE),TRUE,FALSE)</f>
        <v>1</v>
      </c>
      <c r="AW323" s="158" t="s">
        <v>2078</v>
      </c>
      <c r="AX323" s="162" t="s">
        <v>6816</v>
      </c>
      <c r="AY323" s="15">
        <v>40</v>
      </c>
      <c r="AZ323" s="566" t="s">
        <v>8802</v>
      </c>
      <c r="BA323" s="559">
        <f>IF(Verso!$B$10=Voies!$B323,1,0)</f>
        <v>0</v>
      </c>
      <c r="BB323" s="12">
        <f>IF(Verso!$B$11=Voies!$B323,1,0)</f>
        <v>0</v>
      </c>
      <c r="BC323" s="12">
        <f>IF(Verso!$B$12=Voies!$B323,1,0)</f>
        <v>0</v>
      </c>
      <c r="BD323" s="12">
        <f>IF(Verso!$B$13=Voies!$B323,1,0)</f>
        <v>0</v>
      </c>
      <c r="BE323" s="12">
        <f>IF(Verso!$B$14=Voies!$B323,1,0)</f>
        <v>0</v>
      </c>
      <c r="BF323" s="12">
        <f>IF(Verso!$B$15=Voies!$B323,1,0)</f>
        <v>0</v>
      </c>
      <c r="BG323" s="12">
        <f>IF(Verso!$B$16=Voies!$B323,1,0)</f>
        <v>0</v>
      </c>
      <c r="BH323" s="12">
        <f>IF(Verso!$B$17=Voies!$B323,1,0)</f>
        <v>0</v>
      </c>
      <c r="BI323" s="557">
        <f t="shared" ref="BI323:BI386" si="38">SUM(BA323:BH323)</f>
        <v>0</v>
      </c>
      <c r="BJ323" s="196" t="str">
        <f t="shared" si="32"/>
        <v/>
      </c>
      <c r="BK323" s="196" t="str">
        <f t="shared" si="33"/>
        <v/>
      </c>
      <c r="BL323" s="295" t="str">
        <f t="shared" si="34"/>
        <v/>
      </c>
      <c r="BM323" s="91"/>
    </row>
    <row r="324" spans="1:65" s="196" customFormat="1" ht="47.25" customHeight="1" x14ac:dyDescent="0.25">
      <c r="A324" s="162" t="str">
        <f>IF(AND(Réputation&gt;Voies!E324-1,OR(C324=TRUE,Calculs!$I$8&gt;0),Air&gt;Voies!J324-1,Eau&gt;Voies!K324-1,Feu&gt;Voies!L324-1,Terre&gt;Voies!M324-1,Vide&gt;Voies!N324-1,Constitution&gt;Voies!O324-1,Volonté&gt;Voies!P324-1,Force&gt;Voies!Q324-1,Perception&gt;Voies!R324-1,Reflexes&gt;Voies!S324-1,Agilité&gt;Voies!T324-1,Intuition&gt;Voies!U324-1,Intelligence&gt;Voies!V324-1,Souillure&gt;Voies!W324-1,Honneur&gt;X324-1,Statut&gt;Y324-1,Gloire&gt;Z324-1,AV324=TRUE),Voies!#REF!,"")</f>
        <v/>
      </c>
      <c r="B324" s="162" t="s">
        <v>8815</v>
      </c>
      <c r="C324" s="162" t="b">
        <v>1</v>
      </c>
      <c r="D324" s="387" t="s">
        <v>8787</v>
      </c>
      <c r="E324" s="199">
        <v>2</v>
      </c>
      <c r="F324" s="199">
        <v>2</v>
      </c>
      <c r="G324" s="199" t="s">
        <v>2049</v>
      </c>
      <c r="H324" s="219" t="s">
        <v>8812</v>
      </c>
      <c r="I324" s="129" t="s">
        <v>8814</v>
      </c>
      <c r="J324" s="146">
        <v>0</v>
      </c>
      <c r="K324" s="147">
        <v>0</v>
      </c>
      <c r="L324" s="148">
        <v>0</v>
      </c>
      <c r="M324" s="149">
        <v>0</v>
      </c>
      <c r="N324" s="150">
        <v>0</v>
      </c>
      <c r="O324" s="130">
        <v>0</v>
      </c>
      <c r="P324" s="130">
        <v>0</v>
      </c>
      <c r="Q324" s="130">
        <v>0</v>
      </c>
      <c r="R324" s="130">
        <v>0</v>
      </c>
      <c r="S324" s="130">
        <v>0</v>
      </c>
      <c r="T324" s="130">
        <v>0</v>
      </c>
      <c r="U324" s="130">
        <v>0</v>
      </c>
      <c r="V324" s="524">
        <v>0</v>
      </c>
      <c r="W324" s="130">
        <v>10</v>
      </c>
      <c r="X324" s="130">
        <v>0</v>
      </c>
      <c r="Y324" s="130">
        <v>0</v>
      </c>
      <c r="Z324" s="130">
        <v>0</v>
      </c>
      <c r="AA324" s="158" t="s">
        <v>2078</v>
      </c>
      <c r="AB324" s="159"/>
      <c r="AC324" s="159"/>
      <c r="AD324" s="159"/>
      <c r="AE324" s="158" t="b">
        <f>IF(AB324="",TRUE,IF(IF(AC324="",VLOOKUP(AB324,Calculs!$A$19:$S$425,19,FALSE),VLOOKUP(AC324,Calculs!$A$19:$S$425,19,FALSE))&gt;=AD324,TRUE,FALSE))</f>
        <v>1</v>
      </c>
      <c r="AF324" s="159"/>
      <c r="AG324" s="159"/>
      <c r="AH324" s="159"/>
      <c r="AI324" s="158" t="b">
        <f>IF(AF324="",TRUE,IF(IF(AG324="",VLOOKUP(AF324,Calculs!$A$19:$S$425,19,FALSE),VLOOKUP(AG324,Calculs!$A$19:$S$425,19,FALSE))&gt;=AH324,TRUE,FALSE))</f>
        <v>1</v>
      </c>
      <c r="AJ324" s="159"/>
      <c r="AK324" s="159"/>
      <c r="AL324" s="159"/>
      <c r="AM324" s="158" t="b">
        <f>IF(AJ324="",TRUE,IF(IF(AK324="",VLOOKUP(AJ324,Calculs!$A$19:$S$425,19,FALSE),VLOOKUP(AK324,Calculs!$A$19:$S$425,19,FALSE))&gt;=AL324,TRUE,FALSE))</f>
        <v>1</v>
      </c>
      <c r="AN324" s="159"/>
      <c r="AO324" s="159"/>
      <c r="AP324" s="159"/>
      <c r="AQ324" s="158" t="b">
        <f>IF(AN324="",TRUE,IF(IF(AO324="",VLOOKUP(AN324,Calculs!$A$19:$S$425,19,FALSE),VLOOKUP(AO324,Calculs!$A$19:$S$425,19,FALSE))&gt;=AP324,TRUE,FALSE))</f>
        <v>1</v>
      </c>
      <c r="AR324" s="158"/>
      <c r="AS324" s="158" t="b">
        <f>IF(AR324="",TRUE,IF(VLOOKUP(AR324,Calculs!$A$427:$G$738,7,FALSE)&gt;0,TRUE,FALSE))</f>
        <v>1</v>
      </c>
      <c r="AT324" s="158"/>
      <c r="AU324" s="158" t="b">
        <f>IF(AT324="",TRUE,IF(VLOOKUP(AT324,Calculs!$A$740:$G$912,7,FALSE)&gt;0,TRUE,FALSE))</f>
        <v>1</v>
      </c>
      <c r="AV324" s="158" t="b">
        <f t="shared" si="37"/>
        <v>1</v>
      </c>
      <c r="AW324" s="159" t="s">
        <v>3383</v>
      </c>
      <c r="AX324" s="162" t="s">
        <v>6816</v>
      </c>
      <c r="AY324" s="15">
        <v>41</v>
      </c>
      <c r="AZ324" s="566" t="s">
        <v>8816</v>
      </c>
      <c r="BA324" s="559">
        <f>IF(Verso!$B$10=Voies!$B324,1,0)</f>
        <v>0</v>
      </c>
      <c r="BB324" s="12">
        <f>IF(Verso!$B$11=Voies!$B324,1,0)</f>
        <v>0</v>
      </c>
      <c r="BC324" s="12">
        <f>IF(Verso!$B$12=Voies!$B324,1,0)</f>
        <v>0</v>
      </c>
      <c r="BD324" s="12">
        <f>IF(Verso!$B$13=Voies!$B324,1,0)</f>
        <v>0</v>
      </c>
      <c r="BE324" s="12">
        <f>IF(Verso!$B$14=Voies!$B324,1,0)</f>
        <v>0</v>
      </c>
      <c r="BF324" s="12">
        <f>IF(Verso!$B$15=Voies!$B324,1,0)</f>
        <v>0</v>
      </c>
      <c r="BG324" s="12">
        <f>IF(Verso!$B$16=Voies!$B324,1,0)</f>
        <v>0</v>
      </c>
      <c r="BH324" s="12">
        <f>IF(Verso!$B$17=Voies!$B324,1,0)</f>
        <v>0</v>
      </c>
      <c r="BI324" s="557">
        <f t="shared" si="38"/>
        <v>0</v>
      </c>
      <c r="BJ324" s="196" t="str">
        <f t="shared" ref="BJ324:BJ387" si="39">IF(A324="","",ROW())</f>
        <v/>
      </c>
      <c r="BK324" s="196" t="str">
        <f t="shared" ref="BK324:BK387" si="40">IFERROR(SMALL(BJ:BJ,ROW()-2),"")</f>
        <v/>
      </c>
      <c r="BL324" s="295" t="str">
        <f t="shared" ref="BL324:BL387" si="41">IFERROR(INDEX(A:A,BK324),"")</f>
        <v/>
      </c>
      <c r="BM324" s="91"/>
    </row>
    <row r="325" spans="1:65" s="196" customFormat="1" ht="47.25" customHeight="1" x14ac:dyDescent="0.25">
      <c r="A325" s="162" t="str">
        <f>IF(AND(Réputation&gt;Voies!E325-1,OR(C325=TRUE,Calculs!$I$8&gt;0),Air&gt;Voies!J325-1,Eau&gt;Voies!K325-1,Feu&gt;Voies!L325-1,Terre&gt;Voies!M325-1,Vide&gt;Voies!N325-1,Constitution&gt;Voies!O325-1,Volonté&gt;Voies!P325-1,Force&gt;Voies!Q325-1,Perception&gt;Voies!R325-1,Reflexes&gt;Voies!S325-1,Agilité&gt;Voies!T325-1,Intuition&gt;Voies!U325-1,Intelligence&gt;Voies!V325-1,Souillure&gt;Voies!W325-1,Honneur&gt;X325-1,Statut&gt;Y325-1,Gloire&gt;Z325-1,AV325=TRUE),Voies!#REF!,"")</f>
        <v/>
      </c>
      <c r="B325" s="162" t="s">
        <v>8810</v>
      </c>
      <c r="C325" s="162" t="b">
        <f>IF(Clan=Voies!D325,TRUE,FALSE)</f>
        <v>0</v>
      </c>
      <c r="D325" s="387" t="s">
        <v>8787</v>
      </c>
      <c r="E325" s="199">
        <v>2</v>
      </c>
      <c r="F325" s="199">
        <v>2</v>
      </c>
      <c r="G325" s="199" t="s">
        <v>2049</v>
      </c>
      <c r="H325" s="219" t="s">
        <v>8806</v>
      </c>
      <c r="I325" s="129" t="s">
        <v>8813</v>
      </c>
      <c r="J325" s="146">
        <v>0</v>
      </c>
      <c r="K325" s="147">
        <v>0</v>
      </c>
      <c r="L325" s="148">
        <v>0</v>
      </c>
      <c r="M325" s="149">
        <v>0</v>
      </c>
      <c r="N325" s="150">
        <v>0</v>
      </c>
      <c r="O325" s="130">
        <v>0</v>
      </c>
      <c r="P325" s="130">
        <v>0</v>
      </c>
      <c r="Q325" s="130">
        <v>0</v>
      </c>
      <c r="R325" s="130">
        <v>0</v>
      </c>
      <c r="S325" s="130">
        <v>0</v>
      </c>
      <c r="T325" s="130">
        <v>0</v>
      </c>
      <c r="U325" s="130">
        <v>0</v>
      </c>
      <c r="V325" s="524">
        <v>0</v>
      </c>
      <c r="W325" s="130">
        <v>0</v>
      </c>
      <c r="X325" s="130">
        <v>0</v>
      </c>
      <c r="Y325" s="130">
        <v>0</v>
      </c>
      <c r="Z325" s="130">
        <v>0</v>
      </c>
      <c r="AA325" s="158" t="s">
        <v>8807</v>
      </c>
      <c r="AB325" s="159" t="s">
        <v>1278</v>
      </c>
      <c r="AC325" s="159" t="s">
        <v>8808</v>
      </c>
      <c r="AD325" s="159">
        <v>2</v>
      </c>
      <c r="AE325" s="158" t="b">
        <f>IF(AB325="",TRUE,IF(IF(AC325="",VLOOKUP(AB325,Calculs!$A$19:$S$425,19,FALSE),VLOOKUP(AC325,Calculs!$A$19:$S$425,19,FALSE))&gt;=AD325,TRUE,FALSE))</f>
        <v>0</v>
      </c>
      <c r="AF325" s="159"/>
      <c r="AG325" s="159"/>
      <c r="AH325" s="159"/>
      <c r="AI325" s="158" t="b">
        <f>IF(AF325="",TRUE,IF(IF(AG325="",VLOOKUP(AF325,Calculs!$A$19:$S$425,19,FALSE),VLOOKUP(AG325,Calculs!$A$19:$S$425,19,FALSE))&gt;=AH325,TRUE,FALSE))</f>
        <v>1</v>
      </c>
      <c r="AJ325" s="159"/>
      <c r="AK325" s="159"/>
      <c r="AL325" s="159"/>
      <c r="AM325" s="158" t="b">
        <f>IF(AJ325="",TRUE,IF(IF(AK325="",VLOOKUP(AJ325,Calculs!$A$19:$S$425,19,FALSE),VLOOKUP(AK325,Calculs!$A$19:$S$425,19,FALSE))&gt;=AL325,TRUE,FALSE))</f>
        <v>1</v>
      </c>
      <c r="AN325" s="159"/>
      <c r="AO325" s="159"/>
      <c r="AP325" s="159"/>
      <c r="AQ325" s="158" t="b">
        <f>IF(AN325="",TRUE,IF(IF(AO325="",VLOOKUP(AN325,Calculs!$A$19:$S$425,19,FALSE),VLOOKUP(AO325,Calculs!$A$19:$S$425,19,FALSE))&gt;=AP325,TRUE,FALSE))</f>
        <v>1</v>
      </c>
      <c r="AR325" s="158"/>
      <c r="AS325" s="158" t="b">
        <f>IF(AR325="",TRUE,IF(VLOOKUP(AR325,Calculs!$A$427:$G$738,7,FALSE)&gt;0,TRUE,FALSE))</f>
        <v>1</v>
      </c>
      <c r="AT325" s="158"/>
      <c r="AU325" s="158" t="b">
        <f>IF(AT325="",TRUE,IF(VLOOKUP(AT325,Calculs!$A$740:$G$912,7,FALSE)&gt;0,TRUE,FALSE))</f>
        <v>1</v>
      </c>
      <c r="AV325" s="158" t="b">
        <f t="shared" si="37"/>
        <v>0</v>
      </c>
      <c r="AW325" s="158" t="s">
        <v>2078</v>
      </c>
      <c r="AX325" s="162" t="s">
        <v>6816</v>
      </c>
      <c r="AY325" s="15">
        <v>41</v>
      </c>
      <c r="AZ325" s="566" t="s">
        <v>8811</v>
      </c>
      <c r="BA325" s="559">
        <f>IF(Verso!$B$10=Voies!$B325,1,0)</f>
        <v>0</v>
      </c>
      <c r="BB325" s="12">
        <f>IF(Verso!$B$11=Voies!$B325,1,0)</f>
        <v>0</v>
      </c>
      <c r="BC325" s="12">
        <f>IF(Verso!$B$12=Voies!$B325,1,0)</f>
        <v>0</v>
      </c>
      <c r="BD325" s="12">
        <f>IF(Verso!$B$13=Voies!$B325,1,0)</f>
        <v>0</v>
      </c>
      <c r="BE325" s="12">
        <f>IF(Verso!$B$14=Voies!$B325,1,0)</f>
        <v>0</v>
      </c>
      <c r="BF325" s="12">
        <f>IF(Verso!$B$15=Voies!$B325,1,0)</f>
        <v>0</v>
      </c>
      <c r="BG325" s="12">
        <f>IF(Verso!$B$16=Voies!$B325,1,0)</f>
        <v>0</v>
      </c>
      <c r="BH325" s="12">
        <f>IF(Verso!$B$17=Voies!$B325,1,0)</f>
        <v>0</v>
      </c>
      <c r="BI325" s="557">
        <f t="shared" si="38"/>
        <v>0</v>
      </c>
      <c r="BJ325" s="196" t="str">
        <f t="shared" si="39"/>
        <v/>
      </c>
      <c r="BK325" s="196" t="str">
        <f t="shared" si="40"/>
        <v/>
      </c>
      <c r="BL325" s="295" t="str">
        <f t="shared" si="41"/>
        <v/>
      </c>
      <c r="BM325" s="91"/>
    </row>
    <row r="326" spans="1:65" s="196" customFormat="1" ht="47.25" customHeight="1" x14ac:dyDescent="0.25">
      <c r="A326" s="162" t="str">
        <f>IF(AND(Réputation&gt;Voies!E326-1,OR(C326=TRUE,Calculs!$I$8&gt;0),Air&gt;Voies!J326-1,Eau&gt;Voies!K326-1,Feu&gt;Voies!L326-1,Terre&gt;Voies!M326-1,Vide&gt;Voies!N326-1,Constitution&gt;Voies!O326-1,Volonté&gt;Voies!P326-1,Force&gt;Voies!Q326-1,Perception&gt;Voies!R326-1,Reflexes&gt;Voies!S326-1,Agilité&gt;Voies!T326-1,Intuition&gt;Voies!U326-1,Intelligence&gt;Voies!V326-1,Souillure&gt;Voies!W326-1,Honneur&gt;X326-1,Statut&gt;Y326-1,Gloire&gt;Z326-1,AV326=TRUE),Voies!B326,"")</f>
        <v/>
      </c>
      <c r="B326" s="162" t="s">
        <v>8796</v>
      </c>
      <c r="C326" s="162" t="b">
        <f>IF(Clan=Voies!D326,TRUE,FALSE)</f>
        <v>0</v>
      </c>
      <c r="D326" s="387" t="s">
        <v>8787</v>
      </c>
      <c r="E326" s="199">
        <v>3</v>
      </c>
      <c r="F326" s="199">
        <v>3</v>
      </c>
      <c r="G326" s="199" t="s">
        <v>2049</v>
      </c>
      <c r="H326" s="219" t="s">
        <v>8786</v>
      </c>
      <c r="I326" s="129" t="s">
        <v>3370</v>
      </c>
      <c r="J326" s="146">
        <v>0</v>
      </c>
      <c r="K326" s="147">
        <v>0</v>
      </c>
      <c r="L326" s="148">
        <v>0</v>
      </c>
      <c r="M326" s="149">
        <v>0</v>
      </c>
      <c r="N326" s="150">
        <v>0</v>
      </c>
      <c r="O326" s="130">
        <v>0</v>
      </c>
      <c r="P326" s="130">
        <v>0</v>
      </c>
      <c r="Q326" s="130">
        <v>0</v>
      </c>
      <c r="R326" s="130">
        <v>0</v>
      </c>
      <c r="S326" s="130">
        <v>0</v>
      </c>
      <c r="T326" s="130">
        <v>0</v>
      </c>
      <c r="U326" s="130">
        <v>0</v>
      </c>
      <c r="V326" s="524">
        <v>0</v>
      </c>
      <c r="W326" s="130">
        <v>0</v>
      </c>
      <c r="X326" s="130">
        <v>0</v>
      </c>
      <c r="Y326" s="130">
        <v>0</v>
      </c>
      <c r="Z326" s="130">
        <v>0</v>
      </c>
      <c r="AA326" s="158" t="s">
        <v>2078</v>
      </c>
      <c r="AB326" s="159"/>
      <c r="AC326" s="159"/>
      <c r="AD326" s="159"/>
      <c r="AE326" s="158" t="b">
        <f>IF(AB326="",TRUE,IF(IF(AC326="",VLOOKUP(AB326,Calculs!$A$19:$S$425,19,FALSE),VLOOKUP(AC326,Calculs!$A$19:$S$425,19,FALSE))&gt;=AD326,TRUE,FALSE))</f>
        <v>1</v>
      </c>
      <c r="AF326" s="159"/>
      <c r="AG326" s="159"/>
      <c r="AH326" s="159"/>
      <c r="AI326" s="158" t="b">
        <f>IF(AF326="",TRUE,IF(IF(AG326="",VLOOKUP(AF326,Calculs!$A$19:$S$425,19,FALSE),VLOOKUP(AG326,Calculs!$A$19:$S$425,19,FALSE))&gt;=AH326,TRUE,FALSE))</f>
        <v>1</v>
      </c>
      <c r="AJ326" s="159"/>
      <c r="AK326" s="159"/>
      <c r="AL326" s="159"/>
      <c r="AM326" s="158" t="b">
        <f>IF(AJ326="",TRUE,IF(IF(AK326="",VLOOKUP(AJ326,Calculs!$A$19:$S$425,19,FALSE),VLOOKUP(AK326,Calculs!$A$19:$S$425,19,FALSE))&gt;=AL326,TRUE,FALSE))</f>
        <v>1</v>
      </c>
      <c r="AN326" s="159"/>
      <c r="AO326" s="159"/>
      <c r="AP326" s="159"/>
      <c r="AQ326" s="158" t="b">
        <f>IF(AN326="",TRUE,IF(IF(AO326="",VLOOKUP(AN326,Calculs!$A$19:$S$425,19,FALSE),VLOOKUP(AO326,Calculs!$A$19:$S$425,19,FALSE))&gt;=AP326,TRUE,FALSE))</f>
        <v>1</v>
      </c>
      <c r="AR326" s="158"/>
      <c r="AS326" s="158" t="b">
        <f>IF(AR326="",TRUE,IF(VLOOKUP(AR326,Calculs!$A$427:$G$738,7,FALSE)&gt;0,TRUE,FALSE))</f>
        <v>1</v>
      </c>
      <c r="AT326" s="158"/>
      <c r="AU326" s="158" t="b">
        <f>IF(AT326="",TRUE,IF(VLOOKUP(AT326,Calculs!$A$740:$G$912,7,FALSE)&gt;0,TRUE,FALSE))</f>
        <v>1</v>
      </c>
      <c r="AV326" s="158" t="b">
        <f t="shared" si="37"/>
        <v>1</v>
      </c>
      <c r="AW326" s="158" t="s">
        <v>2078</v>
      </c>
      <c r="AX326" s="162" t="s">
        <v>6816</v>
      </c>
      <c r="AY326" s="15">
        <v>41</v>
      </c>
      <c r="AZ326" s="555" t="s">
        <v>8803</v>
      </c>
      <c r="BA326" s="559">
        <f>IF(Verso!$B$10=Voies!$B326,1,0)</f>
        <v>0</v>
      </c>
      <c r="BB326" s="12">
        <f>IF(Verso!$B$11=Voies!$B326,1,0)</f>
        <v>0</v>
      </c>
      <c r="BC326" s="12">
        <f>IF(Verso!$B$12=Voies!$B326,1,0)</f>
        <v>0</v>
      </c>
      <c r="BD326" s="12">
        <f>IF(Verso!$B$13=Voies!$B326,1,0)</f>
        <v>0</v>
      </c>
      <c r="BE326" s="12">
        <f>IF(Verso!$B$14=Voies!$B326,1,0)</f>
        <v>0</v>
      </c>
      <c r="BF326" s="12">
        <f>IF(Verso!$B$15=Voies!$B326,1,0)</f>
        <v>0</v>
      </c>
      <c r="BG326" s="12">
        <f>IF(Verso!$B$16=Voies!$B326,1,0)</f>
        <v>0</v>
      </c>
      <c r="BH326" s="12">
        <f>IF(Verso!$B$17=Voies!$B326,1,0)</f>
        <v>0</v>
      </c>
      <c r="BI326" s="557">
        <f t="shared" si="38"/>
        <v>0</v>
      </c>
      <c r="BJ326" s="196" t="str">
        <f t="shared" si="39"/>
        <v/>
      </c>
      <c r="BK326" s="196" t="str">
        <f t="shared" si="40"/>
        <v/>
      </c>
      <c r="BL326" s="295" t="str">
        <f t="shared" si="41"/>
        <v/>
      </c>
      <c r="BM326" s="91"/>
    </row>
    <row r="327" spans="1:65" s="196" customFormat="1" ht="47.25" customHeight="1" x14ac:dyDescent="0.25">
      <c r="A327" s="162" t="str">
        <f>IF(AND(Réputation&gt;Voies!E327-1,OR(C327=TRUE,Calculs!$I$8&gt;0),Air&gt;Voies!J327-1,Eau&gt;Voies!K327-1,Feu&gt;Voies!L327-1,Terre&gt;Voies!M327-1,Vide&gt;Voies!N327-1,Constitution&gt;Voies!O327-1,Volonté&gt;Voies!P327-1,Force&gt;Voies!Q327-1,Perception&gt;Voies!R327-1,Reflexes&gt;Voies!S327-1,Agilité&gt;Voies!T327-1,Intuition&gt;Voies!U327-1,Intelligence&gt;Voies!V327-1,Souillure&gt;Voies!W327-1,Honneur&gt;X327-1,Statut&gt;Y327-1,Gloire&gt;Z327-1,AV327=TRUE),Voies!B327,"")</f>
        <v/>
      </c>
      <c r="B327" s="162" t="s">
        <v>8797</v>
      </c>
      <c r="C327" s="162" t="b">
        <f>IF(Clan=Voies!D327,TRUE,FALSE)</f>
        <v>0</v>
      </c>
      <c r="D327" s="387" t="s">
        <v>8787</v>
      </c>
      <c r="E327" s="199">
        <v>4</v>
      </c>
      <c r="F327" s="199">
        <v>4</v>
      </c>
      <c r="G327" s="199" t="s">
        <v>2049</v>
      </c>
      <c r="H327" s="219" t="s">
        <v>8786</v>
      </c>
      <c r="I327" s="129" t="s">
        <v>3370</v>
      </c>
      <c r="J327" s="146">
        <v>0</v>
      </c>
      <c r="K327" s="147">
        <v>0</v>
      </c>
      <c r="L327" s="148">
        <v>0</v>
      </c>
      <c r="M327" s="149">
        <v>0</v>
      </c>
      <c r="N327" s="150">
        <v>0</v>
      </c>
      <c r="O327" s="130">
        <v>0</v>
      </c>
      <c r="P327" s="130">
        <v>0</v>
      </c>
      <c r="Q327" s="130">
        <v>0</v>
      </c>
      <c r="R327" s="130">
        <v>0</v>
      </c>
      <c r="S327" s="130">
        <v>0</v>
      </c>
      <c r="T327" s="130">
        <v>0</v>
      </c>
      <c r="U327" s="130">
        <v>0</v>
      </c>
      <c r="V327" s="524">
        <v>0</v>
      </c>
      <c r="W327" s="130">
        <v>0</v>
      </c>
      <c r="X327" s="130">
        <v>0</v>
      </c>
      <c r="Y327" s="130">
        <v>0</v>
      </c>
      <c r="Z327" s="130">
        <v>0</v>
      </c>
      <c r="AA327" s="158" t="s">
        <v>2078</v>
      </c>
      <c r="AB327" s="159"/>
      <c r="AC327" s="159"/>
      <c r="AD327" s="159"/>
      <c r="AE327" s="158" t="b">
        <f>IF(AB327="",TRUE,IF(IF(AC327="",VLOOKUP(AB327,Calculs!$A$19:$S$425,19,FALSE),VLOOKUP(AC327,Calculs!$A$19:$S$425,19,FALSE))&gt;=AD327,TRUE,FALSE))</f>
        <v>1</v>
      </c>
      <c r="AF327" s="159"/>
      <c r="AG327" s="159"/>
      <c r="AH327" s="159"/>
      <c r="AI327" s="158" t="b">
        <f>IF(AF327="",TRUE,IF(IF(AG327="",VLOOKUP(AF327,Calculs!$A$19:$S$425,19,FALSE),VLOOKUP(AG327,Calculs!$A$19:$S$425,19,FALSE))&gt;=AH327,TRUE,FALSE))</f>
        <v>1</v>
      </c>
      <c r="AJ327" s="159"/>
      <c r="AK327" s="159"/>
      <c r="AL327" s="159"/>
      <c r="AM327" s="158" t="b">
        <f>IF(AJ327="",TRUE,IF(IF(AK327="",VLOOKUP(AJ327,Calculs!$A$19:$S$425,19,FALSE),VLOOKUP(AK327,Calculs!$A$19:$S$425,19,FALSE))&gt;=AL327,TRUE,FALSE))</f>
        <v>1</v>
      </c>
      <c r="AN327" s="159"/>
      <c r="AO327" s="159"/>
      <c r="AP327" s="159"/>
      <c r="AQ327" s="158" t="b">
        <f>IF(AN327="",TRUE,IF(IF(AO327="",VLOOKUP(AN327,Calculs!$A$19:$S$425,19,FALSE),VLOOKUP(AO327,Calculs!$A$19:$S$425,19,FALSE))&gt;=AP327,TRUE,FALSE))</f>
        <v>1</v>
      </c>
      <c r="AR327" s="158"/>
      <c r="AS327" s="158" t="b">
        <f>IF(AR327="",TRUE,IF(VLOOKUP(AR327,Calculs!$A$427:$G$738,7,FALSE)&gt;0,TRUE,FALSE))</f>
        <v>1</v>
      </c>
      <c r="AT327" s="158"/>
      <c r="AU327" s="158" t="b">
        <f>IF(AT327="",TRUE,IF(VLOOKUP(AT327,Calculs!$A$740:$G$912,7,FALSE)&gt;0,TRUE,FALSE))</f>
        <v>1</v>
      </c>
      <c r="AV327" s="158" t="b">
        <f t="shared" si="37"/>
        <v>1</v>
      </c>
      <c r="AW327" s="158" t="s">
        <v>2078</v>
      </c>
      <c r="AX327" s="162" t="s">
        <v>6816</v>
      </c>
      <c r="AY327" s="15">
        <v>41</v>
      </c>
      <c r="AZ327" s="555" t="s">
        <v>8804</v>
      </c>
      <c r="BA327" s="559">
        <f>IF(Verso!$B$10=Voies!$B327,1,0)</f>
        <v>0</v>
      </c>
      <c r="BB327" s="12">
        <f>IF(Verso!$B$11=Voies!$B327,1,0)</f>
        <v>0</v>
      </c>
      <c r="BC327" s="12">
        <f>IF(Verso!$B$12=Voies!$B327,1,0)</f>
        <v>0</v>
      </c>
      <c r="BD327" s="12">
        <f>IF(Verso!$B$13=Voies!$B327,1,0)</f>
        <v>0</v>
      </c>
      <c r="BE327" s="12">
        <f>IF(Verso!$B$14=Voies!$B327,1,0)</f>
        <v>0</v>
      </c>
      <c r="BF327" s="12">
        <f>IF(Verso!$B$15=Voies!$B327,1,0)</f>
        <v>0</v>
      </c>
      <c r="BG327" s="12">
        <f>IF(Verso!$B$16=Voies!$B327,1,0)</f>
        <v>0</v>
      </c>
      <c r="BH327" s="12">
        <f>IF(Verso!$B$17=Voies!$B327,1,0)</f>
        <v>0</v>
      </c>
      <c r="BI327" s="557">
        <f t="shared" si="38"/>
        <v>0</v>
      </c>
      <c r="BJ327" s="196" t="str">
        <f t="shared" si="39"/>
        <v/>
      </c>
      <c r="BK327" s="196" t="str">
        <f t="shared" si="40"/>
        <v/>
      </c>
      <c r="BL327" s="295" t="str">
        <f t="shared" si="41"/>
        <v/>
      </c>
      <c r="BM327" s="91"/>
    </row>
    <row r="328" spans="1:65" s="196" customFormat="1" ht="47.25" customHeight="1" x14ac:dyDescent="0.25">
      <c r="A328" s="162" t="str">
        <f>IF(AND(Réputation&gt;Voies!E328-1,OR(C328=TRUE,Calculs!$I$8&gt;0),Air&gt;Voies!J328-1,Eau&gt;Voies!K328-1,Feu&gt;Voies!L328-1,Terre&gt;Voies!M328-1,Vide&gt;Voies!N328-1,Constitution&gt;Voies!O328-1,Volonté&gt;Voies!P328-1,Force&gt;Voies!Q328-1,Perception&gt;Voies!R328-1,Reflexes&gt;Voies!S328-1,Agilité&gt;Voies!T328-1,Intuition&gt;Voies!U328-1,Intelligence&gt;Voies!V328-1,Souillure&gt;Voies!W328-1,Honneur&gt;X328-1,Statut&gt;Y328-1,Gloire&gt;Z328-1,AV328=TRUE),Voies!B328,"")</f>
        <v/>
      </c>
      <c r="B328" s="162" t="s">
        <v>8798</v>
      </c>
      <c r="C328" s="162" t="b">
        <f>IF(Clan=Voies!D328,TRUE,FALSE)</f>
        <v>0</v>
      </c>
      <c r="D328" s="387" t="s">
        <v>8787</v>
      </c>
      <c r="E328" s="199">
        <v>5</v>
      </c>
      <c r="F328" s="199">
        <v>5</v>
      </c>
      <c r="G328" s="199" t="s">
        <v>2049</v>
      </c>
      <c r="H328" s="219" t="s">
        <v>8786</v>
      </c>
      <c r="I328" s="129" t="s">
        <v>3370</v>
      </c>
      <c r="J328" s="146">
        <v>0</v>
      </c>
      <c r="K328" s="147">
        <v>0</v>
      </c>
      <c r="L328" s="148">
        <v>0</v>
      </c>
      <c r="M328" s="149">
        <v>0</v>
      </c>
      <c r="N328" s="150">
        <v>0</v>
      </c>
      <c r="O328" s="130">
        <v>0</v>
      </c>
      <c r="P328" s="130">
        <v>0</v>
      </c>
      <c r="Q328" s="130">
        <v>0</v>
      </c>
      <c r="R328" s="130">
        <v>0</v>
      </c>
      <c r="S328" s="130">
        <v>0</v>
      </c>
      <c r="T328" s="130">
        <v>0</v>
      </c>
      <c r="U328" s="130">
        <v>0</v>
      </c>
      <c r="V328" s="524">
        <v>0</v>
      </c>
      <c r="W328" s="130">
        <v>0</v>
      </c>
      <c r="X328" s="130">
        <v>0</v>
      </c>
      <c r="Y328" s="130">
        <v>0</v>
      </c>
      <c r="Z328" s="130">
        <v>0</v>
      </c>
      <c r="AA328" s="158" t="s">
        <v>2078</v>
      </c>
      <c r="AB328" s="159"/>
      <c r="AC328" s="159"/>
      <c r="AD328" s="159"/>
      <c r="AE328" s="158" t="b">
        <f>IF(AB328="",TRUE,IF(IF(AC328="",VLOOKUP(AB328,Calculs!$A$19:$S$425,19,FALSE),VLOOKUP(AC328,Calculs!$A$19:$S$425,19,FALSE))&gt;=AD328,TRUE,FALSE))</f>
        <v>1</v>
      </c>
      <c r="AF328" s="159"/>
      <c r="AG328" s="159"/>
      <c r="AH328" s="159"/>
      <c r="AI328" s="158" t="b">
        <f>IF(AF328="",TRUE,IF(IF(AG328="",VLOOKUP(AF328,Calculs!$A$19:$S$425,19,FALSE),VLOOKUP(AG328,Calculs!$A$19:$S$425,19,FALSE))&gt;=AH328,TRUE,FALSE))</f>
        <v>1</v>
      </c>
      <c r="AJ328" s="159"/>
      <c r="AK328" s="159"/>
      <c r="AL328" s="159"/>
      <c r="AM328" s="158" t="b">
        <f>IF(AJ328="",TRUE,IF(IF(AK328="",VLOOKUP(AJ328,Calculs!$A$19:$S$425,19,FALSE),VLOOKUP(AK328,Calculs!$A$19:$S$425,19,FALSE))&gt;=AL328,TRUE,FALSE))</f>
        <v>1</v>
      </c>
      <c r="AN328" s="159"/>
      <c r="AO328" s="159"/>
      <c r="AP328" s="159"/>
      <c r="AQ328" s="158" t="b">
        <f>IF(AN328="",TRUE,IF(IF(AO328="",VLOOKUP(AN328,Calculs!$A$19:$S$425,19,FALSE),VLOOKUP(AO328,Calculs!$A$19:$S$425,19,FALSE))&gt;=AP328,TRUE,FALSE))</f>
        <v>1</v>
      </c>
      <c r="AR328" s="158"/>
      <c r="AS328" s="158" t="b">
        <f>IF(AR328="",TRUE,IF(VLOOKUP(AR328,Calculs!$A$427:$G$738,7,FALSE)&gt;0,TRUE,FALSE))</f>
        <v>1</v>
      </c>
      <c r="AT328" s="158"/>
      <c r="AU328" s="158" t="b">
        <f>IF(AT328="",TRUE,IF(VLOOKUP(AT328,Calculs!$A$740:$G$912,7,FALSE)&gt;0,TRUE,FALSE))</f>
        <v>1</v>
      </c>
      <c r="AV328" s="158" t="b">
        <f t="shared" si="37"/>
        <v>1</v>
      </c>
      <c r="AW328" s="158" t="s">
        <v>2078</v>
      </c>
      <c r="AX328" s="162" t="s">
        <v>6816</v>
      </c>
      <c r="AY328" s="15">
        <v>41</v>
      </c>
      <c r="AZ328" s="555" t="s">
        <v>8805</v>
      </c>
      <c r="BA328" s="559">
        <f>IF(Verso!$B$10=Voies!$B328,1,0)</f>
        <v>0</v>
      </c>
      <c r="BB328" s="12">
        <f>IF(Verso!$B$11=Voies!$B328,1,0)</f>
        <v>0</v>
      </c>
      <c r="BC328" s="12">
        <f>IF(Verso!$B$12=Voies!$B328,1,0)</f>
        <v>0</v>
      </c>
      <c r="BD328" s="12">
        <f>IF(Verso!$B$13=Voies!$B328,1,0)</f>
        <v>0</v>
      </c>
      <c r="BE328" s="12">
        <f>IF(Verso!$B$14=Voies!$B328,1,0)</f>
        <v>0</v>
      </c>
      <c r="BF328" s="12">
        <f>IF(Verso!$B$15=Voies!$B328,1,0)</f>
        <v>0</v>
      </c>
      <c r="BG328" s="12">
        <f>IF(Verso!$B$16=Voies!$B328,1,0)</f>
        <v>0</v>
      </c>
      <c r="BH328" s="12">
        <f>IF(Verso!$B$17=Voies!$B328,1,0)</f>
        <v>0</v>
      </c>
      <c r="BI328" s="557">
        <f t="shared" si="38"/>
        <v>0</v>
      </c>
      <c r="BJ328" s="196" t="str">
        <f t="shared" si="39"/>
        <v/>
      </c>
      <c r="BK328" s="196" t="str">
        <f t="shared" si="40"/>
        <v/>
      </c>
      <c r="BL328" s="295" t="str">
        <f t="shared" si="41"/>
        <v/>
      </c>
      <c r="BM328" s="91"/>
    </row>
    <row r="329" spans="1:65" s="196" customFormat="1" ht="47.25" customHeight="1" x14ac:dyDescent="0.25">
      <c r="A329" s="162" t="str">
        <f>IF(AND(Réputation&gt;Voies!E329-1,OR(C329=TRUE,Calculs!$I$8&gt;0),Air&gt;Voies!J329-1,Eau&gt;Voies!K329-1,Feu&gt;Voies!L329-1,Terre&gt;Voies!M329-1,Vide&gt;Voies!N329-1,Constitution&gt;Voies!O329-1,Volonté&gt;Voies!P329-1,Force&gt;Voies!Q329-1,Perception&gt;Voies!R329-1,Reflexes&gt;Voies!S329-1,Agilité&gt;Voies!T329-1,Intuition&gt;Voies!U329-1,Intelligence&gt;Voies!V329-1,Souillure&gt;Voies!W329-1,Honneur&gt;X329-1,Statut&gt;Y329-1,Gloire&gt;Z329-1,AV329=TRUE),Voies!B329,"")</f>
        <v/>
      </c>
      <c r="B329" s="162" t="s">
        <v>7134</v>
      </c>
      <c r="C329" s="162" t="b">
        <f>IF(Clan=Voies!D329,TRUE,FALSE)</f>
        <v>0</v>
      </c>
      <c r="D329" s="466" t="s">
        <v>6792</v>
      </c>
      <c r="E329" s="199">
        <v>1</v>
      </c>
      <c r="F329" s="199">
        <v>1</v>
      </c>
      <c r="G329" s="199" t="s">
        <v>2049</v>
      </c>
      <c r="H329" s="162" t="s">
        <v>6967</v>
      </c>
      <c r="I329" s="129" t="str">
        <f t="shared" ref="I329:I335" si="42">IF(B329="","","Rien")</f>
        <v>Rien</v>
      </c>
      <c r="J329" s="146">
        <v>0</v>
      </c>
      <c r="K329" s="147">
        <v>0</v>
      </c>
      <c r="L329" s="148">
        <v>0</v>
      </c>
      <c r="M329" s="149">
        <v>0</v>
      </c>
      <c r="N329" s="150">
        <v>0</v>
      </c>
      <c r="O329" s="130">
        <v>0</v>
      </c>
      <c r="P329" s="130">
        <v>0</v>
      </c>
      <c r="Q329" s="130">
        <v>0</v>
      </c>
      <c r="R329" s="130">
        <v>0</v>
      </c>
      <c r="S329" s="130">
        <v>0</v>
      </c>
      <c r="T329" s="130">
        <v>0</v>
      </c>
      <c r="U329" s="130">
        <v>0</v>
      </c>
      <c r="V329" s="524">
        <v>0</v>
      </c>
      <c r="W329" s="130">
        <v>0</v>
      </c>
      <c r="X329" s="130">
        <v>0</v>
      </c>
      <c r="Y329" s="130">
        <v>0</v>
      </c>
      <c r="Z329" s="130">
        <v>0</v>
      </c>
      <c r="AA329" s="158" t="s">
        <v>2078</v>
      </c>
      <c r="AB329" s="158"/>
      <c r="AC329" s="158"/>
      <c r="AD329" s="158"/>
      <c r="AE329" s="158" t="b">
        <f>IF(AB329="",TRUE,IF(IF(AC329="",VLOOKUP(AB329,Calculs!$A$19:$S$425,19,FALSE),VLOOKUP(AC329,Calculs!$A$19:$S$425,19,FALSE))&gt;=AD329,TRUE,FALSE))</f>
        <v>1</v>
      </c>
      <c r="AF329" s="158"/>
      <c r="AG329" s="158"/>
      <c r="AH329" s="158"/>
      <c r="AI329" s="158" t="b">
        <f>IF(AF329="",TRUE,IF(IF(AG329="",VLOOKUP(AF329,Calculs!$A$19:$S$425,19,FALSE),VLOOKUP(AG329,Calculs!$A$19:$S$425,19,FALSE))&gt;=AH329,TRUE,FALSE))</f>
        <v>1</v>
      </c>
      <c r="AJ329" s="158"/>
      <c r="AK329" s="158"/>
      <c r="AL329" s="158"/>
      <c r="AM329" s="158" t="b">
        <f>IF(AJ329="",TRUE,IF(IF(AK329="",VLOOKUP(AJ329,Calculs!$A$19:$S$425,19,FALSE),VLOOKUP(AK329,Calculs!$A$19:$S$425,19,FALSE))&gt;=AL329,TRUE,FALSE))</f>
        <v>1</v>
      </c>
      <c r="AN329" s="158"/>
      <c r="AO329" s="158"/>
      <c r="AP329" s="158"/>
      <c r="AQ329" s="158" t="b">
        <f>IF(AN329="",TRUE,IF(IF(AO329="",VLOOKUP(AN329,Calculs!$A$19:$S$425,19,FALSE),VLOOKUP(AO329,Calculs!$A$19:$S$425,19,FALSE))&gt;=AP329,TRUE,FALSE))</f>
        <v>1</v>
      </c>
      <c r="AR329" s="158"/>
      <c r="AS329" s="158" t="b">
        <f>IF(AR329="",TRUE,IF(VLOOKUP(AR329,Calculs!$A$427:$G$738,7,FALSE)&gt;0,TRUE,FALSE))</f>
        <v>1</v>
      </c>
      <c r="AT329" s="158"/>
      <c r="AU329" s="158" t="b">
        <f>IF(AT329="",TRUE,IF(VLOOKUP(AT329,Calculs!$A$740:$G$912,7,FALSE)&gt;0,TRUE,FALSE))</f>
        <v>1</v>
      </c>
      <c r="AV329" s="158" t="b">
        <f t="shared" si="37"/>
        <v>1</v>
      </c>
      <c r="AW329" s="158" t="s">
        <v>2078</v>
      </c>
      <c r="AX329" s="162" t="s">
        <v>6816</v>
      </c>
      <c r="AY329" s="15">
        <v>111</v>
      </c>
      <c r="AZ329" s="555" t="s">
        <v>7139</v>
      </c>
      <c r="BA329" s="559">
        <f>IF(Verso!$B$10=Voies!$B329,1,0)</f>
        <v>0</v>
      </c>
      <c r="BB329" s="12">
        <f>IF(Verso!$B$11=Voies!$B329,1,0)</f>
        <v>0</v>
      </c>
      <c r="BC329" s="12">
        <f>IF(Verso!$B$12=Voies!$B329,1,0)</f>
        <v>0</v>
      </c>
      <c r="BD329" s="12">
        <f>IF(Verso!$B$13=Voies!$B329,1,0)</f>
        <v>0</v>
      </c>
      <c r="BE329" s="12">
        <f>IF(Verso!$B$14=Voies!$B329,1,0)</f>
        <v>0</v>
      </c>
      <c r="BF329" s="12">
        <f>IF(Verso!$B$15=Voies!$B329,1,0)</f>
        <v>0</v>
      </c>
      <c r="BG329" s="12">
        <f>IF(Verso!$B$16=Voies!$B329,1,0)</f>
        <v>0</v>
      </c>
      <c r="BH329" s="12">
        <f>IF(Verso!$B$17=Voies!$B329,1,0)</f>
        <v>0</v>
      </c>
      <c r="BI329" s="557">
        <f t="shared" si="38"/>
        <v>0</v>
      </c>
      <c r="BJ329" s="196" t="str">
        <f t="shared" si="39"/>
        <v/>
      </c>
      <c r="BK329" s="196" t="str">
        <f t="shared" si="40"/>
        <v/>
      </c>
      <c r="BL329" s="295" t="str">
        <f t="shared" si="41"/>
        <v/>
      </c>
      <c r="BM329" s="91"/>
    </row>
    <row r="330" spans="1:65" s="196" customFormat="1" ht="47.25" customHeight="1" x14ac:dyDescent="0.25">
      <c r="A330" s="162" t="str">
        <f>IF(AND(Réputation&gt;Voies!E330-1,OR(C330=TRUE,Calculs!$I$8&gt;0),Air&gt;Voies!J330-1,Eau&gt;Voies!K330-1,Feu&gt;Voies!L330-1,Terre&gt;Voies!M330-1,Vide&gt;Voies!N330-1,Constitution&gt;Voies!O330-1,Volonté&gt;Voies!P330-1,Force&gt;Voies!Q330-1,Perception&gt;Voies!R330-1,Reflexes&gt;Voies!S330-1,Agilité&gt;Voies!T330-1,Intuition&gt;Voies!U330-1,Intelligence&gt;Voies!V330-1,Souillure&gt;Voies!W330-1,Honneur&gt;X330-1,Statut&gt;Y330-1,Gloire&gt;Z330-1,AV330=TRUE),Voies!B330,"")</f>
        <v/>
      </c>
      <c r="B330" s="162" t="s">
        <v>7135</v>
      </c>
      <c r="C330" s="162" t="b">
        <f>IF(Clan=Voies!D330,TRUE,FALSE)</f>
        <v>0</v>
      </c>
      <c r="D330" s="466" t="s">
        <v>6792</v>
      </c>
      <c r="E330" s="199">
        <v>2</v>
      </c>
      <c r="F330" s="199">
        <v>2</v>
      </c>
      <c r="G330" s="199" t="s">
        <v>2049</v>
      </c>
      <c r="H330" s="162" t="s">
        <v>6967</v>
      </c>
      <c r="I330" s="129" t="str">
        <f t="shared" si="42"/>
        <v>Rien</v>
      </c>
      <c r="J330" s="146">
        <v>0</v>
      </c>
      <c r="K330" s="147">
        <v>0</v>
      </c>
      <c r="L330" s="148">
        <v>0</v>
      </c>
      <c r="M330" s="149">
        <v>0</v>
      </c>
      <c r="N330" s="150">
        <v>0</v>
      </c>
      <c r="O330" s="130">
        <v>0</v>
      </c>
      <c r="P330" s="130">
        <v>0</v>
      </c>
      <c r="Q330" s="130">
        <v>0</v>
      </c>
      <c r="R330" s="130">
        <v>0</v>
      </c>
      <c r="S330" s="130">
        <v>0</v>
      </c>
      <c r="T330" s="130">
        <v>0</v>
      </c>
      <c r="U330" s="130">
        <v>0</v>
      </c>
      <c r="V330" s="524">
        <v>0</v>
      </c>
      <c r="W330" s="130">
        <v>0</v>
      </c>
      <c r="X330" s="130">
        <v>0</v>
      </c>
      <c r="Y330" s="130">
        <v>0</v>
      </c>
      <c r="Z330" s="130">
        <v>0</v>
      </c>
      <c r="AA330" s="158" t="s">
        <v>2078</v>
      </c>
      <c r="AB330" s="158"/>
      <c r="AC330" s="158"/>
      <c r="AD330" s="158"/>
      <c r="AE330" s="158" t="b">
        <f>IF(AB330="",TRUE,IF(IF(AC330="",VLOOKUP(AB330,Calculs!$A$19:$S$425,19,FALSE),VLOOKUP(AC330,Calculs!$A$19:$S$425,19,FALSE))&gt;=AD330,TRUE,FALSE))</f>
        <v>1</v>
      </c>
      <c r="AF330" s="158"/>
      <c r="AG330" s="158"/>
      <c r="AH330" s="158"/>
      <c r="AI330" s="158" t="b">
        <f>IF(AF330="",TRUE,IF(IF(AG330="",VLOOKUP(AF330,Calculs!$A$19:$S$425,19,FALSE),VLOOKUP(AG330,Calculs!$A$19:$S$425,19,FALSE))&gt;=AH330,TRUE,FALSE))</f>
        <v>1</v>
      </c>
      <c r="AJ330" s="158"/>
      <c r="AK330" s="158"/>
      <c r="AL330" s="158"/>
      <c r="AM330" s="158" t="b">
        <f>IF(AJ330="",TRUE,IF(IF(AK330="",VLOOKUP(AJ330,Calculs!$A$19:$S$425,19,FALSE),VLOOKUP(AK330,Calculs!$A$19:$S$425,19,FALSE))&gt;=AL330,TRUE,FALSE))</f>
        <v>1</v>
      </c>
      <c r="AN330" s="158"/>
      <c r="AO330" s="158"/>
      <c r="AP330" s="158"/>
      <c r="AQ330" s="158" t="b">
        <f>IF(AN330="",TRUE,IF(IF(AO330="",VLOOKUP(AN330,Calculs!$A$19:$S$425,19,FALSE),VLOOKUP(AO330,Calculs!$A$19:$S$425,19,FALSE))&gt;=AP330,TRUE,FALSE))</f>
        <v>1</v>
      </c>
      <c r="AR330" s="158"/>
      <c r="AS330" s="158" t="b">
        <f>IF(AR330="",TRUE,IF(VLOOKUP(AR330,Calculs!$A$427:$G$738,7,FALSE)&gt;0,TRUE,FALSE))</f>
        <v>1</v>
      </c>
      <c r="AT330" s="158"/>
      <c r="AU330" s="158" t="b">
        <f>IF(AT330="",TRUE,IF(VLOOKUP(AT330,Calculs!$A$740:$G$912,7,FALSE)&gt;0,TRUE,FALSE))</f>
        <v>1</v>
      </c>
      <c r="AV330" s="158" t="b">
        <f t="shared" si="37"/>
        <v>1</v>
      </c>
      <c r="AW330" s="158" t="s">
        <v>2078</v>
      </c>
      <c r="AX330" s="162" t="s">
        <v>6816</v>
      </c>
      <c r="AY330" s="15">
        <v>111</v>
      </c>
      <c r="AZ330" s="555" t="s">
        <v>7140</v>
      </c>
      <c r="BA330" s="559">
        <f>IF(Verso!$B$10=Voies!$B330,1,0)</f>
        <v>0</v>
      </c>
      <c r="BB330" s="12">
        <f>IF(Verso!$B$11=Voies!$B330,1,0)</f>
        <v>0</v>
      </c>
      <c r="BC330" s="12">
        <f>IF(Verso!$B$12=Voies!$B330,1,0)</f>
        <v>0</v>
      </c>
      <c r="BD330" s="12">
        <f>IF(Verso!$B$13=Voies!$B330,1,0)</f>
        <v>0</v>
      </c>
      <c r="BE330" s="12">
        <f>IF(Verso!$B$14=Voies!$B330,1,0)</f>
        <v>0</v>
      </c>
      <c r="BF330" s="12">
        <f>IF(Verso!$B$15=Voies!$B330,1,0)</f>
        <v>0</v>
      </c>
      <c r="BG330" s="12">
        <f>IF(Verso!$B$16=Voies!$B330,1,0)</f>
        <v>0</v>
      </c>
      <c r="BH330" s="12">
        <f>IF(Verso!$B$17=Voies!$B330,1,0)</f>
        <v>0</v>
      </c>
      <c r="BI330" s="557">
        <f t="shared" si="38"/>
        <v>0</v>
      </c>
      <c r="BJ330" s="196" t="str">
        <f t="shared" si="39"/>
        <v/>
      </c>
      <c r="BK330" s="196" t="str">
        <f t="shared" si="40"/>
        <v/>
      </c>
      <c r="BL330" s="295" t="str">
        <f t="shared" si="41"/>
        <v/>
      </c>
      <c r="BM330" s="91"/>
    </row>
    <row r="331" spans="1:65" s="196" customFormat="1" ht="47.25" customHeight="1" x14ac:dyDescent="0.25">
      <c r="A331" s="162" t="str">
        <f>IF(AND(Réputation&gt;Voies!E331-1,OR(C331=TRUE,Calculs!$I$8&gt;0),Air&gt;Voies!J331-1,Eau&gt;Voies!K331-1,Feu&gt;Voies!L331-1,Terre&gt;Voies!M331-1,Vide&gt;Voies!N331-1,Constitution&gt;Voies!O331-1,Volonté&gt;Voies!P331-1,Force&gt;Voies!Q331-1,Perception&gt;Voies!R331-1,Reflexes&gt;Voies!S331-1,Agilité&gt;Voies!T331-1,Intuition&gt;Voies!U331-1,Intelligence&gt;Voies!V331-1,Souillure&gt;Voies!W331-1,Honneur&gt;X331-1,Statut&gt;Y331-1,Gloire&gt;Z331-1,AV331=TRUE),Voies!B331,"")</f>
        <v/>
      </c>
      <c r="B331" s="162" t="s">
        <v>7136</v>
      </c>
      <c r="C331" s="162" t="b">
        <f>IF(Clan=Voies!D331,TRUE,FALSE)</f>
        <v>0</v>
      </c>
      <c r="D331" s="466" t="s">
        <v>6792</v>
      </c>
      <c r="E331" s="199">
        <v>3</v>
      </c>
      <c r="F331" s="199">
        <v>3</v>
      </c>
      <c r="G331" s="199" t="s">
        <v>2049</v>
      </c>
      <c r="H331" s="162" t="s">
        <v>6967</v>
      </c>
      <c r="I331" s="129" t="str">
        <f t="shared" si="42"/>
        <v>Rien</v>
      </c>
      <c r="J331" s="146">
        <v>0</v>
      </c>
      <c r="K331" s="147">
        <v>0</v>
      </c>
      <c r="L331" s="148">
        <v>0</v>
      </c>
      <c r="M331" s="149">
        <v>0</v>
      </c>
      <c r="N331" s="150">
        <v>0</v>
      </c>
      <c r="O331" s="130">
        <v>0</v>
      </c>
      <c r="P331" s="130">
        <v>0</v>
      </c>
      <c r="Q331" s="130">
        <v>0</v>
      </c>
      <c r="R331" s="130">
        <v>0</v>
      </c>
      <c r="S331" s="130">
        <v>0</v>
      </c>
      <c r="T331" s="130">
        <v>0</v>
      </c>
      <c r="U331" s="130">
        <v>0</v>
      </c>
      <c r="V331" s="524">
        <v>0</v>
      </c>
      <c r="W331" s="130">
        <v>0</v>
      </c>
      <c r="X331" s="130">
        <v>0</v>
      </c>
      <c r="Y331" s="130">
        <v>0</v>
      </c>
      <c r="Z331" s="130">
        <v>0</v>
      </c>
      <c r="AA331" s="158" t="s">
        <v>2078</v>
      </c>
      <c r="AB331" s="158"/>
      <c r="AC331" s="158"/>
      <c r="AD331" s="158"/>
      <c r="AE331" s="158" t="b">
        <f>IF(AB331="",TRUE,IF(IF(AC331="",VLOOKUP(AB331,Calculs!$A$19:$S$425,19,FALSE),VLOOKUP(AC331,Calculs!$A$19:$S$425,19,FALSE))&gt;=AD331,TRUE,FALSE))</f>
        <v>1</v>
      </c>
      <c r="AF331" s="158"/>
      <c r="AG331" s="158"/>
      <c r="AH331" s="158"/>
      <c r="AI331" s="158" t="b">
        <f>IF(AF331="",TRUE,IF(IF(AG331="",VLOOKUP(AF331,Calculs!$A$19:$S$425,19,FALSE),VLOOKUP(AG331,Calculs!$A$19:$S$425,19,FALSE))&gt;=AH331,TRUE,FALSE))</f>
        <v>1</v>
      </c>
      <c r="AJ331" s="158"/>
      <c r="AK331" s="158"/>
      <c r="AL331" s="158"/>
      <c r="AM331" s="158" t="b">
        <f>IF(AJ331="",TRUE,IF(IF(AK331="",VLOOKUP(AJ331,Calculs!$A$19:$S$425,19,FALSE),VLOOKUP(AK331,Calculs!$A$19:$S$425,19,FALSE))&gt;=AL331,TRUE,FALSE))</f>
        <v>1</v>
      </c>
      <c r="AN331" s="158"/>
      <c r="AO331" s="158"/>
      <c r="AP331" s="158"/>
      <c r="AQ331" s="158" t="b">
        <f>IF(AN331="",TRUE,IF(IF(AO331="",VLOOKUP(AN331,Calculs!$A$19:$S$425,19,FALSE),VLOOKUP(AO331,Calculs!$A$19:$S$425,19,FALSE))&gt;=AP331,TRUE,FALSE))</f>
        <v>1</v>
      </c>
      <c r="AR331" s="158"/>
      <c r="AS331" s="158" t="b">
        <f>IF(AR331="",TRUE,IF(VLOOKUP(AR331,Calculs!$A$427:$G$738,7,FALSE)&gt;0,TRUE,FALSE))</f>
        <v>1</v>
      </c>
      <c r="AT331" s="158"/>
      <c r="AU331" s="158" t="b">
        <f>IF(AT331="",TRUE,IF(VLOOKUP(AT331,Calculs!$A$740:$G$912,7,FALSE)&gt;0,TRUE,FALSE))</f>
        <v>1</v>
      </c>
      <c r="AV331" s="158" t="b">
        <f t="shared" si="37"/>
        <v>1</v>
      </c>
      <c r="AW331" s="158" t="s">
        <v>2078</v>
      </c>
      <c r="AX331" s="162" t="s">
        <v>6816</v>
      </c>
      <c r="AY331" s="15">
        <v>111</v>
      </c>
      <c r="AZ331" s="555" t="s">
        <v>8546</v>
      </c>
      <c r="BA331" s="559">
        <f>IF(Verso!$B$10=Voies!$B331,1,0)</f>
        <v>0</v>
      </c>
      <c r="BB331" s="12">
        <f>IF(Verso!$B$11=Voies!$B331,1,0)</f>
        <v>0</v>
      </c>
      <c r="BC331" s="12">
        <f>IF(Verso!$B$12=Voies!$B331,1,0)</f>
        <v>0</v>
      </c>
      <c r="BD331" s="12">
        <f>IF(Verso!$B$13=Voies!$B331,1,0)</f>
        <v>0</v>
      </c>
      <c r="BE331" s="12">
        <f>IF(Verso!$B$14=Voies!$B331,1,0)</f>
        <v>0</v>
      </c>
      <c r="BF331" s="12">
        <f>IF(Verso!$B$15=Voies!$B331,1,0)</f>
        <v>0</v>
      </c>
      <c r="BG331" s="12">
        <f>IF(Verso!$B$16=Voies!$B331,1,0)</f>
        <v>0</v>
      </c>
      <c r="BH331" s="12">
        <f>IF(Verso!$B$17=Voies!$B331,1,0)</f>
        <v>0</v>
      </c>
      <c r="BI331" s="557">
        <f t="shared" si="38"/>
        <v>0</v>
      </c>
      <c r="BJ331" s="196" t="str">
        <f t="shared" si="39"/>
        <v/>
      </c>
      <c r="BK331" s="196" t="str">
        <f t="shared" si="40"/>
        <v/>
      </c>
      <c r="BL331" s="295" t="str">
        <f t="shared" si="41"/>
        <v/>
      </c>
      <c r="BM331" s="91"/>
    </row>
    <row r="332" spans="1:65" s="196" customFormat="1" ht="47.25" customHeight="1" x14ac:dyDescent="0.25">
      <c r="A332" s="162" t="str">
        <f>IF(AND(Réputation&gt;Voies!E332-1,OR(C332=TRUE,Calculs!$I$8&gt;0),Air&gt;Voies!J332-1,Eau&gt;Voies!K332-1,Feu&gt;Voies!L332-1,Terre&gt;Voies!M332-1,Vide&gt;Voies!N332-1,Constitution&gt;Voies!O332-1,Volonté&gt;Voies!P332-1,Force&gt;Voies!Q332-1,Perception&gt;Voies!R332-1,Reflexes&gt;Voies!S332-1,Agilité&gt;Voies!T332-1,Intuition&gt;Voies!U332-1,Intelligence&gt;Voies!V332-1,Souillure&gt;Voies!W332-1,Honneur&gt;X332-1,Statut&gt;Y332-1,Gloire&gt;Z332-1,AV332=TRUE),Voies!B332,"")</f>
        <v/>
      </c>
      <c r="B332" s="162" t="s">
        <v>7137</v>
      </c>
      <c r="C332" s="162" t="b">
        <f>IF(Clan=Voies!D332,TRUE,FALSE)</f>
        <v>0</v>
      </c>
      <c r="D332" s="466" t="s">
        <v>6792</v>
      </c>
      <c r="E332" s="199">
        <v>4</v>
      </c>
      <c r="F332" s="199">
        <v>4</v>
      </c>
      <c r="G332" s="199" t="s">
        <v>2049</v>
      </c>
      <c r="H332" s="162" t="s">
        <v>6967</v>
      </c>
      <c r="I332" s="129" t="str">
        <f t="shared" si="42"/>
        <v>Rien</v>
      </c>
      <c r="J332" s="146">
        <v>0</v>
      </c>
      <c r="K332" s="147">
        <v>0</v>
      </c>
      <c r="L332" s="148">
        <v>0</v>
      </c>
      <c r="M332" s="149">
        <v>0</v>
      </c>
      <c r="N332" s="150">
        <v>0</v>
      </c>
      <c r="O332" s="130">
        <v>0</v>
      </c>
      <c r="P332" s="130">
        <v>0</v>
      </c>
      <c r="Q332" s="130">
        <v>0</v>
      </c>
      <c r="R332" s="130">
        <v>0</v>
      </c>
      <c r="S332" s="130">
        <v>0</v>
      </c>
      <c r="T332" s="130">
        <v>0</v>
      </c>
      <c r="U332" s="130">
        <v>0</v>
      </c>
      <c r="V332" s="524">
        <v>0</v>
      </c>
      <c r="W332" s="130">
        <v>0</v>
      </c>
      <c r="X332" s="130">
        <v>0</v>
      </c>
      <c r="Y332" s="130">
        <v>0</v>
      </c>
      <c r="Z332" s="130">
        <v>0</v>
      </c>
      <c r="AA332" s="158" t="s">
        <v>2078</v>
      </c>
      <c r="AB332" s="158"/>
      <c r="AC332" s="158"/>
      <c r="AD332" s="158"/>
      <c r="AE332" s="158" t="b">
        <f>IF(AB332="",TRUE,IF(IF(AC332="",VLOOKUP(AB332,Calculs!$A$19:$S$425,19,FALSE),VLOOKUP(AC332,Calculs!$A$19:$S$425,19,FALSE))&gt;=AD332,TRUE,FALSE))</f>
        <v>1</v>
      </c>
      <c r="AF332" s="158"/>
      <c r="AG332" s="158"/>
      <c r="AH332" s="158"/>
      <c r="AI332" s="158" t="b">
        <f>IF(AF332="",TRUE,IF(IF(AG332="",VLOOKUP(AF332,Calculs!$A$19:$S$425,19,FALSE),VLOOKUP(AG332,Calculs!$A$19:$S$425,19,FALSE))&gt;=AH332,TRUE,FALSE))</f>
        <v>1</v>
      </c>
      <c r="AJ332" s="158"/>
      <c r="AK332" s="158"/>
      <c r="AL332" s="158"/>
      <c r="AM332" s="158" t="b">
        <f>IF(AJ332="",TRUE,IF(IF(AK332="",VLOOKUP(AJ332,Calculs!$A$19:$S$425,19,FALSE),VLOOKUP(AK332,Calculs!$A$19:$S$425,19,FALSE))&gt;=AL332,TRUE,FALSE))</f>
        <v>1</v>
      </c>
      <c r="AN332" s="158"/>
      <c r="AO332" s="158"/>
      <c r="AP332" s="158"/>
      <c r="AQ332" s="158" t="b">
        <f>IF(AN332="",TRUE,IF(IF(AO332="",VLOOKUP(AN332,Calculs!$A$19:$S$425,19,FALSE),VLOOKUP(AO332,Calculs!$A$19:$S$425,19,FALSE))&gt;=AP332,TRUE,FALSE))</f>
        <v>1</v>
      </c>
      <c r="AR332" s="158"/>
      <c r="AS332" s="158" t="b">
        <f>IF(AR332="",TRUE,IF(VLOOKUP(AR332,Calculs!$A$427:$G$738,7,FALSE)&gt;0,TRUE,FALSE))</f>
        <v>1</v>
      </c>
      <c r="AT332" s="158"/>
      <c r="AU332" s="158" t="b">
        <f>IF(AT332="",TRUE,IF(VLOOKUP(AT332,Calculs!$A$740:$G$912,7,FALSE)&gt;0,TRUE,FALSE))</f>
        <v>1</v>
      </c>
      <c r="AV332" s="158" t="b">
        <f t="shared" si="37"/>
        <v>1</v>
      </c>
      <c r="AW332" s="158" t="s">
        <v>2078</v>
      </c>
      <c r="AX332" s="162" t="s">
        <v>6816</v>
      </c>
      <c r="AY332" s="15">
        <v>111</v>
      </c>
      <c r="AZ332" s="555" t="str">
        <f>CONCATENATE("Pour chaque adversaire (max: votre Rg. d'école) : +Xg0 à vos tests en posture du Centre où X= le nmbre de vos adversaires + ",Vide*2,". Gagnez une AG en position du Centre uniquemnt pour activer un Kata.")</f>
        <v>Pour chaque adversaire (max: votre Rg. d'école) : +Xg0 à vos tests en posture du Centre où X= le nmbre de vos adversaires + 4. Gagnez une AG en position du Centre uniquemnt pour activer un Kata.</v>
      </c>
      <c r="BA332" s="559">
        <f>IF(Verso!$B$10=Voies!$B332,1,0)</f>
        <v>0</v>
      </c>
      <c r="BB332" s="12">
        <f>IF(Verso!$B$11=Voies!$B332,1,0)</f>
        <v>0</v>
      </c>
      <c r="BC332" s="12">
        <f>IF(Verso!$B$12=Voies!$B332,1,0)</f>
        <v>0</v>
      </c>
      <c r="BD332" s="12">
        <f>IF(Verso!$B$13=Voies!$B332,1,0)</f>
        <v>0</v>
      </c>
      <c r="BE332" s="12">
        <f>IF(Verso!$B$14=Voies!$B332,1,0)</f>
        <v>0</v>
      </c>
      <c r="BF332" s="12">
        <f>IF(Verso!$B$15=Voies!$B332,1,0)</f>
        <v>0</v>
      </c>
      <c r="BG332" s="12">
        <f>IF(Verso!$B$16=Voies!$B332,1,0)</f>
        <v>0</v>
      </c>
      <c r="BH332" s="12">
        <f>IF(Verso!$B$17=Voies!$B332,1,0)</f>
        <v>0</v>
      </c>
      <c r="BI332" s="557">
        <f t="shared" si="38"/>
        <v>0</v>
      </c>
      <c r="BJ332" s="196" t="str">
        <f t="shared" si="39"/>
        <v/>
      </c>
      <c r="BK332" s="196" t="str">
        <f t="shared" si="40"/>
        <v/>
      </c>
      <c r="BL332" s="295" t="str">
        <f t="shared" si="41"/>
        <v/>
      </c>
      <c r="BM332" s="91"/>
    </row>
    <row r="333" spans="1:65" s="196" customFormat="1" ht="47.25" customHeight="1" x14ac:dyDescent="0.25">
      <c r="A333" s="162" t="str">
        <f>IF(AND(Réputation&gt;Voies!E333-1,OR(C333=TRUE,Calculs!$I$8&gt;0),Air&gt;Voies!J333-1,Eau&gt;Voies!K333-1,Feu&gt;Voies!L333-1,Terre&gt;Voies!M333-1,Vide&gt;Voies!N333-1,Constitution&gt;Voies!O333-1,Volonté&gt;Voies!P333-1,Force&gt;Voies!Q333-1,Perception&gt;Voies!R333-1,Reflexes&gt;Voies!S333-1,Agilité&gt;Voies!T333-1,Intuition&gt;Voies!U333-1,Intelligence&gt;Voies!V333-1,Souillure&gt;Voies!W333-1,Honneur&gt;X333-1,Statut&gt;Y333-1,Gloire&gt;Z333-1,AV333=TRUE),Voies!B333,"")</f>
        <v/>
      </c>
      <c r="B333" s="162" t="s">
        <v>7138</v>
      </c>
      <c r="C333" s="162" t="b">
        <f>IF(Clan=Voies!D333,TRUE,FALSE)</f>
        <v>0</v>
      </c>
      <c r="D333" s="466" t="s">
        <v>6792</v>
      </c>
      <c r="E333" s="199">
        <v>5</v>
      </c>
      <c r="F333" s="199">
        <v>5</v>
      </c>
      <c r="G333" s="199" t="s">
        <v>2049</v>
      </c>
      <c r="H333" s="162" t="s">
        <v>6967</v>
      </c>
      <c r="I333" s="129" t="str">
        <f t="shared" si="42"/>
        <v>Rien</v>
      </c>
      <c r="J333" s="146">
        <v>0</v>
      </c>
      <c r="K333" s="147">
        <v>0</v>
      </c>
      <c r="L333" s="148">
        <v>0</v>
      </c>
      <c r="M333" s="149">
        <v>0</v>
      </c>
      <c r="N333" s="150">
        <v>0</v>
      </c>
      <c r="O333" s="130">
        <v>0</v>
      </c>
      <c r="P333" s="130">
        <v>0</v>
      </c>
      <c r="Q333" s="130">
        <v>0</v>
      </c>
      <c r="R333" s="130">
        <v>0</v>
      </c>
      <c r="S333" s="130">
        <v>0</v>
      </c>
      <c r="T333" s="130">
        <v>0</v>
      </c>
      <c r="U333" s="130">
        <v>0</v>
      </c>
      <c r="V333" s="524">
        <v>0</v>
      </c>
      <c r="W333" s="130">
        <v>0</v>
      </c>
      <c r="X333" s="130">
        <v>0</v>
      </c>
      <c r="Y333" s="130">
        <v>0</v>
      </c>
      <c r="Z333" s="130">
        <v>0</v>
      </c>
      <c r="AA333" s="158" t="s">
        <v>2078</v>
      </c>
      <c r="AB333" s="158"/>
      <c r="AC333" s="158"/>
      <c r="AD333" s="158"/>
      <c r="AE333" s="158" t="b">
        <f>IF(AB333="",TRUE,IF(IF(AC333="",VLOOKUP(AB333,Calculs!$A$19:$S$425,19,FALSE),VLOOKUP(AC333,Calculs!$A$19:$S$425,19,FALSE))&gt;=AD333,TRUE,FALSE))</f>
        <v>1</v>
      </c>
      <c r="AF333" s="158"/>
      <c r="AG333" s="158"/>
      <c r="AH333" s="158"/>
      <c r="AI333" s="158" t="b">
        <f>IF(AF333="",TRUE,IF(IF(AG333="",VLOOKUP(AF333,Calculs!$A$19:$S$425,19,FALSE),VLOOKUP(AG333,Calculs!$A$19:$S$425,19,FALSE))&gt;=AH333,TRUE,FALSE))</f>
        <v>1</v>
      </c>
      <c r="AJ333" s="158"/>
      <c r="AK333" s="158"/>
      <c r="AL333" s="158"/>
      <c r="AM333" s="158" t="b">
        <f>IF(AJ333="",TRUE,IF(IF(AK333="",VLOOKUP(AJ333,Calculs!$A$19:$S$425,19,FALSE),VLOOKUP(AK333,Calculs!$A$19:$S$425,19,FALSE))&gt;=AL333,TRUE,FALSE))</f>
        <v>1</v>
      </c>
      <c r="AN333" s="158"/>
      <c r="AO333" s="158"/>
      <c r="AP333" s="158"/>
      <c r="AQ333" s="158" t="b">
        <f>IF(AN333="",TRUE,IF(IF(AO333="",VLOOKUP(AN333,Calculs!$A$19:$S$425,19,FALSE),VLOOKUP(AO333,Calculs!$A$19:$S$425,19,FALSE))&gt;=AP333,TRUE,FALSE))</f>
        <v>1</v>
      </c>
      <c r="AR333" s="158"/>
      <c r="AS333" s="158" t="b">
        <f>IF(AR333="",TRUE,IF(VLOOKUP(AR333,Calculs!$A$427:$G$738,7,FALSE)&gt;0,TRUE,FALSE))</f>
        <v>1</v>
      </c>
      <c r="AT333" s="158"/>
      <c r="AU333" s="158" t="b">
        <f>IF(AT333="",TRUE,IF(VLOOKUP(AT333,Calculs!$A$740:$G$912,7,FALSE)&gt;0,TRUE,FALSE))</f>
        <v>1</v>
      </c>
      <c r="AV333" s="158" t="b">
        <f t="shared" si="37"/>
        <v>1</v>
      </c>
      <c r="AW333" s="158" t="s">
        <v>2078</v>
      </c>
      <c r="AX333" s="162" t="s">
        <v>6816</v>
      </c>
      <c r="AY333" s="15">
        <v>111</v>
      </c>
      <c r="AZ333" s="555" t="s">
        <v>7141</v>
      </c>
      <c r="BA333" s="559">
        <f>IF(Verso!$B$10=Voies!$B333,1,0)</f>
        <v>0</v>
      </c>
      <c r="BB333" s="12">
        <f>IF(Verso!$B$11=Voies!$B333,1,0)</f>
        <v>0</v>
      </c>
      <c r="BC333" s="12">
        <f>IF(Verso!$B$12=Voies!$B333,1,0)</f>
        <v>0</v>
      </c>
      <c r="BD333" s="12">
        <f>IF(Verso!$B$13=Voies!$B333,1,0)</f>
        <v>0</v>
      </c>
      <c r="BE333" s="12">
        <f>IF(Verso!$B$14=Voies!$B333,1,0)</f>
        <v>0</v>
      </c>
      <c r="BF333" s="12">
        <f>IF(Verso!$B$15=Voies!$B333,1,0)</f>
        <v>0</v>
      </c>
      <c r="BG333" s="12">
        <f>IF(Verso!$B$16=Voies!$B333,1,0)</f>
        <v>0</v>
      </c>
      <c r="BH333" s="12">
        <f>IF(Verso!$B$17=Voies!$B333,1,0)</f>
        <v>0</v>
      </c>
      <c r="BI333" s="557">
        <f t="shared" si="38"/>
        <v>0</v>
      </c>
      <c r="BJ333" s="196" t="str">
        <f t="shared" si="39"/>
        <v/>
      </c>
      <c r="BK333" s="196" t="str">
        <f t="shared" si="40"/>
        <v/>
      </c>
      <c r="BL333" s="295" t="str">
        <f t="shared" si="41"/>
        <v/>
      </c>
      <c r="BM333" s="91"/>
    </row>
    <row r="334" spans="1:65" ht="47.25" customHeight="1" x14ac:dyDescent="0.25">
      <c r="A334" s="162" t="str">
        <f>IF(AND(Réputation&gt;Voies!E334-1,OR(C334=TRUE,Calculs!$I$8&gt;0),Air&gt;Voies!J334-1,Eau&gt;Voies!K334-1,Feu&gt;Voies!L334-1,Terre&gt;Voies!M334-1,Vide&gt;Voies!N334-1,Constitution&gt;Voies!O334-1,Volonté&gt;Voies!P334-1,Force&gt;Voies!Q334-1,Perception&gt;Voies!R334-1,Reflexes&gt;Voies!S334-1,Agilité&gt;Voies!T334-1,Intuition&gt;Voies!U334-1,Intelligence&gt;Voies!V334-1,Souillure&gt;Voies!W334-1,Honneur&gt;X334-1,Statut&gt;Y334-1,Gloire&gt;Z334-1,AV334=TRUE),Voies!B334,"")</f>
        <v/>
      </c>
      <c r="B334" s="162" t="s">
        <v>2149</v>
      </c>
      <c r="C334" s="162" t="b">
        <f t="shared" ref="C334:C341" si="43">IF(OR(Clan="Crabe",Clan="Faucon"),TRUE,FALSE)</f>
        <v>0</v>
      </c>
      <c r="D334" s="388" t="s">
        <v>384</v>
      </c>
      <c r="E334" s="13">
        <v>1</v>
      </c>
      <c r="F334" s="199">
        <v>1</v>
      </c>
      <c r="G334" s="13" t="s">
        <v>2049</v>
      </c>
      <c r="H334" s="162" t="s">
        <v>407</v>
      </c>
      <c r="I334" s="129" t="str">
        <f t="shared" si="42"/>
        <v>Rien</v>
      </c>
      <c r="J334" s="146">
        <v>0</v>
      </c>
      <c r="K334" s="147">
        <v>0</v>
      </c>
      <c r="L334" s="148">
        <v>0</v>
      </c>
      <c r="M334" s="149">
        <v>0</v>
      </c>
      <c r="N334" s="150">
        <v>0</v>
      </c>
      <c r="O334" s="130">
        <v>0</v>
      </c>
      <c r="P334" s="130">
        <v>0</v>
      </c>
      <c r="Q334" s="130">
        <v>0</v>
      </c>
      <c r="R334" s="130">
        <v>0</v>
      </c>
      <c r="S334" s="130">
        <v>0</v>
      </c>
      <c r="T334" s="130">
        <v>0</v>
      </c>
      <c r="U334" s="130">
        <v>0</v>
      </c>
      <c r="V334" s="524">
        <v>0</v>
      </c>
      <c r="W334" s="130">
        <v>0</v>
      </c>
      <c r="X334" s="130">
        <v>0</v>
      </c>
      <c r="Y334" s="130">
        <v>0</v>
      </c>
      <c r="Z334" s="130">
        <v>0</v>
      </c>
      <c r="AA334" s="158" t="s">
        <v>2078</v>
      </c>
      <c r="AB334" s="158"/>
      <c r="AC334" s="158"/>
      <c r="AD334" s="158"/>
      <c r="AE334" s="158" t="b">
        <f>IF(AB334="",TRUE,IF(IF(AC334="",VLOOKUP(AB334,Calculs!$A$19:$S$425,19,FALSE),VLOOKUP(AC334,Calculs!$A$19:$S$425,19,FALSE))&gt;=AD334,TRUE,FALSE))</f>
        <v>1</v>
      </c>
      <c r="AF334" s="158"/>
      <c r="AG334" s="158"/>
      <c r="AH334" s="158"/>
      <c r="AI334" s="158" t="b">
        <f>IF(AF334="",TRUE,IF(IF(AG334="",VLOOKUP(AF334,Calculs!$A$19:$S$425,19,FALSE),VLOOKUP(AG334,Calculs!$A$19:$S$425,19,FALSE))&gt;=AH334,TRUE,FALSE))</f>
        <v>1</v>
      </c>
      <c r="AJ334" s="158"/>
      <c r="AK334" s="158"/>
      <c r="AL334" s="158"/>
      <c r="AM334" s="158" t="b">
        <f>IF(AJ334="",TRUE,IF(IF(AK334="",VLOOKUP(AJ334,Calculs!$A$19:$S$425,19,FALSE),VLOOKUP(AK334,Calculs!$A$19:$S$425,19,FALSE))&gt;=AL334,TRUE,FALSE))</f>
        <v>1</v>
      </c>
      <c r="AN334" s="158"/>
      <c r="AO334" s="158"/>
      <c r="AP334" s="158"/>
      <c r="AQ334" s="158" t="b">
        <f>IF(AN334="",TRUE,IF(IF(AO334="",VLOOKUP(AN334,Calculs!$A$19:$S$425,19,FALSE),VLOOKUP(AO334,Calculs!$A$19:$S$425,19,FALSE))&gt;=AP334,TRUE,FALSE))</f>
        <v>1</v>
      </c>
      <c r="AR334" s="158"/>
      <c r="AS334" s="158" t="b">
        <f>IF(AR334="",TRUE,IF(VLOOKUP(AR334,Calculs!$A$427:$G$738,7,FALSE)&gt;0,TRUE,FALSE))</f>
        <v>1</v>
      </c>
      <c r="AT334" s="158"/>
      <c r="AU334" s="158" t="b">
        <f>IF(AT334="",TRUE,IF(VLOOKUP(AT334,Calculs!$A$740:$G$912,7,FALSE)&gt;0,TRUE,FALSE))</f>
        <v>1</v>
      </c>
      <c r="AV334" s="158" t="b">
        <f t="shared" si="37"/>
        <v>1</v>
      </c>
      <c r="AW334" s="158" t="s">
        <v>2078</v>
      </c>
      <c r="AX334" s="162" t="s">
        <v>3</v>
      </c>
      <c r="AY334" s="15">
        <v>218</v>
      </c>
      <c r="AZ334" s="566" t="s">
        <v>8547</v>
      </c>
      <c r="BA334" s="559">
        <f>IF(Verso!$B$10=Voies!$B334,1,0)</f>
        <v>0</v>
      </c>
      <c r="BB334" s="12">
        <f>IF(Verso!$B$11=Voies!$B334,1,0)</f>
        <v>0</v>
      </c>
      <c r="BC334" s="12">
        <f>IF(Verso!$B$12=Voies!$B334,1,0)</f>
        <v>0</v>
      </c>
      <c r="BD334" s="12">
        <f>IF(Verso!$B$13=Voies!$B334,1,0)</f>
        <v>0</v>
      </c>
      <c r="BE334" s="12">
        <f>IF(Verso!$B$14=Voies!$B334,1,0)</f>
        <v>0</v>
      </c>
      <c r="BF334" s="12">
        <f>IF(Verso!$B$15=Voies!$B334,1,0)</f>
        <v>0</v>
      </c>
      <c r="BG334" s="12">
        <f>IF(Verso!$B$16=Voies!$B334,1,0)</f>
        <v>0</v>
      </c>
      <c r="BH334" s="12">
        <f>IF(Verso!$B$17=Voies!$B334,1,0)</f>
        <v>0</v>
      </c>
      <c r="BI334" s="557">
        <f t="shared" si="38"/>
        <v>0</v>
      </c>
      <c r="BJ334" s="196" t="str">
        <f t="shared" si="39"/>
        <v/>
      </c>
      <c r="BK334" s="196" t="str">
        <f t="shared" si="40"/>
        <v/>
      </c>
      <c r="BL334" s="295" t="str">
        <f t="shared" si="41"/>
        <v/>
      </c>
    </row>
    <row r="335" spans="1:65" ht="47.25" customHeight="1" x14ac:dyDescent="0.25">
      <c r="A335" s="162" t="str">
        <f>IF(AND(Réputation&gt;Voies!E335-1,OR(C335=TRUE,Calculs!$I$8&gt;0),Air&gt;Voies!J335-1,Eau&gt;Voies!K335-1,Feu&gt;Voies!L335-1,Terre&gt;Voies!M335-1,Vide&gt;Voies!N335-1,Constitution&gt;Voies!O335-1,Volonté&gt;Voies!P335-1,Force&gt;Voies!Q335-1,Perception&gt;Voies!R335-1,Reflexes&gt;Voies!S335-1,Agilité&gt;Voies!T335-1,Intuition&gt;Voies!U335-1,Intelligence&gt;Voies!V335-1,Souillure&gt;Voies!W335-1,Honneur&gt;X335-1,Statut&gt;Y335-1,Gloire&gt;Z335-1,AV335=TRUE),Voies!B335,"")</f>
        <v/>
      </c>
      <c r="B335" s="162" t="s">
        <v>2150</v>
      </c>
      <c r="C335" s="162" t="b">
        <f t="shared" si="43"/>
        <v>0</v>
      </c>
      <c r="D335" s="388" t="s">
        <v>384</v>
      </c>
      <c r="E335" s="13">
        <v>2</v>
      </c>
      <c r="F335" s="199">
        <v>2</v>
      </c>
      <c r="G335" s="13" t="s">
        <v>2049</v>
      </c>
      <c r="H335" s="162" t="s">
        <v>407</v>
      </c>
      <c r="I335" s="129" t="str">
        <f t="shared" si="42"/>
        <v>Rien</v>
      </c>
      <c r="J335" s="146">
        <v>0</v>
      </c>
      <c r="K335" s="147">
        <v>0</v>
      </c>
      <c r="L335" s="148">
        <v>0</v>
      </c>
      <c r="M335" s="149">
        <v>0</v>
      </c>
      <c r="N335" s="150">
        <v>0</v>
      </c>
      <c r="O335" s="130">
        <v>0</v>
      </c>
      <c r="P335" s="130">
        <v>0</v>
      </c>
      <c r="Q335" s="130">
        <v>0</v>
      </c>
      <c r="R335" s="130">
        <v>0</v>
      </c>
      <c r="S335" s="130">
        <v>0</v>
      </c>
      <c r="T335" s="130">
        <v>0</v>
      </c>
      <c r="U335" s="130">
        <v>0</v>
      </c>
      <c r="V335" s="524">
        <v>0</v>
      </c>
      <c r="W335" s="130">
        <v>0</v>
      </c>
      <c r="X335" s="130">
        <v>0</v>
      </c>
      <c r="Y335" s="130">
        <v>0</v>
      </c>
      <c r="Z335" s="130">
        <v>0</v>
      </c>
      <c r="AA335" s="158" t="s">
        <v>2078</v>
      </c>
      <c r="AB335" s="158"/>
      <c r="AC335" s="158"/>
      <c r="AD335" s="158"/>
      <c r="AE335" s="158" t="b">
        <f>IF(AB335="",TRUE,IF(IF(AC335="",VLOOKUP(AB335,Calculs!$A$19:$S$425,19,FALSE),VLOOKUP(AC335,Calculs!$A$19:$S$425,19,FALSE))&gt;=AD335,TRUE,FALSE))</f>
        <v>1</v>
      </c>
      <c r="AF335" s="158"/>
      <c r="AG335" s="158"/>
      <c r="AH335" s="158"/>
      <c r="AI335" s="158" t="b">
        <f>IF(AF335="",TRUE,IF(IF(AG335="",VLOOKUP(AF335,Calculs!$A$19:$S$425,19,FALSE),VLOOKUP(AG335,Calculs!$A$19:$S$425,19,FALSE))&gt;=AH335,TRUE,FALSE))</f>
        <v>1</v>
      </c>
      <c r="AJ335" s="158"/>
      <c r="AK335" s="158"/>
      <c r="AL335" s="158"/>
      <c r="AM335" s="158" t="b">
        <f>IF(AJ335="",TRUE,IF(IF(AK335="",VLOOKUP(AJ335,Calculs!$A$19:$S$425,19,FALSE),VLOOKUP(AK335,Calculs!$A$19:$S$425,19,FALSE))&gt;=AL335,TRUE,FALSE))</f>
        <v>1</v>
      </c>
      <c r="AN335" s="158"/>
      <c r="AO335" s="158"/>
      <c r="AP335" s="158"/>
      <c r="AQ335" s="158" t="b">
        <f>IF(AN335="",TRUE,IF(IF(AO335="",VLOOKUP(AN335,Calculs!$A$19:$S$425,19,FALSE),VLOOKUP(AO335,Calculs!$A$19:$S$425,19,FALSE))&gt;=AP335,TRUE,FALSE))</f>
        <v>1</v>
      </c>
      <c r="AR335" s="158"/>
      <c r="AS335" s="158" t="b">
        <f>IF(AR335="",TRUE,IF(VLOOKUP(AR335,Calculs!$A$427:$G$738,7,FALSE)&gt;0,TRUE,FALSE))</f>
        <v>1</v>
      </c>
      <c r="AT335" s="158"/>
      <c r="AU335" s="158" t="b">
        <f>IF(AT335="",TRUE,IF(VLOOKUP(AT335,Calculs!$A$740:$G$912,7,FALSE)&gt;0,TRUE,FALSE))</f>
        <v>1</v>
      </c>
      <c r="AV335" s="158" t="b">
        <f t="shared" si="37"/>
        <v>1</v>
      </c>
      <c r="AW335" s="158" t="s">
        <v>2078</v>
      </c>
      <c r="AX335" s="162" t="s">
        <v>3</v>
      </c>
      <c r="AY335" s="15">
        <v>218</v>
      </c>
      <c r="AZ335" s="555" t="s">
        <v>8548</v>
      </c>
      <c r="BA335" s="559">
        <f>IF(Verso!$B$10=Voies!$B335,1,0)</f>
        <v>0</v>
      </c>
      <c r="BB335" s="12">
        <f>IF(Verso!$B$11=Voies!$B335,1,0)</f>
        <v>0</v>
      </c>
      <c r="BC335" s="12">
        <f>IF(Verso!$B$12=Voies!$B335,1,0)</f>
        <v>0</v>
      </c>
      <c r="BD335" s="12">
        <f>IF(Verso!$B$13=Voies!$B335,1,0)</f>
        <v>0</v>
      </c>
      <c r="BE335" s="12">
        <f>IF(Verso!$B$14=Voies!$B335,1,0)</f>
        <v>0</v>
      </c>
      <c r="BF335" s="12">
        <f>IF(Verso!$B$15=Voies!$B335,1,0)</f>
        <v>0</v>
      </c>
      <c r="BG335" s="12">
        <f>IF(Verso!$B$16=Voies!$B335,1,0)</f>
        <v>0</v>
      </c>
      <c r="BH335" s="12">
        <f>IF(Verso!$B$17=Voies!$B335,1,0)</f>
        <v>0</v>
      </c>
      <c r="BI335" s="557">
        <f t="shared" si="38"/>
        <v>0</v>
      </c>
      <c r="BJ335" s="196" t="str">
        <f t="shared" si="39"/>
        <v/>
      </c>
      <c r="BK335" s="196" t="str">
        <f t="shared" si="40"/>
        <v/>
      </c>
      <c r="BL335" s="295" t="str">
        <f t="shared" si="41"/>
        <v/>
      </c>
    </row>
    <row r="336" spans="1:65" ht="47.25" customHeight="1" x14ac:dyDescent="0.25">
      <c r="A336" s="162" t="str">
        <f>IF(AND(Réputation&gt;Voies!E336-1,OR(C336=TRUE,Calculs!$I$8&gt;0),Air&gt;Voies!J336-1,Eau&gt;Voies!K336-1,Feu&gt;Voies!L336-1,Terre&gt;Voies!M336-1,Vide&gt;Voies!N336-1,Constitution&gt;Voies!O336-1,Volonté&gt;Voies!P336-1,Force&gt;Voies!Q336-1,Perception&gt;Voies!R336-1,Reflexes&gt;Voies!S336-1,Agilité&gt;Voies!T336-1,Intuition&gt;Voies!U336-1,Intelligence&gt;Voies!V336-1,Souillure&gt;Voies!W336-1,Honneur&gt;X336-1,Statut&gt;Y336-1,Gloire&gt;Z336-1,AV336=TRUE),Voies!B336,"")</f>
        <v/>
      </c>
      <c r="B336" s="162" t="s">
        <v>5885</v>
      </c>
      <c r="C336" s="162" t="b">
        <f t="shared" si="43"/>
        <v>0</v>
      </c>
      <c r="D336" s="388" t="s">
        <v>384</v>
      </c>
      <c r="E336" s="13">
        <v>2</v>
      </c>
      <c r="F336" s="199">
        <v>2</v>
      </c>
      <c r="G336" s="13" t="s">
        <v>2049</v>
      </c>
      <c r="H336" s="162" t="s">
        <v>614</v>
      </c>
      <c r="I336" s="129" t="s">
        <v>3865</v>
      </c>
      <c r="J336" s="146">
        <v>0</v>
      </c>
      <c r="K336" s="147">
        <v>0</v>
      </c>
      <c r="L336" s="148">
        <v>0</v>
      </c>
      <c r="M336" s="149">
        <v>0</v>
      </c>
      <c r="N336" s="150">
        <v>0</v>
      </c>
      <c r="O336" s="130">
        <v>0</v>
      </c>
      <c r="P336" s="130">
        <v>0</v>
      </c>
      <c r="Q336" s="130">
        <v>0</v>
      </c>
      <c r="R336" s="130">
        <v>0</v>
      </c>
      <c r="S336" s="130">
        <v>0</v>
      </c>
      <c r="T336" s="130">
        <v>0</v>
      </c>
      <c r="U336" s="130">
        <v>0</v>
      </c>
      <c r="V336" s="524">
        <v>0</v>
      </c>
      <c r="W336" s="130">
        <v>0</v>
      </c>
      <c r="X336" s="130">
        <v>0</v>
      </c>
      <c r="Y336" s="130">
        <v>0</v>
      </c>
      <c r="Z336" s="130">
        <v>0</v>
      </c>
      <c r="AA336" s="159" t="s">
        <v>3367</v>
      </c>
      <c r="AB336" s="159" t="s">
        <v>1228</v>
      </c>
      <c r="AC336" s="159" t="s">
        <v>1357</v>
      </c>
      <c r="AD336" s="159">
        <v>3</v>
      </c>
      <c r="AE336" s="158" t="b">
        <f>IF(AB336="",TRUE,IF(IF(AC336="",VLOOKUP(AB336,Calculs!$A$19:$S$425,19,FALSE),VLOOKUP(AC336,Calculs!$A$19:$S$425,19,FALSE))&gt;=AD336,TRUE,FALSE))</f>
        <v>0</v>
      </c>
      <c r="AI336" s="158" t="b">
        <f>IF(AF336="",TRUE,IF(IF(AG336="",VLOOKUP(AF336,Calculs!$A$19:$S$425,19,FALSE),VLOOKUP(AG336,Calculs!$A$19:$S$425,19,FALSE))&gt;=AH336,TRUE,FALSE))</f>
        <v>1</v>
      </c>
      <c r="AM336" s="158" t="b">
        <f>IF(AJ336="",TRUE,IF(IF(AK336="",VLOOKUP(AJ336,Calculs!$A$19:$S$425,19,FALSE),VLOOKUP(AK336,Calculs!$A$19:$S$425,19,FALSE))&gt;=AL336,TRUE,FALSE))</f>
        <v>1</v>
      </c>
      <c r="AQ336" s="158" t="b">
        <f>IF(AN336="",TRUE,IF(IF(AO336="",VLOOKUP(AN336,Calculs!$A$19:$S$425,19,FALSE),VLOOKUP(AO336,Calculs!$A$19:$S$425,19,FALSE))&gt;=AP336,TRUE,FALSE))</f>
        <v>1</v>
      </c>
      <c r="AR336" s="158"/>
      <c r="AS336" s="158" t="b">
        <f>IF(AR336="",TRUE,IF(VLOOKUP(AR336,Calculs!$A$427:$G$738,7,FALSE)&gt;0,TRUE,FALSE))</f>
        <v>1</v>
      </c>
      <c r="AT336" s="158"/>
      <c r="AU336" s="158" t="b">
        <f>IF(AT336="",TRUE,IF(VLOOKUP(AT336,Calculs!$A$740:$G$912,7,FALSE)&gt;0,TRUE,FALSE))</f>
        <v>1</v>
      </c>
      <c r="AV336" s="158" t="b">
        <f t="shared" si="37"/>
        <v>0</v>
      </c>
      <c r="AW336" s="158" t="s">
        <v>2078</v>
      </c>
      <c r="AX336" s="162" t="s">
        <v>118</v>
      </c>
      <c r="AY336" s="15">
        <v>172</v>
      </c>
      <c r="AZ336" s="555" t="s">
        <v>3368</v>
      </c>
      <c r="BA336" s="559">
        <f>IF(Verso!$B$10=Voies!$B336,1,0)</f>
        <v>0</v>
      </c>
      <c r="BB336" s="12">
        <f>IF(Verso!$B$11=Voies!$B336,1,0)</f>
        <v>0</v>
      </c>
      <c r="BC336" s="12">
        <f>IF(Verso!$B$12=Voies!$B336,1,0)</f>
        <v>0</v>
      </c>
      <c r="BD336" s="12">
        <f>IF(Verso!$B$13=Voies!$B336,1,0)</f>
        <v>0</v>
      </c>
      <c r="BE336" s="12">
        <f>IF(Verso!$B$14=Voies!$B336,1,0)</f>
        <v>0</v>
      </c>
      <c r="BF336" s="12">
        <f>IF(Verso!$B$15=Voies!$B336,1,0)</f>
        <v>0</v>
      </c>
      <c r="BG336" s="12">
        <f>IF(Verso!$B$16=Voies!$B336,1,0)</f>
        <v>0</v>
      </c>
      <c r="BH336" s="12">
        <f>IF(Verso!$B$17=Voies!$B336,1,0)</f>
        <v>0</v>
      </c>
      <c r="BI336" s="557">
        <f t="shared" si="38"/>
        <v>0</v>
      </c>
      <c r="BJ336" s="196" t="str">
        <f t="shared" si="39"/>
        <v/>
      </c>
      <c r="BK336" s="196" t="str">
        <f t="shared" si="40"/>
        <v/>
      </c>
      <c r="BL336" s="295" t="str">
        <f t="shared" si="41"/>
        <v/>
      </c>
    </row>
    <row r="337" spans="1:65" ht="47.25" customHeight="1" x14ac:dyDescent="0.25">
      <c r="A337" s="162" t="str">
        <f>IF(AND(Réputation&gt;Voies!E337-1,OR(C337=TRUE,Calculs!$I$8&gt;0),Air&gt;Voies!J337-1,Eau&gt;Voies!K337-1,Feu&gt;Voies!L337-1,Terre&gt;Voies!M337-1,Vide&gt;Voies!N337-1,Constitution&gt;Voies!O337-1,Volonté&gt;Voies!P337-1,Force&gt;Voies!Q337-1,Perception&gt;Voies!R337-1,Reflexes&gt;Voies!S337-1,Agilité&gt;Voies!T337-1,Intuition&gt;Voies!U337-1,Intelligence&gt;Voies!V337-1,Souillure&gt;Voies!W337-1,Honneur&gt;X337-1,Statut&gt;Y337-1,Gloire&gt;Z337-1,AV337=TRUE),Voies!B337,"")</f>
        <v/>
      </c>
      <c r="B337" s="162" t="s">
        <v>5884</v>
      </c>
      <c r="C337" s="162" t="b">
        <f t="shared" si="43"/>
        <v>0</v>
      </c>
      <c r="D337" s="387" t="s">
        <v>384</v>
      </c>
      <c r="E337" s="13">
        <v>2</v>
      </c>
      <c r="F337" s="199">
        <v>2</v>
      </c>
      <c r="G337" s="13" t="s">
        <v>2048</v>
      </c>
      <c r="H337" s="162" t="s">
        <v>469</v>
      </c>
      <c r="I337" s="129" t="s">
        <v>3607</v>
      </c>
      <c r="J337" s="146">
        <v>0</v>
      </c>
      <c r="K337" s="147">
        <v>0</v>
      </c>
      <c r="L337" s="148">
        <v>0</v>
      </c>
      <c r="M337" s="149">
        <v>0</v>
      </c>
      <c r="N337" s="150">
        <v>0</v>
      </c>
      <c r="O337" s="130">
        <v>0</v>
      </c>
      <c r="P337" s="130">
        <v>3</v>
      </c>
      <c r="Q337" s="130">
        <v>0</v>
      </c>
      <c r="R337" s="130">
        <v>3</v>
      </c>
      <c r="S337" s="130">
        <v>0</v>
      </c>
      <c r="T337" s="130">
        <v>0</v>
      </c>
      <c r="U337" s="130">
        <v>0</v>
      </c>
      <c r="V337" s="524">
        <v>0</v>
      </c>
      <c r="W337" s="130">
        <v>0</v>
      </c>
      <c r="X337" s="130">
        <v>0</v>
      </c>
      <c r="Y337" s="130">
        <v>0</v>
      </c>
      <c r="Z337" s="130">
        <v>0</v>
      </c>
      <c r="AA337" s="159" t="s">
        <v>3608</v>
      </c>
      <c r="AB337" s="159" t="s">
        <v>1261</v>
      </c>
      <c r="AD337" s="159">
        <v>3</v>
      </c>
      <c r="AE337" s="158" t="b">
        <f>IF(AB337="",TRUE,IF(IF(AC337="",VLOOKUP(AB337,Calculs!$A$19:$S$425,19,FALSE),VLOOKUP(AC337,Calculs!$A$19:$S$425,19,FALSE))&gt;=AD337,TRUE,FALSE))</f>
        <v>0</v>
      </c>
      <c r="AI337" s="158" t="b">
        <f>IF(AF337="",TRUE,IF(IF(AG337="",VLOOKUP(AF337,Calculs!$A$19:$S$425,19,FALSE),VLOOKUP(AG337,Calculs!$A$19:$S$425,19,FALSE))&gt;=AH337,TRUE,FALSE))</f>
        <v>1</v>
      </c>
      <c r="AM337" s="158" t="b">
        <f>IF(AJ337="",TRUE,IF(IF(AK337="",VLOOKUP(AJ337,Calculs!$A$19:$S$425,19,FALSE),VLOOKUP(AK337,Calculs!$A$19:$S$425,19,FALSE))&gt;=AL337,TRUE,FALSE))</f>
        <v>1</v>
      </c>
      <c r="AQ337" s="158" t="b">
        <f>IF(AN337="",TRUE,IF(IF(AO337="",VLOOKUP(AN337,Calculs!$A$19:$S$425,19,FALSE),VLOOKUP(AO337,Calculs!$A$19:$S$425,19,FALSE))&gt;=AP337,TRUE,FALSE))</f>
        <v>1</v>
      </c>
      <c r="AR337" s="158"/>
      <c r="AS337" s="158" t="b">
        <f>IF(AR337="",TRUE,IF(VLOOKUP(AR337,Calculs!$A$427:$G$738,7,FALSE)&gt;0,TRUE,FALSE))</f>
        <v>1</v>
      </c>
      <c r="AT337" s="158"/>
      <c r="AU337" s="158" t="b">
        <f>IF(AT337="",TRUE,IF(VLOOKUP(AT337,Calculs!$A$740:$G$912,7,FALSE)&gt;0,TRUE,FALSE))</f>
        <v>1</v>
      </c>
      <c r="AV337" s="158" t="b">
        <f t="shared" si="37"/>
        <v>0</v>
      </c>
      <c r="AW337" s="158" t="s">
        <v>2078</v>
      </c>
      <c r="AX337" s="162" t="s">
        <v>6061</v>
      </c>
      <c r="AY337" s="15">
        <v>42</v>
      </c>
      <c r="AZ337" s="555" t="s">
        <v>3609</v>
      </c>
      <c r="BA337" s="559">
        <f>IF(Verso!$B$10=Voies!$B337,1,0)</f>
        <v>0</v>
      </c>
      <c r="BB337" s="12">
        <f>IF(Verso!$B$11=Voies!$B337,1,0)</f>
        <v>0</v>
      </c>
      <c r="BC337" s="12">
        <f>IF(Verso!$B$12=Voies!$B337,1,0)</f>
        <v>0</v>
      </c>
      <c r="BD337" s="12">
        <f>IF(Verso!$B$13=Voies!$B337,1,0)</f>
        <v>0</v>
      </c>
      <c r="BE337" s="12">
        <f>IF(Verso!$B$14=Voies!$B337,1,0)</f>
        <v>0</v>
      </c>
      <c r="BF337" s="12">
        <f>IF(Verso!$B$15=Voies!$B337,1,0)</f>
        <v>0</v>
      </c>
      <c r="BG337" s="12">
        <f>IF(Verso!$B$16=Voies!$B337,1,0)</f>
        <v>0</v>
      </c>
      <c r="BH337" s="12">
        <f>IF(Verso!$B$17=Voies!$B337,1,0)</f>
        <v>0</v>
      </c>
      <c r="BI337" s="557">
        <f t="shared" si="38"/>
        <v>0</v>
      </c>
      <c r="BJ337" s="196" t="str">
        <f t="shared" si="39"/>
        <v/>
      </c>
      <c r="BK337" s="196" t="str">
        <f t="shared" si="40"/>
        <v/>
      </c>
      <c r="BL337" s="295" t="str">
        <f t="shared" si="41"/>
        <v/>
      </c>
    </row>
    <row r="338" spans="1:65" s="196" customFormat="1" ht="47.25" customHeight="1" x14ac:dyDescent="0.25">
      <c r="A338" s="162" t="str">
        <f>IF(AND(Réputation&gt;Voies!E338-1,OR(C338=TRUE,Calculs!$I$8&gt;0),Air&gt;Voies!J338-1,Eau&gt;Voies!K338-1,Feu&gt;Voies!L338-1,Terre&gt;Voies!M338-1,Vide&gt;Voies!N338-1,Constitution&gt;Voies!O338-1,Volonté&gt;Voies!P338-1,Force&gt;Voies!Q338-1,Perception&gt;Voies!R338-1,Reflexes&gt;Voies!S338-1,Agilité&gt;Voies!T338-1,Intuition&gt;Voies!U338-1,Intelligence&gt;Voies!V338-1,Souillure&gt;Voies!W338-1,Honneur&gt;X338-1,Statut&gt;Y338-1,Gloire&gt;Z338-1,AV338=TRUE),Voies!B338,"")</f>
        <v/>
      </c>
      <c r="B338" s="162" t="s">
        <v>9109</v>
      </c>
      <c r="C338" s="162" t="b">
        <f t="shared" si="43"/>
        <v>0</v>
      </c>
      <c r="D338" s="388" t="s">
        <v>384</v>
      </c>
      <c r="E338" s="199">
        <v>3</v>
      </c>
      <c r="F338" s="199">
        <v>3</v>
      </c>
      <c r="G338" s="199" t="s">
        <v>2048</v>
      </c>
      <c r="H338" s="162" t="s">
        <v>9107</v>
      </c>
      <c r="I338" s="129" t="s">
        <v>9108</v>
      </c>
      <c r="J338" s="146">
        <v>0</v>
      </c>
      <c r="K338" s="147">
        <v>0</v>
      </c>
      <c r="L338" s="148">
        <v>0</v>
      </c>
      <c r="M338" s="149">
        <v>0</v>
      </c>
      <c r="N338" s="150">
        <v>0</v>
      </c>
      <c r="O338" s="130">
        <v>0</v>
      </c>
      <c r="P338" s="130">
        <v>2</v>
      </c>
      <c r="Q338" s="130">
        <v>0</v>
      </c>
      <c r="R338" s="130">
        <v>0</v>
      </c>
      <c r="S338" s="130">
        <v>0</v>
      </c>
      <c r="T338" s="130">
        <v>0</v>
      </c>
      <c r="U338" s="130">
        <v>0</v>
      </c>
      <c r="V338" s="524">
        <v>0</v>
      </c>
      <c r="W338" s="130">
        <v>0</v>
      </c>
      <c r="X338" s="130">
        <v>0</v>
      </c>
      <c r="Y338" s="130">
        <v>0</v>
      </c>
      <c r="Z338" s="130">
        <v>0</v>
      </c>
      <c r="AA338" s="158" t="s">
        <v>2078</v>
      </c>
      <c r="AB338" s="158"/>
      <c r="AC338" s="158"/>
      <c r="AD338" s="158"/>
      <c r="AE338" s="158" t="b">
        <f>IF(AB338="",TRUE,IF(IF(AC338="",VLOOKUP(AB338,Calculs!$A$19:$S$425,19,FALSE),VLOOKUP(AC338,Calculs!$A$19:$S$425,19,FALSE))&gt;=AD338,TRUE,FALSE))</f>
        <v>1</v>
      </c>
      <c r="AF338" s="158"/>
      <c r="AG338" s="158"/>
      <c r="AH338" s="158"/>
      <c r="AI338" s="158" t="b">
        <f>IF(AF338="",TRUE,IF(IF(AG338="",VLOOKUP(AF338,Calculs!$A$19:$S$425,19,FALSE),VLOOKUP(AG338,Calculs!$A$19:$S$425,19,FALSE))&gt;=AH338,TRUE,FALSE))</f>
        <v>1</v>
      </c>
      <c r="AJ338" s="158"/>
      <c r="AK338" s="158"/>
      <c r="AL338" s="158"/>
      <c r="AM338" s="158" t="b">
        <f>IF(AJ338="",TRUE,IF(IF(AK338="",VLOOKUP(AJ338,Calculs!$A$19:$S$425,19,FALSE),VLOOKUP(AK338,Calculs!$A$19:$S$425,19,FALSE))&gt;=AL338,TRUE,FALSE))</f>
        <v>1</v>
      </c>
      <c r="AN338" s="158"/>
      <c r="AO338" s="158"/>
      <c r="AP338" s="158"/>
      <c r="AQ338" s="158" t="b">
        <f>IF(AN338="",TRUE,IF(IF(AO338="",VLOOKUP(AN338,Calculs!$A$19:$S$425,19,FALSE),VLOOKUP(AO338,Calculs!$A$19:$S$425,19,FALSE))&gt;=AP338,TRUE,FALSE))</f>
        <v>1</v>
      </c>
      <c r="AR338" s="158"/>
      <c r="AS338" s="158" t="b">
        <f>IF(AR338="",TRUE,IF(VLOOKUP(AR338,Calculs!$A$427:$G$738,7,FALSE)&gt;0,TRUE,FALSE))</f>
        <v>1</v>
      </c>
      <c r="AT338" s="158"/>
      <c r="AU338" s="158" t="b">
        <f>IF(AT338="",TRUE,IF(VLOOKUP(AT338,Calculs!$A$740:$G$912,7,FALSE)&gt;0,TRUE,FALSE))</f>
        <v>1</v>
      </c>
      <c r="AV338" s="158" t="b">
        <f t="shared" si="37"/>
        <v>1</v>
      </c>
      <c r="AW338" s="158" t="s">
        <v>2078</v>
      </c>
      <c r="AX338" s="162" t="s">
        <v>9105</v>
      </c>
      <c r="AY338" s="15">
        <v>56</v>
      </c>
      <c r="AZ338" s="555" t="s">
        <v>9110</v>
      </c>
      <c r="BA338" s="559">
        <f>IF(Verso!$B$10=Voies!$B338,1,0)</f>
        <v>0</v>
      </c>
      <c r="BB338" s="12">
        <f>IF(Verso!$B$11=Voies!$B338,1,0)</f>
        <v>0</v>
      </c>
      <c r="BC338" s="12">
        <f>IF(Verso!$B$12=Voies!$B338,1,0)</f>
        <v>0</v>
      </c>
      <c r="BD338" s="12">
        <f>IF(Verso!$B$13=Voies!$B338,1,0)</f>
        <v>0</v>
      </c>
      <c r="BE338" s="12">
        <f>IF(Verso!$B$14=Voies!$B338,1,0)</f>
        <v>0</v>
      </c>
      <c r="BF338" s="12">
        <f>IF(Verso!$B$15=Voies!$B338,1,0)</f>
        <v>0</v>
      </c>
      <c r="BG338" s="12">
        <f>IF(Verso!$B$16=Voies!$B338,1,0)</f>
        <v>0</v>
      </c>
      <c r="BH338" s="12">
        <f>IF(Verso!$B$17=Voies!$B338,1,0)</f>
        <v>0</v>
      </c>
      <c r="BI338" s="557">
        <f t="shared" si="38"/>
        <v>0</v>
      </c>
      <c r="BJ338" s="196" t="str">
        <f t="shared" si="39"/>
        <v/>
      </c>
      <c r="BK338" s="196" t="str">
        <f t="shared" si="40"/>
        <v/>
      </c>
      <c r="BL338" s="295" t="str">
        <f t="shared" si="41"/>
        <v/>
      </c>
      <c r="BM338" s="91"/>
    </row>
    <row r="339" spans="1:65" ht="47.25" customHeight="1" x14ac:dyDescent="0.25">
      <c r="A339" s="162" t="str">
        <f>IF(AND(Réputation&gt;Voies!E339-1,OR(C339=TRUE,Calculs!$I$8&gt;0),Air&gt;Voies!J339-1,Eau&gt;Voies!K339-1,Feu&gt;Voies!L339-1,Terre&gt;Voies!M339-1,Vide&gt;Voies!N339-1,Constitution&gt;Voies!O339-1,Volonté&gt;Voies!P339-1,Force&gt;Voies!Q339-1,Perception&gt;Voies!R339-1,Reflexes&gt;Voies!S339-1,Agilité&gt;Voies!T339-1,Intuition&gt;Voies!U339-1,Intelligence&gt;Voies!V339-1,Souillure&gt;Voies!W339-1,Honneur&gt;X339-1,Statut&gt;Y339-1,Gloire&gt;Z339-1,AV339=TRUE),Voies!B339,"")</f>
        <v/>
      </c>
      <c r="B339" s="162" t="s">
        <v>2151</v>
      </c>
      <c r="C339" s="162" t="b">
        <f t="shared" si="43"/>
        <v>0</v>
      </c>
      <c r="D339" s="388" t="s">
        <v>384</v>
      </c>
      <c r="E339" s="13">
        <v>3</v>
      </c>
      <c r="F339" s="199">
        <v>3</v>
      </c>
      <c r="G339" s="13" t="s">
        <v>2049</v>
      </c>
      <c r="H339" s="162" t="s">
        <v>407</v>
      </c>
      <c r="I339" s="129" t="str">
        <f>IF(B339="","","Rien")</f>
        <v>Rien</v>
      </c>
      <c r="J339" s="146">
        <v>0</v>
      </c>
      <c r="K339" s="147">
        <v>0</v>
      </c>
      <c r="L339" s="148">
        <v>0</v>
      </c>
      <c r="M339" s="149">
        <v>0</v>
      </c>
      <c r="N339" s="150">
        <v>0</v>
      </c>
      <c r="O339" s="130">
        <v>0</v>
      </c>
      <c r="P339" s="130">
        <v>0</v>
      </c>
      <c r="Q339" s="130">
        <v>0</v>
      </c>
      <c r="R339" s="130">
        <v>0</v>
      </c>
      <c r="S339" s="130">
        <v>0</v>
      </c>
      <c r="T339" s="130">
        <v>0</v>
      </c>
      <c r="U339" s="130">
        <v>0</v>
      </c>
      <c r="V339" s="524">
        <v>0</v>
      </c>
      <c r="W339" s="130">
        <v>0</v>
      </c>
      <c r="X339" s="130">
        <v>0</v>
      </c>
      <c r="Y339" s="130">
        <v>0</v>
      </c>
      <c r="Z339" s="130">
        <v>0</v>
      </c>
      <c r="AA339" s="158" t="s">
        <v>2078</v>
      </c>
      <c r="AB339" s="158"/>
      <c r="AC339" s="158"/>
      <c r="AD339" s="158"/>
      <c r="AE339" s="158" t="b">
        <f>IF(AB339="",TRUE,IF(IF(AC339="",VLOOKUP(AB339,Calculs!$A$19:$S$425,19,FALSE),VLOOKUP(AC339,Calculs!$A$19:$S$425,19,FALSE))&gt;=AD339,TRUE,FALSE))</f>
        <v>1</v>
      </c>
      <c r="AF339" s="158"/>
      <c r="AG339" s="158"/>
      <c r="AH339" s="158"/>
      <c r="AI339" s="158" t="b">
        <f>IF(AF339="",TRUE,IF(IF(AG339="",VLOOKUP(AF339,Calculs!$A$19:$S$425,19,FALSE),VLOOKUP(AG339,Calculs!$A$19:$S$425,19,FALSE))&gt;=AH339,TRUE,FALSE))</f>
        <v>1</v>
      </c>
      <c r="AJ339" s="158"/>
      <c r="AK339" s="158"/>
      <c r="AL339" s="158"/>
      <c r="AM339" s="158" t="b">
        <f>IF(AJ339="",TRUE,IF(IF(AK339="",VLOOKUP(AJ339,Calculs!$A$19:$S$425,19,FALSE),VLOOKUP(AK339,Calculs!$A$19:$S$425,19,FALSE))&gt;=AL339,TRUE,FALSE))</f>
        <v>1</v>
      </c>
      <c r="AN339" s="158"/>
      <c r="AO339" s="158"/>
      <c r="AP339" s="158"/>
      <c r="AQ339" s="158" t="b">
        <f>IF(AN339="",TRUE,IF(IF(AO339="",VLOOKUP(AN339,Calculs!$A$19:$S$425,19,FALSE),VLOOKUP(AO339,Calculs!$A$19:$S$425,19,FALSE))&gt;=AP339,TRUE,FALSE))</f>
        <v>1</v>
      </c>
      <c r="AR339" s="158"/>
      <c r="AS339" s="158" t="b">
        <f>IF(AR339="",TRUE,IF(VLOOKUP(AR339,Calculs!$A$427:$G$738,7,FALSE)&gt;0,TRUE,FALSE))</f>
        <v>1</v>
      </c>
      <c r="AT339" s="158"/>
      <c r="AU339" s="158" t="b">
        <f>IF(AT339="",TRUE,IF(VLOOKUP(AT339,Calculs!$A$740:$G$912,7,FALSE)&gt;0,TRUE,FALSE))</f>
        <v>1</v>
      </c>
      <c r="AV339" s="158" t="b">
        <f t="shared" si="37"/>
        <v>1</v>
      </c>
      <c r="AW339" s="158" t="s">
        <v>2078</v>
      </c>
      <c r="AX339" s="162" t="s">
        <v>3</v>
      </c>
      <c r="AY339" s="15">
        <v>218</v>
      </c>
      <c r="AZ339" s="555" t="s">
        <v>8549</v>
      </c>
      <c r="BA339" s="559">
        <f>IF(Verso!$B$10=Voies!$B339,1,0)</f>
        <v>0</v>
      </c>
      <c r="BB339" s="12">
        <f>IF(Verso!$B$11=Voies!$B339,1,0)</f>
        <v>0</v>
      </c>
      <c r="BC339" s="12">
        <f>IF(Verso!$B$12=Voies!$B339,1,0)</f>
        <v>0</v>
      </c>
      <c r="BD339" s="12">
        <f>IF(Verso!$B$13=Voies!$B339,1,0)</f>
        <v>0</v>
      </c>
      <c r="BE339" s="12">
        <f>IF(Verso!$B$14=Voies!$B339,1,0)</f>
        <v>0</v>
      </c>
      <c r="BF339" s="12">
        <f>IF(Verso!$B$15=Voies!$B339,1,0)</f>
        <v>0</v>
      </c>
      <c r="BG339" s="12">
        <f>IF(Verso!$B$16=Voies!$B339,1,0)</f>
        <v>0</v>
      </c>
      <c r="BH339" s="12">
        <f>IF(Verso!$B$17=Voies!$B339,1,0)</f>
        <v>0</v>
      </c>
      <c r="BI339" s="557">
        <f t="shared" si="38"/>
        <v>0</v>
      </c>
      <c r="BJ339" s="196" t="str">
        <f t="shared" si="39"/>
        <v/>
      </c>
      <c r="BK339" s="196" t="str">
        <f t="shared" si="40"/>
        <v/>
      </c>
      <c r="BL339" s="295" t="str">
        <f t="shared" si="41"/>
        <v/>
      </c>
    </row>
    <row r="340" spans="1:65" ht="47.25" customHeight="1" x14ac:dyDescent="0.25">
      <c r="A340" s="162" t="str">
        <f>IF(AND(Réputation&gt;Voies!E340-1,OR(C340=TRUE,Calculs!$I$8&gt;0),Air&gt;Voies!J340-1,Eau&gt;Voies!K340-1,Feu&gt;Voies!L340-1,Terre&gt;Voies!M340-1,Vide&gt;Voies!N340-1,Constitution&gt;Voies!O340-1,Volonté&gt;Voies!P340-1,Force&gt;Voies!Q340-1,Perception&gt;Voies!R340-1,Reflexes&gt;Voies!S340-1,Agilité&gt;Voies!T340-1,Intuition&gt;Voies!U340-1,Intelligence&gt;Voies!V340-1,Souillure&gt;Voies!W340-1,Honneur&gt;X340-1,Statut&gt;Y340-1,Gloire&gt;Z340-1,AV340=TRUE),Voies!B340,"")</f>
        <v/>
      </c>
      <c r="B340" s="162" t="s">
        <v>2152</v>
      </c>
      <c r="C340" s="162" t="b">
        <f t="shared" si="43"/>
        <v>0</v>
      </c>
      <c r="D340" s="388" t="s">
        <v>384</v>
      </c>
      <c r="E340" s="13">
        <v>4</v>
      </c>
      <c r="F340" s="199">
        <v>4</v>
      </c>
      <c r="G340" s="199" t="s">
        <v>2049</v>
      </c>
      <c r="H340" s="162" t="s">
        <v>407</v>
      </c>
      <c r="I340" s="129" t="str">
        <f>IF(B340="","","Rien")</f>
        <v>Rien</v>
      </c>
      <c r="J340" s="146">
        <v>0</v>
      </c>
      <c r="K340" s="147">
        <v>0</v>
      </c>
      <c r="L340" s="148">
        <v>0</v>
      </c>
      <c r="M340" s="149">
        <v>0</v>
      </c>
      <c r="N340" s="150">
        <v>0</v>
      </c>
      <c r="O340" s="130">
        <v>0</v>
      </c>
      <c r="P340" s="130">
        <v>0</v>
      </c>
      <c r="Q340" s="130">
        <v>0</v>
      </c>
      <c r="R340" s="130">
        <v>0</v>
      </c>
      <c r="S340" s="130">
        <v>0</v>
      </c>
      <c r="T340" s="130">
        <v>0</v>
      </c>
      <c r="U340" s="130">
        <v>0</v>
      </c>
      <c r="V340" s="524">
        <v>0</v>
      </c>
      <c r="W340" s="130">
        <v>0</v>
      </c>
      <c r="X340" s="130">
        <v>0</v>
      </c>
      <c r="Y340" s="130">
        <v>0</v>
      </c>
      <c r="Z340" s="130">
        <v>0</v>
      </c>
      <c r="AA340" s="158" t="s">
        <v>2078</v>
      </c>
      <c r="AB340" s="158"/>
      <c r="AC340" s="158"/>
      <c r="AD340" s="158"/>
      <c r="AE340" s="158" t="b">
        <f>IF(AB340="",TRUE,IF(IF(AC340="",VLOOKUP(AB340,Calculs!$A$19:$S$425,19,FALSE),VLOOKUP(AC340,Calculs!$A$19:$S$425,19,FALSE))&gt;=AD340,TRUE,FALSE))</f>
        <v>1</v>
      </c>
      <c r="AF340" s="158"/>
      <c r="AG340" s="158"/>
      <c r="AH340" s="158"/>
      <c r="AI340" s="158" t="b">
        <f>IF(AF340="",TRUE,IF(IF(AG340="",VLOOKUP(AF340,Calculs!$A$19:$S$425,19,FALSE),VLOOKUP(AG340,Calculs!$A$19:$S$425,19,FALSE))&gt;=AH340,TRUE,FALSE))</f>
        <v>1</v>
      </c>
      <c r="AJ340" s="158"/>
      <c r="AK340" s="158"/>
      <c r="AL340" s="158"/>
      <c r="AM340" s="158" t="b">
        <f>IF(AJ340="",TRUE,IF(IF(AK340="",VLOOKUP(AJ340,Calculs!$A$19:$S$425,19,FALSE),VLOOKUP(AK340,Calculs!$A$19:$S$425,19,FALSE))&gt;=AL340,TRUE,FALSE))</f>
        <v>1</v>
      </c>
      <c r="AN340" s="158"/>
      <c r="AO340" s="158"/>
      <c r="AP340" s="158"/>
      <c r="AQ340" s="158" t="b">
        <f>IF(AN340="",TRUE,IF(IF(AO340="",VLOOKUP(AN340,Calculs!$A$19:$S$425,19,FALSE),VLOOKUP(AO340,Calculs!$A$19:$S$425,19,FALSE))&gt;=AP340,TRUE,FALSE))</f>
        <v>1</v>
      </c>
      <c r="AR340" s="158"/>
      <c r="AS340" s="158" t="b">
        <f>IF(AR340="",TRUE,IF(VLOOKUP(AR340,Calculs!$A$427:$G$738,7,FALSE)&gt;0,TRUE,FALSE))</f>
        <v>1</v>
      </c>
      <c r="AT340" s="158"/>
      <c r="AU340" s="158" t="b">
        <f>IF(AT340="",TRUE,IF(VLOOKUP(AT340,Calculs!$A$740:$G$912,7,FALSE)&gt;0,TRUE,FALSE))</f>
        <v>1</v>
      </c>
      <c r="AV340" s="158" t="b">
        <f t="shared" si="37"/>
        <v>1</v>
      </c>
      <c r="AW340" s="158" t="s">
        <v>2078</v>
      </c>
      <c r="AX340" s="162" t="s">
        <v>3</v>
      </c>
      <c r="AY340" s="15">
        <v>218</v>
      </c>
      <c r="AZ340" s="555" t="s">
        <v>2154</v>
      </c>
      <c r="BA340" s="559">
        <f>IF(Verso!$B$10=Voies!$B340,1,0)</f>
        <v>0</v>
      </c>
      <c r="BB340" s="12">
        <f>IF(Verso!$B$11=Voies!$B340,1,0)</f>
        <v>0</v>
      </c>
      <c r="BC340" s="12">
        <f>IF(Verso!$B$12=Voies!$B340,1,0)</f>
        <v>0</v>
      </c>
      <c r="BD340" s="12">
        <f>IF(Verso!$B$13=Voies!$B340,1,0)</f>
        <v>0</v>
      </c>
      <c r="BE340" s="12">
        <f>IF(Verso!$B$14=Voies!$B340,1,0)</f>
        <v>0</v>
      </c>
      <c r="BF340" s="12">
        <f>IF(Verso!$B$15=Voies!$B340,1,0)</f>
        <v>0</v>
      </c>
      <c r="BG340" s="12">
        <f>IF(Verso!$B$16=Voies!$B340,1,0)</f>
        <v>0</v>
      </c>
      <c r="BH340" s="12">
        <f>IF(Verso!$B$17=Voies!$B340,1,0)</f>
        <v>0</v>
      </c>
      <c r="BI340" s="557">
        <f t="shared" si="38"/>
        <v>0</v>
      </c>
      <c r="BJ340" s="196" t="str">
        <f t="shared" si="39"/>
        <v/>
      </c>
      <c r="BK340" s="196" t="str">
        <f t="shared" si="40"/>
        <v/>
      </c>
      <c r="BL340" s="295" t="str">
        <f t="shared" si="41"/>
        <v/>
      </c>
    </row>
    <row r="341" spans="1:65" ht="47.25" customHeight="1" x14ac:dyDescent="0.25">
      <c r="A341" s="162" t="str">
        <f>IF(AND(Réputation&gt;Voies!E341-1,OR(C341=TRUE,Calculs!$I$8&gt;0),Air&gt;Voies!J341-1,Eau&gt;Voies!K341-1,Feu&gt;Voies!L341-1,Terre&gt;Voies!M341-1,Vide&gt;Voies!N341-1,Constitution&gt;Voies!O341-1,Volonté&gt;Voies!P341-1,Force&gt;Voies!Q341-1,Perception&gt;Voies!R341-1,Reflexes&gt;Voies!S341-1,Agilité&gt;Voies!T341-1,Intuition&gt;Voies!U341-1,Intelligence&gt;Voies!V341-1,Souillure&gt;Voies!W341-1,Honneur&gt;X341-1,Statut&gt;Y341-1,Gloire&gt;Z341-1,AV341=TRUE),Voies!B341,"")</f>
        <v/>
      </c>
      <c r="B341" s="162" t="s">
        <v>2153</v>
      </c>
      <c r="C341" s="162" t="b">
        <f t="shared" si="43"/>
        <v>0</v>
      </c>
      <c r="D341" s="388" t="s">
        <v>384</v>
      </c>
      <c r="E341" s="13">
        <v>5</v>
      </c>
      <c r="F341" s="199">
        <v>5</v>
      </c>
      <c r="G341" s="13" t="s">
        <v>2049</v>
      </c>
      <c r="H341" s="162" t="s">
        <v>407</v>
      </c>
      <c r="I341" s="129" t="str">
        <f>IF(B341="","","Rien")</f>
        <v>Rien</v>
      </c>
      <c r="J341" s="146">
        <v>0</v>
      </c>
      <c r="K341" s="147">
        <v>0</v>
      </c>
      <c r="L341" s="148">
        <v>0</v>
      </c>
      <c r="M341" s="149">
        <v>0</v>
      </c>
      <c r="N341" s="150">
        <v>0</v>
      </c>
      <c r="O341" s="130">
        <v>0</v>
      </c>
      <c r="P341" s="130">
        <v>0</v>
      </c>
      <c r="Q341" s="130">
        <v>0</v>
      </c>
      <c r="R341" s="130">
        <v>0</v>
      </c>
      <c r="S341" s="130">
        <v>0</v>
      </c>
      <c r="T341" s="130">
        <v>0</v>
      </c>
      <c r="U341" s="130">
        <v>0</v>
      </c>
      <c r="V341" s="524">
        <v>0</v>
      </c>
      <c r="W341" s="130">
        <v>0</v>
      </c>
      <c r="X341" s="130">
        <v>0</v>
      </c>
      <c r="Y341" s="130">
        <v>0</v>
      </c>
      <c r="Z341" s="130">
        <v>0</v>
      </c>
      <c r="AA341" s="158" t="s">
        <v>2078</v>
      </c>
      <c r="AB341" s="158"/>
      <c r="AC341" s="158"/>
      <c r="AD341" s="158"/>
      <c r="AE341" s="158" t="b">
        <f>IF(AB341="",TRUE,IF(IF(AC341="",VLOOKUP(AB341,Calculs!$A$19:$S$425,19,FALSE),VLOOKUP(AC341,Calculs!$A$19:$S$425,19,FALSE))&gt;=AD341,TRUE,FALSE))</f>
        <v>1</v>
      </c>
      <c r="AF341" s="158"/>
      <c r="AG341" s="158"/>
      <c r="AH341" s="158"/>
      <c r="AI341" s="158" t="b">
        <f>IF(AF341="",TRUE,IF(IF(AG341="",VLOOKUP(AF341,Calculs!$A$19:$S$425,19,FALSE),VLOOKUP(AG341,Calculs!$A$19:$S$425,19,FALSE))&gt;=AH341,TRUE,FALSE))</f>
        <v>1</v>
      </c>
      <c r="AJ341" s="158"/>
      <c r="AK341" s="158"/>
      <c r="AL341" s="158"/>
      <c r="AM341" s="158" t="b">
        <f>IF(AJ341="",TRUE,IF(IF(AK341="",VLOOKUP(AJ341,Calculs!$A$19:$S$425,19,FALSE),VLOOKUP(AK341,Calculs!$A$19:$S$425,19,FALSE))&gt;=AL341,TRUE,FALSE))</f>
        <v>1</v>
      </c>
      <c r="AN341" s="158"/>
      <c r="AO341" s="158"/>
      <c r="AP341" s="158"/>
      <c r="AQ341" s="158" t="b">
        <f>IF(AN341="",TRUE,IF(IF(AO341="",VLOOKUP(AN341,Calculs!$A$19:$S$425,19,FALSE),VLOOKUP(AO341,Calculs!$A$19:$S$425,19,FALSE))&gt;=AP341,TRUE,FALSE))</f>
        <v>1</v>
      </c>
      <c r="AR341" s="158"/>
      <c r="AS341" s="158" t="b">
        <f>IF(AR341="",TRUE,IF(VLOOKUP(AR341,Calculs!$A$427:$G$738,7,FALSE)&gt;0,TRUE,FALSE))</f>
        <v>1</v>
      </c>
      <c r="AT341" s="158"/>
      <c r="AU341" s="158" t="b">
        <f>IF(AT341="",TRUE,IF(VLOOKUP(AT341,Calculs!$A$740:$G$912,7,FALSE)&gt;0,TRUE,FALSE))</f>
        <v>1</v>
      </c>
      <c r="AV341" s="158" t="b">
        <f t="shared" si="37"/>
        <v>1</v>
      </c>
      <c r="AW341" s="158" t="s">
        <v>2078</v>
      </c>
      <c r="AX341" s="162" t="s">
        <v>3</v>
      </c>
      <c r="AY341" s="15">
        <v>219</v>
      </c>
      <c r="AZ341" s="555" t="s">
        <v>2155</v>
      </c>
      <c r="BA341" s="559">
        <f>IF(Verso!$B$10=Voies!$B341,1,0)</f>
        <v>0</v>
      </c>
      <c r="BB341" s="12">
        <f>IF(Verso!$B$11=Voies!$B341,1,0)</f>
        <v>0</v>
      </c>
      <c r="BC341" s="12">
        <f>IF(Verso!$B$12=Voies!$B341,1,0)</f>
        <v>0</v>
      </c>
      <c r="BD341" s="12">
        <f>IF(Verso!$B$13=Voies!$B341,1,0)</f>
        <v>0</v>
      </c>
      <c r="BE341" s="12">
        <f>IF(Verso!$B$14=Voies!$B341,1,0)</f>
        <v>0</v>
      </c>
      <c r="BF341" s="12">
        <f>IF(Verso!$B$15=Voies!$B341,1,0)</f>
        <v>0</v>
      </c>
      <c r="BG341" s="12">
        <f>IF(Verso!$B$16=Voies!$B341,1,0)</f>
        <v>0</v>
      </c>
      <c r="BH341" s="12">
        <f>IF(Verso!$B$17=Voies!$B341,1,0)</f>
        <v>0</v>
      </c>
      <c r="BI341" s="557">
        <f t="shared" si="38"/>
        <v>0</v>
      </c>
      <c r="BJ341" s="196" t="str">
        <f t="shared" si="39"/>
        <v/>
      </c>
      <c r="BK341" s="196" t="str">
        <f t="shared" si="40"/>
        <v/>
      </c>
      <c r="BL341" s="295" t="str">
        <f t="shared" si="41"/>
        <v/>
      </c>
    </row>
    <row r="342" spans="1:65" ht="47.25" customHeight="1" x14ac:dyDescent="0.25">
      <c r="A342" s="162" t="str">
        <f>IF(AND(Réputation&gt;Voies!E342-1,OR(C342=TRUE,Calculs!$I$8&gt;0),Air&gt;Voies!J342-1,Eau&gt;Voies!K342-1,Feu&gt;Voies!L342-1,Terre&gt;Voies!M342-1,Vide&gt;Voies!N342-1,Constitution&gt;Voies!O342-1,Volonté&gt;Voies!P342-1,Force&gt;Voies!Q342-1,Perception&gt;Voies!R342-1,Reflexes&gt;Voies!S342-1,Agilité&gt;Voies!T342-1,Intuition&gt;Voies!U342-1,Intelligence&gt;Voies!V342-1,Souillure&gt;Voies!W342-1,Honneur&gt;X342-1,Statut&gt;Y342-1,Gloire&gt;Z342-1,AV342=TRUE),Voies!B342,"")</f>
        <v/>
      </c>
      <c r="B342" s="162" t="s">
        <v>3710</v>
      </c>
      <c r="C342" s="162" t="b">
        <v>1</v>
      </c>
      <c r="D342" s="388" t="s">
        <v>3661</v>
      </c>
      <c r="E342" s="13">
        <v>2</v>
      </c>
      <c r="F342" s="199">
        <v>2</v>
      </c>
      <c r="G342" s="157" t="s">
        <v>2078</v>
      </c>
      <c r="H342" s="162" t="s">
        <v>572</v>
      </c>
      <c r="I342" s="129" t="s">
        <v>3341</v>
      </c>
      <c r="J342" s="146">
        <v>0</v>
      </c>
      <c r="K342" s="147">
        <v>0</v>
      </c>
      <c r="L342" s="148">
        <v>0</v>
      </c>
      <c r="M342" s="149">
        <v>0</v>
      </c>
      <c r="N342" s="150">
        <v>0</v>
      </c>
      <c r="O342" s="130">
        <v>0</v>
      </c>
      <c r="P342" s="130">
        <v>0</v>
      </c>
      <c r="Q342" s="130">
        <v>0</v>
      </c>
      <c r="R342" s="130">
        <v>0</v>
      </c>
      <c r="S342" s="130">
        <v>0</v>
      </c>
      <c r="T342" s="130">
        <v>0</v>
      </c>
      <c r="U342" s="130">
        <v>0</v>
      </c>
      <c r="V342" s="524">
        <v>0</v>
      </c>
      <c r="W342" s="130">
        <v>0</v>
      </c>
      <c r="X342" s="130">
        <v>0</v>
      </c>
      <c r="Y342" s="130">
        <v>0</v>
      </c>
      <c r="Z342" s="130">
        <v>0</v>
      </c>
      <c r="AA342" s="158" t="s">
        <v>2078</v>
      </c>
      <c r="AB342" s="158"/>
      <c r="AC342" s="158"/>
      <c r="AD342" s="158"/>
      <c r="AE342" s="158" t="b">
        <f>IF(AB342="",TRUE,IF(IF(AC342="",VLOOKUP(AB342,Calculs!$A$19:$S$425,19,FALSE),VLOOKUP(AC342,Calculs!$A$19:$S$425,19,FALSE))&gt;=AD342,TRUE,FALSE))</f>
        <v>1</v>
      </c>
      <c r="AF342" s="158"/>
      <c r="AG342" s="158"/>
      <c r="AH342" s="158"/>
      <c r="AI342" s="158" t="b">
        <f>IF(AF342="",TRUE,IF(IF(AG342="",VLOOKUP(AF342,Calculs!$A$19:$S$425,19,FALSE),VLOOKUP(AG342,Calculs!$A$19:$S$425,19,FALSE))&gt;=AH342,TRUE,FALSE))</f>
        <v>1</v>
      </c>
      <c r="AJ342" s="158"/>
      <c r="AK342" s="158"/>
      <c r="AL342" s="158"/>
      <c r="AM342" s="158" t="b">
        <f>IF(AJ342="",TRUE,IF(IF(AK342="",VLOOKUP(AJ342,Calculs!$A$19:$S$425,19,FALSE),VLOOKUP(AK342,Calculs!$A$19:$S$425,19,FALSE))&gt;=AL342,TRUE,FALSE))</f>
        <v>1</v>
      </c>
      <c r="AN342" s="158"/>
      <c r="AO342" s="158"/>
      <c r="AP342" s="158"/>
      <c r="AQ342" s="158" t="b">
        <f>IF(AN342="",TRUE,IF(IF(AO342="",VLOOKUP(AN342,Calculs!$A$19:$S$425,19,FALSE),VLOOKUP(AO342,Calculs!$A$19:$S$425,19,FALSE))&gt;=AP342,TRUE,FALSE))</f>
        <v>1</v>
      </c>
      <c r="AR342" s="158"/>
      <c r="AS342" s="158" t="b">
        <f>IF(AR342="",TRUE,IF(VLOOKUP(AR342,Calculs!$A$427:$G$738,7,FALSE)&gt;0,TRUE,FALSE))</f>
        <v>1</v>
      </c>
      <c r="AT342" s="158"/>
      <c r="AU342" s="158" t="b">
        <f>IF(AT342="",TRUE,IF(VLOOKUP(AT342,Calculs!$A$740:$G$912,7,FALSE)&gt;0,TRUE,FALSE))</f>
        <v>1</v>
      </c>
      <c r="AV342" s="158" t="b">
        <f t="shared" si="37"/>
        <v>1</v>
      </c>
      <c r="AW342" s="159" t="s">
        <v>6479</v>
      </c>
      <c r="AX342" s="162" t="s">
        <v>2076</v>
      </c>
      <c r="AY342" s="15">
        <v>245</v>
      </c>
      <c r="AZ342" s="555" t="s">
        <v>3711</v>
      </c>
      <c r="BA342" s="559">
        <f>IF(Verso!$B$10=Voies!$B342,1,0)</f>
        <v>0</v>
      </c>
      <c r="BB342" s="12">
        <f>IF(Verso!$B$11=Voies!$B342,1,0)</f>
        <v>0</v>
      </c>
      <c r="BC342" s="12">
        <f>IF(Verso!$B$12=Voies!$B342,1,0)</f>
        <v>0</v>
      </c>
      <c r="BD342" s="12">
        <f>IF(Verso!$B$13=Voies!$B342,1,0)</f>
        <v>0</v>
      </c>
      <c r="BE342" s="12">
        <f>IF(Verso!$B$14=Voies!$B342,1,0)</f>
        <v>0</v>
      </c>
      <c r="BF342" s="12">
        <f>IF(Verso!$B$15=Voies!$B342,1,0)</f>
        <v>0</v>
      </c>
      <c r="BG342" s="12">
        <f>IF(Verso!$B$16=Voies!$B342,1,0)</f>
        <v>0</v>
      </c>
      <c r="BH342" s="12">
        <f>IF(Verso!$B$17=Voies!$B342,1,0)</f>
        <v>0</v>
      </c>
      <c r="BI342" s="557">
        <f t="shared" si="38"/>
        <v>0</v>
      </c>
      <c r="BJ342" s="196" t="str">
        <f t="shared" si="39"/>
        <v/>
      </c>
      <c r="BK342" s="196" t="str">
        <f t="shared" si="40"/>
        <v/>
      </c>
      <c r="BL342" s="295" t="str">
        <f t="shared" si="41"/>
        <v/>
      </c>
    </row>
    <row r="343" spans="1:65" ht="47.25" customHeight="1" x14ac:dyDescent="0.25">
      <c r="A343" s="162" t="str">
        <f>IF(AND(Réputation&gt;Voies!E343-1,OR(C343=TRUE,Calculs!$I$8&gt;0),Air&gt;Voies!J343-1,Eau&gt;Voies!K343-1,Feu&gt;Voies!L343-1,Terre&gt;Voies!M343-1,Vide&gt;Voies!N343-1,Constitution&gt;Voies!O343-1,Volonté&gt;Voies!P343-1,Force&gt;Voies!Q343-1,Perception&gt;Voies!R343-1,Reflexes&gt;Voies!S343-1,Agilité&gt;Voies!T343-1,Intuition&gt;Voies!U343-1,Intelligence&gt;Voies!V343-1,Souillure&gt;Voies!W343-1,Honneur&gt;X343-1,Statut&gt;Y343-1,Gloire&gt;Z343-1,AV343=TRUE),Voies!B343,"")</f>
        <v/>
      </c>
      <c r="B343" s="162" t="s">
        <v>3657</v>
      </c>
      <c r="C343" s="162" t="b">
        <v>1</v>
      </c>
      <c r="D343" s="388" t="s">
        <v>3661</v>
      </c>
      <c r="E343" s="13">
        <v>2</v>
      </c>
      <c r="F343" s="199">
        <v>2</v>
      </c>
      <c r="G343" s="13" t="s">
        <v>2052</v>
      </c>
      <c r="H343" s="219" t="s">
        <v>573</v>
      </c>
      <c r="I343" s="129" t="s">
        <v>3341</v>
      </c>
      <c r="J343" s="146">
        <v>0</v>
      </c>
      <c r="K343" s="147">
        <v>0</v>
      </c>
      <c r="L343" s="148">
        <v>0</v>
      </c>
      <c r="M343" s="149">
        <v>0</v>
      </c>
      <c r="N343" s="150">
        <v>0</v>
      </c>
      <c r="O343" s="130">
        <v>0</v>
      </c>
      <c r="P343" s="130">
        <v>0</v>
      </c>
      <c r="Q343" s="130">
        <v>0</v>
      </c>
      <c r="R343" s="130">
        <v>0</v>
      </c>
      <c r="S343" s="130">
        <v>0</v>
      </c>
      <c r="T343" s="130">
        <v>0</v>
      </c>
      <c r="U343" s="130">
        <v>0</v>
      </c>
      <c r="V343" s="524">
        <v>0</v>
      </c>
      <c r="W343" s="130">
        <v>0</v>
      </c>
      <c r="X343" s="130">
        <v>0</v>
      </c>
      <c r="Y343" s="130">
        <v>0</v>
      </c>
      <c r="Z343" s="130">
        <v>0</v>
      </c>
      <c r="AA343" s="158" t="s">
        <v>2078</v>
      </c>
      <c r="AB343" s="158"/>
      <c r="AC343" s="158"/>
      <c r="AD343" s="158"/>
      <c r="AE343" s="158" t="b">
        <f>IF(AB343="",TRUE,IF(IF(AC343="",VLOOKUP(AB343,Calculs!$A$19:$S$425,19,FALSE),VLOOKUP(AC343,Calculs!$A$19:$S$425,19,FALSE))&gt;=AD343,TRUE,FALSE))</f>
        <v>1</v>
      </c>
      <c r="AF343" s="158"/>
      <c r="AG343" s="158"/>
      <c r="AH343" s="158"/>
      <c r="AI343" s="158" t="b">
        <f>IF(AF343="",TRUE,IF(IF(AG343="",VLOOKUP(AF343,Calculs!$A$19:$S$425,19,FALSE),VLOOKUP(AG343,Calculs!$A$19:$S$425,19,FALSE))&gt;=AH343,TRUE,FALSE))</f>
        <v>1</v>
      </c>
      <c r="AJ343" s="158"/>
      <c r="AK343" s="158"/>
      <c r="AL343" s="158"/>
      <c r="AM343" s="158" t="b">
        <f>IF(AJ343="",TRUE,IF(IF(AK343="",VLOOKUP(AJ343,Calculs!$A$19:$S$425,19,FALSE),VLOOKUP(AK343,Calculs!$A$19:$S$425,19,FALSE))&gt;=AL343,TRUE,FALSE))</f>
        <v>1</v>
      </c>
      <c r="AN343" s="158"/>
      <c r="AO343" s="158"/>
      <c r="AP343" s="158"/>
      <c r="AQ343" s="158" t="b">
        <f>IF(AN343="",TRUE,IF(IF(AO343="",VLOOKUP(AN343,Calculs!$A$19:$S$425,19,FALSE),VLOOKUP(AO343,Calculs!$A$19:$S$425,19,FALSE))&gt;=AP343,TRUE,FALSE))</f>
        <v>1</v>
      </c>
      <c r="AR343" s="158"/>
      <c r="AS343" s="158" t="b">
        <f>IF(AR343="",TRUE,IF(VLOOKUP(AR343,Calculs!$A$427:$G$738,7,FALSE)&gt;0,TRUE,FALSE))</f>
        <v>1</v>
      </c>
      <c r="AT343" s="158"/>
      <c r="AU343" s="158" t="b">
        <f>IF(AT343="",TRUE,IF(VLOOKUP(AT343,Calculs!$A$740:$G$912,7,FALSE)&gt;0,TRUE,FALSE))</f>
        <v>1</v>
      </c>
      <c r="AV343" s="158" t="b">
        <f t="shared" si="37"/>
        <v>1</v>
      </c>
      <c r="AW343" s="159" t="s">
        <v>3656</v>
      </c>
      <c r="AX343" s="162" t="s">
        <v>2077</v>
      </c>
      <c r="AY343" s="15">
        <v>69</v>
      </c>
      <c r="AZ343" s="555" t="s">
        <v>3658</v>
      </c>
      <c r="BA343" s="559">
        <f>IF(Verso!$B$10=Voies!$B343,1,0)</f>
        <v>0</v>
      </c>
      <c r="BB343" s="12">
        <f>IF(Verso!$B$11=Voies!$B343,1,0)</f>
        <v>0</v>
      </c>
      <c r="BC343" s="12">
        <f>IF(Verso!$B$12=Voies!$B343,1,0)</f>
        <v>0</v>
      </c>
      <c r="BD343" s="12">
        <f>IF(Verso!$B$13=Voies!$B343,1,0)</f>
        <v>0</v>
      </c>
      <c r="BE343" s="12">
        <f>IF(Verso!$B$14=Voies!$B343,1,0)</f>
        <v>0</v>
      </c>
      <c r="BF343" s="12">
        <f>IF(Verso!$B$15=Voies!$B343,1,0)</f>
        <v>0</v>
      </c>
      <c r="BG343" s="12">
        <f>IF(Verso!$B$16=Voies!$B343,1,0)</f>
        <v>0</v>
      </c>
      <c r="BH343" s="12">
        <f>IF(Verso!$B$17=Voies!$B343,1,0)</f>
        <v>0</v>
      </c>
      <c r="BI343" s="557">
        <f t="shared" si="38"/>
        <v>0</v>
      </c>
      <c r="BJ343" s="196" t="str">
        <f t="shared" si="39"/>
        <v/>
      </c>
      <c r="BK343" s="196" t="str">
        <f t="shared" si="40"/>
        <v/>
      </c>
      <c r="BL343" s="295" t="str">
        <f t="shared" si="41"/>
        <v/>
      </c>
    </row>
    <row r="344" spans="1:65" ht="47.25" customHeight="1" x14ac:dyDescent="0.25">
      <c r="A344" s="162" t="str">
        <f>IF(AND(Réputation&gt;Voies!E344-1,OR(C344=TRUE,Calculs!$I$8&gt;0),Air&gt;Voies!J344-1,Eau&gt;Voies!K344-1,Feu&gt;Voies!L344-1,Terre&gt;Voies!M344-1,Vide&gt;Voies!N344-1,Constitution&gt;Voies!O344-1,Volonté&gt;Voies!P344-1,Force&gt;Voies!Q344-1,Perception&gt;Voies!R344-1,Reflexes&gt;Voies!S344-1,Agilité&gt;Voies!T344-1,Intuition&gt;Voies!U344-1,Intelligence&gt;Voies!V344-1,Souillure&gt;Voies!W344-1,Honneur&gt;X344-1,Statut&gt;Y344-1,Gloire&gt;Z344-1,AV344=TRUE),Voies!B344,"")</f>
        <v/>
      </c>
      <c r="B344" s="162" t="s">
        <v>2851</v>
      </c>
      <c r="C344" s="162" t="b">
        <f>IF(Clan=Voies!D344,TRUE,FALSE)</f>
        <v>0</v>
      </c>
      <c r="D344" s="387" t="s">
        <v>176</v>
      </c>
      <c r="E344" s="13">
        <v>0</v>
      </c>
      <c r="F344" s="199">
        <v>0</v>
      </c>
      <c r="G344" s="13" t="s">
        <v>2057</v>
      </c>
      <c r="H344" s="219" t="s">
        <v>6058</v>
      </c>
      <c r="I344" s="129" t="str">
        <f t="shared" ref="I344:I367" si="44">IF(B344="","","Rien")</f>
        <v>Rien</v>
      </c>
      <c r="J344" s="146">
        <v>0</v>
      </c>
      <c r="K344" s="147">
        <v>0</v>
      </c>
      <c r="L344" s="148">
        <v>0</v>
      </c>
      <c r="M344" s="149">
        <v>0</v>
      </c>
      <c r="N344" s="150">
        <v>5</v>
      </c>
      <c r="O344" s="130">
        <v>0</v>
      </c>
      <c r="P344" s="130">
        <v>0</v>
      </c>
      <c r="Q344" s="130">
        <v>0</v>
      </c>
      <c r="R344" s="130">
        <v>0</v>
      </c>
      <c r="S344" s="130">
        <v>0</v>
      </c>
      <c r="T344" s="130">
        <v>0</v>
      </c>
      <c r="U344" s="130">
        <v>5</v>
      </c>
      <c r="V344" s="524">
        <v>0</v>
      </c>
      <c r="W344" s="130">
        <v>0</v>
      </c>
      <c r="X344" s="130">
        <v>0</v>
      </c>
      <c r="Y344" s="130">
        <v>0</v>
      </c>
      <c r="Z344" s="130">
        <v>0</v>
      </c>
      <c r="AA344" s="159" t="s">
        <v>2839</v>
      </c>
      <c r="AB344" s="159" t="s">
        <v>1262</v>
      </c>
      <c r="AD344" s="159">
        <v>8</v>
      </c>
      <c r="AE344" s="158" t="b">
        <f>IF(AB344="",TRUE,IF(IF(AC344="",VLOOKUP(AB344,Calculs!$A$19:$S$425,19,FALSE),VLOOKUP(AC344,Calculs!$A$19:$S$425,19,FALSE))&gt;=AD344,TRUE,FALSE))</f>
        <v>0</v>
      </c>
      <c r="AI344" s="158" t="b">
        <f>IF(AF344="",TRUE,IF(IF(AG344="",VLOOKUP(AF344,Calculs!$A$19:$S$425,19,FALSE),VLOOKUP(AG344,Calculs!$A$19:$S$425,19,FALSE))&gt;=AH344,TRUE,FALSE))</f>
        <v>1</v>
      </c>
      <c r="AM344" s="158" t="b">
        <f>IF(AJ344="",TRUE,IF(IF(AK344="",VLOOKUP(AJ344,Calculs!$A$19:$S$425,19,FALSE),VLOOKUP(AK344,Calculs!$A$19:$S$425,19,FALSE))&gt;=AL344,TRUE,FALSE))</f>
        <v>1</v>
      </c>
      <c r="AQ344" s="158" t="b">
        <f>IF(AN344="",TRUE,IF(IF(AO344="",VLOOKUP(AN344,Calculs!$A$19:$S$425,19,FALSE),VLOOKUP(AO344,Calculs!$A$19:$S$425,19,FALSE))&gt;=AP344,TRUE,FALSE))</f>
        <v>1</v>
      </c>
      <c r="AR344" s="158" t="s">
        <v>674</v>
      </c>
      <c r="AS344" s="158" t="b">
        <f>IF(AR344="",TRUE,IF(VLOOKUP(AR344,Calculs!$A$427:$G$738,7,FALSE)&gt;0,TRUE,FALSE))</f>
        <v>0</v>
      </c>
      <c r="AT344" s="158"/>
      <c r="AU344" s="158" t="b">
        <f>IF(AT344="",TRUE,IF(VLOOKUP(AT344,Calculs!$A$740:$G$912,7,FALSE)&gt;0,TRUE,FALSE))</f>
        <v>1</v>
      </c>
      <c r="AV344" s="158" t="b">
        <f t="shared" si="37"/>
        <v>0</v>
      </c>
      <c r="AW344" s="159" t="s">
        <v>6464</v>
      </c>
      <c r="AX344" s="162" t="s">
        <v>6061</v>
      </c>
      <c r="AY344" s="15">
        <v>102</v>
      </c>
      <c r="AZ344" s="555" t="s">
        <v>8550</v>
      </c>
      <c r="BA344" s="559">
        <f>IF(Verso!$B$10=Voies!$B344,1,0)</f>
        <v>0</v>
      </c>
      <c r="BB344" s="12">
        <f>IF(Verso!$B$11=Voies!$B344,1,0)</f>
        <v>0</v>
      </c>
      <c r="BC344" s="12">
        <f>IF(Verso!$B$12=Voies!$B344,1,0)</f>
        <v>0</v>
      </c>
      <c r="BD344" s="12">
        <f>IF(Verso!$B$13=Voies!$B344,1,0)</f>
        <v>0</v>
      </c>
      <c r="BE344" s="12">
        <f>IF(Verso!$B$14=Voies!$B344,1,0)</f>
        <v>0</v>
      </c>
      <c r="BF344" s="12">
        <f>IF(Verso!$B$15=Voies!$B344,1,0)</f>
        <v>0</v>
      </c>
      <c r="BG344" s="12">
        <f>IF(Verso!$B$16=Voies!$B344,1,0)</f>
        <v>0</v>
      </c>
      <c r="BH344" s="12">
        <f>IF(Verso!$B$17=Voies!$B344,1,0)</f>
        <v>0</v>
      </c>
      <c r="BI344" s="557">
        <f t="shared" si="38"/>
        <v>0</v>
      </c>
      <c r="BJ344" s="196" t="str">
        <f t="shared" si="39"/>
        <v/>
      </c>
      <c r="BK344" s="196" t="str">
        <f t="shared" si="40"/>
        <v/>
      </c>
      <c r="BL344" s="295" t="str">
        <f t="shared" si="41"/>
        <v/>
      </c>
    </row>
    <row r="345" spans="1:65" ht="47.25" customHeight="1" x14ac:dyDescent="0.25">
      <c r="A345" s="162" t="str">
        <f>IF(AND(Réputation&gt;Voies!E345-1,OR(C345=TRUE,Calculs!$I$8&gt;0),Air&gt;Voies!J345-1,Eau&gt;Voies!K345-1,Feu&gt;Voies!L345-1,Terre&gt;Voies!M345-1,Vide&gt;Voies!N345-1,Constitution&gt;Voies!O345-1,Volonté&gt;Voies!P345-1,Force&gt;Voies!Q345-1,Perception&gt;Voies!R345-1,Reflexes&gt;Voies!S345-1,Agilité&gt;Voies!T345-1,Intuition&gt;Voies!U345-1,Intelligence&gt;Voies!V345-1,Souillure&gt;Voies!W345-1,Honneur&gt;X345-1,Statut&gt;Y345-1,Gloire&gt;Z345-1,AV345=TRUE),Voies!B345,"")</f>
        <v/>
      </c>
      <c r="B345" s="162" t="s">
        <v>6059</v>
      </c>
      <c r="C345" s="162" t="b">
        <f>IF(Clan=Voies!D345,TRUE,FALSE)</f>
        <v>0</v>
      </c>
      <c r="D345" s="387" t="s">
        <v>176</v>
      </c>
      <c r="E345" s="13">
        <v>0</v>
      </c>
      <c r="F345" s="199">
        <v>0</v>
      </c>
      <c r="G345" s="13" t="s">
        <v>2057</v>
      </c>
      <c r="H345" s="219" t="s">
        <v>6058</v>
      </c>
      <c r="I345" s="129" t="str">
        <f t="shared" si="44"/>
        <v>Rien</v>
      </c>
      <c r="J345" s="146">
        <v>0</v>
      </c>
      <c r="K345" s="147">
        <v>0</v>
      </c>
      <c r="L345" s="148">
        <v>0</v>
      </c>
      <c r="M345" s="149">
        <v>0</v>
      </c>
      <c r="N345" s="150">
        <v>5</v>
      </c>
      <c r="O345" s="130">
        <v>0</v>
      </c>
      <c r="P345" s="130">
        <v>0</v>
      </c>
      <c r="Q345" s="130">
        <v>0</v>
      </c>
      <c r="R345" s="130">
        <v>0</v>
      </c>
      <c r="S345" s="130">
        <v>0</v>
      </c>
      <c r="T345" s="130">
        <v>0</v>
      </c>
      <c r="U345" s="130">
        <v>5</v>
      </c>
      <c r="V345" s="524">
        <v>0</v>
      </c>
      <c r="W345" s="130">
        <v>0</v>
      </c>
      <c r="X345" s="130">
        <v>0</v>
      </c>
      <c r="Y345" s="130">
        <v>0</v>
      </c>
      <c r="Z345" s="130">
        <v>0</v>
      </c>
      <c r="AA345" s="159" t="s">
        <v>6371</v>
      </c>
      <c r="AB345" s="159" t="s">
        <v>1262</v>
      </c>
      <c r="AD345" s="159">
        <v>8</v>
      </c>
      <c r="AE345" s="158" t="b">
        <f>IF(AB345="",TRUE,IF(IF(AC345="",VLOOKUP(AB345,Calculs!$A$19:$S$425,19,FALSE),VLOOKUP(AC345,Calculs!$A$19:$S$425,19,FALSE))&gt;=AD345,TRUE,FALSE))</f>
        <v>0</v>
      </c>
      <c r="AI345" s="158" t="b">
        <f>IF(AF345="",TRUE,IF(IF(AG345="",VLOOKUP(AF345,Calculs!$A$19:$S$425,19,FALSE),VLOOKUP(AG345,Calculs!$A$19:$S$425,19,FALSE))&gt;=AH345,TRUE,FALSE))</f>
        <v>1</v>
      </c>
      <c r="AM345" s="158" t="b">
        <f>IF(AJ345="",TRUE,IF(IF(AK345="",VLOOKUP(AJ345,Calculs!$A$19:$S$425,19,FALSE),VLOOKUP(AK345,Calculs!$A$19:$S$425,19,FALSE))&gt;=AL345,TRUE,FALSE))</f>
        <v>1</v>
      </c>
      <c r="AQ345" s="158" t="b">
        <f>IF(AN345="",TRUE,IF(IF(AO345="",VLOOKUP(AN345,Calculs!$A$19:$S$425,19,FALSE),VLOOKUP(AO345,Calculs!$A$19:$S$425,19,FALSE))&gt;=AP345,TRUE,FALSE))</f>
        <v>1</v>
      </c>
      <c r="AR345" s="158" t="s">
        <v>674</v>
      </c>
      <c r="AS345" s="158" t="b">
        <f>IF(AR345="",TRUE,IF(VLOOKUP(AR345,Calculs!$A$427:$G$738,7,FALSE)&gt;0,TRUE,FALSE))</f>
        <v>0</v>
      </c>
      <c r="AT345" s="158"/>
      <c r="AU345" s="158" t="b">
        <f>IF(AT345="",TRUE,IF(VLOOKUP(AT345,Calculs!$A$740:$G$912,7,FALSE)&gt;0,TRUE,FALSE))</f>
        <v>1</v>
      </c>
      <c r="AV345" s="158" t="b">
        <f t="shared" si="37"/>
        <v>0</v>
      </c>
      <c r="AW345" s="159" t="s">
        <v>3414</v>
      </c>
      <c r="AX345" s="162" t="s">
        <v>6061</v>
      </c>
      <c r="AY345" s="15">
        <v>102</v>
      </c>
      <c r="AZ345" s="555" t="s">
        <v>2852</v>
      </c>
      <c r="BA345" s="559">
        <f>IF(Verso!$B$10=Voies!$B345,1,0)</f>
        <v>0</v>
      </c>
      <c r="BB345" s="12">
        <f>IF(Verso!$B$11=Voies!$B345,1,0)</f>
        <v>0</v>
      </c>
      <c r="BC345" s="12">
        <f>IF(Verso!$B$12=Voies!$B345,1,0)</f>
        <v>0</v>
      </c>
      <c r="BD345" s="12">
        <f>IF(Verso!$B$13=Voies!$B345,1,0)</f>
        <v>0</v>
      </c>
      <c r="BE345" s="12">
        <f>IF(Verso!$B$14=Voies!$B345,1,0)</f>
        <v>0</v>
      </c>
      <c r="BF345" s="12">
        <f>IF(Verso!$B$15=Voies!$B345,1,0)</f>
        <v>0</v>
      </c>
      <c r="BG345" s="12">
        <f>IF(Verso!$B$16=Voies!$B345,1,0)</f>
        <v>0</v>
      </c>
      <c r="BH345" s="12">
        <f>IF(Verso!$B$17=Voies!$B345,1,0)</f>
        <v>0</v>
      </c>
      <c r="BI345" s="557">
        <f t="shared" si="38"/>
        <v>0</v>
      </c>
      <c r="BJ345" s="196" t="str">
        <f t="shared" si="39"/>
        <v/>
      </c>
      <c r="BK345" s="196" t="str">
        <f t="shared" si="40"/>
        <v/>
      </c>
      <c r="BL345" s="295" t="str">
        <f t="shared" si="41"/>
        <v/>
      </c>
    </row>
    <row r="346" spans="1:65" ht="47.25" customHeight="1" x14ac:dyDescent="0.25">
      <c r="A346" s="162" t="str">
        <f>IF(AND(Réputation&gt;Voies!E346-1,OR(C346=TRUE,Calculs!$I$8&gt;0),Air&gt;Voies!J346-1,Eau&gt;Voies!K346-1,Feu&gt;Voies!L346-1,Terre&gt;Voies!M346-1,Vide&gt;Voies!N346-1,Constitution&gt;Voies!O346-1,Volonté&gt;Voies!P346-1,Force&gt;Voies!Q346-1,Perception&gt;Voies!R346-1,Reflexes&gt;Voies!S346-1,Agilité&gt;Voies!T346-1,Intuition&gt;Voies!U346-1,Intelligence&gt;Voies!V346-1,Souillure&gt;Voies!W346-1,Honneur&gt;X346-1,Statut&gt;Y346-1,Gloire&gt;Z346-1,AV346=TRUE),Voies!B346,"")</f>
        <v/>
      </c>
      <c r="B346" s="162" t="s">
        <v>6060</v>
      </c>
      <c r="C346" s="162" t="b">
        <f>IF(Clan=Voies!D346,TRUE,FALSE)</f>
        <v>0</v>
      </c>
      <c r="D346" s="387" t="s">
        <v>176</v>
      </c>
      <c r="E346" s="13">
        <v>0</v>
      </c>
      <c r="F346" s="199">
        <v>0</v>
      </c>
      <c r="G346" s="199" t="s">
        <v>2057</v>
      </c>
      <c r="H346" s="219" t="s">
        <v>6058</v>
      </c>
      <c r="I346" s="129" t="str">
        <f t="shared" si="44"/>
        <v>Rien</v>
      </c>
      <c r="J346" s="146">
        <v>0</v>
      </c>
      <c r="K346" s="147">
        <v>0</v>
      </c>
      <c r="L346" s="148">
        <v>0</v>
      </c>
      <c r="M346" s="149">
        <v>0</v>
      </c>
      <c r="N346" s="150">
        <v>5</v>
      </c>
      <c r="O346" s="130">
        <v>0</v>
      </c>
      <c r="P346" s="130">
        <v>0</v>
      </c>
      <c r="Q346" s="130">
        <v>0</v>
      </c>
      <c r="R346" s="130">
        <v>0</v>
      </c>
      <c r="S346" s="130">
        <v>0</v>
      </c>
      <c r="T346" s="130">
        <v>0</v>
      </c>
      <c r="U346" s="130">
        <v>5</v>
      </c>
      <c r="V346" s="524">
        <v>0</v>
      </c>
      <c r="W346" s="130">
        <v>0</v>
      </c>
      <c r="X346" s="130">
        <v>0</v>
      </c>
      <c r="Y346" s="130">
        <v>0</v>
      </c>
      <c r="Z346" s="130">
        <v>0</v>
      </c>
      <c r="AA346" s="159" t="s">
        <v>6371</v>
      </c>
      <c r="AB346" s="159" t="s">
        <v>1262</v>
      </c>
      <c r="AD346" s="159">
        <v>8</v>
      </c>
      <c r="AE346" s="158" t="b">
        <f>IF(AB346="",TRUE,IF(IF(AC346="",VLOOKUP(AB346,Calculs!$A$19:$S$425,19,FALSE),VLOOKUP(AC346,Calculs!$A$19:$S$425,19,FALSE))&gt;=AD346,TRUE,FALSE))</f>
        <v>0</v>
      </c>
      <c r="AI346" s="158" t="b">
        <f>IF(AF346="",TRUE,IF(IF(AG346="",VLOOKUP(AF346,Calculs!$A$19:$S$425,19,FALSE),VLOOKUP(AG346,Calculs!$A$19:$S$425,19,FALSE))&gt;=AH346,TRUE,FALSE))</f>
        <v>1</v>
      </c>
      <c r="AM346" s="158" t="b">
        <f>IF(AJ346="",TRUE,IF(IF(AK346="",VLOOKUP(AJ346,Calculs!$A$19:$S$425,19,FALSE),VLOOKUP(AK346,Calculs!$A$19:$S$425,19,FALSE))&gt;=AL346,TRUE,FALSE))</f>
        <v>1</v>
      </c>
      <c r="AQ346" s="158" t="b">
        <f>IF(AN346="",TRUE,IF(IF(AO346="",VLOOKUP(AN346,Calculs!$A$19:$S$425,19,FALSE),VLOOKUP(AO346,Calculs!$A$19:$S$425,19,FALSE))&gt;=AP346,TRUE,FALSE))</f>
        <v>1</v>
      </c>
      <c r="AR346" s="158" t="s">
        <v>674</v>
      </c>
      <c r="AS346" s="158" t="b">
        <f>IF(AR346="",TRUE,IF(VLOOKUP(AR346,Calculs!$A$427:$G$738,7,FALSE)&gt;0,TRUE,FALSE))</f>
        <v>0</v>
      </c>
      <c r="AT346" s="158"/>
      <c r="AU346" s="158" t="b">
        <f>IF(AT346="",TRUE,IF(VLOOKUP(AT346,Calculs!$A$740:$G$912,7,FALSE)&gt;0,TRUE,FALSE))</f>
        <v>1</v>
      </c>
      <c r="AV346" s="158" t="b">
        <f t="shared" si="37"/>
        <v>0</v>
      </c>
      <c r="AW346" s="159" t="s">
        <v>3414</v>
      </c>
      <c r="AX346" s="162" t="s">
        <v>6061</v>
      </c>
      <c r="AY346" s="15">
        <v>102</v>
      </c>
      <c r="AZ346" s="555" t="s">
        <v>8551</v>
      </c>
      <c r="BA346" s="559">
        <f>IF(Verso!$B$10=Voies!$B346,1,0)</f>
        <v>0</v>
      </c>
      <c r="BB346" s="12">
        <f>IF(Verso!$B$11=Voies!$B346,1,0)</f>
        <v>0</v>
      </c>
      <c r="BC346" s="12">
        <f>IF(Verso!$B$12=Voies!$B346,1,0)</f>
        <v>0</v>
      </c>
      <c r="BD346" s="12">
        <f>IF(Verso!$B$13=Voies!$B346,1,0)</f>
        <v>0</v>
      </c>
      <c r="BE346" s="12">
        <f>IF(Verso!$B$14=Voies!$B346,1,0)</f>
        <v>0</v>
      </c>
      <c r="BF346" s="12">
        <f>IF(Verso!$B$15=Voies!$B346,1,0)</f>
        <v>0</v>
      </c>
      <c r="BG346" s="12">
        <f>IF(Verso!$B$16=Voies!$B346,1,0)</f>
        <v>0</v>
      </c>
      <c r="BH346" s="12">
        <f>IF(Verso!$B$17=Voies!$B346,1,0)</f>
        <v>0</v>
      </c>
      <c r="BI346" s="557">
        <f t="shared" si="38"/>
        <v>0</v>
      </c>
      <c r="BJ346" s="196" t="str">
        <f t="shared" si="39"/>
        <v/>
      </c>
      <c r="BK346" s="196" t="str">
        <f t="shared" si="40"/>
        <v/>
      </c>
      <c r="BL346" s="295" t="str">
        <f t="shared" si="41"/>
        <v/>
      </c>
    </row>
    <row r="347" spans="1:65" ht="47.25" customHeight="1" x14ac:dyDescent="0.25">
      <c r="A347" s="162" t="str">
        <f>IF(AND(Réputation&gt;Voies!E347-1,OR(C347=TRUE,Calculs!$I$8&gt;0),Air&gt;Voies!J347-1,Eau&gt;Voies!K347-1,Feu&gt;Voies!L347-1,Terre&gt;Voies!M347-1,Vide&gt;Voies!N347-1,Constitution&gt;Voies!O347-1,Volonté&gt;Voies!P347-1,Force&gt;Voies!Q347-1,Perception&gt;Voies!R347-1,Reflexes&gt;Voies!S347-1,Agilité&gt;Voies!T347-1,Intuition&gt;Voies!U347-1,Intelligence&gt;Voies!V347-1,Souillure&gt;Voies!W347-1,Honneur&gt;X347-1,Statut&gt;Y347-1,Gloire&gt;Z347-1,AV347=TRUE),Voies!B347,"")</f>
        <v/>
      </c>
      <c r="B347" s="162" t="s">
        <v>2580</v>
      </c>
      <c r="C347" s="162" t="b">
        <f>IF(Clan=Voies!D347,TRUE,FALSE)</f>
        <v>0</v>
      </c>
      <c r="D347" s="387" t="s">
        <v>176</v>
      </c>
      <c r="E347" s="13">
        <v>0</v>
      </c>
      <c r="F347" s="199">
        <v>0</v>
      </c>
      <c r="G347" s="199" t="s">
        <v>2049</v>
      </c>
      <c r="H347" s="219" t="s">
        <v>62</v>
      </c>
      <c r="I347" s="129" t="str">
        <f t="shared" si="44"/>
        <v>Rien</v>
      </c>
      <c r="J347" s="146">
        <v>0</v>
      </c>
      <c r="K347" s="147">
        <v>0</v>
      </c>
      <c r="L347" s="148">
        <v>4</v>
      </c>
      <c r="M347" s="149">
        <v>0</v>
      </c>
      <c r="N347" s="150">
        <v>4</v>
      </c>
      <c r="O347" s="130">
        <v>0</v>
      </c>
      <c r="P347" s="130">
        <v>0</v>
      </c>
      <c r="Q347" s="130">
        <v>0</v>
      </c>
      <c r="R347" s="130">
        <v>0</v>
      </c>
      <c r="S347" s="130">
        <v>0</v>
      </c>
      <c r="T347" s="130">
        <v>0</v>
      </c>
      <c r="U347" s="130">
        <v>0</v>
      </c>
      <c r="V347" s="524">
        <v>0</v>
      </c>
      <c r="W347" s="130">
        <v>0</v>
      </c>
      <c r="X347" s="130">
        <v>0</v>
      </c>
      <c r="Y347" s="130">
        <v>0</v>
      </c>
      <c r="Z347" s="130">
        <v>0</v>
      </c>
      <c r="AA347" s="159" t="s">
        <v>6338</v>
      </c>
      <c r="AB347" s="159" t="s">
        <v>1221</v>
      </c>
      <c r="AD347" s="159">
        <v>5</v>
      </c>
      <c r="AE347" s="158" t="b">
        <f>IF(AB347="",TRUE,IF(IF(AC347="",VLOOKUP(AB347,Calculs!$A$19:$S$425,19,FALSE),VLOOKUP(AC347,Calculs!$A$19:$S$425,19,FALSE))&gt;=AD347,TRUE,FALSE))</f>
        <v>0</v>
      </c>
      <c r="AF347" s="159" t="s">
        <v>3325</v>
      </c>
      <c r="AG347" s="159" t="s">
        <v>3188</v>
      </c>
      <c r="AH347" s="159">
        <v>4</v>
      </c>
      <c r="AI347" s="158" t="b">
        <f>IF(AF347="",TRUE,IF(IF(AG347="",VLOOKUP(AF347,Calculs!$A$19:$S$425,19,FALSE),VLOOKUP(AG347,Calculs!$A$19:$S$425,19,FALSE))&gt;=AH347,TRUE,FALSE))</f>
        <v>0</v>
      </c>
      <c r="AJ347" s="159" t="s">
        <v>1265</v>
      </c>
      <c r="AL347" s="159">
        <v>5</v>
      </c>
      <c r="AM347" s="158" t="b">
        <f>IF(AJ347="",TRUE,IF(IF(AK347="",VLOOKUP(AJ347,Calculs!$A$19:$S$425,19,FALSE),VLOOKUP(AK347,Calculs!$A$19:$S$425,19,FALSE))&gt;=AL347,TRUE,FALSE))</f>
        <v>0</v>
      </c>
      <c r="AQ347" s="158" t="b">
        <f>IF(AN347="",TRUE,IF(IF(AO347="",VLOOKUP(AN347,Calculs!$A$19:$S$425,19,FALSE),VLOOKUP(AO347,Calculs!$A$19:$S$425,19,FALSE))&gt;=AP347,TRUE,FALSE))</f>
        <v>1</v>
      </c>
      <c r="AR347" s="158"/>
      <c r="AS347" s="158" t="b">
        <f>IF(AR347="",TRUE,IF(VLOOKUP(AR347,Calculs!$A$427:$G$738,7,FALSE)&gt;0,TRUE,FALSE))</f>
        <v>1</v>
      </c>
      <c r="AT347" s="158"/>
      <c r="AU347" s="158" t="b">
        <f>IF(AT347="",TRUE,IF(VLOOKUP(AT347,Calculs!$A$740:$G$912,7,FALSE)&gt;0,TRUE,FALSE))</f>
        <v>1</v>
      </c>
      <c r="AV347" s="158" t="b">
        <f t="shared" si="37"/>
        <v>0</v>
      </c>
      <c r="AW347" s="159" t="s">
        <v>2590</v>
      </c>
      <c r="AX347" s="162" t="s">
        <v>3</v>
      </c>
      <c r="AY347" s="15">
        <v>247</v>
      </c>
      <c r="AZ347" s="555" t="s">
        <v>2591</v>
      </c>
      <c r="BA347" s="559">
        <f>IF(Verso!$B$10=Voies!$B347,1,0)</f>
        <v>0</v>
      </c>
      <c r="BB347" s="12">
        <f>IF(Verso!$B$11=Voies!$B347,1,0)</f>
        <v>0</v>
      </c>
      <c r="BC347" s="12">
        <f>IF(Verso!$B$12=Voies!$B347,1,0)</f>
        <v>0</v>
      </c>
      <c r="BD347" s="12">
        <f>IF(Verso!$B$13=Voies!$B347,1,0)</f>
        <v>0</v>
      </c>
      <c r="BE347" s="12">
        <f>IF(Verso!$B$14=Voies!$B347,1,0)</f>
        <v>0</v>
      </c>
      <c r="BF347" s="12">
        <f>IF(Verso!$B$15=Voies!$B347,1,0)</f>
        <v>0</v>
      </c>
      <c r="BG347" s="12">
        <f>IF(Verso!$B$16=Voies!$B347,1,0)</f>
        <v>0</v>
      </c>
      <c r="BH347" s="12">
        <f>IF(Verso!$B$17=Voies!$B347,1,0)</f>
        <v>0</v>
      </c>
      <c r="BI347" s="557">
        <f t="shared" si="38"/>
        <v>0</v>
      </c>
      <c r="BJ347" s="196" t="str">
        <f t="shared" si="39"/>
        <v/>
      </c>
      <c r="BK347" s="196" t="str">
        <f t="shared" si="40"/>
        <v/>
      </c>
      <c r="BL347" s="295" t="str">
        <f t="shared" si="41"/>
        <v/>
      </c>
    </row>
    <row r="348" spans="1:65" ht="47.25" customHeight="1" x14ac:dyDescent="0.25">
      <c r="A348" s="162" t="str">
        <f>IF(AND(Réputation&gt;Voies!E348-1,OR(C348=TRUE,Calculs!$I$8&gt;0),Air&gt;Voies!J348-1,Eau&gt;Voies!K348-1,Feu&gt;Voies!L348-1,Terre&gt;Voies!M348-1,Vide&gt;Voies!N348-1,Constitution&gt;Voies!O348-1,Volonté&gt;Voies!P348-1,Force&gt;Voies!Q348-1,Perception&gt;Voies!R348-1,Reflexes&gt;Voies!S348-1,Agilité&gt;Voies!T348-1,Intuition&gt;Voies!U348-1,Intelligence&gt;Voies!V348-1,Souillure&gt;Voies!W348-1,Honneur&gt;X348-1,Statut&gt;Y348-1,Gloire&gt;Z348-1,AV348=TRUE),Voies!B348,"")</f>
        <v/>
      </c>
      <c r="B348" s="162" t="s">
        <v>2581</v>
      </c>
      <c r="C348" s="162" t="b">
        <f>IF(Clan=Voies!D348,TRUE,FALSE)</f>
        <v>0</v>
      </c>
      <c r="D348" s="387" t="s">
        <v>176</v>
      </c>
      <c r="E348" s="13">
        <v>0</v>
      </c>
      <c r="F348" s="199">
        <v>0</v>
      </c>
      <c r="G348" s="199" t="s">
        <v>2049</v>
      </c>
      <c r="H348" s="219" t="s">
        <v>62</v>
      </c>
      <c r="I348" s="129" t="str">
        <f t="shared" si="44"/>
        <v>Rien</v>
      </c>
      <c r="J348" s="146">
        <v>0</v>
      </c>
      <c r="K348" s="147">
        <v>0</v>
      </c>
      <c r="L348" s="148">
        <v>4</v>
      </c>
      <c r="M348" s="149">
        <v>0</v>
      </c>
      <c r="N348" s="150">
        <v>4</v>
      </c>
      <c r="O348" s="130">
        <v>0</v>
      </c>
      <c r="P348" s="130">
        <v>0</v>
      </c>
      <c r="Q348" s="130">
        <v>0</v>
      </c>
      <c r="R348" s="130">
        <v>0</v>
      </c>
      <c r="S348" s="130">
        <v>0</v>
      </c>
      <c r="T348" s="130">
        <v>0</v>
      </c>
      <c r="U348" s="130">
        <v>0</v>
      </c>
      <c r="V348" s="524">
        <v>0</v>
      </c>
      <c r="W348" s="130">
        <v>0</v>
      </c>
      <c r="X348" s="130">
        <v>0</v>
      </c>
      <c r="Y348" s="130">
        <v>0</v>
      </c>
      <c r="Z348" s="130">
        <v>0</v>
      </c>
      <c r="AA348" s="159" t="s">
        <v>6338</v>
      </c>
      <c r="AB348" s="159" t="s">
        <v>1221</v>
      </c>
      <c r="AD348" s="159">
        <v>5</v>
      </c>
      <c r="AE348" s="158" t="b">
        <f>IF(AB348="",TRUE,IF(IF(AC348="",VLOOKUP(AB348,Calculs!$A$19:$S$425,19,FALSE),VLOOKUP(AC348,Calculs!$A$19:$S$425,19,FALSE))&gt;=AD348,TRUE,FALSE))</f>
        <v>0</v>
      </c>
      <c r="AF348" s="159" t="s">
        <v>3325</v>
      </c>
      <c r="AG348" s="159" t="s">
        <v>3188</v>
      </c>
      <c r="AH348" s="159">
        <v>4</v>
      </c>
      <c r="AI348" s="158" t="b">
        <f>IF(AF348="",TRUE,IF(IF(AG348="",VLOOKUP(AF348,Calculs!$A$19:$S$425,19,FALSE),VLOOKUP(AG348,Calculs!$A$19:$S$425,19,FALSE))&gt;=AH348,TRUE,FALSE))</f>
        <v>0</v>
      </c>
      <c r="AJ348" s="159" t="s">
        <v>1265</v>
      </c>
      <c r="AL348" s="159">
        <v>5</v>
      </c>
      <c r="AM348" s="158" t="b">
        <f>IF(AJ348="",TRUE,IF(IF(AK348="",VLOOKUP(AJ348,Calculs!$A$19:$S$425,19,FALSE),VLOOKUP(AK348,Calculs!$A$19:$S$425,19,FALSE))&gt;=AL348,TRUE,FALSE))</f>
        <v>0</v>
      </c>
      <c r="AQ348" s="158" t="b">
        <f>IF(AN348="",TRUE,IF(IF(AO348="",VLOOKUP(AN348,Calculs!$A$19:$S$425,19,FALSE),VLOOKUP(AO348,Calculs!$A$19:$S$425,19,FALSE))&gt;=AP348,TRUE,FALSE))</f>
        <v>1</v>
      </c>
      <c r="AR348" s="158"/>
      <c r="AS348" s="158" t="b">
        <f>IF(AR348="",TRUE,IF(VLOOKUP(AR348,Calculs!$A$427:$G$738,7,FALSE)&gt;0,TRUE,FALSE))</f>
        <v>1</v>
      </c>
      <c r="AT348" s="158"/>
      <c r="AU348" s="158" t="b">
        <f>IF(AT348="",TRUE,IF(VLOOKUP(AT348,Calculs!$A$740:$G$912,7,FALSE)&gt;0,TRUE,FALSE))</f>
        <v>1</v>
      </c>
      <c r="AV348" s="158" t="b">
        <f t="shared" si="37"/>
        <v>0</v>
      </c>
      <c r="AW348" s="159" t="s">
        <v>2590</v>
      </c>
      <c r="AX348" s="162" t="s">
        <v>3</v>
      </c>
      <c r="AY348" s="15">
        <v>247</v>
      </c>
      <c r="AZ348" s="555" t="s">
        <v>2651</v>
      </c>
      <c r="BA348" s="559">
        <f>IF(Verso!$B$10=Voies!$B348,1,0)</f>
        <v>0</v>
      </c>
      <c r="BB348" s="12">
        <f>IF(Verso!$B$11=Voies!$B348,1,0)</f>
        <v>0</v>
      </c>
      <c r="BC348" s="12">
        <f>IF(Verso!$B$12=Voies!$B348,1,0)</f>
        <v>0</v>
      </c>
      <c r="BD348" s="12">
        <f>IF(Verso!$B$13=Voies!$B348,1,0)</f>
        <v>0</v>
      </c>
      <c r="BE348" s="12">
        <f>IF(Verso!$B$14=Voies!$B348,1,0)</f>
        <v>0</v>
      </c>
      <c r="BF348" s="12">
        <f>IF(Verso!$B$15=Voies!$B348,1,0)</f>
        <v>0</v>
      </c>
      <c r="BG348" s="12">
        <f>IF(Verso!$B$16=Voies!$B348,1,0)</f>
        <v>0</v>
      </c>
      <c r="BH348" s="12">
        <f>IF(Verso!$B$17=Voies!$B348,1,0)</f>
        <v>0</v>
      </c>
      <c r="BI348" s="557">
        <f t="shared" si="38"/>
        <v>0</v>
      </c>
      <c r="BJ348" s="196" t="str">
        <f t="shared" si="39"/>
        <v/>
      </c>
      <c r="BK348" s="196" t="str">
        <f t="shared" si="40"/>
        <v/>
      </c>
      <c r="BL348" s="295" t="str">
        <f t="shared" si="41"/>
        <v/>
      </c>
    </row>
    <row r="349" spans="1:65" ht="47.25" customHeight="1" x14ac:dyDescent="0.25">
      <c r="A349" s="162" t="str">
        <f>IF(AND(Réputation&gt;Voies!E349-1,OR(C349=TRUE,Calculs!$I$8&gt;0),Air&gt;Voies!J349-1,Eau&gt;Voies!K349-1,Feu&gt;Voies!L349-1,Terre&gt;Voies!M349-1,Vide&gt;Voies!N349-1,Constitution&gt;Voies!O349-1,Volonté&gt;Voies!P349-1,Force&gt;Voies!Q349-1,Perception&gt;Voies!R349-1,Reflexes&gt;Voies!S349-1,Agilité&gt;Voies!T349-1,Intuition&gt;Voies!U349-1,Intelligence&gt;Voies!V349-1,Souillure&gt;Voies!W349-1,Honneur&gt;X349-1,Statut&gt;Y349-1,Gloire&gt;Z349-1,AV349=TRUE),Voies!B349,"")</f>
        <v/>
      </c>
      <c r="B349" s="162" t="s">
        <v>2582</v>
      </c>
      <c r="C349" s="162" t="b">
        <f>IF(Clan=Voies!D349,TRUE,FALSE)</f>
        <v>0</v>
      </c>
      <c r="D349" s="387" t="s">
        <v>176</v>
      </c>
      <c r="E349" s="13">
        <v>0</v>
      </c>
      <c r="F349" s="199">
        <v>0</v>
      </c>
      <c r="G349" s="13" t="s">
        <v>2049</v>
      </c>
      <c r="H349" s="219" t="s">
        <v>62</v>
      </c>
      <c r="I349" s="129" t="str">
        <f t="shared" si="44"/>
        <v>Rien</v>
      </c>
      <c r="J349" s="146">
        <v>0</v>
      </c>
      <c r="K349" s="147">
        <v>0</v>
      </c>
      <c r="L349" s="148">
        <v>4</v>
      </c>
      <c r="M349" s="149">
        <v>0</v>
      </c>
      <c r="N349" s="150">
        <v>4</v>
      </c>
      <c r="O349" s="130">
        <v>0</v>
      </c>
      <c r="P349" s="130">
        <v>0</v>
      </c>
      <c r="Q349" s="130">
        <v>0</v>
      </c>
      <c r="R349" s="130">
        <v>0</v>
      </c>
      <c r="S349" s="130">
        <v>0</v>
      </c>
      <c r="T349" s="130">
        <v>0</v>
      </c>
      <c r="U349" s="130">
        <v>0</v>
      </c>
      <c r="V349" s="524">
        <v>0</v>
      </c>
      <c r="W349" s="130">
        <v>0</v>
      </c>
      <c r="X349" s="130">
        <v>0</v>
      </c>
      <c r="Y349" s="130">
        <v>0</v>
      </c>
      <c r="Z349" s="130">
        <v>0</v>
      </c>
      <c r="AA349" s="159" t="s">
        <v>6338</v>
      </c>
      <c r="AB349" s="159" t="s">
        <v>1221</v>
      </c>
      <c r="AD349" s="159">
        <v>5</v>
      </c>
      <c r="AE349" s="158" t="b">
        <f>IF(AB349="",TRUE,IF(IF(AC349="",VLOOKUP(AB349,Calculs!$A$19:$S$425,19,FALSE),VLOOKUP(AC349,Calculs!$A$19:$S$425,19,FALSE))&gt;=AD349,TRUE,FALSE))</f>
        <v>0</v>
      </c>
      <c r="AF349" s="159" t="s">
        <v>3325</v>
      </c>
      <c r="AG349" s="159" t="s">
        <v>3188</v>
      </c>
      <c r="AH349" s="159">
        <v>4</v>
      </c>
      <c r="AI349" s="158" t="b">
        <f>IF(AF349="",TRUE,IF(IF(AG349="",VLOOKUP(AF349,Calculs!$A$19:$S$425,19,FALSE),VLOOKUP(AG349,Calculs!$A$19:$S$425,19,FALSE))&gt;=AH349,TRUE,FALSE))</f>
        <v>0</v>
      </c>
      <c r="AJ349" s="159" t="s">
        <v>1265</v>
      </c>
      <c r="AL349" s="159">
        <v>5</v>
      </c>
      <c r="AM349" s="158" t="b">
        <f>IF(AJ349="",TRUE,IF(IF(AK349="",VLOOKUP(AJ349,Calculs!$A$19:$S$425,19,FALSE),VLOOKUP(AK349,Calculs!$A$19:$S$425,19,FALSE))&gt;=AL349,TRUE,FALSE))</f>
        <v>0</v>
      </c>
      <c r="AQ349" s="158" t="b">
        <f>IF(AN349="",TRUE,IF(IF(AO349="",VLOOKUP(AN349,Calculs!$A$19:$S$425,19,FALSE),VLOOKUP(AO349,Calculs!$A$19:$S$425,19,FALSE))&gt;=AP349,TRUE,FALSE))</f>
        <v>1</v>
      </c>
      <c r="AR349" s="158"/>
      <c r="AS349" s="158" t="b">
        <f>IF(AR349="",TRUE,IF(VLOOKUP(AR349,Calculs!$A$427:$G$738,7,FALSE)&gt;0,TRUE,FALSE))</f>
        <v>1</v>
      </c>
      <c r="AT349" s="158"/>
      <c r="AU349" s="158" t="b">
        <f>IF(AT349="",TRUE,IF(VLOOKUP(AT349,Calculs!$A$740:$G$912,7,FALSE)&gt;0,TRUE,FALSE))</f>
        <v>1</v>
      </c>
      <c r="AV349" s="158" t="b">
        <f t="shared" si="37"/>
        <v>0</v>
      </c>
      <c r="AW349" s="159" t="s">
        <v>2590</v>
      </c>
      <c r="AX349" s="162" t="s">
        <v>3</v>
      </c>
      <c r="AY349" s="15">
        <v>247</v>
      </c>
      <c r="AZ349" s="555" t="s">
        <v>2652</v>
      </c>
      <c r="BA349" s="559">
        <f>IF(Verso!$B$10=Voies!$B349,1,0)</f>
        <v>0</v>
      </c>
      <c r="BB349" s="12">
        <f>IF(Verso!$B$11=Voies!$B349,1,0)</f>
        <v>0</v>
      </c>
      <c r="BC349" s="12">
        <f>IF(Verso!$B$12=Voies!$B349,1,0)</f>
        <v>0</v>
      </c>
      <c r="BD349" s="12">
        <f>IF(Verso!$B$13=Voies!$B349,1,0)</f>
        <v>0</v>
      </c>
      <c r="BE349" s="12">
        <f>IF(Verso!$B$14=Voies!$B349,1,0)</f>
        <v>0</v>
      </c>
      <c r="BF349" s="12">
        <f>IF(Verso!$B$15=Voies!$B349,1,0)</f>
        <v>0</v>
      </c>
      <c r="BG349" s="12">
        <f>IF(Verso!$B$16=Voies!$B349,1,0)</f>
        <v>0</v>
      </c>
      <c r="BH349" s="12">
        <f>IF(Verso!$B$17=Voies!$B349,1,0)</f>
        <v>0</v>
      </c>
      <c r="BI349" s="557">
        <f t="shared" si="38"/>
        <v>0</v>
      </c>
      <c r="BJ349" s="196" t="str">
        <f t="shared" si="39"/>
        <v/>
      </c>
      <c r="BK349" s="196" t="str">
        <f t="shared" si="40"/>
        <v/>
      </c>
      <c r="BL349" s="295" t="str">
        <f t="shared" si="41"/>
        <v/>
      </c>
    </row>
    <row r="350" spans="1:65" ht="47.25" customHeight="1" x14ac:dyDescent="0.25">
      <c r="A350" s="162" t="str">
        <f>IF(AND(Réputation&gt;Voies!E350-1,OR(C350=TRUE,Calculs!$I$8&gt;0),Air&gt;Voies!J350-1,Eau&gt;Voies!K350-1,Feu&gt;Voies!L350-1,Terre&gt;Voies!M350-1,Vide&gt;Voies!N350-1,Constitution&gt;Voies!O350-1,Volonté&gt;Voies!P350-1,Force&gt;Voies!Q350-1,Perception&gt;Voies!R350-1,Reflexes&gt;Voies!S350-1,Agilité&gt;Voies!T350-1,Intuition&gt;Voies!U350-1,Intelligence&gt;Voies!V350-1,Souillure&gt;Voies!W350-1,Honneur&gt;X350-1,Statut&gt;Y350-1,Gloire&gt;Z350-1,AV350=TRUE),Voies!B350,"")</f>
        <v/>
      </c>
      <c r="B350" s="162" t="s">
        <v>6139</v>
      </c>
      <c r="C350" s="162" t="b">
        <f>IF(Clan=Voies!D350,TRUE,FALSE)</f>
        <v>0</v>
      </c>
      <c r="D350" s="387" t="s">
        <v>176</v>
      </c>
      <c r="E350" s="13">
        <v>0</v>
      </c>
      <c r="F350" s="199">
        <v>0</v>
      </c>
      <c r="G350" s="13" t="s">
        <v>2052</v>
      </c>
      <c r="H350" s="162" t="s">
        <v>6138</v>
      </c>
      <c r="I350" s="129" t="str">
        <f t="shared" si="44"/>
        <v>Rien</v>
      </c>
      <c r="J350" s="146">
        <v>0</v>
      </c>
      <c r="K350" s="147">
        <v>0</v>
      </c>
      <c r="L350" s="148">
        <v>0</v>
      </c>
      <c r="M350" s="149">
        <v>0</v>
      </c>
      <c r="N350" s="150">
        <v>4</v>
      </c>
      <c r="O350" s="130">
        <v>0</v>
      </c>
      <c r="P350" s="130">
        <v>0</v>
      </c>
      <c r="Q350" s="130">
        <v>0</v>
      </c>
      <c r="R350" s="130">
        <v>0</v>
      </c>
      <c r="S350" s="130">
        <v>0</v>
      </c>
      <c r="T350" s="130">
        <v>0</v>
      </c>
      <c r="U350" s="130">
        <v>5</v>
      </c>
      <c r="V350" s="524">
        <v>0</v>
      </c>
      <c r="W350" s="130">
        <v>0</v>
      </c>
      <c r="X350" s="130">
        <v>5</v>
      </c>
      <c r="Y350" s="130">
        <v>0</v>
      </c>
      <c r="Z350" s="130">
        <v>0</v>
      </c>
      <c r="AA350" s="159" t="s">
        <v>6142</v>
      </c>
      <c r="AB350" s="159" t="s">
        <v>189</v>
      </c>
      <c r="AD350" s="159">
        <v>6</v>
      </c>
      <c r="AE350" s="158" t="b">
        <f>IF(AB350="",TRUE,IF(IF(AC350="",VLOOKUP(AB350,Calculs!$A$19:$S$425,19,FALSE),VLOOKUP(AC350,Calculs!$A$19:$S$425,19,FALSE))&gt;=AD350,TRUE,FALSE))</f>
        <v>0</v>
      </c>
      <c r="AF350" s="159" t="s">
        <v>1208</v>
      </c>
      <c r="AH350" s="159">
        <v>6</v>
      </c>
      <c r="AI350" s="158" t="b">
        <f>IF(AF350="",TRUE,IF(IF(AG350="",VLOOKUP(AF350,Calculs!$A$19:$S$425,19,FALSE),VLOOKUP(AG350,Calculs!$A$19:$S$425,19,FALSE))&gt;=AH350,TRUE,FALSE))</f>
        <v>0</v>
      </c>
      <c r="AJ350" s="159" t="s">
        <v>1266</v>
      </c>
      <c r="AL350" s="159">
        <v>5</v>
      </c>
      <c r="AM350" s="158" t="b">
        <f>IF(AJ350="",TRUE,IF(IF(AK350="",VLOOKUP(AJ350,Calculs!$A$19:$S$425,19,FALSE),VLOOKUP(AK350,Calculs!$A$19:$S$425,19,FALSE))&gt;=AL350,TRUE,FALSE))</f>
        <v>0</v>
      </c>
      <c r="AQ350" s="158" t="b">
        <f>IF(AN350="",TRUE,IF(IF(AO350="",VLOOKUP(AN350,Calculs!$A$19:$S$425,19,FALSE),VLOOKUP(AO350,Calculs!$A$19:$S$425,19,FALSE))&gt;=AP350,TRUE,FALSE))</f>
        <v>1</v>
      </c>
      <c r="AR350" s="158"/>
      <c r="AS350" s="158" t="b">
        <f>IF(AR350="",TRUE,IF(VLOOKUP(AR350,Calculs!$A$427:$G$738,7,FALSE)&gt;0,TRUE,FALSE))</f>
        <v>1</v>
      </c>
      <c r="AT350" s="158"/>
      <c r="AU350" s="158" t="b">
        <f>IF(AT350="",TRUE,IF(VLOOKUP(AT350,Calculs!$A$740:$G$912,7,FALSE)&gt;0,TRUE,FALSE))</f>
        <v>1</v>
      </c>
      <c r="AV350" s="158" t="b">
        <f t="shared" si="37"/>
        <v>0</v>
      </c>
      <c r="AW350" s="159" t="s">
        <v>8091</v>
      </c>
      <c r="AX350" s="162" t="s">
        <v>6010</v>
      </c>
      <c r="AY350" s="15">
        <v>204</v>
      </c>
      <c r="AZ350" s="555" t="s">
        <v>6143</v>
      </c>
      <c r="BA350" s="559">
        <f>IF(Verso!$B$10=Voies!$B350,1,0)</f>
        <v>0</v>
      </c>
      <c r="BB350" s="12">
        <f>IF(Verso!$B$11=Voies!$B350,1,0)</f>
        <v>0</v>
      </c>
      <c r="BC350" s="12">
        <f>IF(Verso!$B$12=Voies!$B350,1,0)</f>
        <v>0</v>
      </c>
      <c r="BD350" s="12">
        <f>IF(Verso!$B$13=Voies!$B350,1,0)</f>
        <v>0</v>
      </c>
      <c r="BE350" s="12">
        <f>IF(Verso!$B$14=Voies!$B350,1,0)</f>
        <v>0</v>
      </c>
      <c r="BF350" s="12">
        <f>IF(Verso!$B$15=Voies!$B350,1,0)</f>
        <v>0</v>
      </c>
      <c r="BG350" s="12">
        <f>IF(Verso!$B$16=Voies!$B350,1,0)</f>
        <v>0</v>
      </c>
      <c r="BH350" s="12">
        <f>IF(Verso!$B$17=Voies!$B350,1,0)</f>
        <v>0</v>
      </c>
      <c r="BI350" s="557">
        <f t="shared" si="38"/>
        <v>0</v>
      </c>
      <c r="BJ350" s="196" t="str">
        <f t="shared" si="39"/>
        <v/>
      </c>
      <c r="BK350" s="196" t="str">
        <f t="shared" si="40"/>
        <v/>
      </c>
      <c r="BL350" s="295" t="str">
        <f t="shared" si="41"/>
        <v/>
      </c>
    </row>
    <row r="351" spans="1:65" ht="47.25" customHeight="1" x14ac:dyDescent="0.25">
      <c r="A351" s="162" t="str">
        <f>IF(AND(Réputation&gt;Voies!E351-1,OR(C351=TRUE,Calculs!$I$8&gt;0),Air&gt;Voies!J351-1,Eau&gt;Voies!K351-1,Feu&gt;Voies!L351-1,Terre&gt;Voies!M351-1,Vide&gt;Voies!N351-1,Constitution&gt;Voies!O351-1,Volonté&gt;Voies!P351-1,Force&gt;Voies!Q351-1,Perception&gt;Voies!R351-1,Reflexes&gt;Voies!S351-1,Agilité&gt;Voies!T351-1,Intuition&gt;Voies!U351-1,Intelligence&gt;Voies!V351-1,Souillure&gt;Voies!W351-1,Honneur&gt;X351-1,Statut&gt;Y351-1,Gloire&gt;Z351-1,AV351=TRUE),Voies!B351,"")</f>
        <v/>
      </c>
      <c r="B351" s="162" t="s">
        <v>6140</v>
      </c>
      <c r="C351" s="162" t="b">
        <f>IF(Clan=Voies!D351,TRUE,FALSE)</f>
        <v>0</v>
      </c>
      <c r="D351" s="387" t="s">
        <v>176</v>
      </c>
      <c r="E351" s="13">
        <v>0</v>
      </c>
      <c r="F351" s="199">
        <v>0</v>
      </c>
      <c r="G351" s="13" t="s">
        <v>2052</v>
      </c>
      <c r="H351" s="162" t="s">
        <v>6138</v>
      </c>
      <c r="I351" s="129" t="str">
        <f t="shared" si="44"/>
        <v>Rien</v>
      </c>
      <c r="J351" s="146">
        <v>0</v>
      </c>
      <c r="K351" s="147">
        <v>0</v>
      </c>
      <c r="L351" s="148">
        <v>0</v>
      </c>
      <c r="M351" s="149">
        <v>0</v>
      </c>
      <c r="N351" s="150">
        <v>4</v>
      </c>
      <c r="O351" s="130">
        <v>0</v>
      </c>
      <c r="P351" s="130">
        <v>0</v>
      </c>
      <c r="Q351" s="130">
        <v>0</v>
      </c>
      <c r="R351" s="130">
        <v>0</v>
      </c>
      <c r="S351" s="130">
        <v>0</v>
      </c>
      <c r="T351" s="130">
        <v>0</v>
      </c>
      <c r="U351" s="130">
        <v>5</v>
      </c>
      <c r="V351" s="524">
        <v>0</v>
      </c>
      <c r="W351" s="130">
        <v>0</v>
      </c>
      <c r="X351" s="130">
        <v>5</v>
      </c>
      <c r="Y351" s="130">
        <v>0</v>
      </c>
      <c r="Z351" s="130">
        <v>0</v>
      </c>
      <c r="AA351" s="159" t="s">
        <v>6142</v>
      </c>
      <c r="AB351" s="159" t="s">
        <v>189</v>
      </c>
      <c r="AD351" s="159">
        <v>6</v>
      </c>
      <c r="AE351" s="158" t="b">
        <f>IF(AB351="",TRUE,IF(IF(AC351="",VLOOKUP(AB351,Calculs!$A$19:$S$425,19,FALSE),VLOOKUP(AC351,Calculs!$A$19:$S$425,19,FALSE))&gt;=AD351,TRUE,FALSE))</f>
        <v>0</v>
      </c>
      <c r="AF351" s="159" t="s">
        <v>1208</v>
      </c>
      <c r="AH351" s="159">
        <v>6</v>
      </c>
      <c r="AI351" s="158" t="b">
        <f>IF(AF351="",TRUE,IF(IF(AG351="",VLOOKUP(AF351,Calculs!$A$19:$S$425,19,FALSE),VLOOKUP(AG351,Calculs!$A$19:$S$425,19,FALSE))&gt;=AH351,TRUE,FALSE))</f>
        <v>0</v>
      </c>
      <c r="AJ351" s="159" t="s">
        <v>1266</v>
      </c>
      <c r="AL351" s="159">
        <v>5</v>
      </c>
      <c r="AM351" s="158" t="b">
        <f>IF(AJ351="",TRUE,IF(IF(AK351="",VLOOKUP(AJ351,Calculs!$A$19:$S$425,19,FALSE),VLOOKUP(AK351,Calculs!$A$19:$S$425,19,FALSE))&gt;=AL351,TRUE,FALSE))</f>
        <v>0</v>
      </c>
      <c r="AQ351" s="158" t="b">
        <f>IF(AN351="",TRUE,IF(IF(AO351="",VLOOKUP(AN351,Calculs!$A$19:$S$425,19,FALSE),VLOOKUP(AO351,Calculs!$A$19:$S$425,19,FALSE))&gt;=AP351,TRUE,FALSE))</f>
        <v>1</v>
      </c>
      <c r="AR351" s="158"/>
      <c r="AS351" s="158" t="b">
        <f>IF(AR351="",TRUE,IF(VLOOKUP(AR351,Calculs!$A$427:$G$738,7,FALSE)&gt;0,TRUE,FALSE))</f>
        <v>1</v>
      </c>
      <c r="AT351" s="158"/>
      <c r="AU351" s="158" t="b">
        <f>IF(AT351="",TRUE,IF(VLOOKUP(AT351,Calculs!$A$740:$G$912,7,FALSE)&gt;0,TRUE,FALSE))</f>
        <v>1</v>
      </c>
      <c r="AV351" s="158" t="b">
        <f t="shared" si="37"/>
        <v>0</v>
      </c>
      <c r="AW351" s="159" t="s">
        <v>8091</v>
      </c>
      <c r="AX351" s="162" t="s">
        <v>6010</v>
      </c>
      <c r="AY351" s="15">
        <v>204</v>
      </c>
      <c r="AZ351" s="555" t="s">
        <v>6144</v>
      </c>
      <c r="BA351" s="559">
        <f>IF(Verso!$B$10=Voies!$B351,1,0)</f>
        <v>0</v>
      </c>
      <c r="BB351" s="12">
        <f>IF(Verso!$B$11=Voies!$B351,1,0)</f>
        <v>0</v>
      </c>
      <c r="BC351" s="12">
        <f>IF(Verso!$B$12=Voies!$B351,1,0)</f>
        <v>0</v>
      </c>
      <c r="BD351" s="12">
        <f>IF(Verso!$B$13=Voies!$B351,1,0)</f>
        <v>0</v>
      </c>
      <c r="BE351" s="12">
        <f>IF(Verso!$B$14=Voies!$B351,1,0)</f>
        <v>0</v>
      </c>
      <c r="BF351" s="12">
        <f>IF(Verso!$B$15=Voies!$B351,1,0)</f>
        <v>0</v>
      </c>
      <c r="BG351" s="12">
        <f>IF(Verso!$B$16=Voies!$B351,1,0)</f>
        <v>0</v>
      </c>
      <c r="BH351" s="12">
        <f>IF(Verso!$B$17=Voies!$B351,1,0)</f>
        <v>0</v>
      </c>
      <c r="BI351" s="557">
        <f t="shared" si="38"/>
        <v>0</v>
      </c>
      <c r="BJ351" s="196" t="str">
        <f t="shared" si="39"/>
        <v/>
      </c>
      <c r="BK351" s="196" t="str">
        <f t="shared" si="40"/>
        <v/>
      </c>
      <c r="BL351" s="295" t="str">
        <f t="shared" si="41"/>
        <v/>
      </c>
    </row>
    <row r="352" spans="1:65" ht="47.25" customHeight="1" x14ac:dyDescent="0.25">
      <c r="A352" s="162" t="str">
        <f>IF(AND(Réputation&gt;Voies!E352-1,OR(C352=TRUE,Calculs!$I$8&gt;0),Air&gt;Voies!J352-1,Eau&gt;Voies!K352-1,Feu&gt;Voies!L352-1,Terre&gt;Voies!M352-1,Vide&gt;Voies!N352-1,Constitution&gt;Voies!O352-1,Volonté&gt;Voies!P352-1,Force&gt;Voies!Q352-1,Perception&gt;Voies!R352-1,Reflexes&gt;Voies!S352-1,Agilité&gt;Voies!T352-1,Intuition&gt;Voies!U352-1,Intelligence&gt;Voies!V352-1,Souillure&gt;Voies!W352-1,Honneur&gt;X352-1,Statut&gt;Y352-1,Gloire&gt;Z352-1,AV352=TRUE),Voies!B352,"")</f>
        <v/>
      </c>
      <c r="B352" s="162" t="s">
        <v>6141</v>
      </c>
      <c r="C352" s="162" t="b">
        <f>IF(Clan=Voies!D352,TRUE,FALSE)</f>
        <v>0</v>
      </c>
      <c r="D352" s="387" t="s">
        <v>176</v>
      </c>
      <c r="E352" s="13">
        <v>0</v>
      </c>
      <c r="F352" s="199">
        <v>0</v>
      </c>
      <c r="G352" s="13" t="s">
        <v>2052</v>
      </c>
      <c r="H352" s="162" t="s">
        <v>6138</v>
      </c>
      <c r="I352" s="129" t="str">
        <f t="shared" si="44"/>
        <v>Rien</v>
      </c>
      <c r="J352" s="146">
        <v>0</v>
      </c>
      <c r="K352" s="147">
        <v>0</v>
      </c>
      <c r="L352" s="148">
        <v>0</v>
      </c>
      <c r="M352" s="149">
        <v>0</v>
      </c>
      <c r="N352" s="150">
        <v>4</v>
      </c>
      <c r="O352" s="130">
        <v>0</v>
      </c>
      <c r="P352" s="130">
        <v>0</v>
      </c>
      <c r="Q352" s="130">
        <v>0</v>
      </c>
      <c r="R352" s="130">
        <v>0</v>
      </c>
      <c r="S352" s="130">
        <v>0</v>
      </c>
      <c r="T352" s="130">
        <v>0</v>
      </c>
      <c r="U352" s="130">
        <v>5</v>
      </c>
      <c r="V352" s="524">
        <v>0</v>
      </c>
      <c r="W352" s="130">
        <v>0</v>
      </c>
      <c r="X352" s="130">
        <v>5</v>
      </c>
      <c r="Y352" s="130">
        <v>0</v>
      </c>
      <c r="Z352" s="130">
        <v>0</v>
      </c>
      <c r="AA352" s="159" t="s">
        <v>6142</v>
      </c>
      <c r="AB352" s="159" t="s">
        <v>189</v>
      </c>
      <c r="AD352" s="159">
        <v>6</v>
      </c>
      <c r="AE352" s="158" t="b">
        <f>IF(AB352="",TRUE,IF(IF(AC352="",VLOOKUP(AB352,Calculs!$A$19:$S$425,19,FALSE),VLOOKUP(AC352,Calculs!$A$19:$S$425,19,FALSE))&gt;=AD352,TRUE,FALSE))</f>
        <v>0</v>
      </c>
      <c r="AF352" s="159" t="s">
        <v>1208</v>
      </c>
      <c r="AH352" s="159">
        <v>6</v>
      </c>
      <c r="AI352" s="158" t="b">
        <f>IF(AF352="",TRUE,IF(IF(AG352="",VLOOKUP(AF352,Calculs!$A$19:$S$425,19,FALSE),VLOOKUP(AG352,Calculs!$A$19:$S$425,19,FALSE))&gt;=AH352,TRUE,FALSE))</f>
        <v>0</v>
      </c>
      <c r="AJ352" s="159" t="s">
        <v>1266</v>
      </c>
      <c r="AL352" s="159">
        <v>5</v>
      </c>
      <c r="AM352" s="158" t="b">
        <f>IF(AJ352="",TRUE,IF(IF(AK352="",VLOOKUP(AJ352,Calculs!$A$19:$S$425,19,FALSE),VLOOKUP(AK352,Calculs!$A$19:$S$425,19,FALSE))&gt;=AL352,TRUE,FALSE))</f>
        <v>0</v>
      </c>
      <c r="AQ352" s="158" t="b">
        <f>IF(AN352="",TRUE,IF(IF(AO352="",VLOOKUP(AN352,Calculs!$A$19:$S$425,19,FALSE),VLOOKUP(AO352,Calculs!$A$19:$S$425,19,FALSE))&gt;=AP352,TRUE,FALSE))</f>
        <v>1</v>
      </c>
      <c r="AR352" s="158"/>
      <c r="AS352" s="158" t="b">
        <f>IF(AR352="",TRUE,IF(VLOOKUP(AR352,Calculs!$A$427:$G$738,7,FALSE)&gt;0,TRUE,FALSE))</f>
        <v>1</v>
      </c>
      <c r="AT352" s="158"/>
      <c r="AU352" s="158" t="b">
        <f>IF(AT352="",TRUE,IF(VLOOKUP(AT352,Calculs!$A$740:$G$912,7,FALSE)&gt;0,TRUE,FALSE))</f>
        <v>1</v>
      </c>
      <c r="AV352" s="158" t="b">
        <f t="shared" si="37"/>
        <v>0</v>
      </c>
      <c r="AW352" s="159" t="s">
        <v>8091</v>
      </c>
      <c r="AX352" s="162" t="s">
        <v>6010</v>
      </c>
      <c r="AY352" s="15">
        <v>204</v>
      </c>
      <c r="AZ352" s="555" t="s">
        <v>6145</v>
      </c>
      <c r="BA352" s="559">
        <f>IF(Verso!$B$10=Voies!$B352,1,0)</f>
        <v>0</v>
      </c>
      <c r="BB352" s="12">
        <f>IF(Verso!$B$11=Voies!$B352,1,0)</f>
        <v>0</v>
      </c>
      <c r="BC352" s="12">
        <f>IF(Verso!$B$12=Voies!$B352,1,0)</f>
        <v>0</v>
      </c>
      <c r="BD352" s="12">
        <f>IF(Verso!$B$13=Voies!$B352,1,0)</f>
        <v>0</v>
      </c>
      <c r="BE352" s="12">
        <f>IF(Verso!$B$14=Voies!$B352,1,0)</f>
        <v>0</v>
      </c>
      <c r="BF352" s="12">
        <f>IF(Verso!$B$15=Voies!$B352,1,0)</f>
        <v>0</v>
      </c>
      <c r="BG352" s="12">
        <f>IF(Verso!$B$16=Voies!$B352,1,0)</f>
        <v>0</v>
      </c>
      <c r="BH352" s="12">
        <f>IF(Verso!$B$17=Voies!$B352,1,0)</f>
        <v>0</v>
      </c>
      <c r="BI352" s="557">
        <f t="shared" si="38"/>
        <v>0</v>
      </c>
      <c r="BJ352" s="196" t="str">
        <f t="shared" si="39"/>
        <v/>
      </c>
      <c r="BK352" s="196" t="str">
        <f t="shared" si="40"/>
        <v/>
      </c>
      <c r="BL352" s="295" t="str">
        <f t="shared" si="41"/>
        <v/>
      </c>
    </row>
    <row r="353" spans="1:64" ht="47.25" customHeight="1" x14ac:dyDescent="0.25">
      <c r="A353" s="162" t="str">
        <f>IF(AND(Réputation&gt;Voies!E353-1,OR(C353=TRUE,Calculs!$I$8&gt;0),Air&gt;Voies!J353-1,Eau&gt;Voies!K353-1,Feu&gt;Voies!L353-1,Terre&gt;Voies!M353-1,Vide&gt;Voies!N353-1,Constitution&gt;Voies!O353-1,Volonté&gt;Voies!P353-1,Force&gt;Voies!Q353-1,Perception&gt;Voies!R353-1,Reflexes&gt;Voies!S353-1,Agilité&gt;Voies!T353-1,Intuition&gt;Voies!U353-1,Intelligence&gt;Voies!V353-1,Souillure&gt;Voies!W353-1,Honneur&gt;X353-1,Statut&gt;Y353-1,Gloire&gt;Z353-1,AV353=TRUE),Voies!B353,"")</f>
        <v/>
      </c>
      <c r="B353" s="162" t="s">
        <v>2962</v>
      </c>
      <c r="C353" s="162" t="b">
        <f>IF(Clan=Voies!D353,TRUE,FALSE)</f>
        <v>0</v>
      </c>
      <c r="D353" s="387" t="s">
        <v>176</v>
      </c>
      <c r="E353" s="13">
        <v>0</v>
      </c>
      <c r="F353" s="199">
        <v>0</v>
      </c>
      <c r="G353" s="13" t="s">
        <v>2060</v>
      </c>
      <c r="H353" s="219" t="s">
        <v>587</v>
      </c>
      <c r="I353" s="129" t="str">
        <f t="shared" si="44"/>
        <v>Rien</v>
      </c>
      <c r="J353" s="146">
        <v>4</v>
      </c>
      <c r="K353" s="147">
        <v>0</v>
      </c>
      <c r="L353" s="148">
        <v>0</v>
      </c>
      <c r="M353" s="149">
        <v>0</v>
      </c>
      <c r="N353" s="150">
        <v>0</v>
      </c>
      <c r="O353" s="130">
        <v>0</v>
      </c>
      <c r="P353" s="130">
        <v>0</v>
      </c>
      <c r="Q353" s="130">
        <v>0</v>
      </c>
      <c r="R353" s="130">
        <v>0</v>
      </c>
      <c r="S353" s="130">
        <v>0</v>
      </c>
      <c r="T353" s="130">
        <v>4</v>
      </c>
      <c r="U353" s="130">
        <v>0</v>
      </c>
      <c r="V353" s="524">
        <v>0</v>
      </c>
      <c r="W353" s="130">
        <v>0</v>
      </c>
      <c r="X353" s="130">
        <v>0</v>
      </c>
      <c r="Y353" s="130">
        <v>0</v>
      </c>
      <c r="Z353" s="130">
        <v>0</v>
      </c>
      <c r="AA353" s="159" t="s">
        <v>6368</v>
      </c>
      <c r="AB353" s="159" t="s">
        <v>3326</v>
      </c>
      <c r="AC353" s="159" t="s">
        <v>2977</v>
      </c>
      <c r="AD353" s="159">
        <v>3</v>
      </c>
      <c r="AE353" s="158" t="b">
        <f>IF(AB353="",TRUE,IF(IF(AC353="",VLOOKUP(AB353,Calculs!$A$19:$S$425,19,FALSE),VLOOKUP(AC353,Calculs!$A$19:$S$425,19,FALSE))&gt;=AD353,TRUE,FALSE))</f>
        <v>0</v>
      </c>
      <c r="AF353" s="159" t="s">
        <v>1269</v>
      </c>
      <c r="AG353" s="159" t="s">
        <v>2829</v>
      </c>
      <c r="AH353" s="159">
        <v>3</v>
      </c>
      <c r="AI353" s="158" t="b">
        <f>IF(AF353="",TRUE,IF(IF(AG353="",VLOOKUP(AF353,Calculs!$A$19:$S$425,19,FALSE),VLOOKUP(AG353,Calculs!$A$19:$S$425,19,FALSE))&gt;=AH353,TRUE,FALSE))</f>
        <v>0</v>
      </c>
      <c r="AJ353" s="159" t="s">
        <v>1273</v>
      </c>
      <c r="AL353" s="159">
        <v>4</v>
      </c>
      <c r="AM353" s="158" t="b">
        <f>IF(AJ353="",TRUE,IF(IF(AK353="",VLOOKUP(AJ353,Calculs!$A$19:$S$425,19,FALSE),VLOOKUP(AK353,Calculs!$A$19:$S$425,19,FALSE))&gt;=AL353,TRUE,FALSE))</f>
        <v>0</v>
      </c>
      <c r="AN353" s="159" t="s">
        <v>1282</v>
      </c>
      <c r="AP353" s="159">
        <v>5</v>
      </c>
      <c r="AQ353" s="158" t="b">
        <f>IF(AN353="",TRUE,IF(IF(AO353="",VLOOKUP(AN353,Calculs!$A$19:$S$425,19,FALSE),VLOOKUP(AO353,Calculs!$A$19:$S$425,19,FALSE))&gt;=AP353,TRUE,FALSE))</f>
        <v>0</v>
      </c>
      <c r="AR353" s="158"/>
      <c r="AS353" s="158" t="b">
        <f>IF(AR353="",TRUE,IF(VLOOKUP(AR353,Calculs!$A$427:$G$738,7,FALSE)&gt;0,TRUE,FALSE))</f>
        <v>1</v>
      </c>
      <c r="AT353" s="158"/>
      <c r="AU353" s="158" t="b">
        <f>IF(AT353="",TRUE,IF(VLOOKUP(AT353,Calculs!$A$740:$G$912,7,FALSE)&gt;0,TRUE,FALSE))</f>
        <v>1</v>
      </c>
      <c r="AV353" s="158" t="b">
        <f t="shared" si="37"/>
        <v>0</v>
      </c>
      <c r="AW353" s="159" t="s">
        <v>2966</v>
      </c>
      <c r="AX353" s="162" t="s">
        <v>2077</v>
      </c>
      <c r="AY353" s="15">
        <v>180</v>
      </c>
      <c r="AZ353" s="555" t="s">
        <v>2967</v>
      </c>
      <c r="BA353" s="559">
        <f>IF(Verso!$B$10=Voies!$B353,1,0)</f>
        <v>0</v>
      </c>
      <c r="BB353" s="12">
        <f>IF(Verso!$B$11=Voies!$B353,1,0)</f>
        <v>0</v>
      </c>
      <c r="BC353" s="12">
        <f>IF(Verso!$B$12=Voies!$B353,1,0)</f>
        <v>0</v>
      </c>
      <c r="BD353" s="12">
        <f>IF(Verso!$B$13=Voies!$B353,1,0)</f>
        <v>0</v>
      </c>
      <c r="BE353" s="12">
        <f>IF(Verso!$B$14=Voies!$B353,1,0)</f>
        <v>0</v>
      </c>
      <c r="BF353" s="12">
        <f>IF(Verso!$B$15=Voies!$B353,1,0)</f>
        <v>0</v>
      </c>
      <c r="BG353" s="12">
        <f>IF(Verso!$B$16=Voies!$B353,1,0)</f>
        <v>0</v>
      </c>
      <c r="BH353" s="12">
        <f>IF(Verso!$B$17=Voies!$B353,1,0)</f>
        <v>0</v>
      </c>
      <c r="BI353" s="557">
        <f t="shared" si="38"/>
        <v>0</v>
      </c>
      <c r="BJ353" s="196" t="str">
        <f t="shared" si="39"/>
        <v/>
      </c>
      <c r="BK353" s="196" t="str">
        <f t="shared" si="40"/>
        <v/>
      </c>
      <c r="BL353" s="295" t="str">
        <f t="shared" si="41"/>
        <v/>
      </c>
    </row>
    <row r="354" spans="1:64" ht="47.25" customHeight="1" x14ac:dyDescent="0.25">
      <c r="A354" s="162" t="str">
        <f>IF(AND(Réputation&gt;Voies!E354-1,OR(C354=TRUE,Calculs!$I$8&gt;0),Air&gt;Voies!J354-1,Eau&gt;Voies!K354-1,Feu&gt;Voies!L354-1,Terre&gt;Voies!M354-1,Vide&gt;Voies!N354-1,Constitution&gt;Voies!O354-1,Volonté&gt;Voies!P354-1,Force&gt;Voies!Q354-1,Perception&gt;Voies!R354-1,Reflexes&gt;Voies!S354-1,Agilité&gt;Voies!T354-1,Intuition&gt;Voies!U354-1,Intelligence&gt;Voies!V354-1,Souillure&gt;Voies!W354-1,Honneur&gt;X354-1,Statut&gt;Y354-1,Gloire&gt;Z354-1,AV354=TRUE),Voies!B354,"")</f>
        <v/>
      </c>
      <c r="B354" s="162" t="s">
        <v>2963</v>
      </c>
      <c r="C354" s="162" t="b">
        <f>IF(Clan=Voies!D354,TRUE,FALSE)</f>
        <v>0</v>
      </c>
      <c r="D354" s="387" t="s">
        <v>176</v>
      </c>
      <c r="E354" s="13">
        <v>0</v>
      </c>
      <c r="F354" s="199">
        <v>0</v>
      </c>
      <c r="G354" s="13" t="s">
        <v>2060</v>
      </c>
      <c r="H354" s="219" t="s">
        <v>587</v>
      </c>
      <c r="I354" s="129" t="str">
        <f t="shared" si="44"/>
        <v>Rien</v>
      </c>
      <c r="J354" s="146">
        <v>4</v>
      </c>
      <c r="K354" s="147">
        <v>0</v>
      </c>
      <c r="L354" s="148">
        <v>0</v>
      </c>
      <c r="M354" s="149">
        <v>0</v>
      </c>
      <c r="N354" s="150">
        <v>0</v>
      </c>
      <c r="O354" s="130">
        <v>0</v>
      </c>
      <c r="P354" s="130">
        <v>0</v>
      </c>
      <c r="Q354" s="130">
        <v>0</v>
      </c>
      <c r="R354" s="130">
        <v>0</v>
      </c>
      <c r="S354" s="130">
        <v>0</v>
      </c>
      <c r="T354" s="130">
        <v>4</v>
      </c>
      <c r="U354" s="130">
        <v>0</v>
      </c>
      <c r="V354" s="524">
        <v>0</v>
      </c>
      <c r="W354" s="130">
        <v>0</v>
      </c>
      <c r="X354" s="130">
        <v>0</v>
      </c>
      <c r="Y354" s="130">
        <v>0</v>
      </c>
      <c r="Z354" s="130">
        <v>0</v>
      </c>
      <c r="AA354" s="159" t="s">
        <v>2965</v>
      </c>
      <c r="AB354" s="159" t="s">
        <v>3326</v>
      </c>
      <c r="AC354" s="159" t="s">
        <v>2977</v>
      </c>
      <c r="AD354" s="159">
        <v>3</v>
      </c>
      <c r="AE354" s="158" t="b">
        <f>IF(AB354="",TRUE,IF(IF(AC354="",VLOOKUP(AB354,Calculs!$A$19:$S$425,19,FALSE),VLOOKUP(AC354,Calculs!$A$19:$S$425,19,FALSE))&gt;=AD354,TRUE,FALSE))</f>
        <v>0</v>
      </c>
      <c r="AF354" s="159" t="s">
        <v>1269</v>
      </c>
      <c r="AG354" s="159" t="s">
        <v>2829</v>
      </c>
      <c r="AH354" s="159">
        <v>3</v>
      </c>
      <c r="AI354" s="158" t="b">
        <f>IF(AF354="",TRUE,IF(IF(AG354="",VLOOKUP(AF354,Calculs!$A$19:$S$425,19,FALSE),VLOOKUP(AG354,Calculs!$A$19:$S$425,19,FALSE))&gt;=AH354,TRUE,FALSE))</f>
        <v>0</v>
      </c>
      <c r="AJ354" s="159" t="s">
        <v>1273</v>
      </c>
      <c r="AL354" s="159">
        <v>4</v>
      </c>
      <c r="AM354" s="158" t="b">
        <f>IF(AJ354="",TRUE,IF(IF(AK354="",VLOOKUP(AJ354,Calculs!$A$19:$S$425,19,FALSE),VLOOKUP(AK354,Calculs!$A$19:$S$425,19,FALSE))&gt;=AL354,TRUE,FALSE))</f>
        <v>0</v>
      </c>
      <c r="AN354" s="159" t="s">
        <v>1282</v>
      </c>
      <c r="AP354" s="159">
        <v>5</v>
      </c>
      <c r="AQ354" s="158" t="b">
        <f>IF(AN354="",TRUE,IF(IF(AO354="",VLOOKUP(AN354,Calculs!$A$19:$S$425,19,FALSE),VLOOKUP(AO354,Calculs!$A$19:$S$425,19,FALSE))&gt;=AP354,TRUE,FALSE))</f>
        <v>0</v>
      </c>
      <c r="AR354" s="158"/>
      <c r="AS354" s="158" t="b">
        <f>IF(AR354="",TRUE,IF(VLOOKUP(AR354,Calculs!$A$427:$G$738,7,FALSE)&gt;0,TRUE,FALSE))</f>
        <v>1</v>
      </c>
      <c r="AT354" s="158"/>
      <c r="AU354" s="158" t="b">
        <f>IF(AT354="",TRUE,IF(VLOOKUP(AT354,Calculs!$A$740:$G$912,7,FALSE)&gt;0,TRUE,FALSE))</f>
        <v>1</v>
      </c>
      <c r="AV354" s="158" t="b">
        <f t="shared" si="37"/>
        <v>0</v>
      </c>
      <c r="AW354" s="159" t="s">
        <v>2966</v>
      </c>
      <c r="AX354" s="162" t="s">
        <v>2077</v>
      </c>
      <c r="AY354" s="15">
        <v>180</v>
      </c>
      <c r="AZ354" s="555" t="s">
        <v>2968</v>
      </c>
      <c r="BA354" s="559">
        <f>IF(Verso!$B$10=Voies!$B354,1,0)</f>
        <v>0</v>
      </c>
      <c r="BB354" s="12">
        <f>IF(Verso!$B$11=Voies!$B354,1,0)</f>
        <v>0</v>
      </c>
      <c r="BC354" s="12">
        <f>IF(Verso!$B$12=Voies!$B354,1,0)</f>
        <v>0</v>
      </c>
      <c r="BD354" s="12">
        <f>IF(Verso!$B$13=Voies!$B354,1,0)</f>
        <v>0</v>
      </c>
      <c r="BE354" s="12">
        <f>IF(Verso!$B$14=Voies!$B354,1,0)</f>
        <v>0</v>
      </c>
      <c r="BF354" s="12">
        <f>IF(Verso!$B$15=Voies!$B354,1,0)</f>
        <v>0</v>
      </c>
      <c r="BG354" s="12">
        <f>IF(Verso!$B$16=Voies!$B354,1,0)</f>
        <v>0</v>
      </c>
      <c r="BH354" s="12">
        <f>IF(Verso!$B$17=Voies!$B354,1,0)</f>
        <v>0</v>
      </c>
      <c r="BI354" s="557">
        <f t="shared" si="38"/>
        <v>0</v>
      </c>
      <c r="BJ354" s="196" t="str">
        <f t="shared" si="39"/>
        <v/>
      </c>
      <c r="BK354" s="196" t="str">
        <f t="shared" si="40"/>
        <v/>
      </c>
      <c r="BL354" s="295" t="str">
        <f t="shared" si="41"/>
        <v/>
      </c>
    </row>
    <row r="355" spans="1:64" ht="47.25" customHeight="1" x14ac:dyDescent="0.25">
      <c r="A355" s="162" t="str">
        <f>IF(AND(Réputation&gt;Voies!E355-1,OR(C355=TRUE,Calculs!$I$8&gt;0),Air&gt;Voies!J355-1,Eau&gt;Voies!K355-1,Feu&gt;Voies!L355-1,Terre&gt;Voies!M355-1,Vide&gt;Voies!N355-1,Constitution&gt;Voies!O355-1,Volonté&gt;Voies!P355-1,Force&gt;Voies!Q355-1,Perception&gt;Voies!R355-1,Reflexes&gt;Voies!S355-1,Agilité&gt;Voies!T355-1,Intuition&gt;Voies!U355-1,Intelligence&gt;Voies!V355-1,Souillure&gt;Voies!W355-1,Honneur&gt;X355-1,Statut&gt;Y355-1,Gloire&gt;Z355-1,AV355=TRUE),Voies!B355,"")</f>
        <v/>
      </c>
      <c r="B355" s="162" t="s">
        <v>2964</v>
      </c>
      <c r="C355" s="162" t="b">
        <f>IF(Clan=Voies!D355,TRUE,FALSE)</f>
        <v>0</v>
      </c>
      <c r="D355" s="387" t="s">
        <v>176</v>
      </c>
      <c r="E355" s="13">
        <v>0</v>
      </c>
      <c r="F355" s="199">
        <v>0</v>
      </c>
      <c r="G355" s="13" t="s">
        <v>2060</v>
      </c>
      <c r="H355" s="219" t="s">
        <v>587</v>
      </c>
      <c r="I355" s="129" t="str">
        <f t="shared" si="44"/>
        <v>Rien</v>
      </c>
      <c r="J355" s="146">
        <v>4</v>
      </c>
      <c r="K355" s="147">
        <v>0</v>
      </c>
      <c r="L355" s="148">
        <v>0</v>
      </c>
      <c r="M355" s="149">
        <v>0</v>
      </c>
      <c r="N355" s="150">
        <v>0</v>
      </c>
      <c r="O355" s="130">
        <v>0</v>
      </c>
      <c r="P355" s="130">
        <v>0</v>
      </c>
      <c r="Q355" s="130">
        <v>0</v>
      </c>
      <c r="R355" s="130">
        <v>0</v>
      </c>
      <c r="S355" s="130">
        <v>0</v>
      </c>
      <c r="T355" s="130">
        <v>4</v>
      </c>
      <c r="U355" s="130">
        <v>0</v>
      </c>
      <c r="V355" s="524">
        <v>0</v>
      </c>
      <c r="W355" s="130">
        <v>0</v>
      </c>
      <c r="X355" s="130">
        <v>0</v>
      </c>
      <c r="Y355" s="130">
        <v>0</v>
      </c>
      <c r="Z355" s="130">
        <v>0</v>
      </c>
      <c r="AA355" s="159" t="s">
        <v>2965</v>
      </c>
      <c r="AB355" s="159" t="s">
        <v>3326</v>
      </c>
      <c r="AC355" s="159" t="s">
        <v>2977</v>
      </c>
      <c r="AD355" s="159">
        <v>3</v>
      </c>
      <c r="AE355" s="158" t="b">
        <f>IF(AB355="",TRUE,IF(IF(AC355="",VLOOKUP(AB355,Calculs!$A$19:$S$425,19,FALSE),VLOOKUP(AC355,Calculs!$A$19:$S$425,19,FALSE))&gt;=AD355,TRUE,FALSE))</f>
        <v>0</v>
      </c>
      <c r="AF355" s="159" t="s">
        <v>1269</v>
      </c>
      <c r="AG355" s="159" t="s">
        <v>2829</v>
      </c>
      <c r="AH355" s="159">
        <v>3</v>
      </c>
      <c r="AI355" s="158" t="b">
        <f>IF(AF355="",TRUE,IF(IF(AG355="",VLOOKUP(AF355,Calculs!$A$19:$S$425,19,FALSE),VLOOKUP(AG355,Calculs!$A$19:$S$425,19,FALSE))&gt;=AH355,TRUE,FALSE))</f>
        <v>0</v>
      </c>
      <c r="AJ355" s="159" t="s">
        <v>1273</v>
      </c>
      <c r="AL355" s="159">
        <v>4</v>
      </c>
      <c r="AM355" s="158" t="b">
        <f>IF(AJ355="",TRUE,IF(IF(AK355="",VLOOKUP(AJ355,Calculs!$A$19:$S$425,19,FALSE),VLOOKUP(AK355,Calculs!$A$19:$S$425,19,FALSE))&gt;=AL355,TRUE,FALSE))</f>
        <v>0</v>
      </c>
      <c r="AN355" s="159" t="s">
        <v>1282</v>
      </c>
      <c r="AP355" s="159">
        <v>5</v>
      </c>
      <c r="AQ355" s="158" t="b">
        <f>IF(AN355="",TRUE,IF(IF(AO355="",VLOOKUP(AN355,Calculs!$A$19:$S$425,19,FALSE),VLOOKUP(AO355,Calculs!$A$19:$S$425,19,FALSE))&gt;=AP355,TRUE,FALSE))</f>
        <v>0</v>
      </c>
      <c r="AR355" s="158"/>
      <c r="AS355" s="158" t="b">
        <f>IF(AR355="",TRUE,IF(VLOOKUP(AR355,Calculs!$A$427:$G$738,7,FALSE)&gt;0,TRUE,FALSE))</f>
        <v>1</v>
      </c>
      <c r="AT355" s="158"/>
      <c r="AU355" s="158" t="b">
        <f>IF(AT355="",TRUE,IF(VLOOKUP(AT355,Calculs!$A$740:$G$912,7,FALSE)&gt;0,TRUE,FALSE))</f>
        <v>1</v>
      </c>
      <c r="AV355" s="158" t="b">
        <f t="shared" si="37"/>
        <v>0</v>
      </c>
      <c r="AW355" s="159" t="s">
        <v>2966</v>
      </c>
      <c r="AX355" s="162" t="s">
        <v>2077</v>
      </c>
      <c r="AY355" s="15">
        <v>180</v>
      </c>
      <c r="AZ355" s="555" t="s">
        <v>2969</v>
      </c>
      <c r="BA355" s="559">
        <f>IF(Verso!$B$10=Voies!$B355,1,0)</f>
        <v>0</v>
      </c>
      <c r="BB355" s="12">
        <f>IF(Verso!$B$11=Voies!$B355,1,0)</f>
        <v>0</v>
      </c>
      <c r="BC355" s="12">
        <f>IF(Verso!$B$12=Voies!$B355,1,0)</f>
        <v>0</v>
      </c>
      <c r="BD355" s="12">
        <f>IF(Verso!$B$13=Voies!$B355,1,0)</f>
        <v>0</v>
      </c>
      <c r="BE355" s="12">
        <f>IF(Verso!$B$14=Voies!$B355,1,0)</f>
        <v>0</v>
      </c>
      <c r="BF355" s="12">
        <f>IF(Verso!$B$15=Voies!$B355,1,0)</f>
        <v>0</v>
      </c>
      <c r="BG355" s="12">
        <f>IF(Verso!$B$16=Voies!$B355,1,0)</f>
        <v>0</v>
      </c>
      <c r="BH355" s="12">
        <f>IF(Verso!$B$17=Voies!$B355,1,0)</f>
        <v>0</v>
      </c>
      <c r="BI355" s="557">
        <f t="shared" si="38"/>
        <v>0</v>
      </c>
      <c r="BJ355" s="196" t="str">
        <f t="shared" si="39"/>
        <v/>
      </c>
      <c r="BK355" s="196" t="str">
        <f t="shared" si="40"/>
        <v/>
      </c>
      <c r="BL355" s="295" t="str">
        <f t="shared" si="41"/>
        <v/>
      </c>
    </row>
    <row r="356" spans="1:64" ht="47.25" customHeight="1" x14ac:dyDescent="0.25">
      <c r="A356" s="162" t="str">
        <f>IF(AND(Réputation&gt;Voies!E356-1,OR(C356=TRUE,Calculs!$I$8&gt;0),Air&gt;Voies!J356-1,Eau&gt;Voies!K356-1,Feu&gt;Voies!L356-1,Terre&gt;Voies!M356-1,Vide&gt;Voies!N356-1,Constitution&gt;Voies!O356-1,Volonté&gt;Voies!P356-1,Force&gt;Voies!Q356-1,Perception&gt;Voies!R356-1,Reflexes&gt;Voies!S356-1,Agilité&gt;Voies!T356-1,Intuition&gt;Voies!U356-1,Intelligence&gt;Voies!V356-1,Souillure&gt;Voies!W356-1,Honneur&gt;X356-1,Statut&gt;Y356-1,Gloire&gt;Z356-1,AV356=TRUE),Voies!B356,"")</f>
        <v/>
      </c>
      <c r="B356" s="162" t="s">
        <v>6053</v>
      </c>
      <c r="C356" s="162" t="b">
        <f>IF(Clan=Voies!D356,TRUE,FALSE)</f>
        <v>0</v>
      </c>
      <c r="D356" s="387" t="s">
        <v>176</v>
      </c>
      <c r="E356" s="13">
        <v>1</v>
      </c>
      <c r="F356" s="199">
        <v>1</v>
      </c>
      <c r="G356" s="13" t="s">
        <v>2057</v>
      </c>
      <c r="H356" s="219" t="s">
        <v>6052</v>
      </c>
      <c r="I356" s="129" t="str">
        <f t="shared" si="44"/>
        <v>Rien</v>
      </c>
      <c r="J356" s="146">
        <v>0</v>
      </c>
      <c r="K356" s="147">
        <v>0</v>
      </c>
      <c r="L356" s="148">
        <v>0</v>
      </c>
      <c r="M356" s="149">
        <v>0</v>
      </c>
      <c r="N356" s="150">
        <v>0</v>
      </c>
      <c r="O356" s="130">
        <v>0</v>
      </c>
      <c r="P356" s="130">
        <v>0</v>
      </c>
      <c r="Q356" s="130">
        <v>0</v>
      </c>
      <c r="R356" s="130">
        <v>0</v>
      </c>
      <c r="S356" s="130">
        <v>0</v>
      </c>
      <c r="T356" s="130">
        <v>0</v>
      </c>
      <c r="U356" s="130">
        <v>0</v>
      </c>
      <c r="V356" s="524">
        <v>0</v>
      </c>
      <c r="W356" s="130">
        <v>0</v>
      </c>
      <c r="X356" s="130">
        <v>0</v>
      </c>
      <c r="Y356" s="130">
        <v>0</v>
      </c>
      <c r="Z356" s="130">
        <v>0</v>
      </c>
      <c r="AA356" s="158" t="s">
        <v>2078</v>
      </c>
      <c r="AB356" s="158"/>
      <c r="AC356" s="158"/>
      <c r="AD356" s="158"/>
      <c r="AE356" s="158" t="b">
        <f>IF(AB356="",TRUE,IF(IF(AC356="",VLOOKUP(AB356,Calculs!$A$19:$S$425,19,FALSE),VLOOKUP(AC356,Calculs!$A$19:$S$425,19,FALSE))&gt;=AD356,TRUE,FALSE))</f>
        <v>1</v>
      </c>
      <c r="AF356" s="158"/>
      <c r="AG356" s="158"/>
      <c r="AH356" s="158"/>
      <c r="AI356" s="158" t="b">
        <f>IF(AF356="",TRUE,IF(IF(AG356="",VLOOKUP(AF356,Calculs!$A$19:$S$425,19,FALSE),VLOOKUP(AG356,Calculs!$A$19:$S$425,19,FALSE))&gt;=AH356,TRUE,FALSE))</f>
        <v>1</v>
      </c>
      <c r="AJ356" s="158"/>
      <c r="AK356" s="158"/>
      <c r="AL356" s="158"/>
      <c r="AM356" s="158" t="b">
        <f>IF(AJ356="",TRUE,IF(IF(AK356="",VLOOKUP(AJ356,Calculs!$A$19:$S$425,19,FALSE),VLOOKUP(AK356,Calculs!$A$19:$S$425,19,FALSE))&gt;=AL356,TRUE,FALSE))</f>
        <v>1</v>
      </c>
      <c r="AN356" s="158"/>
      <c r="AO356" s="158"/>
      <c r="AP356" s="158"/>
      <c r="AQ356" s="158" t="b">
        <f>IF(AN356="",TRUE,IF(IF(AO356="",VLOOKUP(AN356,Calculs!$A$19:$S$425,19,FALSE),VLOOKUP(AO356,Calculs!$A$19:$S$425,19,FALSE))&gt;=AP356,TRUE,FALSE))</f>
        <v>1</v>
      </c>
      <c r="AR356" s="158"/>
      <c r="AS356" s="158" t="b">
        <f>IF(AR356="",TRUE,IF(VLOOKUP(AR356,Calculs!$A$427:$G$738,7,FALSE)&gt;0,TRUE,FALSE))</f>
        <v>1</v>
      </c>
      <c r="AT356" s="158"/>
      <c r="AU356" s="158" t="b">
        <f>IF(AT356="",TRUE,IF(VLOOKUP(AT356,Calculs!$A$740:$G$912,7,FALSE)&gt;0,TRUE,FALSE))</f>
        <v>1</v>
      </c>
      <c r="AV356" s="158" t="b">
        <f t="shared" si="37"/>
        <v>1</v>
      </c>
      <c r="AW356" s="158" t="s">
        <v>2078</v>
      </c>
      <c r="AX356" s="162" t="s">
        <v>6061</v>
      </c>
      <c r="AY356" s="15">
        <v>100</v>
      </c>
      <c r="AZ356" s="555" t="s">
        <v>8552</v>
      </c>
      <c r="BA356" s="559">
        <f>IF(Verso!$B$10=Voies!$B356,1,0)</f>
        <v>0</v>
      </c>
      <c r="BB356" s="12">
        <f>IF(Verso!$B$11=Voies!$B356,1,0)</f>
        <v>0</v>
      </c>
      <c r="BC356" s="12">
        <f>IF(Verso!$B$12=Voies!$B356,1,0)</f>
        <v>0</v>
      </c>
      <c r="BD356" s="12">
        <f>IF(Verso!$B$13=Voies!$B356,1,0)</f>
        <v>0</v>
      </c>
      <c r="BE356" s="12">
        <f>IF(Verso!$B$14=Voies!$B356,1,0)</f>
        <v>0</v>
      </c>
      <c r="BF356" s="12">
        <f>IF(Verso!$B$15=Voies!$B356,1,0)</f>
        <v>0</v>
      </c>
      <c r="BG356" s="12">
        <f>IF(Verso!$B$16=Voies!$B356,1,0)</f>
        <v>0</v>
      </c>
      <c r="BH356" s="12">
        <f>IF(Verso!$B$17=Voies!$B356,1,0)</f>
        <v>0</v>
      </c>
      <c r="BI356" s="557">
        <f t="shared" si="38"/>
        <v>0</v>
      </c>
      <c r="BJ356" s="196" t="str">
        <f t="shared" si="39"/>
        <v/>
      </c>
      <c r="BK356" s="196" t="str">
        <f t="shared" si="40"/>
        <v/>
      </c>
      <c r="BL356" s="295" t="str">
        <f t="shared" si="41"/>
        <v/>
      </c>
    </row>
    <row r="357" spans="1:64" ht="47.25" customHeight="1" x14ac:dyDescent="0.25">
      <c r="A357" s="162" t="str">
        <f>IF(AND(Réputation&gt;Voies!E357-1,OR(C357=TRUE,Calculs!$I$8&gt;0),Air&gt;Voies!J357-1,Eau&gt;Voies!K357-1,Feu&gt;Voies!L357-1,Terre&gt;Voies!M357-1,Vide&gt;Voies!N357-1,Constitution&gt;Voies!O357-1,Volonté&gt;Voies!P357-1,Force&gt;Voies!Q357-1,Perception&gt;Voies!R357-1,Reflexes&gt;Voies!S357-1,Agilité&gt;Voies!T357-1,Intuition&gt;Voies!U357-1,Intelligence&gt;Voies!V357-1,Souillure&gt;Voies!W357-1,Honneur&gt;X357-1,Statut&gt;Y357-1,Gloire&gt;Z357-1,AV357=TRUE),Voies!B357,"")</f>
        <v/>
      </c>
      <c r="B357" s="162" t="s">
        <v>2341</v>
      </c>
      <c r="C357" s="162" t="b">
        <f>IF(Clan=Voies!D357,TRUE,FALSE)</f>
        <v>0</v>
      </c>
      <c r="D357" s="387" t="s">
        <v>176</v>
      </c>
      <c r="E357" s="13">
        <v>1</v>
      </c>
      <c r="F357" s="199">
        <v>1</v>
      </c>
      <c r="G357" s="13" t="s">
        <v>2049</v>
      </c>
      <c r="H357" s="219" t="s">
        <v>198</v>
      </c>
      <c r="I357" s="129" t="str">
        <f t="shared" si="44"/>
        <v>Rien</v>
      </c>
      <c r="J357" s="146">
        <v>0</v>
      </c>
      <c r="K357" s="147">
        <v>0</v>
      </c>
      <c r="L357" s="148">
        <v>0</v>
      </c>
      <c r="M357" s="149">
        <v>0</v>
      </c>
      <c r="N357" s="150">
        <v>0</v>
      </c>
      <c r="O357" s="130">
        <v>0</v>
      </c>
      <c r="P357" s="130">
        <v>0</v>
      </c>
      <c r="Q357" s="130">
        <v>0</v>
      </c>
      <c r="R357" s="130">
        <v>0</v>
      </c>
      <c r="S357" s="130">
        <v>0</v>
      </c>
      <c r="T357" s="130">
        <v>0</v>
      </c>
      <c r="U357" s="130">
        <v>0</v>
      </c>
      <c r="V357" s="524">
        <v>0</v>
      </c>
      <c r="W357" s="130">
        <v>0</v>
      </c>
      <c r="X357" s="130">
        <v>0</v>
      </c>
      <c r="Y357" s="130">
        <v>0</v>
      </c>
      <c r="Z357" s="130">
        <v>0</v>
      </c>
      <c r="AA357" s="158" t="s">
        <v>2078</v>
      </c>
      <c r="AB357" s="158"/>
      <c r="AC357" s="158"/>
      <c r="AD357" s="158"/>
      <c r="AE357" s="158" t="b">
        <f>IF(AB357="",TRUE,IF(IF(AC357="",VLOOKUP(AB357,Calculs!$A$19:$S$425,19,FALSE),VLOOKUP(AC357,Calculs!$A$19:$S$425,19,FALSE))&gt;=AD357,TRUE,FALSE))</f>
        <v>1</v>
      </c>
      <c r="AF357" s="158"/>
      <c r="AG357" s="158"/>
      <c r="AH357" s="158"/>
      <c r="AI357" s="158" t="b">
        <f>IF(AF357="",TRUE,IF(IF(AG357="",VLOOKUP(AF357,Calculs!$A$19:$S$425,19,FALSE),VLOOKUP(AG357,Calculs!$A$19:$S$425,19,FALSE))&gt;=AH357,TRUE,FALSE))</f>
        <v>1</v>
      </c>
      <c r="AJ357" s="158"/>
      <c r="AK357" s="158"/>
      <c r="AL357" s="158"/>
      <c r="AM357" s="158" t="b">
        <f>IF(AJ357="",TRUE,IF(IF(AK357="",VLOOKUP(AJ357,Calculs!$A$19:$S$425,19,FALSE),VLOOKUP(AK357,Calculs!$A$19:$S$425,19,FALSE))&gt;=AL357,TRUE,FALSE))</f>
        <v>1</v>
      </c>
      <c r="AN357" s="158"/>
      <c r="AO357" s="158"/>
      <c r="AP357" s="158"/>
      <c r="AQ357" s="158" t="b">
        <f>IF(AN357="",TRUE,IF(IF(AO357="",VLOOKUP(AN357,Calculs!$A$19:$S$425,19,FALSE),VLOOKUP(AO357,Calculs!$A$19:$S$425,19,FALSE))&gt;=AP357,TRUE,FALSE))</f>
        <v>1</v>
      </c>
      <c r="AR357" s="158"/>
      <c r="AS357" s="158" t="b">
        <f>IF(AR357="",TRUE,IF(VLOOKUP(AR357,Calculs!$A$427:$G$738,7,FALSE)&gt;0,TRUE,FALSE))</f>
        <v>1</v>
      </c>
      <c r="AT357" s="158"/>
      <c r="AU357" s="158" t="b">
        <f>IF(AT357="",TRUE,IF(VLOOKUP(AT357,Calculs!$A$740:$G$912,7,FALSE)&gt;0,TRUE,FALSE))</f>
        <v>1</v>
      </c>
      <c r="AV357" s="158" t="b">
        <f t="shared" si="37"/>
        <v>1</v>
      </c>
      <c r="AW357" s="158" t="s">
        <v>2078</v>
      </c>
      <c r="AX357" s="162" t="s">
        <v>143</v>
      </c>
      <c r="AY357" s="15">
        <v>113</v>
      </c>
      <c r="AZ357" s="555" t="s">
        <v>2347</v>
      </c>
      <c r="BA357" s="559">
        <f>IF(Verso!$B$10=Voies!$B357,1,0)</f>
        <v>0</v>
      </c>
      <c r="BB357" s="12">
        <f>IF(Verso!$B$11=Voies!$B357,1,0)</f>
        <v>0</v>
      </c>
      <c r="BC357" s="12">
        <f>IF(Verso!$B$12=Voies!$B357,1,0)</f>
        <v>0</v>
      </c>
      <c r="BD357" s="12">
        <f>IF(Verso!$B$13=Voies!$B357,1,0)</f>
        <v>0</v>
      </c>
      <c r="BE357" s="12">
        <f>IF(Verso!$B$14=Voies!$B357,1,0)</f>
        <v>0</v>
      </c>
      <c r="BF357" s="12">
        <f>IF(Verso!$B$15=Voies!$B357,1,0)</f>
        <v>0</v>
      </c>
      <c r="BG357" s="12">
        <f>IF(Verso!$B$16=Voies!$B357,1,0)</f>
        <v>0</v>
      </c>
      <c r="BH357" s="12">
        <f>IF(Verso!$B$17=Voies!$B357,1,0)</f>
        <v>0</v>
      </c>
      <c r="BI357" s="557">
        <f t="shared" si="38"/>
        <v>0</v>
      </c>
      <c r="BJ357" s="196" t="str">
        <f t="shared" si="39"/>
        <v/>
      </c>
      <c r="BK357" s="196" t="str">
        <f t="shared" si="40"/>
        <v/>
      </c>
      <c r="BL357" s="295" t="str">
        <f t="shared" si="41"/>
        <v/>
      </c>
    </row>
    <row r="358" spans="1:64" ht="47.25" customHeight="1" x14ac:dyDescent="0.25">
      <c r="A358" s="162" t="str">
        <f>IF(AND(Réputation&gt;Voies!E358-1,OR(C358=TRUE,Calculs!$I$8&gt;0),Air&gt;Voies!J358-1,Eau&gt;Voies!K358-1,Feu&gt;Voies!L358-1,Terre&gt;Voies!M358-1,Vide&gt;Voies!N358-1,Constitution&gt;Voies!O358-1,Volonté&gt;Voies!P358-1,Force&gt;Voies!Q358-1,Perception&gt;Voies!R358-1,Reflexes&gt;Voies!S358-1,Agilité&gt;Voies!T358-1,Intuition&gt;Voies!U358-1,Intelligence&gt;Voies!V358-1,Souillure&gt;Voies!W358-1,Honneur&gt;X358-1,Statut&gt;Y358-1,Gloire&gt;Z358-1,AV358=TRUE),Voies!B358,"")</f>
        <v/>
      </c>
      <c r="B358" s="162" t="s">
        <v>6068</v>
      </c>
      <c r="C358" s="162" t="b">
        <f>IF(Clan=Voies!D358,TRUE,FALSE)</f>
        <v>0</v>
      </c>
      <c r="D358" s="387" t="s">
        <v>176</v>
      </c>
      <c r="E358" s="13">
        <v>1</v>
      </c>
      <c r="F358" s="199">
        <v>1</v>
      </c>
      <c r="G358" s="13" t="s">
        <v>2049</v>
      </c>
      <c r="H358" s="219" t="s">
        <v>2824</v>
      </c>
      <c r="I358" s="129" t="str">
        <f t="shared" si="44"/>
        <v>Rien</v>
      </c>
      <c r="J358" s="146">
        <v>0</v>
      </c>
      <c r="K358" s="147">
        <v>0</v>
      </c>
      <c r="L358" s="148">
        <v>0</v>
      </c>
      <c r="M358" s="149">
        <v>0</v>
      </c>
      <c r="N358" s="150">
        <v>0</v>
      </c>
      <c r="O358" s="130">
        <v>0</v>
      </c>
      <c r="P358" s="130">
        <v>0</v>
      </c>
      <c r="Q358" s="130">
        <v>0</v>
      </c>
      <c r="R358" s="130">
        <v>0</v>
      </c>
      <c r="S358" s="130">
        <v>0</v>
      </c>
      <c r="T358" s="130">
        <v>0</v>
      </c>
      <c r="U358" s="130">
        <v>0</v>
      </c>
      <c r="V358" s="524">
        <v>0</v>
      </c>
      <c r="W358" s="130">
        <v>0</v>
      </c>
      <c r="X358" s="130">
        <v>0</v>
      </c>
      <c r="Y358" s="130">
        <v>0</v>
      </c>
      <c r="Z358" s="130">
        <v>0</v>
      </c>
      <c r="AA358" s="158" t="s">
        <v>2078</v>
      </c>
      <c r="AB358" s="158"/>
      <c r="AC358" s="158"/>
      <c r="AD358" s="158"/>
      <c r="AE358" s="158" t="b">
        <f>IF(AB358="",TRUE,IF(IF(AC358="",VLOOKUP(AB358,Calculs!$A$19:$S$425,19,FALSE),VLOOKUP(AC358,Calculs!$A$19:$S$425,19,FALSE))&gt;=AD358,TRUE,FALSE))</f>
        <v>1</v>
      </c>
      <c r="AF358" s="158"/>
      <c r="AG358" s="158"/>
      <c r="AH358" s="158"/>
      <c r="AI358" s="158" t="b">
        <f>IF(AF358="",TRUE,IF(IF(AG358="",VLOOKUP(AF358,Calculs!$A$19:$S$425,19,FALSE),VLOOKUP(AG358,Calculs!$A$19:$S$425,19,FALSE))&gt;=AH358,TRUE,FALSE))</f>
        <v>1</v>
      </c>
      <c r="AJ358" s="158"/>
      <c r="AK358" s="158"/>
      <c r="AL358" s="158"/>
      <c r="AM358" s="158" t="b">
        <f>IF(AJ358="",TRUE,IF(IF(AK358="",VLOOKUP(AJ358,Calculs!$A$19:$S$425,19,FALSE),VLOOKUP(AK358,Calculs!$A$19:$S$425,19,FALSE))&gt;=AL358,TRUE,FALSE))</f>
        <v>1</v>
      </c>
      <c r="AN358" s="158"/>
      <c r="AO358" s="158"/>
      <c r="AP358" s="158"/>
      <c r="AQ358" s="158" t="b">
        <f>IF(AN358="",TRUE,IF(IF(AO358="",VLOOKUP(AN358,Calculs!$A$19:$S$425,19,FALSE),VLOOKUP(AO358,Calculs!$A$19:$S$425,19,FALSE))&gt;=AP358,TRUE,FALSE))</f>
        <v>1</v>
      </c>
      <c r="AR358" s="158"/>
      <c r="AS358" s="158" t="b">
        <f>IF(AR358="",TRUE,IF(VLOOKUP(AR358,Calculs!$A$427:$G$738,7,FALSE)&gt;0,TRUE,FALSE))</f>
        <v>1</v>
      </c>
      <c r="AT358" s="158"/>
      <c r="AU358" s="158" t="b">
        <f>IF(AT358="",TRUE,IF(VLOOKUP(AT358,Calculs!$A$740:$G$912,7,FALSE)&gt;0,TRUE,FALSE))</f>
        <v>1</v>
      </c>
      <c r="AV358" s="158" t="b">
        <f t="shared" si="37"/>
        <v>1</v>
      </c>
      <c r="AW358" s="158" t="s">
        <v>2078</v>
      </c>
      <c r="AX358" s="162" t="s">
        <v>6061</v>
      </c>
      <c r="AY358" s="15">
        <v>98</v>
      </c>
      <c r="AZ358" s="555" t="s">
        <v>8553</v>
      </c>
      <c r="BA358" s="559">
        <f>IF(Verso!$B$10=Voies!$B358,1,0)</f>
        <v>0</v>
      </c>
      <c r="BB358" s="12">
        <f>IF(Verso!$B$11=Voies!$B358,1,0)</f>
        <v>0</v>
      </c>
      <c r="BC358" s="12">
        <f>IF(Verso!$B$12=Voies!$B358,1,0)</f>
        <v>0</v>
      </c>
      <c r="BD358" s="12">
        <f>IF(Verso!$B$13=Voies!$B358,1,0)</f>
        <v>0</v>
      </c>
      <c r="BE358" s="12">
        <f>IF(Verso!$B$14=Voies!$B358,1,0)</f>
        <v>0</v>
      </c>
      <c r="BF358" s="12">
        <f>IF(Verso!$B$15=Voies!$B358,1,0)</f>
        <v>0</v>
      </c>
      <c r="BG358" s="12">
        <f>IF(Verso!$B$16=Voies!$B358,1,0)</f>
        <v>0</v>
      </c>
      <c r="BH358" s="12">
        <f>IF(Verso!$B$17=Voies!$B358,1,0)</f>
        <v>0</v>
      </c>
      <c r="BI358" s="557">
        <f t="shared" si="38"/>
        <v>0</v>
      </c>
      <c r="BJ358" s="196" t="str">
        <f t="shared" si="39"/>
        <v/>
      </c>
      <c r="BK358" s="196" t="str">
        <f t="shared" si="40"/>
        <v/>
      </c>
      <c r="BL358" s="295" t="str">
        <f t="shared" si="41"/>
        <v/>
      </c>
    </row>
    <row r="359" spans="1:64" ht="47.25" customHeight="1" x14ac:dyDescent="0.25">
      <c r="A359" s="162" t="str">
        <f>IF(AND(Réputation&gt;Voies!E359-1,OR(C359=TRUE,Calculs!$I$8&gt;0),Air&gt;Voies!J359-1,Eau&gt;Voies!K359-1,Feu&gt;Voies!L359-1,Terre&gt;Voies!M359-1,Vide&gt;Voies!N359-1,Constitution&gt;Voies!O359-1,Volonté&gt;Voies!P359-1,Force&gt;Voies!Q359-1,Perception&gt;Voies!R359-1,Reflexes&gt;Voies!S359-1,Agilité&gt;Voies!T359-1,Intuition&gt;Voies!U359-1,Intelligence&gt;Voies!V359-1,Souillure&gt;Voies!W359-1,Honneur&gt;X359-1,Statut&gt;Y359-1,Gloire&gt;Z359-1,AV359=TRUE),Voies!B359,"")</f>
        <v/>
      </c>
      <c r="B359" s="162" t="s">
        <v>2366</v>
      </c>
      <c r="C359" s="162" t="b">
        <f>IF(Clan=Voies!D359,TRUE,FALSE)</f>
        <v>0</v>
      </c>
      <c r="D359" s="387" t="s">
        <v>176</v>
      </c>
      <c r="E359" s="13">
        <v>1</v>
      </c>
      <c r="F359" s="199">
        <v>1</v>
      </c>
      <c r="G359" s="199" t="s">
        <v>2049</v>
      </c>
      <c r="H359" s="219" t="s">
        <v>199</v>
      </c>
      <c r="I359" s="129" t="str">
        <f t="shared" si="44"/>
        <v>Rien</v>
      </c>
      <c r="J359" s="146">
        <v>0</v>
      </c>
      <c r="K359" s="147">
        <v>0</v>
      </c>
      <c r="L359" s="148">
        <v>0</v>
      </c>
      <c r="M359" s="149">
        <v>0</v>
      </c>
      <c r="N359" s="150">
        <v>0</v>
      </c>
      <c r="O359" s="130">
        <v>0</v>
      </c>
      <c r="P359" s="130">
        <v>0</v>
      </c>
      <c r="Q359" s="130">
        <v>0</v>
      </c>
      <c r="R359" s="130">
        <v>0</v>
      </c>
      <c r="S359" s="130">
        <v>0</v>
      </c>
      <c r="T359" s="130">
        <v>0</v>
      </c>
      <c r="U359" s="130">
        <v>0</v>
      </c>
      <c r="V359" s="524">
        <v>0</v>
      </c>
      <c r="W359" s="130">
        <v>0</v>
      </c>
      <c r="X359" s="130">
        <v>0</v>
      </c>
      <c r="Y359" s="130">
        <v>0</v>
      </c>
      <c r="Z359" s="130">
        <v>0</v>
      </c>
      <c r="AA359" s="158" t="s">
        <v>2078</v>
      </c>
      <c r="AB359" s="158"/>
      <c r="AC359" s="158"/>
      <c r="AD359" s="158"/>
      <c r="AE359" s="158" t="b">
        <f>IF(AB359="",TRUE,IF(IF(AC359="",VLOOKUP(AB359,Calculs!$A$19:$S$425,19,FALSE),VLOOKUP(AC359,Calculs!$A$19:$S$425,19,FALSE))&gt;=AD359,TRUE,FALSE))</f>
        <v>1</v>
      </c>
      <c r="AF359" s="158"/>
      <c r="AG359" s="158"/>
      <c r="AH359" s="158"/>
      <c r="AI359" s="158" t="b">
        <f>IF(AF359="",TRUE,IF(IF(AG359="",VLOOKUP(AF359,Calculs!$A$19:$S$425,19,FALSE),VLOOKUP(AG359,Calculs!$A$19:$S$425,19,FALSE))&gt;=AH359,TRUE,FALSE))</f>
        <v>1</v>
      </c>
      <c r="AJ359" s="158"/>
      <c r="AK359" s="158"/>
      <c r="AL359" s="158"/>
      <c r="AM359" s="158" t="b">
        <f>IF(AJ359="",TRUE,IF(IF(AK359="",VLOOKUP(AJ359,Calculs!$A$19:$S$425,19,FALSE),VLOOKUP(AK359,Calculs!$A$19:$S$425,19,FALSE))&gt;=AL359,TRUE,FALSE))</f>
        <v>1</v>
      </c>
      <c r="AN359" s="158"/>
      <c r="AO359" s="158"/>
      <c r="AP359" s="158"/>
      <c r="AQ359" s="158" t="b">
        <f>IF(AN359="",TRUE,IF(IF(AO359="",VLOOKUP(AN359,Calculs!$A$19:$S$425,19,FALSE),VLOOKUP(AO359,Calculs!$A$19:$S$425,19,FALSE))&gt;=AP359,TRUE,FALSE))</f>
        <v>1</v>
      </c>
      <c r="AR359" s="158"/>
      <c r="AS359" s="158" t="b">
        <f>IF(AR359="",TRUE,IF(VLOOKUP(AR359,Calculs!$A$427:$G$738,7,FALSE)&gt;0,TRUE,FALSE))</f>
        <v>1</v>
      </c>
      <c r="AT359" s="158"/>
      <c r="AU359" s="158" t="b">
        <f>IF(AT359="",TRUE,IF(VLOOKUP(AT359,Calculs!$A$740:$G$912,7,FALSE)&gt;0,TRUE,FALSE))</f>
        <v>1</v>
      </c>
      <c r="AV359" s="158" t="b">
        <f t="shared" si="37"/>
        <v>1</v>
      </c>
      <c r="AW359" s="158" t="s">
        <v>2078</v>
      </c>
      <c r="AX359" s="162" t="s">
        <v>143</v>
      </c>
      <c r="AY359" s="15">
        <v>115</v>
      </c>
      <c r="AZ359" s="555" t="s">
        <v>2371</v>
      </c>
      <c r="BA359" s="559">
        <f>IF(Verso!$B$10=Voies!$B359,1,0)</f>
        <v>0</v>
      </c>
      <c r="BB359" s="12">
        <f>IF(Verso!$B$11=Voies!$B359,1,0)</f>
        <v>0</v>
      </c>
      <c r="BC359" s="12">
        <f>IF(Verso!$B$12=Voies!$B359,1,0)</f>
        <v>0</v>
      </c>
      <c r="BD359" s="12">
        <f>IF(Verso!$B$13=Voies!$B359,1,0)</f>
        <v>0</v>
      </c>
      <c r="BE359" s="12">
        <f>IF(Verso!$B$14=Voies!$B359,1,0)</f>
        <v>0</v>
      </c>
      <c r="BF359" s="12">
        <f>IF(Verso!$B$15=Voies!$B359,1,0)</f>
        <v>0</v>
      </c>
      <c r="BG359" s="12">
        <f>IF(Verso!$B$16=Voies!$B359,1,0)</f>
        <v>0</v>
      </c>
      <c r="BH359" s="12">
        <f>IF(Verso!$B$17=Voies!$B359,1,0)</f>
        <v>0</v>
      </c>
      <c r="BI359" s="557">
        <f t="shared" si="38"/>
        <v>0</v>
      </c>
      <c r="BJ359" s="196" t="str">
        <f t="shared" si="39"/>
        <v/>
      </c>
      <c r="BK359" s="196" t="str">
        <f t="shared" si="40"/>
        <v/>
      </c>
      <c r="BL359" s="295" t="str">
        <f t="shared" si="41"/>
        <v/>
      </c>
    </row>
    <row r="360" spans="1:64" ht="47.25" customHeight="1" x14ac:dyDescent="0.25">
      <c r="A360" s="162" t="str">
        <f>IF(AND(Réputation&gt;Voies!E360-1,OR(C360=TRUE,Calculs!$I$8&gt;0),Air&gt;Voies!J360-1,Eau&gt;Voies!K360-1,Feu&gt;Voies!L360-1,Terre&gt;Voies!M360-1,Vide&gt;Voies!N360-1,Constitution&gt;Voies!O360-1,Volonté&gt;Voies!P360-1,Force&gt;Voies!Q360-1,Perception&gt;Voies!R360-1,Reflexes&gt;Voies!S360-1,Agilité&gt;Voies!T360-1,Intuition&gt;Voies!U360-1,Intelligence&gt;Voies!V360-1,Souillure&gt;Voies!W360-1,Honneur&gt;X360-1,Statut&gt;Y360-1,Gloire&gt;Z360-1,AV360=TRUE),Voies!B360,"")</f>
        <v/>
      </c>
      <c r="B360" s="162" t="s">
        <v>4817</v>
      </c>
      <c r="C360" s="162" t="b">
        <f>IF(Clan=Voies!D360,TRUE,FALSE)</f>
        <v>0</v>
      </c>
      <c r="D360" s="387" t="s">
        <v>176</v>
      </c>
      <c r="E360" s="13">
        <v>1</v>
      </c>
      <c r="F360" s="199">
        <v>1</v>
      </c>
      <c r="G360" s="13" t="s">
        <v>2049</v>
      </c>
      <c r="H360" s="219" t="s">
        <v>2661</v>
      </c>
      <c r="I360" s="129" t="str">
        <f t="shared" si="44"/>
        <v>Rien</v>
      </c>
      <c r="J360" s="146">
        <v>0</v>
      </c>
      <c r="K360" s="147">
        <v>0</v>
      </c>
      <c r="L360" s="148">
        <v>0</v>
      </c>
      <c r="M360" s="149">
        <v>0</v>
      </c>
      <c r="N360" s="150">
        <v>0</v>
      </c>
      <c r="O360" s="130">
        <v>0</v>
      </c>
      <c r="P360" s="130">
        <v>0</v>
      </c>
      <c r="Q360" s="130">
        <v>0</v>
      </c>
      <c r="R360" s="130">
        <v>0</v>
      </c>
      <c r="S360" s="130">
        <v>0</v>
      </c>
      <c r="T360" s="130">
        <v>0</v>
      </c>
      <c r="U360" s="130">
        <v>0</v>
      </c>
      <c r="V360" s="524">
        <v>0</v>
      </c>
      <c r="W360" s="130">
        <v>0</v>
      </c>
      <c r="X360" s="130">
        <v>0</v>
      </c>
      <c r="Y360" s="130">
        <v>0</v>
      </c>
      <c r="Z360" s="130">
        <v>0</v>
      </c>
      <c r="AA360" s="158" t="s">
        <v>2078</v>
      </c>
      <c r="AB360" s="158"/>
      <c r="AC360" s="158"/>
      <c r="AD360" s="158"/>
      <c r="AE360" s="158" t="b">
        <f>IF(AB360="",TRUE,IF(IF(AC360="",VLOOKUP(AB360,Calculs!$A$19:$S$425,19,FALSE),VLOOKUP(AC360,Calculs!$A$19:$S$425,19,FALSE))&gt;=AD360,TRUE,FALSE))</f>
        <v>1</v>
      </c>
      <c r="AF360" s="158"/>
      <c r="AG360" s="158"/>
      <c r="AH360" s="158"/>
      <c r="AI360" s="158" t="b">
        <f>IF(AF360="",TRUE,IF(IF(AG360="",VLOOKUP(AF360,Calculs!$A$19:$S$425,19,FALSE),VLOOKUP(AG360,Calculs!$A$19:$S$425,19,FALSE))&gt;=AH360,TRUE,FALSE))</f>
        <v>1</v>
      </c>
      <c r="AJ360" s="158"/>
      <c r="AK360" s="158"/>
      <c r="AL360" s="158"/>
      <c r="AM360" s="158" t="b">
        <f>IF(AJ360="",TRUE,IF(IF(AK360="",VLOOKUP(AJ360,Calculs!$A$19:$S$425,19,FALSE),VLOOKUP(AK360,Calculs!$A$19:$S$425,19,FALSE))&gt;=AL360,TRUE,FALSE))</f>
        <v>1</v>
      </c>
      <c r="AN360" s="158"/>
      <c r="AO360" s="158"/>
      <c r="AP360" s="158"/>
      <c r="AQ360" s="158" t="b">
        <f>IF(AN360="",TRUE,IF(IF(AO360="",VLOOKUP(AN360,Calculs!$A$19:$S$425,19,FALSE),VLOOKUP(AO360,Calculs!$A$19:$S$425,19,FALSE))&gt;=AP360,TRUE,FALSE))</f>
        <v>1</v>
      </c>
      <c r="AR360" s="158"/>
      <c r="AS360" s="158" t="b">
        <f>IF(AR360="",TRUE,IF(VLOOKUP(AR360,Calculs!$A$427:$G$738,7,FALSE)&gt;0,TRUE,FALSE))</f>
        <v>1</v>
      </c>
      <c r="AT360" s="158"/>
      <c r="AU360" s="158" t="b">
        <f>IF(AT360="",TRUE,IF(VLOOKUP(AT360,Calculs!$A$740:$G$912,7,FALSE)&gt;0,TRUE,FALSE))</f>
        <v>1</v>
      </c>
      <c r="AV360" s="158" t="b">
        <f t="shared" si="37"/>
        <v>1</v>
      </c>
      <c r="AW360" s="158" t="s">
        <v>2078</v>
      </c>
      <c r="AX360" s="162" t="s">
        <v>5202</v>
      </c>
      <c r="AY360" s="15">
        <v>171</v>
      </c>
      <c r="AZ360" s="555" t="str">
        <f>CONCATENATE("A moins que vous ne soyez surpris +",Air," à votre ND d'armure. Vous gagnez un bonus de +1g0 à vos jets d'attaque lorsque vous attaquez avec un jitte ou un sasumata.")</f>
        <v>A moins que vous ne soyez surpris +2 à votre ND d'armure. Vous gagnez un bonus de +1g0 à vos jets d'attaque lorsque vous attaquez avec un jitte ou un sasumata.</v>
      </c>
      <c r="BA360" s="559">
        <f>IF(Verso!$B$10=Voies!$B360,1,0)</f>
        <v>0</v>
      </c>
      <c r="BB360" s="12">
        <f>IF(Verso!$B$11=Voies!$B360,1,0)</f>
        <v>0</v>
      </c>
      <c r="BC360" s="12">
        <f>IF(Verso!$B$12=Voies!$B360,1,0)</f>
        <v>0</v>
      </c>
      <c r="BD360" s="12">
        <f>IF(Verso!$B$13=Voies!$B360,1,0)</f>
        <v>0</v>
      </c>
      <c r="BE360" s="12">
        <f>IF(Verso!$B$14=Voies!$B360,1,0)</f>
        <v>0</v>
      </c>
      <c r="BF360" s="12">
        <f>IF(Verso!$B$15=Voies!$B360,1,0)</f>
        <v>0</v>
      </c>
      <c r="BG360" s="12">
        <f>IF(Verso!$B$16=Voies!$B360,1,0)</f>
        <v>0</v>
      </c>
      <c r="BH360" s="12">
        <f>IF(Verso!$B$17=Voies!$B360,1,0)</f>
        <v>0</v>
      </c>
      <c r="BI360" s="557">
        <f t="shared" si="38"/>
        <v>0</v>
      </c>
      <c r="BJ360" s="196" t="str">
        <f t="shared" si="39"/>
        <v/>
      </c>
      <c r="BK360" s="196" t="str">
        <f t="shared" si="40"/>
        <v/>
      </c>
      <c r="BL360" s="295" t="str">
        <f t="shared" si="41"/>
        <v/>
      </c>
    </row>
    <row r="361" spans="1:64" ht="47.25" customHeight="1" x14ac:dyDescent="0.25">
      <c r="A361" s="162" t="str">
        <f>IF(AND(Réputation&gt;Voies!E361-1,OR(C361=TRUE,Calculs!$I$8&gt;0),Air&gt;Voies!J361-1,Eau&gt;Voies!K361-1,Feu&gt;Voies!L361-1,Terre&gt;Voies!M361-1,Vide&gt;Voies!N361-1,Constitution&gt;Voies!O361-1,Volonté&gt;Voies!P361-1,Force&gt;Voies!Q361-1,Perception&gt;Voies!R361-1,Reflexes&gt;Voies!S361-1,Agilité&gt;Voies!T361-1,Intuition&gt;Voies!U361-1,Intelligence&gt;Voies!V361-1,Souillure&gt;Voies!W361-1,Honneur&gt;X361-1,Statut&gt;Y361-1,Gloire&gt;Z361-1,AV361=TRUE),Voies!B361,"")</f>
        <v/>
      </c>
      <c r="B361" s="162" t="s">
        <v>2357</v>
      </c>
      <c r="C361" s="162" t="b">
        <f>IF(Clan=Voies!D361,TRUE,FALSE)</f>
        <v>0</v>
      </c>
      <c r="D361" s="387" t="s">
        <v>176</v>
      </c>
      <c r="E361" s="13">
        <v>1</v>
      </c>
      <c r="F361" s="199">
        <v>1</v>
      </c>
      <c r="G361" s="13" t="s">
        <v>2052</v>
      </c>
      <c r="H361" s="219" t="s">
        <v>196</v>
      </c>
      <c r="I361" s="129" t="str">
        <f t="shared" si="44"/>
        <v>Rien</v>
      </c>
      <c r="J361" s="146">
        <v>0</v>
      </c>
      <c r="K361" s="147">
        <v>0</v>
      </c>
      <c r="L361" s="148">
        <v>0</v>
      </c>
      <c r="M361" s="149">
        <v>0</v>
      </c>
      <c r="N361" s="150">
        <v>0</v>
      </c>
      <c r="O361" s="130">
        <v>0</v>
      </c>
      <c r="P361" s="130">
        <v>0</v>
      </c>
      <c r="Q361" s="130">
        <v>0</v>
      </c>
      <c r="R361" s="130">
        <v>0</v>
      </c>
      <c r="S361" s="130">
        <v>0</v>
      </c>
      <c r="T361" s="130">
        <v>0</v>
      </c>
      <c r="U361" s="130">
        <v>0</v>
      </c>
      <c r="V361" s="524">
        <v>0</v>
      </c>
      <c r="W361" s="130">
        <v>0</v>
      </c>
      <c r="X361" s="130">
        <v>0</v>
      </c>
      <c r="Y361" s="130">
        <v>0</v>
      </c>
      <c r="Z361" s="130">
        <v>0</v>
      </c>
      <c r="AA361" s="158" t="s">
        <v>2078</v>
      </c>
      <c r="AB361" s="158"/>
      <c r="AC361" s="158"/>
      <c r="AD361" s="158"/>
      <c r="AE361" s="158" t="b">
        <f>IF(AB361="",TRUE,IF(IF(AC361="",VLOOKUP(AB361,Calculs!$A$19:$S$425,19,FALSE),VLOOKUP(AC361,Calculs!$A$19:$S$425,19,FALSE))&gt;=AD361,TRUE,FALSE))</f>
        <v>1</v>
      </c>
      <c r="AF361" s="158"/>
      <c r="AG361" s="158"/>
      <c r="AH361" s="158"/>
      <c r="AI361" s="158" t="b">
        <f>IF(AF361="",TRUE,IF(IF(AG361="",VLOOKUP(AF361,Calculs!$A$19:$S$425,19,FALSE),VLOOKUP(AG361,Calculs!$A$19:$S$425,19,FALSE))&gt;=AH361,TRUE,FALSE))</f>
        <v>1</v>
      </c>
      <c r="AJ361" s="158"/>
      <c r="AK361" s="158"/>
      <c r="AL361" s="158"/>
      <c r="AM361" s="158" t="b">
        <f>IF(AJ361="",TRUE,IF(IF(AK361="",VLOOKUP(AJ361,Calculs!$A$19:$S$425,19,FALSE),VLOOKUP(AK361,Calculs!$A$19:$S$425,19,FALSE))&gt;=AL361,TRUE,FALSE))</f>
        <v>1</v>
      </c>
      <c r="AN361" s="158"/>
      <c r="AO361" s="158"/>
      <c r="AP361" s="158"/>
      <c r="AQ361" s="158" t="b">
        <f>IF(AN361="",TRUE,IF(IF(AO361="",VLOOKUP(AN361,Calculs!$A$19:$S$425,19,FALSE),VLOOKUP(AO361,Calculs!$A$19:$S$425,19,FALSE))&gt;=AP361,TRUE,FALSE))</f>
        <v>1</v>
      </c>
      <c r="AR361" s="158"/>
      <c r="AS361" s="158" t="b">
        <f>IF(AR361="",TRUE,IF(VLOOKUP(AR361,Calculs!$A$427:$G$738,7,FALSE)&gt;0,TRUE,FALSE))</f>
        <v>1</v>
      </c>
      <c r="AT361" s="158"/>
      <c r="AU361" s="158" t="b">
        <f>IF(AT361="",TRUE,IF(VLOOKUP(AT361,Calculs!$A$740:$G$912,7,FALSE)&gt;0,TRUE,FALSE))</f>
        <v>1</v>
      </c>
      <c r="AV361" s="158" t="b">
        <f t="shared" si="37"/>
        <v>1</v>
      </c>
      <c r="AW361" s="158" t="s">
        <v>2078</v>
      </c>
      <c r="AX361" s="162" t="s">
        <v>143</v>
      </c>
      <c r="AY361" s="15">
        <v>114</v>
      </c>
      <c r="AZ361" s="555" t="str">
        <f>CONCATENATE(IF(Honneur&gt;6,"AG aux Jets de Courtisan, Sincérité et Etiquette.","")," Jet d'Opposition en Courtisan(Manipulation)/Intuition vs. Etiquette(Courtoisie)/Intuition pour voir si votre cible a besoin d'aide.")</f>
        <v xml:space="preserve"> Jet d'Opposition en Courtisan(Manipulation)/Intuition vs. Etiquette(Courtoisie)/Intuition pour voir si votre cible a besoin d'aide.</v>
      </c>
      <c r="BA361" s="559">
        <f>IF(Verso!$B$10=Voies!$B361,1,0)</f>
        <v>0</v>
      </c>
      <c r="BB361" s="12">
        <f>IF(Verso!$B$11=Voies!$B361,1,0)</f>
        <v>0</v>
      </c>
      <c r="BC361" s="12">
        <f>IF(Verso!$B$12=Voies!$B361,1,0)</f>
        <v>0</v>
      </c>
      <c r="BD361" s="12">
        <f>IF(Verso!$B$13=Voies!$B361,1,0)</f>
        <v>0</v>
      </c>
      <c r="BE361" s="12">
        <f>IF(Verso!$B$14=Voies!$B361,1,0)</f>
        <v>0</v>
      </c>
      <c r="BF361" s="12">
        <f>IF(Verso!$B$15=Voies!$B361,1,0)</f>
        <v>0</v>
      </c>
      <c r="BG361" s="12">
        <f>IF(Verso!$B$16=Voies!$B361,1,0)</f>
        <v>0</v>
      </c>
      <c r="BH361" s="12">
        <f>IF(Verso!$B$17=Voies!$B361,1,0)</f>
        <v>0</v>
      </c>
      <c r="BI361" s="557">
        <f t="shared" si="38"/>
        <v>0</v>
      </c>
      <c r="BJ361" s="196" t="str">
        <f t="shared" si="39"/>
        <v/>
      </c>
      <c r="BK361" s="196" t="str">
        <f t="shared" si="40"/>
        <v/>
      </c>
      <c r="BL361" s="295" t="str">
        <f t="shared" si="41"/>
        <v/>
      </c>
    </row>
    <row r="362" spans="1:64" ht="47.25" customHeight="1" x14ac:dyDescent="0.25">
      <c r="A362" s="162" t="str">
        <f>IF(AND(Réputation&gt;Voies!E362-1,OR(C362=TRUE,Calculs!$I$8&gt;0),Air&gt;Voies!J362-1,Eau&gt;Voies!K362-1,Feu&gt;Voies!L362-1,Terre&gt;Voies!M362-1,Vide&gt;Voies!N362-1,Constitution&gt;Voies!O362-1,Volonté&gt;Voies!P362-1,Force&gt;Voies!Q362-1,Perception&gt;Voies!R362-1,Reflexes&gt;Voies!S362-1,Agilité&gt;Voies!T362-1,Intuition&gt;Voies!U362-1,Intelligence&gt;Voies!V362-1,Souillure&gt;Voies!W362-1,Honneur&gt;X362-1,Statut&gt;Y362-1,Gloire&gt;Z362-1,AV362=TRUE),Voies!B362,"")</f>
        <v/>
      </c>
      <c r="B362" s="162" t="s">
        <v>7830</v>
      </c>
      <c r="C362" s="162" t="b">
        <f>IF(Clan=Voies!D362,TRUE,FALSE)</f>
        <v>0</v>
      </c>
      <c r="D362" s="387" t="s">
        <v>176</v>
      </c>
      <c r="E362" s="13">
        <v>1</v>
      </c>
      <c r="F362" s="199">
        <v>1</v>
      </c>
      <c r="G362" s="13" t="s">
        <v>2052</v>
      </c>
      <c r="H362" s="162" t="s">
        <v>7794</v>
      </c>
      <c r="I362" s="129" t="str">
        <f t="shared" si="44"/>
        <v>Rien</v>
      </c>
      <c r="J362" s="146">
        <v>0</v>
      </c>
      <c r="K362" s="147">
        <v>0</v>
      </c>
      <c r="L362" s="148">
        <v>0</v>
      </c>
      <c r="M362" s="149">
        <v>0</v>
      </c>
      <c r="N362" s="150">
        <v>0</v>
      </c>
      <c r="O362" s="130">
        <v>0</v>
      </c>
      <c r="P362" s="130">
        <v>0</v>
      </c>
      <c r="Q362" s="130">
        <v>0</v>
      </c>
      <c r="R362" s="130">
        <v>0</v>
      </c>
      <c r="S362" s="130">
        <v>0</v>
      </c>
      <c r="T362" s="130">
        <v>0</v>
      </c>
      <c r="U362" s="130">
        <v>0</v>
      </c>
      <c r="V362" s="524">
        <v>0</v>
      </c>
      <c r="W362" s="130">
        <v>0</v>
      </c>
      <c r="X362" s="130">
        <v>0</v>
      </c>
      <c r="Y362" s="130">
        <v>0</v>
      </c>
      <c r="Z362" s="130">
        <v>0</v>
      </c>
      <c r="AA362" s="158" t="s">
        <v>2078</v>
      </c>
      <c r="AB362" s="158"/>
      <c r="AC362" s="158"/>
      <c r="AD362" s="158"/>
      <c r="AE362" s="158" t="b">
        <f>IF(AB362="",TRUE,IF(IF(AC362="",VLOOKUP(AB362,Calculs!$A$19:$S$425,19,FALSE),VLOOKUP(AC362,Calculs!$A$19:$S$425,19,FALSE))&gt;=AD362,TRUE,FALSE))</f>
        <v>1</v>
      </c>
      <c r="AF362" s="158"/>
      <c r="AG362" s="158"/>
      <c r="AH362" s="158"/>
      <c r="AI362" s="158" t="b">
        <f>IF(AF362="",TRUE,IF(IF(AG362="",VLOOKUP(AF362,Calculs!$A$19:$S$425,19,FALSE),VLOOKUP(AG362,Calculs!$A$19:$S$425,19,FALSE))&gt;=AH362,TRUE,FALSE))</f>
        <v>1</v>
      </c>
      <c r="AJ362" s="158"/>
      <c r="AK362" s="158"/>
      <c r="AL362" s="158"/>
      <c r="AM362" s="158" t="b">
        <f>IF(AJ362="",TRUE,IF(IF(AK362="",VLOOKUP(AJ362,Calculs!$A$19:$S$425,19,FALSE),VLOOKUP(AK362,Calculs!$A$19:$S$425,19,FALSE))&gt;=AL362,TRUE,FALSE))</f>
        <v>1</v>
      </c>
      <c r="AN362" s="158"/>
      <c r="AO362" s="158"/>
      <c r="AP362" s="158"/>
      <c r="AQ362" s="158" t="b">
        <f>IF(AN362="",TRUE,IF(IF(AO362="",VLOOKUP(AN362,Calculs!$A$19:$S$425,19,FALSE),VLOOKUP(AO362,Calculs!$A$19:$S$425,19,FALSE))&gt;=AP362,TRUE,FALSE))</f>
        <v>1</v>
      </c>
      <c r="AR362" s="158"/>
      <c r="AS362" s="158" t="b">
        <f>IF(AR362="",TRUE,IF(VLOOKUP(AR362,Calculs!$A$427:$G$738,7,FALSE)&gt;0,TRUE,FALSE))</f>
        <v>1</v>
      </c>
      <c r="AT362" s="158"/>
      <c r="AU362" s="158" t="b">
        <f>IF(AT362="",TRUE,IF(VLOOKUP(AT362,Calculs!$A$740:$G$912,7,FALSE)&gt;0,TRUE,FALSE))</f>
        <v>1</v>
      </c>
      <c r="AV362" s="158" t="b">
        <f t="shared" si="37"/>
        <v>1</v>
      </c>
      <c r="AW362" s="158" t="s">
        <v>2078</v>
      </c>
      <c r="AX362" s="162" t="s">
        <v>7226</v>
      </c>
      <c r="AY362" s="15">
        <v>68</v>
      </c>
      <c r="AZ362" s="555" t="s">
        <v>7834</v>
      </c>
      <c r="BA362" s="559">
        <f>IF(Verso!$B$10=Voies!$B362,1,0)</f>
        <v>0</v>
      </c>
      <c r="BB362" s="12">
        <f>IF(Verso!$B$11=Voies!$B362,1,0)</f>
        <v>0</v>
      </c>
      <c r="BC362" s="12">
        <f>IF(Verso!$B$12=Voies!$B362,1,0)</f>
        <v>0</v>
      </c>
      <c r="BD362" s="12">
        <f>IF(Verso!$B$13=Voies!$B362,1,0)</f>
        <v>0</v>
      </c>
      <c r="BE362" s="12">
        <f>IF(Verso!$B$14=Voies!$B362,1,0)</f>
        <v>0</v>
      </c>
      <c r="BF362" s="12">
        <f>IF(Verso!$B$15=Voies!$B362,1,0)</f>
        <v>0</v>
      </c>
      <c r="BG362" s="12">
        <f>IF(Verso!$B$16=Voies!$B362,1,0)</f>
        <v>0</v>
      </c>
      <c r="BH362" s="12">
        <f>IF(Verso!$B$17=Voies!$B362,1,0)</f>
        <v>0</v>
      </c>
      <c r="BI362" s="557">
        <f t="shared" si="38"/>
        <v>0</v>
      </c>
      <c r="BJ362" s="196" t="str">
        <f t="shared" si="39"/>
        <v/>
      </c>
      <c r="BK362" s="196" t="str">
        <f t="shared" si="40"/>
        <v/>
      </c>
      <c r="BL362" s="295" t="str">
        <f t="shared" si="41"/>
        <v/>
      </c>
    </row>
    <row r="363" spans="1:64" ht="47.25" customHeight="1" x14ac:dyDescent="0.25">
      <c r="A363" s="162" t="str">
        <f>IF(AND(Réputation&gt;Voies!E363-1,OR(C363=TRUE,Calculs!$I$8&gt;0),Air&gt;Voies!J363-1,Eau&gt;Voies!K363-1,Feu&gt;Voies!L363-1,Terre&gt;Voies!M363-1,Vide&gt;Voies!N363-1,Constitution&gt;Voies!O363-1,Volonté&gt;Voies!P363-1,Force&gt;Voies!Q363-1,Perception&gt;Voies!R363-1,Reflexes&gt;Voies!S363-1,Agilité&gt;Voies!T363-1,Intuition&gt;Voies!U363-1,Intelligence&gt;Voies!V363-1,Souillure&gt;Voies!W363-1,Honneur&gt;X363-1,Statut&gt;Y363-1,Gloire&gt;Z363-1,AV363=TRUE),Voies!B363,"")</f>
        <v/>
      </c>
      <c r="B363" s="162" t="s">
        <v>2351</v>
      </c>
      <c r="C363" s="162" t="b">
        <f>IF(Clan=Voies!D363,TRUE,FALSE)</f>
        <v>0</v>
      </c>
      <c r="D363" s="387" t="s">
        <v>176</v>
      </c>
      <c r="E363" s="13">
        <v>1</v>
      </c>
      <c r="F363" s="199">
        <v>1</v>
      </c>
      <c r="G363" s="199" t="s">
        <v>2048</v>
      </c>
      <c r="H363" s="219" t="s">
        <v>309</v>
      </c>
      <c r="I363" s="129" t="str">
        <f t="shared" si="44"/>
        <v>Rien</v>
      </c>
      <c r="J363" s="146">
        <v>0</v>
      </c>
      <c r="K363" s="147">
        <v>0</v>
      </c>
      <c r="L363" s="148">
        <v>0</v>
      </c>
      <c r="M363" s="149">
        <v>0</v>
      </c>
      <c r="N363" s="150">
        <v>0</v>
      </c>
      <c r="O363" s="130">
        <v>0</v>
      </c>
      <c r="P363" s="130">
        <v>0</v>
      </c>
      <c r="Q363" s="130">
        <v>0</v>
      </c>
      <c r="R363" s="130">
        <v>0</v>
      </c>
      <c r="S363" s="130">
        <v>0</v>
      </c>
      <c r="T363" s="130">
        <v>0</v>
      </c>
      <c r="U363" s="130">
        <v>0</v>
      </c>
      <c r="V363" s="524">
        <v>0</v>
      </c>
      <c r="W363" s="130">
        <v>0</v>
      </c>
      <c r="X363" s="130">
        <v>0</v>
      </c>
      <c r="Y363" s="130">
        <v>0</v>
      </c>
      <c r="Z363" s="130">
        <v>0</v>
      </c>
      <c r="AA363" s="158" t="s">
        <v>2078</v>
      </c>
      <c r="AB363" s="158"/>
      <c r="AC363" s="158"/>
      <c r="AD363" s="158"/>
      <c r="AE363" s="158" t="b">
        <f>IF(AB363="",TRUE,IF(IF(AC363="",VLOOKUP(AB363,Calculs!$A$19:$S$425,19,FALSE),VLOOKUP(AC363,Calculs!$A$19:$S$425,19,FALSE))&gt;=AD363,TRUE,FALSE))</f>
        <v>1</v>
      </c>
      <c r="AF363" s="158"/>
      <c r="AG363" s="158"/>
      <c r="AH363" s="158"/>
      <c r="AI363" s="158" t="b">
        <f>IF(AF363="",TRUE,IF(IF(AG363="",VLOOKUP(AF363,Calculs!$A$19:$S$425,19,FALSE),VLOOKUP(AG363,Calculs!$A$19:$S$425,19,FALSE))&gt;=AH363,TRUE,FALSE))</f>
        <v>1</v>
      </c>
      <c r="AJ363" s="158"/>
      <c r="AK363" s="158"/>
      <c r="AL363" s="158"/>
      <c r="AM363" s="158" t="b">
        <f>IF(AJ363="",TRUE,IF(IF(AK363="",VLOOKUP(AJ363,Calculs!$A$19:$S$425,19,FALSE),VLOOKUP(AK363,Calculs!$A$19:$S$425,19,FALSE))&gt;=AL363,TRUE,FALSE))</f>
        <v>1</v>
      </c>
      <c r="AN363" s="158"/>
      <c r="AO363" s="158"/>
      <c r="AP363" s="158"/>
      <c r="AQ363" s="158" t="b">
        <f>IF(AN363="",TRUE,IF(IF(AO363="",VLOOKUP(AN363,Calculs!$A$19:$S$425,19,FALSE),VLOOKUP(AO363,Calculs!$A$19:$S$425,19,FALSE))&gt;=AP363,TRUE,FALSE))</f>
        <v>1</v>
      </c>
      <c r="AR363" s="158"/>
      <c r="AS363" s="158" t="b">
        <f>IF(AR363="",TRUE,IF(VLOOKUP(AR363,Calculs!$A$427:$G$738,7,FALSE)&gt;0,TRUE,FALSE))</f>
        <v>1</v>
      </c>
      <c r="AT363" s="158"/>
      <c r="AU363" s="158" t="b">
        <f>IF(AT363="",TRUE,IF(VLOOKUP(AT363,Calculs!$A$740:$G$912,7,FALSE)&gt;0,TRUE,FALSE))</f>
        <v>1</v>
      </c>
      <c r="AV363" s="158" t="b">
        <f t="shared" si="37"/>
        <v>1</v>
      </c>
      <c r="AW363" s="158" t="s">
        <v>2078</v>
      </c>
      <c r="AX363" s="162" t="s">
        <v>143</v>
      </c>
      <c r="AY363" s="15">
        <v>114</v>
      </c>
      <c r="AZ363" s="555" t="s">
        <v>8376</v>
      </c>
      <c r="BA363" s="559">
        <f>IF(Verso!$B$10=Voies!$B363,1,0)</f>
        <v>0</v>
      </c>
      <c r="BB363" s="12">
        <f>IF(Verso!$B$11=Voies!$B363,1,0)</f>
        <v>0</v>
      </c>
      <c r="BC363" s="12">
        <f>IF(Verso!$B$12=Voies!$B363,1,0)</f>
        <v>0</v>
      </c>
      <c r="BD363" s="12">
        <f>IF(Verso!$B$13=Voies!$B363,1,0)</f>
        <v>0</v>
      </c>
      <c r="BE363" s="12">
        <f>IF(Verso!$B$14=Voies!$B363,1,0)</f>
        <v>0</v>
      </c>
      <c r="BF363" s="12">
        <f>IF(Verso!$B$15=Voies!$B363,1,0)</f>
        <v>0</v>
      </c>
      <c r="BG363" s="12">
        <f>IF(Verso!$B$16=Voies!$B363,1,0)</f>
        <v>0</v>
      </c>
      <c r="BH363" s="12">
        <f>IF(Verso!$B$17=Voies!$B363,1,0)</f>
        <v>0</v>
      </c>
      <c r="BI363" s="557">
        <f t="shared" si="38"/>
        <v>0</v>
      </c>
      <c r="BJ363" s="196" t="str">
        <f t="shared" si="39"/>
        <v/>
      </c>
      <c r="BK363" s="196" t="str">
        <f t="shared" si="40"/>
        <v/>
      </c>
      <c r="BL363" s="295" t="str">
        <f t="shared" si="41"/>
        <v/>
      </c>
    </row>
    <row r="364" spans="1:64" ht="47.25" customHeight="1" x14ac:dyDescent="0.25">
      <c r="A364" s="162" t="str">
        <f>IF(AND(Réputation&gt;Voies!E364-1,OR(C364=TRUE,Calculs!$I$8&gt;0),Air&gt;Voies!J364-1,Eau&gt;Voies!K364-1,Feu&gt;Voies!L364-1,Terre&gt;Voies!M364-1,Vide&gt;Voies!N364-1,Constitution&gt;Voies!O364-1,Volonté&gt;Voies!P364-1,Force&gt;Voies!Q364-1,Perception&gt;Voies!R364-1,Reflexes&gt;Voies!S364-1,Agilité&gt;Voies!T364-1,Intuition&gt;Voies!U364-1,Intelligence&gt;Voies!V364-1,Souillure&gt;Voies!W364-1,Honneur&gt;X364-1,Statut&gt;Y364-1,Gloire&gt;Z364-1,AV364=TRUE),Voies!B364,"")</f>
        <v/>
      </c>
      <c r="B364" s="162" t="s">
        <v>6054</v>
      </c>
      <c r="C364" s="162" t="b">
        <f>IF(Clan=Voies!D364,TRUE,FALSE)</f>
        <v>0</v>
      </c>
      <c r="D364" s="387" t="s">
        <v>176</v>
      </c>
      <c r="E364" s="13">
        <v>2</v>
      </c>
      <c r="F364" s="199">
        <v>2</v>
      </c>
      <c r="G364" s="199" t="s">
        <v>2057</v>
      </c>
      <c r="H364" s="219" t="s">
        <v>6052</v>
      </c>
      <c r="I364" s="129" t="str">
        <f t="shared" si="44"/>
        <v>Rien</v>
      </c>
      <c r="J364" s="146">
        <v>0</v>
      </c>
      <c r="K364" s="147">
        <v>0</v>
      </c>
      <c r="L364" s="148">
        <v>0</v>
      </c>
      <c r="M364" s="149">
        <v>0</v>
      </c>
      <c r="N364" s="150">
        <v>0</v>
      </c>
      <c r="O364" s="130">
        <v>0</v>
      </c>
      <c r="P364" s="130">
        <v>0</v>
      </c>
      <c r="Q364" s="130">
        <v>0</v>
      </c>
      <c r="R364" s="130">
        <v>0</v>
      </c>
      <c r="S364" s="130">
        <v>0</v>
      </c>
      <c r="T364" s="130">
        <v>0</v>
      </c>
      <c r="U364" s="130">
        <v>0</v>
      </c>
      <c r="V364" s="524">
        <v>0</v>
      </c>
      <c r="W364" s="130">
        <v>0</v>
      </c>
      <c r="X364" s="130">
        <v>0</v>
      </c>
      <c r="Y364" s="130">
        <v>0</v>
      </c>
      <c r="Z364" s="130">
        <v>0</v>
      </c>
      <c r="AA364" s="158" t="s">
        <v>2078</v>
      </c>
      <c r="AB364" s="158"/>
      <c r="AC364" s="158"/>
      <c r="AD364" s="158"/>
      <c r="AE364" s="158" t="b">
        <f>IF(AB364="",TRUE,IF(IF(AC364="",VLOOKUP(AB364,Calculs!$A$19:$S$425,19,FALSE),VLOOKUP(AC364,Calculs!$A$19:$S$425,19,FALSE))&gt;=AD364,TRUE,FALSE))</f>
        <v>1</v>
      </c>
      <c r="AF364" s="158"/>
      <c r="AG364" s="158"/>
      <c r="AH364" s="158"/>
      <c r="AI364" s="158" t="b">
        <f>IF(AF364="",TRUE,IF(IF(AG364="",VLOOKUP(AF364,Calculs!$A$19:$S$425,19,FALSE),VLOOKUP(AG364,Calculs!$A$19:$S$425,19,FALSE))&gt;=AH364,TRUE,FALSE))</f>
        <v>1</v>
      </c>
      <c r="AJ364" s="158"/>
      <c r="AK364" s="158"/>
      <c r="AL364" s="158"/>
      <c r="AM364" s="158" t="b">
        <f>IF(AJ364="",TRUE,IF(IF(AK364="",VLOOKUP(AJ364,Calculs!$A$19:$S$425,19,FALSE),VLOOKUP(AK364,Calculs!$A$19:$S$425,19,FALSE))&gt;=AL364,TRUE,FALSE))</f>
        <v>1</v>
      </c>
      <c r="AN364" s="158"/>
      <c r="AO364" s="158"/>
      <c r="AP364" s="158"/>
      <c r="AQ364" s="158" t="b">
        <f>IF(AN364="",TRUE,IF(IF(AO364="",VLOOKUP(AN364,Calculs!$A$19:$S$425,19,FALSE),VLOOKUP(AO364,Calculs!$A$19:$S$425,19,FALSE))&gt;=AP364,TRUE,FALSE))</f>
        <v>1</v>
      </c>
      <c r="AR364" s="158"/>
      <c r="AS364" s="158" t="b">
        <f>IF(AR364="",TRUE,IF(VLOOKUP(AR364,Calculs!$A$427:$G$738,7,FALSE)&gt;0,TRUE,FALSE))</f>
        <v>1</v>
      </c>
      <c r="AT364" s="158"/>
      <c r="AU364" s="158" t="b">
        <f>IF(AT364="",TRUE,IF(VLOOKUP(AT364,Calculs!$A$740:$G$912,7,FALSE)&gt;0,TRUE,FALSE))</f>
        <v>1</v>
      </c>
      <c r="AV364" s="158" t="b">
        <f t="shared" si="37"/>
        <v>1</v>
      </c>
      <c r="AW364" s="158" t="s">
        <v>2078</v>
      </c>
      <c r="AX364" s="162" t="s">
        <v>6061</v>
      </c>
      <c r="AY364" s="15">
        <v>101</v>
      </c>
      <c r="AZ364" s="555" t="s">
        <v>8554</v>
      </c>
      <c r="BA364" s="559">
        <f>IF(Verso!$B$10=Voies!$B364,1,0)</f>
        <v>0</v>
      </c>
      <c r="BB364" s="12">
        <f>IF(Verso!$B$11=Voies!$B364,1,0)</f>
        <v>0</v>
      </c>
      <c r="BC364" s="12">
        <f>IF(Verso!$B$12=Voies!$B364,1,0)</f>
        <v>0</v>
      </c>
      <c r="BD364" s="12">
        <f>IF(Verso!$B$13=Voies!$B364,1,0)</f>
        <v>0</v>
      </c>
      <c r="BE364" s="12">
        <f>IF(Verso!$B$14=Voies!$B364,1,0)</f>
        <v>0</v>
      </c>
      <c r="BF364" s="12">
        <f>IF(Verso!$B$15=Voies!$B364,1,0)</f>
        <v>0</v>
      </c>
      <c r="BG364" s="12">
        <f>IF(Verso!$B$16=Voies!$B364,1,0)</f>
        <v>0</v>
      </c>
      <c r="BH364" s="12">
        <f>IF(Verso!$B$17=Voies!$B364,1,0)</f>
        <v>0</v>
      </c>
      <c r="BI364" s="557">
        <f t="shared" si="38"/>
        <v>0</v>
      </c>
      <c r="BJ364" s="196" t="str">
        <f t="shared" si="39"/>
        <v/>
      </c>
      <c r="BK364" s="196" t="str">
        <f t="shared" si="40"/>
        <v/>
      </c>
      <c r="BL364" s="295" t="str">
        <f t="shared" si="41"/>
        <v/>
      </c>
    </row>
    <row r="365" spans="1:64" ht="47.25" customHeight="1" x14ac:dyDescent="0.25">
      <c r="A365" s="162" t="str">
        <f>IF(AND(Réputation&gt;Voies!E365-1,OR(C365=TRUE,Calculs!$I$8&gt;0),Air&gt;Voies!J365-1,Eau&gt;Voies!K365-1,Feu&gt;Voies!L365-1,Terre&gt;Voies!M365-1,Vide&gt;Voies!N365-1,Constitution&gt;Voies!O365-1,Volonté&gt;Voies!P365-1,Force&gt;Voies!Q365-1,Perception&gt;Voies!R365-1,Reflexes&gt;Voies!S365-1,Agilité&gt;Voies!T365-1,Intuition&gt;Voies!U365-1,Intelligence&gt;Voies!V365-1,Souillure&gt;Voies!W365-1,Honneur&gt;X365-1,Statut&gt;Y365-1,Gloire&gt;Z365-1,AV365=TRUE),Voies!B365,"")</f>
        <v/>
      </c>
      <c r="B365" s="162" t="s">
        <v>2342</v>
      </c>
      <c r="C365" s="162" t="b">
        <f>IF(Clan=Voies!D365,TRUE,FALSE)</f>
        <v>0</v>
      </c>
      <c r="D365" s="387" t="s">
        <v>176</v>
      </c>
      <c r="E365" s="13">
        <v>2</v>
      </c>
      <c r="F365" s="199">
        <v>2</v>
      </c>
      <c r="G365" s="199" t="s">
        <v>2049</v>
      </c>
      <c r="H365" s="219" t="s">
        <v>198</v>
      </c>
      <c r="I365" s="129" t="str">
        <f t="shared" si="44"/>
        <v>Rien</v>
      </c>
      <c r="J365" s="146">
        <v>0</v>
      </c>
      <c r="K365" s="147">
        <v>0</v>
      </c>
      <c r="L365" s="148">
        <v>0</v>
      </c>
      <c r="M365" s="149">
        <v>0</v>
      </c>
      <c r="N365" s="150">
        <v>0</v>
      </c>
      <c r="O365" s="130">
        <v>0</v>
      </c>
      <c r="P365" s="130">
        <v>0</v>
      </c>
      <c r="Q365" s="130">
        <v>0</v>
      </c>
      <c r="R365" s="130">
        <v>0</v>
      </c>
      <c r="S365" s="130">
        <v>0</v>
      </c>
      <c r="T365" s="130">
        <v>0</v>
      </c>
      <c r="U365" s="130">
        <v>0</v>
      </c>
      <c r="V365" s="524">
        <v>0</v>
      </c>
      <c r="W365" s="130">
        <v>0</v>
      </c>
      <c r="X365" s="130">
        <v>0</v>
      </c>
      <c r="Y365" s="130">
        <v>0</v>
      </c>
      <c r="Z365" s="130">
        <v>0</v>
      </c>
      <c r="AA365" s="158" t="s">
        <v>2078</v>
      </c>
      <c r="AB365" s="158"/>
      <c r="AC365" s="158"/>
      <c r="AD365" s="158"/>
      <c r="AE365" s="158" t="b">
        <f>IF(AB365="",TRUE,IF(IF(AC365="",VLOOKUP(AB365,Calculs!$A$19:$S$425,19,FALSE),VLOOKUP(AC365,Calculs!$A$19:$S$425,19,FALSE))&gt;=AD365,TRUE,FALSE))</f>
        <v>1</v>
      </c>
      <c r="AF365" s="158"/>
      <c r="AG365" s="158"/>
      <c r="AH365" s="158"/>
      <c r="AI365" s="158" t="b">
        <f>IF(AF365="",TRUE,IF(IF(AG365="",VLOOKUP(AF365,Calculs!$A$19:$S$425,19,FALSE),VLOOKUP(AG365,Calculs!$A$19:$S$425,19,FALSE))&gt;=AH365,TRUE,FALSE))</f>
        <v>1</v>
      </c>
      <c r="AJ365" s="158"/>
      <c r="AK365" s="158"/>
      <c r="AL365" s="158"/>
      <c r="AM365" s="158" t="b">
        <f>IF(AJ365="",TRUE,IF(IF(AK365="",VLOOKUP(AJ365,Calculs!$A$19:$S$425,19,FALSE),VLOOKUP(AK365,Calculs!$A$19:$S$425,19,FALSE))&gt;=AL365,TRUE,FALSE))</f>
        <v>1</v>
      </c>
      <c r="AN365" s="158"/>
      <c r="AO365" s="158"/>
      <c r="AP365" s="158"/>
      <c r="AQ365" s="158" t="b">
        <f>IF(AN365="",TRUE,IF(IF(AO365="",VLOOKUP(AN365,Calculs!$A$19:$S$425,19,FALSE),VLOOKUP(AO365,Calculs!$A$19:$S$425,19,FALSE))&gt;=AP365,TRUE,FALSE))</f>
        <v>1</v>
      </c>
      <c r="AR365" s="158"/>
      <c r="AS365" s="158" t="b">
        <f>IF(AR365="",TRUE,IF(VLOOKUP(AR365,Calculs!$A$427:$G$738,7,FALSE)&gt;0,TRUE,FALSE))</f>
        <v>1</v>
      </c>
      <c r="AT365" s="158"/>
      <c r="AU365" s="158" t="b">
        <f>IF(AT365="",TRUE,IF(VLOOKUP(AT365,Calculs!$A$740:$G$912,7,FALSE)&gt;0,TRUE,FALSE))</f>
        <v>1</v>
      </c>
      <c r="AV365" s="158" t="b">
        <f t="shared" si="37"/>
        <v>1</v>
      </c>
      <c r="AW365" s="158" t="s">
        <v>2078</v>
      </c>
      <c r="AX365" s="162" t="s">
        <v>143</v>
      </c>
      <c r="AY365" s="15">
        <v>113</v>
      </c>
      <c r="AZ365" s="566" t="s">
        <v>2348</v>
      </c>
      <c r="BA365" s="559">
        <f>IF(Verso!$B$10=Voies!$B365,1,0)</f>
        <v>0</v>
      </c>
      <c r="BB365" s="12">
        <f>IF(Verso!$B$11=Voies!$B365,1,0)</f>
        <v>0</v>
      </c>
      <c r="BC365" s="12">
        <f>IF(Verso!$B$12=Voies!$B365,1,0)</f>
        <v>0</v>
      </c>
      <c r="BD365" s="12">
        <f>IF(Verso!$B$13=Voies!$B365,1,0)</f>
        <v>0</v>
      </c>
      <c r="BE365" s="12">
        <f>IF(Verso!$B$14=Voies!$B365,1,0)</f>
        <v>0</v>
      </c>
      <c r="BF365" s="12">
        <f>IF(Verso!$B$15=Voies!$B365,1,0)</f>
        <v>0</v>
      </c>
      <c r="BG365" s="12">
        <f>IF(Verso!$B$16=Voies!$B365,1,0)</f>
        <v>0</v>
      </c>
      <c r="BH365" s="12">
        <f>IF(Verso!$B$17=Voies!$B365,1,0)</f>
        <v>0</v>
      </c>
      <c r="BI365" s="557">
        <f t="shared" si="38"/>
        <v>0</v>
      </c>
      <c r="BJ365" s="196" t="str">
        <f t="shared" si="39"/>
        <v/>
      </c>
      <c r="BK365" s="196" t="str">
        <f t="shared" si="40"/>
        <v/>
      </c>
      <c r="BL365" s="295" t="str">
        <f t="shared" si="41"/>
        <v/>
      </c>
    </row>
    <row r="366" spans="1:64" ht="47.25" customHeight="1" x14ac:dyDescent="0.25">
      <c r="A366" s="162" t="str">
        <f>IF(AND(Réputation&gt;Voies!E366-1,OR(C366=TRUE,Calculs!$I$8&gt;0),Air&gt;Voies!J366-1,Eau&gt;Voies!K366-1,Feu&gt;Voies!L366-1,Terre&gt;Voies!M366-1,Vide&gt;Voies!N366-1,Constitution&gt;Voies!O366-1,Volonté&gt;Voies!P366-1,Force&gt;Voies!Q366-1,Perception&gt;Voies!R366-1,Reflexes&gt;Voies!S366-1,Agilité&gt;Voies!T366-1,Intuition&gt;Voies!U366-1,Intelligence&gt;Voies!V366-1,Souillure&gt;Voies!W366-1,Honneur&gt;X366-1,Statut&gt;Y366-1,Gloire&gt;Z366-1,AV366=TRUE),Voies!B366,"")</f>
        <v/>
      </c>
      <c r="B366" s="162" t="s">
        <v>6067</v>
      </c>
      <c r="C366" s="162" t="b">
        <f>IF(Clan=Voies!D366,TRUE,FALSE)</f>
        <v>0</v>
      </c>
      <c r="D366" s="387" t="s">
        <v>176</v>
      </c>
      <c r="E366" s="13">
        <v>2</v>
      </c>
      <c r="F366" s="199">
        <v>2</v>
      </c>
      <c r="G366" s="13" t="s">
        <v>2049</v>
      </c>
      <c r="H366" s="219" t="s">
        <v>2824</v>
      </c>
      <c r="I366" s="129" t="str">
        <f t="shared" si="44"/>
        <v>Rien</v>
      </c>
      <c r="J366" s="146">
        <v>0</v>
      </c>
      <c r="K366" s="147">
        <v>0</v>
      </c>
      <c r="L366" s="148">
        <v>0</v>
      </c>
      <c r="M366" s="149">
        <v>0</v>
      </c>
      <c r="N366" s="150">
        <v>0</v>
      </c>
      <c r="O366" s="130">
        <v>0</v>
      </c>
      <c r="P366" s="130">
        <v>0</v>
      </c>
      <c r="Q366" s="130">
        <v>0</v>
      </c>
      <c r="R366" s="130">
        <v>0</v>
      </c>
      <c r="S366" s="130">
        <v>0</v>
      </c>
      <c r="T366" s="130">
        <v>0</v>
      </c>
      <c r="U366" s="130">
        <v>0</v>
      </c>
      <c r="V366" s="524">
        <v>0</v>
      </c>
      <c r="W366" s="130">
        <v>0</v>
      </c>
      <c r="X366" s="130">
        <v>0</v>
      </c>
      <c r="Y366" s="130">
        <v>0</v>
      </c>
      <c r="Z366" s="130">
        <v>0</v>
      </c>
      <c r="AA366" s="158" t="s">
        <v>2078</v>
      </c>
      <c r="AB366" s="158"/>
      <c r="AC366" s="158"/>
      <c r="AD366" s="158"/>
      <c r="AE366" s="158" t="b">
        <f>IF(AB366="",TRUE,IF(IF(AC366="",VLOOKUP(AB366,Calculs!$A$19:$S$425,19,FALSE),VLOOKUP(AC366,Calculs!$A$19:$S$425,19,FALSE))&gt;=AD366,TRUE,FALSE))</f>
        <v>1</v>
      </c>
      <c r="AF366" s="158"/>
      <c r="AG366" s="158"/>
      <c r="AH366" s="158"/>
      <c r="AI366" s="158" t="b">
        <f>IF(AF366="",TRUE,IF(IF(AG366="",VLOOKUP(AF366,Calculs!$A$19:$S$425,19,FALSE),VLOOKUP(AG366,Calculs!$A$19:$S$425,19,FALSE))&gt;=AH366,TRUE,FALSE))</f>
        <v>1</v>
      </c>
      <c r="AJ366" s="158"/>
      <c r="AK366" s="158"/>
      <c r="AL366" s="158"/>
      <c r="AM366" s="158" t="b">
        <f>IF(AJ366="",TRUE,IF(IF(AK366="",VLOOKUP(AJ366,Calculs!$A$19:$S$425,19,FALSE),VLOOKUP(AK366,Calculs!$A$19:$S$425,19,FALSE))&gt;=AL366,TRUE,FALSE))</f>
        <v>1</v>
      </c>
      <c r="AN366" s="158"/>
      <c r="AO366" s="158"/>
      <c r="AP366" s="158"/>
      <c r="AQ366" s="158" t="b">
        <f>IF(AN366="",TRUE,IF(IF(AO366="",VLOOKUP(AN366,Calculs!$A$19:$S$425,19,FALSE),VLOOKUP(AO366,Calculs!$A$19:$S$425,19,FALSE))&gt;=AP366,TRUE,FALSE))</f>
        <v>1</v>
      </c>
      <c r="AR366" s="158"/>
      <c r="AS366" s="158" t="b">
        <f>IF(AR366="",TRUE,IF(VLOOKUP(AR366,Calculs!$A$427:$G$738,7,FALSE)&gt;0,TRUE,FALSE))</f>
        <v>1</v>
      </c>
      <c r="AT366" s="158"/>
      <c r="AU366" s="158" t="b">
        <f>IF(AT366="",TRUE,IF(VLOOKUP(AT366,Calculs!$A$740:$G$912,7,FALSE)&gt;0,TRUE,FALSE))</f>
        <v>1</v>
      </c>
      <c r="AV366" s="158" t="b">
        <f t="shared" si="37"/>
        <v>1</v>
      </c>
      <c r="AW366" s="158" t="s">
        <v>2078</v>
      </c>
      <c r="AX366" s="162" t="s">
        <v>6061</v>
      </c>
      <c r="AY366" s="15">
        <v>98</v>
      </c>
      <c r="AZ366" s="555" t="s">
        <v>2830</v>
      </c>
      <c r="BA366" s="559">
        <f>IF(Verso!$B$10=Voies!$B366,1,0)</f>
        <v>0</v>
      </c>
      <c r="BB366" s="12">
        <f>IF(Verso!$B$11=Voies!$B366,1,0)</f>
        <v>0</v>
      </c>
      <c r="BC366" s="12">
        <f>IF(Verso!$B$12=Voies!$B366,1,0)</f>
        <v>0</v>
      </c>
      <c r="BD366" s="12">
        <f>IF(Verso!$B$13=Voies!$B366,1,0)</f>
        <v>0</v>
      </c>
      <c r="BE366" s="12">
        <f>IF(Verso!$B$14=Voies!$B366,1,0)</f>
        <v>0</v>
      </c>
      <c r="BF366" s="12">
        <f>IF(Verso!$B$15=Voies!$B366,1,0)</f>
        <v>0</v>
      </c>
      <c r="BG366" s="12">
        <f>IF(Verso!$B$16=Voies!$B366,1,0)</f>
        <v>0</v>
      </c>
      <c r="BH366" s="12">
        <f>IF(Verso!$B$17=Voies!$B366,1,0)</f>
        <v>0</v>
      </c>
      <c r="BI366" s="557">
        <f t="shared" si="38"/>
        <v>0</v>
      </c>
      <c r="BJ366" s="196" t="str">
        <f t="shared" si="39"/>
        <v/>
      </c>
      <c r="BK366" s="196" t="str">
        <f t="shared" si="40"/>
        <v/>
      </c>
      <c r="BL366" s="295" t="str">
        <f t="shared" si="41"/>
        <v/>
      </c>
    </row>
    <row r="367" spans="1:64" ht="47.25" customHeight="1" x14ac:dyDescent="0.25">
      <c r="A367" s="162" t="str">
        <f>IF(AND(Réputation&gt;Voies!E367-1,OR(C367=TRUE,Calculs!$I$8&gt;0),Air&gt;Voies!J367-1,Eau&gt;Voies!K367-1,Feu&gt;Voies!L367-1,Terre&gt;Voies!M367-1,Vide&gt;Voies!N367-1,Constitution&gt;Voies!O367-1,Volonté&gt;Voies!P367-1,Force&gt;Voies!Q367-1,Perception&gt;Voies!R367-1,Reflexes&gt;Voies!S367-1,Agilité&gt;Voies!T367-1,Intuition&gt;Voies!U367-1,Intelligence&gt;Voies!V367-1,Souillure&gt;Voies!W367-1,Honneur&gt;X367-1,Statut&gt;Y367-1,Gloire&gt;Z367-1,AV367=TRUE),Voies!B367,"")</f>
        <v/>
      </c>
      <c r="B367" s="162" t="s">
        <v>2367</v>
      </c>
      <c r="C367" s="162" t="b">
        <f>IF(Clan=Voies!D367,TRUE,FALSE)</f>
        <v>0</v>
      </c>
      <c r="D367" s="387" t="s">
        <v>176</v>
      </c>
      <c r="E367" s="13">
        <v>2</v>
      </c>
      <c r="F367" s="199">
        <v>2</v>
      </c>
      <c r="G367" s="13" t="s">
        <v>2049</v>
      </c>
      <c r="H367" s="219" t="s">
        <v>199</v>
      </c>
      <c r="I367" s="129" t="str">
        <f t="shared" si="44"/>
        <v>Rien</v>
      </c>
      <c r="J367" s="146">
        <v>0</v>
      </c>
      <c r="K367" s="147">
        <v>0</v>
      </c>
      <c r="L367" s="148">
        <v>0</v>
      </c>
      <c r="M367" s="149">
        <v>0</v>
      </c>
      <c r="N367" s="150">
        <v>0</v>
      </c>
      <c r="O367" s="130">
        <v>0</v>
      </c>
      <c r="P367" s="130">
        <v>0</v>
      </c>
      <c r="Q367" s="130">
        <v>0</v>
      </c>
      <c r="R367" s="130">
        <v>0</v>
      </c>
      <c r="S367" s="130">
        <v>0</v>
      </c>
      <c r="T367" s="130">
        <v>0</v>
      </c>
      <c r="U367" s="130">
        <v>0</v>
      </c>
      <c r="V367" s="524">
        <v>0</v>
      </c>
      <c r="W367" s="130">
        <v>0</v>
      </c>
      <c r="X367" s="130">
        <v>0</v>
      </c>
      <c r="Y367" s="130">
        <v>0</v>
      </c>
      <c r="Z367" s="130">
        <v>0</v>
      </c>
      <c r="AA367" s="158" t="s">
        <v>2078</v>
      </c>
      <c r="AB367" s="158"/>
      <c r="AC367" s="158"/>
      <c r="AD367" s="158"/>
      <c r="AE367" s="158" t="b">
        <f>IF(AB367="",TRUE,IF(IF(AC367="",VLOOKUP(AB367,Calculs!$A$19:$S$425,19,FALSE),VLOOKUP(AC367,Calculs!$A$19:$S$425,19,FALSE))&gt;=AD367,TRUE,FALSE))</f>
        <v>1</v>
      </c>
      <c r="AF367" s="158"/>
      <c r="AG367" s="158"/>
      <c r="AH367" s="158"/>
      <c r="AI367" s="158" t="b">
        <f>IF(AF367="",TRUE,IF(IF(AG367="",VLOOKUP(AF367,Calculs!$A$19:$S$425,19,FALSE),VLOOKUP(AG367,Calculs!$A$19:$S$425,19,FALSE))&gt;=AH367,TRUE,FALSE))</f>
        <v>1</v>
      </c>
      <c r="AJ367" s="158"/>
      <c r="AK367" s="158"/>
      <c r="AL367" s="158"/>
      <c r="AM367" s="158" t="b">
        <f>IF(AJ367="",TRUE,IF(IF(AK367="",VLOOKUP(AJ367,Calculs!$A$19:$S$425,19,FALSE),VLOOKUP(AK367,Calculs!$A$19:$S$425,19,FALSE))&gt;=AL367,TRUE,FALSE))</f>
        <v>1</v>
      </c>
      <c r="AN367" s="158"/>
      <c r="AO367" s="158"/>
      <c r="AP367" s="158"/>
      <c r="AQ367" s="158" t="b">
        <f>IF(AN367="",TRUE,IF(IF(AO367="",VLOOKUP(AN367,Calculs!$A$19:$S$425,19,FALSE),VLOOKUP(AO367,Calculs!$A$19:$S$425,19,FALSE))&gt;=AP367,TRUE,FALSE))</f>
        <v>1</v>
      </c>
      <c r="AR367" s="158"/>
      <c r="AS367" s="158" t="b">
        <f>IF(AR367="",TRUE,IF(VLOOKUP(AR367,Calculs!$A$427:$G$738,7,FALSE)&gt;0,TRUE,FALSE))</f>
        <v>1</v>
      </c>
      <c r="AT367" s="158"/>
      <c r="AU367" s="158" t="b">
        <f>IF(AT367="",TRUE,IF(VLOOKUP(AT367,Calculs!$A$740:$G$912,7,FALSE)&gt;0,TRUE,FALSE))</f>
        <v>1</v>
      </c>
      <c r="AV367" s="158" t="b">
        <f t="shared" si="37"/>
        <v>1</v>
      </c>
      <c r="AW367" s="158" t="s">
        <v>2078</v>
      </c>
      <c r="AX367" s="162" t="s">
        <v>143</v>
      </c>
      <c r="AY367" s="15">
        <v>115</v>
      </c>
      <c r="AZ367" s="555" t="s">
        <v>2372</v>
      </c>
      <c r="BA367" s="559">
        <f>IF(Verso!$B$10=Voies!$B367,1,0)</f>
        <v>0</v>
      </c>
      <c r="BB367" s="12">
        <f>IF(Verso!$B$11=Voies!$B367,1,0)</f>
        <v>0</v>
      </c>
      <c r="BC367" s="12">
        <f>IF(Verso!$B$12=Voies!$B367,1,0)</f>
        <v>0</v>
      </c>
      <c r="BD367" s="12">
        <f>IF(Verso!$B$13=Voies!$B367,1,0)</f>
        <v>0</v>
      </c>
      <c r="BE367" s="12">
        <f>IF(Verso!$B$14=Voies!$B367,1,0)</f>
        <v>0</v>
      </c>
      <c r="BF367" s="12">
        <f>IF(Verso!$B$15=Voies!$B367,1,0)</f>
        <v>0</v>
      </c>
      <c r="BG367" s="12">
        <f>IF(Verso!$B$16=Voies!$B367,1,0)</f>
        <v>0</v>
      </c>
      <c r="BH367" s="12">
        <f>IF(Verso!$B$17=Voies!$B367,1,0)</f>
        <v>0</v>
      </c>
      <c r="BI367" s="557">
        <f t="shared" si="38"/>
        <v>0</v>
      </c>
      <c r="BJ367" s="196" t="str">
        <f t="shared" si="39"/>
        <v/>
      </c>
      <c r="BK367" s="196" t="str">
        <f t="shared" si="40"/>
        <v/>
      </c>
      <c r="BL367" s="295" t="str">
        <f t="shared" si="41"/>
        <v/>
      </c>
    </row>
    <row r="368" spans="1:64" ht="47.25" customHeight="1" x14ac:dyDescent="0.25">
      <c r="A368" s="162" t="str">
        <f>IF(AND(Réputation&gt;Voies!E368-1,OR(C368=TRUE,Calculs!$I$8&gt;0),Air&gt;Voies!J368-1,Eau&gt;Voies!K368-1,Feu&gt;Voies!L368-1,Terre&gt;Voies!M368-1,Vide&gt;Voies!N368-1,Constitution&gt;Voies!O368-1,Volonté&gt;Voies!P368-1,Force&gt;Voies!Q368-1,Perception&gt;Voies!R368-1,Reflexes&gt;Voies!S368-1,Agilité&gt;Voies!T368-1,Intuition&gt;Voies!U368-1,Intelligence&gt;Voies!V368-1,Souillure&gt;Voies!W368-1,Honneur&gt;X368-1,Statut&gt;Y368-1,Gloire&gt;Z368-1,AV368=TRUE),Voies!B368,"")</f>
        <v/>
      </c>
      <c r="B368" s="162" t="s">
        <v>3830</v>
      </c>
      <c r="C368" s="162" t="b">
        <f>IF(Clan=Voies!D368,TRUE,FALSE)</f>
        <v>0</v>
      </c>
      <c r="D368" s="387" t="s">
        <v>176</v>
      </c>
      <c r="E368" s="13">
        <v>2</v>
      </c>
      <c r="F368" s="199">
        <v>2</v>
      </c>
      <c r="G368" s="13" t="s">
        <v>2049</v>
      </c>
      <c r="H368" s="219" t="s">
        <v>491</v>
      </c>
      <c r="I368" s="129" t="s">
        <v>3828</v>
      </c>
      <c r="J368" s="146">
        <v>0</v>
      </c>
      <c r="K368" s="147">
        <v>0</v>
      </c>
      <c r="L368" s="148">
        <v>0</v>
      </c>
      <c r="M368" s="149">
        <v>0</v>
      </c>
      <c r="N368" s="150">
        <v>0</v>
      </c>
      <c r="O368" s="130">
        <v>0</v>
      </c>
      <c r="P368" s="130">
        <v>0</v>
      </c>
      <c r="Q368" s="130">
        <v>0</v>
      </c>
      <c r="R368" s="130">
        <v>0</v>
      </c>
      <c r="S368" s="130">
        <v>0</v>
      </c>
      <c r="T368" s="130">
        <v>0</v>
      </c>
      <c r="U368" s="130">
        <v>0</v>
      </c>
      <c r="V368" s="524">
        <v>0</v>
      </c>
      <c r="W368" s="130">
        <v>0</v>
      </c>
      <c r="X368" s="130">
        <v>0</v>
      </c>
      <c r="Y368" s="130">
        <v>0</v>
      </c>
      <c r="Z368" s="130">
        <v>0</v>
      </c>
      <c r="AA368" s="159" t="s">
        <v>3829</v>
      </c>
      <c r="AB368" s="159" t="s">
        <v>1221</v>
      </c>
      <c r="AD368" s="159">
        <v>2</v>
      </c>
      <c r="AE368" s="158" t="b">
        <f>IF(AB368="",TRUE,IF(IF(AC368="",VLOOKUP(AB368,Calculs!$A$19:$S$425,19,FALSE),VLOOKUP(AC368,Calculs!$A$19:$S$425,19,FALSE))&gt;=AD368,TRUE,FALSE))</f>
        <v>0</v>
      </c>
      <c r="AF368" s="159" t="s">
        <v>1262</v>
      </c>
      <c r="AG368" s="159" t="s">
        <v>3179</v>
      </c>
      <c r="AH368" s="159">
        <v>2</v>
      </c>
      <c r="AI368" s="158" t="b">
        <f>IF(AF368="",TRUE,IF(IF(AG368="",VLOOKUP(AF368,Calculs!$A$19:$S$425,19,FALSE),VLOOKUP(AG368,Calculs!$A$19:$S$425,19,FALSE))&gt;=AH368,TRUE,FALSE))</f>
        <v>0</v>
      </c>
      <c r="AM368" s="158" t="b">
        <f>IF(AJ368="",TRUE,IF(IF(AK368="",VLOOKUP(AJ368,Calculs!$A$19:$S$425,19,FALSE),VLOOKUP(AK368,Calculs!$A$19:$S$425,19,FALSE))&gt;=AL368,TRUE,FALSE))</f>
        <v>1</v>
      </c>
      <c r="AQ368" s="158" t="b">
        <f>IF(AN368="",TRUE,IF(IF(AO368="",VLOOKUP(AN368,Calculs!$A$19:$S$425,19,FALSE),VLOOKUP(AO368,Calculs!$A$19:$S$425,19,FALSE))&gt;=AP368,TRUE,FALSE))</f>
        <v>1</v>
      </c>
      <c r="AR368" s="158"/>
      <c r="AS368" s="158" t="b">
        <f>IF(AR368="",TRUE,IF(VLOOKUP(AR368,Calculs!$A$427:$G$738,7,FALSE)&gt;0,TRUE,FALSE))</f>
        <v>1</v>
      </c>
      <c r="AT368" s="158"/>
      <c r="AU368" s="158" t="b">
        <f>IF(AT368="",TRUE,IF(VLOOKUP(AT368,Calculs!$A$740:$G$912,7,FALSE)&gt;0,TRUE,FALSE))</f>
        <v>1</v>
      </c>
      <c r="AV368" s="158" t="b">
        <f t="shared" si="37"/>
        <v>0</v>
      </c>
      <c r="AW368" s="158" t="s">
        <v>2078</v>
      </c>
      <c r="AX368" s="162" t="s">
        <v>2087</v>
      </c>
      <c r="AY368" s="15">
        <v>135</v>
      </c>
      <c r="AZ368" s="555" t="s">
        <v>3831</v>
      </c>
      <c r="BA368" s="559">
        <f>IF(Verso!$B$10=Voies!$B368,1,0)</f>
        <v>0</v>
      </c>
      <c r="BB368" s="12">
        <f>IF(Verso!$B$11=Voies!$B368,1,0)</f>
        <v>0</v>
      </c>
      <c r="BC368" s="12">
        <f>IF(Verso!$B$12=Voies!$B368,1,0)</f>
        <v>0</v>
      </c>
      <c r="BD368" s="12">
        <f>IF(Verso!$B$13=Voies!$B368,1,0)</f>
        <v>0</v>
      </c>
      <c r="BE368" s="12">
        <f>IF(Verso!$B$14=Voies!$B368,1,0)</f>
        <v>0</v>
      </c>
      <c r="BF368" s="12">
        <f>IF(Verso!$B$15=Voies!$B368,1,0)</f>
        <v>0</v>
      </c>
      <c r="BG368" s="12">
        <f>IF(Verso!$B$16=Voies!$B368,1,0)</f>
        <v>0</v>
      </c>
      <c r="BH368" s="12">
        <f>IF(Verso!$B$17=Voies!$B368,1,0)</f>
        <v>0</v>
      </c>
      <c r="BI368" s="557">
        <f t="shared" si="38"/>
        <v>0</v>
      </c>
      <c r="BJ368" s="196" t="str">
        <f t="shared" si="39"/>
        <v/>
      </c>
      <c r="BK368" s="196" t="str">
        <f t="shared" si="40"/>
        <v/>
      </c>
      <c r="BL368" s="295" t="str">
        <f t="shared" si="41"/>
        <v/>
      </c>
    </row>
    <row r="369" spans="1:65" ht="47.25" customHeight="1" x14ac:dyDescent="0.25">
      <c r="A369" s="162" t="str">
        <f>IF(AND(Réputation&gt;Voies!E369-1,OR(C369=TRUE,Calculs!$I$8&gt;0),Air&gt;Voies!J369-1,Eau&gt;Voies!K369-1,Feu&gt;Voies!L369-1,Terre&gt;Voies!M369-1,Vide&gt;Voies!N369-1,Constitution&gt;Voies!O369-1,Volonté&gt;Voies!P369-1,Force&gt;Voies!Q369-1,Perception&gt;Voies!R369-1,Reflexes&gt;Voies!S369-1,Agilité&gt;Voies!T369-1,Intuition&gt;Voies!U369-1,Intelligence&gt;Voies!V369-1,Souillure&gt;Voies!W369-1,Honneur&gt;X369-1,Statut&gt;Y369-1,Gloire&gt;Z369-1,AV369=TRUE),Voies!B369,"")</f>
        <v/>
      </c>
      <c r="B369" s="162" t="s">
        <v>3822</v>
      </c>
      <c r="C369" s="162" t="b">
        <f>IF(Clan=Voies!D369,TRUE,FALSE)</f>
        <v>0</v>
      </c>
      <c r="D369" s="387" t="s">
        <v>176</v>
      </c>
      <c r="E369" s="13">
        <v>2</v>
      </c>
      <c r="F369" s="199">
        <v>2</v>
      </c>
      <c r="G369" s="13" t="s">
        <v>2049</v>
      </c>
      <c r="H369" s="219" t="s">
        <v>487</v>
      </c>
      <c r="I369" s="129" t="s">
        <v>3820</v>
      </c>
      <c r="J369" s="146">
        <v>0</v>
      </c>
      <c r="K369" s="147">
        <v>0</v>
      </c>
      <c r="L369" s="148">
        <v>0</v>
      </c>
      <c r="M369" s="149">
        <v>0</v>
      </c>
      <c r="N369" s="150">
        <v>0</v>
      </c>
      <c r="O369" s="130">
        <v>0</v>
      </c>
      <c r="P369" s="130">
        <v>0</v>
      </c>
      <c r="Q369" s="130">
        <v>0</v>
      </c>
      <c r="R369" s="130">
        <v>0</v>
      </c>
      <c r="S369" s="130">
        <v>0</v>
      </c>
      <c r="T369" s="130">
        <v>0</v>
      </c>
      <c r="U369" s="130">
        <v>0</v>
      </c>
      <c r="V369" s="524">
        <v>0</v>
      </c>
      <c r="W369" s="130">
        <v>0</v>
      </c>
      <c r="X369" s="130">
        <v>0</v>
      </c>
      <c r="Y369" s="130">
        <v>0</v>
      </c>
      <c r="Z369" s="130">
        <v>0</v>
      </c>
      <c r="AA369" s="159" t="s">
        <v>3821</v>
      </c>
      <c r="AB369" s="159" t="s">
        <v>1275</v>
      </c>
      <c r="AD369" s="159">
        <v>3</v>
      </c>
      <c r="AE369" s="158" t="b">
        <f>IF(AB369="",TRUE,IF(IF(AC369="",VLOOKUP(AB369,Calculs!$A$19:$S$425,19,FALSE),VLOOKUP(AC369,Calculs!$A$19:$S$425,19,FALSE))&gt;=AD369,TRUE,FALSE))</f>
        <v>0</v>
      </c>
      <c r="AI369" s="158" t="b">
        <f>IF(AF369="",TRUE,IF(IF(AG369="",VLOOKUP(AF369,Calculs!$A$19:$S$425,19,FALSE),VLOOKUP(AG369,Calculs!$A$19:$S$425,19,FALSE))&gt;=AH369,TRUE,FALSE))</f>
        <v>1</v>
      </c>
      <c r="AM369" s="158" t="b">
        <f>IF(AJ369="",TRUE,IF(IF(AK369="",VLOOKUP(AJ369,Calculs!$A$19:$S$425,19,FALSE),VLOOKUP(AK369,Calculs!$A$19:$S$425,19,FALSE))&gt;=AL369,TRUE,FALSE))</f>
        <v>1</v>
      </c>
      <c r="AQ369" s="158" t="b">
        <f>IF(AN369="",TRUE,IF(IF(AO369="",VLOOKUP(AN369,Calculs!$A$19:$S$425,19,FALSE),VLOOKUP(AO369,Calculs!$A$19:$S$425,19,FALSE))&gt;=AP369,TRUE,FALSE))</f>
        <v>1</v>
      </c>
      <c r="AR369" s="158"/>
      <c r="AS369" s="158" t="b">
        <f>IF(AR369="",TRUE,IF(VLOOKUP(AR369,Calculs!$A$427:$G$738,7,FALSE)&gt;0,TRUE,FALSE))</f>
        <v>1</v>
      </c>
      <c r="AT369" s="158"/>
      <c r="AU369" s="158" t="b">
        <f>IF(AT369="",TRUE,IF(VLOOKUP(AT369,Calculs!$A$740:$G$912,7,FALSE)&gt;0,TRUE,FALSE))</f>
        <v>1</v>
      </c>
      <c r="AV369" s="158" t="b">
        <f t="shared" si="37"/>
        <v>0</v>
      </c>
      <c r="AW369" s="158" t="s">
        <v>2078</v>
      </c>
      <c r="AX369" s="162" t="s">
        <v>2087</v>
      </c>
      <c r="AY369" s="15">
        <v>134</v>
      </c>
      <c r="AZ369" s="555" t="s">
        <v>3823</v>
      </c>
      <c r="BA369" s="559">
        <f>IF(Verso!$B$10=Voies!$B369,1,0)</f>
        <v>0</v>
      </c>
      <c r="BB369" s="12">
        <f>IF(Verso!$B$11=Voies!$B369,1,0)</f>
        <v>0</v>
      </c>
      <c r="BC369" s="12">
        <f>IF(Verso!$B$12=Voies!$B369,1,0)</f>
        <v>0</v>
      </c>
      <c r="BD369" s="12">
        <f>IF(Verso!$B$13=Voies!$B369,1,0)</f>
        <v>0</v>
      </c>
      <c r="BE369" s="12">
        <f>IF(Verso!$B$14=Voies!$B369,1,0)</f>
        <v>0</v>
      </c>
      <c r="BF369" s="12">
        <f>IF(Verso!$B$15=Voies!$B369,1,0)</f>
        <v>0</v>
      </c>
      <c r="BG369" s="12">
        <f>IF(Verso!$B$16=Voies!$B369,1,0)</f>
        <v>0</v>
      </c>
      <c r="BH369" s="12">
        <f>IF(Verso!$B$17=Voies!$B369,1,0)</f>
        <v>0</v>
      </c>
      <c r="BI369" s="557">
        <f t="shared" si="38"/>
        <v>0</v>
      </c>
      <c r="BJ369" s="196" t="str">
        <f t="shared" si="39"/>
        <v/>
      </c>
      <c r="BK369" s="196" t="str">
        <f t="shared" si="40"/>
        <v/>
      </c>
      <c r="BL369" s="295" t="str">
        <f t="shared" si="41"/>
        <v/>
      </c>
    </row>
    <row r="370" spans="1:65" ht="47.25" customHeight="1" x14ac:dyDescent="0.25">
      <c r="A370" s="162" t="str">
        <f>IF(AND(Réputation&gt;Voies!E370-1,OR(C370=TRUE,Calculs!$I$8&gt;0),Air&gt;Voies!J370-1,Eau&gt;Voies!K370-1,Feu&gt;Voies!L370-1,Terre&gt;Voies!M370-1,Vide&gt;Voies!N370-1,Constitution&gt;Voies!O370-1,Volonté&gt;Voies!P370-1,Force&gt;Voies!Q370-1,Perception&gt;Voies!R370-1,Reflexes&gt;Voies!S370-1,Agilité&gt;Voies!T370-1,Intuition&gt;Voies!U370-1,Intelligence&gt;Voies!V370-1,Souillure&gt;Voies!W370-1,Honneur&gt;X370-1,Statut&gt;Y370-1,Gloire&gt;Z370-1,AV370=TRUE),Voies!B370,"")</f>
        <v/>
      </c>
      <c r="B370" s="162" t="s">
        <v>4818</v>
      </c>
      <c r="C370" s="162" t="b">
        <f>IF(Clan=Voies!D370,TRUE,FALSE)</f>
        <v>0</v>
      </c>
      <c r="D370" s="387" t="s">
        <v>176</v>
      </c>
      <c r="E370" s="13">
        <v>2</v>
      </c>
      <c r="F370" s="199">
        <v>2</v>
      </c>
      <c r="G370" s="13" t="s">
        <v>2049</v>
      </c>
      <c r="H370" s="219" t="s">
        <v>2661</v>
      </c>
      <c r="I370" s="129" t="str">
        <f>IF(B370="","","Rien")</f>
        <v>Rien</v>
      </c>
      <c r="J370" s="146">
        <v>0</v>
      </c>
      <c r="K370" s="147">
        <v>0</v>
      </c>
      <c r="L370" s="148">
        <v>0</v>
      </c>
      <c r="M370" s="149">
        <v>0</v>
      </c>
      <c r="N370" s="150">
        <v>0</v>
      </c>
      <c r="O370" s="130">
        <v>0</v>
      </c>
      <c r="P370" s="130">
        <v>0</v>
      </c>
      <c r="Q370" s="130">
        <v>0</v>
      </c>
      <c r="R370" s="130">
        <v>0</v>
      </c>
      <c r="S370" s="130">
        <v>0</v>
      </c>
      <c r="T370" s="130">
        <v>0</v>
      </c>
      <c r="U370" s="130">
        <v>0</v>
      </c>
      <c r="V370" s="524">
        <v>0</v>
      </c>
      <c r="W370" s="130">
        <v>0</v>
      </c>
      <c r="X370" s="130">
        <v>0</v>
      </c>
      <c r="Y370" s="130">
        <v>0</v>
      </c>
      <c r="Z370" s="130">
        <v>0</v>
      </c>
      <c r="AA370" s="158" t="s">
        <v>2078</v>
      </c>
      <c r="AB370" s="158"/>
      <c r="AC370" s="158"/>
      <c r="AD370" s="158"/>
      <c r="AE370" s="158" t="b">
        <f>IF(AB370="",TRUE,IF(IF(AC370="",VLOOKUP(AB370,Calculs!$A$19:$S$425,19,FALSE),VLOOKUP(AC370,Calculs!$A$19:$S$425,19,FALSE))&gt;=AD370,TRUE,FALSE))</f>
        <v>1</v>
      </c>
      <c r="AF370" s="158"/>
      <c r="AG370" s="158"/>
      <c r="AH370" s="158"/>
      <c r="AI370" s="158" t="b">
        <f>IF(AF370="",TRUE,IF(IF(AG370="",VLOOKUP(AF370,Calculs!$A$19:$S$425,19,FALSE),VLOOKUP(AG370,Calculs!$A$19:$S$425,19,FALSE))&gt;=AH370,TRUE,FALSE))</f>
        <v>1</v>
      </c>
      <c r="AJ370" s="158"/>
      <c r="AK370" s="158"/>
      <c r="AL370" s="158"/>
      <c r="AM370" s="158" t="b">
        <f>IF(AJ370="",TRUE,IF(IF(AK370="",VLOOKUP(AJ370,Calculs!$A$19:$S$425,19,FALSE),VLOOKUP(AK370,Calculs!$A$19:$S$425,19,FALSE))&gt;=AL370,TRUE,FALSE))</f>
        <v>1</v>
      </c>
      <c r="AN370" s="158"/>
      <c r="AO370" s="158"/>
      <c r="AP370" s="158"/>
      <c r="AQ370" s="158" t="b">
        <f>IF(AN370="",TRUE,IF(IF(AO370="",VLOOKUP(AN370,Calculs!$A$19:$S$425,19,FALSE),VLOOKUP(AO370,Calculs!$A$19:$S$425,19,FALSE))&gt;=AP370,TRUE,FALSE))</f>
        <v>1</v>
      </c>
      <c r="AR370" s="158"/>
      <c r="AS370" s="158" t="b">
        <f>IF(AR370="",TRUE,IF(VLOOKUP(AR370,Calculs!$A$427:$G$738,7,FALSE)&gt;0,TRUE,FALSE))</f>
        <v>1</v>
      </c>
      <c r="AT370" s="158"/>
      <c r="AU370" s="158" t="b">
        <f>IF(AT370="",TRUE,IF(VLOOKUP(AT370,Calculs!$A$740:$G$912,7,FALSE)&gt;0,TRUE,FALSE))</f>
        <v>1</v>
      </c>
      <c r="AV370" s="158" t="b">
        <f t="shared" si="37"/>
        <v>1</v>
      </c>
      <c r="AW370" s="158" t="s">
        <v>2078</v>
      </c>
      <c r="AX370" s="162" t="s">
        <v>5202</v>
      </c>
      <c r="AY370" s="15">
        <v>171</v>
      </c>
      <c r="AZ370" s="555" t="s">
        <v>2664</v>
      </c>
      <c r="BA370" s="559">
        <f>IF(Verso!$B$10=Voies!$B370,1,0)</f>
        <v>0</v>
      </c>
      <c r="BB370" s="12">
        <f>IF(Verso!$B$11=Voies!$B370,1,0)</f>
        <v>0</v>
      </c>
      <c r="BC370" s="12">
        <f>IF(Verso!$B$12=Voies!$B370,1,0)</f>
        <v>0</v>
      </c>
      <c r="BD370" s="12">
        <f>IF(Verso!$B$13=Voies!$B370,1,0)</f>
        <v>0</v>
      </c>
      <c r="BE370" s="12">
        <f>IF(Verso!$B$14=Voies!$B370,1,0)</f>
        <v>0</v>
      </c>
      <c r="BF370" s="12">
        <f>IF(Verso!$B$15=Voies!$B370,1,0)</f>
        <v>0</v>
      </c>
      <c r="BG370" s="12">
        <f>IF(Verso!$B$16=Voies!$B370,1,0)</f>
        <v>0</v>
      </c>
      <c r="BH370" s="12">
        <f>IF(Verso!$B$17=Voies!$B370,1,0)</f>
        <v>0</v>
      </c>
      <c r="BI370" s="557">
        <f t="shared" si="38"/>
        <v>0</v>
      </c>
      <c r="BJ370" s="196" t="str">
        <f t="shared" si="39"/>
        <v/>
      </c>
      <c r="BK370" s="196" t="str">
        <f t="shared" si="40"/>
        <v/>
      </c>
      <c r="BL370" s="295" t="str">
        <f t="shared" si="41"/>
        <v/>
      </c>
    </row>
    <row r="371" spans="1:65" s="196" customFormat="1" ht="47.25" customHeight="1" x14ac:dyDescent="0.25">
      <c r="A371" s="162" t="str">
        <f>IF(AND(Réputation&gt;Voies!E371-1,OR(C371=TRUE,Calculs!$I$8&gt;0),Air&gt;Voies!J371-1,Eau&gt;Voies!K371-1,Feu&gt;Voies!L371-1,Terre&gt;Voies!M371-1,Vide&gt;Voies!N371-1,Constitution&gt;Voies!O371-1,Volonté&gt;Voies!P371-1,Force&gt;Voies!Q371-1,Perception&gt;Voies!R371-1,Reflexes&gt;Voies!S371-1,Agilité&gt;Voies!T371-1,Intuition&gt;Voies!U371-1,Intelligence&gt;Voies!V371-1,Souillure&gt;Voies!W371-1,Honneur&gt;X371-1,Statut&gt;Y371-1,Gloire&gt;Z371-1,AV371=TRUE),Voies!B371,"")</f>
        <v/>
      </c>
      <c r="B371" s="162" t="s">
        <v>9072</v>
      </c>
      <c r="C371" s="162" t="b">
        <f>IF(Clan=Voies!D371,TRUE,FALSE)</f>
        <v>0</v>
      </c>
      <c r="D371" s="387" t="s">
        <v>176</v>
      </c>
      <c r="E371" s="199">
        <v>2</v>
      </c>
      <c r="F371" s="199">
        <v>2</v>
      </c>
      <c r="G371" s="199" t="s">
        <v>2052</v>
      </c>
      <c r="H371" s="219" t="s">
        <v>9074</v>
      </c>
      <c r="I371" s="129" t="s">
        <v>9073</v>
      </c>
      <c r="J371" s="146">
        <v>0</v>
      </c>
      <c r="K371" s="147">
        <v>0</v>
      </c>
      <c r="L371" s="148">
        <v>0</v>
      </c>
      <c r="M371" s="149">
        <v>0</v>
      </c>
      <c r="N371" s="150">
        <v>0</v>
      </c>
      <c r="O371" s="130">
        <v>0</v>
      </c>
      <c r="P371" s="130">
        <v>0</v>
      </c>
      <c r="Q371" s="130">
        <v>0</v>
      </c>
      <c r="R371" s="130">
        <v>0</v>
      </c>
      <c r="S371" s="130">
        <v>0</v>
      </c>
      <c r="T371" s="130">
        <v>0</v>
      </c>
      <c r="U371" s="130">
        <v>0</v>
      </c>
      <c r="V371" s="524">
        <v>0</v>
      </c>
      <c r="W371" s="130">
        <v>0</v>
      </c>
      <c r="X371" s="130">
        <v>0</v>
      </c>
      <c r="Y371" s="130">
        <v>0</v>
      </c>
      <c r="Z371" s="130">
        <v>0</v>
      </c>
      <c r="AA371" s="158" t="s">
        <v>2078</v>
      </c>
      <c r="AB371" s="158"/>
      <c r="AC371" s="158"/>
      <c r="AD371" s="158"/>
      <c r="AE371" s="158" t="b">
        <f>IF(AB371="",TRUE,IF(IF(AC371="",VLOOKUP(AB371,Calculs!$A$19:$S$425,19,FALSE),VLOOKUP(AC371,Calculs!$A$19:$S$425,19,FALSE))&gt;=AD371,TRUE,FALSE))</f>
        <v>1</v>
      </c>
      <c r="AF371" s="158"/>
      <c r="AG371" s="158"/>
      <c r="AH371" s="158"/>
      <c r="AI371" s="158" t="b">
        <f>IF(AF371="",TRUE,IF(IF(AG371="",VLOOKUP(AF371,Calculs!$A$19:$S$425,19,FALSE),VLOOKUP(AG371,Calculs!$A$19:$S$425,19,FALSE))&gt;=AH371,TRUE,FALSE))</f>
        <v>1</v>
      </c>
      <c r="AJ371" s="158"/>
      <c r="AK371" s="158"/>
      <c r="AL371" s="158"/>
      <c r="AM371" s="158" t="b">
        <f>IF(AJ371="",TRUE,IF(IF(AK371="",VLOOKUP(AJ371,Calculs!$A$19:$S$425,19,FALSE),VLOOKUP(AK371,Calculs!$A$19:$S$425,19,FALSE))&gt;=AL371,TRUE,FALSE))</f>
        <v>1</v>
      </c>
      <c r="AN371" s="158"/>
      <c r="AO371" s="158"/>
      <c r="AP371" s="158"/>
      <c r="AQ371" s="158" t="b">
        <f>IF(AN371="",TRUE,IF(IF(AO371="",VLOOKUP(AN371,Calculs!$A$19:$S$425,19,FALSE),VLOOKUP(AO371,Calculs!$A$19:$S$425,19,FALSE))&gt;=AP371,TRUE,FALSE))</f>
        <v>1</v>
      </c>
      <c r="AR371" s="158"/>
      <c r="AS371" s="158" t="b">
        <f>IF(AR371="",TRUE,IF(VLOOKUP(AR371,Calculs!$A$427:$G$738,7,FALSE)&gt;0,TRUE,FALSE))</f>
        <v>1</v>
      </c>
      <c r="AT371" s="158"/>
      <c r="AU371" s="158" t="b">
        <f>IF(AT371="",TRUE,IF(VLOOKUP(AT371,Calculs!$A$740:$G$912,7,FALSE)&gt;0,TRUE,FALSE))</f>
        <v>1</v>
      </c>
      <c r="AV371" s="158" t="b">
        <f t="shared" si="37"/>
        <v>1</v>
      </c>
      <c r="AW371" s="158" t="s">
        <v>2078</v>
      </c>
      <c r="AX371" s="162" t="s">
        <v>9070</v>
      </c>
      <c r="AY371" s="15">
        <v>46</v>
      </c>
      <c r="AZ371" s="555" t="s">
        <v>9075</v>
      </c>
      <c r="BA371" s="559">
        <f>IF(Verso!$B$10=Voies!$B371,1,0)</f>
        <v>0</v>
      </c>
      <c r="BB371" s="12">
        <f>IF(Verso!$B$11=Voies!$B371,1,0)</f>
        <v>0</v>
      </c>
      <c r="BC371" s="12">
        <f>IF(Verso!$B$12=Voies!$B371,1,0)</f>
        <v>0</v>
      </c>
      <c r="BD371" s="12">
        <f>IF(Verso!$B$13=Voies!$B371,1,0)</f>
        <v>0</v>
      </c>
      <c r="BE371" s="12">
        <f>IF(Verso!$B$14=Voies!$B371,1,0)</f>
        <v>0</v>
      </c>
      <c r="BF371" s="12">
        <f>IF(Verso!$B$15=Voies!$B371,1,0)</f>
        <v>0</v>
      </c>
      <c r="BG371" s="12">
        <f>IF(Verso!$B$16=Voies!$B371,1,0)</f>
        <v>0</v>
      </c>
      <c r="BH371" s="12">
        <f>IF(Verso!$B$17=Voies!$B371,1,0)</f>
        <v>0</v>
      </c>
      <c r="BI371" s="557">
        <f t="shared" si="38"/>
        <v>0</v>
      </c>
      <c r="BJ371" s="196" t="str">
        <f t="shared" si="39"/>
        <v/>
      </c>
      <c r="BK371" s="196" t="str">
        <f t="shared" si="40"/>
        <v/>
      </c>
      <c r="BL371" s="295" t="str">
        <f t="shared" si="41"/>
        <v/>
      </c>
      <c r="BM371" s="91"/>
    </row>
    <row r="372" spans="1:65" ht="47.25" customHeight="1" x14ac:dyDescent="0.25">
      <c r="A372" s="162" t="str">
        <f>IF(AND(Réputation&gt;Voies!E372-1,OR(C372=TRUE,Calculs!$I$8&gt;0),Air&gt;Voies!J372-1,Eau&gt;Voies!K372-1,Feu&gt;Voies!L372-1,Terre&gt;Voies!M372-1,Vide&gt;Voies!N372-1,Constitution&gt;Voies!O372-1,Volonté&gt;Voies!P372-1,Force&gt;Voies!Q372-1,Perception&gt;Voies!R372-1,Reflexes&gt;Voies!S372-1,Agilité&gt;Voies!T372-1,Intuition&gt;Voies!U372-1,Intelligence&gt;Voies!V372-1,Souillure&gt;Voies!W372-1,Honneur&gt;X372-1,Statut&gt;Y372-1,Gloire&gt;Z372-1,AV372=TRUE),Voies!B372,"")</f>
        <v/>
      </c>
      <c r="B372" s="162" t="s">
        <v>2358</v>
      </c>
      <c r="C372" s="162" t="b">
        <f>IF(Clan=Voies!D372,TRUE,FALSE)</f>
        <v>0</v>
      </c>
      <c r="D372" s="387" t="s">
        <v>176</v>
      </c>
      <c r="E372" s="13">
        <v>2</v>
      </c>
      <c r="F372" s="199">
        <v>2</v>
      </c>
      <c r="G372" s="199" t="s">
        <v>2052</v>
      </c>
      <c r="H372" s="219" t="s">
        <v>196</v>
      </c>
      <c r="I372" s="129" t="str">
        <f>IF(B372="","","Rien")</f>
        <v>Rien</v>
      </c>
      <c r="J372" s="146">
        <v>0</v>
      </c>
      <c r="K372" s="147">
        <v>0</v>
      </c>
      <c r="L372" s="148">
        <v>0</v>
      </c>
      <c r="M372" s="149">
        <v>0</v>
      </c>
      <c r="N372" s="150">
        <v>0</v>
      </c>
      <c r="O372" s="130">
        <v>0</v>
      </c>
      <c r="P372" s="130">
        <v>0</v>
      </c>
      <c r="Q372" s="130">
        <v>0</v>
      </c>
      <c r="R372" s="130">
        <v>0</v>
      </c>
      <c r="S372" s="130">
        <v>0</v>
      </c>
      <c r="T372" s="130">
        <v>0</v>
      </c>
      <c r="U372" s="130">
        <v>0</v>
      </c>
      <c r="V372" s="524">
        <v>0</v>
      </c>
      <c r="W372" s="130">
        <v>0</v>
      </c>
      <c r="X372" s="130">
        <v>0</v>
      </c>
      <c r="Y372" s="130">
        <v>0</v>
      </c>
      <c r="Z372" s="130">
        <v>0</v>
      </c>
      <c r="AA372" s="158" t="s">
        <v>2078</v>
      </c>
      <c r="AB372" s="158"/>
      <c r="AC372" s="158"/>
      <c r="AD372" s="158"/>
      <c r="AE372" s="158" t="b">
        <f>IF(AB372="",TRUE,IF(IF(AC372="",VLOOKUP(AB372,Calculs!$A$19:$S$425,19,FALSE),VLOOKUP(AC372,Calculs!$A$19:$S$425,19,FALSE))&gt;=AD372,TRUE,FALSE))</f>
        <v>1</v>
      </c>
      <c r="AF372" s="158"/>
      <c r="AG372" s="158"/>
      <c r="AH372" s="158"/>
      <c r="AI372" s="158" t="b">
        <f>IF(AF372="",TRUE,IF(IF(AG372="",VLOOKUP(AF372,Calculs!$A$19:$S$425,19,FALSE),VLOOKUP(AG372,Calculs!$A$19:$S$425,19,FALSE))&gt;=AH372,TRUE,FALSE))</f>
        <v>1</v>
      </c>
      <c r="AJ372" s="158"/>
      <c r="AK372" s="158"/>
      <c r="AL372" s="158"/>
      <c r="AM372" s="158" t="b">
        <f>IF(AJ372="",TRUE,IF(IF(AK372="",VLOOKUP(AJ372,Calculs!$A$19:$S$425,19,FALSE),VLOOKUP(AK372,Calculs!$A$19:$S$425,19,FALSE))&gt;=AL372,TRUE,FALSE))</f>
        <v>1</v>
      </c>
      <c r="AN372" s="158"/>
      <c r="AO372" s="158"/>
      <c r="AP372" s="158"/>
      <c r="AQ372" s="158" t="b">
        <f>IF(AN372="",TRUE,IF(IF(AO372="",VLOOKUP(AN372,Calculs!$A$19:$S$425,19,FALSE),VLOOKUP(AO372,Calculs!$A$19:$S$425,19,FALSE))&gt;=AP372,TRUE,FALSE))</f>
        <v>1</v>
      </c>
      <c r="AR372" s="158"/>
      <c r="AS372" s="158" t="b">
        <f>IF(AR372="",TRUE,IF(VLOOKUP(AR372,Calculs!$A$427:$G$738,7,FALSE)&gt;0,TRUE,FALSE))</f>
        <v>1</v>
      </c>
      <c r="AT372" s="158"/>
      <c r="AU372" s="158" t="b">
        <f>IF(AT372="",TRUE,IF(VLOOKUP(AT372,Calculs!$A$740:$G$912,7,FALSE)&gt;0,TRUE,FALSE))</f>
        <v>1</v>
      </c>
      <c r="AV372" s="158" t="b">
        <f t="shared" si="37"/>
        <v>1</v>
      </c>
      <c r="AW372" s="158" t="s">
        <v>2078</v>
      </c>
      <c r="AX372" s="162" t="s">
        <v>143</v>
      </c>
      <c r="AY372" s="15">
        <v>114</v>
      </c>
      <c r="AZ372" s="555" t="s">
        <v>8555</v>
      </c>
      <c r="BA372" s="559">
        <f>IF(Verso!$B$10=Voies!$B372,1,0)</f>
        <v>0</v>
      </c>
      <c r="BB372" s="12">
        <f>IF(Verso!$B$11=Voies!$B372,1,0)</f>
        <v>0</v>
      </c>
      <c r="BC372" s="12">
        <f>IF(Verso!$B$12=Voies!$B372,1,0)</f>
        <v>0</v>
      </c>
      <c r="BD372" s="12">
        <f>IF(Verso!$B$13=Voies!$B372,1,0)</f>
        <v>0</v>
      </c>
      <c r="BE372" s="12">
        <f>IF(Verso!$B$14=Voies!$B372,1,0)</f>
        <v>0</v>
      </c>
      <c r="BF372" s="12">
        <f>IF(Verso!$B$15=Voies!$B372,1,0)</f>
        <v>0</v>
      </c>
      <c r="BG372" s="12">
        <f>IF(Verso!$B$16=Voies!$B372,1,0)</f>
        <v>0</v>
      </c>
      <c r="BH372" s="12">
        <f>IF(Verso!$B$17=Voies!$B372,1,0)</f>
        <v>0</v>
      </c>
      <c r="BI372" s="557">
        <f t="shared" si="38"/>
        <v>0</v>
      </c>
      <c r="BJ372" s="196" t="str">
        <f t="shared" si="39"/>
        <v/>
      </c>
      <c r="BK372" s="196" t="str">
        <f t="shared" si="40"/>
        <v/>
      </c>
      <c r="BL372" s="295" t="str">
        <f t="shared" si="41"/>
        <v/>
      </c>
    </row>
    <row r="373" spans="1:65" ht="47.25" customHeight="1" x14ac:dyDescent="0.25">
      <c r="A373" s="162" t="str">
        <f>IF(AND(Réputation&gt;Voies!E373-1,OR(C373=TRUE,Calculs!$I$8&gt;0),Air&gt;Voies!J373-1,Eau&gt;Voies!K373-1,Feu&gt;Voies!L373-1,Terre&gt;Voies!M373-1,Vide&gt;Voies!N373-1,Constitution&gt;Voies!O373-1,Volonté&gt;Voies!P373-1,Force&gt;Voies!Q373-1,Perception&gt;Voies!R373-1,Reflexes&gt;Voies!S373-1,Agilité&gt;Voies!T373-1,Intuition&gt;Voies!U373-1,Intelligence&gt;Voies!V373-1,Souillure&gt;Voies!W373-1,Honneur&gt;X373-1,Statut&gt;Y373-1,Gloire&gt;Z373-1,AV373=TRUE),Voies!B373,"")</f>
        <v/>
      </c>
      <c r="B373" s="162" t="s">
        <v>1460</v>
      </c>
      <c r="C373" s="162" t="b">
        <f>IF(Clan=Voies!D373,TRUE,FALSE)</f>
        <v>0</v>
      </c>
      <c r="D373" s="387" t="s">
        <v>176</v>
      </c>
      <c r="E373" s="13">
        <v>2</v>
      </c>
      <c r="F373" s="199">
        <v>2</v>
      </c>
      <c r="G373" s="199" t="s">
        <v>2052</v>
      </c>
      <c r="H373" s="162" t="s">
        <v>7794</v>
      </c>
      <c r="I373" s="129" t="str">
        <f>IF(B373="","","Rien")</f>
        <v>Rien</v>
      </c>
      <c r="J373" s="146">
        <v>0</v>
      </c>
      <c r="K373" s="147">
        <v>0</v>
      </c>
      <c r="L373" s="148">
        <v>0</v>
      </c>
      <c r="M373" s="149">
        <v>0</v>
      </c>
      <c r="N373" s="150">
        <v>0</v>
      </c>
      <c r="O373" s="130">
        <v>0</v>
      </c>
      <c r="P373" s="130">
        <v>0</v>
      </c>
      <c r="Q373" s="130">
        <v>0</v>
      </c>
      <c r="R373" s="130">
        <v>0</v>
      </c>
      <c r="S373" s="130">
        <v>0</v>
      </c>
      <c r="T373" s="130">
        <v>0</v>
      </c>
      <c r="U373" s="130">
        <v>0</v>
      </c>
      <c r="V373" s="524">
        <v>0</v>
      </c>
      <c r="W373" s="130">
        <v>0</v>
      </c>
      <c r="X373" s="130">
        <v>0</v>
      </c>
      <c r="Y373" s="130">
        <v>0</v>
      </c>
      <c r="Z373" s="130">
        <v>0</v>
      </c>
      <c r="AA373" s="158" t="s">
        <v>2078</v>
      </c>
      <c r="AB373" s="158"/>
      <c r="AC373" s="158"/>
      <c r="AD373" s="158"/>
      <c r="AE373" s="158" t="b">
        <f>IF(AB373="",TRUE,IF(IF(AC373="",VLOOKUP(AB373,Calculs!$A$19:$S$425,19,FALSE),VLOOKUP(AC373,Calculs!$A$19:$S$425,19,FALSE))&gt;=AD373,TRUE,FALSE))</f>
        <v>1</v>
      </c>
      <c r="AF373" s="158"/>
      <c r="AG373" s="158"/>
      <c r="AH373" s="158"/>
      <c r="AI373" s="158" t="b">
        <f>IF(AF373="",TRUE,IF(IF(AG373="",VLOOKUP(AF373,Calculs!$A$19:$S$425,19,FALSE),VLOOKUP(AG373,Calculs!$A$19:$S$425,19,FALSE))&gt;=AH373,TRUE,FALSE))</f>
        <v>1</v>
      </c>
      <c r="AJ373" s="158"/>
      <c r="AK373" s="158"/>
      <c r="AL373" s="158"/>
      <c r="AM373" s="158" t="b">
        <f>IF(AJ373="",TRUE,IF(IF(AK373="",VLOOKUP(AJ373,Calculs!$A$19:$S$425,19,FALSE),VLOOKUP(AK373,Calculs!$A$19:$S$425,19,FALSE))&gt;=AL373,TRUE,FALSE))</f>
        <v>1</v>
      </c>
      <c r="AN373" s="158"/>
      <c r="AO373" s="158"/>
      <c r="AP373" s="158"/>
      <c r="AQ373" s="158" t="b">
        <f>IF(AN373="",TRUE,IF(IF(AO373="",VLOOKUP(AN373,Calculs!$A$19:$S$425,19,FALSE),VLOOKUP(AO373,Calculs!$A$19:$S$425,19,FALSE))&gt;=AP373,TRUE,FALSE))</f>
        <v>1</v>
      </c>
      <c r="AR373" s="158"/>
      <c r="AS373" s="158" t="b">
        <f>IF(AR373="",TRUE,IF(VLOOKUP(AR373,Calculs!$A$427:$G$738,7,FALSE)&gt;0,TRUE,FALSE))</f>
        <v>1</v>
      </c>
      <c r="AT373" s="158"/>
      <c r="AU373" s="158" t="b">
        <f>IF(AT373="",TRUE,IF(VLOOKUP(AT373,Calculs!$A$740:$G$912,7,FALSE)&gt;0,TRUE,FALSE))</f>
        <v>1</v>
      </c>
      <c r="AV373" s="158" t="b">
        <f t="shared" si="37"/>
        <v>1</v>
      </c>
      <c r="AW373" s="158" t="s">
        <v>2078</v>
      </c>
      <c r="AX373" s="162" t="s">
        <v>7226</v>
      </c>
      <c r="AY373" s="15">
        <v>68</v>
      </c>
      <c r="AZ373" s="555" t="s">
        <v>7835</v>
      </c>
      <c r="BA373" s="559">
        <f>IF(Verso!$B$10=Voies!$B373,1,0)</f>
        <v>0</v>
      </c>
      <c r="BB373" s="12">
        <f>IF(Verso!$B$11=Voies!$B373,1,0)</f>
        <v>0</v>
      </c>
      <c r="BC373" s="12">
        <f>IF(Verso!$B$12=Voies!$B373,1,0)</f>
        <v>0</v>
      </c>
      <c r="BD373" s="12">
        <f>IF(Verso!$B$13=Voies!$B373,1,0)</f>
        <v>0</v>
      </c>
      <c r="BE373" s="12">
        <f>IF(Verso!$B$14=Voies!$B373,1,0)</f>
        <v>0</v>
      </c>
      <c r="BF373" s="12">
        <f>IF(Verso!$B$15=Voies!$B373,1,0)</f>
        <v>0</v>
      </c>
      <c r="BG373" s="12">
        <f>IF(Verso!$B$16=Voies!$B373,1,0)</f>
        <v>0</v>
      </c>
      <c r="BH373" s="12">
        <f>IF(Verso!$B$17=Voies!$B373,1,0)</f>
        <v>0</v>
      </c>
      <c r="BI373" s="557">
        <f t="shared" si="38"/>
        <v>0</v>
      </c>
      <c r="BJ373" s="196" t="str">
        <f t="shared" si="39"/>
        <v/>
      </c>
      <c r="BK373" s="196" t="str">
        <f t="shared" si="40"/>
        <v/>
      </c>
      <c r="BL373" s="295" t="str">
        <f t="shared" si="41"/>
        <v/>
      </c>
    </row>
    <row r="374" spans="1:65" ht="47.25" customHeight="1" x14ac:dyDescent="0.25">
      <c r="A374" s="162" t="str">
        <f>IF(AND(Réputation&gt;Voies!E374-1,OR(C374=TRUE,Calculs!$I$8&gt;0),Air&gt;Voies!J374-1,Eau&gt;Voies!K374-1,Feu&gt;Voies!L374-1,Terre&gt;Voies!M374-1,Vide&gt;Voies!N374-1,Constitution&gt;Voies!O374-1,Volonté&gt;Voies!P374-1,Force&gt;Voies!Q374-1,Perception&gt;Voies!R374-1,Reflexes&gt;Voies!S374-1,Agilité&gt;Voies!T374-1,Intuition&gt;Voies!U374-1,Intelligence&gt;Voies!V374-1,Souillure&gt;Voies!W374-1,Honneur&gt;X374-1,Statut&gt;Y374-1,Gloire&gt;Z374-1,AV374=TRUE),Voies!B374,"")</f>
        <v/>
      </c>
      <c r="B374" s="162" t="s">
        <v>3721</v>
      </c>
      <c r="C374" s="162" t="b">
        <f>IF(Clan=Voies!D374,TRUE,FALSE)</f>
        <v>0</v>
      </c>
      <c r="D374" s="387" t="s">
        <v>176</v>
      </c>
      <c r="E374" s="13">
        <v>2</v>
      </c>
      <c r="F374" s="199" t="s">
        <v>626</v>
      </c>
      <c r="G374" s="157" t="s">
        <v>3723</v>
      </c>
      <c r="H374" s="219" t="s">
        <v>621</v>
      </c>
      <c r="I374" s="129" t="s">
        <v>3720</v>
      </c>
      <c r="J374" s="146">
        <v>0</v>
      </c>
      <c r="K374" s="147">
        <v>0</v>
      </c>
      <c r="L374" s="148">
        <v>0</v>
      </c>
      <c r="M374" s="149">
        <v>0</v>
      </c>
      <c r="N374" s="150">
        <v>0</v>
      </c>
      <c r="O374" s="130">
        <v>0</v>
      </c>
      <c r="P374" s="130">
        <v>0</v>
      </c>
      <c r="Q374" s="130">
        <v>0</v>
      </c>
      <c r="R374" s="130">
        <v>0</v>
      </c>
      <c r="S374" s="130">
        <v>0</v>
      </c>
      <c r="T374" s="130">
        <v>0</v>
      </c>
      <c r="U374" s="130">
        <v>0</v>
      </c>
      <c r="V374" s="524">
        <v>0</v>
      </c>
      <c r="W374" s="130">
        <v>0</v>
      </c>
      <c r="X374" s="130">
        <v>0</v>
      </c>
      <c r="Y374" s="130">
        <v>0</v>
      </c>
      <c r="Z374" s="130">
        <v>0</v>
      </c>
      <c r="AA374" s="159" t="s">
        <v>6365</v>
      </c>
      <c r="AB374" s="159" t="s">
        <v>1278</v>
      </c>
      <c r="AC374" s="159" t="s">
        <v>1330</v>
      </c>
      <c r="AD374" s="159">
        <v>3</v>
      </c>
      <c r="AE374" s="158" t="b">
        <f>IF(AB374="",TRUE,IF(IF(AC374="",VLOOKUP(AB374,Calculs!$A$19:$S$425,19,FALSE),VLOOKUP(AC374,Calculs!$A$19:$S$425,19,FALSE))&gt;=AD374,TRUE,FALSE))</f>
        <v>0</v>
      </c>
      <c r="AI374" s="158" t="b">
        <f>IF(AF374="",TRUE,IF(IF(AG374="",VLOOKUP(AF374,Calculs!$A$19:$S$425,19,FALSE),VLOOKUP(AG374,Calculs!$A$19:$S$425,19,FALSE))&gt;=AH374,TRUE,FALSE))</f>
        <v>1</v>
      </c>
      <c r="AM374" s="158" t="b">
        <f>IF(AJ374="",TRUE,IF(IF(AK374="",VLOOKUP(AJ374,Calculs!$A$19:$S$425,19,FALSE),VLOOKUP(AK374,Calculs!$A$19:$S$425,19,FALSE))&gt;=AL374,TRUE,FALSE))</f>
        <v>1</v>
      </c>
      <c r="AQ374" s="158" t="b">
        <f>IF(AN374="",TRUE,IF(IF(AO374="",VLOOKUP(AN374,Calculs!$A$19:$S$425,19,FALSE),VLOOKUP(AO374,Calculs!$A$19:$S$425,19,FALSE))&gt;=AP374,TRUE,FALSE))</f>
        <v>1</v>
      </c>
      <c r="AR374" s="158"/>
      <c r="AS374" s="158" t="b">
        <f>IF(AR374="",TRUE,IF(VLOOKUP(AR374,Calculs!$A$427:$G$738,7,FALSE)&gt;0,TRUE,FALSE))</f>
        <v>1</v>
      </c>
      <c r="AT374" s="158"/>
      <c r="AU374" s="158" t="b">
        <f>IF(AT374="",TRUE,IF(VLOOKUP(AT374,Calculs!$A$740:$G$912,7,FALSE)&gt;0,TRUE,FALSE))</f>
        <v>1</v>
      </c>
      <c r="AV374" s="158" t="b">
        <f t="shared" si="37"/>
        <v>0</v>
      </c>
      <c r="AW374" s="158" t="s">
        <v>2078</v>
      </c>
      <c r="AX374" s="162" t="s">
        <v>2921</v>
      </c>
      <c r="AY374" s="15">
        <v>98</v>
      </c>
      <c r="AZ374" s="555" t="s">
        <v>3722</v>
      </c>
      <c r="BA374" s="559">
        <f>IF(Verso!$B$10=Voies!$B374,1,0)</f>
        <v>0</v>
      </c>
      <c r="BB374" s="12">
        <f>IF(Verso!$B$11=Voies!$B374,1,0)</f>
        <v>0</v>
      </c>
      <c r="BC374" s="12">
        <f>IF(Verso!$B$12=Voies!$B374,1,0)</f>
        <v>0</v>
      </c>
      <c r="BD374" s="12">
        <f>IF(Verso!$B$13=Voies!$B374,1,0)</f>
        <v>0</v>
      </c>
      <c r="BE374" s="12">
        <f>IF(Verso!$B$14=Voies!$B374,1,0)</f>
        <v>0</v>
      </c>
      <c r="BF374" s="12">
        <f>IF(Verso!$B$15=Voies!$B374,1,0)</f>
        <v>0</v>
      </c>
      <c r="BG374" s="12">
        <f>IF(Verso!$B$16=Voies!$B374,1,0)</f>
        <v>0</v>
      </c>
      <c r="BH374" s="12">
        <f>IF(Verso!$B$17=Voies!$B374,1,0)</f>
        <v>0</v>
      </c>
      <c r="BI374" s="557">
        <f t="shared" si="38"/>
        <v>0</v>
      </c>
      <c r="BJ374" s="196" t="str">
        <f t="shared" si="39"/>
        <v/>
      </c>
      <c r="BK374" s="196" t="str">
        <f t="shared" si="40"/>
        <v/>
      </c>
      <c r="BL374" s="295" t="str">
        <f t="shared" si="41"/>
        <v/>
      </c>
    </row>
    <row r="375" spans="1:65" ht="47.25" customHeight="1" x14ac:dyDescent="0.25">
      <c r="A375" s="162" t="str">
        <f>IF(AND(Réputation&gt;Voies!E375-1,OR(C375=TRUE,Calculs!$I$8&gt;0),Air&gt;Voies!J375-1,Eau&gt;Voies!K375-1,Feu&gt;Voies!L375-1,Terre&gt;Voies!M375-1,Vide&gt;Voies!N375-1,Constitution&gt;Voies!O375-1,Volonté&gt;Voies!P375-1,Force&gt;Voies!Q375-1,Perception&gt;Voies!R375-1,Reflexes&gt;Voies!S375-1,Agilité&gt;Voies!T375-1,Intuition&gt;Voies!U375-1,Intelligence&gt;Voies!V375-1,Souillure&gt;Voies!W375-1,Honneur&gt;X375-1,Statut&gt;Y375-1,Gloire&gt;Z375-1,AV375=TRUE),Voies!B375,"")</f>
        <v/>
      </c>
      <c r="B375" s="162" t="s">
        <v>3148</v>
      </c>
      <c r="C375" s="162" t="b">
        <f>IF(Clan=Voies!D375,TRUE,FALSE)</f>
        <v>0</v>
      </c>
      <c r="D375" s="387" t="s">
        <v>176</v>
      </c>
      <c r="E375" s="13">
        <v>2</v>
      </c>
      <c r="F375" s="199">
        <v>2</v>
      </c>
      <c r="G375" s="13" t="s">
        <v>2048</v>
      </c>
      <c r="H375" s="219" t="s">
        <v>485</v>
      </c>
      <c r="I375" s="129" t="s">
        <v>8022</v>
      </c>
      <c r="J375" s="146">
        <v>0</v>
      </c>
      <c r="K375" s="147">
        <v>0</v>
      </c>
      <c r="L375" s="148">
        <v>0</v>
      </c>
      <c r="M375" s="149">
        <v>0</v>
      </c>
      <c r="N375" s="150">
        <v>0</v>
      </c>
      <c r="O375" s="130">
        <v>0</v>
      </c>
      <c r="P375" s="130">
        <v>0</v>
      </c>
      <c r="Q375" s="130">
        <v>0</v>
      </c>
      <c r="R375" s="130">
        <v>0</v>
      </c>
      <c r="S375" s="130">
        <v>0</v>
      </c>
      <c r="T375" s="130">
        <v>0</v>
      </c>
      <c r="U375" s="130">
        <v>0</v>
      </c>
      <c r="V375" s="524">
        <v>0</v>
      </c>
      <c r="W375" s="130">
        <v>0</v>
      </c>
      <c r="X375" s="130">
        <v>0</v>
      </c>
      <c r="Y375" s="130">
        <v>0</v>
      </c>
      <c r="Z375" s="130">
        <v>0</v>
      </c>
      <c r="AA375" s="159" t="s">
        <v>3818</v>
      </c>
      <c r="AB375" s="159" t="s">
        <v>1262</v>
      </c>
      <c r="AD375" s="159">
        <v>3</v>
      </c>
      <c r="AE375" s="158" t="b">
        <f>IF(AB375="",TRUE,IF(IF(AC375="",VLOOKUP(AB375,Calculs!$A$19:$S$425,19,FALSE),VLOOKUP(AC375,Calculs!$A$19:$S$425,19,FALSE))&gt;=AD375,TRUE,FALSE))</f>
        <v>0</v>
      </c>
      <c r="AF375" s="159" t="s">
        <v>3326</v>
      </c>
      <c r="AH375" s="159">
        <v>3</v>
      </c>
      <c r="AI375" s="158" t="b">
        <f>IF(AF375="",TRUE,IF(IF(AG375="",VLOOKUP(AF375,Calculs!$A$19:$S$425,19,FALSE),VLOOKUP(AG375,Calculs!$A$19:$S$425,19,FALSE))&gt;=AH375,TRUE,FALSE))</f>
        <v>0</v>
      </c>
      <c r="AJ375" s="159" t="s">
        <v>3327</v>
      </c>
      <c r="AL375" s="159">
        <v>3</v>
      </c>
      <c r="AM375" s="158" t="b">
        <f>IF(AJ375="",TRUE,IF(IF(AK375="",VLOOKUP(AJ375,Calculs!$A$19:$S$425,19,FALSE),VLOOKUP(AK375,Calculs!$A$19:$S$425,19,FALSE))&gt;=AL375,TRUE,FALSE))</f>
        <v>0</v>
      </c>
      <c r="AN375" s="159" t="s">
        <v>3328</v>
      </c>
      <c r="AP375" s="159">
        <v>3</v>
      </c>
      <c r="AQ375" s="158" t="b">
        <f>IF(AN375="",TRUE,IF(IF(AO375="",VLOOKUP(AN375,Calculs!$A$19:$S$425,19,FALSE),VLOOKUP(AO375,Calculs!$A$19:$S$425,19,FALSE))&gt;=AP375,TRUE,FALSE))</f>
        <v>0</v>
      </c>
      <c r="AR375" s="158"/>
      <c r="AS375" s="158" t="b">
        <f>IF(AR375="",TRUE,IF(VLOOKUP(AR375,Calculs!$A$427:$G$738,7,FALSE)&gt;0,TRUE,FALSE))</f>
        <v>1</v>
      </c>
      <c r="AT375" s="158"/>
      <c r="AU375" s="158" t="b">
        <f>IF(AT375="",TRUE,IF(VLOOKUP(AT375,Calculs!$A$740:$G$912,7,FALSE)&gt;0,TRUE,FALSE))</f>
        <v>1</v>
      </c>
      <c r="AV375" s="158" t="b">
        <f t="shared" si="37"/>
        <v>0</v>
      </c>
      <c r="AW375" s="158" t="s">
        <v>2078</v>
      </c>
      <c r="AX375" s="162" t="s">
        <v>3</v>
      </c>
      <c r="AY375" s="15">
        <v>252</v>
      </c>
      <c r="AZ375" s="555" t="s">
        <v>8556</v>
      </c>
      <c r="BA375" s="559">
        <f>IF(Verso!$B$10=Voies!$B375,1,0)</f>
        <v>0</v>
      </c>
      <c r="BB375" s="12">
        <f>IF(Verso!$B$11=Voies!$B375,1,0)</f>
        <v>0</v>
      </c>
      <c r="BC375" s="12">
        <f>IF(Verso!$B$12=Voies!$B375,1,0)</f>
        <v>0</v>
      </c>
      <c r="BD375" s="12">
        <f>IF(Verso!$B$13=Voies!$B375,1,0)</f>
        <v>0</v>
      </c>
      <c r="BE375" s="12">
        <f>IF(Verso!$B$14=Voies!$B375,1,0)</f>
        <v>0</v>
      </c>
      <c r="BF375" s="12">
        <f>IF(Verso!$B$15=Voies!$B375,1,0)</f>
        <v>0</v>
      </c>
      <c r="BG375" s="12">
        <f>IF(Verso!$B$16=Voies!$B375,1,0)</f>
        <v>0</v>
      </c>
      <c r="BH375" s="12">
        <f>IF(Verso!$B$17=Voies!$B375,1,0)</f>
        <v>0</v>
      </c>
      <c r="BI375" s="557">
        <f t="shared" si="38"/>
        <v>0</v>
      </c>
      <c r="BJ375" s="196" t="str">
        <f t="shared" si="39"/>
        <v/>
      </c>
      <c r="BK375" s="196" t="str">
        <f t="shared" si="40"/>
        <v/>
      </c>
      <c r="BL375" s="295" t="str">
        <f t="shared" si="41"/>
        <v/>
      </c>
    </row>
    <row r="376" spans="1:65" ht="47.25" customHeight="1" x14ac:dyDescent="0.25">
      <c r="A376" s="162" t="str">
        <f>IF(AND(Réputation&gt;Voies!E376-1,OR(C376=TRUE,Calculs!$I$8&gt;0),Air&gt;Voies!J376-1,Eau&gt;Voies!K376-1,Feu&gt;Voies!L376-1,Terre&gt;Voies!M376-1,Vide&gt;Voies!N376-1,Constitution&gt;Voies!O376-1,Volonté&gt;Voies!P376-1,Force&gt;Voies!Q376-1,Perception&gt;Voies!R376-1,Reflexes&gt;Voies!S376-1,Agilité&gt;Voies!T376-1,Intuition&gt;Voies!U376-1,Intelligence&gt;Voies!V376-1,Souillure&gt;Voies!W376-1,Honneur&gt;X376-1,Statut&gt;Y376-1,Gloire&gt;Z376-1,AV376=TRUE),Voies!B376,"")</f>
        <v/>
      </c>
      <c r="B376" s="162" t="s">
        <v>3513</v>
      </c>
      <c r="C376" s="162" t="b">
        <f>IF(Clan=Voies!D376,TRUE,FALSE)</f>
        <v>0</v>
      </c>
      <c r="D376" s="387" t="s">
        <v>176</v>
      </c>
      <c r="E376" s="13">
        <v>2</v>
      </c>
      <c r="F376" s="199">
        <v>2</v>
      </c>
      <c r="G376" s="13" t="s">
        <v>2056</v>
      </c>
      <c r="H376" s="219" t="s">
        <v>486</v>
      </c>
      <c r="I376" s="129" t="s">
        <v>3512</v>
      </c>
      <c r="J376" s="146">
        <v>0</v>
      </c>
      <c r="K376" s="147">
        <v>0</v>
      </c>
      <c r="L376" s="148">
        <v>3</v>
      </c>
      <c r="M376" s="149">
        <v>0</v>
      </c>
      <c r="N376" s="150">
        <v>0</v>
      </c>
      <c r="O376" s="130">
        <v>0</v>
      </c>
      <c r="P376" s="130">
        <v>0</v>
      </c>
      <c r="Q376" s="130">
        <v>0</v>
      </c>
      <c r="R376" s="130">
        <v>0</v>
      </c>
      <c r="S376" s="130">
        <v>0</v>
      </c>
      <c r="T376" s="130">
        <v>0</v>
      </c>
      <c r="U376" s="130">
        <v>0</v>
      </c>
      <c r="V376" s="524">
        <v>0</v>
      </c>
      <c r="W376" s="130">
        <v>0</v>
      </c>
      <c r="X376" s="130">
        <v>0</v>
      </c>
      <c r="Y376" s="130">
        <v>0</v>
      </c>
      <c r="Z376" s="130">
        <v>0</v>
      </c>
      <c r="AA376" s="159" t="s">
        <v>6366</v>
      </c>
      <c r="AB376" s="159" t="s">
        <v>1262</v>
      </c>
      <c r="AC376" s="159" t="s">
        <v>6420</v>
      </c>
      <c r="AD376" s="159">
        <v>2</v>
      </c>
      <c r="AE376" s="158" t="b">
        <f>IF(AB376="",TRUE,IF(IF(AC376="",VLOOKUP(AB376,Calculs!$A$19:$S$425,19,FALSE),VLOOKUP(AC376,Calculs!$A$19:$S$425,19,FALSE))&gt;=AD376,TRUE,FALSE))</f>
        <v>0</v>
      </c>
      <c r="AF376" s="159" t="s">
        <v>3327</v>
      </c>
      <c r="AG376" s="159" t="s">
        <v>3296</v>
      </c>
      <c r="AH376" s="159">
        <v>2</v>
      </c>
      <c r="AI376" s="158" t="b">
        <f>IF(AF376="",TRUE,IF(IF(AG376="",VLOOKUP(AF376,Calculs!$A$19:$S$425,19,FALSE),VLOOKUP(AG376,Calculs!$A$19:$S$425,19,FALSE))&gt;=AH376,TRUE,FALSE))</f>
        <v>0</v>
      </c>
      <c r="AM376" s="158" t="b">
        <f>IF(AJ376="",TRUE,IF(IF(AK376="",VLOOKUP(AJ376,Calculs!$A$19:$S$425,19,FALSE),VLOOKUP(AK376,Calculs!$A$19:$S$425,19,FALSE))&gt;=AL376,TRUE,FALSE))</f>
        <v>1</v>
      </c>
      <c r="AQ376" s="158" t="b">
        <f>IF(AN376="",TRUE,IF(IF(AO376="",VLOOKUP(AN376,Calculs!$A$19:$S$425,19,FALSE),VLOOKUP(AO376,Calculs!$A$19:$S$425,19,FALSE))&gt;=AP376,TRUE,FALSE))</f>
        <v>1</v>
      </c>
      <c r="AR376" s="158"/>
      <c r="AS376" s="158" t="b">
        <f>IF(AR376="",TRUE,IF(VLOOKUP(AR376,Calculs!$A$427:$G$738,7,FALSE)&gt;0,TRUE,FALSE))</f>
        <v>1</v>
      </c>
      <c r="AT376" s="158"/>
      <c r="AU376" s="158" t="b">
        <f>IF(AT376="",TRUE,IF(VLOOKUP(AT376,Calculs!$A$740:$G$912,7,FALSE)&gt;0,TRUE,FALSE))</f>
        <v>1</v>
      </c>
      <c r="AV376" s="158" t="b">
        <f t="shared" si="37"/>
        <v>0</v>
      </c>
      <c r="AW376" s="158" t="s">
        <v>2078</v>
      </c>
      <c r="AX376" s="162" t="s">
        <v>160</v>
      </c>
      <c r="AY376" s="15">
        <v>180</v>
      </c>
      <c r="AZ376" s="555" t="s">
        <v>3514</v>
      </c>
      <c r="BA376" s="559">
        <f>IF(Verso!$B$10=Voies!$B376,1,0)</f>
        <v>0</v>
      </c>
      <c r="BB376" s="12">
        <f>IF(Verso!$B$11=Voies!$B376,1,0)</f>
        <v>0</v>
      </c>
      <c r="BC376" s="12">
        <f>IF(Verso!$B$12=Voies!$B376,1,0)</f>
        <v>0</v>
      </c>
      <c r="BD376" s="12">
        <f>IF(Verso!$B$13=Voies!$B376,1,0)</f>
        <v>0</v>
      </c>
      <c r="BE376" s="12">
        <f>IF(Verso!$B$14=Voies!$B376,1,0)</f>
        <v>0</v>
      </c>
      <c r="BF376" s="12">
        <f>IF(Verso!$B$15=Voies!$B376,1,0)</f>
        <v>0</v>
      </c>
      <c r="BG376" s="12">
        <f>IF(Verso!$B$16=Voies!$B376,1,0)</f>
        <v>0</v>
      </c>
      <c r="BH376" s="12">
        <f>IF(Verso!$B$17=Voies!$B376,1,0)</f>
        <v>0</v>
      </c>
      <c r="BI376" s="557">
        <f t="shared" si="38"/>
        <v>0</v>
      </c>
      <c r="BJ376" s="196" t="str">
        <f t="shared" si="39"/>
        <v/>
      </c>
      <c r="BK376" s="196" t="str">
        <f t="shared" si="40"/>
        <v/>
      </c>
      <c r="BL376" s="295" t="str">
        <f t="shared" si="41"/>
        <v/>
      </c>
    </row>
    <row r="377" spans="1:65" ht="47.25" customHeight="1" x14ac:dyDescent="0.25">
      <c r="A377" s="162" t="str">
        <f>IF(AND(Réputation&gt;Voies!E377-1,OR(C377=TRUE,Calculs!$I$8&gt;0),Air&gt;Voies!J377-1,Eau&gt;Voies!K377-1,Feu&gt;Voies!L377-1,Terre&gt;Voies!M377-1,Vide&gt;Voies!N377-1,Constitution&gt;Voies!O377-1,Volonté&gt;Voies!P377-1,Force&gt;Voies!Q377-1,Perception&gt;Voies!R377-1,Reflexes&gt;Voies!S377-1,Agilité&gt;Voies!T377-1,Intuition&gt;Voies!U377-1,Intelligence&gt;Voies!V377-1,Souillure&gt;Voies!W377-1,Honneur&gt;X377-1,Statut&gt;Y377-1,Gloire&gt;Z377-1,AV377=TRUE),Voies!B377,"")</f>
        <v/>
      </c>
      <c r="B377" s="162" t="s">
        <v>2834</v>
      </c>
      <c r="C377" s="162" t="b">
        <f>IF(Clan=Voies!D377,TRUE,FALSE)</f>
        <v>0</v>
      </c>
      <c r="D377" s="387" t="s">
        <v>176</v>
      </c>
      <c r="E377" s="13">
        <v>3</v>
      </c>
      <c r="F377" s="199">
        <v>3</v>
      </c>
      <c r="G377" s="199" t="s">
        <v>2057</v>
      </c>
      <c r="H377" s="219" t="s">
        <v>6052</v>
      </c>
      <c r="I377" s="129" t="str">
        <f>IF(B377="","","Rien")</f>
        <v>Rien</v>
      </c>
      <c r="J377" s="146">
        <v>0</v>
      </c>
      <c r="K377" s="147">
        <v>0</v>
      </c>
      <c r="L377" s="148">
        <v>0</v>
      </c>
      <c r="M377" s="149">
        <v>0</v>
      </c>
      <c r="N377" s="150">
        <v>0</v>
      </c>
      <c r="O377" s="130">
        <v>0</v>
      </c>
      <c r="P377" s="130">
        <v>0</v>
      </c>
      <c r="Q377" s="130">
        <v>0</v>
      </c>
      <c r="R377" s="130">
        <v>0</v>
      </c>
      <c r="S377" s="130">
        <v>0</v>
      </c>
      <c r="T377" s="130">
        <v>0</v>
      </c>
      <c r="U377" s="130">
        <v>0</v>
      </c>
      <c r="V377" s="524">
        <v>0</v>
      </c>
      <c r="W377" s="130">
        <v>0</v>
      </c>
      <c r="X377" s="130">
        <v>0</v>
      </c>
      <c r="Y377" s="130">
        <v>0</v>
      </c>
      <c r="Z377" s="130">
        <v>0</v>
      </c>
      <c r="AA377" s="158" t="s">
        <v>2078</v>
      </c>
      <c r="AB377" s="158"/>
      <c r="AC377" s="158"/>
      <c r="AD377" s="158"/>
      <c r="AE377" s="158" t="b">
        <f>IF(AB377="",TRUE,IF(IF(AC377="",VLOOKUP(AB377,Calculs!$A$19:$S$425,19,FALSE),VLOOKUP(AC377,Calculs!$A$19:$S$425,19,FALSE))&gt;=AD377,TRUE,FALSE))</f>
        <v>1</v>
      </c>
      <c r="AF377" s="158"/>
      <c r="AG377" s="158"/>
      <c r="AH377" s="158"/>
      <c r="AI377" s="158" t="b">
        <f>IF(AF377="",TRUE,IF(IF(AG377="",VLOOKUP(AF377,Calculs!$A$19:$S$425,19,FALSE),VLOOKUP(AG377,Calculs!$A$19:$S$425,19,FALSE))&gt;=AH377,TRUE,FALSE))</f>
        <v>1</v>
      </c>
      <c r="AJ377" s="158"/>
      <c r="AK377" s="158"/>
      <c r="AL377" s="158"/>
      <c r="AM377" s="158" t="b">
        <f>IF(AJ377="",TRUE,IF(IF(AK377="",VLOOKUP(AJ377,Calculs!$A$19:$S$425,19,FALSE),VLOOKUP(AK377,Calculs!$A$19:$S$425,19,FALSE))&gt;=AL377,TRUE,FALSE))</f>
        <v>1</v>
      </c>
      <c r="AN377" s="158"/>
      <c r="AO377" s="158"/>
      <c r="AP377" s="158"/>
      <c r="AQ377" s="158" t="b">
        <f>IF(AN377="",TRUE,IF(IF(AO377="",VLOOKUP(AN377,Calculs!$A$19:$S$425,19,FALSE),VLOOKUP(AO377,Calculs!$A$19:$S$425,19,FALSE))&gt;=AP377,TRUE,FALSE))</f>
        <v>1</v>
      </c>
      <c r="AR377" s="158"/>
      <c r="AS377" s="158" t="b">
        <f>IF(AR377="",TRUE,IF(VLOOKUP(AR377,Calculs!$A$427:$G$738,7,FALSE)&gt;0,TRUE,FALSE))</f>
        <v>1</v>
      </c>
      <c r="AT377" s="158"/>
      <c r="AU377" s="158" t="b">
        <f>IF(AT377="",TRUE,IF(VLOOKUP(AT377,Calculs!$A$740:$G$912,7,FALSE)&gt;0,TRUE,FALSE))</f>
        <v>1</v>
      </c>
      <c r="AV377" s="158" t="b">
        <f t="shared" si="37"/>
        <v>1</v>
      </c>
      <c r="AW377" s="158" t="s">
        <v>2078</v>
      </c>
      <c r="AX377" s="162" t="s">
        <v>6061</v>
      </c>
      <c r="AY377" s="15">
        <v>101</v>
      </c>
      <c r="AZ377" s="555" t="s">
        <v>2837</v>
      </c>
      <c r="BA377" s="559">
        <f>IF(Verso!$B$10=Voies!$B377,1,0)</f>
        <v>0</v>
      </c>
      <c r="BB377" s="12">
        <f>IF(Verso!$B$11=Voies!$B377,1,0)</f>
        <v>0</v>
      </c>
      <c r="BC377" s="12">
        <f>IF(Verso!$B$12=Voies!$B377,1,0)</f>
        <v>0</v>
      </c>
      <c r="BD377" s="12">
        <f>IF(Verso!$B$13=Voies!$B377,1,0)</f>
        <v>0</v>
      </c>
      <c r="BE377" s="12">
        <f>IF(Verso!$B$14=Voies!$B377,1,0)</f>
        <v>0</v>
      </c>
      <c r="BF377" s="12">
        <f>IF(Verso!$B$15=Voies!$B377,1,0)</f>
        <v>0</v>
      </c>
      <c r="BG377" s="12">
        <f>IF(Verso!$B$16=Voies!$B377,1,0)</f>
        <v>0</v>
      </c>
      <c r="BH377" s="12">
        <f>IF(Verso!$B$17=Voies!$B377,1,0)</f>
        <v>0</v>
      </c>
      <c r="BI377" s="557">
        <f t="shared" si="38"/>
        <v>0</v>
      </c>
      <c r="BJ377" s="196" t="str">
        <f t="shared" si="39"/>
        <v/>
      </c>
      <c r="BK377" s="196" t="str">
        <f t="shared" si="40"/>
        <v/>
      </c>
      <c r="BL377" s="295" t="str">
        <f t="shared" si="41"/>
        <v/>
      </c>
    </row>
    <row r="378" spans="1:65" ht="47.25" customHeight="1" x14ac:dyDescent="0.25">
      <c r="A378" s="162" t="str">
        <f>IF(AND(Réputation&gt;Voies!E378-1,OR(C378=TRUE,Calculs!$I$8&gt;0),Air&gt;Voies!J378-1,Eau&gt;Voies!K378-1,Feu&gt;Voies!L378-1,Terre&gt;Voies!M378-1,Vide&gt;Voies!N378-1,Constitution&gt;Voies!O378-1,Volonté&gt;Voies!P378-1,Force&gt;Voies!Q378-1,Perception&gt;Voies!R378-1,Reflexes&gt;Voies!S378-1,Agilité&gt;Voies!T378-1,Intuition&gt;Voies!U378-1,Intelligence&gt;Voies!V378-1,Souillure&gt;Voies!W378-1,Honneur&gt;X378-1,Statut&gt;Y378-1,Gloire&gt;Z378-1,AV378=TRUE),Voies!B378,"")</f>
        <v/>
      </c>
      <c r="B378" s="162" t="s">
        <v>2343</v>
      </c>
      <c r="C378" s="162" t="b">
        <f>IF(Clan=Voies!D378,TRUE,FALSE)</f>
        <v>0</v>
      </c>
      <c r="D378" s="387" t="s">
        <v>176</v>
      </c>
      <c r="E378" s="13">
        <v>3</v>
      </c>
      <c r="F378" s="199">
        <v>3</v>
      </c>
      <c r="G378" s="199" t="s">
        <v>2049</v>
      </c>
      <c r="H378" s="219" t="s">
        <v>198</v>
      </c>
      <c r="I378" s="129" t="str">
        <f>IF(B378="","","Rien")</f>
        <v>Rien</v>
      </c>
      <c r="J378" s="146">
        <v>0</v>
      </c>
      <c r="K378" s="147">
        <v>0</v>
      </c>
      <c r="L378" s="148">
        <v>0</v>
      </c>
      <c r="M378" s="149">
        <v>0</v>
      </c>
      <c r="N378" s="150">
        <v>0</v>
      </c>
      <c r="O378" s="130">
        <v>0</v>
      </c>
      <c r="P378" s="130">
        <v>0</v>
      </c>
      <c r="Q378" s="130">
        <v>0</v>
      </c>
      <c r="R378" s="130">
        <v>0</v>
      </c>
      <c r="S378" s="130">
        <v>0</v>
      </c>
      <c r="T378" s="130">
        <v>0</v>
      </c>
      <c r="U378" s="130">
        <v>0</v>
      </c>
      <c r="V378" s="524">
        <v>0</v>
      </c>
      <c r="W378" s="130">
        <v>0</v>
      </c>
      <c r="X378" s="130">
        <v>0</v>
      </c>
      <c r="Y378" s="130">
        <v>0</v>
      </c>
      <c r="Z378" s="130">
        <v>0</v>
      </c>
      <c r="AA378" s="158" t="s">
        <v>2078</v>
      </c>
      <c r="AB378" s="158"/>
      <c r="AC378" s="158"/>
      <c r="AD378" s="158"/>
      <c r="AE378" s="158" t="b">
        <f>IF(AB378="",TRUE,IF(IF(AC378="",VLOOKUP(AB378,Calculs!$A$19:$S$425,19,FALSE),VLOOKUP(AC378,Calculs!$A$19:$S$425,19,FALSE))&gt;=AD378,TRUE,FALSE))</f>
        <v>1</v>
      </c>
      <c r="AF378" s="158"/>
      <c r="AG378" s="158"/>
      <c r="AH378" s="158"/>
      <c r="AI378" s="158" t="b">
        <f>IF(AF378="",TRUE,IF(IF(AG378="",VLOOKUP(AF378,Calculs!$A$19:$S$425,19,FALSE),VLOOKUP(AG378,Calculs!$A$19:$S$425,19,FALSE))&gt;=AH378,TRUE,FALSE))</f>
        <v>1</v>
      </c>
      <c r="AJ378" s="158"/>
      <c r="AK378" s="158"/>
      <c r="AL378" s="158"/>
      <c r="AM378" s="158" t="b">
        <f>IF(AJ378="",TRUE,IF(IF(AK378="",VLOOKUP(AJ378,Calculs!$A$19:$S$425,19,FALSE),VLOOKUP(AK378,Calculs!$A$19:$S$425,19,FALSE))&gt;=AL378,TRUE,FALSE))</f>
        <v>1</v>
      </c>
      <c r="AN378" s="158"/>
      <c r="AO378" s="158"/>
      <c r="AP378" s="158"/>
      <c r="AQ378" s="158" t="b">
        <f>IF(AN378="",TRUE,IF(IF(AO378="",VLOOKUP(AN378,Calculs!$A$19:$S$425,19,FALSE),VLOOKUP(AO378,Calculs!$A$19:$S$425,19,FALSE))&gt;=AP378,TRUE,FALSE))</f>
        <v>1</v>
      </c>
      <c r="AR378" s="158"/>
      <c r="AS378" s="158" t="b">
        <f>IF(AR378="",TRUE,IF(VLOOKUP(AR378,Calculs!$A$427:$G$738,7,FALSE)&gt;0,TRUE,FALSE))</f>
        <v>1</v>
      </c>
      <c r="AT378" s="158"/>
      <c r="AU378" s="158" t="b">
        <f>IF(AT378="",TRUE,IF(VLOOKUP(AT378,Calculs!$A$740:$G$912,7,FALSE)&gt;0,TRUE,FALSE))</f>
        <v>1</v>
      </c>
      <c r="AV378" s="158" t="b">
        <f t="shared" si="37"/>
        <v>1</v>
      </c>
      <c r="AW378" s="158" t="s">
        <v>2078</v>
      </c>
      <c r="AX378" s="162" t="s">
        <v>143</v>
      </c>
      <c r="AY378" s="15">
        <v>113</v>
      </c>
      <c r="AZ378" s="555" t="s">
        <v>8557</v>
      </c>
      <c r="BA378" s="559">
        <f>IF(Verso!$B$10=Voies!$B378,1,0)</f>
        <v>0</v>
      </c>
      <c r="BB378" s="12">
        <f>IF(Verso!$B$11=Voies!$B378,1,0)</f>
        <v>0</v>
      </c>
      <c r="BC378" s="12">
        <f>IF(Verso!$B$12=Voies!$B378,1,0)</f>
        <v>0</v>
      </c>
      <c r="BD378" s="12">
        <f>IF(Verso!$B$13=Voies!$B378,1,0)</f>
        <v>0</v>
      </c>
      <c r="BE378" s="12">
        <f>IF(Verso!$B$14=Voies!$B378,1,0)</f>
        <v>0</v>
      </c>
      <c r="BF378" s="12">
        <f>IF(Verso!$B$15=Voies!$B378,1,0)</f>
        <v>0</v>
      </c>
      <c r="BG378" s="12">
        <f>IF(Verso!$B$16=Voies!$B378,1,0)</f>
        <v>0</v>
      </c>
      <c r="BH378" s="12">
        <f>IF(Verso!$B$17=Voies!$B378,1,0)</f>
        <v>0</v>
      </c>
      <c r="BI378" s="557">
        <f t="shared" si="38"/>
        <v>0</v>
      </c>
      <c r="BJ378" s="196" t="str">
        <f t="shared" si="39"/>
        <v/>
      </c>
      <c r="BK378" s="196" t="str">
        <f t="shared" si="40"/>
        <v/>
      </c>
      <c r="BL378" s="295" t="str">
        <f t="shared" si="41"/>
        <v/>
      </c>
    </row>
    <row r="379" spans="1:65" s="196" customFormat="1" ht="47.25" customHeight="1" x14ac:dyDescent="0.25">
      <c r="A379" s="162" t="str">
        <f>IF(AND(Réputation&gt;Voies!E379-1,OR(C379=TRUE,Calculs!$I$8&gt;0),Air&gt;Voies!J379-1,Eau&gt;Voies!K379-1,Feu&gt;Voies!L379-1,Terre&gt;Voies!M379-1,Vide&gt;Voies!N379-1,Constitution&gt;Voies!O379-1,Volonté&gt;Voies!P379-1,Force&gt;Voies!Q379-1,Perception&gt;Voies!R379-1,Reflexes&gt;Voies!S379-1,Agilité&gt;Voies!T379-1,Intuition&gt;Voies!U379-1,Intelligence&gt;Voies!V379-1,Souillure&gt;Voies!W379-1,Honneur&gt;X379-1,Statut&gt;Y379-1,Gloire&gt;Z379-1,AV379=TRUE),Voies!B379,"")</f>
        <v/>
      </c>
      <c r="B379" s="162" t="s">
        <v>8023</v>
      </c>
      <c r="C379" s="162" t="b">
        <f>IF(Clan=Voies!D379,TRUE,FALSE)</f>
        <v>0</v>
      </c>
      <c r="D379" s="387" t="s">
        <v>176</v>
      </c>
      <c r="E379" s="199">
        <v>3</v>
      </c>
      <c r="F379" s="199">
        <v>3</v>
      </c>
      <c r="G379" s="199" t="s">
        <v>2049</v>
      </c>
      <c r="H379" s="219" t="s">
        <v>8025</v>
      </c>
      <c r="I379" s="129" t="s">
        <v>8024</v>
      </c>
      <c r="J379" s="146">
        <v>0</v>
      </c>
      <c r="K379" s="147">
        <v>0</v>
      </c>
      <c r="L379" s="148">
        <v>0</v>
      </c>
      <c r="M379" s="149">
        <v>0</v>
      </c>
      <c r="N379" s="150">
        <v>0</v>
      </c>
      <c r="O379" s="130">
        <v>0</v>
      </c>
      <c r="P379" s="130">
        <v>0</v>
      </c>
      <c r="Q379" s="130">
        <v>0</v>
      </c>
      <c r="R379" s="130">
        <v>0</v>
      </c>
      <c r="S379" s="130">
        <v>0</v>
      </c>
      <c r="T379" s="130">
        <v>0</v>
      </c>
      <c r="U379" s="130">
        <v>0</v>
      </c>
      <c r="V379" s="524">
        <v>0</v>
      </c>
      <c r="W379" s="130">
        <v>0</v>
      </c>
      <c r="X379" s="130">
        <v>0</v>
      </c>
      <c r="Y379" s="130">
        <v>0</v>
      </c>
      <c r="Z379" s="130">
        <v>0</v>
      </c>
      <c r="AA379" s="158" t="s">
        <v>8026</v>
      </c>
      <c r="AB379" s="158" t="s">
        <v>189</v>
      </c>
      <c r="AC379" s="158"/>
      <c r="AD379" s="158">
        <v>4</v>
      </c>
      <c r="AE379" s="158" t="b">
        <f>IF(AB379="",TRUE,IF(IF(AC379="",VLOOKUP(AB379,Calculs!$A$19:$S$425,19,FALSE),VLOOKUP(AC379,Calculs!$A$19:$S$425,19,FALSE))&gt;=AD379,TRUE,FALSE))</f>
        <v>0</v>
      </c>
      <c r="AF379" s="158" t="s">
        <v>351</v>
      </c>
      <c r="AG379" s="158"/>
      <c r="AH379" s="158">
        <v>4</v>
      </c>
      <c r="AI379" s="158" t="b">
        <f>IF(AF379="",TRUE,IF(IF(AG379="",VLOOKUP(AF379,Calculs!$A$19:$S$425,19,FALSE),VLOOKUP(AG379,Calculs!$A$19:$S$425,19,FALSE))&gt;=AH379,TRUE,FALSE))</f>
        <v>0</v>
      </c>
      <c r="AJ379" s="158"/>
      <c r="AK379" s="158"/>
      <c r="AL379" s="158"/>
      <c r="AM379" s="158" t="b">
        <f>IF(AJ379="",TRUE,IF(IF(AK379="",VLOOKUP(AJ379,Calculs!$A$19:$S$425,19,FALSE),VLOOKUP(AK379,Calculs!$A$19:$S$425,19,FALSE))&gt;=AL379,TRUE,FALSE))</f>
        <v>1</v>
      </c>
      <c r="AN379" s="158"/>
      <c r="AO379" s="158"/>
      <c r="AP379" s="158"/>
      <c r="AQ379" s="158" t="b">
        <f>IF(AN379="",TRUE,IF(IF(AO379="",VLOOKUP(AN379,Calculs!$A$19:$S$425,19,FALSE),VLOOKUP(AO379,Calculs!$A$19:$S$425,19,FALSE))&gt;=AP379,TRUE,FALSE))</f>
        <v>1</v>
      </c>
      <c r="AR379" s="158"/>
      <c r="AS379" s="158" t="b">
        <f>IF(AR379="",TRUE,IF(VLOOKUP(AR379,Calculs!$A$427:$G$738,7,FALSE)&gt;0,TRUE,FALSE))</f>
        <v>1</v>
      </c>
      <c r="AT379" s="158"/>
      <c r="AU379" s="158" t="b">
        <f>IF(AT379="",TRUE,IF(VLOOKUP(AT379,Calculs!$A$740:$G$912,7,FALSE)&gt;0,TRUE,FALSE))</f>
        <v>1</v>
      </c>
      <c r="AV379" s="158" t="b">
        <f t="shared" si="37"/>
        <v>0</v>
      </c>
      <c r="AW379" s="158" t="s">
        <v>2078</v>
      </c>
      <c r="AX379" s="162" t="s">
        <v>8021</v>
      </c>
      <c r="AY379" s="15">
        <v>11</v>
      </c>
      <c r="AZ379" s="555" t="s">
        <v>8027</v>
      </c>
      <c r="BA379" s="559">
        <f>IF(Verso!$B$10=Voies!$B379,1,0)</f>
        <v>0</v>
      </c>
      <c r="BB379" s="12">
        <f>IF(Verso!$B$11=Voies!$B379,1,0)</f>
        <v>0</v>
      </c>
      <c r="BC379" s="12">
        <f>IF(Verso!$B$12=Voies!$B379,1,0)</f>
        <v>0</v>
      </c>
      <c r="BD379" s="12">
        <f>IF(Verso!$B$13=Voies!$B379,1,0)</f>
        <v>0</v>
      </c>
      <c r="BE379" s="12">
        <f>IF(Verso!$B$14=Voies!$B379,1,0)</f>
        <v>0</v>
      </c>
      <c r="BF379" s="12">
        <f>IF(Verso!$B$15=Voies!$B379,1,0)</f>
        <v>0</v>
      </c>
      <c r="BG379" s="12">
        <f>IF(Verso!$B$16=Voies!$B379,1,0)</f>
        <v>0</v>
      </c>
      <c r="BH379" s="12">
        <f>IF(Verso!$B$17=Voies!$B379,1,0)</f>
        <v>0</v>
      </c>
      <c r="BI379" s="557">
        <f t="shared" si="38"/>
        <v>0</v>
      </c>
      <c r="BJ379" s="196" t="str">
        <f t="shared" si="39"/>
        <v/>
      </c>
      <c r="BK379" s="196" t="str">
        <f t="shared" si="40"/>
        <v/>
      </c>
      <c r="BL379" s="295" t="str">
        <f t="shared" si="41"/>
        <v/>
      </c>
      <c r="BM379" s="91"/>
    </row>
    <row r="380" spans="1:65" ht="47.25" customHeight="1" x14ac:dyDescent="0.25">
      <c r="A380" s="162" t="str">
        <f>IF(AND(Réputation&gt;Voies!E380-1,OR(C380=TRUE,Calculs!$I$8&gt;0),Air&gt;Voies!J380-1,Eau&gt;Voies!K380-1,Feu&gt;Voies!L380-1,Terre&gt;Voies!M380-1,Vide&gt;Voies!N380-1,Constitution&gt;Voies!O380-1,Volonté&gt;Voies!P380-1,Force&gt;Voies!Q380-1,Perception&gt;Voies!R380-1,Reflexes&gt;Voies!S380-1,Agilité&gt;Voies!T380-1,Intuition&gt;Voies!U380-1,Intelligence&gt;Voies!V380-1,Souillure&gt;Voies!W380-1,Honneur&gt;X380-1,Statut&gt;Y380-1,Gloire&gt;Z380-1,AV380=TRUE),Voies!B380,"")</f>
        <v/>
      </c>
      <c r="B380" s="162" t="s">
        <v>6069</v>
      </c>
      <c r="C380" s="162" t="b">
        <f>IF(Clan=Voies!D380,TRUE,FALSE)</f>
        <v>0</v>
      </c>
      <c r="D380" s="387" t="s">
        <v>176</v>
      </c>
      <c r="E380" s="199">
        <v>3</v>
      </c>
      <c r="F380" s="199">
        <v>3</v>
      </c>
      <c r="G380" s="199" t="s">
        <v>2049</v>
      </c>
      <c r="H380" s="219" t="s">
        <v>2824</v>
      </c>
      <c r="I380" s="129" t="str">
        <f>IF(B380="","","Rien")</f>
        <v>Rien</v>
      </c>
      <c r="J380" s="146">
        <v>0</v>
      </c>
      <c r="K380" s="147">
        <v>0</v>
      </c>
      <c r="L380" s="148">
        <v>0</v>
      </c>
      <c r="M380" s="149">
        <v>0</v>
      </c>
      <c r="N380" s="150">
        <v>0</v>
      </c>
      <c r="O380" s="130">
        <v>0</v>
      </c>
      <c r="P380" s="130">
        <v>0</v>
      </c>
      <c r="Q380" s="130">
        <v>0</v>
      </c>
      <c r="R380" s="130">
        <v>0</v>
      </c>
      <c r="S380" s="130">
        <v>0</v>
      </c>
      <c r="T380" s="130">
        <v>0</v>
      </c>
      <c r="U380" s="130">
        <v>0</v>
      </c>
      <c r="V380" s="524">
        <v>0</v>
      </c>
      <c r="W380" s="130">
        <v>0</v>
      </c>
      <c r="X380" s="130">
        <v>0</v>
      </c>
      <c r="Y380" s="130">
        <v>0</v>
      </c>
      <c r="Z380" s="130">
        <v>0</v>
      </c>
      <c r="AA380" s="158" t="s">
        <v>2078</v>
      </c>
      <c r="AB380" s="158"/>
      <c r="AC380" s="158"/>
      <c r="AD380" s="158"/>
      <c r="AE380" s="158" t="b">
        <f>IF(AB380="",TRUE,IF(IF(AC380="",VLOOKUP(AB380,Calculs!$A$19:$S$425,19,FALSE),VLOOKUP(AC380,Calculs!$A$19:$S$425,19,FALSE))&gt;=AD380,TRUE,FALSE))</f>
        <v>1</v>
      </c>
      <c r="AF380" s="158"/>
      <c r="AG380" s="158"/>
      <c r="AH380" s="158"/>
      <c r="AI380" s="158" t="b">
        <f>IF(AF380="",TRUE,IF(IF(AG380="",VLOOKUP(AF380,Calculs!$A$19:$S$425,19,FALSE),VLOOKUP(AG380,Calculs!$A$19:$S$425,19,FALSE))&gt;=AH380,TRUE,FALSE))</f>
        <v>1</v>
      </c>
      <c r="AJ380" s="158"/>
      <c r="AK380" s="158"/>
      <c r="AL380" s="158"/>
      <c r="AM380" s="158" t="b">
        <f>IF(AJ380="",TRUE,IF(IF(AK380="",VLOOKUP(AJ380,Calculs!$A$19:$S$425,19,FALSE),VLOOKUP(AK380,Calculs!$A$19:$S$425,19,FALSE))&gt;=AL380,TRUE,FALSE))</f>
        <v>1</v>
      </c>
      <c r="AN380" s="158"/>
      <c r="AO380" s="158"/>
      <c r="AP380" s="158"/>
      <c r="AQ380" s="158" t="b">
        <f>IF(AN380="",TRUE,IF(IF(AO380="",VLOOKUP(AN380,Calculs!$A$19:$S$425,19,FALSE),VLOOKUP(AO380,Calculs!$A$19:$S$425,19,FALSE))&gt;=AP380,TRUE,FALSE))</f>
        <v>1</v>
      </c>
      <c r="AR380" s="158"/>
      <c r="AS380" s="158" t="b">
        <f>IF(AR380="",TRUE,IF(VLOOKUP(AR380,Calculs!$A$427:$G$738,7,FALSE)&gt;0,TRUE,FALSE))</f>
        <v>1</v>
      </c>
      <c r="AT380" s="158"/>
      <c r="AU380" s="158" t="b">
        <f>IF(AT380="",TRUE,IF(VLOOKUP(AT380,Calculs!$A$740:$G$912,7,FALSE)&gt;0,TRUE,FALSE))</f>
        <v>1</v>
      </c>
      <c r="AV380" s="158" t="b">
        <f t="shared" si="37"/>
        <v>1</v>
      </c>
      <c r="AW380" s="158" t="s">
        <v>2078</v>
      </c>
      <c r="AX380" s="162" t="s">
        <v>6061</v>
      </c>
      <c r="AY380" s="15">
        <v>99</v>
      </c>
      <c r="AZ380" s="555" t="s">
        <v>8558</v>
      </c>
      <c r="BA380" s="559">
        <f>IF(Verso!$B$10=Voies!$B380,1,0)</f>
        <v>0</v>
      </c>
      <c r="BB380" s="12">
        <f>IF(Verso!$B$11=Voies!$B380,1,0)</f>
        <v>0</v>
      </c>
      <c r="BC380" s="12">
        <f>IF(Verso!$B$12=Voies!$B380,1,0)</f>
        <v>0</v>
      </c>
      <c r="BD380" s="12">
        <f>IF(Verso!$B$13=Voies!$B380,1,0)</f>
        <v>0</v>
      </c>
      <c r="BE380" s="12">
        <f>IF(Verso!$B$14=Voies!$B380,1,0)</f>
        <v>0</v>
      </c>
      <c r="BF380" s="12">
        <f>IF(Verso!$B$15=Voies!$B380,1,0)</f>
        <v>0</v>
      </c>
      <c r="BG380" s="12">
        <f>IF(Verso!$B$16=Voies!$B380,1,0)</f>
        <v>0</v>
      </c>
      <c r="BH380" s="12">
        <f>IF(Verso!$B$17=Voies!$B380,1,0)</f>
        <v>0</v>
      </c>
      <c r="BI380" s="557">
        <f t="shared" si="38"/>
        <v>0</v>
      </c>
      <c r="BJ380" s="196" t="str">
        <f t="shared" si="39"/>
        <v/>
      </c>
      <c r="BK380" s="196" t="str">
        <f t="shared" si="40"/>
        <v/>
      </c>
      <c r="BL380" s="295" t="str">
        <f t="shared" si="41"/>
        <v/>
      </c>
    </row>
    <row r="381" spans="1:65" ht="47.25" customHeight="1" x14ac:dyDescent="0.25">
      <c r="A381" s="162" t="str">
        <f>IF(AND(Réputation&gt;Voies!E381-1,OR(C381=TRUE,Calculs!$I$8&gt;0),Air&gt;Voies!J381-1,Eau&gt;Voies!K381-1,Feu&gt;Voies!L381-1,Terre&gt;Voies!M381-1,Vide&gt;Voies!N381-1,Constitution&gt;Voies!O381-1,Volonté&gt;Voies!P381-1,Force&gt;Voies!Q381-1,Perception&gt;Voies!R381-1,Reflexes&gt;Voies!S381-1,Agilité&gt;Voies!T381-1,Intuition&gt;Voies!U381-1,Intelligence&gt;Voies!V381-1,Souillure&gt;Voies!W381-1,Honneur&gt;X381-1,Statut&gt;Y381-1,Gloire&gt;Z381-1,AV381=TRUE),Voies!B381,"")</f>
        <v/>
      </c>
      <c r="B381" s="162" t="s">
        <v>2368</v>
      </c>
      <c r="C381" s="162" t="b">
        <f>IF(Clan=Voies!D381,TRUE,FALSE)</f>
        <v>0</v>
      </c>
      <c r="D381" s="387" t="s">
        <v>176</v>
      </c>
      <c r="E381" s="13">
        <v>3</v>
      </c>
      <c r="F381" s="199">
        <v>3</v>
      </c>
      <c r="G381" s="199" t="s">
        <v>2049</v>
      </c>
      <c r="H381" s="219" t="s">
        <v>199</v>
      </c>
      <c r="I381" s="129" t="str">
        <f>IF(B381="","","Rien")</f>
        <v>Rien</v>
      </c>
      <c r="J381" s="146">
        <v>0</v>
      </c>
      <c r="K381" s="147">
        <v>0</v>
      </c>
      <c r="L381" s="148">
        <v>0</v>
      </c>
      <c r="M381" s="149">
        <v>0</v>
      </c>
      <c r="N381" s="150">
        <v>0</v>
      </c>
      <c r="O381" s="130">
        <v>0</v>
      </c>
      <c r="P381" s="130">
        <v>0</v>
      </c>
      <c r="Q381" s="130">
        <v>0</v>
      </c>
      <c r="R381" s="130">
        <v>0</v>
      </c>
      <c r="S381" s="130">
        <v>0</v>
      </c>
      <c r="T381" s="130">
        <v>0</v>
      </c>
      <c r="U381" s="130">
        <v>0</v>
      </c>
      <c r="V381" s="524">
        <v>0</v>
      </c>
      <c r="W381" s="130">
        <v>0</v>
      </c>
      <c r="X381" s="130">
        <v>0</v>
      </c>
      <c r="Y381" s="130">
        <v>0</v>
      </c>
      <c r="Z381" s="130">
        <v>0</v>
      </c>
      <c r="AA381" s="158" t="s">
        <v>2078</v>
      </c>
      <c r="AB381" s="158"/>
      <c r="AC381" s="158"/>
      <c r="AD381" s="158"/>
      <c r="AE381" s="158" t="b">
        <f>IF(AB381="",TRUE,IF(IF(AC381="",VLOOKUP(AB381,Calculs!$A$19:$S$425,19,FALSE),VLOOKUP(AC381,Calculs!$A$19:$S$425,19,FALSE))&gt;=AD381,TRUE,FALSE))</f>
        <v>1</v>
      </c>
      <c r="AF381" s="158"/>
      <c r="AG381" s="158"/>
      <c r="AH381" s="158"/>
      <c r="AI381" s="158" t="b">
        <f>IF(AF381="",TRUE,IF(IF(AG381="",VLOOKUP(AF381,Calculs!$A$19:$S$425,19,FALSE),VLOOKUP(AG381,Calculs!$A$19:$S$425,19,FALSE))&gt;=AH381,TRUE,FALSE))</f>
        <v>1</v>
      </c>
      <c r="AJ381" s="158"/>
      <c r="AK381" s="158"/>
      <c r="AL381" s="158"/>
      <c r="AM381" s="158" t="b">
        <f>IF(AJ381="",TRUE,IF(IF(AK381="",VLOOKUP(AJ381,Calculs!$A$19:$S$425,19,FALSE),VLOOKUP(AK381,Calculs!$A$19:$S$425,19,FALSE))&gt;=AL381,TRUE,FALSE))</f>
        <v>1</v>
      </c>
      <c r="AN381" s="158"/>
      <c r="AO381" s="158"/>
      <c r="AP381" s="158"/>
      <c r="AQ381" s="158" t="b">
        <f>IF(AN381="",TRUE,IF(IF(AO381="",VLOOKUP(AN381,Calculs!$A$19:$S$425,19,FALSE),VLOOKUP(AO381,Calculs!$A$19:$S$425,19,FALSE))&gt;=AP381,TRUE,FALSE))</f>
        <v>1</v>
      </c>
      <c r="AR381" s="158"/>
      <c r="AS381" s="158" t="b">
        <f>IF(AR381="",TRUE,IF(VLOOKUP(AR381,Calculs!$A$427:$G$738,7,FALSE)&gt;0,TRUE,FALSE))</f>
        <v>1</v>
      </c>
      <c r="AT381" s="158"/>
      <c r="AU381" s="158" t="b">
        <f>IF(AT381="",TRUE,IF(VLOOKUP(AT381,Calculs!$A$740:$G$912,7,FALSE)&gt;0,TRUE,FALSE))</f>
        <v>1</v>
      </c>
      <c r="AV381" s="158" t="b">
        <f t="shared" si="37"/>
        <v>1</v>
      </c>
      <c r="AW381" s="158" t="s">
        <v>2078</v>
      </c>
      <c r="AX381" s="162" t="s">
        <v>143</v>
      </c>
      <c r="AY381" s="15">
        <v>115</v>
      </c>
      <c r="AZ381" s="555" t="s">
        <v>2373</v>
      </c>
      <c r="BA381" s="559">
        <f>IF(Verso!$B$10=Voies!$B381,1,0)</f>
        <v>0</v>
      </c>
      <c r="BB381" s="12">
        <f>IF(Verso!$B$11=Voies!$B381,1,0)</f>
        <v>0</v>
      </c>
      <c r="BC381" s="12">
        <f>IF(Verso!$B$12=Voies!$B381,1,0)</f>
        <v>0</v>
      </c>
      <c r="BD381" s="12">
        <f>IF(Verso!$B$13=Voies!$B381,1,0)</f>
        <v>0</v>
      </c>
      <c r="BE381" s="12">
        <f>IF(Verso!$B$14=Voies!$B381,1,0)</f>
        <v>0</v>
      </c>
      <c r="BF381" s="12">
        <f>IF(Verso!$B$15=Voies!$B381,1,0)</f>
        <v>0</v>
      </c>
      <c r="BG381" s="12">
        <f>IF(Verso!$B$16=Voies!$B381,1,0)</f>
        <v>0</v>
      </c>
      <c r="BH381" s="12">
        <f>IF(Verso!$B$17=Voies!$B381,1,0)</f>
        <v>0</v>
      </c>
      <c r="BI381" s="557">
        <f t="shared" si="38"/>
        <v>0</v>
      </c>
      <c r="BJ381" s="196" t="str">
        <f t="shared" si="39"/>
        <v/>
      </c>
      <c r="BK381" s="196" t="str">
        <f t="shared" si="40"/>
        <v/>
      </c>
      <c r="BL381" s="295" t="str">
        <f t="shared" si="41"/>
        <v/>
      </c>
    </row>
    <row r="382" spans="1:65" ht="47.25" customHeight="1" x14ac:dyDescent="0.25">
      <c r="A382" s="162" t="str">
        <f>IF(AND(Réputation&gt;Voies!E382-1,OR(C382=TRUE,Calculs!$I$8&gt;0),Air&gt;Voies!J382-1,Eau&gt;Voies!K382-1,Feu&gt;Voies!L382-1,Terre&gt;Voies!M382-1,Vide&gt;Voies!N382-1,Constitution&gt;Voies!O382-1,Volonté&gt;Voies!P382-1,Force&gt;Voies!Q382-1,Perception&gt;Voies!R382-1,Reflexes&gt;Voies!S382-1,Agilité&gt;Voies!T382-1,Intuition&gt;Voies!U382-1,Intelligence&gt;Voies!V382-1,Souillure&gt;Voies!W382-1,Honneur&gt;X382-1,Statut&gt;Y382-1,Gloire&gt;Z382-1,AV382=TRUE),Voies!B382,"")</f>
        <v/>
      </c>
      <c r="B382" s="162" t="s">
        <v>7812</v>
      </c>
      <c r="C382" s="162" t="b">
        <f>IF(Clan=Voies!D382,TRUE,FALSE)</f>
        <v>0</v>
      </c>
      <c r="D382" s="387" t="s">
        <v>176</v>
      </c>
      <c r="E382" s="13">
        <v>3</v>
      </c>
      <c r="F382" s="199" t="s">
        <v>625</v>
      </c>
      <c r="G382" s="199" t="s">
        <v>2049</v>
      </c>
      <c r="H382" s="162" t="s">
        <v>7812</v>
      </c>
      <c r="I382" s="129" t="s">
        <v>3701</v>
      </c>
      <c r="J382" s="146">
        <v>0</v>
      </c>
      <c r="K382" s="147">
        <v>0</v>
      </c>
      <c r="L382" s="148">
        <v>0</v>
      </c>
      <c r="M382" s="149">
        <v>0</v>
      </c>
      <c r="N382" s="150">
        <v>0</v>
      </c>
      <c r="O382" s="130">
        <v>0</v>
      </c>
      <c r="P382" s="130">
        <v>0</v>
      </c>
      <c r="Q382" s="130">
        <v>0</v>
      </c>
      <c r="R382" s="130">
        <v>0</v>
      </c>
      <c r="S382" s="130">
        <v>0</v>
      </c>
      <c r="T382" s="130">
        <v>0</v>
      </c>
      <c r="U382" s="130">
        <v>0</v>
      </c>
      <c r="V382" s="524">
        <v>0</v>
      </c>
      <c r="W382" s="130">
        <v>0</v>
      </c>
      <c r="X382" s="130">
        <v>0</v>
      </c>
      <c r="Y382" s="130">
        <v>0</v>
      </c>
      <c r="Z382" s="130">
        <v>0</v>
      </c>
      <c r="AA382" s="159" t="s">
        <v>7813</v>
      </c>
      <c r="AB382" s="158" t="s">
        <v>1223</v>
      </c>
      <c r="AD382" s="159">
        <v>3</v>
      </c>
      <c r="AE382" s="158" t="b">
        <f>IF(AB382="",TRUE,IF(IF(AC382="",VLOOKUP(AB382,Calculs!$A$19:$S$425,19,FALSE),VLOOKUP(AC382,Calculs!$A$19:$S$425,19,FALSE))&gt;=AD382,TRUE,FALSE))</f>
        <v>0</v>
      </c>
      <c r="AF382" s="158"/>
      <c r="AG382" s="158"/>
      <c r="AH382" s="158"/>
      <c r="AI382" s="158" t="b">
        <f>IF(AF382="",TRUE,IF(IF(AG382="",VLOOKUP(AF382,Calculs!$A$19:$S$425,19,FALSE),VLOOKUP(AG382,Calculs!$A$19:$S$425,19,FALSE))&gt;=AH382,TRUE,FALSE))</f>
        <v>1</v>
      </c>
      <c r="AJ382" s="158"/>
      <c r="AK382" s="158"/>
      <c r="AL382" s="158"/>
      <c r="AM382" s="158" t="b">
        <f>IF(AJ382="",TRUE,IF(IF(AK382="",VLOOKUP(AJ382,Calculs!$A$19:$S$425,19,FALSE),VLOOKUP(AK382,Calculs!$A$19:$S$425,19,FALSE))&gt;=AL382,TRUE,FALSE))</f>
        <v>1</v>
      </c>
      <c r="AN382" s="158"/>
      <c r="AO382" s="158"/>
      <c r="AP382" s="158"/>
      <c r="AQ382" s="158" t="b">
        <f>IF(AN382="",TRUE,IF(IF(AO382="",VLOOKUP(AN382,Calculs!$A$19:$S$425,19,FALSE),VLOOKUP(AO382,Calculs!$A$19:$S$425,19,FALSE))&gt;=AP382,TRUE,FALSE))</f>
        <v>1</v>
      </c>
      <c r="AR382" s="158" t="s">
        <v>7570</v>
      </c>
      <c r="AS382" s="158" t="b">
        <f>IF(AR382="",TRUE,IF(VLOOKUP(AR382,Calculs!$A$427:$G$738,7,FALSE)&gt;0,TRUE,FALSE))</f>
        <v>0</v>
      </c>
      <c r="AT382" s="158"/>
      <c r="AU382" s="158" t="b">
        <f>IF(AT382="",TRUE,IF(VLOOKUP(AT382,Calculs!$A$740:$G$912,7,FALSE)&gt;0,TRUE,FALSE))</f>
        <v>1</v>
      </c>
      <c r="AV382" s="158" t="b">
        <f t="shared" si="37"/>
        <v>0</v>
      </c>
      <c r="AW382" s="159" t="s">
        <v>7570</v>
      </c>
      <c r="AX382" s="162" t="s">
        <v>7226</v>
      </c>
      <c r="AY382" s="15">
        <v>72</v>
      </c>
      <c r="AZ382" s="555" t="str">
        <f>CONCATENATE("Dans un environnement en apesenteur, vous ne souffrez d'aucune pénalité et quand vous y combattez en position d'Attaque ou d'Assaut +",Reflexes,"g0 à vos jets d'attaque au CàC")</f>
        <v>Dans un environnement en apesenteur, vous ne souffrez d'aucune pénalité et quand vous y combattez en position d'Attaque ou d'Assaut +2g0 à vos jets d'attaque au CàC</v>
      </c>
      <c r="BA382" s="559">
        <f>IF(Verso!$B$10=Voies!$B382,1,0)</f>
        <v>0</v>
      </c>
      <c r="BB382" s="12">
        <f>IF(Verso!$B$11=Voies!$B382,1,0)</f>
        <v>0</v>
      </c>
      <c r="BC382" s="12">
        <f>IF(Verso!$B$12=Voies!$B382,1,0)</f>
        <v>0</v>
      </c>
      <c r="BD382" s="12">
        <f>IF(Verso!$B$13=Voies!$B382,1,0)</f>
        <v>0</v>
      </c>
      <c r="BE382" s="12">
        <f>IF(Verso!$B$14=Voies!$B382,1,0)</f>
        <v>0</v>
      </c>
      <c r="BF382" s="12">
        <f>IF(Verso!$B$15=Voies!$B382,1,0)</f>
        <v>0</v>
      </c>
      <c r="BG382" s="12">
        <f>IF(Verso!$B$16=Voies!$B382,1,0)</f>
        <v>0</v>
      </c>
      <c r="BH382" s="12">
        <f>IF(Verso!$B$17=Voies!$B382,1,0)</f>
        <v>0</v>
      </c>
      <c r="BI382" s="557">
        <f t="shared" si="38"/>
        <v>0</v>
      </c>
      <c r="BJ382" s="196" t="str">
        <f t="shared" si="39"/>
        <v/>
      </c>
      <c r="BK382" s="196" t="str">
        <f t="shared" si="40"/>
        <v/>
      </c>
      <c r="BL382" s="295" t="str">
        <f t="shared" si="41"/>
        <v/>
      </c>
    </row>
    <row r="383" spans="1:65" ht="47.25" customHeight="1" x14ac:dyDescent="0.25">
      <c r="A383" s="162" t="str">
        <f>IF(AND(Réputation&gt;Voies!E383-1,OR(C383=TRUE,Calculs!$I$8&gt;0),Air&gt;Voies!J383-1,Eau&gt;Voies!K383-1,Feu&gt;Voies!L383-1,Terre&gt;Voies!M383-1,Vide&gt;Voies!N383-1,Constitution&gt;Voies!O383-1,Volonté&gt;Voies!P383-1,Force&gt;Voies!Q383-1,Perception&gt;Voies!R383-1,Reflexes&gt;Voies!S383-1,Agilité&gt;Voies!T383-1,Intuition&gt;Voies!U383-1,Intelligence&gt;Voies!V383-1,Souillure&gt;Voies!W383-1,Honneur&gt;X383-1,Statut&gt;Y383-1,Gloire&gt;Z383-1,AV383=TRUE),Voies!B383,"")</f>
        <v/>
      </c>
      <c r="B383" s="162" t="s">
        <v>4819</v>
      </c>
      <c r="C383" s="162" t="b">
        <f>IF(Clan=Voies!D383,TRUE,FALSE)</f>
        <v>0</v>
      </c>
      <c r="D383" s="387" t="s">
        <v>176</v>
      </c>
      <c r="E383" s="13">
        <v>3</v>
      </c>
      <c r="F383" s="199">
        <v>3</v>
      </c>
      <c r="G383" s="13" t="s">
        <v>2049</v>
      </c>
      <c r="H383" s="219" t="s">
        <v>2661</v>
      </c>
      <c r="I383" s="129" t="str">
        <f>IF(B383="","","Rien")</f>
        <v>Rien</v>
      </c>
      <c r="J383" s="146">
        <v>0</v>
      </c>
      <c r="K383" s="147">
        <v>0</v>
      </c>
      <c r="L383" s="148">
        <v>0</v>
      </c>
      <c r="M383" s="149">
        <v>0</v>
      </c>
      <c r="N383" s="150">
        <v>0</v>
      </c>
      <c r="O383" s="130">
        <v>0</v>
      </c>
      <c r="P383" s="130">
        <v>0</v>
      </c>
      <c r="Q383" s="130">
        <v>0</v>
      </c>
      <c r="R383" s="130">
        <v>0</v>
      </c>
      <c r="S383" s="130">
        <v>0</v>
      </c>
      <c r="T383" s="130">
        <v>0</v>
      </c>
      <c r="U383" s="130">
        <v>0</v>
      </c>
      <c r="V383" s="524">
        <v>0</v>
      </c>
      <c r="W383" s="130">
        <v>0</v>
      </c>
      <c r="X383" s="130">
        <v>0</v>
      </c>
      <c r="Y383" s="130">
        <v>0</v>
      </c>
      <c r="Z383" s="130">
        <v>0</v>
      </c>
      <c r="AA383" s="158" t="s">
        <v>2078</v>
      </c>
      <c r="AB383" s="158"/>
      <c r="AC383" s="158"/>
      <c r="AD383" s="158"/>
      <c r="AE383" s="158" t="b">
        <f>IF(AB383="",TRUE,IF(IF(AC383="",VLOOKUP(AB383,Calculs!$A$19:$S$425,19,FALSE),VLOOKUP(AC383,Calculs!$A$19:$S$425,19,FALSE))&gt;=AD383,TRUE,FALSE))</f>
        <v>1</v>
      </c>
      <c r="AF383" s="158"/>
      <c r="AG383" s="158"/>
      <c r="AH383" s="158"/>
      <c r="AI383" s="158" t="b">
        <f>IF(AF383="",TRUE,IF(IF(AG383="",VLOOKUP(AF383,Calculs!$A$19:$S$425,19,FALSE),VLOOKUP(AG383,Calculs!$A$19:$S$425,19,FALSE))&gt;=AH383,TRUE,FALSE))</f>
        <v>1</v>
      </c>
      <c r="AJ383" s="158"/>
      <c r="AK383" s="158"/>
      <c r="AL383" s="158"/>
      <c r="AM383" s="158" t="b">
        <f>IF(AJ383="",TRUE,IF(IF(AK383="",VLOOKUP(AJ383,Calculs!$A$19:$S$425,19,FALSE),VLOOKUP(AK383,Calculs!$A$19:$S$425,19,FALSE))&gt;=AL383,TRUE,FALSE))</f>
        <v>1</v>
      </c>
      <c r="AN383" s="158"/>
      <c r="AO383" s="158"/>
      <c r="AP383" s="158"/>
      <c r="AQ383" s="158" t="b">
        <f>IF(AN383="",TRUE,IF(IF(AO383="",VLOOKUP(AN383,Calculs!$A$19:$S$425,19,FALSE),VLOOKUP(AO383,Calculs!$A$19:$S$425,19,FALSE))&gt;=AP383,TRUE,FALSE))</f>
        <v>1</v>
      </c>
      <c r="AR383" s="158"/>
      <c r="AS383" s="158" t="b">
        <f>IF(AR383="",TRUE,IF(VLOOKUP(AR383,Calculs!$A$427:$G$738,7,FALSE)&gt;0,TRUE,FALSE))</f>
        <v>1</v>
      </c>
      <c r="AT383" s="158"/>
      <c r="AU383" s="158" t="b">
        <f>IF(AT383="",TRUE,IF(VLOOKUP(AT383,Calculs!$A$740:$G$912,7,FALSE)&gt;0,TRUE,FALSE))</f>
        <v>1</v>
      </c>
      <c r="AV383" s="158" t="b">
        <f t="shared" si="37"/>
        <v>1</v>
      </c>
      <c r="AW383" s="158" t="s">
        <v>2078</v>
      </c>
      <c r="AX383" s="162" t="s">
        <v>5202</v>
      </c>
      <c r="AY383" s="15">
        <v>171</v>
      </c>
      <c r="AZ383" s="555" t="s">
        <v>2665</v>
      </c>
      <c r="BA383" s="559">
        <f>IF(Verso!$B$10=Voies!$B383,1,0)</f>
        <v>0</v>
      </c>
      <c r="BB383" s="12">
        <f>IF(Verso!$B$11=Voies!$B383,1,0)</f>
        <v>0</v>
      </c>
      <c r="BC383" s="12">
        <f>IF(Verso!$B$12=Voies!$B383,1,0)</f>
        <v>0</v>
      </c>
      <c r="BD383" s="12">
        <f>IF(Verso!$B$13=Voies!$B383,1,0)</f>
        <v>0</v>
      </c>
      <c r="BE383" s="12">
        <f>IF(Verso!$B$14=Voies!$B383,1,0)</f>
        <v>0</v>
      </c>
      <c r="BF383" s="12">
        <f>IF(Verso!$B$15=Voies!$B383,1,0)</f>
        <v>0</v>
      </c>
      <c r="BG383" s="12">
        <f>IF(Verso!$B$16=Voies!$B383,1,0)</f>
        <v>0</v>
      </c>
      <c r="BH383" s="12">
        <f>IF(Verso!$B$17=Voies!$B383,1,0)</f>
        <v>0</v>
      </c>
      <c r="BI383" s="557">
        <f t="shared" si="38"/>
        <v>0</v>
      </c>
      <c r="BJ383" s="196" t="str">
        <f t="shared" si="39"/>
        <v/>
      </c>
      <c r="BK383" s="196" t="str">
        <f t="shared" si="40"/>
        <v/>
      </c>
      <c r="BL383" s="295" t="str">
        <f t="shared" si="41"/>
        <v/>
      </c>
    </row>
    <row r="384" spans="1:65" ht="47.25" customHeight="1" x14ac:dyDescent="0.25">
      <c r="A384" s="162" t="str">
        <f>IF(AND(Réputation&gt;Voies!E384-1,OR(C384=TRUE,Calculs!$I$8&gt;0),Air&gt;Voies!J384-1,Eau&gt;Voies!K384-1,Feu&gt;Voies!L384-1,Terre&gt;Voies!M384-1,Vide&gt;Voies!N384-1,Constitution&gt;Voies!O384-1,Volonté&gt;Voies!P384-1,Force&gt;Voies!Q384-1,Perception&gt;Voies!R384-1,Reflexes&gt;Voies!S384-1,Agilité&gt;Voies!T384-1,Intuition&gt;Voies!U384-1,Intelligence&gt;Voies!V384-1,Souillure&gt;Voies!W384-1,Honneur&gt;X384-1,Statut&gt;Y384-1,Gloire&gt;Z384-1,AV384=TRUE),Voies!B384,"")</f>
        <v/>
      </c>
      <c r="B384" s="162" t="s">
        <v>3147</v>
      </c>
      <c r="C384" s="162" t="b">
        <f>IF(Clan=Voies!D384,TRUE,FALSE)</f>
        <v>0</v>
      </c>
      <c r="D384" s="387" t="s">
        <v>176</v>
      </c>
      <c r="E384" s="13">
        <v>3</v>
      </c>
      <c r="F384" s="199" t="s">
        <v>625</v>
      </c>
      <c r="G384" s="13" t="s">
        <v>2049</v>
      </c>
      <c r="H384" s="219" t="s">
        <v>492</v>
      </c>
      <c r="I384" s="129" t="s">
        <v>3146</v>
      </c>
      <c r="J384" s="152">
        <v>0</v>
      </c>
      <c r="K384" s="153">
        <v>0</v>
      </c>
      <c r="L384" s="154">
        <v>0</v>
      </c>
      <c r="M384" s="155">
        <v>0</v>
      </c>
      <c r="N384" s="156">
        <v>0</v>
      </c>
      <c r="O384" s="130">
        <v>0</v>
      </c>
      <c r="P384" s="130">
        <v>0</v>
      </c>
      <c r="Q384" s="130">
        <v>0</v>
      </c>
      <c r="R384" s="130">
        <v>3</v>
      </c>
      <c r="S384" s="130">
        <v>0</v>
      </c>
      <c r="T384" s="130">
        <v>0</v>
      </c>
      <c r="U384" s="130">
        <v>0</v>
      </c>
      <c r="V384" s="524">
        <v>0</v>
      </c>
      <c r="W384" s="130">
        <v>0</v>
      </c>
      <c r="X384" s="130">
        <v>0</v>
      </c>
      <c r="Y384" s="130">
        <v>0</v>
      </c>
      <c r="Z384" s="130">
        <v>0</v>
      </c>
      <c r="AA384" s="158" t="s">
        <v>2078</v>
      </c>
      <c r="AB384" s="158"/>
      <c r="AC384" s="158"/>
      <c r="AD384" s="158"/>
      <c r="AE384" s="158" t="b">
        <f>IF(AB384="",TRUE,IF(IF(AC384="",VLOOKUP(AB384,Calculs!$A$19:$S$425,19,FALSE),VLOOKUP(AC384,Calculs!$A$19:$S$425,19,FALSE))&gt;=AD384,TRUE,FALSE))</f>
        <v>1</v>
      </c>
      <c r="AF384" s="158"/>
      <c r="AG384" s="158"/>
      <c r="AH384" s="158"/>
      <c r="AI384" s="158" t="b">
        <f>IF(AF384="",TRUE,IF(IF(AG384="",VLOOKUP(AF384,Calculs!$A$19:$S$425,19,FALSE),VLOOKUP(AG384,Calculs!$A$19:$S$425,19,FALSE))&gt;=AH384,TRUE,FALSE))</f>
        <v>1</v>
      </c>
      <c r="AJ384" s="158"/>
      <c r="AK384" s="158"/>
      <c r="AL384" s="158"/>
      <c r="AM384" s="158" t="b">
        <f>IF(AJ384="",TRUE,IF(IF(AK384="",VLOOKUP(AJ384,Calculs!$A$19:$S$425,19,FALSE),VLOOKUP(AK384,Calculs!$A$19:$S$425,19,FALSE))&gt;=AL384,TRUE,FALSE))</f>
        <v>1</v>
      </c>
      <c r="AN384" s="158"/>
      <c r="AO384" s="158"/>
      <c r="AP384" s="158"/>
      <c r="AQ384" s="158" t="b">
        <f>IF(AN384="",TRUE,IF(IF(AO384="",VLOOKUP(AN384,Calculs!$A$19:$S$425,19,FALSE),VLOOKUP(AO384,Calculs!$A$19:$S$425,19,FALSE))&gt;=AP384,TRUE,FALSE))</f>
        <v>1</v>
      </c>
      <c r="AR384" s="158"/>
      <c r="AS384" s="158" t="b">
        <f>IF(AR384="",TRUE,IF(VLOOKUP(AR384,Calculs!$A$427:$G$738,7,FALSE)&gt;0,TRUE,FALSE))</f>
        <v>1</v>
      </c>
      <c r="AT384" s="158"/>
      <c r="AU384" s="158" t="b">
        <f>IF(AT384="",TRUE,IF(VLOOKUP(AT384,Calculs!$A$740:$G$912,7,FALSE)&gt;0,TRUE,FALSE))</f>
        <v>1</v>
      </c>
      <c r="AV384" s="158" t="b">
        <f t="shared" si="37"/>
        <v>1</v>
      </c>
      <c r="AW384" s="158" t="s">
        <v>2078</v>
      </c>
      <c r="AX384" s="162" t="s">
        <v>3</v>
      </c>
      <c r="AY384" s="15">
        <v>252</v>
      </c>
      <c r="AZ384" s="555" t="s">
        <v>3149</v>
      </c>
      <c r="BA384" s="559">
        <f>IF(Verso!$B$10=Voies!$B384,1,0)</f>
        <v>0</v>
      </c>
      <c r="BB384" s="12">
        <f>IF(Verso!$B$11=Voies!$B384,1,0)</f>
        <v>0</v>
      </c>
      <c r="BC384" s="12">
        <f>IF(Verso!$B$12=Voies!$B384,1,0)</f>
        <v>0</v>
      </c>
      <c r="BD384" s="12">
        <f>IF(Verso!$B$13=Voies!$B384,1,0)</f>
        <v>0</v>
      </c>
      <c r="BE384" s="12">
        <f>IF(Verso!$B$14=Voies!$B384,1,0)</f>
        <v>0</v>
      </c>
      <c r="BF384" s="12">
        <f>IF(Verso!$B$15=Voies!$B384,1,0)</f>
        <v>0</v>
      </c>
      <c r="BG384" s="12">
        <f>IF(Verso!$B$16=Voies!$B384,1,0)</f>
        <v>0</v>
      </c>
      <c r="BH384" s="12">
        <f>IF(Verso!$B$17=Voies!$B384,1,0)</f>
        <v>0</v>
      </c>
      <c r="BI384" s="557">
        <f t="shared" si="38"/>
        <v>0</v>
      </c>
      <c r="BJ384" s="196" t="str">
        <f t="shared" si="39"/>
        <v/>
      </c>
      <c r="BK384" s="196" t="str">
        <f t="shared" si="40"/>
        <v/>
      </c>
      <c r="BL384" s="295" t="str">
        <f t="shared" si="41"/>
        <v/>
      </c>
    </row>
    <row r="385" spans="1:65" ht="47.25" customHeight="1" x14ac:dyDescent="0.25">
      <c r="A385" s="162" t="str">
        <f>IF(AND(Réputation&gt;Voies!E385-1,OR(C385=TRUE,Calculs!$I$8&gt;0),Air&gt;Voies!J385-1,Eau&gt;Voies!K385-1,Feu&gt;Voies!L385-1,Terre&gt;Voies!M385-1,Vide&gt;Voies!N385-1,Constitution&gt;Voies!O385-1,Volonté&gt;Voies!P385-1,Force&gt;Voies!Q385-1,Perception&gt;Voies!R385-1,Reflexes&gt;Voies!S385-1,Agilité&gt;Voies!T385-1,Intuition&gt;Voies!U385-1,Intelligence&gt;Voies!V385-1,Souillure&gt;Voies!W385-1,Honneur&gt;X385-1,Statut&gt;Y385-1,Gloire&gt;Z385-1,AV385=TRUE),Voies!B385,"")</f>
        <v/>
      </c>
      <c r="B385" s="162" t="s">
        <v>3702</v>
      </c>
      <c r="C385" s="162" t="b">
        <f>IF(Clan=Voies!D385,TRUE,FALSE)</f>
        <v>0</v>
      </c>
      <c r="D385" s="387" t="s">
        <v>176</v>
      </c>
      <c r="E385" s="13">
        <v>3</v>
      </c>
      <c r="F385" s="199" t="s">
        <v>625</v>
      </c>
      <c r="G385" s="13" t="s">
        <v>2049</v>
      </c>
      <c r="H385" s="219" t="s">
        <v>490</v>
      </c>
      <c r="I385" s="129" t="s">
        <v>3701</v>
      </c>
      <c r="J385" s="146">
        <v>0</v>
      </c>
      <c r="K385" s="147">
        <v>0</v>
      </c>
      <c r="L385" s="148">
        <v>0</v>
      </c>
      <c r="M385" s="149">
        <v>0</v>
      </c>
      <c r="N385" s="150">
        <v>0</v>
      </c>
      <c r="O385" s="130">
        <v>0</v>
      </c>
      <c r="P385" s="130">
        <v>0</v>
      </c>
      <c r="Q385" s="130">
        <v>0</v>
      </c>
      <c r="R385" s="130">
        <v>0</v>
      </c>
      <c r="S385" s="130">
        <v>0</v>
      </c>
      <c r="T385" s="130">
        <v>0</v>
      </c>
      <c r="U385" s="130">
        <v>0</v>
      </c>
      <c r="V385" s="524">
        <v>0</v>
      </c>
      <c r="W385" s="130">
        <v>0</v>
      </c>
      <c r="X385" s="130">
        <v>0</v>
      </c>
      <c r="Y385" s="130">
        <v>0</v>
      </c>
      <c r="Z385" s="130">
        <v>0</v>
      </c>
      <c r="AA385" s="159" t="s">
        <v>3166</v>
      </c>
      <c r="AB385" s="159" t="s">
        <v>3324</v>
      </c>
      <c r="AC385" s="159" t="s">
        <v>3275</v>
      </c>
      <c r="AD385" s="159">
        <v>3</v>
      </c>
      <c r="AE385" s="158" t="b">
        <f>IF(AB385="",TRUE,IF(IF(AC385="",VLOOKUP(AB385,Calculs!$A$19:$S$425,19,FALSE),VLOOKUP(AC385,Calculs!$A$19:$S$425,19,FALSE))&gt;=AD385,TRUE,FALSE))</f>
        <v>0</v>
      </c>
      <c r="AI385" s="158" t="b">
        <f>IF(AF385="",TRUE,IF(IF(AG385="",VLOOKUP(AF385,Calculs!$A$19:$S$425,19,FALSE),VLOOKUP(AG385,Calculs!$A$19:$S$425,19,FALSE))&gt;=AH385,TRUE,FALSE))</f>
        <v>1</v>
      </c>
      <c r="AM385" s="158" t="b">
        <f>IF(AJ385="",TRUE,IF(IF(AK385="",VLOOKUP(AJ385,Calculs!$A$19:$S$425,19,FALSE),VLOOKUP(AK385,Calculs!$A$19:$S$425,19,FALSE))&gt;=AL385,TRUE,FALSE))</f>
        <v>1</v>
      </c>
      <c r="AQ385" s="158" t="b">
        <f>IF(AN385="",TRUE,IF(IF(AO385="",VLOOKUP(AN385,Calculs!$A$19:$S$425,19,FALSE),VLOOKUP(AO385,Calculs!$A$19:$S$425,19,FALSE))&gt;=AP385,TRUE,FALSE))</f>
        <v>1</v>
      </c>
      <c r="AR385" s="158"/>
      <c r="AS385" s="158" t="b">
        <f>IF(AR385="",TRUE,IF(VLOOKUP(AR385,Calculs!$A$427:$G$738,7,FALSE)&gt;0,TRUE,FALSE))</f>
        <v>1</v>
      </c>
      <c r="AT385" s="158"/>
      <c r="AU385" s="158" t="b">
        <f>IF(AT385="",TRUE,IF(VLOOKUP(AT385,Calculs!$A$740:$G$912,7,FALSE)&gt;0,TRUE,FALSE))</f>
        <v>1</v>
      </c>
      <c r="AV385" s="158" t="b">
        <f t="shared" si="37"/>
        <v>0</v>
      </c>
      <c r="AW385" s="158" t="s">
        <v>2078</v>
      </c>
      <c r="AX385" s="162" t="s">
        <v>2076</v>
      </c>
      <c r="AY385" s="15">
        <v>197</v>
      </c>
      <c r="AZ385" s="555" t="str">
        <f>CONCATENATE("Pas de malus de ND pour la lutte ou le déplacement sur des surfaces/terrains lisses ou irréguliers. En Posture d'Attaque ou d'Assaut ou dans une situation où un tel malus aurait normalement appliqué, +",Reflexes,"g0 à vos jets d'attaque au corps à corps")</f>
        <v>Pas de malus de ND pour la lutte ou le déplacement sur des surfaces/terrains lisses ou irréguliers. En Posture d'Attaque ou d'Assaut ou dans une situation où un tel malus aurait normalement appliqué, +2g0 à vos jets d'attaque au corps à corps</v>
      </c>
      <c r="BA385" s="559">
        <f>IF(Verso!$B$10=Voies!$B385,1,0)</f>
        <v>0</v>
      </c>
      <c r="BB385" s="12">
        <f>IF(Verso!$B$11=Voies!$B385,1,0)</f>
        <v>0</v>
      </c>
      <c r="BC385" s="12">
        <f>IF(Verso!$B$12=Voies!$B385,1,0)</f>
        <v>0</v>
      </c>
      <c r="BD385" s="12">
        <f>IF(Verso!$B$13=Voies!$B385,1,0)</f>
        <v>0</v>
      </c>
      <c r="BE385" s="12">
        <f>IF(Verso!$B$14=Voies!$B385,1,0)</f>
        <v>0</v>
      </c>
      <c r="BF385" s="12">
        <f>IF(Verso!$B$15=Voies!$B385,1,0)</f>
        <v>0</v>
      </c>
      <c r="BG385" s="12">
        <f>IF(Verso!$B$16=Voies!$B385,1,0)</f>
        <v>0</v>
      </c>
      <c r="BH385" s="12">
        <f>IF(Verso!$B$17=Voies!$B385,1,0)</f>
        <v>0</v>
      </c>
      <c r="BI385" s="557">
        <f t="shared" si="38"/>
        <v>0</v>
      </c>
      <c r="BJ385" s="196" t="str">
        <f t="shared" si="39"/>
        <v/>
      </c>
      <c r="BK385" s="196" t="str">
        <f t="shared" si="40"/>
        <v/>
      </c>
      <c r="BL385" s="295" t="str">
        <f t="shared" si="41"/>
        <v/>
      </c>
    </row>
    <row r="386" spans="1:65" ht="47.25" customHeight="1" x14ac:dyDescent="0.25">
      <c r="A386" s="162" t="str">
        <f>IF(AND(Réputation&gt;Voies!E386-1,OR(C386=TRUE,Calculs!$I$8&gt;0),Air&gt;Voies!J386-1,Eau&gt;Voies!K386-1,Feu&gt;Voies!L386-1,Terre&gt;Voies!M386-1,Vide&gt;Voies!N386-1,Constitution&gt;Voies!O386-1,Volonté&gt;Voies!P386-1,Force&gt;Voies!Q386-1,Perception&gt;Voies!R386-1,Reflexes&gt;Voies!S386-1,Agilité&gt;Voies!T386-1,Intuition&gt;Voies!U386-1,Intelligence&gt;Voies!V386-1,Souillure&gt;Voies!W386-1,Honneur&gt;X386-1,Statut&gt;Y386-1,Gloire&gt;Z386-1,AV386=TRUE),Voies!B386,"")</f>
        <v/>
      </c>
      <c r="B386" s="162" t="s">
        <v>3405</v>
      </c>
      <c r="C386" s="162" t="b">
        <f>IF(Clan=Voies!D386,TRUE,FALSE)</f>
        <v>0</v>
      </c>
      <c r="D386" s="387" t="s">
        <v>176</v>
      </c>
      <c r="E386" s="13">
        <v>3</v>
      </c>
      <c r="F386" s="199">
        <v>3</v>
      </c>
      <c r="G386" s="13" t="s">
        <v>2052</v>
      </c>
      <c r="H386" s="219" t="s">
        <v>613</v>
      </c>
      <c r="I386" s="129" t="s">
        <v>3869</v>
      </c>
      <c r="J386" s="146">
        <v>0</v>
      </c>
      <c r="K386" s="147">
        <v>0</v>
      </c>
      <c r="L386" s="148">
        <v>0</v>
      </c>
      <c r="M386" s="149">
        <v>0</v>
      </c>
      <c r="N386" s="150">
        <v>0</v>
      </c>
      <c r="O386" s="130">
        <v>0</v>
      </c>
      <c r="P386" s="130">
        <v>0</v>
      </c>
      <c r="Q386" s="130">
        <v>0</v>
      </c>
      <c r="R386" s="130">
        <v>0</v>
      </c>
      <c r="S386" s="130">
        <v>0</v>
      </c>
      <c r="T386" s="130">
        <v>0</v>
      </c>
      <c r="U386" s="130">
        <v>0</v>
      </c>
      <c r="V386" s="524">
        <v>0</v>
      </c>
      <c r="W386" s="130">
        <v>0</v>
      </c>
      <c r="X386" s="130">
        <v>0</v>
      </c>
      <c r="Y386" s="130">
        <v>0</v>
      </c>
      <c r="Z386" s="130">
        <v>0</v>
      </c>
      <c r="AA386" s="159" t="s">
        <v>3390</v>
      </c>
      <c r="AB386" s="159" t="s">
        <v>311</v>
      </c>
      <c r="AD386" s="159">
        <v>3</v>
      </c>
      <c r="AE386" s="158" t="b">
        <f>IF(AB386="",TRUE,IF(IF(AC386="",VLOOKUP(AB386,Calculs!$A$19:$S$425,19,FALSE),VLOOKUP(AC386,Calculs!$A$19:$S$425,19,FALSE))&gt;=AD386,TRUE,FALSE))</f>
        <v>0</v>
      </c>
      <c r="AI386" s="158" t="b">
        <f>IF(AF386="",TRUE,IF(IF(AG386="",VLOOKUP(AF386,Calculs!$A$19:$S$425,19,FALSE),VLOOKUP(AG386,Calculs!$A$19:$S$425,19,FALSE))&gt;=AH386,TRUE,FALSE))</f>
        <v>1</v>
      </c>
      <c r="AM386" s="158" t="b">
        <f>IF(AJ386="",TRUE,IF(IF(AK386="",VLOOKUP(AJ386,Calculs!$A$19:$S$425,19,FALSE),VLOOKUP(AK386,Calculs!$A$19:$S$425,19,FALSE))&gt;=AL386,TRUE,FALSE))</f>
        <v>1</v>
      </c>
      <c r="AQ386" s="158" t="b">
        <f>IF(AN386="",TRUE,IF(IF(AO386="",VLOOKUP(AN386,Calculs!$A$19:$S$425,19,FALSE),VLOOKUP(AO386,Calculs!$A$19:$S$425,19,FALSE))&gt;=AP386,TRUE,FALSE))</f>
        <v>1</v>
      </c>
      <c r="AR386" s="158"/>
      <c r="AS386" s="158" t="b">
        <f>IF(AR386="",TRUE,IF(VLOOKUP(AR386,Calculs!$A$427:$G$738,7,FALSE)&gt;0,TRUE,FALSE))</f>
        <v>1</v>
      </c>
      <c r="AT386" s="158"/>
      <c r="AU386" s="158" t="b">
        <f>IF(AT386="",TRUE,IF(VLOOKUP(AT386,Calculs!$A$740:$G$912,7,FALSE)&gt;0,TRUE,FALSE))</f>
        <v>1</v>
      </c>
      <c r="AV386" s="158" t="b">
        <f t="shared" si="37"/>
        <v>0</v>
      </c>
      <c r="AW386" s="159" t="s">
        <v>3406</v>
      </c>
      <c r="AX386" s="162" t="s">
        <v>118</v>
      </c>
      <c r="AY386" s="15">
        <v>177</v>
      </c>
      <c r="AZ386" s="555" t="s">
        <v>8559</v>
      </c>
      <c r="BA386" s="559">
        <f>IF(Verso!$B$10=Voies!$B386,1,0)</f>
        <v>0</v>
      </c>
      <c r="BB386" s="12">
        <f>IF(Verso!$B$11=Voies!$B386,1,0)</f>
        <v>0</v>
      </c>
      <c r="BC386" s="12">
        <f>IF(Verso!$B$12=Voies!$B386,1,0)</f>
        <v>0</v>
      </c>
      <c r="BD386" s="12">
        <f>IF(Verso!$B$13=Voies!$B386,1,0)</f>
        <v>0</v>
      </c>
      <c r="BE386" s="12">
        <f>IF(Verso!$B$14=Voies!$B386,1,0)</f>
        <v>0</v>
      </c>
      <c r="BF386" s="12">
        <f>IF(Verso!$B$15=Voies!$B386,1,0)</f>
        <v>0</v>
      </c>
      <c r="BG386" s="12">
        <f>IF(Verso!$B$16=Voies!$B386,1,0)</f>
        <v>0</v>
      </c>
      <c r="BH386" s="12">
        <f>IF(Verso!$B$17=Voies!$B386,1,0)</f>
        <v>0</v>
      </c>
      <c r="BI386" s="557">
        <f t="shared" si="38"/>
        <v>0</v>
      </c>
      <c r="BJ386" s="196" t="str">
        <f t="shared" si="39"/>
        <v/>
      </c>
      <c r="BK386" s="196" t="str">
        <f t="shared" si="40"/>
        <v/>
      </c>
      <c r="BL386" s="295" t="str">
        <f t="shared" si="41"/>
        <v/>
      </c>
    </row>
    <row r="387" spans="1:65" ht="47.25" customHeight="1" x14ac:dyDescent="0.25">
      <c r="A387" s="162" t="str">
        <f>IF(AND(Réputation&gt;Voies!E387-1,OR(C387=TRUE,Calculs!$I$8&gt;0),Air&gt;Voies!J387-1,Eau&gt;Voies!K387-1,Feu&gt;Voies!L387-1,Terre&gt;Voies!M387-1,Vide&gt;Voies!N387-1,Constitution&gt;Voies!O387-1,Volonté&gt;Voies!P387-1,Force&gt;Voies!Q387-1,Perception&gt;Voies!R387-1,Reflexes&gt;Voies!S387-1,Agilité&gt;Voies!T387-1,Intuition&gt;Voies!U387-1,Intelligence&gt;Voies!V387-1,Souillure&gt;Voies!W387-1,Honneur&gt;X387-1,Statut&gt;Y387-1,Gloire&gt;Z387-1,AV387=TRUE),Voies!B387,"")</f>
        <v/>
      </c>
      <c r="B387" s="162" t="s">
        <v>2359</v>
      </c>
      <c r="C387" s="162" t="b">
        <f>IF(Clan=Voies!D387,TRUE,FALSE)</f>
        <v>0</v>
      </c>
      <c r="D387" s="387" t="s">
        <v>176</v>
      </c>
      <c r="E387" s="13">
        <v>3</v>
      </c>
      <c r="F387" s="199">
        <v>3</v>
      </c>
      <c r="G387" s="199" t="s">
        <v>2052</v>
      </c>
      <c r="H387" s="219" t="s">
        <v>196</v>
      </c>
      <c r="I387" s="129" t="str">
        <f>IF(B387="","","Rien")</f>
        <v>Rien</v>
      </c>
      <c r="J387" s="146">
        <v>0</v>
      </c>
      <c r="K387" s="147">
        <v>0</v>
      </c>
      <c r="L387" s="148">
        <v>0</v>
      </c>
      <c r="M387" s="149">
        <v>0</v>
      </c>
      <c r="N387" s="150">
        <v>0</v>
      </c>
      <c r="O387" s="130">
        <v>0</v>
      </c>
      <c r="P387" s="130">
        <v>0</v>
      </c>
      <c r="Q387" s="130">
        <v>0</v>
      </c>
      <c r="R387" s="130">
        <v>0</v>
      </c>
      <c r="S387" s="130">
        <v>0</v>
      </c>
      <c r="T387" s="130">
        <v>0</v>
      </c>
      <c r="U387" s="130">
        <v>0</v>
      </c>
      <c r="V387" s="524">
        <v>0</v>
      </c>
      <c r="W387" s="130">
        <v>0</v>
      </c>
      <c r="X387" s="130">
        <v>0</v>
      </c>
      <c r="Y387" s="130">
        <v>0</v>
      </c>
      <c r="Z387" s="130">
        <v>0</v>
      </c>
      <c r="AA387" s="158" t="s">
        <v>2078</v>
      </c>
      <c r="AB387" s="158"/>
      <c r="AC387" s="158"/>
      <c r="AD387" s="158"/>
      <c r="AE387" s="158" t="b">
        <f>IF(AB387="",TRUE,IF(IF(AC387="",VLOOKUP(AB387,Calculs!$A$19:$S$425,19,FALSE),VLOOKUP(AC387,Calculs!$A$19:$S$425,19,FALSE))&gt;=AD387,TRUE,FALSE))</f>
        <v>1</v>
      </c>
      <c r="AF387" s="158"/>
      <c r="AG387" s="158"/>
      <c r="AH387" s="158"/>
      <c r="AI387" s="158" t="b">
        <f>IF(AF387="",TRUE,IF(IF(AG387="",VLOOKUP(AF387,Calculs!$A$19:$S$425,19,FALSE),VLOOKUP(AG387,Calculs!$A$19:$S$425,19,FALSE))&gt;=AH387,TRUE,FALSE))</f>
        <v>1</v>
      </c>
      <c r="AJ387" s="158"/>
      <c r="AK387" s="158"/>
      <c r="AL387" s="158"/>
      <c r="AM387" s="158" t="b">
        <f>IF(AJ387="",TRUE,IF(IF(AK387="",VLOOKUP(AJ387,Calculs!$A$19:$S$425,19,FALSE),VLOOKUP(AK387,Calculs!$A$19:$S$425,19,FALSE))&gt;=AL387,TRUE,FALSE))</f>
        <v>1</v>
      </c>
      <c r="AN387" s="158"/>
      <c r="AO387" s="158"/>
      <c r="AP387" s="158"/>
      <c r="AQ387" s="158" t="b">
        <f>IF(AN387="",TRUE,IF(IF(AO387="",VLOOKUP(AN387,Calculs!$A$19:$S$425,19,FALSE),VLOOKUP(AO387,Calculs!$A$19:$S$425,19,FALSE))&gt;=AP387,TRUE,FALSE))</f>
        <v>1</v>
      </c>
      <c r="AR387" s="158"/>
      <c r="AS387" s="158" t="b">
        <f>IF(AR387="",TRUE,IF(VLOOKUP(AR387,Calculs!$A$427:$G$738,7,FALSE)&gt;0,TRUE,FALSE))</f>
        <v>1</v>
      </c>
      <c r="AT387" s="158"/>
      <c r="AU387" s="158" t="b">
        <f>IF(AT387="",TRUE,IF(VLOOKUP(AT387,Calculs!$A$740:$G$912,7,FALSE)&gt;0,TRUE,FALSE))</f>
        <v>1</v>
      </c>
      <c r="AV387" s="158" t="b">
        <f t="shared" ref="AV387:AV450" si="45">IF(AND(AE387=TRUE,AI387=TRUE,AM387=TRUE,AQ387=TRUE,AS387=TRUE,AU387=TRUE),TRUE,FALSE)</f>
        <v>1</v>
      </c>
      <c r="AW387" s="158" t="s">
        <v>2078</v>
      </c>
      <c r="AX387" s="162" t="s">
        <v>143</v>
      </c>
      <c r="AY387" s="15">
        <v>114</v>
      </c>
      <c r="AZ387" s="555" t="s">
        <v>8560</v>
      </c>
      <c r="BA387" s="559">
        <f>IF(Verso!$B$10=Voies!$B387,1,0)</f>
        <v>0</v>
      </c>
      <c r="BB387" s="12">
        <f>IF(Verso!$B$11=Voies!$B387,1,0)</f>
        <v>0</v>
      </c>
      <c r="BC387" s="12">
        <f>IF(Verso!$B$12=Voies!$B387,1,0)</f>
        <v>0</v>
      </c>
      <c r="BD387" s="12">
        <f>IF(Verso!$B$13=Voies!$B387,1,0)</f>
        <v>0</v>
      </c>
      <c r="BE387" s="12">
        <f>IF(Verso!$B$14=Voies!$B387,1,0)</f>
        <v>0</v>
      </c>
      <c r="BF387" s="12">
        <f>IF(Verso!$B$15=Voies!$B387,1,0)</f>
        <v>0</v>
      </c>
      <c r="BG387" s="12">
        <f>IF(Verso!$B$16=Voies!$B387,1,0)</f>
        <v>0</v>
      </c>
      <c r="BH387" s="12">
        <f>IF(Verso!$B$17=Voies!$B387,1,0)</f>
        <v>0</v>
      </c>
      <c r="BI387" s="557">
        <f t="shared" ref="BI387:BI450" si="46">SUM(BA387:BH387)</f>
        <v>0</v>
      </c>
      <c r="BJ387" s="196" t="str">
        <f t="shared" si="39"/>
        <v/>
      </c>
      <c r="BK387" s="196" t="str">
        <f t="shared" si="40"/>
        <v/>
      </c>
      <c r="BL387" s="295" t="str">
        <f t="shared" si="41"/>
        <v/>
      </c>
    </row>
    <row r="388" spans="1:65" ht="47.25" customHeight="1" x14ac:dyDescent="0.25">
      <c r="A388" s="162" t="str">
        <f>IF(AND(Réputation&gt;Voies!E388-1,OR(C388=TRUE,Calculs!$I$8&gt;0),Air&gt;Voies!J388-1,Eau&gt;Voies!K388-1,Feu&gt;Voies!L388-1,Terre&gt;Voies!M388-1,Vide&gt;Voies!N388-1,Constitution&gt;Voies!O388-1,Volonté&gt;Voies!P388-1,Force&gt;Voies!Q388-1,Perception&gt;Voies!R388-1,Reflexes&gt;Voies!S388-1,Agilité&gt;Voies!T388-1,Intuition&gt;Voies!U388-1,Intelligence&gt;Voies!V388-1,Souillure&gt;Voies!W388-1,Honneur&gt;X388-1,Statut&gt;Y388-1,Gloire&gt;Z388-1,AV388=TRUE),Voies!B388,"")</f>
        <v/>
      </c>
      <c r="B388" s="162" t="s">
        <v>3404</v>
      </c>
      <c r="C388" s="162" t="b">
        <f>IF(Clan=Voies!D388,TRUE,FALSE)</f>
        <v>0</v>
      </c>
      <c r="D388" s="387" t="s">
        <v>176</v>
      </c>
      <c r="E388" s="13">
        <v>3</v>
      </c>
      <c r="F388" s="199">
        <v>3</v>
      </c>
      <c r="G388" s="199" t="s">
        <v>2052</v>
      </c>
      <c r="H388" s="219" t="s">
        <v>489</v>
      </c>
      <c r="I388" s="129" t="s">
        <v>3402</v>
      </c>
      <c r="J388" s="146">
        <v>0</v>
      </c>
      <c r="K388" s="147">
        <v>0</v>
      </c>
      <c r="L388" s="148">
        <v>0</v>
      </c>
      <c r="M388" s="149">
        <v>0</v>
      </c>
      <c r="N388" s="150">
        <v>0</v>
      </c>
      <c r="O388" s="130">
        <v>0</v>
      </c>
      <c r="P388" s="130">
        <v>0</v>
      </c>
      <c r="Q388" s="130">
        <v>0</v>
      </c>
      <c r="R388" s="130">
        <v>0</v>
      </c>
      <c r="S388" s="130">
        <v>0</v>
      </c>
      <c r="T388" s="130">
        <v>4</v>
      </c>
      <c r="U388" s="130">
        <v>0</v>
      </c>
      <c r="V388" s="524">
        <v>0</v>
      </c>
      <c r="W388" s="130">
        <v>0</v>
      </c>
      <c r="X388" s="130">
        <v>5</v>
      </c>
      <c r="Y388" s="130">
        <v>0</v>
      </c>
      <c r="Z388" s="130">
        <v>0</v>
      </c>
      <c r="AA388" s="159" t="s">
        <v>3403</v>
      </c>
      <c r="AB388" s="159" t="s">
        <v>1266</v>
      </c>
      <c r="AC388" s="159" t="s">
        <v>1319</v>
      </c>
      <c r="AD388" s="159">
        <v>4</v>
      </c>
      <c r="AE388" s="158" t="b">
        <f>IF(AB388="",TRUE,IF(IF(AC388="",VLOOKUP(AB388,Calculs!$A$19:$S$425,19,FALSE),VLOOKUP(AC388,Calculs!$A$19:$S$425,19,FALSE))&gt;=AD388,TRUE,FALSE))</f>
        <v>0</v>
      </c>
      <c r="AI388" s="158" t="b">
        <f>IF(AF388="",TRUE,IF(IF(AG388="",VLOOKUP(AF388,Calculs!$A$19:$S$425,19,FALSE),VLOOKUP(AG388,Calculs!$A$19:$S$425,19,FALSE))&gt;=AH388,TRUE,FALSE))</f>
        <v>1</v>
      </c>
      <c r="AM388" s="158" t="b">
        <f>IF(AJ388="",TRUE,IF(IF(AK388="",VLOOKUP(AJ388,Calculs!$A$19:$S$425,19,FALSE),VLOOKUP(AK388,Calculs!$A$19:$S$425,19,FALSE))&gt;=AL388,TRUE,FALSE))</f>
        <v>1</v>
      </c>
      <c r="AQ388" s="158" t="b">
        <f>IF(AN388="",TRUE,IF(IF(AO388="",VLOOKUP(AN388,Calculs!$A$19:$S$425,19,FALSE),VLOOKUP(AO388,Calculs!$A$19:$S$425,19,FALSE))&gt;=AP388,TRUE,FALSE))</f>
        <v>1</v>
      </c>
      <c r="AR388" s="158"/>
      <c r="AS388" s="158" t="b">
        <f>IF(AR388="",TRUE,IF(VLOOKUP(AR388,Calculs!$A$427:$G$738,7,FALSE)&gt;0,TRUE,FALSE))</f>
        <v>1</v>
      </c>
      <c r="AT388" s="158"/>
      <c r="AU388" s="158" t="b">
        <f>IF(AT388="",TRUE,IF(VLOOKUP(AT388,Calculs!$A$740:$G$912,7,FALSE)&gt;0,TRUE,FALSE))</f>
        <v>1</v>
      </c>
      <c r="AV388" s="158" t="b">
        <f t="shared" si="45"/>
        <v>0</v>
      </c>
      <c r="AW388" s="158" t="s">
        <v>2078</v>
      </c>
      <c r="AX388" s="162" t="s">
        <v>118</v>
      </c>
      <c r="AY388" s="15">
        <v>177</v>
      </c>
      <c r="AZ388" s="555" t="s">
        <v>8561</v>
      </c>
      <c r="BA388" s="559">
        <f>IF(Verso!$B$10=Voies!$B388,1,0)</f>
        <v>0</v>
      </c>
      <c r="BB388" s="12">
        <f>IF(Verso!$B$11=Voies!$B388,1,0)</f>
        <v>0</v>
      </c>
      <c r="BC388" s="12">
        <f>IF(Verso!$B$12=Voies!$B388,1,0)</f>
        <v>0</v>
      </c>
      <c r="BD388" s="12">
        <f>IF(Verso!$B$13=Voies!$B388,1,0)</f>
        <v>0</v>
      </c>
      <c r="BE388" s="12">
        <f>IF(Verso!$B$14=Voies!$B388,1,0)</f>
        <v>0</v>
      </c>
      <c r="BF388" s="12">
        <f>IF(Verso!$B$15=Voies!$B388,1,0)</f>
        <v>0</v>
      </c>
      <c r="BG388" s="12">
        <f>IF(Verso!$B$16=Voies!$B388,1,0)</f>
        <v>0</v>
      </c>
      <c r="BH388" s="12">
        <f>IF(Verso!$B$17=Voies!$B388,1,0)</f>
        <v>0</v>
      </c>
      <c r="BI388" s="557">
        <f t="shared" si="46"/>
        <v>0</v>
      </c>
      <c r="BJ388" s="196" t="str">
        <f t="shared" ref="BJ388:BJ451" si="47">IF(A388="","",ROW())</f>
        <v/>
      </c>
      <c r="BK388" s="196" t="str">
        <f t="shared" ref="BK388:BK451" si="48">IFERROR(SMALL(BJ:BJ,ROW()-2),"")</f>
        <v/>
      </c>
      <c r="BL388" s="295" t="str">
        <f t="shared" ref="BL388:BL451" si="49">IFERROR(INDEX(A:A,BK388),"")</f>
        <v/>
      </c>
    </row>
    <row r="389" spans="1:65" ht="47.25" customHeight="1" x14ac:dyDescent="0.25">
      <c r="A389" s="162" t="str">
        <f>IF(AND(Réputation&gt;Voies!E389-1,OR(C389=TRUE,Calculs!$I$8&gt;0),Air&gt;Voies!J389-1,Eau&gt;Voies!K389-1,Feu&gt;Voies!L389-1,Terre&gt;Voies!M389-1,Vide&gt;Voies!N389-1,Constitution&gt;Voies!O389-1,Volonté&gt;Voies!P389-1,Force&gt;Voies!Q389-1,Perception&gt;Voies!R389-1,Reflexes&gt;Voies!S389-1,Agilité&gt;Voies!T389-1,Intuition&gt;Voies!U389-1,Intelligence&gt;Voies!V389-1,Souillure&gt;Voies!W389-1,Honneur&gt;X389-1,Statut&gt;Y389-1,Gloire&gt;Z389-1,AV389=TRUE),Voies!B389,"")</f>
        <v/>
      </c>
      <c r="B389" s="162" t="s">
        <v>7831</v>
      </c>
      <c r="C389" s="162" t="b">
        <f>IF(Clan=Voies!D389,TRUE,FALSE)</f>
        <v>0</v>
      </c>
      <c r="D389" s="387" t="s">
        <v>176</v>
      </c>
      <c r="E389" s="13">
        <v>3</v>
      </c>
      <c r="F389" s="199">
        <v>3</v>
      </c>
      <c r="G389" s="199" t="s">
        <v>2052</v>
      </c>
      <c r="H389" s="162" t="s">
        <v>7794</v>
      </c>
      <c r="I389" s="129" t="str">
        <f>IF(B389="","","Rien")</f>
        <v>Rien</v>
      </c>
      <c r="J389" s="146">
        <v>0</v>
      </c>
      <c r="K389" s="147">
        <v>0</v>
      </c>
      <c r="L389" s="148">
        <v>0</v>
      </c>
      <c r="M389" s="149">
        <v>0</v>
      </c>
      <c r="N389" s="150">
        <v>0</v>
      </c>
      <c r="O389" s="130">
        <v>0</v>
      </c>
      <c r="P389" s="130">
        <v>0</v>
      </c>
      <c r="Q389" s="130">
        <v>0</v>
      </c>
      <c r="R389" s="130">
        <v>0</v>
      </c>
      <c r="S389" s="130">
        <v>0</v>
      </c>
      <c r="T389" s="130">
        <v>0</v>
      </c>
      <c r="U389" s="130">
        <v>0</v>
      </c>
      <c r="V389" s="524">
        <v>0</v>
      </c>
      <c r="W389" s="130">
        <v>0</v>
      </c>
      <c r="X389" s="130">
        <v>0</v>
      </c>
      <c r="Y389" s="130">
        <v>0</v>
      </c>
      <c r="Z389" s="130">
        <v>0</v>
      </c>
      <c r="AA389" s="158" t="s">
        <v>2078</v>
      </c>
      <c r="AB389" s="158"/>
      <c r="AC389" s="158"/>
      <c r="AD389" s="158"/>
      <c r="AE389" s="158" t="b">
        <f>IF(AB389="",TRUE,IF(IF(AC389="",VLOOKUP(AB389,Calculs!$A$19:$S$425,19,FALSE),VLOOKUP(AC389,Calculs!$A$19:$S$425,19,FALSE))&gt;=AD389,TRUE,FALSE))</f>
        <v>1</v>
      </c>
      <c r="AF389" s="158"/>
      <c r="AG389" s="158"/>
      <c r="AH389" s="158"/>
      <c r="AI389" s="158" t="b">
        <f>IF(AF389="",TRUE,IF(IF(AG389="",VLOOKUP(AF389,Calculs!$A$19:$S$425,19,FALSE),VLOOKUP(AG389,Calculs!$A$19:$S$425,19,FALSE))&gt;=AH389,TRUE,FALSE))</f>
        <v>1</v>
      </c>
      <c r="AJ389" s="158"/>
      <c r="AK389" s="158"/>
      <c r="AL389" s="158"/>
      <c r="AM389" s="158" t="b">
        <f>IF(AJ389="",TRUE,IF(IF(AK389="",VLOOKUP(AJ389,Calculs!$A$19:$S$425,19,FALSE),VLOOKUP(AK389,Calculs!$A$19:$S$425,19,FALSE))&gt;=AL389,TRUE,FALSE))</f>
        <v>1</v>
      </c>
      <c r="AN389" s="158"/>
      <c r="AO389" s="158"/>
      <c r="AP389" s="158"/>
      <c r="AQ389" s="158" t="b">
        <f>IF(AN389="",TRUE,IF(IF(AO389="",VLOOKUP(AN389,Calculs!$A$19:$S$425,19,FALSE),VLOOKUP(AO389,Calculs!$A$19:$S$425,19,FALSE))&gt;=AP389,TRUE,FALSE))</f>
        <v>1</v>
      </c>
      <c r="AR389" s="158"/>
      <c r="AS389" s="158" t="b">
        <f>IF(AR389="",TRUE,IF(VLOOKUP(AR389,Calculs!$A$427:$G$738,7,FALSE)&gt;0,TRUE,FALSE))</f>
        <v>1</v>
      </c>
      <c r="AT389" s="158"/>
      <c r="AU389" s="158" t="b">
        <f>IF(AT389="",TRUE,IF(VLOOKUP(AT389,Calculs!$A$740:$G$912,7,FALSE)&gt;0,TRUE,FALSE))</f>
        <v>1</v>
      </c>
      <c r="AV389" s="158" t="b">
        <f t="shared" si="45"/>
        <v>1</v>
      </c>
      <c r="AW389" s="158" t="s">
        <v>2078</v>
      </c>
      <c r="AX389" s="162" t="s">
        <v>7226</v>
      </c>
      <c r="AY389" s="15">
        <v>68</v>
      </c>
      <c r="AZ389" s="555" t="s">
        <v>8562</v>
      </c>
      <c r="BA389" s="559">
        <f>IF(Verso!$B$10=Voies!$B389,1,0)</f>
        <v>0</v>
      </c>
      <c r="BB389" s="12">
        <f>IF(Verso!$B$11=Voies!$B389,1,0)</f>
        <v>0</v>
      </c>
      <c r="BC389" s="12">
        <f>IF(Verso!$B$12=Voies!$B389,1,0)</f>
        <v>0</v>
      </c>
      <c r="BD389" s="12">
        <f>IF(Verso!$B$13=Voies!$B389,1,0)</f>
        <v>0</v>
      </c>
      <c r="BE389" s="12">
        <f>IF(Verso!$B$14=Voies!$B389,1,0)</f>
        <v>0</v>
      </c>
      <c r="BF389" s="12">
        <f>IF(Verso!$B$15=Voies!$B389,1,0)</f>
        <v>0</v>
      </c>
      <c r="BG389" s="12">
        <f>IF(Verso!$B$16=Voies!$B389,1,0)</f>
        <v>0</v>
      </c>
      <c r="BH389" s="12">
        <f>IF(Verso!$B$17=Voies!$B389,1,0)</f>
        <v>0</v>
      </c>
      <c r="BI389" s="557">
        <f t="shared" si="46"/>
        <v>0</v>
      </c>
      <c r="BJ389" s="196" t="str">
        <f t="shared" si="47"/>
        <v/>
      </c>
      <c r="BK389" s="196" t="str">
        <f t="shared" si="48"/>
        <v/>
      </c>
      <c r="BL389" s="295" t="str">
        <f t="shared" si="49"/>
        <v/>
      </c>
    </row>
    <row r="390" spans="1:65" s="196" customFormat="1" ht="47.25" customHeight="1" x14ac:dyDescent="0.25">
      <c r="A390" s="162" t="str">
        <f>IF(AND(Réputation&gt;Voies!E390-1,OR(C390=TRUE,Calculs!$I$8&gt;0),Air&gt;Voies!J390-1,Eau&gt;Voies!K390-1,Feu&gt;Voies!L390-1,Terre&gt;Voies!M390-1,Vide&gt;Voies!N390-1,Constitution&gt;Voies!O390-1,Volonté&gt;Voies!P390-1,Force&gt;Voies!Q390-1,Perception&gt;Voies!R390-1,Reflexes&gt;Voies!S390-1,Agilité&gt;Voies!T390-1,Intuition&gt;Voies!U390-1,Intelligence&gt;Voies!V390-1,Souillure&gt;Voies!W390-1,Honneur&gt;X390-1,Statut&gt;Y390-1,Gloire&gt;Z390-1,AV390=TRUE),Voies!B390,"")</f>
        <v/>
      </c>
      <c r="B390" s="162" t="s">
        <v>5837</v>
      </c>
      <c r="C390" s="162" t="b">
        <f>IF(Clan=Voies!D390,TRUE,FALSE)</f>
        <v>0</v>
      </c>
      <c r="D390" s="387" t="s">
        <v>176</v>
      </c>
      <c r="E390" s="199">
        <v>3</v>
      </c>
      <c r="F390" s="199">
        <v>3</v>
      </c>
      <c r="G390" s="12" t="s">
        <v>4408</v>
      </c>
      <c r="H390" s="162" t="s">
        <v>4406</v>
      </c>
      <c r="I390" s="129" t="s">
        <v>4407</v>
      </c>
      <c r="J390" s="146">
        <v>0</v>
      </c>
      <c r="K390" s="147">
        <v>0</v>
      </c>
      <c r="L390" s="148">
        <v>0</v>
      </c>
      <c r="M390" s="149">
        <v>0</v>
      </c>
      <c r="N390" s="150">
        <v>0</v>
      </c>
      <c r="O390" s="130">
        <v>0</v>
      </c>
      <c r="P390" s="130">
        <v>0</v>
      </c>
      <c r="Q390" s="130">
        <v>0</v>
      </c>
      <c r="R390" s="130">
        <v>0</v>
      </c>
      <c r="S390" s="130">
        <v>0</v>
      </c>
      <c r="T390" s="130">
        <v>0</v>
      </c>
      <c r="U390" s="130">
        <v>0</v>
      </c>
      <c r="V390" s="524">
        <v>0</v>
      </c>
      <c r="W390" s="130">
        <v>0</v>
      </c>
      <c r="X390" s="130">
        <v>0</v>
      </c>
      <c r="Y390" s="130">
        <v>0</v>
      </c>
      <c r="Z390" s="130">
        <v>0</v>
      </c>
      <c r="AA390" s="158" t="s">
        <v>2078</v>
      </c>
      <c r="AB390" s="158"/>
      <c r="AC390" s="158"/>
      <c r="AD390" s="158"/>
      <c r="AE390" s="158" t="b">
        <f>IF(AB390="",TRUE,IF(IF(AC390="",VLOOKUP(AB390,Calculs!$A$19:$S$425,19,FALSE),VLOOKUP(AC390,Calculs!$A$19:$S$425,19,FALSE))&gt;=AD390,TRUE,FALSE))</f>
        <v>1</v>
      </c>
      <c r="AF390" s="158"/>
      <c r="AG390" s="158"/>
      <c r="AH390" s="158"/>
      <c r="AI390" s="158" t="b">
        <f>IF(AF390="",TRUE,IF(IF(AG390="",VLOOKUP(AF390,Calculs!$A$19:$S$425,19,FALSE),VLOOKUP(AG390,Calculs!$A$19:$S$425,19,FALSE))&gt;=AH390,TRUE,FALSE))</f>
        <v>1</v>
      </c>
      <c r="AJ390" s="158"/>
      <c r="AK390" s="158"/>
      <c r="AL390" s="158"/>
      <c r="AM390" s="158" t="b">
        <f>IF(AJ390="",TRUE,IF(IF(AK390="",VLOOKUP(AJ390,Calculs!$A$19:$S$425,19,FALSE),VLOOKUP(AK390,Calculs!$A$19:$S$425,19,FALSE))&gt;=AL390,TRUE,FALSE))</f>
        <v>1</v>
      </c>
      <c r="AN390" s="158"/>
      <c r="AO390" s="158"/>
      <c r="AP390" s="158"/>
      <c r="AQ390" s="158" t="b">
        <f>IF(AN390="",TRUE,IF(IF(AO390="",VLOOKUP(AN390,Calculs!$A$19:$S$425,19,FALSE),VLOOKUP(AO390,Calculs!$A$19:$S$425,19,FALSE))&gt;=AP390,TRUE,FALSE))</f>
        <v>1</v>
      </c>
      <c r="AR390" s="158"/>
      <c r="AS390" s="158" t="b">
        <f>IF(AR390="",TRUE,IF(VLOOKUP(AR390,Calculs!$A$427:$G$738,7,FALSE)&gt;0,TRUE,FALSE))</f>
        <v>1</v>
      </c>
      <c r="AT390" s="158"/>
      <c r="AU390" s="158" t="b">
        <f>IF(AT390="",TRUE,IF(VLOOKUP(AT390,Calculs!$A$740:$G$912,7,FALSE)&gt;0,TRUE,FALSE))</f>
        <v>1</v>
      </c>
      <c r="AV390" s="158" t="b">
        <f t="shared" si="45"/>
        <v>1</v>
      </c>
      <c r="AW390" s="159" t="s">
        <v>5842</v>
      </c>
      <c r="AX390" s="162" t="s">
        <v>4403</v>
      </c>
      <c r="AY390" s="15">
        <v>185</v>
      </c>
      <c r="AZ390" s="555" t="s">
        <v>8563</v>
      </c>
      <c r="BA390" s="559">
        <f>IF(Verso!$B$10=Voies!$B390,1,0)</f>
        <v>0</v>
      </c>
      <c r="BB390" s="12">
        <f>IF(Verso!$B$11=Voies!$B390,1,0)</f>
        <v>0</v>
      </c>
      <c r="BC390" s="12">
        <f>IF(Verso!$B$12=Voies!$B390,1,0)</f>
        <v>0</v>
      </c>
      <c r="BD390" s="12">
        <f>IF(Verso!$B$13=Voies!$B390,1,0)</f>
        <v>0</v>
      </c>
      <c r="BE390" s="12">
        <f>IF(Verso!$B$14=Voies!$B390,1,0)</f>
        <v>0</v>
      </c>
      <c r="BF390" s="12">
        <f>IF(Verso!$B$15=Voies!$B390,1,0)</f>
        <v>0</v>
      </c>
      <c r="BG390" s="12">
        <f>IF(Verso!$B$16=Voies!$B390,1,0)</f>
        <v>0</v>
      </c>
      <c r="BH390" s="12">
        <f>IF(Verso!$B$17=Voies!$B390,1,0)</f>
        <v>0</v>
      </c>
      <c r="BI390" s="557">
        <f t="shared" si="46"/>
        <v>0</v>
      </c>
      <c r="BJ390" s="196" t="str">
        <f t="shared" si="47"/>
        <v/>
      </c>
      <c r="BK390" s="196" t="str">
        <f t="shared" si="48"/>
        <v/>
      </c>
      <c r="BL390" s="295" t="str">
        <f t="shared" si="49"/>
        <v/>
      </c>
      <c r="BM390" s="91"/>
    </row>
    <row r="391" spans="1:65" ht="47.25" customHeight="1" x14ac:dyDescent="0.25">
      <c r="A391" s="162" t="str">
        <f>IF(AND(Réputation&gt;Voies!E391-1,OR(C391=TRUE,Calculs!$I$8&gt;0),Air&gt;Voies!J391-1,Eau&gt;Voies!K391-1,Feu&gt;Voies!L391-1,Terre&gt;Voies!M391-1,Vide&gt;Voies!N391-1,Constitution&gt;Voies!O391-1,Volonté&gt;Voies!P391-1,Force&gt;Voies!Q391-1,Perception&gt;Voies!R391-1,Reflexes&gt;Voies!S391-1,Agilité&gt;Voies!T391-1,Intuition&gt;Voies!U391-1,Intelligence&gt;Voies!V391-1,Souillure&gt;Voies!W391-1,Honneur&gt;X391-1,Statut&gt;Y391-1,Gloire&gt;Z391-1,AV391=TRUE),Voies!B391,"")</f>
        <v/>
      </c>
      <c r="B391" s="162" t="s">
        <v>5871</v>
      </c>
      <c r="C391" s="162" t="b">
        <f>IF(OR(Clan="Grue",Clan="Confrérie"),TRUE,FALSE)</f>
        <v>0</v>
      </c>
      <c r="D391" s="387" t="s">
        <v>176</v>
      </c>
      <c r="E391" s="13">
        <v>3</v>
      </c>
      <c r="F391" s="199">
        <v>3</v>
      </c>
      <c r="G391" s="12" t="s">
        <v>4409</v>
      </c>
      <c r="H391" s="162" t="s">
        <v>5870</v>
      </c>
      <c r="I391" s="129" t="s">
        <v>4410</v>
      </c>
      <c r="J391" s="146">
        <v>0</v>
      </c>
      <c r="K391" s="147">
        <v>3</v>
      </c>
      <c r="L391" s="148">
        <v>0</v>
      </c>
      <c r="M391" s="149">
        <v>0</v>
      </c>
      <c r="N391" s="150">
        <v>0</v>
      </c>
      <c r="O391" s="130">
        <v>0</v>
      </c>
      <c r="P391" s="130">
        <v>0</v>
      </c>
      <c r="Q391" s="130">
        <v>0</v>
      </c>
      <c r="R391" s="130">
        <v>0</v>
      </c>
      <c r="S391" s="130">
        <v>0</v>
      </c>
      <c r="T391" s="130">
        <v>0</v>
      </c>
      <c r="U391" s="130">
        <v>0</v>
      </c>
      <c r="V391" s="524">
        <v>0</v>
      </c>
      <c r="W391" s="130">
        <v>0</v>
      </c>
      <c r="X391" s="130">
        <v>0</v>
      </c>
      <c r="Y391" s="130">
        <v>0</v>
      </c>
      <c r="Z391" s="130">
        <v>0</v>
      </c>
      <c r="AA391" s="159" t="s">
        <v>5872</v>
      </c>
      <c r="AB391" s="159" t="s">
        <v>1223</v>
      </c>
      <c r="AC391" s="159" t="s">
        <v>5873</v>
      </c>
      <c r="AD391" s="159">
        <v>3</v>
      </c>
      <c r="AE391" s="158" t="b">
        <f>IF(AB391="",TRUE,IF(IF(AC391="",VLOOKUP(AB391,Calculs!$A$19:$S$425,19,FALSE),VLOOKUP(AC391,Calculs!$A$19:$S$425,19,FALSE))&gt;=AD391,TRUE,FALSE))</f>
        <v>0</v>
      </c>
      <c r="AI391" s="158" t="b">
        <f>IF(AF391="",TRUE,IF(IF(AG391="",VLOOKUP(AF391,Calculs!$A$19:$S$425,19,FALSE),VLOOKUP(AG391,Calculs!$A$19:$S$425,19,FALSE))&gt;=AH391,TRUE,FALSE))</f>
        <v>1</v>
      </c>
      <c r="AM391" s="158" t="b">
        <f>IF(AJ391="",TRUE,IF(IF(AK391="",VLOOKUP(AJ391,Calculs!$A$19:$S$425,19,FALSE),VLOOKUP(AK391,Calculs!$A$19:$S$425,19,FALSE))&gt;=AL391,TRUE,FALSE))</f>
        <v>1</v>
      </c>
      <c r="AQ391" s="158" t="b">
        <f>IF(AN391="",TRUE,IF(IF(AO391="",VLOOKUP(AN391,Calculs!$A$19:$S$425,19,FALSE),VLOOKUP(AO391,Calculs!$A$19:$S$425,19,FALSE))&gt;=AP391,TRUE,FALSE))</f>
        <v>1</v>
      </c>
      <c r="AR391" s="158"/>
      <c r="AS391" s="158" t="b">
        <f>IF(AR391="",TRUE,IF(VLOOKUP(AR391,Calculs!$A$427:$G$738,7,FALSE)&gt;0,TRUE,FALSE))</f>
        <v>1</v>
      </c>
      <c r="AT391" s="158"/>
      <c r="AU391" s="158" t="b">
        <f>IF(AT391="",TRUE,IF(VLOOKUP(AT391,Calculs!$A$740:$G$912,7,FALSE)&gt;0,TRUE,FALSE))</f>
        <v>1</v>
      </c>
      <c r="AV391" s="158" t="b">
        <f t="shared" si="45"/>
        <v>0</v>
      </c>
      <c r="AW391" s="158" t="s">
        <v>2078</v>
      </c>
      <c r="AX391" s="162" t="s">
        <v>4403</v>
      </c>
      <c r="AY391" s="15">
        <v>178</v>
      </c>
      <c r="AZ391" s="555" t="s">
        <v>5874</v>
      </c>
      <c r="BA391" s="559">
        <f>IF(Verso!$B$10=Voies!$B391,1,0)</f>
        <v>0</v>
      </c>
      <c r="BB391" s="12">
        <f>IF(Verso!$B$11=Voies!$B391,1,0)</f>
        <v>0</v>
      </c>
      <c r="BC391" s="12">
        <f>IF(Verso!$B$12=Voies!$B391,1,0)</f>
        <v>0</v>
      </c>
      <c r="BD391" s="12">
        <f>IF(Verso!$B$13=Voies!$B391,1,0)</f>
        <v>0</v>
      </c>
      <c r="BE391" s="12">
        <f>IF(Verso!$B$14=Voies!$B391,1,0)</f>
        <v>0</v>
      </c>
      <c r="BF391" s="12">
        <f>IF(Verso!$B$15=Voies!$B391,1,0)</f>
        <v>0</v>
      </c>
      <c r="BG391" s="12">
        <f>IF(Verso!$B$16=Voies!$B391,1,0)</f>
        <v>0</v>
      </c>
      <c r="BH391" s="12">
        <f>IF(Verso!$B$17=Voies!$B391,1,0)</f>
        <v>0</v>
      </c>
      <c r="BI391" s="557">
        <f t="shared" si="46"/>
        <v>0</v>
      </c>
      <c r="BJ391" s="196" t="str">
        <f t="shared" si="47"/>
        <v/>
      </c>
      <c r="BK391" s="196" t="str">
        <f t="shared" si="48"/>
        <v/>
      </c>
      <c r="BL391" s="295" t="str">
        <f t="shared" si="49"/>
        <v/>
      </c>
    </row>
    <row r="392" spans="1:65" ht="47.25" customHeight="1" x14ac:dyDescent="0.25">
      <c r="A392" s="162" t="str">
        <f>IF(AND(Réputation&gt;Voies!E392-1,OR(C392=TRUE,Calculs!$I$8&gt;0),Air&gt;Voies!J392-1,Eau&gt;Voies!K392-1,Feu&gt;Voies!L392-1,Terre&gt;Voies!M392-1,Vide&gt;Voies!N392-1,Constitution&gt;Voies!O392-1,Volonté&gt;Voies!P392-1,Force&gt;Voies!Q392-1,Perception&gt;Voies!R392-1,Reflexes&gt;Voies!S392-1,Agilité&gt;Voies!T392-1,Intuition&gt;Voies!U392-1,Intelligence&gt;Voies!V392-1,Souillure&gt;Voies!W392-1,Honneur&gt;X392-1,Statut&gt;Y392-1,Gloire&gt;Z392-1,AV392=TRUE),Voies!B392,"")</f>
        <v/>
      </c>
      <c r="B392" s="162" t="s">
        <v>3345</v>
      </c>
      <c r="C392" s="162" t="b">
        <f>IF(Clan=Voies!D392,TRUE,FALSE)</f>
        <v>0</v>
      </c>
      <c r="D392" s="387" t="s">
        <v>176</v>
      </c>
      <c r="E392" s="13">
        <v>3</v>
      </c>
      <c r="F392" s="199">
        <v>3</v>
      </c>
      <c r="G392" s="13" t="s">
        <v>2048</v>
      </c>
      <c r="H392" s="219" t="s">
        <v>484</v>
      </c>
      <c r="I392" s="129" t="s">
        <v>3344</v>
      </c>
      <c r="J392" s="146">
        <v>0</v>
      </c>
      <c r="K392" s="147">
        <v>0</v>
      </c>
      <c r="L392" s="148">
        <v>0</v>
      </c>
      <c r="M392" s="149">
        <v>0</v>
      </c>
      <c r="N392" s="150">
        <v>0</v>
      </c>
      <c r="O392" s="130">
        <v>0</v>
      </c>
      <c r="P392" s="130">
        <v>0</v>
      </c>
      <c r="Q392" s="130">
        <v>0</v>
      </c>
      <c r="R392" s="130">
        <v>0</v>
      </c>
      <c r="S392" s="130">
        <v>0</v>
      </c>
      <c r="T392" s="130">
        <v>0</v>
      </c>
      <c r="U392" s="130">
        <v>0</v>
      </c>
      <c r="V392" s="524">
        <v>0</v>
      </c>
      <c r="W392" s="130">
        <v>0</v>
      </c>
      <c r="X392" s="130">
        <v>0</v>
      </c>
      <c r="Y392" s="130">
        <v>0</v>
      </c>
      <c r="Z392" s="130">
        <v>0</v>
      </c>
      <c r="AA392" s="158" t="s">
        <v>2078</v>
      </c>
      <c r="AB392" s="158"/>
      <c r="AC392" s="158"/>
      <c r="AD392" s="158"/>
      <c r="AE392" s="158" t="b">
        <f>IF(AB392="",TRUE,IF(IF(AC392="",VLOOKUP(AB392,Calculs!$A$19:$S$425,19,FALSE),VLOOKUP(AC392,Calculs!$A$19:$S$425,19,FALSE))&gt;=AD392,TRUE,FALSE))</f>
        <v>1</v>
      </c>
      <c r="AF392" s="158"/>
      <c r="AG392" s="158"/>
      <c r="AH392" s="158"/>
      <c r="AI392" s="158" t="b">
        <f>IF(AF392="",TRUE,IF(IF(AG392="",VLOOKUP(AF392,Calculs!$A$19:$S$425,19,FALSE),VLOOKUP(AG392,Calculs!$A$19:$S$425,19,FALSE))&gt;=AH392,TRUE,FALSE))</f>
        <v>1</v>
      </c>
      <c r="AJ392" s="158"/>
      <c r="AK392" s="158"/>
      <c r="AL392" s="158"/>
      <c r="AM392" s="158" t="b">
        <f>IF(AJ392="",TRUE,IF(IF(AK392="",VLOOKUP(AJ392,Calculs!$A$19:$S$425,19,FALSE),VLOOKUP(AK392,Calculs!$A$19:$S$425,19,FALSE))&gt;=AL392,TRUE,FALSE))</f>
        <v>1</v>
      </c>
      <c r="AN392" s="158"/>
      <c r="AO392" s="158"/>
      <c r="AP392" s="158"/>
      <c r="AQ392" s="158" t="b">
        <f>IF(AN392="",TRUE,IF(IF(AO392="",VLOOKUP(AN392,Calculs!$A$19:$S$425,19,FALSE),VLOOKUP(AO392,Calculs!$A$19:$S$425,19,FALSE))&gt;=AP392,TRUE,FALSE))</f>
        <v>1</v>
      </c>
      <c r="AR392" s="158"/>
      <c r="AS392" s="158" t="b">
        <f>IF(AR392="",TRUE,IF(VLOOKUP(AR392,Calculs!$A$427:$G$738,7,FALSE)&gt;0,TRUE,FALSE))</f>
        <v>1</v>
      </c>
      <c r="AT392" s="158"/>
      <c r="AU392" s="158" t="b">
        <f>IF(AT392="",TRUE,IF(VLOOKUP(AT392,Calculs!$A$740:$G$912,7,FALSE)&gt;0,TRUE,FALSE))</f>
        <v>1</v>
      </c>
      <c r="AV392" s="158" t="b">
        <f t="shared" si="45"/>
        <v>1</v>
      </c>
      <c r="AW392" s="158" t="s">
        <v>2078</v>
      </c>
      <c r="AX392" s="162" t="s">
        <v>118</v>
      </c>
      <c r="AY392" s="15">
        <v>180</v>
      </c>
      <c r="AZ392" s="555" t="s">
        <v>8564</v>
      </c>
      <c r="BA392" s="559">
        <f>IF(Verso!$B$10=Voies!$B392,1,0)</f>
        <v>0</v>
      </c>
      <c r="BB392" s="12">
        <f>IF(Verso!$B$11=Voies!$B392,1,0)</f>
        <v>0</v>
      </c>
      <c r="BC392" s="12">
        <f>IF(Verso!$B$12=Voies!$B392,1,0)</f>
        <v>0</v>
      </c>
      <c r="BD392" s="12">
        <f>IF(Verso!$B$13=Voies!$B392,1,0)</f>
        <v>0</v>
      </c>
      <c r="BE392" s="12">
        <f>IF(Verso!$B$14=Voies!$B392,1,0)</f>
        <v>0</v>
      </c>
      <c r="BF392" s="12">
        <f>IF(Verso!$B$15=Voies!$B392,1,0)</f>
        <v>0</v>
      </c>
      <c r="BG392" s="12">
        <f>IF(Verso!$B$16=Voies!$B392,1,0)</f>
        <v>0</v>
      </c>
      <c r="BH392" s="12">
        <f>IF(Verso!$B$17=Voies!$B392,1,0)</f>
        <v>0</v>
      </c>
      <c r="BI392" s="557">
        <f t="shared" si="46"/>
        <v>0</v>
      </c>
      <c r="BJ392" s="196" t="str">
        <f t="shared" si="47"/>
        <v/>
      </c>
      <c r="BK392" s="196" t="str">
        <f t="shared" si="48"/>
        <v/>
      </c>
      <c r="BL392" s="295" t="str">
        <f t="shared" si="49"/>
        <v/>
      </c>
    </row>
    <row r="393" spans="1:65" ht="47.25" customHeight="1" x14ac:dyDescent="0.25">
      <c r="A393" s="162" t="str">
        <f>IF(AND(Réputation&gt;Voies!E393-1,OR(C393=TRUE,Calculs!$I$8&gt;0),Air&gt;Voies!J393-1,Eau&gt;Voies!K393-1,Feu&gt;Voies!L393-1,Terre&gt;Voies!M393-1,Vide&gt;Voies!N393-1,Constitution&gt;Voies!O393-1,Volonté&gt;Voies!P393-1,Force&gt;Voies!Q393-1,Perception&gt;Voies!R393-1,Reflexes&gt;Voies!S393-1,Agilité&gt;Voies!T393-1,Intuition&gt;Voies!U393-1,Intelligence&gt;Voies!V393-1,Souillure&gt;Voies!W393-1,Honneur&gt;X393-1,Statut&gt;Y393-1,Gloire&gt;Z393-1,AV393=TRUE),Voies!B393,"")</f>
        <v/>
      </c>
      <c r="B393" s="162" t="s">
        <v>6055</v>
      </c>
      <c r="C393" s="162" t="b">
        <f>IF(Clan=Voies!D393,TRUE,FALSE)</f>
        <v>0</v>
      </c>
      <c r="D393" s="387" t="s">
        <v>176</v>
      </c>
      <c r="E393" s="13">
        <v>4</v>
      </c>
      <c r="F393" s="199">
        <v>4</v>
      </c>
      <c r="G393" s="13" t="s">
        <v>2057</v>
      </c>
      <c r="H393" s="219" t="s">
        <v>6052</v>
      </c>
      <c r="I393" s="129" t="str">
        <f>IF(B393="","","Rien")</f>
        <v>Rien</v>
      </c>
      <c r="J393" s="146">
        <v>0</v>
      </c>
      <c r="K393" s="147">
        <v>0</v>
      </c>
      <c r="L393" s="148">
        <v>0</v>
      </c>
      <c r="M393" s="149">
        <v>0</v>
      </c>
      <c r="N393" s="150">
        <v>0</v>
      </c>
      <c r="O393" s="130">
        <v>0</v>
      </c>
      <c r="P393" s="130">
        <v>0</v>
      </c>
      <c r="Q393" s="130">
        <v>0</v>
      </c>
      <c r="R393" s="130">
        <v>0</v>
      </c>
      <c r="S393" s="130">
        <v>0</v>
      </c>
      <c r="T393" s="130">
        <v>0</v>
      </c>
      <c r="U393" s="130">
        <v>0</v>
      </c>
      <c r="V393" s="524">
        <v>0</v>
      </c>
      <c r="W393" s="130">
        <v>0</v>
      </c>
      <c r="X393" s="130">
        <v>0</v>
      </c>
      <c r="Y393" s="130">
        <v>0</v>
      </c>
      <c r="Z393" s="130">
        <v>0</v>
      </c>
      <c r="AA393" s="158" t="s">
        <v>2078</v>
      </c>
      <c r="AB393" s="158"/>
      <c r="AC393" s="158"/>
      <c r="AD393" s="158"/>
      <c r="AE393" s="158" t="b">
        <f>IF(AB393="",TRUE,IF(IF(AC393="",VLOOKUP(AB393,Calculs!$A$19:$S$425,19,FALSE),VLOOKUP(AC393,Calculs!$A$19:$S$425,19,FALSE))&gt;=AD393,TRUE,FALSE))</f>
        <v>1</v>
      </c>
      <c r="AF393" s="158"/>
      <c r="AG393" s="158"/>
      <c r="AH393" s="158"/>
      <c r="AI393" s="158" t="b">
        <f>IF(AF393="",TRUE,IF(IF(AG393="",VLOOKUP(AF393,Calculs!$A$19:$S$425,19,FALSE),VLOOKUP(AG393,Calculs!$A$19:$S$425,19,FALSE))&gt;=AH393,TRUE,FALSE))</f>
        <v>1</v>
      </c>
      <c r="AJ393" s="158"/>
      <c r="AK393" s="158"/>
      <c r="AL393" s="158"/>
      <c r="AM393" s="158" t="b">
        <f>IF(AJ393="",TRUE,IF(IF(AK393="",VLOOKUP(AJ393,Calculs!$A$19:$S$425,19,FALSE),VLOOKUP(AK393,Calculs!$A$19:$S$425,19,FALSE))&gt;=AL393,TRUE,FALSE))</f>
        <v>1</v>
      </c>
      <c r="AN393" s="158"/>
      <c r="AO393" s="158"/>
      <c r="AP393" s="158"/>
      <c r="AQ393" s="158" t="b">
        <f>IF(AN393="",TRUE,IF(IF(AO393="",VLOOKUP(AN393,Calculs!$A$19:$S$425,19,FALSE),VLOOKUP(AO393,Calculs!$A$19:$S$425,19,FALSE))&gt;=AP393,TRUE,FALSE))</f>
        <v>1</v>
      </c>
      <c r="AR393" s="158"/>
      <c r="AS393" s="158" t="b">
        <f>IF(AR393="",TRUE,IF(VLOOKUP(AR393,Calculs!$A$427:$G$738,7,FALSE)&gt;0,TRUE,FALSE))</f>
        <v>1</v>
      </c>
      <c r="AT393" s="158"/>
      <c r="AU393" s="158" t="b">
        <f>IF(AT393="",TRUE,IF(VLOOKUP(AT393,Calculs!$A$740:$G$912,7,FALSE)&gt;0,TRUE,FALSE))</f>
        <v>1</v>
      </c>
      <c r="AV393" s="158" t="b">
        <f t="shared" si="45"/>
        <v>1</v>
      </c>
      <c r="AW393" s="158" t="s">
        <v>2078</v>
      </c>
      <c r="AX393" s="162" t="s">
        <v>6061</v>
      </c>
      <c r="AY393" s="15">
        <v>101</v>
      </c>
      <c r="AZ393" s="555" t="s">
        <v>8565</v>
      </c>
      <c r="BA393" s="559">
        <f>IF(Verso!$B$10=Voies!$B393,1,0)</f>
        <v>0</v>
      </c>
      <c r="BB393" s="12">
        <f>IF(Verso!$B$11=Voies!$B393,1,0)</f>
        <v>0</v>
      </c>
      <c r="BC393" s="12">
        <f>IF(Verso!$B$12=Voies!$B393,1,0)</f>
        <v>0</v>
      </c>
      <c r="BD393" s="12">
        <f>IF(Verso!$B$13=Voies!$B393,1,0)</f>
        <v>0</v>
      </c>
      <c r="BE393" s="12">
        <f>IF(Verso!$B$14=Voies!$B393,1,0)</f>
        <v>0</v>
      </c>
      <c r="BF393" s="12">
        <f>IF(Verso!$B$15=Voies!$B393,1,0)</f>
        <v>0</v>
      </c>
      <c r="BG393" s="12">
        <f>IF(Verso!$B$16=Voies!$B393,1,0)</f>
        <v>0</v>
      </c>
      <c r="BH393" s="12">
        <f>IF(Verso!$B$17=Voies!$B393,1,0)</f>
        <v>0</v>
      </c>
      <c r="BI393" s="557">
        <f t="shared" si="46"/>
        <v>0</v>
      </c>
      <c r="BJ393" s="196" t="str">
        <f t="shared" si="47"/>
        <v/>
      </c>
      <c r="BK393" s="196" t="str">
        <f t="shared" si="48"/>
        <v/>
      </c>
      <c r="BL393" s="295" t="str">
        <f t="shared" si="49"/>
        <v/>
      </c>
    </row>
    <row r="394" spans="1:65" ht="47.25" customHeight="1" x14ac:dyDescent="0.25">
      <c r="A394" s="162" t="str">
        <f>IF(AND(Réputation&gt;Voies!E394-1,OR(C394=TRUE,Calculs!$I$8&gt;0),Air&gt;Voies!J394-1,Eau&gt;Voies!K394-1,Feu&gt;Voies!L394-1,Terre&gt;Voies!M394-1,Vide&gt;Voies!N394-1,Constitution&gt;Voies!O394-1,Volonté&gt;Voies!P394-1,Force&gt;Voies!Q394-1,Perception&gt;Voies!R394-1,Reflexes&gt;Voies!S394-1,Agilité&gt;Voies!T394-1,Intuition&gt;Voies!U394-1,Intelligence&gt;Voies!V394-1,Souillure&gt;Voies!W394-1,Honneur&gt;X394-1,Statut&gt;Y394-1,Gloire&gt;Z394-1,AV394=TRUE),Voies!B394,"")</f>
        <v/>
      </c>
      <c r="B394" s="162" t="s">
        <v>3363</v>
      </c>
      <c r="C394" s="162" t="b">
        <f>IF(Clan=Voies!D394,TRUE,FALSE)</f>
        <v>0</v>
      </c>
      <c r="D394" s="387" t="s">
        <v>176</v>
      </c>
      <c r="E394" s="13">
        <v>4</v>
      </c>
      <c r="F394" s="199">
        <v>4</v>
      </c>
      <c r="G394" s="13" t="s">
        <v>2049</v>
      </c>
      <c r="H394" s="219" t="s">
        <v>483</v>
      </c>
      <c r="I394" s="129" t="s">
        <v>3868</v>
      </c>
      <c r="J394" s="146">
        <v>3</v>
      </c>
      <c r="K394" s="147">
        <v>0</v>
      </c>
      <c r="L394" s="148">
        <v>0</v>
      </c>
      <c r="M394" s="149">
        <v>0</v>
      </c>
      <c r="N394" s="150">
        <v>0</v>
      </c>
      <c r="O394" s="130">
        <v>0</v>
      </c>
      <c r="P394" s="130">
        <v>0</v>
      </c>
      <c r="Q394" s="130">
        <v>0</v>
      </c>
      <c r="R394" s="130">
        <v>0</v>
      </c>
      <c r="S394" s="130">
        <v>0</v>
      </c>
      <c r="T394" s="130">
        <v>0</v>
      </c>
      <c r="U394" s="130">
        <v>0</v>
      </c>
      <c r="V394" s="524">
        <v>0</v>
      </c>
      <c r="W394" s="130">
        <v>0</v>
      </c>
      <c r="X394" s="130">
        <v>0</v>
      </c>
      <c r="Y394" s="130">
        <v>0</v>
      </c>
      <c r="Z394" s="130">
        <v>0</v>
      </c>
      <c r="AA394" s="159" t="s">
        <v>3361</v>
      </c>
      <c r="AB394" s="159" t="s">
        <v>1228</v>
      </c>
      <c r="AD394" s="159">
        <v>5</v>
      </c>
      <c r="AE394" s="158" t="b">
        <f>IF(AB394="",TRUE,IF(IF(AC394="",VLOOKUP(AB394,Calculs!$A$19:$S$425,19,FALSE),VLOOKUP(AC394,Calculs!$A$19:$S$425,19,FALSE))&gt;=AD394,TRUE,FALSE))</f>
        <v>0</v>
      </c>
      <c r="AI394" s="158" t="b">
        <f>IF(AF394="",TRUE,IF(IF(AG394="",VLOOKUP(AF394,Calculs!$A$19:$S$425,19,FALSE),VLOOKUP(AG394,Calculs!$A$19:$S$425,19,FALSE))&gt;=AH394,TRUE,FALSE))</f>
        <v>1</v>
      </c>
      <c r="AM394" s="158" t="b">
        <f>IF(AJ394="",TRUE,IF(IF(AK394="",VLOOKUP(AJ394,Calculs!$A$19:$S$425,19,FALSE),VLOOKUP(AK394,Calculs!$A$19:$S$425,19,FALSE))&gt;=AL394,TRUE,FALSE))</f>
        <v>1</v>
      </c>
      <c r="AQ394" s="158" t="b">
        <f>IF(AN394="",TRUE,IF(IF(AO394="",VLOOKUP(AN394,Calculs!$A$19:$S$425,19,FALSE),VLOOKUP(AO394,Calculs!$A$19:$S$425,19,FALSE))&gt;=AP394,TRUE,FALSE))</f>
        <v>1</v>
      </c>
      <c r="AR394" s="158"/>
      <c r="AS394" s="158" t="b">
        <f>IF(AR394="",TRUE,IF(VLOOKUP(AR394,Calculs!$A$427:$G$738,7,FALSE)&gt;0,TRUE,FALSE))</f>
        <v>1</v>
      </c>
      <c r="AT394" s="158"/>
      <c r="AU394" s="158" t="b">
        <f>IF(AT394="",TRUE,IF(VLOOKUP(AT394,Calculs!$A$740:$G$912,7,FALSE)&gt;0,TRUE,FALSE))</f>
        <v>1</v>
      </c>
      <c r="AV394" s="158" t="b">
        <f t="shared" si="45"/>
        <v>0</v>
      </c>
      <c r="AW394" s="159" t="s">
        <v>3362</v>
      </c>
      <c r="AX394" s="162" t="s">
        <v>118</v>
      </c>
      <c r="AY394" s="15">
        <v>171</v>
      </c>
      <c r="AZ394" s="555" t="str">
        <f>CONCATENATE("Lors d'une attaque de tir à l'arc, vous pouvez entreprendre la Manœuvre Coup Précis pour un A moins (min. de 1) et ajouter +",ROUNDDOWN(Air/2,0),"g0 à vos jets d'attaque.")</f>
        <v>Lors d'une attaque de tir à l'arc, vous pouvez entreprendre la Manœuvre Coup Précis pour un A moins (min. de 1) et ajouter +1g0 à vos jets d'attaque.</v>
      </c>
      <c r="BA394" s="559">
        <f>IF(Verso!$B$10=Voies!$B394,1,0)</f>
        <v>0</v>
      </c>
      <c r="BB394" s="12">
        <f>IF(Verso!$B$11=Voies!$B394,1,0)</f>
        <v>0</v>
      </c>
      <c r="BC394" s="12">
        <f>IF(Verso!$B$12=Voies!$B394,1,0)</f>
        <v>0</v>
      </c>
      <c r="BD394" s="12">
        <f>IF(Verso!$B$13=Voies!$B394,1,0)</f>
        <v>0</v>
      </c>
      <c r="BE394" s="12">
        <f>IF(Verso!$B$14=Voies!$B394,1,0)</f>
        <v>0</v>
      </c>
      <c r="BF394" s="12">
        <f>IF(Verso!$B$15=Voies!$B394,1,0)</f>
        <v>0</v>
      </c>
      <c r="BG394" s="12">
        <f>IF(Verso!$B$16=Voies!$B394,1,0)</f>
        <v>0</v>
      </c>
      <c r="BH394" s="12">
        <f>IF(Verso!$B$17=Voies!$B394,1,0)</f>
        <v>0</v>
      </c>
      <c r="BI394" s="557">
        <f t="shared" si="46"/>
        <v>0</v>
      </c>
      <c r="BJ394" s="196" t="str">
        <f t="shared" si="47"/>
        <v/>
      </c>
      <c r="BK394" s="196" t="str">
        <f t="shared" si="48"/>
        <v/>
      </c>
      <c r="BL394" s="295" t="str">
        <f t="shared" si="49"/>
        <v/>
      </c>
    </row>
    <row r="395" spans="1:65" ht="47.25" customHeight="1" x14ac:dyDescent="0.25">
      <c r="A395" s="162" t="str">
        <f>IF(AND(Réputation&gt;Voies!E395-1,OR(C395=TRUE,Calculs!$I$8&gt;0),Air&gt;Voies!J395-1,Eau&gt;Voies!K395-1,Feu&gt;Voies!L395-1,Terre&gt;Voies!M395-1,Vide&gt;Voies!N395-1,Constitution&gt;Voies!O395-1,Volonté&gt;Voies!P395-1,Force&gt;Voies!Q395-1,Perception&gt;Voies!R395-1,Reflexes&gt;Voies!S395-1,Agilité&gt;Voies!T395-1,Intuition&gt;Voies!U395-1,Intelligence&gt;Voies!V395-1,Souillure&gt;Voies!W395-1,Honneur&gt;X395-1,Statut&gt;Y395-1,Gloire&gt;Z395-1,AV395=TRUE),Voies!B395,"")</f>
        <v/>
      </c>
      <c r="B395" s="162" t="s">
        <v>2344</v>
      </c>
      <c r="C395" s="162" t="b">
        <f>IF(Clan=Voies!D395,TRUE,FALSE)</f>
        <v>0</v>
      </c>
      <c r="D395" s="387" t="s">
        <v>176</v>
      </c>
      <c r="E395" s="13">
        <v>4</v>
      </c>
      <c r="F395" s="199">
        <v>4</v>
      </c>
      <c r="G395" s="13" t="s">
        <v>2049</v>
      </c>
      <c r="H395" s="219" t="s">
        <v>198</v>
      </c>
      <c r="I395" s="129" t="str">
        <f>IF(B395="","","Rien")</f>
        <v>Rien</v>
      </c>
      <c r="J395" s="146">
        <v>0</v>
      </c>
      <c r="K395" s="147">
        <v>0</v>
      </c>
      <c r="L395" s="148">
        <v>0</v>
      </c>
      <c r="M395" s="149">
        <v>0</v>
      </c>
      <c r="N395" s="150">
        <v>0</v>
      </c>
      <c r="O395" s="130">
        <v>0</v>
      </c>
      <c r="P395" s="130">
        <v>0</v>
      </c>
      <c r="Q395" s="130">
        <v>0</v>
      </c>
      <c r="R395" s="130">
        <v>0</v>
      </c>
      <c r="S395" s="130">
        <v>0</v>
      </c>
      <c r="T395" s="130">
        <v>0</v>
      </c>
      <c r="U395" s="130">
        <v>0</v>
      </c>
      <c r="V395" s="524">
        <v>0</v>
      </c>
      <c r="W395" s="130">
        <v>0</v>
      </c>
      <c r="X395" s="130">
        <v>0</v>
      </c>
      <c r="Y395" s="130">
        <v>0</v>
      </c>
      <c r="Z395" s="130">
        <v>0</v>
      </c>
      <c r="AA395" s="158" t="s">
        <v>2078</v>
      </c>
      <c r="AB395" s="158"/>
      <c r="AC395" s="158"/>
      <c r="AD395" s="158"/>
      <c r="AE395" s="158" t="b">
        <f>IF(AB395="",TRUE,IF(IF(AC395="",VLOOKUP(AB395,Calculs!$A$19:$S$425,19,FALSE),VLOOKUP(AC395,Calculs!$A$19:$S$425,19,FALSE))&gt;=AD395,TRUE,FALSE))</f>
        <v>1</v>
      </c>
      <c r="AF395" s="158"/>
      <c r="AG395" s="158"/>
      <c r="AH395" s="158"/>
      <c r="AI395" s="158" t="b">
        <f>IF(AF395="",TRUE,IF(IF(AG395="",VLOOKUP(AF395,Calculs!$A$19:$S$425,19,FALSE),VLOOKUP(AG395,Calculs!$A$19:$S$425,19,FALSE))&gt;=AH395,TRUE,FALSE))</f>
        <v>1</v>
      </c>
      <c r="AJ395" s="158"/>
      <c r="AK395" s="158"/>
      <c r="AL395" s="158"/>
      <c r="AM395" s="158" t="b">
        <f>IF(AJ395="",TRUE,IF(IF(AK395="",VLOOKUP(AJ395,Calculs!$A$19:$S$425,19,FALSE),VLOOKUP(AK395,Calculs!$A$19:$S$425,19,FALSE))&gt;=AL395,TRUE,FALSE))</f>
        <v>1</v>
      </c>
      <c r="AN395" s="158"/>
      <c r="AO395" s="158"/>
      <c r="AP395" s="158"/>
      <c r="AQ395" s="158" t="b">
        <f>IF(AN395="",TRUE,IF(IF(AO395="",VLOOKUP(AN395,Calculs!$A$19:$S$425,19,FALSE),VLOOKUP(AO395,Calculs!$A$19:$S$425,19,FALSE))&gt;=AP395,TRUE,FALSE))</f>
        <v>1</v>
      </c>
      <c r="AR395" s="158"/>
      <c r="AS395" s="158" t="b">
        <f>IF(AR395="",TRUE,IF(VLOOKUP(AR395,Calculs!$A$427:$G$738,7,FALSE)&gt;0,TRUE,FALSE))</f>
        <v>1</v>
      </c>
      <c r="AT395" s="158"/>
      <c r="AU395" s="158" t="b">
        <f>IF(AT395="",TRUE,IF(VLOOKUP(AT395,Calculs!$A$740:$G$912,7,FALSE)&gt;0,TRUE,FALSE))</f>
        <v>1</v>
      </c>
      <c r="AV395" s="158" t="b">
        <f t="shared" si="45"/>
        <v>1</v>
      </c>
      <c r="AW395" s="158" t="s">
        <v>2078</v>
      </c>
      <c r="AX395" s="162" t="s">
        <v>143</v>
      </c>
      <c r="AY395" s="15">
        <v>113</v>
      </c>
      <c r="AZ395" s="555" t="s">
        <v>2247</v>
      </c>
      <c r="BA395" s="559">
        <f>IF(Verso!$B$10=Voies!$B395,1,0)</f>
        <v>0</v>
      </c>
      <c r="BB395" s="12">
        <f>IF(Verso!$B$11=Voies!$B395,1,0)</f>
        <v>0</v>
      </c>
      <c r="BC395" s="12">
        <f>IF(Verso!$B$12=Voies!$B395,1,0)</f>
        <v>0</v>
      </c>
      <c r="BD395" s="12">
        <f>IF(Verso!$B$13=Voies!$B395,1,0)</f>
        <v>0</v>
      </c>
      <c r="BE395" s="12">
        <f>IF(Verso!$B$14=Voies!$B395,1,0)</f>
        <v>0</v>
      </c>
      <c r="BF395" s="12">
        <f>IF(Verso!$B$15=Voies!$B395,1,0)</f>
        <v>0</v>
      </c>
      <c r="BG395" s="12">
        <f>IF(Verso!$B$16=Voies!$B395,1,0)</f>
        <v>0</v>
      </c>
      <c r="BH395" s="12">
        <f>IF(Verso!$B$17=Voies!$B395,1,0)</f>
        <v>0</v>
      </c>
      <c r="BI395" s="557">
        <f t="shared" si="46"/>
        <v>0</v>
      </c>
      <c r="BJ395" s="196" t="str">
        <f t="shared" si="47"/>
        <v/>
      </c>
      <c r="BK395" s="196" t="str">
        <f t="shared" si="48"/>
        <v/>
      </c>
      <c r="BL395" s="295" t="str">
        <f t="shared" si="49"/>
        <v/>
      </c>
    </row>
    <row r="396" spans="1:65" ht="47.25" customHeight="1" x14ac:dyDescent="0.25">
      <c r="A396" s="162" t="str">
        <f>IF(AND(Réputation&gt;Voies!E396-1,OR(C396=TRUE,Calculs!$I$8&gt;0),Air&gt;Voies!J396-1,Eau&gt;Voies!K396-1,Feu&gt;Voies!L396-1,Terre&gt;Voies!M396-1,Vide&gt;Voies!N396-1,Constitution&gt;Voies!O396-1,Volonté&gt;Voies!P396-1,Force&gt;Voies!Q396-1,Perception&gt;Voies!R396-1,Reflexes&gt;Voies!S396-1,Agilité&gt;Voies!T396-1,Intuition&gt;Voies!U396-1,Intelligence&gt;Voies!V396-1,Souillure&gt;Voies!W396-1,Honneur&gt;X396-1,Statut&gt;Y396-1,Gloire&gt;Z396-1,AV396=TRUE),Voies!B396,"")</f>
        <v/>
      </c>
      <c r="B396" s="162" t="s">
        <v>6070</v>
      </c>
      <c r="C396" s="162" t="b">
        <f>IF(Clan=Voies!D396,TRUE,FALSE)</f>
        <v>0</v>
      </c>
      <c r="D396" s="387" t="s">
        <v>176</v>
      </c>
      <c r="E396" s="13">
        <v>4</v>
      </c>
      <c r="F396" s="199">
        <v>4</v>
      </c>
      <c r="G396" s="199" t="s">
        <v>2049</v>
      </c>
      <c r="H396" s="219" t="s">
        <v>2824</v>
      </c>
      <c r="I396" s="129" t="str">
        <f>IF(B396="","","Rien")</f>
        <v>Rien</v>
      </c>
      <c r="J396" s="146">
        <v>0</v>
      </c>
      <c r="K396" s="147">
        <v>0</v>
      </c>
      <c r="L396" s="148">
        <v>0</v>
      </c>
      <c r="M396" s="149">
        <v>0</v>
      </c>
      <c r="N396" s="150">
        <v>0</v>
      </c>
      <c r="O396" s="130">
        <v>0</v>
      </c>
      <c r="P396" s="130">
        <v>0</v>
      </c>
      <c r="Q396" s="130">
        <v>0</v>
      </c>
      <c r="R396" s="130">
        <v>0</v>
      </c>
      <c r="S396" s="130">
        <v>0</v>
      </c>
      <c r="T396" s="130">
        <v>0</v>
      </c>
      <c r="U396" s="130">
        <v>0</v>
      </c>
      <c r="V396" s="524">
        <v>0</v>
      </c>
      <c r="W396" s="130">
        <v>0</v>
      </c>
      <c r="X396" s="130">
        <v>0</v>
      </c>
      <c r="Y396" s="130">
        <v>0</v>
      </c>
      <c r="Z396" s="130">
        <v>0</v>
      </c>
      <c r="AA396" s="158" t="s">
        <v>2078</v>
      </c>
      <c r="AB396" s="158"/>
      <c r="AC396" s="158"/>
      <c r="AD396" s="158"/>
      <c r="AE396" s="158" t="b">
        <f>IF(AB396="",TRUE,IF(IF(AC396="",VLOOKUP(AB396,Calculs!$A$19:$S$425,19,FALSE),VLOOKUP(AC396,Calculs!$A$19:$S$425,19,FALSE))&gt;=AD396,TRUE,FALSE))</f>
        <v>1</v>
      </c>
      <c r="AF396" s="158"/>
      <c r="AG396" s="158"/>
      <c r="AH396" s="158"/>
      <c r="AI396" s="158" t="b">
        <f>IF(AF396="",TRUE,IF(IF(AG396="",VLOOKUP(AF396,Calculs!$A$19:$S$425,19,FALSE),VLOOKUP(AG396,Calculs!$A$19:$S$425,19,FALSE))&gt;=AH396,TRUE,FALSE))</f>
        <v>1</v>
      </c>
      <c r="AJ396" s="158"/>
      <c r="AK396" s="158"/>
      <c r="AL396" s="158"/>
      <c r="AM396" s="158" t="b">
        <f>IF(AJ396="",TRUE,IF(IF(AK396="",VLOOKUP(AJ396,Calculs!$A$19:$S$425,19,FALSE),VLOOKUP(AK396,Calculs!$A$19:$S$425,19,FALSE))&gt;=AL396,TRUE,FALSE))</f>
        <v>1</v>
      </c>
      <c r="AN396" s="158"/>
      <c r="AO396" s="158"/>
      <c r="AP396" s="158"/>
      <c r="AQ396" s="158" t="b">
        <f>IF(AN396="",TRUE,IF(IF(AO396="",VLOOKUP(AN396,Calculs!$A$19:$S$425,19,FALSE),VLOOKUP(AO396,Calculs!$A$19:$S$425,19,FALSE))&gt;=AP396,TRUE,FALSE))</f>
        <v>1</v>
      </c>
      <c r="AR396" s="158"/>
      <c r="AS396" s="158" t="b">
        <f>IF(AR396="",TRUE,IF(VLOOKUP(AR396,Calculs!$A$427:$G$738,7,FALSE)&gt;0,TRUE,FALSE))</f>
        <v>1</v>
      </c>
      <c r="AT396" s="158"/>
      <c r="AU396" s="158" t="b">
        <f>IF(AT396="",TRUE,IF(VLOOKUP(AT396,Calculs!$A$740:$G$912,7,FALSE)&gt;0,TRUE,FALSE))</f>
        <v>1</v>
      </c>
      <c r="AV396" s="158" t="b">
        <f t="shared" si="45"/>
        <v>1</v>
      </c>
      <c r="AW396" s="158" t="s">
        <v>2078</v>
      </c>
      <c r="AX396" s="162" t="s">
        <v>6061</v>
      </c>
      <c r="AY396" s="15">
        <v>99</v>
      </c>
      <c r="AZ396" s="555" t="s">
        <v>2831</v>
      </c>
      <c r="BA396" s="559">
        <f>IF(Verso!$B$10=Voies!$B396,1,0)</f>
        <v>0</v>
      </c>
      <c r="BB396" s="12">
        <f>IF(Verso!$B$11=Voies!$B396,1,0)</f>
        <v>0</v>
      </c>
      <c r="BC396" s="12">
        <f>IF(Verso!$B$12=Voies!$B396,1,0)</f>
        <v>0</v>
      </c>
      <c r="BD396" s="12">
        <f>IF(Verso!$B$13=Voies!$B396,1,0)</f>
        <v>0</v>
      </c>
      <c r="BE396" s="12">
        <f>IF(Verso!$B$14=Voies!$B396,1,0)</f>
        <v>0</v>
      </c>
      <c r="BF396" s="12">
        <f>IF(Verso!$B$15=Voies!$B396,1,0)</f>
        <v>0</v>
      </c>
      <c r="BG396" s="12">
        <f>IF(Verso!$B$16=Voies!$B396,1,0)</f>
        <v>0</v>
      </c>
      <c r="BH396" s="12">
        <f>IF(Verso!$B$17=Voies!$B396,1,0)</f>
        <v>0</v>
      </c>
      <c r="BI396" s="557">
        <f t="shared" si="46"/>
        <v>0</v>
      </c>
      <c r="BJ396" s="196" t="str">
        <f t="shared" si="47"/>
        <v/>
      </c>
      <c r="BK396" s="196" t="str">
        <f t="shared" si="48"/>
        <v/>
      </c>
      <c r="BL396" s="295" t="str">
        <f t="shared" si="49"/>
        <v/>
      </c>
    </row>
    <row r="397" spans="1:65" ht="47.25" customHeight="1" x14ac:dyDescent="0.25">
      <c r="A397" s="162" t="str">
        <f>IF(AND(Réputation&gt;Voies!E397-1,OR(C397=TRUE,Calculs!$I$8&gt;0),Air&gt;Voies!J397-1,Eau&gt;Voies!K397-1,Feu&gt;Voies!L397-1,Terre&gt;Voies!M397-1,Vide&gt;Voies!N397-1,Constitution&gt;Voies!O397-1,Volonté&gt;Voies!P397-1,Force&gt;Voies!Q397-1,Perception&gt;Voies!R397-1,Reflexes&gt;Voies!S397-1,Agilité&gt;Voies!T397-1,Intuition&gt;Voies!U397-1,Intelligence&gt;Voies!V397-1,Souillure&gt;Voies!W397-1,Honneur&gt;X397-1,Statut&gt;Y397-1,Gloire&gt;Z397-1,AV397=TRUE),Voies!B397,"")</f>
        <v/>
      </c>
      <c r="B397" s="162" t="s">
        <v>2369</v>
      </c>
      <c r="C397" s="162" t="b">
        <f>IF(Clan=Voies!D397,TRUE,FALSE)</f>
        <v>0</v>
      </c>
      <c r="D397" s="387" t="s">
        <v>176</v>
      </c>
      <c r="E397" s="13">
        <v>4</v>
      </c>
      <c r="F397" s="199">
        <v>4</v>
      </c>
      <c r="G397" s="13" t="s">
        <v>2049</v>
      </c>
      <c r="H397" s="219" t="s">
        <v>199</v>
      </c>
      <c r="I397" s="129" t="str">
        <f>IF(B397="","","Rien")</f>
        <v>Rien</v>
      </c>
      <c r="J397" s="146">
        <v>0</v>
      </c>
      <c r="K397" s="147">
        <v>0</v>
      </c>
      <c r="L397" s="148">
        <v>0</v>
      </c>
      <c r="M397" s="149">
        <v>0</v>
      </c>
      <c r="N397" s="150">
        <v>0</v>
      </c>
      <c r="O397" s="130">
        <v>0</v>
      </c>
      <c r="P397" s="130">
        <v>0</v>
      </c>
      <c r="Q397" s="130">
        <v>0</v>
      </c>
      <c r="R397" s="130">
        <v>0</v>
      </c>
      <c r="S397" s="130">
        <v>0</v>
      </c>
      <c r="T397" s="130">
        <v>0</v>
      </c>
      <c r="U397" s="130">
        <v>0</v>
      </c>
      <c r="V397" s="524">
        <v>0</v>
      </c>
      <c r="W397" s="130">
        <v>0</v>
      </c>
      <c r="X397" s="130">
        <v>0</v>
      </c>
      <c r="Y397" s="130">
        <v>0</v>
      </c>
      <c r="Z397" s="130">
        <v>0</v>
      </c>
      <c r="AA397" s="158" t="s">
        <v>2078</v>
      </c>
      <c r="AB397" s="158"/>
      <c r="AC397" s="158"/>
      <c r="AD397" s="158"/>
      <c r="AE397" s="158" t="b">
        <f>IF(AB397="",TRUE,IF(IF(AC397="",VLOOKUP(AB397,Calculs!$A$19:$S$425,19,FALSE),VLOOKUP(AC397,Calculs!$A$19:$S$425,19,FALSE))&gt;=AD397,TRUE,FALSE))</f>
        <v>1</v>
      </c>
      <c r="AF397" s="158"/>
      <c r="AG397" s="158"/>
      <c r="AH397" s="158"/>
      <c r="AI397" s="158" t="b">
        <f>IF(AF397="",TRUE,IF(IF(AG397="",VLOOKUP(AF397,Calculs!$A$19:$S$425,19,FALSE),VLOOKUP(AG397,Calculs!$A$19:$S$425,19,FALSE))&gt;=AH397,TRUE,FALSE))</f>
        <v>1</v>
      </c>
      <c r="AJ397" s="158"/>
      <c r="AK397" s="158"/>
      <c r="AL397" s="158"/>
      <c r="AM397" s="158" t="b">
        <f>IF(AJ397="",TRUE,IF(IF(AK397="",VLOOKUP(AJ397,Calculs!$A$19:$S$425,19,FALSE),VLOOKUP(AK397,Calculs!$A$19:$S$425,19,FALSE))&gt;=AL397,TRUE,FALSE))</f>
        <v>1</v>
      </c>
      <c r="AN397" s="158"/>
      <c r="AO397" s="158"/>
      <c r="AP397" s="158"/>
      <c r="AQ397" s="158" t="b">
        <f>IF(AN397="",TRUE,IF(IF(AO397="",VLOOKUP(AN397,Calculs!$A$19:$S$425,19,FALSE),VLOOKUP(AO397,Calculs!$A$19:$S$425,19,FALSE))&gt;=AP397,TRUE,FALSE))</f>
        <v>1</v>
      </c>
      <c r="AR397" s="158"/>
      <c r="AS397" s="158" t="b">
        <f>IF(AR397="",TRUE,IF(VLOOKUP(AR397,Calculs!$A$427:$G$738,7,FALSE)&gt;0,TRUE,FALSE))</f>
        <v>1</v>
      </c>
      <c r="AT397" s="158"/>
      <c r="AU397" s="158" t="b">
        <f>IF(AT397="",TRUE,IF(VLOOKUP(AT397,Calculs!$A$740:$G$912,7,FALSE)&gt;0,TRUE,FALSE))</f>
        <v>1</v>
      </c>
      <c r="AV397" s="158" t="b">
        <f t="shared" si="45"/>
        <v>1</v>
      </c>
      <c r="AW397" s="158" t="s">
        <v>2078</v>
      </c>
      <c r="AX397" s="162" t="s">
        <v>143</v>
      </c>
      <c r="AY397" s="15">
        <v>115</v>
      </c>
      <c r="AZ397" s="555" t="s">
        <v>2374</v>
      </c>
      <c r="BA397" s="559">
        <f>IF(Verso!$B$10=Voies!$B397,1,0)</f>
        <v>0</v>
      </c>
      <c r="BB397" s="12">
        <f>IF(Verso!$B$11=Voies!$B397,1,0)</f>
        <v>0</v>
      </c>
      <c r="BC397" s="12">
        <f>IF(Verso!$B$12=Voies!$B397,1,0)</f>
        <v>0</v>
      </c>
      <c r="BD397" s="12">
        <f>IF(Verso!$B$13=Voies!$B397,1,0)</f>
        <v>0</v>
      </c>
      <c r="BE397" s="12">
        <f>IF(Verso!$B$14=Voies!$B397,1,0)</f>
        <v>0</v>
      </c>
      <c r="BF397" s="12">
        <f>IF(Verso!$B$15=Voies!$B397,1,0)</f>
        <v>0</v>
      </c>
      <c r="BG397" s="12">
        <f>IF(Verso!$B$16=Voies!$B397,1,0)</f>
        <v>0</v>
      </c>
      <c r="BH397" s="12">
        <f>IF(Verso!$B$17=Voies!$B397,1,0)</f>
        <v>0</v>
      </c>
      <c r="BI397" s="557">
        <f t="shared" si="46"/>
        <v>0</v>
      </c>
      <c r="BJ397" s="196" t="str">
        <f t="shared" si="47"/>
        <v/>
      </c>
      <c r="BK397" s="196" t="str">
        <f t="shared" si="48"/>
        <v/>
      </c>
      <c r="BL397" s="295" t="str">
        <f t="shared" si="49"/>
        <v/>
      </c>
    </row>
    <row r="398" spans="1:65" ht="47.25" customHeight="1" x14ac:dyDescent="0.25">
      <c r="A398" s="162" t="str">
        <f>IF(AND(Réputation&gt;Voies!E398-1,OR(C398=TRUE,Calculs!$I$8&gt;0),Air&gt;Voies!J398-1,Eau&gt;Voies!K398-1,Feu&gt;Voies!L398-1,Terre&gt;Voies!M398-1,Vide&gt;Voies!N398-1,Constitution&gt;Voies!O398-1,Volonté&gt;Voies!P398-1,Force&gt;Voies!Q398-1,Perception&gt;Voies!R398-1,Reflexes&gt;Voies!S398-1,Agilité&gt;Voies!T398-1,Intuition&gt;Voies!U398-1,Intelligence&gt;Voies!V398-1,Souillure&gt;Voies!W398-1,Honneur&gt;X398-1,Statut&gt;Y398-1,Gloire&gt;Z398-1,AV398=TRUE),Voies!B398,"")</f>
        <v/>
      </c>
      <c r="B398" s="162" t="s">
        <v>4820</v>
      </c>
      <c r="C398" s="162" t="b">
        <f>IF(Clan=Voies!D398,TRUE,FALSE)</f>
        <v>0</v>
      </c>
      <c r="D398" s="387" t="s">
        <v>176</v>
      </c>
      <c r="E398" s="13">
        <v>4</v>
      </c>
      <c r="F398" s="199">
        <v>4</v>
      </c>
      <c r="G398" s="13" t="s">
        <v>2049</v>
      </c>
      <c r="H398" s="219" t="s">
        <v>2661</v>
      </c>
      <c r="I398" s="129" t="str">
        <f>IF(B398="","","Rien")</f>
        <v>Rien</v>
      </c>
      <c r="J398" s="146">
        <v>0</v>
      </c>
      <c r="K398" s="147">
        <v>0</v>
      </c>
      <c r="L398" s="148">
        <v>0</v>
      </c>
      <c r="M398" s="149">
        <v>0</v>
      </c>
      <c r="N398" s="150">
        <v>0</v>
      </c>
      <c r="O398" s="130">
        <v>0</v>
      </c>
      <c r="P398" s="130">
        <v>0</v>
      </c>
      <c r="Q398" s="130">
        <v>0</v>
      </c>
      <c r="R398" s="130">
        <v>0</v>
      </c>
      <c r="S398" s="130">
        <v>0</v>
      </c>
      <c r="T398" s="130">
        <v>0</v>
      </c>
      <c r="U398" s="130">
        <v>0</v>
      </c>
      <c r="V398" s="524">
        <v>0</v>
      </c>
      <c r="W398" s="130">
        <v>0</v>
      </c>
      <c r="X398" s="130">
        <v>0</v>
      </c>
      <c r="Y398" s="130">
        <v>0</v>
      </c>
      <c r="Z398" s="130">
        <v>0</v>
      </c>
      <c r="AA398" s="158" t="s">
        <v>2078</v>
      </c>
      <c r="AB398" s="158"/>
      <c r="AC398" s="158"/>
      <c r="AD398" s="158"/>
      <c r="AE398" s="158" t="b">
        <f>IF(AB398="",TRUE,IF(IF(AC398="",VLOOKUP(AB398,Calculs!$A$19:$S$425,19,FALSE),VLOOKUP(AC398,Calculs!$A$19:$S$425,19,FALSE))&gt;=AD398,TRUE,FALSE))</f>
        <v>1</v>
      </c>
      <c r="AF398" s="158"/>
      <c r="AG398" s="158"/>
      <c r="AH398" s="158"/>
      <c r="AI398" s="158" t="b">
        <f>IF(AF398="",TRUE,IF(IF(AG398="",VLOOKUP(AF398,Calculs!$A$19:$S$425,19,FALSE),VLOOKUP(AG398,Calculs!$A$19:$S$425,19,FALSE))&gt;=AH398,TRUE,FALSE))</f>
        <v>1</v>
      </c>
      <c r="AJ398" s="158"/>
      <c r="AK398" s="158"/>
      <c r="AL398" s="158"/>
      <c r="AM398" s="158" t="b">
        <f>IF(AJ398="",TRUE,IF(IF(AK398="",VLOOKUP(AJ398,Calculs!$A$19:$S$425,19,FALSE),VLOOKUP(AK398,Calculs!$A$19:$S$425,19,FALSE))&gt;=AL398,TRUE,FALSE))</f>
        <v>1</v>
      </c>
      <c r="AN398" s="158"/>
      <c r="AO398" s="158"/>
      <c r="AP398" s="158"/>
      <c r="AQ398" s="158" t="b">
        <f>IF(AN398="",TRUE,IF(IF(AO398="",VLOOKUP(AN398,Calculs!$A$19:$S$425,19,FALSE),VLOOKUP(AO398,Calculs!$A$19:$S$425,19,FALSE))&gt;=AP398,TRUE,FALSE))</f>
        <v>1</v>
      </c>
      <c r="AR398" s="158"/>
      <c r="AS398" s="158" t="b">
        <f>IF(AR398="",TRUE,IF(VLOOKUP(AR398,Calculs!$A$427:$G$738,7,FALSE)&gt;0,TRUE,FALSE))</f>
        <v>1</v>
      </c>
      <c r="AT398" s="158"/>
      <c r="AU398" s="158" t="b">
        <f>IF(AT398="",TRUE,IF(VLOOKUP(AT398,Calculs!$A$740:$G$912,7,FALSE)&gt;0,TRUE,FALSE))</f>
        <v>1</v>
      </c>
      <c r="AV398" s="158" t="b">
        <f t="shared" si="45"/>
        <v>1</v>
      </c>
      <c r="AW398" s="158" t="s">
        <v>2078</v>
      </c>
      <c r="AX398" s="162" t="s">
        <v>5202</v>
      </c>
      <c r="AY398" s="15">
        <v>171</v>
      </c>
      <c r="AZ398" s="555" t="s">
        <v>2666</v>
      </c>
      <c r="BA398" s="559">
        <f>IF(Verso!$B$10=Voies!$B398,1,0)</f>
        <v>0</v>
      </c>
      <c r="BB398" s="12">
        <f>IF(Verso!$B$11=Voies!$B398,1,0)</f>
        <v>0</v>
      </c>
      <c r="BC398" s="12">
        <f>IF(Verso!$B$12=Voies!$B398,1,0)</f>
        <v>0</v>
      </c>
      <c r="BD398" s="12">
        <f>IF(Verso!$B$13=Voies!$B398,1,0)</f>
        <v>0</v>
      </c>
      <c r="BE398" s="12">
        <f>IF(Verso!$B$14=Voies!$B398,1,0)</f>
        <v>0</v>
      </c>
      <c r="BF398" s="12">
        <f>IF(Verso!$B$15=Voies!$B398,1,0)</f>
        <v>0</v>
      </c>
      <c r="BG398" s="12">
        <f>IF(Verso!$B$16=Voies!$B398,1,0)</f>
        <v>0</v>
      </c>
      <c r="BH398" s="12">
        <f>IF(Verso!$B$17=Voies!$B398,1,0)</f>
        <v>0</v>
      </c>
      <c r="BI398" s="557">
        <f t="shared" si="46"/>
        <v>0</v>
      </c>
      <c r="BJ398" s="196" t="str">
        <f t="shared" si="47"/>
        <v/>
      </c>
      <c r="BK398" s="196" t="str">
        <f t="shared" si="48"/>
        <v/>
      </c>
      <c r="BL398" s="295" t="str">
        <f t="shared" si="49"/>
        <v/>
      </c>
    </row>
    <row r="399" spans="1:65" ht="47.25" customHeight="1" x14ac:dyDescent="0.25">
      <c r="A399" s="162" t="str">
        <f>IF(AND(Réputation&gt;Voies!E399-1,OR(C399=TRUE,Calculs!$I$8&gt;0),Air&gt;Voies!J399-1,Eau&gt;Voies!K399-1,Feu&gt;Voies!L399-1,Terre&gt;Voies!M399-1,Vide&gt;Voies!N399-1,Constitution&gt;Voies!O399-1,Volonté&gt;Voies!P399-1,Force&gt;Voies!Q399-1,Perception&gt;Voies!R399-1,Reflexes&gt;Voies!S399-1,Agilité&gt;Voies!T399-1,Intuition&gt;Voies!U399-1,Intelligence&gt;Voies!V399-1,Souillure&gt;Voies!W399-1,Honneur&gt;X399-1,Statut&gt;Y399-1,Gloire&gt;Z399-1,AV399=TRUE),Voies!B399,"")</f>
        <v/>
      </c>
      <c r="B399" s="162" t="s">
        <v>3427</v>
      </c>
      <c r="C399" s="162" t="b">
        <f>IF(Clan=Voies!D399,TRUE,FALSE)</f>
        <v>0</v>
      </c>
      <c r="D399" s="387" t="s">
        <v>176</v>
      </c>
      <c r="E399" s="13">
        <v>4</v>
      </c>
      <c r="F399" s="199">
        <v>4</v>
      </c>
      <c r="G399" s="13" t="s">
        <v>2049</v>
      </c>
      <c r="H399" s="219" t="s">
        <v>488</v>
      </c>
      <c r="I399" s="129" t="s">
        <v>3425</v>
      </c>
      <c r="J399" s="146">
        <v>0</v>
      </c>
      <c r="K399" s="147">
        <v>0</v>
      </c>
      <c r="L399" s="148">
        <v>0</v>
      </c>
      <c r="M399" s="149">
        <v>0</v>
      </c>
      <c r="N399" s="150">
        <v>0</v>
      </c>
      <c r="O399" s="130">
        <v>0</v>
      </c>
      <c r="P399" s="130">
        <v>0</v>
      </c>
      <c r="Q399" s="130">
        <v>0</v>
      </c>
      <c r="R399" s="130">
        <v>0</v>
      </c>
      <c r="S399" s="130">
        <v>0</v>
      </c>
      <c r="T399" s="130">
        <v>0</v>
      </c>
      <c r="U399" s="130">
        <v>0</v>
      </c>
      <c r="V399" s="524">
        <v>0</v>
      </c>
      <c r="W399" s="130">
        <v>0</v>
      </c>
      <c r="X399" s="130">
        <v>0</v>
      </c>
      <c r="Y399" s="130">
        <v>0</v>
      </c>
      <c r="Z399" s="130">
        <v>0</v>
      </c>
      <c r="AA399" s="159" t="s">
        <v>3426</v>
      </c>
      <c r="AB399" s="159" t="s">
        <v>1272</v>
      </c>
      <c r="AD399" s="159">
        <v>5</v>
      </c>
      <c r="AE399" s="158" t="b">
        <f>IF(AB399="",TRUE,IF(IF(AC399="",VLOOKUP(AB399,Calculs!$A$19:$S$425,19,FALSE),VLOOKUP(AC399,Calculs!$A$19:$S$425,19,FALSE))&gt;=AD399,TRUE,FALSE))</f>
        <v>0</v>
      </c>
      <c r="AI399" s="158" t="b">
        <f>IF(AF399="",TRUE,IF(IF(AG399="",VLOOKUP(AF399,Calculs!$A$19:$S$425,19,FALSE),VLOOKUP(AG399,Calculs!$A$19:$S$425,19,FALSE))&gt;=AH399,TRUE,FALSE))</f>
        <v>1</v>
      </c>
      <c r="AM399" s="158" t="b">
        <f>IF(AJ399="",TRUE,IF(IF(AK399="",VLOOKUP(AJ399,Calculs!$A$19:$S$425,19,FALSE),VLOOKUP(AK399,Calculs!$A$19:$S$425,19,FALSE))&gt;=AL399,TRUE,FALSE))</f>
        <v>1</v>
      </c>
      <c r="AQ399" s="158" t="b">
        <f>IF(AN399="",TRUE,IF(IF(AO399="",VLOOKUP(AN399,Calculs!$A$19:$S$425,19,FALSE),VLOOKUP(AO399,Calculs!$A$19:$S$425,19,FALSE))&gt;=AP399,TRUE,FALSE))</f>
        <v>1</v>
      </c>
      <c r="AR399" s="158"/>
      <c r="AS399" s="158" t="b">
        <f>IF(AR399="",TRUE,IF(VLOOKUP(AR399,Calculs!$A$427:$G$738,7,FALSE)&gt;0,TRUE,FALSE))</f>
        <v>1</v>
      </c>
      <c r="AT399" s="158"/>
      <c r="AU399" s="158" t="b">
        <f>IF(AT399="",TRUE,IF(VLOOKUP(AT399,Calculs!$A$740:$G$912,7,FALSE)&gt;0,TRUE,FALSE))</f>
        <v>1</v>
      </c>
      <c r="AV399" s="158" t="b">
        <f t="shared" si="45"/>
        <v>0</v>
      </c>
      <c r="AW399" s="158" t="s">
        <v>2078</v>
      </c>
      <c r="AX399" s="162" t="s">
        <v>158</v>
      </c>
      <c r="AY399" s="15">
        <v>192</v>
      </c>
      <c r="AZ399" s="555" t="s">
        <v>3428</v>
      </c>
      <c r="BA399" s="559">
        <f>IF(Verso!$B$10=Voies!$B399,1,0)</f>
        <v>0</v>
      </c>
      <c r="BB399" s="12">
        <f>IF(Verso!$B$11=Voies!$B399,1,0)</f>
        <v>0</v>
      </c>
      <c r="BC399" s="12">
        <f>IF(Verso!$B$12=Voies!$B399,1,0)</f>
        <v>0</v>
      </c>
      <c r="BD399" s="12">
        <f>IF(Verso!$B$13=Voies!$B399,1,0)</f>
        <v>0</v>
      </c>
      <c r="BE399" s="12">
        <f>IF(Verso!$B$14=Voies!$B399,1,0)</f>
        <v>0</v>
      </c>
      <c r="BF399" s="12">
        <f>IF(Verso!$B$15=Voies!$B399,1,0)</f>
        <v>0</v>
      </c>
      <c r="BG399" s="12">
        <f>IF(Verso!$B$16=Voies!$B399,1,0)</f>
        <v>0</v>
      </c>
      <c r="BH399" s="12">
        <f>IF(Verso!$B$17=Voies!$B399,1,0)</f>
        <v>0</v>
      </c>
      <c r="BI399" s="557">
        <f t="shared" si="46"/>
        <v>0</v>
      </c>
      <c r="BJ399" s="196" t="str">
        <f t="shared" si="47"/>
        <v/>
      </c>
      <c r="BK399" s="196" t="str">
        <f t="shared" si="48"/>
        <v/>
      </c>
      <c r="BL399" s="295" t="str">
        <f t="shared" si="49"/>
        <v/>
      </c>
    </row>
    <row r="400" spans="1:65" ht="47.25" customHeight="1" x14ac:dyDescent="0.25">
      <c r="A400" s="162" t="str">
        <f>IF(AND(Réputation&gt;Voies!E400-1,OR(C400=TRUE,Calculs!$I$8&gt;0),Air&gt;Voies!J400-1,Eau&gt;Voies!K400-1,Feu&gt;Voies!L400-1,Terre&gt;Voies!M400-1,Vide&gt;Voies!N400-1,Constitution&gt;Voies!O400-1,Volonté&gt;Voies!P400-1,Force&gt;Voies!Q400-1,Perception&gt;Voies!R400-1,Reflexes&gt;Voies!S400-1,Agilité&gt;Voies!T400-1,Intuition&gt;Voies!U400-1,Intelligence&gt;Voies!V400-1,Souillure&gt;Voies!W400-1,Honneur&gt;X400-1,Statut&gt;Y400-1,Gloire&gt;Z400-1,AV400=TRUE),Voies!B400,"")</f>
        <v/>
      </c>
      <c r="B400" s="162" t="s">
        <v>6134</v>
      </c>
      <c r="C400" s="162" t="b">
        <f>IF(Clan=Voies!D400,TRUE,FALSE)</f>
        <v>0</v>
      </c>
      <c r="D400" s="387" t="s">
        <v>176</v>
      </c>
      <c r="E400" s="13">
        <v>4</v>
      </c>
      <c r="F400" s="199">
        <v>4</v>
      </c>
      <c r="G400" s="13" t="s">
        <v>2052</v>
      </c>
      <c r="H400" s="219" t="s">
        <v>6132</v>
      </c>
      <c r="I400" s="129" t="s">
        <v>6133</v>
      </c>
      <c r="J400" s="146">
        <v>0</v>
      </c>
      <c r="K400" s="147">
        <v>0</v>
      </c>
      <c r="L400" s="148">
        <v>0</v>
      </c>
      <c r="M400" s="149">
        <v>0</v>
      </c>
      <c r="N400" s="150">
        <v>0</v>
      </c>
      <c r="O400" s="130">
        <v>0</v>
      </c>
      <c r="P400" s="130">
        <v>0</v>
      </c>
      <c r="Q400" s="130">
        <v>0</v>
      </c>
      <c r="R400" s="130">
        <v>0</v>
      </c>
      <c r="S400" s="130">
        <v>0</v>
      </c>
      <c r="T400" s="130">
        <v>0</v>
      </c>
      <c r="U400" s="130">
        <v>0</v>
      </c>
      <c r="V400" s="524">
        <v>0</v>
      </c>
      <c r="W400" s="130">
        <v>0</v>
      </c>
      <c r="X400" s="130">
        <v>0</v>
      </c>
      <c r="Y400" s="130">
        <v>0</v>
      </c>
      <c r="Z400" s="130">
        <v>0</v>
      </c>
      <c r="AA400" s="158" t="s">
        <v>6135</v>
      </c>
      <c r="AB400" s="158" t="s">
        <v>1208</v>
      </c>
      <c r="AC400" s="158" t="s">
        <v>1300</v>
      </c>
      <c r="AD400" s="158">
        <v>5</v>
      </c>
      <c r="AE400" s="158" t="b">
        <f>IF(AB400="",TRUE,IF(IF(AC400="",VLOOKUP(AB400,Calculs!$A$19:$S$425,19,FALSE),VLOOKUP(AC400,Calculs!$A$19:$S$425,19,FALSE))&gt;=AD400,TRUE,FALSE))</f>
        <v>0</v>
      </c>
      <c r="AF400" s="158"/>
      <c r="AG400" s="158"/>
      <c r="AH400" s="158"/>
      <c r="AI400" s="158" t="b">
        <f>IF(AF400="",TRUE,IF(IF(AG400="",VLOOKUP(AF400,Calculs!$A$19:$S$425,19,FALSE),VLOOKUP(AG400,Calculs!$A$19:$S$425,19,FALSE))&gt;=AH400,TRUE,FALSE))</f>
        <v>1</v>
      </c>
      <c r="AJ400" s="158"/>
      <c r="AK400" s="158"/>
      <c r="AL400" s="158"/>
      <c r="AM400" s="158" t="b">
        <f>IF(AJ400="",TRUE,IF(IF(AK400="",VLOOKUP(AJ400,Calculs!$A$19:$S$425,19,FALSE),VLOOKUP(AK400,Calculs!$A$19:$S$425,19,FALSE))&gt;=AL400,TRUE,FALSE))</f>
        <v>1</v>
      </c>
      <c r="AN400" s="158"/>
      <c r="AO400" s="158"/>
      <c r="AP400" s="158"/>
      <c r="AQ400" s="158" t="b">
        <f>IF(AN400="",TRUE,IF(IF(AO400="",VLOOKUP(AN400,Calculs!$A$19:$S$425,19,FALSE),VLOOKUP(AO400,Calculs!$A$19:$S$425,19,FALSE))&gt;=AP400,TRUE,FALSE))</f>
        <v>1</v>
      </c>
      <c r="AR400" s="158"/>
      <c r="AS400" s="158" t="b">
        <f>IF(AR400="",TRUE,IF(VLOOKUP(AR400,Calculs!$A$427:$G$738,7,FALSE)&gt;0,TRUE,FALSE))</f>
        <v>1</v>
      </c>
      <c r="AT400" s="158"/>
      <c r="AU400" s="158" t="b">
        <f>IF(AT400="",TRUE,IF(VLOOKUP(AT400,Calculs!$A$740:$G$912,7,FALSE)&gt;0,TRUE,FALSE))</f>
        <v>1</v>
      </c>
      <c r="AV400" s="158" t="b">
        <f t="shared" si="45"/>
        <v>0</v>
      </c>
      <c r="AW400" s="158" t="s">
        <v>2078</v>
      </c>
      <c r="AX400" s="162" t="s">
        <v>6010</v>
      </c>
      <c r="AY400" s="15">
        <v>203</v>
      </c>
      <c r="AZ400" s="555" t="s">
        <v>6136</v>
      </c>
      <c r="BA400" s="559">
        <f>IF(Verso!$B$10=Voies!$B400,1,0)</f>
        <v>0</v>
      </c>
      <c r="BB400" s="12">
        <f>IF(Verso!$B$11=Voies!$B400,1,0)</f>
        <v>0</v>
      </c>
      <c r="BC400" s="12">
        <f>IF(Verso!$B$12=Voies!$B400,1,0)</f>
        <v>0</v>
      </c>
      <c r="BD400" s="12">
        <f>IF(Verso!$B$13=Voies!$B400,1,0)</f>
        <v>0</v>
      </c>
      <c r="BE400" s="12">
        <f>IF(Verso!$B$14=Voies!$B400,1,0)</f>
        <v>0</v>
      </c>
      <c r="BF400" s="12">
        <f>IF(Verso!$B$15=Voies!$B400,1,0)</f>
        <v>0</v>
      </c>
      <c r="BG400" s="12">
        <f>IF(Verso!$B$16=Voies!$B400,1,0)</f>
        <v>0</v>
      </c>
      <c r="BH400" s="12">
        <f>IF(Verso!$B$17=Voies!$B400,1,0)</f>
        <v>0</v>
      </c>
      <c r="BI400" s="557">
        <f t="shared" si="46"/>
        <v>0</v>
      </c>
      <c r="BJ400" s="196" t="str">
        <f t="shared" si="47"/>
        <v/>
      </c>
      <c r="BK400" s="196" t="str">
        <f t="shared" si="48"/>
        <v/>
      </c>
      <c r="BL400" s="295" t="str">
        <f t="shared" si="49"/>
        <v/>
      </c>
    </row>
    <row r="401" spans="1:64" ht="47.25" customHeight="1" x14ac:dyDescent="0.25">
      <c r="A401" s="162" t="str">
        <f>IF(AND(Réputation&gt;Voies!E401-1,OR(C401=TRUE,Calculs!$I$8&gt;0),Air&gt;Voies!J401-1,Eau&gt;Voies!K401-1,Feu&gt;Voies!L401-1,Terre&gt;Voies!M401-1,Vide&gt;Voies!N401-1,Constitution&gt;Voies!O401-1,Volonté&gt;Voies!P401-1,Force&gt;Voies!Q401-1,Perception&gt;Voies!R401-1,Reflexes&gt;Voies!S401-1,Agilité&gt;Voies!T401-1,Intuition&gt;Voies!U401-1,Intelligence&gt;Voies!V401-1,Souillure&gt;Voies!W401-1,Honneur&gt;X401-1,Statut&gt;Y401-1,Gloire&gt;Z401-1,AV401=TRUE),Voies!B401,"")</f>
        <v/>
      </c>
      <c r="B401" s="162" t="s">
        <v>2360</v>
      </c>
      <c r="C401" s="162" t="b">
        <f>IF(Clan=Voies!D401,TRUE,FALSE)</f>
        <v>0</v>
      </c>
      <c r="D401" s="387" t="s">
        <v>176</v>
      </c>
      <c r="E401" s="13">
        <v>4</v>
      </c>
      <c r="F401" s="199">
        <v>4</v>
      </c>
      <c r="G401" s="13" t="s">
        <v>2052</v>
      </c>
      <c r="H401" s="219" t="s">
        <v>196</v>
      </c>
      <c r="I401" s="129" t="str">
        <f>IF(B401="","","Rien")</f>
        <v>Rien</v>
      </c>
      <c r="J401" s="146">
        <v>0</v>
      </c>
      <c r="K401" s="147">
        <v>0</v>
      </c>
      <c r="L401" s="148">
        <v>0</v>
      </c>
      <c r="M401" s="149">
        <v>0</v>
      </c>
      <c r="N401" s="150">
        <v>0</v>
      </c>
      <c r="O401" s="130">
        <v>0</v>
      </c>
      <c r="P401" s="130">
        <v>0</v>
      </c>
      <c r="Q401" s="130">
        <v>0</v>
      </c>
      <c r="R401" s="130">
        <v>0</v>
      </c>
      <c r="S401" s="130">
        <v>0</v>
      </c>
      <c r="T401" s="130">
        <v>0</v>
      </c>
      <c r="U401" s="130">
        <v>0</v>
      </c>
      <c r="V401" s="524">
        <v>0</v>
      </c>
      <c r="W401" s="130">
        <v>0</v>
      </c>
      <c r="X401" s="130">
        <v>0</v>
      </c>
      <c r="Y401" s="130">
        <v>0</v>
      </c>
      <c r="Z401" s="130">
        <v>0</v>
      </c>
      <c r="AA401" s="158" t="s">
        <v>2078</v>
      </c>
      <c r="AB401" s="158"/>
      <c r="AC401" s="158"/>
      <c r="AD401" s="158"/>
      <c r="AE401" s="158" t="b">
        <f>IF(AB401="",TRUE,IF(IF(AC401="",VLOOKUP(AB401,Calculs!$A$19:$S$425,19,FALSE),VLOOKUP(AC401,Calculs!$A$19:$S$425,19,FALSE))&gt;=AD401,TRUE,FALSE))</f>
        <v>1</v>
      </c>
      <c r="AF401" s="158"/>
      <c r="AG401" s="158"/>
      <c r="AH401" s="158"/>
      <c r="AI401" s="158" t="b">
        <f>IF(AF401="",TRUE,IF(IF(AG401="",VLOOKUP(AF401,Calculs!$A$19:$S$425,19,FALSE),VLOOKUP(AG401,Calculs!$A$19:$S$425,19,FALSE))&gt;=AH401,TRUE,FALSE))</f>
        <v>1</v>
      </c>
      <c r="AJ401" s="158"/>
      <c r="AK401" s="158"/>
      <c r="AL401" s="158"/>
      <c r="AM401" s="158" t="b">
        <f>IF(AJ401="",TRUE,IF(IF(AK401="",VLOOKUP(AJ401,Calculs!$A$19:$S$425,19,FALSE),VLOOKUP(AK401,Calculs!$A$19:$S$425,19,FALSE))&gt;=AL401,TRUE,FALSE))</f>
        <v>1</v>
      </c>
      <c r="AN401" s="158"/>
      <c r="AO401" s="158"/>
      <c r="AP401" s="158"/>
      <c r="AQ401" s="158" t="b">
        <f>IF(AN401="",TRUE,IF(IF(AO401="",VLOOKUP(AN401,Calculs!$A$19:$S$425,19,FALSE),VLOOKUP(AO401,Calculs!$A$19:$S$425,19,FALSE))&gt;=AP401,TRUE,FALSE))</f>
        <v>1</v>
      </c>
      <c r="AR401" s="158"/>
      <c r="AS401" s="158" t="b">
        <f>IF(AR401="",TRUE,IF(VLOOKUP(AR401,Calculs!$A$427:$G$738,7,FALSE)&gt;0,TRUE,FALSE))</f>
        <v>1</v>
      </c>
      <c r="AT401" s="158"/>
      <c r="AU401" s="158" t="b">
        <f>IF(AT401="",TRUE,IF(VLOOKUP(AT401,Calculs!$A$740:$G$912,7,FALSE)&gt;0,TRUE,FALSE))</f>
        <v>1</v>
      </c>
      <c r="AV401" s="158" t="b">
        <f t="shared" si="45"/>
        <v>1</v>
      </c>
      <c r="AW401" s="158" t="s">
        <v>2078</v>
      </c>
      <c r="AX401" s="162" t="s">
        <v>143</v>
      </c>
      <c r="AY401" s="15">
        <v>115</v>
      </c>
      <c r="AZ401" s="555" t="s">
        <v>2362</v>
      </c>
      <c r="BA401" s="559">
        <f>IF(Verso!$B$10=Voies!$B401,1,0)</f>
        <v>0</v>
      </c>
      <c r="BB401" s="12">
        <f>IF(Verso!$B$11=Voies!$B401,1,0)</f>
        <v>0</v>
      </c>
      <c r="BC401" s="12">
        <f>IF(Verso!$B$12=Voies!$B401,1,0)</f>
        <v>0</v>
      </c>
      <c r="BD401" s="12">
        <f>IF(Verso!$B$13=Voies!$B401,1,0)</f>
        <v>0</v>
      </c>
      <c r="BE401" s="12">
        <f>IF(Verso!$B$14=Voies!$B401,1,0)</f>
        <v>0</v>
      </c>
      <c r="BF401" s="12">
        <f>IF(Verso!$B$15=Voies!$B401,1,0)</f>
        <v>0</v>
      </c>
      <c r="BG401" s="12">
        <f>IF(Verso!$B$16=Voies!$B401,1,0)</f>
        <v>0</v>
      </c>
      <c r="BH401" s="12">
        <f>IF(Verso!$B$17=Voies!$B401,1,0)</f>
        <v>0</v>
      </c>
      <c r="BI401" s="557">
        <f t="shared" si="46"/>
        <v>0</v>
      </c>
      <c r="BJ401" s="196" t="str">
        <f t="shared" si="47"/>
        <v/>
      </c>
      <c r="BK401" s="196" t="str">
        <f t="shared" si="48"/>
        <v/>
      </c>
      <c r="BL401" s="295" t="str">
        <f t="shared" si="49"/>
        <v/>
      </c>
    </row>
    <row r="402" spans="1:64" ht="47.25" customHeight="1" x14ac:dyDescent="0.25">
      <c r="A402" s="162" t="str">
        <f>IF(AND(Réputation&gt;Voies!E402-1,OR(C402=TRUE,Calculs!$I$8&gt;0),Air&gt;Voies!J402-1,Eau&gt;Voies!K402-1,Feu&gt;Voies!L402-1,Terre&gt;Voies!M402-1,Vide&gt;Voies!N402-1,Constitution&gt;Voies!O402-1,Volonté&gt;Voies!P402-1,Force&gt;Voies!Q402-1,Perception&gt;Voies!R402-1,Reflexes&gt;Voies!S402-1,Agilité&gt;Voies!T402-1,Intuition&gt;Voies!U402-1,Intelligence&gt;Voies!V402-1,Souillure&gt;Voies!W402-1,Honneur&gt;X402-1,Statut&gt;Y402-1,Gloire&gt;Z402-1,AV402=TRUE),Voies!B402,"")</f>
        <v/>
      </c>
      <c r="B402" s="162" t="s">
        <v>7832</v>
      </c>
      <c r="C402" s="162" t="b">
        <f>IF(Clan=Voies!D402,TRUE,FALSE)</f>
        <v>0</v>
      </c>
      <c r="D402" s="387" t="s">
        <v>176</v>
      </c>
      <c r="E402" s="13">
        <v>4</v>
      </c>
      <c r="F402" s="199">
        <v>4</v>
      </c>
      <c r="G402" s="13" t="s">
        <v>2052</v>
      </c>
      <c r="H402" s="162" t="s">
        <v>7794</v>
      </c>
      <c r="I402" s="129" t="str">
        <f>IF(B402="","","Rien")</f>
        <v>Rien</v>
      </c>
      <c r="J402" s="146">
        <v>0</v>
      </c>
      <c r="K402" s="147">
        <v>0</v>
      </c>
      <c r="L402" s="148">
        <v>0</v>
      </c>
      <c r="M402" s="149">
        <v>0</v>
      </c>
      <c r="N402" s="150">
        <v>0</v>
      </c>
      <c r="O402" s="130">
        <v>0</v>
      </c>
      <c r="P402" s="130">
        <v>0</v>
      </c>
      <c r="Q402" s="130">
        <v>0</v>
      </c>
      <c r="R402" s="130">
        <v>0</v>
      </c>
      <c r="S402" s="130">
        <v>0</v>
      </c>
      <c r="T402" s="130">
        <v>0</v>
      </c>
      <c r="U402" s="130">
        <v>0</v>
      </c>
      <c r="V402" s="524">
        <v>0</v>
      </c>
      <c r="W402" s="130">
        <v>0</v>
      </c>
      <c r="X402" s="130">
        <v>0</v>
      </c>
      <c r="Y402" s="130">
        <v>0</v>
      </c>
      <c r="Z402" s="130">
        <v>0</v>
      </c>
      <c r="AA402" s="158" t="s">
        <v>2078</v>
      </c>
      <c r="AB402" s="158"/>
      <c r="AC402" s="158"/>
      <c r="AD402" s="158"/>
      <c r="AE402" s="158" t="b">
        <f>IF(AB402="",TRUE,IF(IF(AC402="",VLOOKUP(AB402,Calculs!$A$19:$S$425,19,FALSE),VLOOKUP(AC402,Calculs!$A$19:$S$425,19,FALSE))&gt;=AD402,TRUE,FALSE))</f>
        <v>1</v>
      </c>
      <c r="AF402" s="158"/>
      <c r="AG402" s="158"/>
      <c r="AH402" s="158"/>
      <c r="AI402" s="158" t="b">
        <f>IF(AF402="",TRUE,IF(IF(AG402="",VLOOKUP(AF402,Calculs!$A$19:$S$425,19,FALSE),VLOOKUP(AG402,Calculs!$A$19:$S$425,19,FALSE))&gt;=AH402,TRUE,FALSE))</f>
        <v>1</v>
      </c>
      <c r="AJ402" s="158"/>
      <c r="AK402" s="158"/>
      <c r="AL402" s="158"/>
      <c r="AM402" s="158" t="b">
        <f>IF(AJ402="",TRUE,IF(IF(AK402="",VLOOKUP(AJ402,Calculs!$A$19:$S$425,19,FALSE),VLOOKUP(AK402,Calculs!$A$19:$S$425,19,FALSE))&gt;=AL402,TRUE,FALSE))</f>
        <v>1</v>
      </c>
      <c r="AN402" s="158"/>
      <c r="AO402" s="158"/>
      <c r="AP402" s="158"/>
      <c r="AQ402" s="158" t="b">
        <f>IF(AN402="",TRUE,IF(IF(AO402="",VLOOKUP(AN402,Calculs!$A$19:$S$425,19,FALSE),VLOOKUP(AO402,Calculs!$A$19:$S$425,19,FALSE))&gt;=AP402,TRUE,FALSE))</f>
        <v>1</v>
      </c>
      <c r="AR402" s="158"/>
      <c r="AS402" s="158" t="b">
        <f>IF(AR402="",TRUE,IF(VLOOKUP(AR402,Calculs!$A$427:$G$738,7,FALSE)&gt;0,TRUE,FALSE))</f>
        <v>1</v>
      </c>
      <c r="AT402" s="158"/>
      <c r="AU402" s="158" t="b">
        <f>IF(AT402="",TRUE,IF(VLOOKUP(AT402,Calculs!$A$740:$G$912,7,FALSE)&gt;0,TRUE,FALSE))</f>
        <v>1</v>
      </c>
      <c r="AV402" s="158" t="b">
        <f t="shared" si="45"/>
        <v>1</v>
      </c>
      <c r="AW402" s="158" t="s">
        <v>2078</v>
      </c>
      <c r="AX402" s="162" t="s">
        <v>7226</v>
      </c>
      <c r="AY402" s="15">
        <v>69</v>
      </c>
      <c r="AZ402" s="555" t="s">
        <v>7836</v>
      </c>
      <c r="BA402" s="559">
        <f>IF(Verso!$B$10=Voies!$B402,1,0)</f>
        <v>0</v>
      </c>
      <c r="BB402" s="12">
        <f>IF(Verso!$B$11=Voies!$B402,1,0)</f>
        <v>0</v>
      </c>
      <c r="BC402" s="12">
        <f>IF(Verso!$B$12=Voies!$B402,1,0)</f>
        <v>0</v>
      </c>
      <c r="BD402" s="12">
        <f>IF(Verso!$B$13=Voies!$B402,1,0)</f>
        <v>0</v>
      </c>
      <c r="BE402" s="12">
        <f>IF(Verso!$B$14=Voies!$B402,1,0)</f>
        <v>0</v>
      </c>
      <c r="BF402" s="12">
        <f>IF(Verso!$B$15=Voies!$B402,1,0)</f>
        <v>0</v>
      </c>
      <c r="BG402" s="12">
        <f>IF(Verso!$B$16=Voies!$B402,1,0)</f>
        <v>0</v>
      </c>
      <c r="BH402" s="12">
        <f>IF(Verso!$B$17=Voies!$B402,1,0)</f>
        <v>0</v>
      </c>
      <c r="BI402" s="557">
        <f t="shared" si="46"/>
        <v>0</v>
      </c>
      <c r="BJ402" s="196" t="str">
        <f t="shared" si="47"/>
        <v/>
      </c>
      <c r="BK402" s="196" t="str">
        <f t="shared" si="48"/>
        <v/>
      </c>
      <c r="BL402" s="295" t="str">
        <f t="shared" si="49"/>
        <v/>
      </c>
    </row>
    <row r="403" spans="1:64" ht="47.25" customHeight="1" x14ac:dyDescent="0.25">
      <c r="A403" s="162" t="str">
        <f>IF(AND(Réputation&gt;Voies!E403-1,OR(C403=TRUE,Calculs!$I$8&gt;0),Air&gt;Voies!J403-1,Eau&gt;Voies!K403-1,Feu&gt;Voies!L403-1,Terre&gt;Voies!M403-1,Vide&gt;Voies!N403-1,Constitution&gt;Voies!O403-1,Volonté&gt;Voies!P403-1,Force&gt;Voies!Q403-1,Perception&gt;Voies!R403-1,Reflexes&gt;Voies!S403-1,Agilité&gt;Voies!T403-1,Intuition&gt;Voies!U403-1,Intelligence&gt;Voies!V403-1,Souillure&gt;Voies!W403-1,Honneur&gt;X403-1,Statut&gt;Y403-1,Gloire&gt;Z403-1,AV403=TRUE),Voies!B403,"")</f>
        <v/>
      </c>
      <c r="B403" s="162" t="s">
        <v>6056</v>
      </c>
      <c r="C403" s="162" t="b">
        <f>IF(Clan=Voies!D403,TRUE,FALSE)</f>
        <v>0</v>
      </c>
      <c r="D403" s="387" t="s">
        <v>176</v>
      </c>
      <c r="E403" s="13">
        <v>5</v>
      </c>
      <c r="F403" s="199">
        <v>5</v>
      </c>
      <c r="G403" s="13" t="s">
        <v>2057</v>
      </c>
      <c r="H403" s="219" t="s">
        <v>6052</v>
      </c>
      <c r="I403" s="129" t="str">
        <f>IF(B403="","","Rien")</f>
        <v>Rien</v>
      </c>
      <c r="J403" s="146">
        <v>0</v>
      </c>
      <c r="K403" s="147">
        <v>0</v>
      </c>
      <c r="L403" s="148">
        <v>0</v>
      </c>
      <c r="M403" s="149">
        <v>0</v>
      </c>
      <c r="N403" s="150">
        <v>0</v>
      </c>
      <c r="O403" s="130">
        <v>0</v>
      </c>
      <c r="P403" s="130">
        <v>0</v>
      </c>
      <c r="Q403" s="130">
        <v>0</v>
      </c>
      <c r="R403" s="130">
        <v>0</v>
      </c>
      <c r="S403" s="130">
        <v>0</v>
      </c>
      <c r="T403" s="130">
        <v>0</v>
      </c>
      <c r="U403" s="130">
        <v>0</v>
      </c>
      <c r="V403" s="524">
        <v>0</v>
      </c>
      <c r="W403" s="130">
        <v>0</v>
      </c>
      <c r="X403" s="130">
        <v>0</v>
      </c>
      <c r="Y403" s="130">
        <v>0</v>
      </c>
      <c r="Z403" s="130">
        <v>0</v>
      </c>
      <c r="AA403" s="158" t="s">
        <v>2078</v>
      </c>
      <c r="AB403" s="158"/>
      <c r="AC403" s="158"/>
      <c r="AD403" s="158"/>
      <c r="AE403" s="158" t="b">
        <f>IF(AB403="",TRUE,IF(IF(AC403="",VLOOKUP(AB403,Calculs!$A$19:$S$425,19,FALSE),VLOOKUP(AC403,Calculs!$A$19:$S$425,19,FALSE))&gt;=AD403,TRUE,FALSE))</f>
        <v>1</v>
      </c>
      <c r="AF403" s="158"/>
      <c r="AG403" s="158"/>
      <c r="AH403" s="158"/>
      <c r="AI403" s="158" t="b">
        <f>IF(AF403="",TRUE,IF(IF(AG403="",VLOOKUP(AF403,Calculs!$A$19:$S$425,19,FALSE),VLOOKUP(AG403,Calculs!$A$19:$S$425,19,FALSE))&gt;=AH403,TRUE,FALSE))</f>
        <v>1</v>
      </c>
      <c r="AJ403" s="158"/>
      <c r="AK403" s="158"/>
      <c r="AL403" s="158"/>
      <c r="AM403" s="158" t="b">
        <f>IF(AJ403="",TRUE,IF(IF(AK403="",VLOOKUP(AJ403,Calculs!$A$19:$S$425,19,FALSE),VLOOKUP(AK403,Calculs!$A$19:$S$425,19,FALSE))&gt;=AL403,TRUE,FALSE))</f>
        <v>1</v>
      </c>
      <c r="AN403" s="158"/>
      <c r="AO403" s="158"/>
      <c r="AP403" s="158"/>
      <c r="AQ403" s="158" t="b">
        <f>IF(AN403="",TRUE,IF(IF(AO403="",VLOOKUP(AN403,Calculs!$A$19:$S$425,19,FALSE),VLOOKUP(AO403,Calculs!$A$19:$S$425,19,FALSE))&gt;=AP403,TRUE,FALSE))</f>
        <v>1</v>
      </c>
      <c r="AR403" s="158"/>
      <c r="AS403" s="158" t="b">
        <f>IF(AR403="",TRUE,IF(VLOOKUP(AR403,Calculs!$A$427:$G$738,7,FALSE)&gt;0,TRUE,FALSE))</f>
        <v>1</v>
      </c>
      <c r="AT403" s="158"/>
      <c r="AU403" s="158" t="b">
        <f>IF(AT403="",TRUE,IF(VLOOKUP(AT403,Calculs!$A$740:$G$912,7,FALSE)&gt;0,TRUE,FALSE))</f>
        <v>1</v>
      </c>
      <c r="AV403" s="158" t="b">
        <f t="shared" si="45"/>
        <v>1</v>
      </c>
      <c r="AW403" s="158" t="s">
        <v>2078</v>
      </c>
      <c r="AX403" s="162" t="s">
        <v>6061</v>
      </c>
      <c r="AY403" s="15">
        <v>101</v>
      </c>
      <c r="AZ403" s="555" t="s">
        <v>8566</v>
      </c>
      <c r="BA403" s="559">
        <f>IF(Verso!$B$10=Voies!$B403,1,0)</f>
        <v>0</v>
      </c>
      <c r="BB403" s="12">
        <f>IF(Verso!$B$11=Voies!$B403,1,0)</f>
        <v>0</v>
      </c>
      <c r="BC403" s="12">
        <f>IF(Verso!$B$12=Voies!$B403,1,0)</f>
        <v>0</v>
      </c>
      <c r="BD403" s="12">
        <f>IF(Verso!$B$13=Voies!$B403,1,0)</f>
        <v>0</v>
      </c>
      <c r="BE403" s="12">
        <f>IF(Verso!$B$14=Voies!$B403,1,0)</f>
        <v>0</v>
      </c>
      <c r="BF403" s="12">
        <f>IF(Verso!$B$15=Voies!$B403,1,0)</f>
        <v>0</v>
      </c>
      <c r="BG403" s="12">
        <f>IF(Verso!$B$16=Voies!$B403,1,0)</f>
        <v>0</v>
      </c>
      <c r="BH403" s="12">
        <f>IF(Verso!$B$17=Voies!$B403,1,0)</f>
        <v>0</v>
      </c>
      <c r="BI403" s="557">
        <f t="shared" si="46"/>
        <v>0</v>
      </c>
      <c r="BJ403" s="196" t="str">
        <f t="shared" si="47"/>
        <v/>
      </c>
      <c r="BK403" s="196" t="str">
        <f t="shared" si="48"/>
        <v/>
      </c>
      <c r="BL403" s="295" t="str">
        <f t="shared" si="49"/>
        <v/>
      </c>
    </row>
    <row r="404" spans="1:64" ht="47.25" customHeight="1" x14ac:dyDescent="0.25">
      <c r="A404" s="162" t="str">
        <f>IF(AND(Réputation&gt;Voies!E404-1,OR(C404=TRUE,Calculs!$I$8&gt;0),Air&gt;Voies!J404-1,Eau&gt;Voies!K404-1,Feu&gt;Voies!L404-1,Terre&gt;Voies!M404-1,Vide&gt;Voies!N404-1,Constitution&gt;Voies!O404-1,Volonté&gt;Voies!P404-1,Force&gt;Voies!Q404-1,Perception&gt;Voies!R404-1,Reflexes&gt;Voies!S404-1,Agilité&gt;Voies!T404-1,Intuition&gt;Voies!U404-1,Intelligence&gt;Voies!V404-1,Souillure&gt;Voies!W404-1,Honneur&gt;X404-1,Statut&gt;Y404-1,Gloire&gt;Z404-1,AV404=TRUE),Voies!B404,"")</f>
        <v/>
      </c>
      <c r="B404" s="162" t="s">
        <v>6057</v>
      </c>
      <c r="C404" s="162" t="b">
        <f>IF(Clan=Voies!D404,TRUE,FALSE)</f>
        <v>0</v>
      </c>
      <c r="D404" s="387" t="s">
        <v>176</v>
      </c>
      <c r="E404" s="13">
        <v>5</v>
      </c>
      <c r="F404" s="199">
        <v>5</v>
      </c>
      <c r="G404" s="13" t="s">
        <v>2057</v>
      </c>
      <c r="H404" s="219" t="s">
        <v>609</v>
      </c>
      <c r="I404" s="129" t="s">
        <v>3616</v>
      </c>
      <c r="J404" s="146">
        <v>0</v>
      </c>
      <c r="K404" s="147">
        <v>0</v>
      </c>
      <c r="L404" s="148">
        <v>0</v>
      </c>
      <c r="M404" s="149">
        <v>0</v>
      </c>
      <c r="N404" s="150">
        <v>0</v>
      </c>
      <c r="O404" s="130">
        <v>0</v>
      </c>
      <c r="P404" s="130">
        <v>0</v>
      </c>
      <c r="Q404" s="130">
        <v>0</v>
      </c>
      <c r="R404" s="130">
        <v>0</v>
      </c>
      <c r="S404" s="130">
        <v>0</v>
      </c>
      <c r="T404" s="130">
        <v>0</v>
      </c>
      <c r="U404" s="130">
        <v>0</v>
      </c>
      <c r="V404" s="524">
        <v>0</v>
      </c>
      <c r="W404" s="130">
        <v>0</v>
      </c>
      <c r="X404" s="130">
        <v>0</v>
      </c>
      <c r="Y404" s="130">
        <v>0</v>
      </c>
      <c r="Z404" s="130">
        <v>0</v>
      </c>
      <c r="AA404" s="158" t="s">
        <v>2078</v>
      </c>
      <c r="AB404" s="158"/>
      <c r="AC404" s="158"/>
      <c r="AD404" s="158"/>
      <c r="AE404" s="158" t="b">
        <f>IF(AB404="",TRUE,IF(IF(AC404="",VLOOKUP(AB404,Calculs!$A$19:$S$425,19,FALSE),VLOOKUP(AC404,Calculs!$A$19:$S$425,19,FALSE))&gt;=AD404,TRUE,FALSE))</f>
        <v>1</v>
      </c>
      <c r="AF404" s="158"/>
      <c r="AG404" s="158"/>
      <c r="AH404" s="158"/>
      <c r="AI404" s="158" t="b">
        <f>IF(AF404="",TRUE,IF(IF(AG404="",VLOOKUP(AF404,Calculs!$A$19:$S$425,19,FALSE),VLOOKUP(AG404,Calculs!$A$19:$S$425,19,FALSE))&gt;=AH404,TRUE,FALSE))</f>
        <v>1</v>
      </c>
      <c r="AJ404" s="158"/>
      <c r="AK404" s="158"/>
      <c r="AL404" s="158"/>
      <c r="AM404" s="158" t="b">
        <f>IF(AJ404="",TRUE,IF(IF(AK404="",VLOOKUP(AJ404,Calculs!$A$19:$S$425,19,FALSE),VLOOKUP(AK404,Calculs!$A$19:$S$425,19,FALSE))&gt;=AL404,TRUE,FALSE))</f>
        <v>1</v>
      </c>
      <c r="AN404" s="158"/>
      <c r="AO404" s="158"/>
      <c r="AP404" s="158"/>
      <c r="AQ404" s="158" t="b">
        <f>IF(AN404="",TRUE,IF(IF(AO404="",VLOOKUP(AN404,Calculs!$A$19:$S$425,19,FALSE),VLOOKUP(AO404,Calculs!$A$19:$S$425,19,FALSE))&gt;=AP404,TRUE,FALSE))</f>
        <v>1</v>
      </c>
      <c r="AR404" s="158"/>
      <c r="AS404" s="158" t="b">
        <f>IF(AR404="",TRUE,IF(VLOOKUP(AR404,Calculs!$A$427:$G$738,7,FALSE)&gt;0,TRUE,FALSE))</f>
        <v>1</v>
      </c>
      <c r="AT404" s="158"/>
      <c r="AU404" s="158" t="b">
        <f>IF(AT404="",TRUE,IF(VLOOKUP(AT404,Calculs!$A$740:$G$912,7,FALSE)&gt;0,TRUE,FALSE))</f>
        <v>1</v>
      </c>
      <c r="AV404" s="158" t="b">
        <f t="shared" si="45"/>
        <v>1</v>
      </c>
      <c r="AW404" s="158" t="s">
        <v>2078</v>
      </c>
      <c r="AX404" s="162" t="s">
        <v>6061</v>
      </c>
      <c r="AY404" s="15">
        <v>102</v>
      </c>
      <c r="AZ404" s="555" t="str">
        <f>CONCATENATE("Test d'Opposition [art]/Intuition vs. Etiquette (Courtoisie)/Volonté. En cas de succès, la cible perds ",Gloire," pt. de Gloire et ",ROUNDDOWN(Gloire/2,0)," pts d'Honneur. Si vous échouez vous perdez un nmbre de pts Gloire = Rg. de Statut de la cible. Max 1X/mois.")</f>
        <v>Test d'Opposition [art]/Intuition vs. Etiquette (Courtoisie)/Volonté. En cas de succès, la cible perds 1 pt. de Gloire et 0 pts d'Honneur. Si vous échouez vous perdez un nmbre de pts Gloire = Rg. de Statut de la cible. Max 1X/mois.</v>
      </c>
      <c r="BA404" s="559">
        <f>IF(Verso!$B$10=Voies!$B404,1,0)</f>
        <v>0</v>
      </c>
      <c r="BB404" s="12">
        <f>IF(Verso!$B$11=Voies!$B404,1,0)</f>
        <v>0</v>
      </c>
      <c r="BC404" s="12">
        <f>IF(Verso!$B$12=Voies!$B404,1,0)</f>
        <v>0</v>
      </c>
      <c r="BD404" s="12">
        <f>IF(Verso!$B$13=Voies!$B404,1,0)</f>
        <v>0</v>
      </c>
      <c r="BE404" s="12">
        <f>IF(Verso!$B$14=Voies!$B404,1,0)</f>
        <v>0</v>
      </c>
      <c r="BF404" s="12">
        <f>IF(Verso!$B$15=Voies!$B404,1,0)</f>
        <v>0</v>
      </c>
      <c r="BG404" s="12">
        <f>IF(Verso!$B$16=Voies!$B404,1,0)</f>
        <v>0</v>
      </c>
      <c r="BH404" s="12">
        <f>IF(Verso!$B$17=Voies!$B404,1,0)</f>
        <v>0</v>
      </c>
      <c r="BI404" s="557">
        <f t="shared" si="46"/>
        <v>0</v>
      </c>
      <c r="BJ404" s="196" t="str">
        <f t="shared" si="47"/>
        <v/>
      </c>
      <c r="BK404" s="196" t="str">
        <f t="shared" si="48"/>
        <v/>
      </c>
      <c r="BL404" s="295" t="str">
        <f t="shared" si="49"/>
        <v/>
      </c>
    </row>
    <row r="405" spans="1:64" ht="47.25" customHeight="1" x14ac:dyDescent="0.25">
      <c r="A405" s="162" t="str">
        <f>IF(AND(Réputation&gt;Voies!E405-1,OR(C405=TRUE,Calculs!$I$8&gt;0),Air&gt;Voies!J405-1,Eau&gt;Voies!K405-1,Feu&gt;Voies!L405-1,Terre&gt;Voies!M405-1,Vide&gt;Voies!N405-1,Constitution&gt;Voies!O405-1,Volonté&gt;Voies!P405-1,Force&gt;Voies!Q405-1,Perception&gt;Voies!R405-1,Reflexes&gt;Voies!S405-1,Agilité&gt;Voies!T405-1,Intuition&gt;Voies!U405-1,Intelligence&gt;Voies!V405-1,Souillure&gt;Voies!W405-1,Honneur&gt;X405-1,Statut&gt;Y405-1,Gloire&gt;Z405-1,AV405=TRUE),Voies!B405,"")</f>
        <v/>
      </c>
      <c r="B405" s="162" t="s">
        <v>2345</v>
      </c>
      <c r="C405" s="162" t="b">
        <f>IF(Clan=Voies!D405,TRUE,FALSE)</f>
        <v>0</v>
      </c>
      <c r="D405" s="387" t="s">
        <v>176</v>
      </c>
      <c r="E405" s="13">
        <v>5</v>
      </c>
      <c r="F405" s="199">
        <v>5</v>
      </c>
      <c r="G405" s="13" t="s">
        <v>2049</v>
      </c>
      <c r="H405" s="219" t="s">
        <v>198</v>
      </c>
      <c r="I405" s="129" t="str">
        <f t="shared" ref="I405:I412" si="50">IF(B405="","","Rien")</f>
        <v>Rien</v>
      </c>
      <c r="J405" s="146">
        <v>0</v>
      </c>
      <c r="K405" s="147">
        <v>0</v>
      </c>
      <c r="L405" s="148">
        <v>0</v>
      </c>
      <c r="M405" s="149">
        <v>0</v>
      </c>
      <c r="N405" s="150">
        <v>0</v>
      </c>
      <c r="O405" s="130">
        <v>0</v>
      </c>
      <c r="P405" s="130">
        <v>0</v>
      </c>
      <c r="Q405" s="130">
        <v>0</v>
      </c>
      <c r="R405" s="130">
        <v>0</v>
      </c>
      <c r="S405" s="130">
        <v>0</v>
      </c>
      <c r="T405" s="130">
        <v>0</v>
      </c>
      <c r="U405" s="130">
        <v>0</v>
      </c>
      <c r="V405" s="524">
        <v>0</v>
      </c>
      <c r="W405" s="130">
        <v>0</v>
      </c>
      <c r="X405" s="130">
        <v>0</v>
      </c>
      <c r="Y405" s="130">
        <v>0</v>
      </c>
      <c r="Z405" s="130">
        <v>0</v>
      </c>
      <c r="AA405" s="158" t="s">
        <v>2078</v>
      </c>
      <c r="AB405" s="158"/>
      <c r="AC405" s="158"/>
      <c r="AD405" s="158"/>
      <c r="AE405" s="158" t="b">
        <f>IF(AB405="",TRUE,IF(IF(AC405="",VLOOKUP(AB405,Calculs!$A$19:$S$425,19,FALSE),VLOOKUP(AC405,Calculs!$A$19:$S$425,19,FALSE))&gt;=AD405,TRUE,FALSE))</f>
        <v>1</v>
      </c>
      <c r="AF405" s="158"/>
      <c r="AG405" s="158"/>
      <c r="AH405" s="158"/>
      <c r="AI405" s="158" t="b">
        <f>IF(AF405="",TRUE,IF(IF(AG405="",VLOOKUP(AF405,Calculs!$A$19:$S$425,19,FALSE),VLOOKUP(AG405,Calculs!$A$19:$S$425,19,FALSE))&gt;=AH405,TRUE,FALSE))</f>
        <v>1</v>
      </c>
      <c r="AJ405" s="158"/>
      <c r="AK405" s="158"/>
      <c r="AL405" s="158"/>
      <c r="AM405" s="158" t="b">
        <f>IF(AJ405="",TRUE,IF(IF(AK405="",VLOOKUP(AJ405,Calculs!$A$19:$S$425,19,FALSE),VLOOKUP(AK405,Calculs!$A$19:$S$425,19,FALSE))&gt;=AL405,TRUE,FALSE))</f>
        <v>1</v>
      </c>
      <c r="AN405" s="158"/>
      <c r="AO405" s="158"/>
      <c r="AP405" s="158"/>
      <c r="AQ405" s="158" t="b">
        <f>IF(AN405="",TRUE,IF(IF(AO405="",VLOOKUP(AN405,Calculs!$A$19:$S$425,19,FALSE),VLOOKUP(AO405,Calculs!$A$19:$S$425,19,FALSE))&gt;=AP405,TRUE,FALSE))</f>
        <v>1</v>
      </c>
      <c r="AR405" s="158"/>
      <c r="AS405" s="158" t="b">
        <f>IF(AR405="",TRUE,IF(VLOOKUP(AR405,Calculs!$A$427:$G$738,7,FALSE)&gt;0,TRUE,FALSE))</f>
        <v>1</v>
      </c>
      <c r="AT405" s="158"/>
      <c r="AU405" s="158" t="b">
        <f>IF(AT405="",TRUE,IF(VLOOKUP(AT405,Calculs!$A$740:$G$912,7,FALSE)&gt;0,TRUE,FALSE))</f>
        <v>1</v>
      </c>
      <c r="AV405" s="158" t="b">
        <f t="shared" si="45"/>
        <v>1</v>
      </c>
      <c r="AW405" s="158" t="s">
        <v>2078</v>
      </c>
      <c r="AX405" s="162" t="s">
        <v>143</v>
      </c>
      <c r="AY405" s="15">
        <v>114</v>
      </c>
      <c r="AZ405" s="555" t="s">
        <v>2349</v>
      </c>
      <c r="BA405" s="559">
        <f>IF(Verso!$B$10=Voies!$B405,1,0)</f>
        <v>0</v>
      </c>
      <c r="BB405" s="12">
        <f>IF(Verso!$B$11=Voies!$B405,1,0)</f>
        <v>0</v>
      </c>
      <c r="BC405" s="12">
        <f>IF(Verso!$B$12=Voies!$B405,1,0)</f>
        <v>0</v>
      </c>
      <c r="BD405" s="12">
        <f>IF(Verso!$B$13=Voies!$B405,1,0)</f>
        <v>0</v>
      </c>
      <c r="BE405" s="12">
        <f>IF(Verso!$B$14=Voies!$B405,1,0)</f>
        <v>0</v>
      </c>
      <c r="BF405" s="12">
        <f>IF(Verso!$B$15=Voies!$B405,1,0)</f>
        <v>0</v>
      </c>
      <c r="BG405" s="12">
        <f>IF(Verso!$B$16=Voies!$B405,1,0)</f>
        <v>0</v>
      </c>
      <c r="BH405" s="12">
        <f>IF(Verso!$B$17=Voies!$B405,1,0)</f>
        <v>0</v>
      </c>
      <c r="BI405" s="557">
        <f t="shared" si="46"/>
        <v>0</v>
      </c>
      <c r="BJ405" s="196" t="str">
        <f t="shared" si="47"/>
        <v/>
      </c>
      <c r="BK405" s="196" t="str">
        <f t="shared" si="48"/>
        <v/>
      </c>
      <c r="BL405" s="295" t="str">
        <f t="shared" si="49"/>
        <v/>
      </c>
    </row>
    <row r="406" spans="1:64" ht="47.25" customHeight="1" x14ac:dyDescent="0.25">
      <c r="A406" s="162" t="str">
        <f>IF(AND(Réputation&gt;Voies!E406-1,OR(C406=TRUE,Calculs!$I$8&gt;0),Air&gt;Voies!J406-1,Eau&gt;Voies!K406-1,Feu&gt;Voies!L406-1,Terre&gt;Voies!M406-1,Vide&gt;Voies!N406-1,Constitution&gt;Voies!O406-1,Volonté&gt;Voies!P406-1,Force&gt;Voies!Q406-1,Perception&gt;Voies!R406-1,Reflexes&gt;Voies!S406-1,Agilité&gt;Voies!T406-1,Intuition&gt;Voies!U406-1,Intelligence&gt;Voies!V406-1,Souillure&gt;Voies!W406-1,Honneur&gt;X406-1,Statut&gt;Y406-1,Gloire&gt;Z406-1,AV406=TRUE),Voies!B406,"")</f>
        <v/>
      </c>
      <c r="B406" s="162" t="s">
        <v>2828</v>
      </c>
      <c r="C406" s="162" t="b">
        <f>IF(Clan=Voies!D406,TRUE,FALSE)</f>
        <v>0</v>
      </c>
      <c r="D406" s="387" t="s">
        <v>176</v>
      </c>
      <c r="E406" s="13">
        <v>5</v>
      </c>
      <c r="F406" s="199">
        <v>5</v>
      </c>
      <c r="G406" s="199" t="s">
        <v>2049</v>
      </c>
      <c r="H406" s="219" t="s">
        <v>2824</v>
      </c>
      <c r="I406" s="129" t="str">
        <f t="shared" si="50"/>
        <v>Rien</v>
      </c>
      <c r="J406" s="146">
        <v>0</v>
      </c>
      <c r="K406" s="147">
        <v>0</v>
      </c>
      <c r="L406" s="148">
        <v>0</v>
      </c>
      <c r="M406" s="149">
        <v>0</v>
      </c>
      <c r="N406" s="150">
        <v>0</v>
      </c>
      <c r="O406" s="130">
        <v>0</v>
      </c>
      <c r="P406" s="130">
        <v>0</v>
      </c>
      <c r="Q406" s="130">
        <v>0</v>
      </c>
      <c r="R406" s="130">
        <v>0</v>
      </c>
      <c r="S406" s="130">
        <v>0</v>
      </c>
      <c r="T406" s="130">
        <v>0</v>
      </c>
      <c r="U406" s="130">
        <v>0</v>
      </c>
      <c r="V406" s="524">
        <v>0</v>
      </c>
      <c r="W406" s="130">
        <v>0</v>
      </c>
      <c r="X406" s="130">
        <v>0</v>
      </c>
      <c r="Y406" s="130">
        <v>0</v>
      </c>
      <c r="Z406" s="130">
        <v>0</v>
      </c>
      <c r="AA406" s="158" t="s">
        <v>2078</v>
      </c>
      <c r="AB406" s="158"/>
      <c r="AC406" s="158"/>
      <c r="AD406" s="158"/>
      <c r="AE406" s="158" t="b">
        <f>IF(AB406="",TRUE,IF(IF(AC406="",VLOOKUP(AB406,Calculs!$A$19:$S$425,19,FALSE),VLOOKUP(AC406,Calculs!$A$19:$S$425,19,FALSE))&gt;=AD406,TRUE,FALSE))</f>
        <v>1</v>
      </c>
      <c r="AF406" s="158"/>
      <c r="AG406" s="158"/>
      <c r="AH406" s="158"/>
      <c r="AI406" s="158" t="b">
        <f>IF(AF406="",TRUE,IF(IF(AG406="",VLOOKUP(AF406,Calculs!$A$19:$S$425,19,FALSE),VLOOKUP(AG406,Calculs!$A$19:$S$425,19,FALSE))&gt;=AH406,TRUE,FALSE))</f>
        <v>1</v>
      </c>
      <c r="AJ406" s="158"/>
      <c r="AK406" s="158"/>
      <c r="AL406" s="158"/>
      <c r="AM406" s="158" t="b">
        <f>IF(AJ406="",TRUE,IF(IF(AK406="",VLOOKUP(AJ406,Calculs!$A$19:$S$425,19,FALSE),VLOOKUP(AK406,Calculs!$A$19:$S$425,19,FALSE))&gt;=AL406,TRUE,FALSE))</f>
        <v>1</v>
      </c>
      <c r="AN406" s="158"/>
      <c r="AO406" s="158"/>
      <c r="AP406" s="158"/>
      <c r="AQ406" s="158" t="b">
        <f>IF(AN406="",TRUE,IF(IF(AO406="",VLOOKUP(AN406,Calculs!$A$19:$S$425,19,FALSE),VLOOKUP(AO406,Calculs!$A$19:$S$425,19,FALSE))&gt;=AP406,TRUE,FALSE))</f>
        <v>1</v>
      </c>
      <c r="AR406" s="158"/>
      <c r="AS406" s="158" t="b">
        <f>IF(AR406="",TRUE,IF(VLOOKUP(AR406,Calculs!$A$427:$G$738,7,FALSE)&gt;0,TRUE,FALSE))</f>
        <v>1</v>
      </c>
      <c r="AT406" s="158"/>
      <c r="AU406" s="158" t="b">
        <f>IF(AT406="",TRUE,IF(VLOOKUP(AT406,Calculs!$A$740:$G$912,7,FALSE)&gt;0,TRUE,FALSE))</f>
        <v>1</v>
      </c>
      <c r="AV406" s="158" t="b">
        <f t="shared" si="45"/>
        <v>1</v>
      </c>
      <c r="AW406" s="158" t="s">
        <v>2078</v>
      </c>
      <c r="AX406" s="162" t="s">
        <v>6061</v>
      </c>
      <c r="AY406" s="15">
        <v>99</v>
      </c>
      <c r="AZ406" s="555" t="s">
        <v>8567</v>
      </c>
      <c r="BA406" s="559">
        <f>IF(Verso!$B$10=Voies!$B406,1,0)</f>
        <v>0</v>
      </c>
      <c r="BB406" s="12">
        <f>IF(Verso!$B$11=Voies!$B406,1,0)</f>
        <v>0</v>
      </c>
      <c r="BC406" s="12">
        <f>IF(Verso!$B$12=Voies!$B406,1,0)</f>
        <v>0</v>
      </c>
      <c r="BD406" s="12">
        <f>IF(Verso!$B$13=Voies!$B406,1,0)</f>
        <v>0</v>
      </c>
      <c r="BE406" s="12">
        <f>IF(Verso!$B$14=Voies!$B406,1,0)</f>
        <v>0</v>
      </c>
      <c r="BF406" s="12">
        <f>IF(Verso!$B$15=Voies!$B406,1,0)</f>
        <v>0</v>
      </c>
      <c r="BG406" s="12">
        <f>IF(Verso!$B$16=Voies!$B406,1,0)</f>
        <v>0</v>
      </c>
      <c r="BH406" s="12">
        <f>IF(Verso!$B$17=Voies!$B406,1,0)</f>
        <v>0</v>
      </c>
      <c r="BI406" s="557">
        <f t="shared" si="46"/>
        <v>0</v>
      </c>
      <c r="BJ406" s="196" t="str">
        <f t="shared" si="47"/>
        <v/>
      </c>
      <c r="BK406" s="196" t="str">
        <f t="shared" si="48"/>
        <v/>
      </c>
      <c r="BL406" s="295" t="str">
        <f t="shared" si="49"/>
        <v/>
      </c>
    </row>
    <row r="407" spans="1:64" ht="47.25" customHeight="1" x14ac:dyDescent="0.25">
      <c r="A407" s="162" t="str">
        <f>IF(AND(Réputation&gt;Voies!E407-1,OR(C407=TRUE,Calculs!$I$8&gt;0),Air&gt;Voies!J407-1,Eau&gt;Voies!K407-1,Feu&gt;Voies!L407-1,Terre&gt;Voies!M407-1,Vide&gt;Voies!N407-1,Constitution&gt;Voies!O407-1,Volonté&gt;Voies!P407-1,Force&gt;Voies!Q407-1,Perception&gt;Voies!R407-1,Reflexes&gt;Voies!S407-1,Agilité&gt;Voies!T407-1,Intuition&gt;Voies!U407-1,Intelligence&gt;Voies!V407-1,Souillure&gt;Voies!W407-1,Honneur&gt;X407-1,Statut&gt;Y407-1,Gloire&gt;Z407-1,AV407=TRUE),Voies!B407,"")</f>
        <v/>
      </c>
      <c r="B407" s="162" t="s">
        <v>2370</v>
      </c>
      <c r="C407" s="162" t="b">
        <f>IF(Clan=Voies!D407,TRUE,FALSE)</f>
        <v>0</v>
      </c>
      <c r="D407" s="387" t="s">
        <v>176</v>
      </c>
      <c r="E407" s="13">
        <v>5</v>
      </c>
      <c r="F407" s="199">
        <v>5</v>
      </c>
      <c r="G407" s="199" t="s">
        <v>2049</v>
      </c>
      <c r="H407" s="219" t="s">
        <v>199</v>
      </c>
      <c r="I407" s="129" t="str">
        <f t="shared" si="50"/>
        <v>Rien</v>
      </c>
      <c r="J407" s="146">
        <v>0</v>
      </c>
      <c r="K407" s="147">
        <v>0</v>
      </c>
      <c r="L407" s="148">
        <v>0</v>
      </c>
      <c r="M407" s="149">
        <v>0</v>
      </c>
      <c r="N407" s="150">
        <v>0</v>
      </c>
      <c r="O407" s="130">
        <v>0</v>
      </c>
      <c r="P407" s="130">
        <v>0</v>
      </c>
      <c r="Q407" s="130">
        <v>0</v>
      </c>
      <c r="R407" s="130">
        <v>0</v>
      </c>
      <c r="S407" s="130">
        <v>0</v>
      </c>
      <c r="T407" s="130">
        <v>0</v>
      </c>
      <c r="U407" s="130">
        <v>0</v>
      </c>
      <c r="V407" s="524">
        <v>0</v>
      </c>
      <c r="W407" s="130">
        <v>0</v>
      </c>
      <c r="X407" s="130">
        <v>0</v>
      </c>
      <c r="Y407" s="130">
        <v>0</v>
      </c>
      <c r="Z407" s="130">
        <v>0</v>
      </c>
      <c r="AA407" s="158" t="s">
        <v>2078</v>
      </c>
      <c r="AB407" s="158"/>
      <c r="AC407" s="158"/>
      <c r="AD407" s="158"/>
      <c r="AE407" s="158" t="b">
        <f>IF(AB407="",TRUE,IF(IF(AC407="",VLOOKUP(AB407,Calculs!$A$19:$S$425,19,FALSE),VLOOKUP(AC407,Calculs!$A$19:$S$425,19,FALSE))&gt;=AD407,TRUE,FALSE))</f>
        <v>1</v>
      </c>
      <c r="AF407" s="158"/>
      <c r="AG407" s="158"/>
      <c r="AH407" s="158"/>
      <c r="AI407" s="158" t="b">
        <f>IF(AF407="",TRUE,IF(IF(AG407="",VLOOKUP(AF407,Calculs!$A$19:$S$425,19,FALSE),VLOOKUP(AG407,Calculs!$A$19:$S$425,19,FALSE))&gt;=AH407,TRUE,FALSE))</f>
        <v>1</v>
      </c>
      <c r="AJ407" s="158"/>
      <c r="AK407" s="158"/>
      <c r="AL407" s="158"/>
      <c r="AM407" s="158" t="b">
        <f>IF(AJ407="",TRUE,IF(IF(AK407="",VLOOKUP(AJ407,Calculs!$A$19:$S$425,19,FALSE),VLOOKUP(AK407,Calculs!$A$19:$S$425,19,FALSE))&gt;=AL407,TRUE,FALSE))</f>
        <v>1</v>
      </c>
      <c r="AN407" s="158"/>
      <c r="AO407" s="158"/>
      <c r="AP407" s="158"/>
      <c r="AQ407" s="158" t="b">
        <f>IF(AN407="",TRUE,IF(IF(AO407="",VLOOKUP(AN407,Calculs!$A$19:$S$425,19,FALSE),VLOOKUP(AO407,Calculs!$A$19:$S$425,19,FALSE))&gt;=AP407,TRUE,FALSE))</f>
        <v>1</v>
      </c>
      <c r="AR407" s="158"/>
      <c r="AS407" s="158" t="b">
        <f>IF(AR407="",TRUE,IF(VLOOKUP(AR407,Calculs!$A$427:$G$738,7,FALSE)&gt;0,TRUE,FALSE))</f>
        <v>1</v>
      </c>
      <c r="AT407" s="158"/>
      <c r="AU407" s="158" t="b">
        <f>IF(AT407="",TRUE,IF(VLOOKUP(AT407,Calculs!$A$740:$G$912,7,FALSE)&gt;0,TRUE,FALSE))</f>
        <v>1</v>
      </c>
      <c r="AV407" s="158" t="b">
        <f t="shared" si="45"/>
        <v>1</v>
      </c>
      <c r="AW407" s="158" t="s">
        <v>2078</v>
      </c>
      <c r="AX407" s="162" t="s">
        <v>143</v>
      </c>
      <c r="AY407" s="15">
        <v>115</v>
      </c>
      <c r="AZ407" s="555" t="s">
        <v>2375</v>
      </c>
      <c r="BA407" s="559">
        <f>IF(Verso!$B$10=Voies!$B407,1,0)</f>
        <v>0</v>
      </c>
      <c r="BB407" s="12">
        <f>IF(Verso!$B$11=Voies!$B407,1,0)</f>
        <v>0</v>
      </c>
      <c r="BC407" s="12">
        <f>IF(Verso!$B$12=Voies!$B407,1,0)</f>
        <v>0</v>
      </c>
      <c r="BD407" s="12">
        <f>IF(Verso!$B$13=Voies!$B407,1,0)</f>
        <v>0</v>
      </c>
      <c r="BE407" s="12">
        <f>IF(Verso!$B$14=Voies!$B407,1,0)</f>
        <v>0</v>
      </c>
      <c r="BF407" s="12">
        <f>IF(Verso!$B$15=Voies!$B407,1,0)</f>
        <v>0</v>
      </c>
      <c r="BG407" s="12">
        <f>IF(Verso!$B$16=Voies!$B407,1,0)</f>
        <v>0</v>
      </c>
      <c r="BH407" s="12">
        <f>IF(Verso!$B$17=Voies!$B407,1,0)</f>
        <v>0</v>
      </c>
      <c r="BI407" s="557">
        <f t="shared" si="46"/>
        <v>0</v>
      </c>
      <c r="BJ407" s="196" t="str">
        <f t="shared" si="47"/>
        <v/>
      </c>
      <c r="BK407" s="196" t="str">
        <f t="shared" si="48"/>
        <v/>
      </c>
      <c r="BL407" s="295" t="str">
        <f t="shared" si="49"/>
        <v/>
      </c>
    </row>
    <row r="408" spans="1:64" ht="47.25" customHeight="1" x14ac:dyDescent="0.25">
      <c r="A408" s="162" t="str">
        <f>IF(AND(Réputation&gt;Voies!E408-1,OR(C408=TRUE,Calculs!$I$8&gt;0),Air&gt;Voies!J408-1,Eau&gt;Voies!K408-1,Feu&gt;Voies!L408-1,Terre&gt;Voies!M408-1,Vide&gt;Voies!N408-1,Constitution&gt;Voies!O408-1,Volonté&gt;Voies!P408-1,Force&gt;Voies!Q408-1,Perception&gt;Voies!R408-1,Reflexes&gt;Voies!S408-1,Agilité&gt;Voies!T408-1,Intuition&gt;Voies!U408-1,Intelligence&gt;Voies!V408-1,Souillure&gt;Voies!W408-1,Honneur&gt;X408-1,Statut&gt;Y408-1,Gloire&gt;Z408-1,AV408=TRUE),Voies!B408,"")</f>
        <v/>
      </c>
      <c r="B408" s="162" t="s">
        <v>2662</v>
      </c>
      <c r="C408" s="162" t="b">
        <f>IF(Clan=Voies!D408,TRUE,FALSE)</f>
        <v>0</v>
      </c>
      <c r="D408" s="387" t="s">
        <v>176</v>
      </c>
      <c r="E408" s="13">
        <v>5</v>
      </c>
      <c r="F408" s="199">
        <v>5</v>
      </c>
      <c r="G408" s="199" t="s">
        <v>2049</v>
      </c>
      <c r="H408" s="219" t="s">
        <v>2661</v>
      </c>
      <c r="I408" s="129" t="str">
        <f t="shared" si="50"/>
        <v>Rien</v>
      </c>
      <c r="J408" s="146">
        <v>0</v>
      </c>
      <c r="K408" s="147">
        <v>0</v>
      </c>
      <c r="L408" s="148">
        <v>0</v>
      </c>
      <c r="M408" s="149">
        <v>0</v>
      </c>
      <c r="N408" s="150">
        <v>0</v>
      </c>
      <c r="O408" s="130">
        <v>0</v>
      </c>
      <c r="P408" s="130">
        <v>0</v>
      </c>
      <c r="Q408" s="130">
        <v>0</v>
      </c>
      <c r="R408" s="130">
        <v>0</v>
      </c>
      <c r="S408" s="130">
        <v>0</v>
      </c>
      <c r="T408" s="130">
        <v>0</v>
      </c>
      <c r="U408" s="130">
        <v>0</v>
      </c>
      <c r="V408" s="524">
        <v>0</v>
      </c>
      <c r="W408" s="130">
        <v>0</v>
      </c>
      <c r="X408" s="130">
        <v>0</v>
      </c>
      <c r="Y408" s="130">
        <v>0</v>
      </c>
      <c r="Z408" s="130">
        <v>0</v>
      </c>
      <c r="AA408" s="158" t="s">
        <v>2078</v>
      </c>
      <c r="AB408" s="158"/>
      <c r="AC408" s="158"/>
      <c r="AD408" s="158"/>
      <c r="AE408" s="158" t="b">
        <f>IF(AB408="",TRUE,IF(IF(AC408="",VLOOKUP(AB408,Calculs!$A$19:$S$425,19,FALSE),VLOOKUP(AC408,Calculs!$A$19:$S$425,19,FALSE))&gt;=AD408,TRUE,FALSE))</f>
        <v>1</v>
      </c>
      <c r="AF408" s="158"/>
      <c r="AG408" s="158"/>
      <c r="AH408" s="158"/>
      <c r="AI408" s="158" t="b">
        <f>IF(AF408="",TRUE,IF(IF(AG408="",VLOOKUP(AF408,Calculs!$A$19:$S$425,19,FALSE),VLOOKUP(AG408,Calculs!$A$19:$S$425,19,FALSE))&gt;=AH408,TRUE,FALSE))</f>
        <v>1</v>
      </c>
      <c r="AJ408" s="158"/>
      <c r="AK408" s="158"/>
      <c r="AL408" s="158"/>
      <c r="AM408" s="158" t="b">
        <f>IF(AJ408="",TRUE,IF(IF(AK408="",VLOOKUP(AJ408,Calculs!$A$19:$S$425,19,FALSE),VLOOKUP(AK408,Calculs!$A$19:$S$425,19,FALSE))&gt;=AL408,TRUE,FALSE))</f>
        <v>1</v>
      </c>
      <c r="AN408" s="158"/>
      <c r="AO408" s="158"/>
      <c r="AP408" s="158"/>
      <c r="AQ408" s="158" t="b">
        <f>IF(AN408="",TRUE,IF(IF(AO408="",VLOOKUP(AN408,Calculs!$A$19:$S$425,19,FALSE),VLOOKUP(AO408,Calculs!$A$19:$S$425,19,FALSE))&gt;=AP408,TRUE,FALSE))</f>
        <v>1</v>
      </c>
      <c r="AR408" s="158"/>
      <c r="AS408" s="158" t="b">
        <f>IF(AR408="",TRUE,IF(VLOOKUP(AR408,Calculs!$A$427:$G$738,7,FALSE)&gt;0,TRUE,FALSE))</f>
        <v>1</v>
      </c>
      <c r="AT408" s="158"/>
      <c r="AU408" s="158" t="b">
        <f>IF(AT408="",TRUE,IF(VLOOKUP(AT408,Calculs!$A$740:$G$912,7,FALSE)&gt;0,TRUE,FALSE))</f>
        <v>1</v>
      </c>
      <c r="AV408" s="158" t="b">
        <f t="shared" si="45"/>
        <v>1</v>
      </c>
      <c r="AW408" s="158" t="s">
        <v>2078</v>
      </c>
      <c r="AX408" s="162" t="s">
        <v>5202</v>
      </c>
      <c r="AY408" s="15">
        <v>171</v>
      </c>
      <c r="AZ408" s="555" t="s">
        <v>8568</v>
      </c>
      <c r="BA408" s="559">
        <f>IF(Verso!$B$10=Voies!$B408,1,0)</f>
        <v>0</v>
      </c>
      <c r="BB408" s="12">
        <f>IF(Verso!$B$11=Voies!$B408,1,0)</f>
        <v>0</v>
      </c>
      <c r="BC408" s="12">
        <f>IF(Verso!$B$12=Voies!$B408,1,0)</f>
        <v>0</v>
      </c>
      <c r="BD408" s="12">
        <f>IF(Verso!$B$13=Voies!$B408,1,0)</f>
        <v>0</v>
      </c>
      <c r="BE408" s="12">
        <f>IF(Verso!$B$14=Voies!$B408,1,0)</f>
        <v>0</v>
      </c>
      <c r="BF408" s="12">
        <f>IF(Verso!$B$15=Voies!$B408,1,0)</f>
        <v>0</v>
      </c>
      <c r="BG408" s="12">
        <f>IF(Verso!$B$16=Voies!$B408,1,0)</f>
        <v>0</v>
      </c>
      <c r="BH408" s="12">
        <f>IF(Verso!$B$17=Voies!$B408,1,0)</f>
        <v>0</v>
      </c>
      <c r="BI408" s="557">
        <f t="shared" si="46"/>
        <v>0</v>
      </c>
      <c r="BJ408" s="196" t="str">
        <f t="shared" si="47"/>
        <v/>
      </c>
      <c r="BK408" s="196" t="str">
        <f t="shared" si="48"/>
        <v/>
      </c>
      <c r="BL408" s="295" t="str">
        <f t="shared" si="49"/>
        <v/>
      </c>
    </row>
    <row r="409" spans="1:64" ht="47.25" customHeight="1" x14ac:dyDescent="0.25">
      <c r="A409" s="162" t="str">
        <f>IF(AND(Réputation&gt;Voies!E409-1,OR(C409=TRUE,Calculs!$I$8&gt;0),Air&gt;Voies!J409-1,Eau&gt;Voies!K409-1,Feu&gt;Voies!L409-1,Terre&gt;Voies!M409-1,Vide&gt;Voies!N409-1,Constitution&gt;Voies!O409-1,Volonté&gt;Voies!P409-1,Force&gt;Voies!Q409-1,Perception&gt;Voies!R409-1,Reflexes&gt;Voies!S409-1,Agilité&gt;Voies!T409-1,Intuition&gt;Voies!U409-1,Intelligence&gt;Voies!V409-1,Souillure&gt;Voies!W409-1,Honneur&gt;X409-1,Statut&gt;Y409-1,Gloire&gt;Z409-1,AV409=TRUE),Voies!B409,"")</f>
        <v/>
      </c>
      <c r="B409" s="162" t="s">
        <v>2361</v>
      </c>
      <c r="C409" s="162" t="b">
        <f>IF(Clan=Voies!D409,TRUE,FALSE)</f>
        <v>0</v>
      </c>
      <c r="D409" s="387" t="s">
        <v>176</v>
      </c>
      <c r="E409" s="13">
        <v>5</v>
      </c>
      <c r="F409" s="199">
        <v>5</v>
      </c>
      <c r="G409" s="199" t="s">
        <v>2052</v>
      </c>
      <c r="H409" s="219" t="s">
        <v>196</v>
      </c>
      <c r="I409" s="129" t="str">
        <f t="shared" si="50"/>
        <v>Rien</v>
      </c>
      <c r="J409" s="146">
        <v>0</v>
      </c>
      <c r="K409" s="147">
        <v>0</v>
      </c>
      <c r="L409" s="148">
        <v>0</v>
      </c>
      <c r="M409" s="149">
        <v>0</v>
      </c>
      <c r="N409" s="150">
        <v>0</v>
      </c>
      <c r="O409" s="130">
        <v>0</v>
      </c>
      <c r="P409" s="130">
        <v>0</v>
      </c>
      <c r="Q409" s="130">
        <v>0</v>
      </c>
      <c r="R409" s="130">
        <v>0</v>
      </c>
      <c r="S409" s="130">
        <v>0</v>
      </c>
      <c r="T409" s="130">
        <v>0</v>
      </c>
      <c r="U409" s="130">
        <v>0</v>
      </c>
      <c r="V409" s="524">
        <v>0</v>
      </c>
      <c r="W409" s="130">
        <v>0</v>
      </c>
      <c r="X409" s="130">
        <v>0</v>
      </c>
      <c r="Y409" s="130">
        <v>0</v>
      </c>
      <c r="Z409" s="130">
        <v>0</v>
      </c>
      <c r="AA409" s="158" t="s">
        <v>2078</v>
      </c>
      <c r="AB409" s="158"/>
      <c r="AC409" s="158"/>
      <c r="AD409" s="158"/>
      <c r="AE409" s="158" t="b">
        <f>IF(AB409="",TRUE,IF(IF(AC409="",VLOOKUP(AB409,Calculs!$A$19:$S$425,19,FALSE),VLOOKUP(AC409,Calculs!$A$19:$S$425,19,FALSE))&gt;=AD409,TRUE,FALSE))</f>
        <v>1</v>
      </c>
      <c r="AF409" s="158"/>
      <c r="AG409" s="158"/>
      <c r="AH409" s="158"/>
      <c r="AI409" s="158" t="b">
        <f>IF(AF409="",TRUE,IF(IF(AG409="",VLOOKUP(AF409,Calculs!$A$19:$S$425,19,FALSE),VLOOKUP(AG409,Calculs!$A$19:$S$425,19,FALSE))&gt;=AH409,TRUE,FALSE))</f>
        <v>1</v>
      </c>
      <c r="AJ409" s="158"/>
      <c r="AK409" s="158"/>
      <c r="AL409" s="158"/>
      <c r="AM409" s="158" t="b">
        <f>IF(AJ409="",TRUE,IF(IF(AK409="",VLOOKUP(AJ409,Calculs!$A$19:$S$425,19,FALSE),VLOOKUP(AK409,Calculs!$A$19:$S$425,19,FALSE))&gt;=AL409,TRUE,FALSE))</f>
        <v>1</v>
      </c>
      <c r="AN409" s="158"/>
      <c r="AO409" s="158"/>
      <c r="AP409" s="158"/>
      <c r="AQ409" s="158" t="b">
        <f>IF(AN409="",TRUE,IF(IF(AO409="",VLOOKUP(AN409,Calculs!$A$19:$S$425,19,FALSE),VLOOKUP(AO409,Calculs!$A$19:$S$425,19,FALSE))&gt;=AP409,TRUE,FALSE))</f>
        <v>1</v>
      </c>
      <c r="AR409" s="158"/>
      <c r="AS409" s="158" t="b">
        <f>IF(AR409="",TRUE,IF(VLOOKUP(AR409,Calculs!$A$427:$G$738,7,FALSE)&gt;0,TRUE,FALSE))</f>
        <v>1</v>
      </c>
      <c r="AT409" s="158"/>
      <c r="AU409" s="158" t="b">
        <f>IF(AT409="",TRUE,IF(VLOOKUP(AT409,Calculs!$A$740:$G$912,7,FALSE)&gt;0,TRUE,FALSE))</f>
        <v>1</v>
      </c>
      <c r="AV409" s="158" t="b">
        <f t="shared" si="45"/>
        <v>1</v>
      </c>
      <c r="AW409" s="158" t="s">
        <v>2078</v>
      </c>
      <c r="AX409" s="162" t="s">
        <v>143</v>
      </c>
      <c r="AY409" s="15">
        <v>115</v>
      </c>
      <c r="AZ409" s="555" t="s">
        <v>2363</v>
      </c>
      <c r="BA409" s="559">
        <f>IF(Verso!$B$10=Voies!$B409,1,0)</f>
        <v>0</v>
      </c>
      <c r="BB409" s="12">
        <f>IF(Verso!$B$11=Voies!$B409,1,0)</f>
        <v>0</v>
      </c>
      <c r="BC409" s="12">
        <f>IF(Verso!$B$12=Voies!$B409,1,0)</f>
        <v>0</v>
      </c>
      <c r="BD409" s="12">
        <f>IF(Verso!$B$13=Voies!$B409,1,0)</f>
        <v>0</v>
      </c>
      <c r="BE409" s="12">
        <f>IF(Verso!$B$14=Voies!$B409,1,0)</f>
        <v>0</v>
      </c>
      <c r="BF409" s="12">
        <f>IF(Verso!$B$15=Voies!$B409,1,0)</f>
        <v>0</v>
      </c>
      <c r="BG409" s="12">
        <f>IF(Verso!$B$16=Voies!$B409,1,0)</f>
        <v>0</v>
      </c>
      <c r="BH409" s="12">
        <f>IF(Verso!$B$17=Voies!$B409,1,0)</f>
        <v>0</v>
      </c>
      <c r="BI409" s="557">
        <f t="shared" si="46"/>
        <v>0</v>
      </c>
      <c r="BJ409" s="196" t="str">
        <f t="shared" si="47"/>
        <v/>
      </c>
      <c r="BK409" s="196" t="str">
        <f t="shared" si="48"/>
        <v/>
      </c>
      <c r="BL409" s="295" t="str">
        <f t="shared" si="49"/>
        <v/>
      </c>
    </row>
    <row r="410" spans="1:64" ht="47.25" customHeight="1" x14ac:dyDescent="0.25">
      <c r="A410" s="162" t="str">
        <f>IF(AND(Réputation&gt;Voies!E410-1,OR(C410=TRUE,Calculs!$I$8&gt;0),Air&gt;Voies!J410-1,Eau&gt;Voies!K410-1,Feu&gt;Voies!L410-1,Terre&gt;Voies!M410-1,Vide&gt;Voies!N410-1,Constitution&gt;Voies!O410-1,Volonté&gt;Voies!P410-1,Force&gt;Voies!Q410-1,Perception&gt;Voies!R410-1,Reflexes&gt;Voies!S410-1,Agilité&gt;Voies!T410-1,Intuition&gt;Voies!U410-1,Intelligence&gt;Voies!V410-1,Souillure&gt;Voies!W410-1,Honneur&gt;X410-1,Statut&gt;Y410-1,Gloire&gt;Z410-1,AV410=TRUE),Voies!B410,"")</f>
        <v/>
      </c>
      <c r="B410" s="162" t="s">
        <v>7833</v>
      </c>
      <c r="C410" s="162" t="b">
        <f>IF(Clan=Voies!D410,TRUE,FALSE)</f>
        <v>0</v>
      </c>
      <c r="D410" s="387" t="s">
        <v>176</v>
      </c>
      <c r="E410" s="13">
        <v>5</v>
      </c>
      <c r="F410" s="199">
        <v>5</v>
      </c>
      <c r="G410" s="199" t="s">
        <v>2052</v>
      </c>
      <c r="H410" s="162" t="s">
        <v>7794</v>
      </c>
      <c r="I410" s="129" t="str">
        <f t="shared" si="50"/>
        <v>Rien</v>
      </c>
      <c r="J410" s="146">
        <v>0</v>
      </c>
      <c r="K410" s="147">
        <v>0</v>
      </c>
      <c r="L410" s="148">
        <v>0</v>
      </c>
      <c r="M410" s="149">
        <v>0</v>
      </c>
      <c r="N410" s="150">
        <v>0</v>
      </c>
      <c r="O410" s="130">
        <v>0</v>
      </c>
      <c r="P410" s="130">
        <v>0</v>
      </c>
      <c r="Q410" s="130">
        <v>0</v>
      </c>
      <c r="R410" s="130">
        <v>0</v>
      </c>
      <c r="S410" s="130">
        <v>0</v>
      </c>
      <c r="T410" s="130">
        <v>0</v>
      </c>
      <c r="U410" s="130">
        <v>0</v>
      </c>
      <c r="V410" s="524">
        <v>0</v>
      </c>
      <c r="W410" s="130">
        <v>0</v>
      </c>
      <c r="X410" s="130">
        <v>0</v>
      </c>
      <c r="Y410" s="130">
        <v>0</v>
      </c>
      <c r="Z410" s="130">
        <v>0</v>
      </c>
      <c r="AA410" s="158" t="s">
        <v>2078</v>
      </c>
      <c r="AB410" s="158"/>
      <c r="AC410" s="158"/>
      <c r="AD410" s="158"/>
      <c r="AE410" s="158" t="b">
        <f>IF(AB410="",TRUE,IF(IF(AC410="",VLOOKUP(AB410,Calculs!$A$19:$S$425,19,FALSE),VLOOKUP(AC410,Calculs!$A$19:$S$425,19,FALSE))&gt;=AD410,TRUE,FALSE))</f>
        <v>1</v>
      </c>
      <c r="AF410" s="158"/>
      <c r="AG410" s="158"/>
      <c r="AH410" s="158"/>
      <c r="AI410" s="158" t="b">
        <f>IF(AF410="",TRUE,IF(IF(AG410="",VLOOKUP(AF410,Calculs!$A$19:$S$425,19,FALSE),VLOOKUP(AG410,Calculs!$A$19:$S$425,19,FALSE))&gt;=AH410,TRUE,FALSE))</f>
        <v>1</v>
      </c>
      <c r="AJ410" s="158"/>
      <c r="AK410" s="158"/>
      <c r="AL410" s="158"/>
      <c r="AM410" s="158" t="b">
        <f>IF(AJ410="",TRUE,IF(IF(AK410="",VLOOKUP(AJ410,Calculs!$A$19:$S$425,19,FALSE),VLOOKUP(AK410,Calculs!$A$19:$S$425,19,FALSE))&gt;=AL410,TRUE,FALSE))</f>
        <v>1</v>
      </c>
      <c r="AN410" s="158"/>
      <c r="AO410" s="158"/>
      <c r="AP410" s="158"/>
      <c r="AQ410" s="158" t="b">
        <f>IF(AN410="",TRUE,IF(IF(AO410="",VLOOKUP(AN410,Calculs!$A$19:$S$425,19,FALSE),VLOOKUP(AO410,Calculs!$A$19:$S$425,19,FALSE))&gt;=AP410,TRUE,FALSE))</f>
        <v>1</v>
      </c>
      <c r="AR410" s="158"/>
      <c r="AS410" s="158" t="b">
        <f>IF(AR410="",TRUE,IF(VLOOKUP(AR410,Calculs!$A$427:$G$738,7,FALSE)&gt;0,TRUE,FALSE))</f>
        <v>1</v>
      </c>
      <c r="AT410" s="158"/>
      <c r="AU410" s="158" t="b">
        <f>IF(AT410="",TRUE,IF(VLOOKUP(AT410,Calculs!$A$740:$G$912,7,FALSE)&gt;0,TRUE,FALSE))</f>
        <v>1</v>
      </c>
      <c r="AV410" s="158" t="b">
        <f t="shared" si="45"/>
        <v>1</v>
      </c>
      <c r="AW410" s="158" t="s">
        <v>2078</v>
      </c>
      <c r="AX410" s="162" t="s">
        <v>7226</v>
      </c>
      <c r="AY410" s="15">
        <v>69</v>
      </c>
      <c r="AZ410" s="555" t="s">
        <v>7837</v>
      </c>
      <c r="BA410" s="559">
        <f>IF(Verso!$B$10=Voies!$B410,1,0)</f>
        <v>0</v>
      </c>
      <c r="BB410" s="12">
        <f>IF(Verso!$B$11=Voies!$B410,1,0)</f>
        <v>0</v>
      </c>
      <c r="BC410" s="12">
        <f>IF(Verso!$B$12=Voies!$B410,1,0)</f>
        <v>0</v>
      </c>
      <c r="BD410" s="12">
        <f>IF(Verso!$B$13=Voies!$B410,1,0)</f>
        <v>0</v>
      </c>
      <c r="BE410" s="12">
        <f>IF(Verso!$B$14=Voies!$B410,1,0)</f>
        <v>0</v>
      </c>
      <c r="BF410" s="12">
        <f>IF(Verso!$B$15=Voies!$B410,1,0)</f>
        <v>0</v>
      </c>
      <c r="BG410" s="12">
        <f>IF(Verso!$B$16=Voies!$B410,1,0)</f>
        <v>0</v>
      </c>
      <c r="BH410" s="12">
        <f>IF(Verso!$B$17=Voies!$B410,1,0)</f>
        <v>0</v>
      </c>
      <c r="BI410" s="557">
        <f t="shared" si="46"/>
        <v>0</v>
      </c>
      <c r="BJ410" s="196" t="str">
        <f t="shared" si="47"/>
        <v/>
      </c>
      <c r="BK410" s="196" t="str">
        <f t="shared" si="48"/>
        <v/>
      </c>
      <c r="BL410" s="295" t="str">
        <f t="shared" si="49"/>
        <v/>
      </c>
    </row>
    <row r="411" spans="1:64" ht="47.25" customHeight="1" x14ac:dyDescent="0.25">
      <c r="A411" s="162" t="str">
        <f>IF(AND(Réputation&gt;Voies!E411-1,OR(C411=TRUE,Calculs!$I$8&gt;0),Air&gt;Voies!J411-1,Eau&gt;Voies!K411-1,Feu&gt;Voies!L411-1,Terre&gt;Voies!M411-1,Vide&gt;Voies!N411-1,Constitution&gt;Voies!O411-1,Volonté&gt;Voies!P411-1,Force&gt;Voies!Q411-1,Perception&gt;Voies!R411-1,Reflexes&gt;Voies!S411-1,Agilité&gt;Voies!T411-1,Intuition&gt;Voies!U411-1,Intelligence&gt;Voies!V411-1,Souillure&gt;Voies!W411-1,Honneur&gt;X411-1,Statut&gt;Y411-1,Gloire&gt;Z411-1,AV411=TRUE),Voies!B411,"")</f>
        <v/>
      </c>
      <c r="B411" s="162" t="s">
        <v>2488</v>
      </c>
      <c r="C411" s="162" t="b">
        <f t="shared" ref="C411:C423" si="51">IF(OR(Clan="Guêpe",Clan="Mante"),TRUE,FALSE)</f>
        <v>0</v>
      </c>
      <c r="D411" s="388" t="s">
        <v>2103</v>
      </c>
      <c r="E411" s="199">
        <v>1</v>
      </c>
      <c r="F411" s="199">
        <v>1</v>
      </c>
      <c r="G411" s="199" t="s">
        <v>2049</v>
      </c>
      <c r="H411" s="219" t="s">
        <v>209</v>
      </c>
      <c r="I411" s="129" t="str">
        <f t="shared" si="50"/>
        <v>Rien</v>
      </c>
      <c r="J411" s="146">
        <v>0</v>
      </c>
      <c r="K411" s="147">
        <v>0</v>
      </c>
      <c r="L411" s="148">
        <v>0</v>
      </c>
      <c r="M411" s="149">
        <v>0</v>
      </c>
      <c r="N411" s="150">
        <v>0</v>
      </c>
      <c r="O411" s="130">
        <v>0</v>
      </c>
      <c r="P411" s="130">
        <v>0</v>
      </c>
      <c r="Q411" s="130">
        <v>0</v>
      </c>
      <c r="R411" s="130">
        <v>0</v>
      </c>
      <c r="S411" s="130">
        <v>0</v>
      </c>
      <c r="T411" s="130">
        <v>0</v>
      </c>
      <c r="U411" s="130">
        <v>0</v>
      </c>
      <c r="V411" s="524">
        <v>0</v>
      </c>
      <c r="W411" s="130">
        <v>0</v>
      </c>
      <c r="X411" s="130">
        <v>0</v>
      </c>
      <c r="Y411" s="130">
        <v>0</v>
      </c>
      <c r="Z411" s="130">
        <v>0</v>
      </c>
      <c r="AA411" s="158" t="s">
        <v>2078</v>
      </c>
      <c r="AB411" s="158"/>
      <c r="AC411" s="158"/>
      <c r="AD411" s="158"/>
      <c r="AE411" s="158" t="b">
        <f>IF(AB411="",TRUE,IF(IF(AC411="",VLOOKUP(AB411,Calculs!$A$19:$S$425,19,FALSE),VLOOKUP(AC411,Calculs!$A$19:$S$425,19,FALSE))&gt;=AD411,TRUE,FALSE))</f>
        <v>1</v>
      </c>
      <c r="AF411" s="158"/>
      <c r="AG411" s="158"/>
      <c r="AH411" s="158"/>
      <c r="AI411" s="158" t="b">
        <f>IF(AF411="",TRUE,IF(IF(AG411="",VLOOKUP(AF411,Calculs!$A$19:$S$425,19,FALSE),VLOOKUP(AG411,Calculs!$A$19:$S$425,19,FALSE))&gt;=AH411,TRUE,FALSE))</f>
        <v>1</v>
      </c>
      <c r="AJ411" s="158"/>
      <c r="AK411" s="158"/>
      <c r="AL411" s="158"/>
      <c r="AM411" s="158" t="b">
        <f>IF(AJ411="",TRUE,IF(IF(AK411="",VLOOKUP(AJ411,Calculs!$A$19:$S$425,19,FALSE),VLOOKUP(AK411,Calculs!$A$19:$S$425,19,FALSE))&gt;=AL411,TRUE,FALSE))</f>
        <v>1</v>
      </c>
      <c r="AN411" s="158"/>
      <c r="AO411" s="158"/>
      <c r="AP411" s="158"/>
      <c r="AQ411" s="158" t="b">
        <f>IF(AN411="",TRUE,IF(IF(AO411="",VLOOKUP(AN411,Calculs!$A$19:$S$425,19,FALSE),VLOOKUP(AO411,Calculs!$A$19:$S$425,19,FALSE))&gt;=AP411,TRUE,FALSE))</f>
        <v>1</v>
      </c>
      <c r="AR411" s="158"/>
      <c r="AS411" s="158" t="b">
        <f>IF(AR411="",TRUE,IF(VLOOKUP(AR411,Calculs!$A$427:$G$738,7,FALSE)&gt;0,TRUE,FALSE))</f>
        <v>1</v>
      </c>
      <c r="AT411" s="158"/>
      <c r="AU411" s="158" t="b">
        <f>IF(AT411="",TRUE,IF(VLOOKUP(AT411,Calculs!$A$740:$G$912,7,FALSE)&gt;0,TRUE,FALSE))</f>
        <v>1</v>
      </c>
      <c r="AV411" s="158" t="b">
        <f t="shared" si="45"/>
        <v>1</v>
      </c>
      <c r="AW411" s="158" t="s">
        <v>2078</v>
      </c>
      <c r="AX411" s="162" t="s">
        <v>3</v>
      </c>
      <c r="AY411" s="15">
        <v>125</v>
      </c>
      <c r="AZ411" s="566" t="s">
        <v>2523</v>
      </c>
      <c r="BA411" s="559">
        <f>IF(Verso!$B$10=Voies!$B411,1,0)</f>
        <v>0</v>
      </c>
      <c r="BB411" s="12">
        <f>IF(Verso!$B$11=Voies!$B411,1,0)</f>
        <v>0</v>
      </c>
      <c r="BC411" s="12">
        <f>IF(Verso!$B$12=Voies!$B411,1,0)</f>
        <v>0</v>
      </c>
      <c r="BD411" s="12">
        <f>IF(Verso!$B$13=Voies!$B411,1,0)</f>
        <v>0</v>
      </c>
      <c r="BE411" s="12">
        <f>IF(Verso!$B$14=Voies!$B411,1,0)</f>
        <v>0</v>
      </c>
      <c r="BF411" s="12">
        <f>IF(Verso!$B$15=Voies!$B411,1,0)</f>
        <v>0</v>
      </c>
      <c r="BG411" s="12">
        <f>IF(Verso!$B$16=Voies!$B411,1,0)</f>
        <v>0</v>
      </c>
      <c r="BH411" s="12">
        <f>IF(Verso!$B$17=Voies!$B411,1,0)</f>
        <v>0</v>
      </c>
      <c r="BI411" s="557">
        <f t="shared" si="46"/>
        <v>0</v>
      </c>
      <c r="BJ411" s="196" t="str">
        <f t="shared" si="47"/>
        <v/>
      </c>
      <c r="BK411" s="196" t="str">
        <f t="shared" si="48"/>
        <v/>
      </c>
      <c r="BL411" s="295" t="str">
        <f t="shared" si="49"/>
        <v/>
      </c>
    </row>
    <row r="412" spans="1:64" ht="47.25" customHeight="1" x14ac:dyDescent="0.25">
      <c r="A412" s="162" t="str">
        <f>IF(AND(Réputation&gt;Voies!E412-1,OR(C412=TRUE,Calculs!$I$8&gt;0),Air&gt;Voies!J412-1,Eau&gt;Voies!K412-1,Feu&gt;Voies!L412-1,Terre&gt;Voies!M412-1,Vide&gt;Voies!N412-1,Constitution&gt;Voies!O412-1,Volonté&gt;Voies!P412-1,Force&gt;Voies!Q412-1,Perception&gt;Voies!R412-1,Reflexes&gt;Voies!S412-1,Agilité&gt;Voies!T412-1,Intuition&gt;Voies!U412-1,Intelligence&gt;Voies!V412-1,Souillure&gt;Voies!W412-1,Honneur&gt;X412-1,Statut&gt;Y412-1,Gloire&gt;Z412-1,AV412=TRUE),Voies!B412,"")</f>
        <v/>
      </c>
      <c r="B412" s="162" t="s">
        <v>2866</v>
      </c>
      <c r="C412" s="162" t="b">
        <f t="shared" si="51"/>
        <v>0</v>
      </c>
      <c r="D412" s="388" t="s">
        <v>2103</v>
      </c>
      <c r="E412" s="13">
        <v>1</v>
      </c>
      <c r="F412" s="199">
        <v>1</v>
      </c>
      <c r="G412" s="13" t="s">
        <v>2049</v>
      </c>
      <c r="H412" s="219" t="s">
        <v>2865</v>
      </c>
      <c r="I412" s="129" t="str">
        <f t="shared" si="50"/>
        <v>Rien</v>
      </c>
      <c r="J412" s="146">
        <v>0</v>
      </c>
      <c r="K412" s="147">
        <v>0</v>
      </c>
      <c r="L412" s="148">
        <v>0</v>
      </c>
      <c r="M412" s="149">
        <v>0</v>
      </c>
      <c r="N412" s="150">
        <v>0</v>
      </c>
      <c r="O412" s="130">
        <v>0</v>
      </c>
      <c r="P412" s="130">
        <v>0</v>
      </c>
      <c r="Q412" s="130">
        <v>0</v>
      </c>
      <c r="R412" s="130">
        <v>0</v>
      </c>
      <c r="S412" s="130">
        <v>0</v>
      </c>
      <c r="T412" s="130">
        <v>0</v>
      </c>
      <c r="U412" s="130">
        <v>0</v>
      </c>
      <c r="V412" s="524">
        <v>0</v>
      </c>
      <c r="W412" s="130">
        <v>0</v>
      </c>
      <c r="X412" s="130">
        <v>0</v>
      </c>
      <c r="Y412" s="130">
        <v>0</v>
      </c>
      <c r="Z412" s="130">
        <v>0</v>
      </c>
      <c r="AA412" s="158" t="s">
        <v>2078</v>
      </c>
      <c r="AB412" s="158"/>
      <c r="AC412" s="158"/>
      <c r="AD412" s="158"/>
      <c r="AE412" s="158" t="b">
        <f>IF(AB412="",TRUE,IF(IF(AC412="",VLOOKUP(AB412,Calculs!$A$19:$S$425,19,FALSE),VLOOKUP(AC412,Calculs!$A$19:$S$425,19,FALSE))&gt;=AD412,TRUE,FALSE))</f>
        <v>1</v>
      </c>
      <c r="AF412" s="158"/>
      <c r="AG412" s="158"/>
      <c r="AH412" s="158"/>
      <c r="AI412" s="158" t="b">
        <f>IF(AF412="",TRUE,IF(IF(AG412="",VLOOKUP(AF412,Calculs!$A$19:$S$425,19,FALSE),VLOOKUP(AG412,Calculs!$A$19:$S$425,19,FALSE))&gt;=AH412,TRUE,FALSE))</f>
        <v>1</v>
      </c>
      <c r="AJ412" s="158"/>
      <c r="AK412" s="158"/>
      <c r="AL412" s="158"/>
      <c r="AM412" s="158" t="b">
        <f>IF(AJ412="",TRUE,IF(IF(AK412="",VLOOKUP(AJ412,Calculs!$A$19:$S$425,19,FALSE),VLOOKUP(AK412,Calculs!$A$19:$S$425,19,FALSE))&gt;=AL412,TRUE,FALSE))</f>
        <v>1</v>
      </c>
      <c r="AN412" s="158"/>
      <c r="AO412" s="158"/>
      <c r="AP412" s="158"/>
      <c r="AQ412" s="158" t="b">
        <f>IF(AN412="",TRUE,IF(IF(AO412="",VLOOKUP(AN412,Calculs!$A$19:$S$425,19,FALSE),VLOOKUP(AO412,Calculs!$A$19:$S$425,19,FALSE))&gt;=AP412,TRUE,FALSE))</f>
        <v>1</v>
      </c>
      <c r="AR412" s="158"/>
      <c r="AS412" s="158" t="b">
        <f>IF(AR412="",TRUE,IF(VLOOKUP(AR412,Calculs!$A$427:$G$738,7,FALSE)&gt;0,TRUE,FALSE))</f>
        <v>1</v>
      </c>
      <c r="AT412" s="158"/>
      <c r="AU412" s="158" t="b">
        <f>IF(AT412="",TRUE,IF(VLOOKUP(AT412,Calculs!$A$740:$G$912,7,FALSE)&gt;0,TRUE,FALSE))</f>
        <v>1</v>
      </c>
      <c r="AV412" s="158" t="b">
        <f t="shared" si="45"/>
        <v>1</v>
      </c>
      <c r="AW412" s="158" t="s">
        <v>2078</v>
      </c>
      <c r="AX412" s="162" t="s">
        <v>6061</v>
      </c>
      <c r="AY412" s="15">
        <v>169</v>
      </c>
      <c r="AZ412" s="566" t="s">
        <v>8569</v>
      </c>
      <c r="BA412" s="559">
        <f>IF(Verso!$B$10=Voies!$B412,1,0)</f>
        <v>0</v>
      </c>
      <c r="BB412" s="12">
        <f>IF(Verso!$B$11=Voies!$B412,1,0)</f>
        <v>0</v>
      </c>
      <c r="BC412" s="12">
        <f>IF(Verso!$B$12=Voies!$B412,1,0)</f>
        <v>0</v>
      </c>
      <c r="BD412" s="12">
        <f>IF(Verso!$B$13=Voies!$B412,1,0)</f>
        <v>0</v>
      </c>
      <c r="BE412" s="12">
        <f>IF(Verso!$B$14=Voies!$B412,1,0)</f>
        <v>0</v>
      </c>
      <c r="BF412" s="12">
        <f>IF(Verso!$B$15=Voies!$B412,1,0)</f>
        <v>0</v>
      </c>
      <c r="BG412" s="12">
        <f>IF(Verso!$B$16=Voies!$B412,1,0)</f>
        <v>0</v>
      </c>
      <c r="BH412" s="12">
        <f>IF(Verso!$B$17=Voies!$B412,1,0)</f>
        <v>0</v>
      </c>
      <c r="BI412" s="557">
        <f t="shared" si="46"/>
        <v>0</v>
      </c>
      <c r="BJ412" s="196" t="str">
        <f t="shared" si="47"/>
        <v/>
      </c>
      <c r="BK412" s="196" t="str">
        <f t="shared" si="48"/>
        <v/>
      </c>
      <c r="BL412" s="295" t="str">
        <f t="shared" si="49"/>
        <v/>
      </c>
    </row>
    <row r="413" spans="1:64" ht="47.25" customHeight="1" x14ac:dyDescent="0.25">
      <c r="A413" s="162" t="str">
        <f>IF(AND(Réputation&gt;Voies!E413-1,OR(C413=TRUE,Calculs!$I$8&gt;0),Air&gt;Voies!J413-1,Eau&gt;Voies!K413-1,Feu&gt;Voies!L413-1,Terre&gt;Voies!M413-1,Vide&gt;Voies!N413-1,Constitution&gt;Voies!O413-1,Volonté&gt;Voies!P413-1,Force&gt;Voies!Q413-1,Perception&gt;Voies!R413-1,Reflexes&gt;Voies!S413-1,Agilité&gt;Voies!T413-1,Intuition&gt;Voies!U413-1,Intelligence&gt;Voies!V413-1,Souillure&gt;Voies!W413-1,Honneur&gt;X413-1,Statut&gt;Y413-1,Gloire&gt;Z413-1,AV413=TRUE),Voies!B413,"")</f>
        <v/>
      </c>
      <c r="B413" s="162" t="s">
        <v>5880</v>
      </c>
      <c r="C413" s="162" t="b">
        <f t="shared" si="51"/>
        <v>0</v>
      </c>
      <c r="D413" s="388" t="s">
        <v>2103</v>
      </c>
      <c r="E413" s="13">
        <v>2</v>
      </c>
      <c r="F413" s="199">
        <v>2</v>
      </c>
      <c r="G413" s="13" t="s">
        <v>2049</v>
      </c>
      <c r="H413" s="219" t="s">
        <v>468</v>
      </c>
      <c r="I413" s="129" t="s">
        <v>3648</v>
      </c>
      <c r="J413" s="146">
        <v>0</v>
      </c>
      <c r="K413" s="147">
        <v>0</v>
      </c>
      <c r="L413" s="148">
        <v>0</v>
      </c>
      <c r="M413" s="149">
        <v>0</v>
      </c>
      <c r="N413" s="150">
        <v>0</v>
      </c>
      <c r="O413" s="130">
        <v>0</v>
      </c>
      <c r="P413" s="130">
        <v>0</v>
      </c>
      <c r="Q413" s="130">
        <v>0</v>
      </c>
      <c r="R413" s="130">
        <v>0</v>
      </c>
      <c r="S413" s="130">
        <v>0</v>
      </c>
      <c r="T413" s="130">
        <v>0</v>
      </c>
      <c r="U413" s="130">
        <v>0</v>
      </c>
      <c r="V413" s="524">
        <v>0</v>
      </c>
      <c r="W413" s="130">
        <v>0</v>
      </c>
      <c r="X413" s="130">
        <v>0</v>
      </c>
      <c r="Y413" s="130">
        <v>0</v>
      </c>
      <c r="Z413" s="130">
        <v>0</v>
      </c>
      <c r="AA413" s="159" t="s">
        <v>3646</v>
      </c>
      <c r="AB413" s="159" t="s">
        <v>231</v>
      </c>
      <c r="AD413" s="159">
        <v>2</v>
      </c>
      <c r="AE413" s="158" t="b">
        <f>IF(AB413="",TRUE,IF(IF(AC413="",VLOOKUP(AB413,Calculs!$A$19:$S$425,19,FALSE),VLOOKUP(AC413,Calculs!$A$19:$S$425,19,FALSE))&gt;=AD413,TRUE,FALSE))</f>
        <v>0</v>
      </c>
      <c r="AI413" s="158" t="b">
        <f>IF(AF413="",TRUE,IF(IF(AG413="",VLOOKUP(AF413,Calculs!$A$19:$S$425,19,FALSE),VLOOKUP(AG413,Calculs!$A$19:$S$425,19,FALSE))&gt;=AH413,TRUE,FALSE))</f>
        <v>1</v>
      </c>
      <c r="AM413" s="158" t="b">
        <f>IF(AJ413="",TRUE,IF(IF(AK413="",VLOOKUP(AJ413,Calculs!$A$19:$S$425,19,FALSE),VLOOKUP(AK413,Calculs!$A$19:$S$425,19,FALSE))&gt;=AL413,TRUE,FALSE))</f>
        <v>1</v>
      </c>
      <c r="AQ413" s="158" t="b">
        <f>IF(AN413="",TRUE,IF(IF(AO413="",VLOOKUP(AN413,Calculs!$A$19:$S$425,19,FALSE),VLOOKUP(AO413,Calculs!$A$19:$S$425,19,FALSE))&gt;=AP413,TRUE,FALSE))</f>
        <v>1</v>
      </c>
      <c r="AR413" s="158"/>
      <c r="AS413" s="158" t="b">
        <f>IF(AR413="",TRUE,IF(VLOOKUP(AR413,Calculs!$A$427:$G$738,7,FALSE)&gt;0,TRUE,FALSE))</f>
        <v>1</v>
      </c>
      <c r="AT413" s="158"/>
      <c r="AU413" s="158" t="b">
        <f>IF(AT413="",TRUE,IF(VLOOKUP(AT413,Calculs!$A$740:$G$912,7,FALSE)&gt;0,TRUE,FALSE))</f>
        <v>1</v>
      </c>
      <c r="AV413" s="158" t="b">
        <f t="shared" si="45"/>
        <v>0</v>
      </c>
      <c r="AW413" s="158" t="s">
        <v>2078</v>
      </c>
      <c r="AX413" s="162" t="s">
        <v>2077</v>
      </c>
      <c r="AY413" s="15">
        <v>149</v>
      </c>
      <c r="AZ413" s="555" t="str">
        <f>CONCATENATE("Quand vous combattez un adversaire ayant un Rg de Gloire supérieur à ",Gloire,", dépensez un Pvide pour garder 0gX à votre attaque où X est égal à la différence de vos Rg. de Gloire et ceux de votre adversaire. Bonus maximum= votre Rg. d'Ecole.")</f>
        <v>Quand vous combattez un adversaire ayant un Rg de Gloire supérieur à 1, dépensez un Pvide pour garder 0gX à votre attaque où X est égal à la différence de vos Rg. de Gloire et ceux de votre adversaire. Bonus maximum= votre Rg. d'Ecole.</v>
      </c>
      <c r="BA413" s="559">
        <f>IF(Verso!$B$10=Voies!$B413,1,0)</f>
        <v>0</v>
      </c>
      <c r="BB413" s="12">
        <f>IF(Verso!$B$11=Voies!$B413,1,0)</f>
        <v>0</v>
      </c>
      <c r="BC413" s="12">
        <f>IF(Verso!$B$12=Voies!$B413,1,0)</f>
        <v>0</v>
      </c>
      <c r="BD413" s="12">
        <f>IF(Verso!$B$13=Voies!$B413,1,0)</f>
        <v>0</v>
      </c>
      <c r="BE413" s="12">
        <f>IF(Verso!$B$14=Voies!$B413,1,0)</f>
        <v>0</v>
      </c>
      <c r="BF413" s="12">
        <f>IF(Verso!$B$15=Voies!$B413,1,0)</f>
        <v>0</v>
      </c>
      <c r="BG413" s="12">
        <f>IF(Verso!$B$16=Voies!$B413,1,0)</f>
        <v>0</v>
      </c>
      <c r="BH413" s="12">
        <f>IF(Verso!$B$17=Voies!$B413,1,0)</f>
        <v>0</v>
      </c>
      <c r="BI413" s="557">
        <f t="shared" si="46"/>
        <v>0</v>
      </c>
      <c r="BJ413" s="196" t="str">
        <f t="shared" si="47"/>
        <v/>
      </c>
      <c r="BK413" s="196" t="str">
        <f t="shared" si="48"/>
        <v/>
      </c>
      <c r="BL413" s="295" t="str">
        <f t="shared" si="49"/>
        <v/>
      </c>
    </row>
    <row r="414" spans="1:64" ht="47.25" customHeight="1" x14ac:dyDescent="0.25">
      <c r="A414" s="162" t="str">
        <f>IF(AND(Réputation&gt;Voies!E414-1,OR(C414=TRUE,Calculs!$I$8&gt;0),Air&gt;Voies!J414-1,Eau&gt;Voies!K414-1,Feu&gt;Voies!L414-1,Terre&gt;Voies!M414-1,Vide&gt;Voies!N414-1,Constitution&gt;Voies!O414-1,Volonté&gt;Voies!P414-1,Force&gt;Voies!Q414-1,Perception&gt;Voies!R414-1,Reflexes&gt;Voies!S414-1,Agilité&gt;Voies!T414-1,Intuition&gt;Voies!U414-1,Intelligence&gt;Voies!V414-1,Souillure&gt;Voies!W414-1,Honneur&gt;X414-1,Statut&gt;Y414-1,Gloire&gt;Z414-1,AV414=TRUE),Voies!B414,"")</f>
        <v/>
      </c>
      <c r="B414" s="162" t="s">
        <v>2489</v>
      </c>
      <c r="C414" s="162" t="b">
        <f t="shared" si="51"/>
        <v>0</v>
      </c>
      <c r="D414" s="388" t="s">
        <v>2103</v>
      </c>
      <c r="E414" s="13">
        <v>2</v>
      </c>
      <c r="F414" s="199">
        <v>2</v>
      </c>
      <c r="G414" s="13" t="s">
        <v>2049</v>
      </c>
      <c r="H414" s="219" t="s">
        <v>209</v>
      </c>
      <c r="I414" s="129" t="str">
        <f>IF(B414="","","Rien")</f>
        <v>Rien</v>
      </c>
      <c r="J414" s="146">
        <v>0</v>
      </c>
      <c r="K414" s="147">
        <v>0</v>
      </c>
      <c r="L414" s="148">
        <v>0</v>
      </c>
      <c r="M414" s="149">
        <v>0</v>
      </c>
      <c r="N414" s="150">
        <v>0</v>
      </c>
      <c r="O414" s="130">
        <v>0</v>
      </c>
      <c r="P414" s="130">
        <v>0</v>
      </c>
      <c r="Q414" s="130">
        <v>0</v>
      </c>
      <c r="R414" s="130">
        <v>0</v>
      </c>
      <c r="S414" s="130">
        <v>0</v>
      </c>
      <c r="T414" s="130">
        <v>0</v>
      </c>
      <c r="U414" s="130">
        <v>0</v>
      </c>
      <c r="V414" s="524">
        <v>0</v>
      </c>
      <c r="W414" s="130">
        <v>0</v>
      </c>
      <c r="X414" s="130">
        <v>0</v>
      </c>
      <c r="Y414" s="130">
        <v>0</v>
      </c>
      <c r="Z414" s="130">
        <v>0</v>
      </c>
      <c r="AA414" s="158" t="s">
        <v>2078</v>
      </c>
      <c r="AB414" s="158"/>
      <c r="AC414" s="158"/>
      <c r="AD414" s="158"/>
      <c r="AE414" s="158" t="b">
        <f>IF(AB414="",TRUE,IF(IF(AC414="",VLOOKUP(AB414,Calculs!$A$19:$S$425,19,FALSE),VLOOKUP(AC414,Calculs!$A$19:$S$425,19,FALSE))&gt;=AD414,TRUE,FALSE))</f>
        <v>1</v>
      </c>
      <c r="AF414" s="158"/>
      <c r="AG414" s="158"/>
      <c r="AH414" s="158"/>
      <c r="AI414" s="158" t="b">
        <f>IF(AF414="",TRUE,IF(IF(AG414="",VLOOKUP(AF414,Calculs!$A$19:$S$425,19,FALSE),VLOOKUP(AG414,Calculs!$A$19:$S$425,19,FALSE))&gt;=AH414,TRUE,FALSE))</f>
        <v>1</v>
      </c>
      <c r="AJ414" s="158"/>
      <c r="AK414" s="158"/>
      <c r="AL414" s="158"/>
      <c r="AM414" s="158" t="b">
        <f>IF(AJ414="",TRUE,IF(IF(AK414="",VLOOKUP(AJ414,Calculs!$A$19:$S$425,19,FALSE),VLOOKUP(AK414,Calculs!$A$19:$S$425,19,FALSE))&gt;=AL414,TRUE,FALSE))</f>
        <v>1</v>
      </c>
      <c r="AN414" s="158"/>
      <c r="AO414" s="158"/>
      <c r="AP414" s="158"/>
      <c r="AQ414" s="158" t="b">
        <f>IF(AN414="",TRUE,IF(IF(AO414="",VLOOKUP(AN414,Calculs!$A$19:$S$425,19,FALSE),VLOOKUP(AO414,Calculs!$A$19:$S$425,19,FALSE))&gt;=AP414,TRUE,FALSE))</f>
        <v>1</v>
      </c>
      <c r="AR414" s="158"/>
      <c r="AS414" s="158" t="b">
        <f>IF(AR414="",TRUE,IF(VLOOKUP(AR414,Calculs!$A$427:$G$738,7,FALSE)&gt;0,TRUE,FALSE))</f>
        <v>1</v>
      </c>
      <c r="AT414" s="158"/>
      <c r="AU414" s="158" t="b">
        <f>IF(AT414="",TRUE,IF(VLOOKUP(AT414,Calculs!$A$740:$G$912,7,FALSE)&gt;0,TRUE,FALSE))</f>
        <v>1</v>
      </c>
      <c r="AV414" s="158" t="b">
        <f t="shared" si="45"/>
        <v>1</v>
      </c>
      <c r="AW414" s="158" t="s">
        <v>2078</v>
      </c>
      <c r="AX414" s="162" t="s">
        <v>3</v>
      </c>
      <c r="AY414" s="15">
        <v>125</v>
      </c>
      <c r="AZ414" s="555" t="s">
        <v>2532</v>
      </c>
      <c r="BA414" s="559">
        <f>IF(Verso!$B$10=Voies!$B414,1,0)</f>
        <v>0</v>
      </c>
      <c r="BB414" s="12">
        <f>IF(Verso!$B$11=Voies!$B414,1,0)</f>
        <v>0</v>
      </c>
      <c r="BC414" s="12">
        <f>IF(Verso!$B$12=Voies!$B414,1,0)</f>
        <v>0</v>
      </c>
      <c r="BD414" s="12">
        <f>IF(Verso!$B$13=Voies!$B414,1,0)</f>
        <v>0</v>
      </c>
      <c r="BE414" s="12">
        <f>IF(Verso!$B$14=Voies!$B414,1,0)</f>
        <v>0</v>
      </c>
      <c r="BF414" s="12">
        <f>IF(Verso!$B$15=Voies!$B414,1,0)</f>
        <v>0</v>
      </c>
      <c r="BG414" s="12">
        <f>IF(Verso!$B$16=Voies!$B414,1,0)</f>
        <v>0</v>
      </c>
      <c r="BH414" s="12">
        <f>IF(Verso!$B$17=Voies!$B414,1,0)</f>
        <v>0</v>
      </c>
      <c r="BI414" s="557">
        <f t="shared" si="46"/>
        <v>0</v>
      </c>
      <c r="BJ414" s="196" t="str">
        <f t="shared" si="47"/>
        <v/>
      </c>
      <c r="BK414" s="196" t="str">
        <f t="shared" si="48"/>
        <v/>
      </c>
      <c r="BL414" s="295" t="str">
        <f t="shared" si="49"/>
        <v/>
      </c>
    </row>
    <row r="415" spans="1:64" ht="47.25" customHeight="1" x14ac:dyDescent="0.25">
      <c r="A415" s="162" t="str">
        <f>IF(AND(Réputation&gt;Voies!E415-1,OR(C415=TRUE,Calculs!$I$8&gt;0),Air&gt;Voies!J415-1,Eau&gt;Voies!K415-1,Feu&gt;Voies!L415-1,Terre&gt;Voies!M415-1,Vide&gt;Voies!N415-1,Constitution&gt;Voies!O415-1,Volonté&gt;Voies!P415-1,Force&gt;Voies!Q415-1,Perception&gt;Voies!R415-1,Reflexes&gt;Voies!S415-1,Agilité&gt;Voies!T415-1,Intuition&gt;Voies!U415-1,Intelligence&gt;Voies!V415-1,Souillure&gt;Voies!W415-1,Honneur&gt;X415-1,Statut&gt;Y415-1,Gloire&gt;Z415-1,AV415=TRUE),Voies!B415,"")</f>
        <v/>
      </c>
      <c r="B415" s="162" t="s">
        <v>2867</v>
      </c>
      <c r="C415" s="162" t="b">
        <f t="shared" si="51"/>
        <v>0</v>
      </c>
      <c r="D415" s="388" t="s">
        <v>2103</v>
      </c>
      <c r="E415" s="13">
        <v>2</v>
      </c>
      <c r="F415" s="199">
        <v>2</v>
      </c>
      <c r="G415" s="13" t="s">
        <v>2049</v>
      </c>
      <c r="H415" s="219" t="s">
        <v>2865</v>
      </c>
      <c r="I415" s="129" t="str">
        <f>IF(B415="","","Rien")</f>
        <v>Rien</v>
      </c>
      <c r="J415" s="146">
        <v>0</v>
      </c>
      <c r="K415" s="147">
        <v>0</v>
      </c>
      <c r="L415" s="148">
        <v>0</v>
      </c>
      <c r="M415" s="149">
        <v>0</v>
      </c>
      <c r="N415" s="150">
        <v>0</v>
      </c>
      <c r="O415" s="130">
        <v>0</v>
      </c>
      <c r="P415" s="130">
        <v>0</v>
      </c>
      <c r="Q415" s="130">
        <v>0</v>
      </c>
      <c r="R415" s="130">
        <v>0</v>
      </c>
      <c r="S415" s="130">
        <v>0</v>
      </c>
      <c r="T415" s="130">
        <v>0</v>
      </c>
      <c r="U415" s="130">
        <v>0</v>
      </c>
      <c r="V415" s="524">
        <v>0</v>
      </c>
      <c r="W415" s="130">
        <v>0</v>
      </c>
      <c r="X415" s="130">
        <v>0</v>
      </c>
      <c r="Y415" s="130">
        <v>0</v>
      </c>
      <c r="Z415" s="130">
        <v>0</v>
      </c>
      <c r="AA415" s="158" t="s">
        <v>2078</v>
      </c>
      <c r="AB415" s="158"/>
      <c r="AC415" s="158"/>
      <c r="AD415" s="158"/>
      <c r="AE415" s="158" t="b">
        <f>IF(AB415="",TRUE,IF(IF(AC415="",VLOOKUP(AB415,Calculs!$A$19:$S$425,19,FALSE),VLOOKUP(AC415,Calculs!$A$19:$S$425,19,FALSE))&gt;=AD415,TRUE,FALSE))</f>
        <v>1</v>
      </c>
      <c r="AF415" s="158"/>
      <c r="AG415" s="158"/>
      <c r="AH415" s="158"/>
      <c r="AI415" s="158" t="b">
        <f>IF(AF415="",TRUE,IF(IF(AG415="",VLOOKUP(AF415,Calculs!$A$19:$S$425,19,FALSE),VLOOKUP(AG415,Calculs!$A$19:$S$425,19,FALSE))&gt;=AH415,TRUE,FALSE))</f>
        <v>1</v>
      </c>
      <c r="AJ415" s="158"/>
      <c r="AK415" s="158"/>
      <c r="AL415" s="158"/>
      <c r="AM415" s="158" t="b">
        <f>IF(AJ415="",TRUE,IF(IF(AK415="",VLOOKUP(AJ415,Calculs!$A$19:$S$425,19,FALSE),VLOOKUP(AK415,Calculs!$A$19:$S$425,19,FALSE))&gt;=AL415,TRUE,FALSE))</f>
        <v>1</v>
      </c>
      <c r="AN415" s="158"/>
      <c r="AO415" s="158"/>
      <c r="AP415" s="158"/>
      <c r="AQ415" s="158" t="b">
        <f>IF(AN415="",TRUE,IF(IF(AO415="",VLOOKUP(AN415,Calculs!$A$19:$S$425,19,FALSE),VLOOKUP(AO415,Calculs!$A$19:$S$425,19,FALSE))&gt;=AP415,TRUE,FALSE))</f>
        <v>1</v>
      </c>
      <c r="AR415" s="158"/>
      <c r="AS415" s="158" t="b">
        <f>IF(AR415="",TRUE,IF(VLOOKUP(AR415,Calculs!$A$427:$G$738,7,FALSE)&gt;0,TRUE,FALSE))</f>
        <v>1</v>
      </c>
      <c r="AT415" s="158"/>
      <c r="AU415" s="158" t="b">
        <f>IF(AT415="",TRUE,IF(VLOOKUP(AT415,Calculs!$A$740:$G$912,7,FALSE)&gt;0,TRUE,FALSE))</f>
        <v>1</v>
      </c>
      <c r="AV415" s="158" t="b">
        <f t="shared" si="45"/>
        <v>1</v>
      </c>
      <c r="AW415" s="158" t="s">
        <v>2078</v>
      </c>
      <c r="AX415" s="162" t="s">
        <v>6061</v>
      </c>
      <c r="AY415" s="15">
        <v>169</v>
      </c>
      <c r="AZ415" s="555" t="s">
        <v>2877</v>
      </c>
      <c r="BA415" s="559">
        <f>IF(Verso!$B$10=Voies!$B415,1,0)</f>
        <v>0</v>
      </c>
      <c r="BB415" s="12">
        <f>IF(Verso!$B$11=Voies!$B415,1,0)</f>
        <v>0</v>
      </c>
      <c r="BC415" s="12">
        <f>IF(Verso!$B$12=Voies!$B415,1,0)</f>
        <v>0</v>
      </c>
      <c r="BD415" s="12">
        <f>IF(Verso!$B$13=Voies!$B415,1,0)</f>
        <v>0</v>
      </c>
      <c r="BE415" s="12">
        <f>IF(Verso!$B$14=Voies!$B415,1,0)</f>
        <v>0</v>
      </c>
      <c r="BF415" s="12">
        <f>IF(Verso!$B$15=Voies!$B415,1,0)</f>
        <v>0</v>
      </c>
      <c r="BG415" s="12">
        <f>IF(Verso!$B$16=Voies!$B415,1,0)</f>
        <v>0</v>
      </c>
      <c r="BH415" s="12">
        <f>IF(Verso!$B$17=Voies!$B415,1,0)</f>
        <v>0</v>
      </c>
      <c r="BI415" s="557">
        <f t="shared" si="46"/>
        <v>0</v>
      </c>
      <c r="BJ415" s="196" t="str">
        <f t="shared" si="47"/>
        <v/>
      </c>
      <c r="BK415" s="196" t="str">
        <f t="shared" si="48"/>
        <v/>
      </c>
      <c r="BL415" s="295" t="str">
        <f t="shared" si="49"/>
        <v/>
      </c>
    </row>
    <row r="416" spans="1:64" ht="47.25" customHeight="1" x14ac:dyDescent="0.25">
      <c r="A416" s="162" t="str">
        <f>IF(AND(Réputation&gt;Voies!E416-1,OR(C416=TRUE,Calculs!$I$8&gt;0),Air&gt;Voies!J416-1,Eau&gt;Voies!K416-1,Feu&gt;Voies!L416-1,Terre&gt;Voies!M416-1,Vide&gt;Voies!N416-1,Constitution&gt;Voies!O416-1,Volonté&gt;Voies!P416-1,Force&gt;Voies!Q416-1,Perception&gt;Voies!R416-1,Reflexes&gt;Voies!S416-1,Agilité&gt;Voies!T416-1,Intuition&gt;Voies!U416-1,Intelligence&gt;Voies!V416-1,Souillure&gt;Voies!W416-1,Honneur&gt;X416-1,Statut&gt;Y416-1,Gloire&gt;Z416-1,AV416=TRUE),Voies!B416,"")</f>
        <v/>
      </c>
      <c r="B416" s="162" t="s">
        <v>2490</v>
      </c>
      <c r="C416" s="162" t="b">
        <f t="shared" si="51"/>
        <v>0</v>
      </c>
      <c r="D416" s="388" t="s">
        <v>2103</v>
      </c>
      <c r="E416" s="13">
        <v>3</v>
      </c>
      <c r="F416" s="199">
        <v>3</v>
      </c>
      <c r="G416" s="13" t="s">
        <v>2049</v>
      </c>
      <c r="H416" s="219" t="s">
        <v>209</v>
      </c>
      <c r="I416" s="129" t="str">
        <f>IF(B416="","","Rien")</f>
        <v>Rien</v>
      </c>
      <c r="J416" s="146">
        <v>0</v>
      </c>
      <c r="K416" s="147">
        <v>0</v>
      </c>
      <c r="L416" s="148">
        <v>0</v>
      </c>
      <c r="M416" s="149">
        <v>0</v>
      </c>
      <c r="N416" s="150">
        <v>0</v>
      </c>
      <c r="O416" s="130">
        <v>0</v>
      </c>
      <c r="P416" s="130">
        <v>0</v>
      </c>
      <c r="Q416" s="130">
        <v>0</v>
      </c>
      <c r="R416" s="130">
        <v>0</v>
      </c>
      <c r="S416" s="130">
        <v>0</v>
      </c>
      <c r="T416" s="130">
        <v>0</v>
      </c>
      <c r="U416" s="130">
        <v>0</v>
      </c>
      <c r="V416" s="524">
        <v>0</v>
      </c>
      <c r="W416" s="130">
        <v>0</v>
      </c>
      <c r="X416" s="130">
        <v>0</v>
      </c>
      <c r="Y416" s="130">
        <v>0</v>
      </c>
      <c r="Z416" s="130">
        <v>0</v>
      </c>
      <c r="AA416" s="158" t="s">
        <v>2078</v>
      </c>
      <c r="AB416" s="158"/>
      <c r="AC416" s="158"/>
      <c r="AD416" s="158"/>
      <c r="AE416" s="158" t="b">
        <f>IF(AB416="",TRUE,IF(IF(AC416="",VLOOKUP(AB416,Calculs!$A$19:$S$425,19,FALSE),VLOOKUP(AC416,Calculs!$A$19:$S$425,19,FALSE))&gt;=AD416,TRUE,FALSE))</f>
        <v>1</v>
      </c>
      <c r="AF416" s="158"/>
      <c r="AG416" s="158"/>
      <c r="AH416" s="158"/>
      <c r="AI416" s="158" t="b">
        <f>IF(AF416="",TRUE,IF(IF(AG416="",VLOOKUP(AF416,Calculs!$A$19:$S$425,19,FALSE),VLOOKUP(AG416,Calculs!$A$19:$S$425,19,FALSE))&gt;=AH416,TRUE,FALSE))</f>
        <v>1</v>
      </c>
      <c r="AJ416" s="158"/>
      <c r="AK416" s="158"/>
      <c r="AL416" s="158"/>
      <c r="AM416" s="158" t="b">
        <f>IF(AJ416="",TRUE,IF(IF(AK416="",VLOOKUP(AJ416,Calculs!$A$19:$S$425,19,FALSE),VLOOKUP(AK416,Calculs!$A$19:$S$425,19,FALSE))&gt;=AL416,TRUE,FALSE))</f>
        <v>1</v>
      </c>
      <c r="AN416" s="158"/>
      <c r="AO416" s="158"/>
      <c r="AP416" s="158"/>
      <c r="AQ416" s="158" t="b">
        <f>IF(AN416="",TRUE,IF(IF(AO416="",VLOOKUP(AN416,Calculs!$A$19:$S$425,19,FALSE),VLOOKUP(AO416,Calculs!$A$19:$S$425,19,FALSE))&gt;=AP416,TRUE,FALSE))</f>
        <v>1</v>
      </c>
      <c r="AR416" s="158"/>
      <c r="AS416" s="158" t="b">
        <f>IF(AR416="",TRUE,IF(VLOOKUP(AR416,Calculs!$A$427:$G$738,7,FALSE)&gt;0,TRUE,FALSE))</f>
        <v>1</v>
      </c>
      <c r="AT416" s="158"/>
      <c r="AU416" s="158" t="b">
        <f>IF(AT416="",TRUE,IF(VLOOKUP(AT416,Calculs!$A$740:$G$912,7,FALSE)&gt;0,TRUE,FALSE))</f>
        <v>1</v>
      </c>
      <c r="AV416" s="158" t="b">
        <f t="shared" si="45"/>
        <v>1</v>
      </c>
      <c r="AW416" s="158" t="s">
        <v>2078</v>
      </c>
      <c r="AX416" s="162" t="s">
        <v>3</v>
      </c>
      <c r="AY416" s="15">
        <v>125</v>
      </c>
      <c r="AZ416" s="555" t="s">
        <v>2494</v>
      </c>
      <c r="BA416" s="559">
        <f>IF(Verso!$B$10=Voies!$B416,1,0)</f>
        <v>0</v>
      </c>
      <c r="BB416" s="12">
        <f>IF(Verso!$B$11=Voies!$B416,1,0)</f>
        <v>0</v>
      </c>
      <c r="BC416" s="12">
        <f>IF(Verso!$B$12=Voies!$B416,1,0)</f>
        <v>0</v>
      </c>
      <c r="BD416" s="12">
        <f>IF(Verso!$B$13=Voies!$B416,1,0)</f>
        <v>0</v>
      </c>
      <c r="BE416" s="12">
        <f>IF(Verso!$B$14=Voies!$B416,1,0)</f>
        <v>0</v>
      </c>
      <c r="BF416" s="12">
        <f>IF(Verso!$B$15=Voies!$B416,1,0)</f>
        <v>0</v>
      </c>
      <c r="BG416" s="12">
        <f>IF(Verso!$B$16=Voies!$B416,1,0)</f>
        <v>0</v>
      </c>
      <c r="BH416" s="12">
        <f>IF(Verso!$B$17=Voies!$B416,1,0)</f>
        <v>0</v>
      </c>
      <c r="BI416" s="557">
        <f t="shared" si="46"/>
        <v>0</v>
      </c>
      <c r="BJ416" s="196" t="str">
        <f t="shared" si="47"/>
        <v/>
      </c>
      <c r="BK416" s="196" t="str">
        <f t="shared" si="48"/>
        <v/>
      </c>
      <c r="BL416" s="295" t="str">
        <f t="shared" si="49"/>
        <v/>
      </c>
    </row>
    <row r="417" spans="1:65" ht="47.25" customHeight="1" x14ac:dyDescent="0.25">
      <c r="A417" s="162" t="str">
        <f>IF(AND(Réputation&gt;Voies!E417-1,OR(C417=TRUE,Calculs!$I$8&gt;0),Air&gt;Voies!J417-1,Eau&gt;Voies!K417-1,Feu&gt;Voies!L417-1,Terre&gt;Voies!M417-1,Vide&gt;Voies!N417-1,Constitution&gt;Voies!O417-1,Volonté&gt;Voies!P417-1,Force&gt;Voies!Q417-1,Perception&gt;Voies!R417-1,Reflexes&gt;Voies!S417-1,Agilité&gt;Voies!T417-1,Intuition&gt;Voies!U417-1,Intelligence&gt;Voies!V417-1,Souillure&gt;Voies!W417-1,Honneur&gt;X417-1,Statut&gt;Y417-1,Gloire&gt;Z417-1,AV417=TRUE),Voies!B417,"")</f>
        <v/>
      </c>
      <c r="B417" s="162" t="s">
        <v>2868</v>
      </c>
      <c r="C417" s="162" t="b">
        <f t="shared" si="51"/>
        <v>0</v>
      </c>
      <c r="D417" s="388" t="s">
        <v>2103</v>
      </c>
      <c r="E417" s="13">
        <v>3</v>
      </c>
      <c r="F417" s="199">
        <v>3</v>
      </c>
      <c r="G417" s="13" t="s">
        <v>2049</v>
      </c>
      <c r="H417" s="219" t="s">
        <v>2865</v>
      </c>
      <c r="I417" s="129" t="str">
        <f>IF(B417="","","Rien")</f>
        <v>Rien</v>
      </c>
      <c r="J417" s="146">
        <v>0</v>
      </c>
      <c r="K417" s="147">
        <v>0</v>
      </c>
      <c r="L417" s="148">
        <v>0</v>
      </c>
      <c r="M417" s="149">
        <v>0</v>
      </c>
      <c r="N417" s="150">
        <v>0</v>
      </c>
      <c r="O417" s="130">
        <v>0</v>
      </c>
      <c r="P417" s="130">
        <v>0</v>
      </c>
      <c r="Q417" s="130">
        <v>0</v>
      </c>
      <c r="R417" s="130">
        <v>0</v>
      </c>
      <c r="S417" s="130">
        <v>0</v>
      </c>
      <c r="T417" s="130">
        <v>0</v>
      </c>
      <c r="U417" s="130">
        <v>0</v>
      </c>
      <c r="V417" s="524">
        <v>0</v>
      </c>
      <c r="W417" s="130">
        <v>0</v>
      </c>
      <c r="X417" s="130">
        <v>0</v>
      </c>
      <c r="Y417" s="130">
        <v>0</v>
      </c>
      <c r="Z417" s="130">
        <v>0</v>
      </c>
      <c r="AA417" s="158" t="s">
        <v>2078</v>
      </c>
      <c r="AB417" s="158"/>
      <c r="AC417" s="158"/>
      <c r="AD417" s="158"/>
      <c r="AE417" s="158" t="b">
        <f>IF(AB417="",TRUE,IF(IF(AC417="",VLOOKUP(AB417,Calculs!$A$19:$S$425,19,FALSE),VLOOKUP(AC417,Calculs!$A$19:$S$425,19,FALSE))&gt;=AD417,TRUE,FALSE))</f>
        <v>1</v>
      </c>
      <c r="AF417" s="158"/>
      <c r="AG417" s="158"/>
      <c r="AH417" s="158"/>
      <c r="AI417" s="158" t="b">
        <f>IF(AF417="",TRUE,IF(IF(AG417="",VLOOKUP(AF417,Calculs!$A$19:$S$425,19,FALSE),VLOOKUP(AG417,Calculs!$A$19:$S$425,19,FALSE))&gt;=AH417,TRUE,FALSE))</f>
        <v>1</v>
      </c>
      <c r="AJ417" s="158"/>
      <c r="AK417" s="158"/>
      <c r="AL417" s="158"/>
      <c r="AM417" s="158" t="b">
        <f>IF(AJ417="",TRUE,IF(IF(AK417="",VLOOKUP(AJ417,Calculs!$A$19:$S$425,19,FALSE),VLOOKUP(AK417,Calculs!$A$19:$S$425,19,FALSE))&gt;=AL417,TRUE,FALSE))</f>
        <v>1</v>
      </c>
      <c r="AN417" s="158"/>
      <c r="AO417" s="158"/>
      <c r="AP417" s="158"/>
      <c r="AQ417" s="158" t="b">
        <f>IF(AN417="",TRUE,IF(IF(AO417="",VLOOKUP(AN417,Calculs!$A$19:$S$425,19,FALSE),VLOOKUP(AO417,Calculs!$A$19:$S$425,19,FALSE))&gt;=AP417,TRUE,FALSE))</f>
        <v>1</v>
      </c>
      <c r="AR417" s="158"/>
      <c r="AS417" s="158" t="b">
        <f>IF(AR417="",TRUE,IF(VLOOKUP(AR417,Calculs!$A$427:$G$738,7,FALSE)&gt;0,TRUE,FALSE))</f>
        <v>1</v>
      </c>
      <c r="AT417" s="158"/>
      <c r="AU417" s="158" t="b">
        <f>IF(AT417="",TRUE,IF(VLOOKUP(AT417,Calculs!$A$740:$G$912,7,FALSE)&gt;0,TRUE,FALSE))</f>
        <v>1</v>
      </c>
      <c r="AV417" s="158" t="b">
        <f t="shared" si="45"/>
        <v>1</v>
      </c>
      <c r="AW417" s="158" t="s">
        <v>2078</v>
      </c>
      <c r="AX417" s="162" t="s">
        <v>6061</v>
      </c>
      <c r="AY417" s="15">
        <v>169</v>
      </c>
      <c r="AZ417" s="555" t="s">
        <v>2878</v>
      </c>
      <c r="BA417" s="559">
        <f>IF(Verso!$B$10=Voies!$B417,1,0)</f>
        <v>0</v>
      </c>
      <c r="BB417" s="12">
        <f>IF(Verso!$B$11=Voies!$B417,1,0)</f>
        <v>0</v>
      </c>
      <c r="BC417" s="12">
        <f>IF(Verso!$B$12=Voies!$B417,1,0)</f>
        <v>0</v>
      </c>
      <c r="BD417" s="12">
        <f>IF(Verso!$B$13=Voies!$B417,1,0)</f>
        <v>0</v>
      </c>
      <c r="BE417" s="12">
        <f>IF(Verso!$B$14=Voies!$B417,1,0)</f>
        <v>0</v>
      </c>
      <c r="BF417" s="12">
        <f>IF(Verso!$B$15=Voies!$B417,1,0)</f>
        <v>0</v>
      </c>
      <c r="BG417" s="12">
        <f>IF(Verso!$B$16=Voies!$B417,1,0)</f>
        <v>0</v>
      </c>
      <c r="BH417" s="12">
        <f>IF(Verso!$B$17=Voies!$B417,1,0)</f>
        <v>0</v>
      </c>
      <c r="BI417" s="557">
        <f t="shared" si="46"/>
        <v>0</v>
      </c>
      <c r="BJ417" s="196" t="str">
        <f t="shared" si="47"/>
        <v/>
      </c>
      <c r="BK417" s="196" t="str">
        <f t="shared" si="48"/>
        <v/>
      </c>
      <c r="BL417" s="295" t="str">
        <f t="shared" si="49"/>
        <v/>
      </c>
    </row>
    <row r="418" spans="1:65" ht="47.25" customHeight="1" x14ac:dyDescent="0.25">
      <c r="A418" s="162" t="str">
        <f>IF(AND(Réputation&gt;Voies!E418-1,OR(C418=TRUE,Calculs!$I$8&gt;0),Air&gt;Voies!J418-1,Eau&gt;Voies!K418-1,Feu&gt;Voies!L418-1,Terre&gt;Voies!M418-1,Vide&gt;Voies!N418-1,Constitution&gt;Voies!O418-1,Volonté&gt;Voies!P418-1,Force&gt;Voies!Q418-1,Perception&gt;Voies!R418-1,Reflexes&gt;Voies!S418-1,Agilité&gt;Voies!T418-1,Intuition&gt;Voies!U418-1,Intelligence&gt;Voies!V418-1,Souillure&gt;Voies!W418-1,Honneur&gt;X418-1,Statut&gt;Y418-1,Gloire&gt;Z418-1,AV418=TRUE),Voies!B418,"")</f>
        <v/>
      </c>
      <c r="B418" s="162" t="s">
        <v>5883</v>
      </c>
      <c r="C418" s="162" t="b">
        <f t="shared" si="51"/>
        <v>0</v>
      </c>
      <c r="D418" s="387" t="s">
        <v>2103</v>
      </c>
      <c r="E418" s="201">
        <v>4</v>
      </c>
      <c r="F418" s="201">
        <v>4</v>
      </c>
      <c r="G418" s="201" t="s">
        <v>2049</v>
      </c>
      <c r="H418" s="219" t="s">
        <v>473</v>
      </c>
      <c r="I418" s="129" t="s">
        <v>3840</v>
      </c>
      <c r="J418" s="146">
        <v>0</v>
      </c>
      <c r="K418" s="147">
        <v>0</v>
      </c>
      <c r="L418" s="148">
        <v>0</v>
      </c>
      <c r="M418" s="149">
        <v>0</v>
      </c>
      <c r="N418" s="150">
        <v>0</v>
      </c>
      <c r="O418" s="130">
        <v>0</v>
      </c>
      <c r="P418" s="130">
        <v>0</v>
      </c>
      <c r="Q418" s="130">
        <v>0</v>
      </c>
      <c r="R418" s="130">
        <v>0</v>
      </c>
      <c r="S418" s="130">
        <v>0</v>
      </c>
      <c r="T418" s="130">
        <v>0</v>
      </c>
      <c r="U418" s="130">
        <v>0</v>
      </c>
      <c r="V418" s="524">
        <v>0</v>
      </c>
      <c r="W418" s="130">
        <v>0</v>
      </c>
      <c r="X418" s="130">
        <v>0</v>
      </c>
      <c r="Y418" s="130">
        <v>0</v>
      </c>
      <c r="Z418" s="130">
        <v>0</v>
      </c>
      <c r="AA418" s="159" t="s">
        <v>3229</v>
      </c>
      <c r="AB418" s="159" t="s">
        <v>351</v>
      </c>
      <c r="AD418" s="159">
        <v>3</v>
      </c>
      <c r="AE418" s="158" t="b">
        <f>IF(AB418="",TRUE,IF(IF(AC418="",VLOOKUP(AB418,Calculs!$A$19:$S$425,19,FALSE),VLOOKUP(AC418,Calculs!$A$19:$S$425,19,FALSE))&gt;=AD418,TRUE,FALSE))</f>
        <v>0</v>
      </c>
      <c r="AI418" s="158" t="b">
        <f>IF(AF418="",TRUE,IF(IF(AG418="",VLOOKUP(AF418,Calculs!$A$19:$S$425,19,FALSE),VLOOKUP(AG418,Calculs!$A$19:$S$425,19,FALSE))&gt;=AH418,TRUE,FALSE))</f>
        <v>1</v>
      </c>
      <c r="AM418" s="158" t="b">
        <f>IF(AJ418="",TRUE,IF(IF(AK418="",VLOOKUP(AJ418,Calculs!$A$19:$S$425,19,FALSE),VLOOKUP(AK418,Calculs!$A$19:$S$425,19,FALSE))&gt;=AL418,TRUE,FALSE))</f>
        <v>1</v>
      </c>
      <c r="AQ418" s="158" t="b">
        <f>IF(AN418="",TRUE,IF(IF(AO418="",VLOOKUP(AN418,Calculs!$A$19:$S$425,19,FALSE),VLOOKUP(AO418,Calculs!$A$19:$S$425,19,FALSE))&gt;=AP418,TRUE,FALSE))</f>
        <v>1</v>
      </c>
      <c r="AR418" s="158"/>
      <c r="AS418" s="158" t="b">
        <f>IF(AR418="",TRUE,IF(VLOOKUP(AR418,Calculs!$A$427:$G$738,7,FALSE)&gt;0,TRUE,FALSE))</f>
        <v>1</v>
      </c>
      <c r="AT418" s="158"/>
      <c r="AU418" s="158" t="b">
        <f>IF(AT418="",TRUE,IF(VLOOKUP(AT418,Calculs!$A$740:$G$912,7,FALSE)&gt;0,TRUE,FALSE))</f>
        <v>1</v>
      </c>
      <c r="AV418" s="158" t="b">
        <f t="shared" si="45"/>
        <v>0</v>
      </c>
      <c r="AW418" s="158" t="s">
        <v>2078</v>
      </c>
      <c r="AX418" s="162" t="s">
        <v>2087</v>
      </c>
      <c r="AY418" s="15">
        <v>25</v>
      </c>
      <c r="AZ418" s="555" t="s">
        <v>3841</v>
      </c>
      <c r="BA418" s="559">
        <f>IF(Verso!$B$10=Voies!$B418,1,0)</f>
        <v>0</v>
      </c>
      <c r="BB418" s="12">
        <f>IF(Verso!$B$11=Voies!$B418,1,0)</f>
        <v>0</v>
      </c>
      <c r="BC418" s="12">
        <f>IF(Verso!$B$12=Voies!$B418,1,0)</f>
        <v>0</v>
      </c>
      <c r="BD418" s="12">
        <f>IF(Verso!$B$13=Voies!$B418,1,0)</f>
        <v>0</v>
      </c>
      <c r="BE418" s="12">
        <f>IF(Verso!$B$14=Voies!$B418,1,0)</f>
        <v>0</v>
      </c>
      <c r="BF418" s="12">
        <f>IF(Verso!$B$15=Voies!$B418,1,0)</f>
        <v>0</v>
      </c>
      <c r="BG418" s="12">
        <f>IF(Verso!$B$16=Voies!$B418,1,0)</f>
        <v>0</v>
      </c>
      <c r="BH418" s="12">
        <f>IF(Verso!$B$17=Voies!$B418,1,0)</f>
        <v>0</v>
      </c>
      <c r="BI418" s="557">
        <f t="shared" si="46"/>
        <v>0</v>
      </c>
      <c r="BJ418" s="196" t="str">
        <f t="shared" si="47"/>
        <v/>
      </c>
      <c r="BK418" s="196" t="str">
        <f t="shared" si="48"/>
        <v/>
      </c>
      <c r="BL418" s="295" t="str">
        <f t="shared" si="49"/>
        <v/>
      </c>
    </row>
    <row r="419" spans="1:65" ht="47.25" customHeight="1" x14ac:dyDescent="0.25">
      <c r="A419" s="162" t="str">
        <f>IF(AND(Réputation&gt;Voies!E419-1,OR(C419=TRUE,Calculs!$I$8&gt;0),Air&gt;Voies!J419-1,Eau&gt;Voies!K419-1,Feu&gt;Voies!L419-1,Terre&gt;Voies!M419-1,Vide&gt;Voies!N419-1,Constitution&gt;Voies!O419-1,Volonté&gt;Voies!P419-1,Force&gt;Voies!Q419-1,Perception&gt;Voies!R419-1,Reflexes&gt;Voies!S419-1,Agilité&gt;Voies!T419-1,Intuition&gt;Voies!U419-1,Intelligence&gt;Voies!V419-1,Souillure&gt;Voies!W419-1,Honneur&gt;X419-1,Statut&gt;Y419-1,Gloire&gt;Z419-1,AV419=TRUE),Voies!B419,"")</f>
        <v/>
      </c>
      <c r="B419" s="162" t="s">
        <v>2491</v>
      </c>
      <c r="C419" s="162" t="b">
        <f t="shared" si="51"/>
        <v>0</v>
      </c>
      <c r="D419" s="388" t="s">
        <v>2103</v>
      </c>
      <c r="E419" s="199">
        <v>4</v>
      </c>
      <c r="F419" s="199">
        <v>4</v>
      </c>
      <c r="G419" s="199" t="s">
        <v>2049</v>
      </c>
      <c r="H419" s="219" t="s">
        <v>209</v>
      </c>
      <c r="I419" s="129" t="str">
        <f>IF(B419="","","Rien")</f>
        <v>Rien</v>
      </c>
      <c r="J419" s="146">
        <v>0</v>
      </c>
      <c r="K419" s="147">
        <v>0</v>
      </c>
      <c r="L419" s="148">
        <v>0</v>
      </c>
      <c r="M419" s="149">
        <v>0</v>
      </c>
      <c r="N419" s="150">
        <v>0</v>
      </c>
      <c r="O419" s="130">
        <v>0</v>
      </c>
      <c r="P419" s="130">
        <v>0</v>
      </c>
      <c r="Q419" s="130">
        <v>0</v>
      </c>
      <c r="R419" s="130">
        <v>0</v>
      </c>
      <c r="S419" s="130">
        <v>0</v>
      </c>
      <c r="T419" s="130">
        <v>0</v>
      </c>
      <c r="U419" s="130">
        <v>0</v>
      </c>
      <c r="V419" s="524">
        <v>0</v>
      </c>
      <c r="W419" s="130">
        <v>0</v>
      </c>
      <c r="X419" s="130">
        <v>0</v>
      </c>
      <c r="Y419" s="130">
        <v>0</v>
      </c>
      <c r="Z419" s="130">
        <v>0</v>
      </c>
      <c r="AA419" s="158" t="s">
        <v>2078</v>
      </c>
      <c r="AB419" s="158"/>
      <c r="AC419" s="158"/>
      <c r="AD419" s="158"/>
      <c r="AE419" s="158" t="b">
        <f>IF(AB419="",TRUE,IF(IF(AC419="",VLOOKUP(AB419,Calculs!$A$19:$S$425,19,FALSE),VLOOKUP(AC419,Calculs!$A$19:$S$425,19,FALSE))&gt;=AD419,TRUE,FALSE))</f>
        <v>1</v>
      </c>
      <c r="AF419" s="158"/>
      <c r="AG419" s="158"/>
      <c r="AH419" s="158"/>
      <c r="AI419" s="158" t="b">
        <f>IF(AF419="",TRUE,IF(IF(AG419="",VLOOKUP(AF419,Calculs!$A$19:$S$425,19,FALSE),VLOOKUP(AG419,Calculs!$A$19:$S$425,19,FALSE))&gt;=AH419,TRUE,FALSE))</f>
        <v>1</v>
      </c>
      <c r="AJ419" s="158"/>
      <c r="AK419" s="158"/>
      <c r="AL419" s="158"/>
      <c r="AM419" s="158" t="b">
        <f>IF(AJ419="",TRUE,IF(IF(AK419="",VLOOKUP(AJ419,Calculs!$A$19:$S$425,19,FALSE),VLOOKUP(AK419,Calculs!$A$19:$S$425,19,FALSE))&gt;=AL419,TRUE,FALSE))</f>
        <v>1</v>
      </c>
      <c r="AN419" s="158"/>
      <c r="AO419" s="158"/>
      <c r="AP419" s="158"/>
      <c r="AQ419" s="158" t="b">
        <f>IF(AN419="",TRUE,IF(IF(AO419="",VLOOKUP(AN419,Calculs!$A$19:$S$425,19,FALSE),VLOOKUP(AO419,Calculs!$A$19:$S$425,19,FALSE))&gt;=AP419,TRUE,FALSE))</f>
        <v>1</v>
      </c>
      <c r="AR419" s="158"/>
      <c r="AS419" s="158" t="b">
        <f>IF(AR419="",TRUE,IF(VLOOKUP(AR419,Calculs!$A$427:$G$738,7,FALSE)&gt;0,TRUE,FALSE))</f>
        <v>1</v>
      </c>
      <c r="AT419" s="158"/>
      <c r="AU419" s="158" t="b">
        <f>IF(AT419="",TRUE,IF(VLOOKUP(AT419,Calculs!$A$740:$G$912,7,FALSE)&gt;0,TRUE,FALSE))</f>
        <v>1</v>
      </c>
      <c r="AV419" s="158" t="b">
        <f t="shared" si="45"/>
        <v>1</v>
      </c>
      <c r="AW419" s="158" t="s">
        <v>2078</v>
      </c>
      <c r="AX419" s="162" t="s">
        <v>3</v>
      </c>
      <c r="AY419" s="15">
        <v>125</v>
      </c>
      <c r="AZ419" s="555" t="s">
        <v>2533</v>
      </c>
      <c r="BA419" s="559">
        <f>IF(Verso!$B$10=Voies!$B419,1,0)</f>
        <v>0</v>
      </c>
      <c r="BB419" s="12">
        <f>IF(Verso!$B$11=Voies!$B419,1,0)</f>
        <v>0</v>
      </c>
      <c r="BC419" s="12">
        <f>IF(Verso!$B$12=Voies!$B419,1,0)</f>
        <v>0</v>
      </c>
      <c r="BD419" s="12">
        <f>IF(Verso!$B$13=Voies!$B419,1,0)</f>
        <v>0</v>
      </c>
      <c r="BE419" s="12">
        <f>IF(Verso!$B$14=Voies!$B419,1,0)</f>
        <v>0</v>
      </c>
      <c r="BF419" s="12">
        <f>IF(Verso!$B$15=Voies!$B419,1,0)</f>
        <v>0</v>
      </c>
      <c r="BG419" s="12">
        <f>IF(Verso!$B$16=Voies!$B419,1,0)</f>
        <v>0</v>
      </c>
      <c r="BH419" s="12">
        <f>IF(Verso!$B$17=Voies!$B419,1,0)</f>
        <v>0</v>
      </c>
      <c r="BI419" s="557">
        <f t="shared" si="46"/>
        <v>0</v>
      </c>
      <c r="BJ419" s="196" t="str">
        <f t="shared" si="47"/>
        <v/>
      </c>
      <c r="BK419" s="196" t="str">
        <f t="shared" si="48"/>
        <v/>
      </c>
      <c r="BL419" s="295" t="str">
        <f t="shared" si="49"/>
        <v/>
      </c>
    </row>
    <row r="420" spans="1:65" ht="47.25" customHeight="1" x14ac:dyDescent="0.25">
      <c r="A420" s="162" t="str">
        <f>IF(AND(Réputation&gt;Voies!E420-1,OR(C420=TRUE,Calculs!$I$8&gt;0),Air&gt;Voies!J420-1,Eau&gt;Voies!K420-1,Feu&gt;Voies!L420-1,Terre&gt;Voies!M420-1,Vide&gt;Voies!N420-1,Constitution&gt;Voies!O420-1,Volonté&gt;Voies!P420-1,Force&gt;Voies!Q420-1,Perception&gt;Voies!R420-1,Reflexes&gt;Voies!S420-1,Agilité&gt;Voies!T420-1,Intuition&gt;Voies!U420-1,Intelligence&gt;Voies!V420-1,Souillure&gt;Voies!W420-1,Honneur&gt;X420-1,Statut&gt;Y420-1,Gloire&gt;Z420-1,AV420=TRUE),Voies!B420,"")</f>
        <v/>
      </c>
      <c r="B420" s="162" t="s">
        <v>2869</v>
      </c>
      <c r="C420" s="162" t="b">
        <f t="shared" si="51"/>
        <v>0</v>
      </c>
      <c r="D420" s="388" t="s">
        <v>2103</v>
      </c>
      <c r="E420" s="199">
        <v>4</v>
      </c>
      <c r="F420" s="199">
        <v>4</v>
      </c>
      <c r="G420" s="199" t="s">
        <v>2049</v>
      </c>
      <c r="H420" s="219" t="s">
        <v>2865</v>
      </c>
      <c r="I420" s="129" t="str">
        <f>IF(B420="","","Rien")</f>
        <v>Rien</v>
      </c>
      <c r="J420" s="146">
        <v>0</v>
      </c>
      <c r="K420" s="147">
        <v>0</v>
      </c>
      <c r="L420" s="148">
        <v>0</v>
      </c>
      <c r="M420" s="149">
        <v>0</v>
      </c>
      <c r="N420" s="150">
        <v>0</v>
      </c>
      <c r="O420" s="130">
        <v>0</v>
      </c>
      <c r="P420" s="130">
        <v>0</v>
      </c>
      <c r="Q420" s="130">
        <v>0</v>
      </c>
      <c r="R420" s="130">
        <v>0</v>
      </c>
      <c r="S420" s="130">
        <v>0</v>
      </c>
      <c r="T420" s="130">
        <v>0</v>
      </c>
      <c r="U420" s="130">
        <v>0</v>
      </c>
      <c r="V420" s="524">
        <v>0</v>
      </c>
      <c r="W420" s="130">
        <v>0</v>
      </c>
      <c r="X420" s="130">
        <v>0</v>
      </c>
      <c r="Y420" s="130">
        <v>0</v>
      </c>
      <c r="Z420" s="130">
        <v>0</v>
      </c>
      <c r="AA420" s="158" t="s">
        <v>2078</v>
      </c>
      <c r="AB420" s="158"/>
      <c r="AC420" s="158"/>
      <c r="AD420" s="158"/>
      <c r="AE420" s="158" t="b">
        <f>IF(AB420="",TRUE,IF(IF(AC420="",VLOOKUP(AB420,Calculs!$A$19:$S$425,19,FALSE),VLOOKUP(AC420,Calculs!$A$19:$S$425,19,FALSE))&gt;=AD420,TRUE,FALSE))</f>
        <v>1</v>
      </c>
      <c r="AF420" s="158"/>
      <c r="AG420" s="158"/>
      <c r="AH420" s="158"/>
      <c r="AI420" s="158" t="b">
        <f>IF(AF420="",TRUE,IF(IF(AG420="",VLOOKUP(AF420,Calculs!$A$19:$S$425,19,FALSE),VLOOKUP(AG420,Calculs!$A$19:$S$425,19,FALSE))&gt;=AH420,TRUE,FALSE))</f>
        <v>1</v>
      </c>
      <c r="AJ420" s="158"/>
      <c r="AK420" s="158"/>
      <c r="AL420" s="158"/>
      <c r="AM420" s="158" t="b">
        <f>IF(AJ420="",TRUE,IF(IF(AK420="",VLOOKUP(AJ420,Calculs!$A$19:$S$425,19,FALSE),VLOOKUP(AK420,Calculs!$A$19:$S$425,19,FALSE))&gt;=AL420,TRUE,FALSE))</f>
        <v>1</v>
      </c>
      <c r="AN420" s="158"/>
      <c r="AO420" s="158"/>
      <c r="AP420" s="158"/>
      <c r="AQ420" s="158" t="b">
        <f>IF(AN420="",TRUE,IF(IF(AO420="",VLOOKUP(AN420,Calculs!$A$19:$S$425,19,FALSE),VLOOKUP(AO420,Calculs!$A$19:$S$425,19,FALSE))&gt;=AP420,TRUE,FALSE))</f>
        <v>1</v>
      </c>
      <c r="AR420" s="158"/>
      <c r="AS420" s="158" t="b">
        <f>IF(AR420="",TRUE,IF(VLOOKUP(AR420,Calculs!$A$427:$G$738,7,FALSE)&gt;0,TRUE,FALSE))</f>
        <v>1</v>
      </c>
      <c r="AT420" s="158"/>
      <c r="AU420" s="158" t="b">
        <f>IF(AT420="",TRUE,IF(VLOOKUP(AT420,Calculs!$A$740:$G$912,7,FALSE)&gt;0,TRUE,FALSE))</f>
        <v>1</v>
      </c>
      <c r="AV420" s="158" t="b">
        <f t="shared" si="45"/>
        <v>1</v>
      </c>
      <c r="AW420" s="158" t="s">
        <v>2078</v>
      </c>
      <c r="AX420" s="162" t="s">
        <v>6061</v>
      </c>
      <c r="AY420" s="15">
        <v>169</v>
      </c>
      <c r="AZ420" s="555" t="s">
        <v>2879</v>
      </c>
      <c r="BA420" s="559">
        <f>IF(Verso!$B$10=Voies!$B420,1,0)</f>
        <v>0</v>
      </c>
      <c r="BB420" s="12">
        <f>IF(Verso!$B$11=Voies!$B420,1,0)</f>
        <v>0</v>
      </c>
      <c r="BC420" s="12">
        <f>IF(Verso!$B$12=Voies!$B420,1,0)</f>
        <v>0</v>
      </c>
      <c r="BD420" s="12">
        <f>IF(Verso!$B$13=Voies!$B420,1,0)</f>
        <v>0</v>
      </c>
      <c r="BE420" s="12">
        <f>IF(Verso!$B$14=Voies!$B420,1,0)</f>
        <v>0</v>
      </c>
      <c r="BF420" s="12">
        <f>IF(Verso!$B$15=Voies!$B420,1,0)</f>
        <v>0</v>
      </c>
      <c r="BG420" s="12">
        <f>IF(Verso!$B$16=Voies!$B420,1,0)</f>
        <v>0</v>
      </c>
      <c r="BH420" s="12">
        <f>IF(Verso!$B$17=Voies!$B420,1,0)</f>
        <v>0</v>
      </c>
      <c r="BI420" s="557">
        <f t="shared" si="46"/>
        <v>0</v>
      </c>
      <c r="BJ420" s="196" t="str">
        <f t="shared" si="47"/>
        <v/>
      </c>
      <c r="BK420" s="196" t="str">
        <f t="shared" si="48"/>
        <v/>
      </c>
      <c r="BL420" s="295" t="str">
        <f t="shared" si="49"/>
        <v/>
      </c>
    </row>
    <row r="421" spans="1:65" ht="47.25" customHeight="1" x14ac:dyDescent="0.25">
      <c r="A421" s="162" t="str">
        <f>IF(AND(Réputation&gt;Voies!E421-1,OR(C421=TRUE,Calculs!$I$8&gt;0),Air&gt;Voies!J421-1,Eau&gt;Voies!K421-1,Feu&gt;Voies!L421-1,Terre&gt;Voies!M421-1,Vide&gt;Voies!N421-1,Constitution&gt;Voies!O421-1,Volonté&gt;Voies!P421-1,Force&gt;Voies!Q421-1,Perception&gt;Voies!R421-1,Reflexes&gt;Voies!S421-1,Agilité&gt;Voies!T421-1,Intuition&gt;Voies!U421-1,Intelligence&gt;Voies!V421-1,Souillure&gt;Voies!W421-1,Honneur&gt;X421-1,Statut&gt;Y421-1,Gloire&gt;Z421-1,AV421=TRUE),Voies!B421,"")</f>
        <v/>
      </c>
      <c r="B421" s="162" t="s">
        <v>2492</v>
      </c>
      <c r="C421" s="162" t="b">
        <f t="shared" si="51"/>
        <v>0</v>
      </c>
      <c r="D421" s="388" t="s">
        <v>2103</v>
      </c>
      <c r="E421" s="199">
        <v>5</v>
      </c>
      <c r="F421" s="199">
        <v>5</v>
      </c>
      <c r="G421" s="199" t="s">
        <v>2049</v>
      </c>
      <c r="H421" s="219" t="s">
        <v>209</v>
      </c>
      <c r="I421" s="129" t="str">
        <f>IF(B421="","","Rien")</f>
        <v>Rien</v>
      </c>
      <c r="J421" s="146">
        <v>0</v>
      </c>
      <c r="K421" s="147">
        <v>0</v>
      </c>
      <c r="L421" s="148">
        <v>0</v>
      </c>
      <c r="M421" s="149">
        <v>0</v>
      </c>
      <c r="N421" s="150">
        <v>0</v>
      </c>
      <c r="O421" s="130">
        <v>0</v>
      </c>
      <c r="P421" s="130">
        <v>0</v>
      </c>
      <c r="Q421" s="130">
        <v>0</v>
      </c>
      <c r="R421" s="130">
        <v>0</v>
      </c>
      <c r="S421" s="130">
        <v>0</v>
      </c>
      <c r="T421" s="130">
        <v>0</v>
      </c>
      <c r="U421" s="130">
        <v>0</v>
      </c>
      <c r="V421" s="524">
        <v>0</v>
      </c>
      <c r="W421" s="130">
        <v>0</v>
      </c>
      <c r="X421" s="130">
        <v>0</v>
      </c>
      <c r="Y421" s="130">
        <v>0</v>
      </c>
      <c r="Z421" s="130">
        <v>0</v>
      </c>
      <c r="AA421" s="158" t="s">
        <v>2078</v>
      </c>
      <c r="AB421" s="158"/>
      <c r="AC421" s="158"/>
      <c r="AD421" s="158"/>
      <c r="AE421" s="158" t="b">
        <f>IF(AB421="",TRUE,IF(IF(AC421="",VLOOKUP(AB421,Calculs!$A$19:$S$425,19,FALSE),VLOOKUP(AC421,Calculs!$A$19:$S$425,19,FALSE))&gt;=AD421,TRUE,FALSE))</f>
        <v>1</v>
      </c>
      <c r="AF421" s="158"/>
      <c r="AG421" s="158"/>
      <c r="AH421" s="158"/>
      <c r="AI421" s="158" t="b">
        <f>IF(AF421="",TRUE,IF(IF(AG421="",VLOOKUP(AF421,Calculs!$A$19:$S$425,19,FALSE),VLOOKUP(AG421,Calculs!$A$19:$S$425,19,FALSE))&gt;=AH421,TRUE,FALSE))</f>
        <v>1</v>
      </c>
      <c r="AJ421" s="158"/>
      <c r="AK421" s="158"/>
      <c r="AL421" s="158"/>
      <c r="AM421" s="158" t="b">
        <f>IF(AJ421="",TRUE,IF(IF(AK421="",VLOOKUP(AJ421,Calculs!$A$19:$S$425,19,FALSE),VLOOKUP(AK421,Calculs!$A$19:$S$425,19,FALSE))&gt;=AL421,TRUE,FALSE))</f>
        <v>1</v>
      </c>
      <c r="AN421" s="158"/>
      <c r="AO421" s="158"/>
      <c r="AP421" s="158"/>
      <c r="AQ421" s="158" t="b">
        <f>IF(AN421="",TRUE,IF(IF(AO421="",VLOOKUP(AN421,Calculs!$A$19:$S$425,19,FALSE),VLOOKUP(AO421,Calculs!$A$19:$S$425,19,FALSE))&gt;=AP421,TRUE,FALSE))</f>
        <v>1</v>
      </c>
      <c r="AR421" s="158"/>
      <c r="AS421" s="158" t="b">
        <f>IF(AR421="",TRUE,IF(VLOOKUP(AR421,Calculs!$A$427:$G$738,7,FALSE)&gt;0,TRUE,FALSE))</f>
        <v>1</v>
      </c>
      <c r="AT421" s="158"/>
      <c r="AU421" s="158" t="b">
        <f>IF(AT421="",TRUE,IF(VLOOKUP(AT421,Calculs!$A$740:$G$912,7,FALSE)&gt;0,TRUE,FALSE))</f>
        <v>1</v>
      </c>
      <c r="AV421" s="158" t="b">
        <f t="shared" si="45"/>
        <v>1</v>
      </c>
      <c r="AW421" s="158" t="s">
        <v>2078</v>
      </c>
      <c r="AX421" s="162" t="s">
        <v>3</v>
      </c>
      <c r="AY421" s="15">
        <v>125</v>
      </c>
      <c r="AZ421" s="555" t="s">
        <v>2524</v>
      </c>
      <c r="BA421" s="559">
        <f>IF(Verso!$B$10=Voies!$B421,1,0)</f>
        <v>0</v>
      </c>
      <c r="BB421" s="12">
        <f>IF(Verso!$B$11=Voies!$B421,1,0)</f>
        <v>0</v>
      </c>
      <c r="BC421" s="12">
        <f>IF(Verso!$B$12=Voies!$B421,1,0)</f>
        <v>0</v>
      </c>
      <c r="BD421" s="12">
        <f>IF(Verso!$B$13=Voies!$B421,1,0)</f>
        <v>0</v>
      </c>
      <c r="BE421" s="12">
        <f>IF(Verso!$B$14=Voies!$B421,1,0)</f>
        <v>0</v>
      </c>
      <c r="BF421" s="12">
        <f>IF(Verso!$B$15=Voies!$B421,1,0)</f>
        <v>0</v>
      </c>
      <c r="BG421" s="12">
        <f>IF(Verso!$B$16=Voies!$B421,1,0)</f>
        <v>0</v>
      </c>
      <c r="BH421" s="12">
        <f>IF(Verso!$B$17=Voies!$B421,1,0)</f>
        <v>0</v>
      </c>
      <c r="BI421" s="557">
        <f t="shared" si="46"/>
        <v>0</v>
      </c>
      <c r="BJ421" s="196" t="str">
        <f t="shared" si="47"/>
        <v/>
      </c>
      <c r="BK421" s="196" t="str">
        <f t="shared" si="48"/>
        <v/>
      </c>
      <c r="BL421" s="295" t="str">
        <f t="shared" si="49"/>
        <v/>
      </c>
    </row>
    <row r="422" spans="1:65" ht="47.25" customHeight="1" x14ac:dyDescent="0.25">
      <c r="A422" s="162" t="str">
        <f>IF(AND(Réputation&gt;Voies!E422-1,OR(C422=TRUE,Calculs!$I$8&gt;0),Air&gt;Voies!J422-1,Eau&gt;Voies!K422-1,Feu&gt;Voies!L422-1,Terre&gt;Voies!M422-1,Vide&gt;Voies!N422-1,Constitution&gt;Voies!O422-1,Volonté&gt;Voies!P422-1,Force&gt;Voies!Q422-1,Perception&gt;Voies!R422-1,Reflexes&gt;Voies!S422-1,Agilité&gt;Voies!T422-1,Intuition&gt;Voies!U422-1,Intelligence&gt;Voies!V422-1,Souillure&gt;Voies!W422-1,Honneur&gt;X422-1,Statut&gt;Y422-1,Gloire&gt;Z422-1,AV422=TRUE),Voies!B422,"")</f>
        <v/>
      </c>
      <c r="B422" s="162" t="s">
        <v>6099</v>
      </c>
      <c r="C422" s="162" t="b">
        <f t="shared" si="51"/>
        <v>0</v>
      </c>
      <c r="D422" s="388" t="s">
        <v>2103</v>
      </c>
      <c r="E422" s="13">
        <v>5</v>
      </c>
      <c r="F422" s="199">
        <v>5</v>
      </c>
      <c r="G422" s="13" t="s">
        <v>2049</v>
      </c>
      <c r="H422" s="219" t="s">
        <v>2865</v>
      </c>
      <c r="I422" s="129" t="str">
        <f>IF(B422="","","Rien")</f>
        <v>Rien</v>
      </c>
      <c r="J422" s="146">
        <v>0</v>
      </c>
      <c r="K422" s="147">
        <v>0</v>
      </c>
      <c r="L422" s="148">
        <v>0</v>
      </c>
      <c r="M422" s="149">
        <v>0</v>
      </c>
      <c r="N422" s="150">
        <v>0</v>
      </c>
      <c r="O422" s="130">
        <v>0</v>
      </c>
      <c r="P422" s="130">
        <v>0</v>
      </c>
      <c r="Q422" s="130">
        <v>0</v>
      </c>
      <c r="R422" s="130">
        <v>0</v>
      </c>
      <c r="S422" s="130">
        <v>0</v>
      </c>
      <c r="T422" s="130">
        <v>0</v>
      </c>
      <c r="U422" s="130">
        <v>0</v>
      </c>
      <c r="V422" s="524">
        <v>0</v>
      </c>
      <c r="W422" s="130">
        <v>0</v>
      </c>
      <c r="X422" s="130">
        <v>0</v>
      </c>
      <c r="Y422" s="130">
        <v>0</v>
      </c>
      <c r="Z422" s="130">
        <v>0</v>
      </c>
      <c r="AA422" s="158" t="s">
        <v>2078</v>
      </c>
      <c r="AB422" s="158"/>
      <c r="AC422" s="158"/>
      <c r="AD422" s="158"/>
      <c r="AE422" s="158" t="b">
        <f>IF(AB422="",TRUE,IF(IF(AC422="",VLOOKUP(AB422,Calculs!$A$19:$S$425,19,FALSE),VLOOKUP(AC422,Calculs!$A$19:$S$425,19,FALSE))&gt;=AD422,TRUE,FALSE))</f>
        <v>1</v>
      </c>
      <c r="AF422" s="158"/>
      <c r="AG422" s="158"/>
      <c r="AH422" s="158"/>
      <c r="AI422" s="158" t="b">
        <f>IF(AF422="",TRUE,IF(IF(AG422="",VLOOKUP(AF422,Calculs!$A$19:$S$425,19,FALSE),VLOOKUP(AG422,Calculs!$A$19:$S$425,19,FALSE))&gt;=AH422,TRUE,FALSE))</f>
        <v>1</v>
      </c>
      <c r="AJ422" s="158"/>
      <c r="AK422" s="158"/>
      <c r="AL422" s="158"/>
      <c r="AM422" s="158" t="b">
        <f>IF(AJ422="",TRUE,IF(IF(AK422="",VLOOKUP(AJ422,Calculs!$A$19:$S$425,19,FALSE),VLOOKUP(AK422,Calculs!$A$19:$S$425,19,FALSE))&gt;=AL422,TRUE,FALSE))</f>
        <v>1</v>
      </c>
      <c r="AN422" s="158"/>
      <c r="AO422" s="158"/>
      <c r="AP422" s="158"/>
      <c r="AQ422" s="158" t="b">
        <f>IF(AN422="",TRUE,IF(IF(AO422="",VLOOKUP(AN422,Calculs!$A$19:$S$425,19,FALSE),VLOOKUP(AO422,Calculs!$A$19:$S$425,19,FALSE))&gt;=AP422,TRUE,FALSE))</f>
        <v>1</v>
      </c>
      <c r="AR422" s="158"/>
      <c r="AS422" s="158" t="b">
        <f>IF(AR422="",TRUE,IF(VLOOKUP(AR422,Calculs!$A$427:$G$738,7,FALSE)&gt;0,TRUE,FALSE))</f>
        <v>1</v>
      </c>
      <c r="AT422" s="158"/>
      <c r="AU422" s="158" t="b">
        <f>IF(AT422="",TRUE,IF(VLOOKUP(AT422,Calculs!$A$740:$G$912,7,FALSE)&gt;0,TRUE,FALSE))</f>
        <v>1</v>
      </c>
      <c r="AV422" s="158" t="b">
        <f t="shared" si="45"/>
        <v>1</v>
      </c>
      <c r="AW422" s="158" t="s">
        <v>2078</v>
      </c>
      <c r="AX422" s="162" t="s">
        <v>6061</v>
      </c>
      <c r="AY422" s="15">
        <v>197</v>
      </c>
      <c r="AZ422" s="555" t="s">
        <v>2880</v>
      </c>
      <c r="BA422" s="559">
        <f>IF(Verso!$B$10=Voies!$B422,1,0)</f>
        <v>0</v>
      </c>
      <c r="BB422" s="12">
        <f>IF(Verso!$B$11=Voies!$B422,1,0)</f>
        <v>0</v>
      </c>
      <c r="BC422" s="12">
        <f>IF(Verso!$B$12=Voies!$B422,1,0)</f>
        <v>0</v>
      </c>
      <c r="BD422" s="12">
        <f>IF(Verso!$B$13=Voies!$B422,1,0)</f>
        <v>0</v>
      </c>
      <c r="BE422" s="12">
        <f>IF(Verso!$B$14=Voies!$B422,1,0)</f>
        <v>0</v>
      </c>
      <c r="BF422" s="12">
        <f>IF(Verso!$B$15=Voies!$B422,1,0)</f>
        <v>0</v>
      </c>
      <c r="BG422" s="12">
        <f>IF(Verso!$B$16=Voies!$B422,1,0)</f>
        <v>0</v>
      </c>
      <c r="BH422" s="12">
        <f>IF(Verso!$B$17=Voies!$B422,1,0)</f>
        <v>0</v>
      </c>
      <c r="BI422" s="557">
        <f t="shared" si="46"/>
        <v>0</v>
      </c>
      <c r="BJ422" s="196" t="str">
        <f t="shared" si="47"/>
        <v/>
      </c>
      <c r="BK422" s="196" t="str">
        <f t="shared" si="48"/>
        <v/>
      </c>
      <c r="BL422" s="295" t="str">
        <f t="shared" si="49"/>
        <v/>
      </c>
    </row>
    <row r="423" spans="1:65" ht="47.25" customHeight="1" x14ac:dyDescent="0.25">
      <c r="A423" s="162" t="str">
        <f>IF(AND(Réputation&gt;Voies!E423-1,OR(C423=TRUE,Calculs!$I$8&gt;0),Air&gt;Voies!J423-1,Eau&gt;Voies!K423-1,Feu&gt;Voies!L423-1,Terre&gt;Voies!M423-1,Vide&gt;Voies!N423-1,Constitution&gt;Voies!O423-1,Volonté&gt;Voies!P423-1,Force&gt;Voies!Q423-1,Perception&gt;Voies!R423-1,Reflexes&gt;Voies!S423-1,Agilité&gt;Voies!T423-1,Intuition&gt;Voies!U423-1,Intelligence&gt;Voies!V423-1,Souillure&gt;Voies!W423-1,Honneur&gt;X423-1,Statut&gt;Y423-1,Gloire&gt;Z423-1,AV423=TRUE),Voies!B423,"")</f>
        <v/>
      </c>
      <c r="B423" s="162" t="s">
        <v>5882</v>
      </c>
      <c r="C423" s="162" t="b">
        <f t="shared" si="51"/>
        <v>0</v>
      </c>
      <c r="D423" s="387" t="s">
        <v>2103</v>
      </c>
      <c r="E423" s="13">
        <v>6</v>
      </c>
      <c r="F423" s="199">
        <v>6</v>
      </c>
      <c r="G423" s="13" t="s">
        <v>2049</v>
      </c>
      <c r="H423" s="219" t="s">
        <v>472</v>
      </c>
      <c r="I423" s="129" t="s">
        <v>3370</v>
      </c>
      <c r="J423" s="146">
        <v>0</v>
      </c>
      <c r="K423" s="147">
        <v>0</v>
      </c>
      <c r="L423" s="148">
        <v>0</v>
      </c>
      <c r="M423" s="149">
        <v>0</v>
      </c>
      <c r="N423" s="150">
        <v>0</v>
      </c>
      <c r="O423" s="130">
        <v>0</v>
      </c>
      <c r="P423" s="130">
        <v>0</v>
      </c>
      <c r="Q423" s="130">
        <v>0</v>
      </c>
      <c r="R423" s="130">
        <v>0</v>
      </c>
      <c r="S423" s="130">
        <v>0</v>
      </c>
      <c r="T423" s="130">
        <v>0</v>
      </c>
      <c r="U423" s="130">
        <v>0</v>
      </c>
      <c r="V423" s="524">
        <v>0</v>
      </c>
      <c r="W423" s="130">
        <v>0</v>
      </c>
      <c r="X423" s="130">
        <v>0</v>
      </c>
      <c r="Y423" s="130">
        <v>0</v>
      </c>
      <c r="Z423" s="130">
        <v>0</v>
      </c>
      <c r="AA423" s="159" t="s">
        <v>3371</v>
      </c>
      <c r="AB423" s="159" t="s">
        <v>1228</v>
      </c>
      <c r="AD423" s="159">
        <v>7</v>
      </c>
      <c r="AE423" s="158" t="b">
        <f>IF(AB423="",TRUE,IF(IF(AC423="",VLOOKUP(AB423,Calculs!$A$19:$S$425,19,FALSE),VLOOKUP(AC423,Calculs!$A$19:$S$425,19,FALSE))&gt;=AD423,TRUE,FALSE))</f>
        <v>0</v>
      </c>
      <c r="AI423" s="158" t="b">
        <f>IF(AF423="",TRUE,IF(IF(AG423="",VLOOKUP(AF423,Calculs!$A$19:$S$425,19,FALSE),VLOOKUP(AG423,Calculs!$A$19:$S$425,19,FALSE))&gt;=AH423,TRUE,FALSE))</f>
        <v>1</v>
      </c>
      <c r="AM423" s="158" t="b">
        <f>IF(AJ423="",TRUE,IF(IF(AK423="",VLOOKUP(AJ423,Calculs!$A$19:$S$425,19,FALSE),VLOOKUP(AK423,Calculs!$A$19:$S$425,19,FALSE))&gt;=AL423,TRUE,FALSE))</f>
        <v>1</v>
      </c>
      <c r="AQ423" s="158" t="b">
        <f>IF(AN423="",TRUE,IF(IF(AO423="",VLOOKUP(AN423,Calculs!$A$19:$S$425,19,FALSE),VLOOKUP(AO423,Calculs!$A$19:$S$425,19,FALSE))&gt;=AP423,TRUE,FALSE))</f>
        <v>1</v>
      </c>
      <c r="AR423" s="158"/>
      <c r="AS423" s="158" t="b">
        <f>IF(AR423="",TRUE,IF(VLOOKUP(AR423,Calculs!$A$427:$G$738,7,FALSE)&gt;0,TRUE,FALSE))</f>
        <v>1</v>
      </c>
      <c r="AT423" s="158"/>
      <c r="AU423" s="158" t="b">
        <f>IF(AT423="",TRUE,IF(VLOOKUP(AT423,Calculs!$A$740:$G$912,7,FALSE)&gt;0,TRUE,FALSE))</f>
        <v>1</v>
      </c>
      <c r="AV423" s="158" t="b">
        <f t="shared" si="45"/>
        <v>0</v>
      </c>
      <c r="AW423" s="159" t="s">
        <v>3372</v>
      </c>
      <c r="AX423" s="162" t="s">
        <v>118</v>
      </c>
      <c r="AY423" s="15">
        <v>173</v>
      </c>
      <c r="AZ423" s="555" t="s">
        <v>3373</v>
      </c>
      <c r="BA423" s="559">
        <f>IF(Verso!$B$10=Voies!$B423,1,0)</f>
        <v>0</v>
      </c>
      <c r="BB423" s="12">
        <f>IF(Verso!$B$11=Voies!$B423,1,0)</f>
        <v>0</v>
      </c>
      <c r="BC423" s="12">
        <f>IF(Verso!$B$12=Voies!$B423,1,0)</f>
        <v>0</v>
      </c>
      <c r="BD423" s="12">
        <f>IF(Verso!$B$13=Voies!$B423,1,0)</f>
        <v>0</v>
      </c>
      <c r="BE423" s="12">
        <f>IF(Verso!$B$14=Voies!$B423,1,0)</f>
        <v>0</v>
      </c>
      <c r="BF423" s="12">
        <f>IF(Verso!$B$15=Voies!$B423,1,0)</f>
        <v>0</v>
      </c>
      <c r="BG423" s="12">
        <f>IF(Verso!$B$16=Voies!$B423,1,0)</f>
        <v>0</v>
      </c>
      <c r="BH423" s="12">
        <f>IF(Verso!$B$17=Voies!$B423,1,0)</f>
        <v>0</v>
      </c>
      <c r="BI423" s="557">
        <f t="shared" si="46"/>
        <v>0</v>
      </c>
      <c r="BJ423" s="196" t="str">
        <f t="shared" si="47"/>
        <v/>
      </c>
      <c r="BK423" s="196" t="str">
        <f t="shared" si="48"/>
        <v/>
      </c>
      <c r="BL423" s="295" t="str">
        <f t="shared" si="49"/>
        <v/>
      </c>
    </row>
    <row r="424" spans="1:65" s="196" customFormat="1" ht="47.25" customHeight="1" x14ac:dyDescent="0.25">
      <c r="A424" s="162" t="str">
        <f>IF(AND(Réputation&gt;Voies!E424-1,OR(C424=TRUE,Calculs!$I$8&gt;0),Air&gt;Voies!J424-1,Eau&gt;Voies!K424-1,Feu&gt;Voies!L424-1,Terre&gt;Voies!M424-1,Vide&gt;Voies!N424-1,Constitution&gt;Voies!O424-1,Volonté&gt;Voies!P424-1,Force&gt;Voies!Q424-1,Perception&gt;Voies!R424-1,Reflexes&gt;Voies!S424-1,Agilité&gt;Voies!T424-1,Intuition&gt;Voies!U424-1,Intelligence&gt;Voies!V424-1,Souillure&gt;Voies!W424-1,Honneur&gt;X424-1,Statut&gt;Y424-1,Gloire&gt;Z424-1,AV424=TRUE),Voies!B424,"")</f>
        <v/>
      </c>
      <c r="B424" s="162" t="s">
        <v>8303</v>
      </c>
      <c r="C424" s="162" t="b">
        <f>IF(Clan=Voies!D424,TRUE,FALSE)</f>
        <v>0</v>
      </c>
      <c r="D424" s="387" t="s">
        <v>8259</v>
      </c>
      <c r="E424" s="199">
        <v>1</v>
      </c>
      <c r="F424" s="199">
        <v>1</v>
      </c>
      <c r="G424" s="199" t="s">
        <v>2049</v>
      </c>
      <c r="H424" s="219" t="s">
        <v>8299</v>
      </c>
      <c r="I424" s="129" t="s">
        <v>3370</v>
      </c>
      <c r="J424" s="146">
        <v>0</v>
      </c>
      <c r="K424" s="147">
        <v>0</v>
      </c>
      <c r="L424" s="148">
        <v>0</v>
      </c>
      <c r="M424" s="149">
        <v>0</v>
      </c>
      <c r="N424" s="150">
        <v>0</v>
      </c>
      <c r="O424" s="130">
        <v>0</v>
      </c>
      <c r="P424" s="130">
        <v>0</v>
      </c>
      <c r="Q424" s="130">
        <v>0</v>
      </c>
      <c r="R424" s="130">
        <v>0</v>
      </c>
      <c r="S424" s="130">
        <v>0</v>
      </c>
      <c r="T424" s="130">
        <v>0</v>
      </c>
      <c r="U424" s="130">
        <v>0</v>
      </c>
      <c r="V424" s="524">
        <v>0</v>
      </c>
      <c r="W424" s="130">
        <v>0</v>
      </c>
      <c r="X424" s="130">
        <v>0</v>
      </c>
      <c r="Y424" s="130">
        <v>0</v>
      </c>
      <c r="Z424" s="130">
        <v>0</v>
      </c>
      <c r="AA424" s="158" t="s">
        <v>2078</v>
      </c>
      <c r="AB424" s="159"/>
      <c r="AC424" s="159"/>
      <c r="AD424" s="159"/>
      <c r="AE424" s="158" t="b">
        <f>IF(AB424="",TRUE,IF(IF(AC424="",VLOOKUP(AB424,Calculs!$A$19:$S$425,19,FALSE),VLOOKUP(AC424,Calculs!$A$19:$S$425,19,FALSE))&gt;=AD424,TRUE,FALSE))</f>
        <v>1</v>
      </c>
      <c r="AF424" s="159"/>
      <c r="AG424" s="159"/>
      <c r="AH424" s="159"/>
      <c r="AI424" s="158" t="b">
        <f>IF(AF424="",TRUE,IF(IF(AG424="",VLOOKUP(AF424,Calculs!$A$19:$S$425,19,FALSE),VLOOKUP(AG424,Calculs!$A$19:$S$425,19,FALSE))&gt;=AH424,TRUE,FALSE))</f>
        <v>1</v>
      </c>
      <c r="AJ424" s="159"/>
      <c r="AK424" s="159"/>
      <c r="AL424" s="159"/>
      <c r="AM424" s="158" t="b">
        <f>IF(AJ424="",TRUE,IF(IF(AK424="",VLOOKUP(AJ424,Calculs!$A$19:$S$425,19,FALSE),VLOOKUP(AK424,Calculs!$A$19:$S$425,19,FALSE))&gt;=AL424,TRUE,FALSE))</f>
        <v>1</v>
      </c>
      <c r="AN424" s="159"/>
      <c r="AO424" s="159"/>
      <c r="AP424" s="159"/>
      <c r="AQ424" s="158" t="b">
        <f>IF(AN424="",TRUE,IF(IF(AO424="",VLOOKUP(AN424,Calculs!$A$19:$S$425,19,FALSE),VLOOKUP(AO424,Calculs!$A$19:$S$425,19,FALSE))&gt;=AP424,TRUE,FALSE))</f>
        <v>1</v>
      </c>
      <c r="AR424" s="158"/>
      <c r="AS424" s="158" t="b">
        <f>IF(AR424="",TRUE,IF(VLOOKUP(AR424,Calculs!$A$427:$G$738,7,FALSE)&gt;0,TRUE,FALSE))</f>
        <v>1</v>
      </c>
      <c r="AT424" s="158"/>
      <c r="AU424" s="158" t="b">
        <f>IF(AT424="",TRUE,IF(VLOOKUP(AT424,Calculs!$A$740:$G$912,7,FALSE)&gt;0,TRUE,FALSE))</f>
        <v>1</v>
      </c>
      <c r="AV424" s="158" t="b">
        <f t="shared" si="45"/>
        <v>1</v>
      </c>
      <c r="AW424" s="158" t="s">
        <v>2078</v>
      </c>
      <c r="AX424" s="162" t="s">
        <v>6816</v>
      </c>
      <c r="AY424" s="15">
        <v>51</v>
      </c>
      <c r="AZ424" s="555" t="s">
        <v>8308</v>
      </c>
      <c r="BA424" s="559">
        <f>IF(Verso!$B$10=Voies!$B424,1,0)</f>
        <v>0</v>
      </c>
      <c r="BB424" s="12">
        <f>IF(Verso!$B$11=Voies!$B424,1,0)</f>
        <v>0</v>
      </c>
      <c r="BC424" s="12">
        <f>IF(Verso!$B$12=Voies!$B424,1,0)</f>
        <v>0</v>
      </c>
      <c r="BD424" s="12">
        <f>IF(Verso!$B$13=Voies!$B424,1,0)</f>
        <v>0</v>
      </c>
      <c r="BE424" s="12">
        <f>IF(Verso!$B$14=Voies!$B424,1,0)</f>
        <v>0</v>
      </c>
      <c r="BF424" s="12">
        <f>IF(Verso!$B$15=Voies!$B424,1,0)</f>
        <v>0</v>
      </c>
      <c r="BG424" s="12">
        <f>IF(Verso!$B$16=Voies!$B424,1,0)</f>
        <v>0</v>
      </c>
      <c r="BH424" s="12">
        <f>IF(Verso!$B$17=Voies!$B424,1,0)</f>
        <v>0</v>
      </c>
      <c r="BI424" s="557">
        <f t="shared" si="46"/>
        <v>0</v>
      </c>
      <c r="BJ424" s="196" t="str">
        <f t="shared" si="47"/>
        <v/>
      </c>
      <c r="BK424" s="196" t="str">
        <f t="shared" si="48"/>
        <v/>
      </c>
      <c r="BL424" s="295" t="str">
        <f t="shared" si="49"/>
        <v/>
      </c>
      <c r="BM424" s="91"/>
    </row>
    <row r="425" spans="1:65" s="196" customFormat="1" ht="47.25" customHeight="1" x14ac:dyDescent="0.25">
      <c r="A425" s="162" t="str">
        <f>IF(AND(Réputation&gt;Voies!E425-1,OR(C425=TRUE,Calculs!$I$8&gt;0),Air&gt;Voies!J425-1,Eau&gt;Voies!K425-1,Feu&gt;Voies!L425-1,Terre&gt;Voies!M425-1,Vide&gt;Voies!N425-1,Constitution&gt;Voies!O425-1,Volonté&gt;Voies!P425-1,Force&gt;Voies!Q425-1,Perception&gt;Voies!R425-1,Reflexes&gt;Voies!S425-1,Agilité&gt;Voies!T425-1,Intuition&gt;Voies!U425-1,Intelligence&gt;Voies!V425-1,Souillure&gt;Voies!W425-1,Honneur&gt;X425-1,Statut&gt;Y425-1,Gloire&gt;Z425-1,AV425=TRUE),Voies!B425,"")</f>
        <v/>
      </c>
      <c r="B425" s="162" t="s">
        <v>8304</v>
      </c>
      <c r="C425" s="162" t="b">
        <f>IF(Clan=Voies!D425,TRUE,FALSE)</f>
        <v>0</v>
      </c>
      <c r="D425" s="387" t="s">
        <v>8259</v>
      </c>
      <c r="E425" s="199">
        <v>2</v>
      </c>
      <c r="F425" s="199">
        <v>2</v>
      </c>
      <c r="G425" s="199" t="s">
        <v>2049</v>
      </c>
      <c r="H425" s="219" t="s">
        <v>8299</v>
      </c>
      <c r="I425" s="129" t="s">
        <v>3370</v>
      </c>
      <c r="J425" s="146">
        <v>0</v>
      </c>
      <c r="K425" s="147">
        <v>0</v>
      </c>
      <c r="L425" s="148">
        <v>0</v>
      </c>
      <c r="M425" s="149">
        <v>0</v>
      </c>
      <c r="N425" s="150">
        <v>0</v>
      </c>
      <c r="O425" s="130">
        <v>0</v>
      </c>
      <c r="P425" s="130">
        <v>0</v>
      </c>
      <c r="Q425" s="130">
        <v>0</v>
      </c>
      <c r="R425" s="130">
        <v>0</v>
      </c>
      <c r="S425" s="130">
        <v>0</v>
      </c>
      <c r="T425" s="130">
        <v>0</v>
      </c>
      <c r="U425" s="130">
        <v>0</v>
      </c>
      <c r="V425" s="524">
        <v>0</v>
      </c>
      <c r="W425" s="130">
        <v>0</v>
      </c>
      <c r="X425" s="130">
        <v>0</v>
      </c>
      <c r="Y425" s="130">
        <v>0</v>
      </c>
      <c r="Z425" s="130">
        <v>0</v>
      </c>
      <c r="AA425" s="158" t="s">
        <v>2078</v>
      </c>
      <c r="AB425" s="159"/>
      <c r="AC425" s="159"/>
      <c r="AD425" s="159"/>
      <c r="AE425" s="158" t="b">
        <f>IF(AB425="",TRUE,IF(IF(AC425="",VLOOKUP(AB425,Calculs!$A$19:$S$425,19,FALSE),VLOOKUP(AC425,Calculs!$A$19:$S$425,19,FALSE))&gt;=AD425,TRUE,FALSE))</f>
        <v>1</v>
      </c>
      <c r="AF425" s="159"/>
      <c r="AG425" s="159"/>
      <c r="AH425" s="159"/>
      <c r="AI425" s="158" t="b">
        <f>IF(AF425="",TRUE,IF(IF(AG425="",VLOOKUP(AF425,Calculs!$A$19:$S$425,19,FALSE),VLOOKUP(AG425,Calculs!$A$19:$S$425,19,FALSE))&gt;=AH425,TRUE,FALSE))</f>
        <v>1</v>
      </c>
      <c r="AJ425" s="159"/>
      <c r="AK425" s="159"/>
      <c r="AL425" s="159"/>
      <c r="AM425" s="158" t="b">
        <f>IF(AJ425="",TRUE,IF(IF(AK425="",VLOOKUP(AJ425,Calculs!$A$19:$S$425,19,FALSE),VLOOKUP(AK425,Calculs!$A$19:$S$425,19,FALSE))&gt;=AL425,TRUE,FALSE))</f>
        <v>1</v>
      </c>
      <c r="AN425" s="159"/>
      <c r="AO425" s="159"/>
      <c r="AP425" s="159"/>
      <c r="AQ425" s="158" t="b">
        <f>IF(AN425="",TRUE,IF(IF(AO425="",VLOOKUP(AN425,Calculs!$A$19:$S$425,19,FALSE),VLOOKUP(AO425,Calculs!$A$19:$S$425,19,FALSE))&gt;=AP425,TRUE,FALSE))</f>
        <v>1</v>
      </c>
      <c r="AR425" s="158"/>
      <c r="AS425" s="158" t="b">
        <f>IF(AR425="",TRUE,IF(VLOOKUP(AR425,Calculs!$A$427:$G$738,7,FALSE)&gt;0,TRUE,FALSE))</f>
        <v>1</v>
      </c>
      <c r="AT425" s="158"/>
      <c r="AU425" s="158" t="b">
        <f>IF(AT425="",TRUE,IF(VLOOKUP(AT425,Calculs!$A$740:$G$912,7,FALSE)&gt;0,TRUE,FALSE))</f>
        <v>1</v>
      </c>
      <c r="AV425" s="158" t="b">
        <f t="shared" si="45"/>
        <v>1</v>
      </c>
      <c r="AW425" s="158" t="s">
        <v>2078</v>
      </c>
      <c r="AX425" s="162" t="s">
        <v>6816</v>
      </c>
      <c r="AY425" s="15">
        <v>51</v>
      </c>
      <c r="AZ425" s="555" t="s">
        <v>8309</v>
      </c>
      <c r="BA425" s="559">
        <f>IF(Verso!$B$10=Voies!$B425,1,0)</f>
        <v>0</v>
      </c>
      <c r="BB425" s="12">
        <f>IF(Verso!$B$11=Voies!$B425,1,0)</f>
        <v>0</v>
      </c>
      <c r="BC425" s="12">
        <f>IF(Verso!$B$12=Voies!$B425,1,0)</f>
        <v>0</v>
      </c>
      <c r="BD425" s="12">
        <f>IF(Verso!$B$13=Voies!$B425,1,0)</f>
        <v>0</v>
      </c>
      <c r="BE425" s="12">
        <f>IF(Verso!$B$14=Voies!$B425,1,0)</f>
        <v>0</v>
      </c>
      <c r="BF425" s="12">
        <f>IF(Verso!$B$15=Voies!$B425,1,0)</f>
        <v>0</v>
      </c>
      <c r="BG425" s="12">
        <f>IF(Verso!$B$16=Voies!$B425,1,0)</f>
        <v>0</v>
      </c>
      <c r="BH425" s="12">
        <f>IF(Verso!$B$17=Voies!$B425,1,0)</f>
        <v>0</v>
      </c>
      <c r="BI425" s="557">
        <f t="shared" si="46"/>
        <v>0</v>
      </c>
      <c r="BJ425" s="196" t="str">
        <f t="shared" si="47"/>
        <v/>
      </c>
      <c r="BK425" s="196" t="str">
        <f t="shared" si="48"/>
        <v/>
      </c>
      <c r="BL425" s="295" t="str">
        <f t="shared" si="49"/>
        <v/>
      </c>
      <c r="BM425" s="91"/>
    </row>
    <row r="426" spans="1:65" s="196" customFormat="1" ht="47.25" customHeight="1" x14ac:dyDescent="0.25">
      <c r="A426" s="162" t="str">
        <f>IF(AND(Réputation&gt;Voies!E426-1,OR(C426=TRUE,Calculs!$I$8&gt;0),Air&gt;Voies!J426-1,Eau&gt;Voies!K426-1,Feu&gt;Voies!L426-1,Terre&gt;Voies!M426-1,Vide&gt;Voies!N426-1,Constitution&gt;Voies!O426-1,Volonté&gt;Voies!P426-1,Force&gt;Voies!Q426-1,Perception&gt;Voies!R426-1,Reflexes&gt;Voies!S426-1,Agilité&gt;Voies!T426-1,Intuition&gt;Voies!U426-1,Intelligence&gt;Voies!V426-1,Souillure&gt;Voies!W426-1,Honneur&gt;X426-1,Statut&gt;Y426-1,Gloire&gt;Z426-1,AV426=TRUE),Voies!B426,"")</f>
        <v/>
      </c>
      <c r="B426" s="162" t="s">
        <v>1486</v>
      </c>
      <c r="C426" s="162" t="b">
        <f>IF(Clan=Voies!D426,TRUE,FALSE)</f>
        <v>0</v>
      </c>
      <c r="D426" s="387" t="s">
        <v>8259</v>
      </c>
      <c r="E426" s="199">
        <v>2</v>
      </c>
      <c r="F426" s="199">
        <v>2</v>
      </c>
      <c r="G426" s="199" t="s">
        <v>2049</v>
      </c>
      <c r="H426" s="219" t="s">
        <v>8313</v>
      </c>
      <c r="I426" s="129" t="s">
        <v>8312</v>
      </c>
      <c r="J426" s="146">
        <v>0</v>
      </c>
      <c r="K426" s="147">
        <v>0</v>
      </c>
      <c r="L426" s="148">
        <v>0</v>
      </c>
      <c r="M426" s="149">
        <v>0</v>
      </c>
      <c r="N426" s="150">
        <v>0</v>
      </c>
      <c r="O426" s="130">
        <v>0</v>
      </c>
      <c r="P426" s="130">
        <v>0</v>
      </c>
      <c r="Q426" s="130">
        <v>0</v>
      </c>
      <c r="R426" s="130">
        <v>0</v>
      </c>
      <c r="S426" s="130">
        <v>0</v>
      </c>
      <c r="T426" s="130">
        <v>0</v>
      </c>
      <c r="U426" s="130">
        <v>0</v>
      </c>
      <c r="V426" s="524">
        <v>0</v>
      </c>
      <c r="W426" s="130">
        <v>0</v>
      </c>
      <c r="X426" s="130">
        <v>0</v>
      </c>
      <c r="Y426" s="130">
        <v>0</v>
      </c>
      <c r="Z426" s="130">
        <v>0</v>
      </c>
      <c r="AA426" s="158" t="s">
        <v>3452</v>
      </c>
      <c r="AB426" s="159" t="s">
        <v>1268</v>
      </c>
      <c r="AC426" s="159"/>
      <c r="AD426" s="159">
        <v>3</v>
      </c>
      <c r="AE426" s="158" t="b">
        <f>IF(AB426="",TRUE,IF(IF(AC426="",VLOOKUP(AB426,Calculs!$A$19:$S$425,19,FALSE),VLOOKUP(AC426,Calculs!$A$19:$S$425,19,FALSE))&gt;=AD426,TRUE,FALSE))</f>
        <v>0</v>
      </c>
      <c r="AF426" s="159"/>
      <c r="AG426" s="159"/>
      <c r="AH426" s="159"/>
      <c r="AI426" s="158" t="b">
        <f>IF(AF426="",TRUE,IF(IF(AG426="",VLOOKUP(AF426,Calculs!$A$19:$S$425,19,FALSE),VLOOKUP(AG426,Calculs!$A$19:$S$425,19,FALSE))&gt;=AH426,TRUE,FALSE))</f>
        <v>1</v>
      </c>
      <c r="AJ426" s="159"/>
      <c r="AK426" s="159"/>
      <c r="AL426" s="159"/>
      <c r="AM426" s="158" t="b">
        <f>IF(AJ426="",TRUE,IF(IF(AK426="",VLOOKUP(AJ426,Calculs!$A$19:$S$425,19,FALSE),VLOOKUP(AK426,Calculs!$A$19:$S$425,19,FALSE))&gt;=AL426,TRUE,FALSE))</f>
        <v>1</v>
      </c>
      <c r="AN426" s="159"/>
      <c r="AO426" s="159"/>
      <c r="AP426" s="159"/>
      <c r="AQ426" s="158" t="b">
        <f>IF(AN426="",TRUE,IF(IF(AO426="",VLOOKUP(AN426,Calculs!$A$19:$S$425,19,FALSE),VLOOKUP(AO426,Calculs!$A$19:$S$425,19,FALSE))&gt;=AP426,TRUE,FALSE))</f>
        <v>1</v>
      </c>
      <c r="AR426" s="158"/>
      <c r="AS426" s="158" t="b">
        <f>IF(AR426="",TRUE,IF(VLOOKUP(AR426,Calculs!$A$427:$G$738,7,FALSE)&gt;0,TRUE,FALSE))</f>
        <v>1</v>
      </c>
      <c r="AT426" s="158"/>
      <c r="AU426" s="158" t="b">
        <f>IF(AT426="",TRUE,IF(VLOOKUP(AT426,Calculs!$A$740:$G$912,7,FALSE)&gt;0,TRUE,FALSE))</f>
        <v>1</v>
      </c>
      <c r="AV426" s="158" t="b">
        <f t="shared" si="45"/>
        <v>0</v>
      </c>
      <c r="AW426" s="158" t="s">
        <v>2078</v>
      </c>
      <c r="AX426" s="162" t="s">
        <v>6816</v>
      </c>
      <c r="AY426" s="15">
        <v>51</v>
      </c>
      <c r="AZ426" s="566" t="s">
        <v>8316</v>
      </c>
      <c r="BA426" s="559">
        <f>IF(Verso!$B$10=Voies!$B426,1,0)</f>
        <v>0</v>
      </c>
      <c r="BB426" s="12">
        <f>IF(Verso!$B$11=Voies!$B426,1,0)</f>
        <v>0</v>
      </c>
      <c r="BC426" s="12">
        <f>IF(Verso!$B$12=Voies!$B426,1,0)</f>
        <v>0</v>
      </c>
      <c r="BD426" s="12">
        <f>IF(Verso!$B$13=Voies!$B426,1,0)</f>
        <v>0</v>
      </c>
      <c r="BE426" s="12">
        <f>IF(Verso!$B$14=Voies!$B426,1,0)</f>
        <v>0</v>
      </c>
      <c r="BF426" s="12">
        <f>IF(Verso!$B$15=Voies!$B426,1,0)</f>
        <v>0</v>
      </c>
      <c r="BG426" s="12">
        <f>IF(Verso!$B$16=Voies!$B426,1,0)</f>
        <v>0</v>
      </c>
      <c r="BH426" s="12">
        <f>IF(Verso!$B$17=Voies!$B426,1,0)</f>
        <v>0</v>
      </c>
      <c r="BI426" s="557">
        <f t="shared" si="46"/>
        <v>0</v>
      </c>
      <c r="BJ426" s="196" t="str">
        <f t="shared" si="47"/>
        <v/>
      </c>
      <c r="BK426" s="196" t="str">
        <f t="shared" si="48"/>
        <v/>
      </c>
      <c r="BL426" s="295" t="str">
        <f t="shared" si="49"/>
        <v/>
      </c>
      <c r="BM426" s="91"/>
    </row>
    <row r="427" spans="1:65" s="196" customFormat="1" ht="47.25" customHeight="1" x14ac:dyDescent="0.25">
      <c r="A427" s="162" t="str">
        <f>IF(AND(Réputation&gt;Voies!E427-1,OR(C427=TRUE,Calculs!$I$8&gt;0),Air&gt;Voies!J427-1,Eau&gt;Voies!K427-1,Feu&gt;Voies!L427-1,Terre&gt;Voies!M427-1,Vide&gt;Voies!N427-1,Constitution&gt;Voies!O427-1,Volonté&gt;Voies!P427-1,Force&gt;Voies!Q427-1,Perception&gt;Voies!R427-1,Reflexes&gt;Voies!S427-1,Agilité&gt;Voies!T427-1,Intuition&gt;Voies!U427-1,Intelligence&gt;Voies!V427-1,Souillure&gt;Voies!W427-1,Honneur&gt;X427-1,Statut&gt;Y427-1,Gloire&gt;Z427-1,AV427=TRUE),Voies!B427,"")</f>
        <v/>
      </c>
      <c r="B427" s="162" t="s">
        <v>8314</v>
      </c>
      <c r="C427" s="162" t="b">
        <f>IF(Clan=Voies!D427,TRUE,FALSE)</f>
        <v>0</v>
      </c>
      <c r="D427" s="387" t="s">
        <v>8259</v>
      </c>
      <c r="E427" s="199">
        <v>2</v>
      </c>
      <c r="F427" s="199">
        <v>2</v>
      </c>
      <c r="G427" s="199" t="s">
        <v>2049</v>
      </c>
      <c r="H427" s="219" t="s">
        <v>8299</v>
      </c>
      <c r="I427" s="129" t="s">
        <v>8315</v>
      </c>
      <c r="J427" s="146">
        <v>0</v>
      </c>
      <c r="K427" s="147">
        <v>0</v>
      </c>
      <c r="L427" s="148">
        <v>0</v>
      </c>
      <c r="M427" s="149">
        <v>0</v>
      </c>
      <c r="N427" s="150">
        <v>0</v>
      </c>
      <c r="O427" s="130">
        <v>0</v>
      </c>
      <c r="P427" s="130">
        <v>0</v>
      </c>
      <c r="Q427" s="130">
        <v>0</v>
      </c>
      <c r="R427" s="130">
        <v>0</v>
      </c>
      <c r="S427" s="130">
        <v>0</v>
      </c>
      <c r="T427" s="130">
        <v>0</v>
      </c>
      <c r="U427" s="130">
        <v>0</v>
      </c>
      <c r="V427" s="524">
        <v>0</v>
      </c>
      <c r="W427" s="130">
        <v>0</v>
      </c>
      <c r="X427" s="130">
        <v>0</v>
      </c>
      <c r="Y427" s="130">
        <v>0</v>
      </c>
      <c r="Z427" s="130">
        <v>0</v>
      </c>
      <c r="AA427" s="158" t="s">
        <v>2078</v>
      </c>
      <c r="AB427" s="159"/>
      <c r="AC427" s="159"/>
      <c r="AD427" s="159"/>
      <c r="AE427" s="158" t="b">
        <f>IF(AB427="",TRUE,IF(IF(AC427="",VLOOKUP(AB427,Calculs!$A$19:$S$425,19,FALSE),VLOOKUP(AC427,Calculs!$A$19:$S$425,19,FALSE))&gt;=AD427,TRUE,FALSE))</f>
        <v>1</v>
      </c>
      <c r="AF427" s="159"/>
      <c r="AG427" s="159"/>
      <c r="AH427" s="159"/>
      <c r="AI427" s="158" t="b">
        <f>IF(AF427="",TRUE,IF(IF(AG427="",VLOOKUP(AF427,Calculs!$A$19:$S$425,19,FALSE),VLOOKUP(AG427,Calculs!$A$19:$S$425,19,FALSE))&gt;=AH427,TRUE,FALSE))</f>
        <v>1</v>
      </c>
      <c r="AJ427" s="159"/>
      <c r="AK427" s="159"/>
      <c r="AL427" s="159"/>
      <c r="AM427" s="158" t="b">
        <f>IF(AJ427="",TRUE,IF(IF(AK427="",VLOOKUP(AJ427,Calculs!$A$19:$S$425,19,FALSE),VLOOKUP(AK427,Calculs!$A$19:$S$425,19,FALSE))&gt;=AL427,TRUE,FALSE))</f>
        <v>1</v>
      </c>
      <c r="AN427" s="159"/>
      <c r="AO427" s="159"/>
      <c r="AP427" s="159"/>
      <c r="AQ427" s="158" t="b">
        <f>IF(AN427="",TRUE,IF(IF(AO427="",VLOOKUP(AN427,Calculs!$A$19:$S$425,19,FALSE),VLOOKUP(AO427,Calculs!$A$19:$S$425,19,FALSE))&gt;=AP427,TRUE,FALSE))</f>
        <v>1</v>
      </c>
      <c r="AR427" s="158"/>
      <c r="AS427" s="158" t="b">
        <f>IF(AR427="",TRUE,IF(VLOOKUP(AR427,Calculs!$A$427:$G$738,7,FALSE)&gt;0,TRUE,FALSE))</f>
        <v>1</v>
      </c>
      <c r="AT427" s="158"/>
      <c r="AU427" s="158" t="b">
        <f>IF(AT427="",TRUE,IF(VLOOKUP(AT427,Calculs!$A$740:$G$912,7,FALSE)&gt;0,TRUE,FALSE))</f>
        <v>1</v>
      </c>
      <c r="AV427" s="158" t="b">
        <f t="shared" si="45"/>
        <v>1</v>
      </c>
      <c r="AW427" s="158" t="s">
        <v>2078</v>
      </c>
      <c r="AX427" s="162" t="s">
        <v>6816</v>
      </c>
      <c r="AY427" s="15">
        <v>52</v>
      </c>
      <c r="AZ427" s="555" t="s">
        <v>8570</v>
      </c>
      <c r="BA427" s="559">
        <f>IF(Verso!$B$10=Voies!$B427,1,0)</f>
        <v>0</v>
      </c>
      <c r="BB427" s="12">
        <f>IF(Verso!$B$11=Voies!$B427,1,0)</f>
        <v>0</v>
      </c>
      <c r="BC427" s="12">
        <f>IF(Verso!$B$12=Voies!$B427,1,0)</f>
        <v>0</v>
      </c>
      <c r="BD427" s="12">
        <f>IF(Verso!$B$13=Voies!$B427,1,0)</f>
        <v>0</v>
      </c>
      <c r="BE427" s="12">
        <f>IF(Verso!$B$14=Voies!$B427,1,0)</f>
        <v>0</v>
      </c>
      <c r="BF427" s="12">
        <f>IF(Verso!$B$15=Voies!$B427,1,0)</f>
        <v>0</v>
      </c>
      <c r="BG427" s="12">
        <f>IF(Verso!$B$16=Voies!$B427,1,0)</f>
        <v>0</v>
      </c>
      <c r="BH427" s="12">
        <f>IF(Verso!$B$17=Voies!$B427,1,0)</f>
        <v>0</v>
      </c>
      <c r="BI427" s="557">
        <f t="shared" si="46"/>
        <v>0</v>
      </c>
      <c r="BJ427" s="196" t="str">
        <f t="shared" si="47"/>
        <v/>
      </c>
      <c r="BK427" s="196" t="str">
        <f t="shared" si="48"/>
        <v/>
      </c>
      <c r="BL427" s="295" t="str">
        <f t="shared" si="49"/>
        <v/>
      </c>
      <c r="BM427" s="91"/>
    </row>
    <row r="428" spans="1:65" s="196" customFormat="1" ht="47.25" customHeight="1" x14ac:dyDescent="0.25">
      <c r="A428" s="162" t="str">
        <f>IF(AND(Réputation&gt;Voies!E428-1,OR(C428=TRUE,Calculs!$I$8&gt;0),Air&gt;Voies!J428-1,Eau&gt;Voies!K428-1,Feu&gt;Voies!L428-1,Terre&gt;Voies!M428-1,Vide&gt;Voies!N428-1,Constitution&gt;Voies!O428-1,Volonté&gt;Voies!P428-1,Force&gt;Voies!Q428-1,Perception&gt;Voies!R428-1,Reflexes&gt;Voies!S428-1,Agilité&gt;Voies!T428-1,Intuition&gt;Voies!U428-1,Intelligence&gt;Voies!V428-1,Souillure&gt;Voies!W428-1,Honneur&gt;X428-1,Statut&gt;Y428-1,Gloire&gt;Z428-1,AV428=TRUE),Voies!B428,"")</f>
        <v/>
      </c>
      <c r="B428" s="162" t="s">
        <v>8305</v>
      </c>
      <c r="C428" s="162" t="b">
        <f>IF(Clan=Voies!D428,TRUE,FALSE)</f>
        <v>0</v>
      </c>
      <c r="D428" s="387" t="s">
        <v>8259</v>
      </c>
      <c r="E428" s="199">
        <v>3</v>
      </c>
      <c r="F428" s="199">
        <v>3</v>
      </c>
      <c r="G428" s="199" t="s">
        <v>2049</v>
      </c>
      <c r="H428" s="219" t="s">
        <v>8299</v>
      </c>
      <c r="I428" s="129" t="s">
        <v>3370</v>
      </c>
      <c r="J428" s="146">
        <v>0</v>
      </c>
      <c r="K428" s="147">
        <v>0</v>
      </c>
      <c r="L428" s="148">
        <v>0</v>
      </c>
      <c r="M428" s="149">
        <v>0</v>
      </c>
      <c r="N428" s="150">
        <v>0</v>
      </c>
      <c r="O428" s="130">
        <v>0</v>
      </c>
      <c r="P428" s="130">
        <v>0</v>
      </c>
      <c r="Q428" s="130">
        <v>0</v>
      </c>
      <c r="R428" s="130">
        <v>0</v>
      </c>
      <c r="S428" s="130">
        <v>0</v>
      </c>
      <c r="T428" s="130">
        <v>0</v>
      </c>
      <c r="U428" s="130">
        <v>0</v>
      </c>
      <c r="V428" s="524">
        <v>0</v>
      </c>
      <c r="W428" s="130">
        <v>0</v>
      </c>
      <c r="X428" s="130">
        <v>0</v>
      </c>
      <c r="Y428" s="130">
        <v>0</v>
      </c>
      <c r="Z428" s="130">
        <v>0</v>
      </c>
      <c r="AA428" s="158" t="s">
        <v>2078</v>
      </c>
      <c r="AB428" s="159"/>
      <c r="AC428" s="159"/>
      <c r="AD428" s="159"/>
      <c r="AE428" s="158" t="b">
        <f>IF(AB428="",TRUE,IF(IF(AC428="",VLOOKUP(AB428,Calculs!$A$19:$S$425,19,FALSE),VLOOKUP(AC428,Calculs!$A$19:$S$425,19,FALSE))&gt;=AD428,TRUE,FALSE))</f>
        <v>1</v>
      </c>
      <c r="AF428" s="159"/>
      <c r="AG428" s="159"/>
      <c r="AH428" s="159"/>
      <c r="AI428" s="158" t="b">
        <f>IF(AF428="",TRUE,IF(IF(AG428="",VLOOKUP(AF428,Calculs!$A$19:$S$425,19,FALSE),VLOOKUP(AG428,Calculs!$A$19:$S$425,19,FALSE))&gt;=AH428,TRUE,FALSE))</f>
        <v>1</v>
      </c>
      <c r="AJ428" s="159"/>
      <c r="AK428" s="159"/>
      <c r="AL428" s="159"/>
      <c r="AM428" s="158" t="b">
        <f>IF(AJ428="",TRUE,IF(IF(AK428="",VLOOKUP(AJ428,Calculs!$A$19:$S$425,19,FALSE),VLOOKUP(AK428,Calculs!$A$19:$S$425,19,FALSE))&gt;=AL428,TRUE,FALSE))</f>
        <v>1</v>
      </c>
      <c r="AN428" s="159"/>
      <c r="AO428" s="159"/>
      <c r="AP428" s="159"/>
      <c r="AQ428" s="158" t="b">
        <f>IF(AN428="",TRUE,IF(IF(AO428="",VLOOKUP(AN428,Calculs!$A$19:$S$425,19,FALSE),VLOOKUP(AO428,Calculs!$A$19:$S$425,19,FALSE))&gt;=AP428,TRUE,FALSE))</f>
        <v>1</v>
      </c>
      <c r="AR428" s="158"/>
      <c r="AS428" s="158" t="b">
        <f>IF(AR428="",TRUE,IF(VLOOKUP(AR428,Calculs!$A$427:$G$738,7,FALSE)&gt;0,TRUE,FALSE))</f>
        <v>1</v>
      </c>
      <c r="AT428" s="158"/>
      <c r="AU428" s="158" t="b">
        <f>IF(AT428="",TRUE,IF(VLOOKUP(AT428,Calculs!$A$740:$G$912,7,FALSE)&gt;0,TRUE,FALSE))</f>
        <v>1</v>
      </c>
      <c r="AV428" s="158" t="b">
        <f t="shared" si="45"/>
        <v>1</v>
      </c>
      <c r="AW428" s="158" t="s">
        <v>2078</v>
      </c>
      <c r="AX428" s="162" t="s">
        <v>6816</v>
      </c>
      <c r="AY428" s="15">
        <v>51</v>
      </c>
      <c r="AZ428" s="555" t="s">
        <v>8310</v>
      </c>
      <c r="BA428" s="559">
        <f>IF(Verso!$B$10=Voies!$B428,1,0)</f>
        <v>0</v>
      </c>
      <c r="BB428" s="12">
        <f>IF(Verso!$B$11=Voies!$B428,1,0)</f>
        <v>0</v>
      </c>
      <c r="BC428" s="12">
        <f>IF(Verso!$B$12=Voies!$B428,1,0)</f>
        <v>0</v>
      </c>
      <c r="BD428" s="12">
        <f>IF(Verso!$B$13=Voies!$B428,1,0)</f>
        <v>0</v>
      </c>
      <c r="BE428" s="12">
        <f>IF(Verso!$B$14=Voies!$B428,1,0)</f>
        <v>0</v>
      </c>
      <c r="BF428" s="12">
        <f>IF(Verso!$B$15=Voies!$B428,1,0)</f>
        <v>0</v>
      </c>
      <c r="BG428" s="12">
        <f>IF(Verso!$B$16=Voies!$B428,1,0)</f>
        <v>0</v>
      </c>
      <c r="BH428" s="12">
        <f>IF(Verso!$B$17=Voies!$B428,1,0)</f>
        <v>0</v>
      </c>
      <c r="BI428" s="557">
        <f t="shared" si="46"/>
        <v>0</v>
      </c>
      <c r="BJ428" s="196" t="str">
        <f t="shared" si="47"/>
        <v/>
      </c>
      <c r="BK428" s="196" t="str">
        <f t="shared" si="48"/>
        <v/>
      </c>
      <c r="BL428" s="295" t="str">
        <f t="shared" si="49"/>
        <v/>
      </c>
      <c r="BM428" s="91"/>
    </row>
    <row r="429" spans="1:65" s="196" customFormat="1" ht="47.25" customHeight="1" x14ac:dyDescent="0.25">
      <c r="A429" s="162" t="str">
        <f>IF(AND(Réputation&gt;Voies!E429-1,OR(C429=TRUE,Calculs!$I$8&gt;0),Air&gt;Voies!J429-1,Eau&gt;Voies!K429-1,Feu&gt;Voies!L429-1,Terre&gt;Voies!M429-1,Vide&gt;Voies!N429-1,Constitution&gt;Voies!O429-1,Volonté&gt;Voies!P429-1,Force&gt;Voies!Q429-1,Perception&gt;Voies!R429-1,Reflexes&gt;Voies!S429-1,Agilité&gt;Voies!T429-1,Intuition&gt;Voies!U429-1,Intelligence&gt;Voies!V429-1,Souillure&gt;Voies!W429-1,Honneur&gt;X429-1,Statut&gt;Y429-1,Gloire&gt;Z429-1,AV429=TRUE),Voies!B429,"")</f>
        <v/>
      </c>
      <c r="B429" s="162" t="s">
        <v>8306</v>
      </c>
      <c r="C429" s="162" t="b">
        <f>IF(Clan=Voies!D429,TRUE,FALSE)</f>
        <v>0</v>
      </c>
      <c r="D429" s="387" t="s">
        <v>8259</v>
      </c>
      <c r="E429" s="199">
        <v>4</v>
      </c>
      <c r="F429" s="199">
        <v>4</v>
      </c>
      <c r="G429" s="199" t="s">
        <v>2049</v>
      </c>
      <c r="H429" s="219" t="s">
        <v>8299</v>
      </c>
      <c r="I429" s="129" t="s">
        <v>3370</v>
      </c>
      <c r="J429" s="146">
        <v>0</v>
      </c>
      <c r="K429" s="147">
        <v>0</v>
      </c>
      <c r="L429" s="148">
        <v>0</v>
      </c>
      <c r="M429" s="149">
        <v>0</v>
      </c>
      <c r="N429" s="150">
        <v>0</v>
      </c>
      <c r="O429" s="130">
        <v>0</v>
      </c>
      <c r="P429" s="130">
        <v>0</v>
      </c>
      <c r="Q429" s="130">
        <v>0</v>
      </c>
      <c r="R429" s="130">
        <v>0</v>
      </c>
      <c r="S429" s="130">
        <v>0</v>
      </c>
      <c r="T429" s="130">
        <v>0</v>
      </c>
      <c r="U429" s="130">
        <v>0</v>
      </c>
      <c r="V429" s="524">
        <v>0</v>
      </c>
      <c r="W429" s="130">
        <v>0</v>
      </c>
      <c r="X429" s="130">
        <v>0</v>
      </c>
      <c r="Y429" s="130">
        <v>0</v>
      </c>
      <c r="Z429" s="130">
        <v>0</v>
      </c>
      <c r="AA429" s="158" t="s">
        <v>2078</v>
      </c>
      <c r="AB429" s="159"/>
      <c r="AC429" s="159"/>
      <c r="AD429" s="159"/>
      <c r="AE429" s="158" t="b">
        <f>IF(AB429="",TRUE,IF(IF(AC429="",VLOOKUP(AB429,Calculs!$A$19:$S$425,19,FALSE),VLOOKUP(AC429,Calculs!$A$19:$S$425,19,FALSE))&gt;=AD429,TRUE,FALSE))</f>
        <v>1</v>
      </c>
      <c r="AF429" s="159"/>
      <c r="AG429" s="159"/>
      <c r="AH429" s="159"/>
      <c r="AI429" s="158" t="b">
        <f>IF(AF429="",TRUE,IF(IF(AG429="",VLOOKUP(AF429,Calculs!$A$19:$S$425,19,FALSE),VLOOKUP(AG429,Calculs!$A$19:$S$425,19,FALSE))&gt;=AH429,TRUE,FALSE))</f>
        <v>1</v>
      </c>
      <c r="AJ429" s="159"/>
      <c r="AK429" s="159"/>
      <c r="AL429" s="159"/>
      <c r="AM429" s="158" t="b">
        <f>IF(AJ429="",TRUE,IF(IF(AK429="",VLOOKUP(AJ429,Calculs!$A$19:$S$425,19,FALSE),VLOOKUP(AK429,Calculs!$A$19:$S$425,19,FALSE))&gt;=AL429,TRUE,FALSE))</f>
        <v>1</v>
      </c>
      <c r="AN429" s="159"/>
      <c r="AO429" s="159"/>
      <c r="AP429" s="159"/>
      <c r="AQ429" s="158" t="b">
        <f>IF(AN429="",TRUE,IF(IF(AO429="",VLOOKUP(AN429,Calculs!$A$19:$S$425,19,FALSE),VLOOKUP(AO429,Calculs!$A$19:$S$425,19,FALSE))&gt;=AP429,TRUE,FALSE))</f>
        <v>1</v>
      </c>
      <c r="AR429" s="158"/>
      <c r="AS429" s="158" t="b">
        <f>IF(AR429="",TRUE,IF(VLOOKUP(AR429,Calculs!$A$427:$G$738,7,FALSE)&gt;0,TRUE,FALSE))</f>
        <v>1</v>
      </c>
      <c r="AT429" s="158"/>
      <c r="AU429" s="158" t="b">
        <f>IF(AT429="",TRUE,IF(VLOOKUP(AT429,Calculs!$A$740:$G$912,7,FALSE)&gt;0,TRUE,FALSE))</f>
        <v>1</v>
      </c>
      <c r="AV429" s="158" t="b">
        <f t="shared" si="45"/>
        <v>1</v>
      </c>
      <c r="AW429" s="158" t="s">
        <v>2078</v>
      </c>
      <c r="AX429" s="162" t="s">
        <v>6816</v>
      </c>
      <c r="AY429" s="15">
        <v>51</v>
      </c>
      <c r="AZ429" s="555" t="s">
        <v>8311</v>
      </c>
      <c r="BA429" s="559">
        <f>IF(Verso!$B$10=Voies!$B429,1,0)</f>
        <v>0</v>
      </c>
      <c r="BB429" s="12">
        <f>IF(Verso!$B$11=Voies!$B429,1,0)</f>
        <v>0</v>
      </c>
      <c r="BC429" s="12">
        <f>IF(Verso!$B$12=Voies!$B429,1,0)</f>
        <v>0</v>
      </c>
      <c r="BD429" s="12">
        <f>IF(Verso!$B$13=Voies!$B429,1,0)</f>
        <v>0</v>
      </c>
      <c r="BE429" s="12">
        <f>IF(Verso!$B$14=Voies!$B429,1,0)</f>
        <v>0</v>
      </c>
      <c r="BF429" s="12">
        <f>IF(Verso!$B$15=Voies!$B429,1,0)</f>
        <v>0</v>
      </c>
      <c r="BG429" s="12">
        <f>IF(Verso!$B$16=Voies!$B429,1,0)</f>
        <v>0</v>
      </c>
      <c r="BH429" s="12">
        <f>IF(Verso!$B$17=Voies!$B429,1,0)</f>
        <v>0</v>
      </c>
      <c r="BI429" s="557">
        <f t="shared" si="46"/>
        <v>0</v>
      </c>
      <c r="BJ429" s="196" t="str">
        <f t="shared" si="47"/>
        <v/>
      </c>
      <c r="BK429" s="196" t="str">
        <f t="shared" si="48"/>
        <v/>
      </c>
      <c r="BL429" s="295" t="str">
        <f t="shared" si="49"/>
        <v/>
      </c>
      <c r="BM429" s="91"/>
    </row>
    <row r="430" spans="1:65" s="196" customFormat="1" ht="47.25" customHeight="1" x14ac:dyDescent="0.25">
      <c r="A430" s="162" t="str">
        <f>IF(AND(Réputation&gt;Voies!E430-1,OR(C430=TRUE,Calculs!$I$8&gt;0),Air&gt;Voies!J430-1,Eau&gt;Voies!K430-1,Feu&gt;Voies!L430-1,Terre&gt;Voies!M430-1,Vide&gt;Voies!N430-1,Constitution&gt;Voies!O430-1,Volonté&gt;Voies!P430-1,Force&gt;Voies!Q430-1,Perception&gt;Voies!R430-1,Reflexes&gt;Voies!S430-1,Agilité&gt;Voies!T430-1,Intuition&gt;Voies!U430-1,Intelligence&gt;Voies!V430-1,Souillure&gt;Voies!W430-1,Honneur&gt;X430-1,Statut&gt;Y430-1,Gloire&gt;Z430-1,AV430=TRUE),Voies!B430,"")</f>
        <v/>
      </c>
      <c r="B430" s="162" t="s">
        <v>8318</v>
      </c>
      <c r="C430" s="162" t="b">
        <f>IF(Clan=Voies!D430,TRUE,FALSE)</f>
        <v>0</v>
      </c>
      <c r="D430" s="387" t="s">
        <v>8259</v>
      </c>
      <c r="E430" s="199">
        <v>5</v>
      </c>
      <c r="F430" s="199">
        <v>5</v>
      </c>
      <c r="G430" s="199" t="s">
        <v>2049</v>
      </c>
      <c r="H430" s="219" t="s">
        <v>8299</v>
      </c>
      <c r="I430" s="129" t="s">
        <v>8317</v>
      </c>
      <c r="J430" s="146">
        <v>0</v>
      </c>
      <c r="K430" s="147">
        <v>0</v>
      </c>
      <c r="L430" s="148">
        <v>0</v>
      </c>
      <c r="M430" s="149">
        <v>0</v>
      </c>
      <c r="N430" s="150">
        <v>0</v>
      </c>
      <c r="O430" s="130">
        <v>0</v>
      </c>
      <c r="P430" s="130">
        <v>0</v>
      </c>
      <c r="Q430" s="130">
        <v>0</v>
      </c>
      <c r="R430" s="130">
        <v>0</v>
      </c>
      <c r="S430" s="130">
        <v>0</v>
      </c>
      <c r="T430" s="130">
        <v>0</v>
      </c>
      <c r="U430" s="130">
        <v>0</v>
      </c>
      <c r="V430" s="524">
        <v>0</v>
      </c>
      <c r="W430" s="130">
        <v>0</v>
      </c>
      <c r="X430" s="130">
        <v>0</v>
      </c>
      <c r="Y430" s="130">
        <v>0</v>
      </c>
      <c r="Z430" s="130">
        <v>0</v>
      </c>
      <c r="AA430" s="158" t="s">
        <v>2078</v>
      </c>
      <c r="AB430" s="159"/>
      <c r="AC430" s="159"/>
      <c r="AD430" s="159"/>
      <c r="AE430" s="158" t="b">
        <f>IF(AB430="",TRUE,IF(IF(AC430="",VLOOKUP(AB430,Calculs!$A$19:$S$425,19,FALSE),VLOOKUP(AC430,Calculs!$A$19:$S$425,19,FALSE))&gt;=AD430,TRUE,FALSE))</f>
        <v>1</v>
      </c>
      <c r="AF430" s="159"/>
      <c r="AG430" s="159"/>
      <c r="AH430" s="159"/>
      <c r="AI430" s="158" t="b">
        <f>IF(AF430="",TRUE,IF(IF(AG430="",VLOOKUP(AF430,Calculs!$A$19:$S$425,19,FALSE),VLOOKUP(AG430,Calculs!$A$19:$S$425,19,FALSE))&gt;=AH430,TRUE,FALSE))</f>
        <v>1</v>
      </c>
      <c r="AJ430" s="159"/>
      <c r="AK430" s="159"/>
      <c r="AL430" s="159"/>
      <c r="AM430" s="158" t="b">
        <f>IF(AJ430="",TRUE,IF(IF(AK430="",VLOOKUP(AJ430,Calculs!$A$19:$S$425,19,FALSE),VLOOKUP(AK430,Calculs!$A$19:$S$425,19,FALSE))&gt;=AL430,TRUE,FALSE))</f>
        <v>1</v>
      </c>
      <c r="AN430" s="159"/>
      <c r="AO430" s="159"/>
      <c r="AP430" s="159"/>
      <c r="AQ430" s="158" t="b">
        <f>IF(AN430="",TRUE,IF(IF(AO430="",VLOOKUP(AN430,Calculs!$A$19:$S$425,19,FALSE),VLOOKUP(AO430,Calculs!$A$19:$S$425,19,FALSE))&gt;=AP430,TRUE,FALSE))</f>
        <v>1</v>
      </c>
      <c r="AR430" s="158"/>
      <c r="AS430" s="158" t="b">
        <f>IF(AR430="",TRUE,IF(VLOOKUP(AR430,Calculs!$A$427:$G$738,7,FALSE)&gt;0,TRUE,FALSE))</f>
        <v>1</v>
      </c>
      <c r="AT430" s="158"/>
      <c r="AU430" s="158" t="b">
        <f>IF(AT430="",TRUE,IF(VLOOKUP(AT430,Calculs!$A$740:$G$912,7,FALSE)&gt;0,TRUE,FALSE))</f>
        <v>1</v>
      </c>
      <c r="AV430" s="158" t="b">
        <f t="shared" si="45"/>
        <v>1</v>
      </c>
      <c r="AW430" s="158" t="s">
        <v>2078</v>
      </c>
      <c r="AX430" s="162" t="s">
        <v>6816</v>
      </c>
      <c r="AY430" s="15">
        <v>52</v>
      </c>
      <c r="AZ430" s="555" t="s">
        <v>8319</v>
      </c>
      <c r="BA430" s="559">
        <f>IF(Verso!$B$10=Voies!$B430,1,0)</f>
        <v>0</v>
      </c>
      <c r="BB430" s="12">
        <f>IF(Verso!$B$11=Voies!$B430,1,0)</f>
        <v>0</v>
      </c>
      <c r="BC430" s="12">
        <f>IF(Verso!$B$12=Voies!$B430,1,0)</f>
        <v>0</v>
      </c>
      <c r="BD430" s="12">
        <f>IF(Verso!$B$13=Voies!$B430,1,0)</f>
        <v>0</v>
      </c>
      <c r="BE430" s="12">
        <f>IF(Verso!$B$14=Voies!$B430,1,0)</f>
        <v>0</v>
      </c>
      <c r="BF430" s="12">
        <f>IF(Verso!$B$15=Voies!$B430,1,0)</f>
        <v>0</v>
      </c>
      <c r="BG430" s="12">
        <f>IF(Verso!$B$16=Voies!$B430,1,0)</f>
        <v>0</v>
      </c>
      <c r="BH430" s="12">
        <f>IF(Verso!$B$17=Voies!$B430,1,0)</f>
        <v>0</v>
      </c>
      <c r="BI430" s="557">
        <f t="shared" si="46"/>
        <v>0</v>
      </c>
      <c r="BJ430" s="196" t="str">
        <f t="shared" si="47"/>
        <v/>
      </c>
      <c r="BK430" s="196" t="str">
        <f t="shared" si="48"/>
        <v/>
      </c>
      <c r="BL430" s="295" t="str">
        <f t="shared" si="49"/>
        <v/>
      </c>
      <c r="BM430" s="91"/>
    </row>
    <row r="431" spans="1:65" s="196" customFormat="1" ht="47.25" customHeight="1" x14ac:dyDescent="0.25">
      <c r="A431" s="162" t="str">
        <f>IF(AND(Réputation&gt;Voies!E431-1,OR(C431=TRUE,Calculs!$I$8&gt;0),Air&gt;Voies!J431-1,Eau&gt;Voies!K431-1,Feu&gt;Voies!L431-1,Terre&gt;Voies!M431-1,Vide&gt;Voies!N431-1,Constitution&gt;Voies!O431-1,Volonté&gt;Voies!P431-1,Force&gt;Voies!Q431-1,Perception&gt;Voies!R431-1,Reflexes&gt;Voies!S431-1,Agilité&gt;Voies!T431-1,Intuition&gt;Voies!U431-1,Intelligence&gt;Voies!V431-1,Souillure&gt;Voies!W431-1,Honneur&gt;X431-1,Statut&gt;Y431-1,Gloire&gt;Z431-1,AV431=TRUE),Voies!B431,"")</f>
        <v/>
      </c>
      <c r="B431" s="162" t="s">
        <v>8307</v>
      </c>
      <c r="C431" s="162" t="b">
        <f>IF(Clan=Voies!D431,TRUE,FALSE)</f>
        <v>0</v>
      </c>
      <c r="D431" s="387" t="s">
        <v>8259</v>
      </c>
      <c r="E431" s="199">
        <v>5</v>
      </c>
      <c r="F431" s="199">
        <v>5</v>
      </c>
      <c r="G431" s="199" t="s">
        <v>2049</v>
      </c>
      <c r="H431" s="219" t="s">
        <v>8299</v>
      </c>
      <c r="I431" s="129" t="s">
        <v>3370</v>
      </c>
      <c r="J431" s="146">
        <v>0</v>
      </c>
      <c r="K431" s="147">
        <v>0</v>
      </c>
      <c r="L431" s="148">
        <v>0</v>
      </c>
      <c r="M431" s="149">
        <v>0</v>
      </c>
      <c r="N431" s="150">
        <v>0</v>
      </c>
      <c r="O431" s="130">
        <v>0</v>
      </c>
      <c r="P431" s="130">
        <v>0</v>
      </c>
      <c r="Q431" s="130">
        <v>0</v>
      </c>
      <c r="R431" s="130">
        <v>0</v>
      </c>
      <c r="S431" s="130">
        <v>0</v>
      </c>
      <c r="T431" s="130">
        <v>0</v>
      </c>
      <c r="U431" s="130">
        <v>0</v>
      </c>
      <c r="V431" s="524">
        <v>0</v>
      </c>
      <c r="W431" s="130">
        <v>0</v>
      </c>
      <c r="X431" s="130">
        <v>0</v>
      </c>
      <c r="Y431" s="130">
        <v>0</v>
      </c>
      <c r="Z431" s="130">
        <v>0</v>
      </c>
      <c r="AA431" s="158" t="s">
        <v>2078</v>
      </c>
      <c r="AB431" s="159"/>
      <c r="AC431" s="159"/>
      <c r="AD431" s="159"/>
      <c r="AE431" s="158" t="b">
        <f>IF(AB431="",TRUE,IF(IF(AC431="",VLOOKUP(AB431,Calculs!$A$19:$S$425,19,FALSE),VLOOKUP(AC431,Calculs!$A$19:$S$425,19,FALSE))&gt;=AD431,TRUE,FALSE))</f>
        <v>1</v>
      </c>
      <c r="AF431" s="159"/>
      <c r="AG431" s="159"/>
      <c r="AH431" s="159"/>
      <c r="AI431" s="158" t="b">
        <f>IF(AF431="",TRUE,IF(IF(AG431="",VLOOKUP(AF431,Calculs!$A$19:$S$425,19,FALSE),VLOOKUP(AG431,Calculs!$A$19:$S$425,19,FALSE))&gt;=AH431,TRUE,FALSE))</f>
        <v>1</v>
      </c>
      <c r="AJ431" s="159"/>
      <c r="AK431" s="159"/>
      <c r="AL431" s="159"/>
      <c r="AM431" s="158" t="b">
        <f>IF(AJ431="",TRUE,IF(IF(AK431="",VLOOKUP(AJ431,Calculs!$A$19:$S$425,19,FALSE),VLOOKUP(AK431,Calculs!$A$19:$S$425,19,FALSE))&gt;=AL431,TRUE,FALSE))</f>
        <v>1</v>
      </c>
      <c r="AN431" s="159"/>
      <c r="AO431" s="159"/>
      <c r="AP431" s="159"/>
      <c r="AQ431" s="158" t="b">
        <f>IF(AN431="",TRUE,IF(IF(AO431="",VLOOKUP(AN431,Calculs!$A$19:$S$425,19,FALSE),VLOOKUP(AO431,Calculs!$A$19:$S$425,19,FALSE))&gt;=AP431,TRUE,FALSE))</f>
        <v>1</v>
      </c>
      <c r="AR431" s="158"/>
      <c r="AS431" s="158" t="b">
        <f>IF(AR431="",TRUE,IF(VLOOKUP(AR431,Calculs!$A$427:$G$738,7,FALSE)&gt;0,TRUE,FALSE))</f>
        <v>1</v>
      </c>
      <c r="AT431" s="158"/>
      <c r="AU431" s="158" t="b">
        <f>IF(AT431="",TRUE,IF(VLOOKUP(AT431,Calculs!$A$740:$G$912,7,FALSE)&gt;0,TRUE,FALSE))</f>
        <v>1</v>
      </c>
      <c r="AV431" s="158" t="b">
        <f t="shared" si="45"/>
        <v>1</v>
      </c>
      <c r="AW431" s="158" t="s">
        <v>2078</v>
      </c>
      <c r="AX431" s="162" t="s">
        <v>6816</v>
      </c>
      <c r="AY431" s="15">
        <v>51</v>
      </c>
      <c r="AZ431" s="555" t="str">
        <f>CONCATENATE("Chaque fois que vous tentez de résister à un Test d'Intimidation, de Tentation ou de Peur, ajoutez ",Terre*2," au résultat.")</f>
        <v>Chaque fois que vous tentez de résister à un Test d'Intimidation, de Tentation ou de Peur, ajoutez 4 au résultat.</v>
      </c>
      <c r="BA431" s="559">
        <f>IF(Verso!$B$10=Voies!$B431,1,0)</f>
        <v>0</v>
      </c>
      <c r="BB431" s="12">
        <f>IF(Verso!$B$11=Voies!$B431,1,0)</f>
        <v>0</v>
      </c>
      <c r="BC431" s="12">
        <f>IF(Verso!$B$12=Voies!$B431,1,0)</f>
        <v>0</v>
      </c>
      <c r="BD431" s="12">
        <f>IF(Verso!$B$13=Voies!$B431,1,0)</f>
        <v>0</v>
      </c>
      <c r="BE431" s="12">
        <f>IF(Verso!$B$14=Voies!$B431,1,0)</f>
        <v>0</v>
      </c>
      <c r="BF431" s="12">
        <f>IF(Verso!$B$15=Voies!$B431,1,0)</f>
        <v>0</v>
      </c>
      <c r="BG431" s="12">
        <f>IF(Verso!$B$16=Voies!$B431,1,0)</f>
        <v>0</v>
      </c>
      <c r="BH431" s="12">
        <f>IF(Verso!$B$17=Voies!$B431,1,0)</f>
        <v>0</v>
      </c>
      <c r="BI431" s="557">
        <f t="shared" si="46"/>
        <v>0</v>
      </c>
      <c r="BJ431" s="196" t="str">
        <f t="shared" si="47"/>
        <v/>
      </c>
      <c r="BK431" s="196" t="str">
        <f t="shared" si="48"/>
        <v/>
      </c>
      <c r="BL431" s="295" t="str">
        <f t="shared" si="49"/>
        <v/>
      </c>
      <c r="BM431" s="91"/>
    </row>
    <row r="432" spans="1:65" s="196" customFormat="1" ht="47.25" customHeight="1" x14ac:dyDescent="0.25">
      <c r="A432" s="162" t="str">
        <f>IF(AND(Réputation&gt;Voies!E432-1,OR(C432=TRUE,Calculs!$I$8&gt;0),Air&gt;Voies!J432-1,Eau&gt;Voies!K432-1,Feu&gt;Voies!L432-1,Terre&gt;Voies!M432-1,Vide&gt;Voies!N432-1,Constitution&gt;Voies!O432-1,Volonté&gt;Voies!P432-1,Force&gt;Voies!Q432-1,Perception&gt;Voies!R432-1,Reflexes&gt;Voies!S432-1,Agilité&gt;Voies!T432-1,Intuition&gt;Voies!U432-1,Intelligence&gt;Voies!V432-1,Souillure&gt;Voies!W432-1,Honneur&gt;X432-1,Statut&gt;Y432-1,Gloire&gt;Z432-1,AV432=TRUE),Voies!B432,"")</f>
        <v/>
      </c>
      <c r="B432" s="162" t="s">
        <v>6815</v>
      </c>
      <c r="C432" s="162" t="b">
        <f>IF(Clan=Voies!D432,TRUE,FALSE)</f>
        <v>0</v>
      </c>
      <c r="D432" s="466" t="s">
        <v>6787</v>
      </c>
      <c r="E432" s="199">
        <v>1</v>
      </c>
      <c r="F432" s="199">
        <v>1</v>
      </c>
      <c r="G432" s="199" t="s">
        <v>2050</v>
      </c>
      <c r="H432" s="219" t="s">
        <v>6814</v>
      </c>
      <c r="I432" s="129" t="s">
        <v>3370</v>
      </c>
      <c r="J432" s="146">
        <v>0</v>
      </c>
      <c r="K432" s="147">
        <v>0</v>
      </c>
      <c r="L432" s="148">
        <v>0</v>
      </c>
      <c r="M432" s="149">
        <v>0</v>
      </c>
      <c r="N432" s="150">
        <v>0</v>
      </c>
      <c r="O432" s="130">
        <v>0</v>
      </c>
      <c r="P432" s="130">
        <v>0</v>
      </c>
      <c r="Q432" s="130">
        <v>0</v>
      </c>
      <c r="R432" s="130">
        <v>0</v>
      </c>
      <c r="S432" s="130">
        <v>0</v>
      </c>
      <c r="T432" s="130">
        <v>0</v>
      </c>
      <c r="U432" s="130">
        <v>0</v>
      </c>
      <c r="V432" s="524">
        <v>0</v>
      </c>
      <c r="W432" s="130">
        <v>0</v>
      </c>
      <c r="X432" s="130">
        <v>0</v>
      </c>
      <c r="Y432" s="130">
        <v>0</v>
      </c>
      <c r="Z432" s="130">
        <v>0</v>
      </c>
      <c r="AA432" s="158" t="s">
        <v>2078</v>
      </c>
      <c r="AB432" s="159"/>
      <c r="AC432" s="159"/>
      <c r="AD432" s="159"/>
      <c r="AE432" s="158" t="b">
        <f>IF(AB432="",TRUE,IF(IF(AC432="",VLOOKUP(AB432,Calculs!$A$19:$S$425,19,FALSE),VLOOKUP(AC432,Calculs!$A$19:$S$425,19,FALSE))&gt;=AD432,TRUE,FALSE))</f>
        <v>1</v>
      </c>
      <c r="AF432" s="159"/>
      <c r="AG432" s="159"/>
      <c r="AH432" s="159"/>
      <c r="AI432" s="158" t="b">
        <f>IF(AF432="",TRUE,IF(IF(AG432="",VLOOKUP(AF432,Calculs!$A$19:$S$425,19,FALSE),VLOOKUP(AG432,Calculs!$A$19:$S$425,19,FALSE))&gt;=AH432,TRUE,FALSE))</f>
        <v>1</v>
      </c>
      <c r="AJ432" s="159"/>
      <c r="AK432" s="159"/>
      <c r="AL432" s="159"/>
      <c r="AM432" s="158" t="b">
        <f>IF(AJ432="",TRUE,IF(IF(AK432="",VLOOKUP(AJ432,Calculs!$A$19:$S$425,19,FALSE),VLOOKUP(AK432,Calculs!$A$19:$S$425,19,FALSE))&gt;=AL432,TRUE,FALSE))</f>
        <v>1</v>
      </c>
      <c r="AN432" s="159"/>
      <c r="AO432" s="159"/>
      <c r="AP432" s="159"/>
      <c r="AQ432" s="158" t="b">
        <f>IF(AN432="",TRUE,IF(IF(AO432="",VLOOKUP(AN432,Calculs!$A$19:$S$425,19,FALSE),VLOOKUP(AO432,Calculs!$A$19:$S$425,19,FALSE))&gt;=AP432,TRUE,FALSE))</f>
        <v>1</v>
      </c>
      <c r="AR432" s="158"/>
      <c r="AS432" s="158" t="b">
        <f>IF(AR432="",TRUE,IF(VLOOKUP(AR432,Calculs!$A$427:$G$738,7,FALSE)&gt;0,TRUE,FALSE))</f>
        <v>1</v>
      </c>
      <c r="AT432" s="158"/>
      <c r="AU432" s="158" t="b">
        <f>IF(AT432="",TRUE,IF(VLOOKUP(AT432,Calculs!$A$740:$G$912,7,FALSE)&gt;0,TRUE,FALSE))</f>
        <v>1</v>
      </c>
      <c r="AV432" s="158" t="b">
        <f t="shared" si="45"/>
        <v>1</v>
      </c>
      <c r="AW432" s="158" t="s">
        <v>2078</v>
      </c>
      <c r="AX432" s="162" t="s">
        <v>6816</v>
      </c>
      <c r="AY432" s="15">
        <v>101</v>
      </c>
      <c r="AZ432" s="555" t="s">
        <v>8571</v>
      </c>
      <c r="BA432" s="559">
        <f>IF(Verso!$B$10=Voies!$B432,1,0)</f>
        <v>0</v>
      </c>
      <c r="BB432" s="12">
        <f>IF(Verso!$B$11=Voies!$B432,1,0)</f>
        <v>0</v>
      </c>
      <c r="BC432" s="12">
        <f>IF(Verso!$B$12=Voies!$B432,1,0)</f>
        <v>0</v>
      </c>
      <c r="BD432" s="12">
        <f>IF(Verso!$B$13=Voies!$B432,1,0)</f>
        <v>0</v>
      </c>
      <c r="BE432" s="12">
        <f>IF(Verso!$B$14=Voies!$B432,1,0)</f>
        <v>0</v>
      </c>
      <c r="BF432" s="12">
        <f>IF(Verso!$B$15=Voies!$B432,1,0)</f>
        <v>0</v>
      </c>
      <c r="BG432" s="12">
        <f>IF(Verso!$B$16=Voies!$B432,1,0)</f>
        <v>0</v>
      </c>
      <c r="BH432" s="12">
        <f>IF(Verso!$B$17=Voies!$B432,1,0)</f>
        <v>0</v>
      </c>
      <c r="BI432" s="557">
        <f t="shared" si="46"/>
        <v>0</v>
      </c>
      <c r="BJ432" s="196" t="str">
        <f t="shared" si="47"/>
        <v/>
      </c>
      <c r="BK432" s="196" t="str">
        <f t="shared" si="48"/>
        <v/>
      </c>
      <c r="BL432" s="295" t="str">
        <f t="shared" si="49"/>
        <v/>
      </c>
      <c r="BM432" s="91"/>
    </row>
    <row r="433" spans="1:65" s="196" customFormat="1" ht="47.25" customHeight="1" x14ac:dyDescent="0.25">
      <c r="A433" s="162" t="str">
        <f>IF(AND(Réputation&gt;Voies!E433-1,OR(C433=TRUE,Calculs!$I$8&gt;0),Air&gt;Voies!J433-1,Eau&gt;Voies!K433-1,Feu&gt;Voies!L433-1,Terre&gt;Voies!M433-1,Vide&gt;Voies!N433-1,Constitution&gt;Voies!O433-1,Volonté&gt;Voies!P433-1,Force&gt;Voies!Q433-1,Perception&gt;Voies!R433-1,Reflexes&gt;Voies!S433-1,Agilité&gt;Voies!T433-1,Intuition&gt;Voies!U433-1,Intelligence&gt;Voies!V433-1,Souillure&gt;Voies!W433-1,Honneur&gt;X433-1,Statut&gt;Y433-1,Gloire&gt;Z433-1,AV433=TRUE),Voies!B433,"")</f>
        <v/>
      </c>
      <c r="B433" s="162" t="s">
        <v>7258</v>
      </c>
      <c r="C433" s="162" t="b">
        <f>IF(Clan=Voies!D433,TRUE,FALSE)</f>
        <v>0</v>
      </c>
      <c r="D433" s="466" t="s">
        <v>7229</v>
      </c>
      <c r="E433" s="199">
        <v>1</v>
      </c>
      <c r="F433" s="199">
        <v>1</v>
      </c>
      <c r="G433" s="199" t="s">
        <v>2049</v>
      </c>
      <c r="H433" s="219" t="s">
        <v>7239</v>
      </c>
      <c r="I433" s="129" t="s">
        <v>3370</v>
      </c>
      <c r="J433" s="146">
        <v>0</v>
      </c>
      <c r="K433" s="147">
        <v>0</v>
      </c>
      <c r="L433" s="148">
        <v>0</v>
      </c>
      <c r="M433" s="149">
        <v>0</v>
      </c>
      <c r="N433" s="150">
        <v>0</v>
      </c>
      <c r="O433" s="130">
        <v>0</v>
      </c>
      <c r="P433" s="130">
        <v>0</v>
      </c>
      <c r="Q433" s="130">
        <v>0</v>
      </c>
      <c r="R433" s="130">
        <v>0</v>
      </c>
      <c r="S433" s="130">
        <v>0</v>
      </c>
      <c r="T433" s="130">
        <v>0</v>
      </c>
      <c r="U433" s="130">
        <v>0</v>
      </c>
      <c r="V433" s="524">
        <v>0</v>
      </c>
      <c r="W433" s="130">
        <v>0</v>
      </c>
      <c r="X433" s="130">
        <v>0</v>
      </c>
      <c r="Y433" s="130">
        <v>0</v>
      </c>
      <c r="Z433" s="130">
        <v>0</v>
      </c>
      <c r="AA433" s="158" t="s">
        <v>2078</v>
      </c>
      <c r="AB433" s="159"/>
      <c r="AC433" s="159"/>
      <c r="AD433" s="159"/>
      <c r="AE433" s="158" t="b">
        <f>IF(AB433="",TRUE,IF(IF(AC433="",VLOOKUP(AB433,Calculs!$A$19:$S$425,19,FALSE),VLOOKUP(AC433,Calculs!$A$19:$S$425,19,FALSE))&gt;=AD433,TRUE,FALSE))</f>
        <v>1</v>
      </c>
      <c r="AF433" s="159"/>
      <c r="AG433" s="159"/>
      <c r="AH433" s="159"/>
      <c r="AI433" s="158" t="b">
        <f>IF(AF433="",TRUE,IF(IF(AG433="",VLOOKUP(AF433,Calculs!$A$19:$S$425,19,FALSE),VLOOKUP(AG433,Calculs!$A$19:$S$425,19,FALSE))&gt;=AH433,TRUE,FALSE))</f>
        <v>1</v>
      </c>
      <c r="AJ433" s="159"/>
      <c r="AK433" s="159"/>
      <c r="AL433" s="159"/>
      <c r="AM433" s="158" t="b">
        <f>IF(AJ433="",TRUE,IF(IF(AK433="",VLOOKUP(AJ433,Calculs!$A$19:$S$425,19,FALSE),VLOOKUP(AK433,Calculs!$A$19:$S$425,19,FALSE))&gt;=AL433,TRUE,FALSE))</f>
        <v>1</v>
      </c>
      <c r="AN433" s="159"/>
      <c r="AO433" s="159"/>
      <c r="AP433" s="159"/>
      <c r="AQ433" s="158" t="b">
        <f>IF(AN433="",TRUE,IF(IF(AO433="",VLOOKUP(AN433,Calculs!$A$19:$S$425,19,FALSE),VLOOKUP(AO433,Calculs!$A$19:$S$425,19,FALSE))&gt;=AP433,TRUE,FALSE))</f>
        <v>1</v>
      </c>
      <c r="AR433" s="158"/>
      <c r="AS433" s="158" t="b">
        <f>IF(AR433="",TRUE,IF(VLOOKUP(AR433,Calculs!$A$427:$G$738,7,FALSE)&gt;0,TRUE,FALSE))</f>
        <v>1</v>
      </c>
      <c r="AT433" s="158"/>
      <c r="AU433" s="158" t="b">
        <f>IF(AT433="",TRUE,IF(VLOOKUP(AT433,Calculs!$A$740:$G$912,7,FALSE)&gt;0,TRUE,FALSE))</f>
        <v>1</v>
      </c>
      <c r="AV433" s="158" t="b">
        <f t="shared" si="45"/>
        <v>1</v>
      </c>
      <c r="AW433" s="158" t="s">
        <v>2078</v>
      </c>
      <c r="AX433" s="162" t="s">
        <v>7226</v>
      </c>
      <c r="AY433" s="15">
        <v>65</v>
      </c>
      <c r="AZ433" s="555" t="s">
        <v>8572</v>
      </c>
      <c r="BA433" s="559">
        <f>IF(Verso!$B$10=Voies!$B433,1,0)</f>
        <v>0</v>
      </c>
      <c r="BB433" s="12">
        <f>IF(Verso!$B$11=Voies!$B433,1,0)</f>
        <v>0</v>
      </c>
      <c r="BC433" s="12">
        <f>IF(Verso!$B$12=Voies!$B433,1,0)</f>
        <v>0</v>
      </c>
      <c r="BD433" s="12">
        <f>IF(Verso!$B$13=Voies!$B433,1,0)</f>
        <v>0</v>
      </c>
      <c r="BE433" s="12">
        <f>IF(Verso!$B$14=Voies!$B433,1,0)</f>
        <v>0</v>
      </c>
      <c r="BF433" s="12">
        <f>IF(Verso!$B$15=Voies!$B433,1,0)</f>
        <v>0</v>
      </c>
      <c r="BG433" s="12">
        <f>IF(Verso!$B$16=Voies!$B433,1,0)</f>
        <v>0</v>
      </c>
      <c r="BH433" s="12">
        <f>IF(Verso!$B$17=Voies!$B433,1,0)</f>
        <v>0</v>
      </c>
      <c r="BI433" s="557">
        <f t="shared" si="46"/>
        <v>0</v>
      </c>
      <c r="BJ433" s="196" t="str">
        <f t="shared" si="47"/>
        <v/>
      </c>
      <c r="BK433" s="196" t="str">
        <f t="shared" si="48"/>
        <v/>
      </c>
      <c r="BL433" s="295" t="str">
        <f t="shared" si="49"/>
        <v/>
      </c>
      <c r="BM433" s="91"/>
    </row>
    <row r="434" spans="1:65" s="196" customFormat="1" ht="47.25" customHeight="1" x14ac:dyDescent="0.25">
      <c r="A434" s="162" t="str">
        <f>IF(AND(Réputation&gt;Voies!E434-1,OR(C434=TRUE,Calculs!$I$8&gt;0),Air&gt;Voies!J434-1,Eau&gt;Voies!K434-1,Feu&gt;Voies!L434-1,Terre&gt;Voies!M434-1,Vide&gt;Voies!N434-1,Constitution&gt;Voies!O434-1,Volonté&gt;Voies!P434-1,Force&gt;Voies!Q434-1,Perception&gt;Voies!R434-1,Reflexes&gt;Voies!S434-1,Agilité&gt;Voies!T434-1,Intuition&gt;Voies!U434-1,Intelligence&gt;Voies!V434-1,Souillure&gt;Voies!W434-1,Honneur&gt;X434-1,Statut&gt;Y434-1,Gloire&gt;Z434-1,AV434=TRUE),Voies!B434,"")</f>
        <v/>
      </c>
      <c r="B434" s="162" t="s">
        <v>7259</v>
      </c>
      <c r="C434" s="162" t="b">
        <f>IF(Clan=Voies!D434,TRUE,FALSE)</f>
        <v>0</v>
      </c>
      <c r="D434" s="466" t="s">
        <v>7229</v>
      </c>
      <c r="E434" s="199">
        <v>2</v>
      </c>
      <c r="F434" s="199">
        <v>2</v>
      </c>
      <c r="G434" s="199" t="s">
        <v>2049</v>
      </c>
      <c r="H434" s="219" t="s">
        <v>7239</v>
      </c>
      <c r="I434" s="129" t="s">
        <v>3370</v>
      </c>
      <c r="J434" s="146">
        <v>0</v>
      </c>
      <c r="K434" s="147">
        <v>0</v>
      </c>
      <c r="L434" s="148">
        <v>0</v>
      </c>
      <c r="M434" s="149">
        <v>0</v>
      </c>
      <c r="N434" s="150">
        <v>0</v>
      </c>
      <c r="O434" s="130">
        <v>0</v>
      </c>
      <c r="P434" s="130">
        <v>0</v>
      </c>
      <c r="Q434" s="130">
        <v>0</v>
      </c>
      <c r="R434" s="130">
        <v>0</v>
      </c>
      <c r="S434" s="130">
        <v>0</v>
      </c>
      <c r="T434" s="130">
        <v>0</v>
      </c>
      <c r="U434" s="130">
        <v>0</v>
      </c>
      <c r="V434" s="524">
        <v>0</v>
      </c>
      <c r="W434" s="130">
        <v>0</v>
      </c>
      <c r="X434" s="130">
        <v>0</v>
      </c>
      <c r="Y434" s="130">
        <v>0</v>
      </c>
      <c r="Z434" s="130">
        <v>0</v>
      </c>
      <c r="AA434" s="158" t="s">
        <v>2078</v>
      </c>
      <c r="AB434" s="159"/>
      <c r="AC434" s="159"/>
      <c r="AD434" s="159"/>
      <c r="AE434" s="158" t="b">
        <f>IF(AB434="",TRUE,IF(IF(AC434="",VLOOKUP(AB434,Calculs!$A$19:$S$425,19,FALSE),VLOOKUP(AC434,Calculs!$A$19:$S$425,19,FALSE))&gt;=AD434,TRUE,FALSE))</f>
        <v>1</v>
      </c>
      <c r="AF434" s="159"/>
      <c r="AG434" s="159"/>
      <c r="AH434" s="159"/>
      <c r="AI434" s="158" t="b">
        <f>IF(AF434="",TRUE,IF(IF(AG434="",VLOOKUP(AF434,Calculs!$A$19:$S$425,19,FALSE),VLOOKUP(AG434,Calculs!$A$19:$S$425,19,FALSE))&gt;=AH434,TRUE,FALSE))</f>
        <v>1</v>
      </c>
      <c r="AJ434" s="159"/>
      <c r="AK434" s="159"/>
      <c r="AL434" s="159"/>
      <c r="AM434" s="158" t="b">
        <f>IF(AJ434="",TRUE,IF(IF(AK434="",VLOOKUP(AJ434,Calculs!$A$19:$S$425,19,FALSE),VLOOKUP(AK434,Calculs!$A$19:$S$425,19,FALSE))&gt;=AL434,TRUE,FALSE))</f>
        <v>1</v>
      </c>
      <c r="AN434" s="159"/>
      <c r="AO434" s="159"/>
      <c r="AP434" s="159"/>
      <c r="AQ434" s="158" t="b">
        <f>IF(AN434="",TRUE,IF(IF(AO434="",VLOOKUP(AN434,Calculs!$A$19:$S$425,19,FALSE),VLOOKUP(AO434,Calculs!$A$19:$S$425,19,FALSE))&gt;=AP434,TRUE,FALSE))</f>
        <v>1</v>
      </c>
      <c r="AR434" s="158"/>
      <c r="AS434" s="158" t="b">
        <f>IF(AR434="",TRUE,IF(VLOOKUP(AR434,Calculs!$A$427:$G$738,7,FALSE)&gt;0,TRUE,FALSE))</f>
        <v>1</v>
      </c>
      <c r="AT434" s="158"/>
      <c r="AU434" s="158" t="b">
        <f>IF(AT434="",TRUE,IF(VLOOKUP(AT434,Calculs!$A$740:$G$912,7,FALSE)&gt;0,TRUE,FALSE))</f>
        <v>1</v>
      </c>
      <c r="AV434" s="158" t="b">
        <f t="shared" si="45"/>
        <v>1</v>
      </c>
      <c r="AW434" s="158" t="s">
        <v>2078</v>
      </c>
      <c r="AX434" s="162" t="s">
        <v>7226</v>
      </c>
      <c r="AY434" s="15">
        <v>65</v>
      </c>
      <c r="AZ434" s="555" t="s">
        <v>7263</v>
      </c>
      <c r="BA434" s="559">
        <f>IF(Verso!$B$10=Voies!$B434,1,0)</f>
        <v>0</v>
      </c>
      <c r="BB434" s="12">
        <f>IF(Verso!$B$11=Voies!$B434,1,0)</f>
        <v>0</v>
      </c>
      <c r="BC434" s="12">
        <f>IF(Verso!$B$12=Voies!$B434,1,0)</f>
        <v>0</v>
      </c>
      <c r="BD434" s="12">
        <f>IF(Verso!$B$13=Voies!$B434,1,0)</f>
        <v>0</v>
      </c>
      <c r="BE434" s="12">
        <f>IF(Verso!$B$14=Voies!$B434,1,0)</f>
        <v>0</v>
      </c>
      <c r="BF434" s="12">
        <f>IF(Verso!$B$15=Voies!$B434,1,0)</f>
        <v>0</v>
      </c>
      <c r="BG434" s="12">
        <f>IF(Verso!$B$16=Voies!$B434,1,0)</f>
        <v>0</v>
      </c>
      <c r="BH434" s="12">
        <f>IF(Verso!$B$17=Voies!$B434,1,0)</f>
        <v>0</v>
      </c>
      <c r="BI434" s="557">
        <f t="shared" si="46"/>
        <v>0</v>
      </c>
      <c r="BJ434" s="196" t="str">
        <f t="shared" si="47"/>
        <v/>
      </c>
      <c r="BK434" s="196" t="str">
        <f t="shared" si="48"/>
        <v/>
      </c>
      <c r="BL434" s="295" t="str">
        <f t="shared" si="49"/>
        <v/>
      </c>
      <c r="BM434" s="91"/>
    </row>
    <row r="435" spans="1:65" s="196" customFormat="1" ht="47.25" customHeight="1" x14ac:dyDescent="0.25">
      <c r="A435" s="162" t="str">
        <f>IF(AND(Réputation&gt;Voies!E435-1,OR(C435=TRUE,Calculs!$I$8&gt;0),Air&gt;Voies!J435-1,Eau&gt;Voies!K435-1,Feu&gt;Voies!L435-1,Terre&gt;Voies!M435-1,Vide&gt;Voies!N435-1,Constitution&gt;Voies!O435-1,Volonté&gt;Voies!P435-1,Force&gt;Voies!Q435-1,Perception&gt;Voies!R435-1,Reflexes&gt;Voies!S435-1,Agilité&gt;Voies!T435-1,Intuition&gt;Voies!U435-1,Intelligence&gt;Voies!V435-1,Souillure&gt;Voies!W435-1,Honneur&gt;X435-1,Statut&gt;Y435-1,Gloire&gt;Z435-1,AV435=TRUE),Voies!B435,"")</f>
        <v/>
      </c>
      <c r="B435" s="162" t="s">
        <v>7260</v>
      </c>
      <c r="C435" s="162" t="b">
        <f>IF(Clan=Voies!D435,TRUE,FALSE)</f>
        <v>0</v>
      </c>
      <c r="D435" s="466" t="s">
        <v>7229</v>
      </c>
      <c r="E435" s="199">
        <v>3</v>
      </c>
      <c r="F435" s="199">
        <v>3</v>
      </c>
      <c r="G435" s="199" t="s">
        <v>2049</v>
      </c>
      <c r="H435" s="219" t="s">
        <v>7239</v>
      </c>
      <c r="I435" s="129" t="s">
        <v>3370</v>
      </c>
      <c r="J435" s="146">
        <v>0</v>
      </c>
      <c r="K435" s="147">
        <v>0</v>
      </c>
      <c r="L435" s="148">
        <v>0</v>
      </c>
      <c r="M435" s="149">
        <v>0</v>
      </c>
      <c r="N435" s="150">
        <v>0</v>
      </c>
      <c r="O435" s="130">
        <v>0</v>
      </c>
      <c r="P435" s="130">
        <v>0</v>
      </c>
      <c r="Q435" s="130">
        <v>0</v>
      </c>
      <c r="R435" s="130">
        <v>0</v>
      </c>
      <c r="S435" s="130">
        <v>0</v>
      </c>
      <c r="T435" s="130">
        <v>0</v>
      </c>
      <c r="U435" s="130">
        <v>0</v>
      </c>
      <c r="V435" s="524">
        <v>0</v>
      </c>
      <c r="W435" s="130">
        <v>0</v>
      </c>
      <c r="X435" s="130">
        <v>0</v>
      </c>
      <c r="Y435" s="130">
        <v>0</v>
      </c>
      <c r="Z435" s="130">
        <v>0</v>
      </c>
      <c r="AA435" s="158" t="s">
        <v>2078</v>
      </c>
      <c r="AB435" s="159"/>
      <c r="AC435" s="159"/>
      <c r="AD435" s="159"/>
      <c r="AE435" s="158" t="b">
        <f>IF(AB435="",TRUE,IF(IF(AC435="",VLOOKUP(AB435,Calculs!$A$19:$S$425,19,FALSE),VLOOKUP(AC435,Calculs!$A$19:$S$425,19,FALSE))&gt;=AD435,TRUE,FALSE))</f>
        <v>1</v>
      </c>
      <c r="AF435" s="159"/>
      <c r="AG435" s="159"/>
      <c r="AH435" s="159"/>
      <c r="AI435" s="158" t="b">
        <f>IF(AF435="",TRUE,IF(IF(AG435="",VLOOKUP(AF435,Calculs!$A$19:$S$425,19,FALSE),VLOOKUP(AG435,Calculs!$A$19:$S$425,19,FALSE))&gt;=AH435,TRUE,FALSE))</f>
        <v>1</v>
      </c>
      <c r="AJ435" s="159"/>
      <c r="AK435" s="159"/>
      <c r="AL435" s="159"/>
      <c r="AM435" s="158" t="b">
        <f>IF(AJ435="",TRUE,IF(IF(AK435="",VLOOKUP(AJ435,Calculs!$A$19:$S$425,19,FALSE),VLOOKUP(AK435,Calculs!$A$19:$S$425,19,FALSE))&gt;=AL435,TRUE,FALSE))</f>
        <v>1</v>
      </c>
      <c r="AN435" s="159"/>
      <c r="AO435" s="159"/>
      <c r="AP435" s="159"/>
      <c r="AQ435" s="158" t="b">
        <f>IF(AN435="",TRUE,IF(IF(AO435="",VLOOKUP(AN435,Calculs!$A$19:$S$425,19,FALSE),VLOOKUP(AO435,Calculs!$A$19:$S$425,19,FALSE))&gt;=AP435,TRUE,FALSE))</f>
        <v>1</v>
      </c>
      <c r="AR435" s="158"/>
      <c r="AS435" s="158" t="b">
        <f>IF(AR435="",TRUE,IF(VLOOKUP(AR435,Calculs!$A$427:$G$738,7,FALSE)&gt;0,TRUE,FALSE))</f>
        <v>1</v>
      </c>
      <c r="AT435" s="158"/>
      <c r="AU435" s="158" t="b">
        <f>IF(AT435="",TRUE,IF(VLOOKUP(AT435,Calculs!$A$740:$G$912,7,FALSE)&gt;0,TRUE,FALSE))</f>
        <v>1</v>
      </c>
      <c r="AV435" s="158" t="b">
        <f t="shared" si="45"/>
        <v>1</v>
      </c>
      <c r="AW435" s="158" t="s">
        <v>2078</v>
      </c>
      <c r="AX435" s="162" t="s">
        <v>7226</v>
      </c>
      <c r="AY435" s="15">
        <v>65</v>
      </c>
      <c r="AZ435" s="555" t="s">
        <v>7264</v>
      </c>
      <c r="BA435" s="559">
        <f>IF(Verso!$B$10=Voies!$B435,1,0)</f>
        <v>0</v>
      </c>
      <c r="BB435" s="12">
        <f>IF(Verso!$B$11=Voies!$B435,1,0)</f>
        <v>0</v>
      </c>
      <c r="BC435" s="12">
        <f>IF(Verso!$B$12=Voies!$B435,1,0)</f>
        <v>0</v>
      </c>
      <c r="BD435" s="12">
        <f>IF(Verso!$B$13=Voies!$B435,1,0)</f>
        <v>0</v>
      </c>
      <c r="BE435" s="12">
        <f>IF(Verso!$B$14=Voies!$B435,1,0)</f>
        <v>0</v>
      </c>
      <c r="BF435" s="12">
        <f>IF(Verso!$B$15=Voies!$B435,1,0)</f>
        <v>0</v>
      </c>
      <c r="BG435" s="12">
        <f>IF(Verso!$B$16=Voies!$B435,1,0)</f>
        <v>0</v>
      </c>
      <c r="BH435" s="12">
        <f>IF(Verso!$B$17=Voies!$B435,1,0)</f>
        <v>0</v>
      </c>
      <c r="BI435" s="557">
        <f t="shared" si="46"/>
        <v>0</v>
      </c>
      <c r="BJ435" s="196" t="str">
        <f t="shared" si="47"/>
        <v/>
      </c>
      <c r="BK435" s="196" t="str">
        <f t="shared" si="48"/>
        <v/>
      </c>
      <c r="BL435" s="295" t="str">
        <f t="shared" si="49"/>
        <v/>
      </c>
      <c r="BM435" s="91"/>
    </row>
    <row r="436" spans="1:65" s="196" customFormat="1" ht="47.25" customHeight="1" x14ac:dyDescent="0.25">
      <c r="A436" s="162" t="str">
        <f>IF(AND(Réputation&gt;Voies!E436-1,OR(C436=TRUE,Calculs!$I$8&gt;0),Air&gt;Voies!J436-1,Eau&gt;Voies!K436-1,Feu&gt;Voies!L436-1,Terre&gt;Voies!M436-1,Vide&gt;Voies!N436-1,Constitution&gt;Voies!O436-1,Volonté&gt;Voies!P436-1,Force&gt;Voies!Q436-1,Perception&gt;Voies!R436-1,Reflexes&gt;Voies!S436-1,Agilité&gt;Voies!T436-1,Intuition&gt;Voies!U436-1,Intelligence&gt;Voies!V436-1,Souillure&gt;Voies!W436-1,Honneur&gt;X436-1,Statut&gt;Y436-1,Gloire&gt;Z436-1,AV436=TRUE),Voies!B436,"")</f>
        <v/>
      </c>
      <c r="B436" s="162" t="s">
        <v>7261</v>
      </c>
      <c r="C436" s="162" t="b">
        <f>IF(Clan=Voies!D436,TRUE,FALSE)</f>
        <v>0</v>
      </c>
      <c r="D436" s="466" t="s">
        <v>7229</v>
      </c>
      <c r="E436" s="199">
        <v>4</v>
      </c>
      <c r="F436" s="199">
        <v>4</v>
      </c>
      <c r="G436" s="199" t="s">
        <v>2049</v>
      </c>
      <c r="H436" s="219" t="s">
        <v>7239</v>
      </c>
      <c r="I436" s="129" t="s">
        <v>3370</v>
      </c>
      <c r="J436" s="146">
        <v>0</v>
      </c>
      <c r="K436" s="147">
        <v>0</v>
      </c>
      <c r="L436" s="148">
        <v>0</v>
      </c>
      <c r="M436" s="149">
        <v>0</v>
      </c>
      <c r="N436" s="150">
        <v>0</v>
      </c>
      <c r="O436" s="130">
        <v>0</v>
      </c>
      <c r="P436" s="130">
        <v>0</v>
      </c>
      <c r="Q436" s="130">
        <v>0</v>
      </c>
      <c r="R436" s="130">
        <v>0</v>
      </c>
      <c r="S436" s="130">
        <v>0</v>
      </c>
      <c r="T436" s="130">
        <v>0</v>
      </c>
      <c r="U436" s="130">
        <v>0</v>
      </c>
      <c r="V436" s="524">
        <v>0</v>
      </c>
      <c r="W436" s="130">
        <v>0</v>
      </c>
      <c r="X436" s="130">
        <v>0</v>
      </c>
      <c r="Y436" s="130">
        <v>0</v>
      </c>
      <c r="Z436" s="130">
        <v>0</v>
      </c>
      <c r="AA436" s="158" t="s">
        <v>2078</v>
      </c>
      <c r="AB436" s="159"/>
      <c r="AC436" s="159"/>
      <c r="AD436" s="159"/>
      <c r="AE436" s="158" t="b">
        <f>IF(AB436="",TRUE,IF(IF(AC436="",VLOOKUP(AB436,Calculs!$A$19:$S$425,19,FALSE),VLOOKUP(AC436,Calculs!$A$19:$S$425,19,FALSE))&gt;=AD436,TRUE,FALSE))</f>
        <v>1</v>
      </c>
      <c r="AF436" s="159"/>
      <c r="AG436" s="159"/>
      <c r="AH436" s="159"/>
      <c r="AI436" s="158" t="b">
        <f>IF(AF436="",TRUE,IF(IF(AG436="",VLOOKUP(AF436,Calculs!$A$19:$S$425,19,FALSE),VLOOKUP(AG436,Calculs!$A$19:$S$425,19,FALSE))&gt;=AH436,TRUE,FALSE))</f>
        <v>1</v>
      </c>
      <c r="AJ436" s="159"/>
      <c r="AK436" s="159"/>
      <c r="AL436" s="159"/>
      <c r="AM436" s="158" t="b">
        <f>IF(AJ436="",TRUE,IF(IF(AK436="",VLOOKUP(AJ436,Calculs!$A$19:$S$425,19,FALSE),VLOOKUP(AK436,Calculs!$A$19:$S$425,19,FALSE))&gt;=AL436,TRUE,FALSE))</f>
        <v>1</v>
      </c>
      <c r="AN436" s="159"/>
      <c r="AO436" s="159"/>
      <c r="AP436" s="159"/>
      <c r="AQ436" s="158" t="b">
        <f>IF(AN436="",TRUE,IF(IF(AO436="",VLOOKUP(AN436,Calculs!$A$19:$S$425,19,FALSE),VLOOKUP(AO436,Calculs!$A$19:$S$425,19,FALSE))&gt;=AP436,TRUE,FALSE))</f>
        <v>1</v>
      </c>
      <c r="AR436" s="158"/>
      <c r="AS436" s="158" t="b">
        <f>IF(AR436="",TRUE,IF(VLOOKUP(AR436,Calculs!$A$427:$G$738,7,FALSE)&gt;0,TRUE,FALSE))</f>
        <v>1</v>
      </c>
      <c r="AT436" s="158"/>
      <c r="AU436" s="158" t="b">
        <f>IF(AT436="",TRUE,IF(VLOOKUP(AT436,Calculs!$A$740:$G$912,7,FALSE)&gt;0,TRUE,FALSE))</f>
        <v>1</v>
      </c>
      <c r="AV436" s="158" t="b">
        <f t="shared" si="45"/>
        <v>1</v>
      </c>
      <c r="AW436" s="158" t="s">
        <v>2078</v>
      </c>
      <c r="AX436" s="162" t="s">
        <v>7226</v>
      </c>
      <c r="AY436" s="15">
        <v>65</v>
      </c>
      <c r="AZ436" s="555" t="s">
        <v>8573</v>
      </c>
      <c r="BA436" s="559">
        <f>IF(Verso!$B$10=Voies!$B436,1,0)</f>
        <v>0</v>
      </c>
      <c r="BB436" s="12">
        <f>IF(Verso!$B$11=Voies!$B436,1,0)</f>
        <v>0</v>
      </c>
      <c r="BC436" s="12">
        <f>IF(Verso!$B$12=Voies!$B436,1,0)</f>
        <v>0</v>
      </c>
      <c r="BD436" s="12">
        <f>IF(Verso!$B$13=Voies!$B436,1,0)</f>
        <v>0</v>
      </c>
      <c r="BE436" s="12">
        <f>IF(Verso!$B$14=Voies!$B436,1,0)</f>
        <v>0</v>
      </c>
      <c r="BF436" s="12">
        <f>IF(Verso!$B$15=Voies!$B436,1,0)</f>
        <v>0</v>
      </c>
      <c r="BG436" s="12">
        <f>IF(Verso!$B$16=Voies!$B436,1,0)</f>
        <v>0</v>
      </c>
      <c r="BH436" s="12">
        <f>IF(Verso!$B$17=Voies!$B436,1,0)</f>
        <v>0</v>
      </c>
      <c r="BI436" s="557">
        <f t="shared" si="46"/>
        <v>0</v>
      </c>
      <c r="BJ436" s="196" t="str">
        <f t="shared" si="47"/>
        <v/>
      </c>
      <c r="BK436" s="196" t="str">
        <f t="shared" si="48"/>
        <v/>
      </c>
      <c r="BL436" s="295" t="str">
        <f t="shared" si="49"/>
        <v/>
      </c>
      <c r="BM436" s="91"/>
    </row>
    <row r="437" spans="1:65" s="196" customFormat="1" ht="47.25" customHeight="1" x14ac:dyDescent="0.25">
      <c r="A437" s="162" t="str">
        <f>IF(AND(Réputation&gt;Voies!E437-1,OR(C437=TRUE,Calculs!$I$8&gt;0),Air&gt;Voies!J437-1,Eau&gt;Voies!K437-1,Feu&gt;Voies!L437-1,Terre&gt;Voies!M437-1,Vide&gt;Voies!N437-1,Constitution&gt;Voies!O437-1,Volonté&gt;Voies!P437-1,Force&gt;Voies!Q437-1,Perception&gt;Voies!R437-1,Reflexes&gt;Voies!S437-1,Agilité&gt;Voies!T437-1,Intuition&gt;Voies!U437-1,Intelligence&gt;Voies!V437-1,Souillure&gt;Voies!W437-1,Honneur&gt;X437-1,Statut&gt;Y437-1,Gloire&gt;Z437-1,AV437=TRUE),Voies!B437,"")</f>
        <v/>
      </c>
      <c r="B437" s="162" t="s">
        <v>7262</v>
      </c>
      <c r="C437" s="162" t="b">
        <f>IF(Clan=Voies!D437,TRUE,FALSE)</f>
        <v>0</v>
      </c>
      <c r="D437" s="466" t="s">
        <v>7229</v>
      </c>
      <c r="E437" s="199">
        <v>5</v>
      </c>
      <c r="F437" s="199">
        <v>5</v>
      </c>
      <c r="G437" s="199" t="s">
        <v>2049</v>
      </c>
      <c r="H437" s="219" t="s">
        <v>7239</v>
      </c>
      <c r="I437" s="129" t="s">
        <v>3370</v>
      </c>
      <c r="J437" s="146">
        <v>0</v>
      </c>
      <c r="K437" s="147">
        <v>0</v>
      </c>
      <c r="L437" s="148">
        <v>0</v>
      </c>
      <c r="M437" s="149">
        <v>0</v>
      </c>
      <c r="N437" s="150">
        <v>0</v>
      </c>
      <c r="O437" s="130">
        <v>0</v>
      </c>
      <c r="P437" s="130">
        <v>0</v>
      </c>
      <c r="Q437" s="130">
        <v>0</v>
      </c>
      <c r="R437" s="130">
        <v>0</v>
      </c>
      <c r="S437" s="130">
        <v>0</v>
      </c>
      <c r="T437" s="130">
        <v>0</v>
      </c>
      <c r="U437" s="130">
        <v>0</v>
      </c>
      <c r="V437" s="524">
        <v>0</v>
      </c>
      <c r="W437" s="130">
        <v>0</v>
      </c>
      <c r="X437" s="130">
        <v>0</v>
      </c>
      <c r="Y437" s="130">
        <v>0</v>
      </c>
      <c r="Z437" s="130">
        <v>0</v>
      </c>
      <c r="AA437" s="158" t="s">
        <v>2078</v>
      </c>
      <c r="AB437" s="159"/>
      <c r="AC437" s="159"/>
      <c r="AD437" s="159"/>
      <c r="AE437" s="158" t="b">
        <f>IF(AB437="",TRUE,IF(IF(AC437="",VLOOKUP(AB437,Calculs!$A$19:$S$425,19,FALSE),VLOOKUP(AC437,Calculs!$A$19:$S$425,19,FALSE))&gt;=AD437,TRUE,FALSE))</f>
        <v>1</v>
      </c>
      <c r="AF437" s="159"/>
      <c r="AG437" s="159"/>
      <c r="AH437" s="159"/>
      <c r="AI437" s="158" t="b">
        <f>IF(AF437="",TRUE,IF(IF(AG437="",VLOOKUP(AF437,Calculs!$A$19:$S$425,19,FALSE),VLOOKUP(AG437,Calculs!$A$19:$S$425,19,FALSE))&gt;=AH437,TRUE,FALSE))</f>
        <v>1</v>
      </c>
      <c r="AJ437" s="159"/>
      <c r="AK437" s="159"/>
      <c r="AL437" s="159"/>
      <c r="AM437" s="158" t="b">
        <f>IF(AJ437="",TRUE,IF(IF(AK437="",VLOOKUP(AJ437,Calculs!$A$19:$S$425,19,FALSE),VLOOKUP(AK437,Calculs!$A$19:$S$425,19,FALSE))&gt;=AL437,TRUE,FALSE))</f>
        <v>1</v>
      </c>
      <c r="AN437" s="159"/>
      <c r="AO437" s="159"/>
      <c r="AP437" s="159"/>
      <c r="AQ437" s="158" t="b">
        <f>IF(AN437="",TRUE,IF(IF(AO437="",VLOOKUP(AN437,Calculs!$A$19:$S$425,19,FALSE),VLOOKUP(AO437,Calculs!$A$19:$S$425,19,FALSE))&gt;=AP437,TRUE,FALSE))</f>
        <v>1</v>
      </c>
      <c r="AR437" s="158"/>
      <c r="AS437" s="158" t="b">
        <f>IF(AR437="",TRUE,IF(VLOOKUP(AR437,Calculs!$A$427:$G$738,7,FALSE)&gt;0,TRUE,FALSE))</f>
        <v>1</v>
      </c>
      <c r="AT437" s="158"/>
      <c r="AU437" s="158" t="b">
        <f>IF(AT437="",TRUE,IF(VLOOKUP(AT437,Calculs!$A$740:$G$912,7,FALSE)&gt;0,TRUE,FALSE))</f>
        <v>1</v>
      </c>
      <c r="AV437" s="158" t="b">
        <f t="shared" si="45"/>
        <v>1</v>
      </c>
      <c r="AW437" s="158" t="s">
        <v>2078</v>
      </c>
      <c r="AX437" s="162" t="s">
        <v>7226</v>
      </c>
      <c r="AY437" s="15">
        <v>65</v>
      </c>
      <c r="AZ437" s="555" t="s">
        <v>7265</v>
      </c>
      <c r="BA437" s="559">
        <f>IF(Verso!$B$10=Voies!$B437,1,0)</f>
        <v>0</v>
      </c>
      <c r="BB437" s="12">
        <f>IF(Verso!$B$11=Voies!$B437,1,0)</f>
        <v>0</v>
      </c>
      <c r="BC437" s="12">
        <f>IF(Verso!$B$12=Voies!$B437,1,0)</f>
        <v>0</v>
      </c>
      <c r="BD437" s="12">
        <f>IF(Verso!$B$13=Voies!$B437,1,0)</f>
        <v>0</v>
      </c>
      <c r="BE437" s="12">
        <f>IF(Verso!$B$14=Voies!$B437,1,0)</f>
        <v>0</v>
      </c>
      <c r="BF437" s="12">
        <f>IF(Verso!$B$15=Voies!$B437,1,0)</f>
        <v>0</v>
      </c>
      <c r="BG437" s="12">
        <f>IF(Verso!$B$16=Voies!$B437,1,0)</f>
        <v>0</v>
      </c>
      <c r="BH437" s="12">
        <f>IF(Verso!$B$17=Voies!$B437,1,0)</f>
        <v>0</v>
      </c>
      <c r="BI437" s="557">
        <f t="shared" si="46"/>
        <v>0</v>
      </c>
      <c r="BJ437" s="196" t="str">
        <f t="shared" si="47"/>
        <v/>
      </c>
      <c r="BK437" s="196" t="str">
        <f t="shared" si="48"/>
        <v/>
      </c>
      <c r="BL437" s="295" t="str">
        <f t="shared" si="49"/>
        <v/>
      </c>
      <c r="BM437" s="91"/>
    </row>
    <row r="438" spans="1:65" ht="47.25" customHeight="1" x14ac:dyDescent="0.25">
      <c r="A438" s="162" t="str">
        <f>IF(AND(Réputation&gt;Voies!E438-1,OR(C438=TRUE,Calculs!$I$8&gt;0),Air&gt;Voies!J438-1,Eau&gt;Voies!K438-1,Feu&gt;Voies!L438-1,Terre&gt;Voies!M438-1,Vide&gt;Voies!N438-1,Constitution&gt;Voies!O438-1,Volonté&gt;Voies!P438-1,Force&gt;Voies!Q438-1,Perception&gt;Voies!R438-1,Reflexes&gt;Voies!S438-1,Agilité&gt;Voies!T438-1,Intuition&gt;Voies!U438-1,Intelligence&gt;Voies!V438-1,Souillure&gt;Voies!W438-1,Honneur&gt;X438-1,Statut&gt;Y438-1,Gloire&gt;Z438-1,AV438=TRUE),Voies!B438,"")</f>
        <v/>
      </c>
      <c r="B438" s="162" t="s">
        <v>2744</v>
      </c>
      <c r="C438" s="162" t="b">
        <f>IF(OR(Clan="Impérial",Clan="Chouette"),TRUE,FALSE)</f>
        <v>0</v>
      </c>
      <c r="D438" s="387" t="s">
        <v>47</v>
      </c>
      <c r="E438" s="199">
        <v>0</v>
      </c>
      <c r="F438" s="199">
        <v>0</v>
      </c>
      <c r="G438" s="157" t="s">
        <v>2078</v>
      </c>
      <c r="H438" s="219" t="s">
        <v>431</v>
      </c>
      <c r="I438" s="129" t="str">
        <f t="shared" ref="I438:I447" si="52">IF(B438="","","Rien")</f>
        <v>Rien</v>
      </c>
      <c r="J438" s="146">
        <v>0</v>
      </c>
      <c r="K438" s="147">
        <v>0</v>
      </c>
      <c r="L438" s="148">
        <v>0</v>
      </c>
      <c r="M438" s="149">
        <v>0</v>
      </c>
      <c r="N438" s="150">
        <v>0</v>
      </c>
      <c r="O438" s="130">
        <v>0</v>
      </c>
      <c r="P438" s="130">
        <v>0</v>
      </c>
      <c r="Q438" s="130">
        <v>4</v>
      </c>
      <c r="R438" s="130">
        <v>0</v>
      </c>
      <c r="S438" s="130">
        <v>0</v>
      </c>
      <c r="T438" s="130">
        <v>5</v>
      </c>
      <c r="U438" s="130">
        <v>0</v>
      </c>
      <c r="V438" s="524">
        <v>0</v>
      </c>
      <c r="W438" s="130">
        <v>0</v>
      </c>
      <c r="X438" s="130">
        <v>6</v>
      </c>
      <c r="Y438" s="130">
        <v>2</v>
      </c>
      <c r="Z438" s="130">
        <v>0</v>
      </c>
      <c r="AA438" s="159" t="s">
        <v>6428</v>
      </c>
      <c r="AB438" s="159" t="s">
        <v>231</v>
      </c>
      <c r="AD438" s="159">
        <v>5</v>
      </c>
      <c r="AE438" s="158" t="b">
        <f>IF(AB438="",TRUE,IF(IF(AC438="",VLOOKUP(AB438,Calculs!$A$19:$S$425,19,FALSE),VLOOKUP(AC438,Calculs!$A$19:$S$425,19,FALSE))&gt;=AD438,TRUE,FALSE))</f>
        <v>0</v>
      </c>
      <c r="AI438" s="158" t="b">
        <f>IF(AF438="",TRUE,IF(IF(AG438="",VLOOKUP(AF438,Calculs!$A$19:$S$425,19,FALSE),VLOOKUP(AG438,Calculs!$A$19:$S$425,19,FALSE))&gt;=AH438,TRUE,FALSE))</f>
        <v>1</v>
      </c>
      <c r="AM438" s="158" t="b">
        <f>IF(AJ438="",TRUE,IF(IF(AK438="",VLOOKUP(AJ438,Calculs!$A$19:$S$425,19,FALSE),VLOOKUP(AK438,Calculs!$A$19:$S$425,19,FALSE))&gt;=AL438,TRUE,FALSE))</f>
        <v>1</v>
      </c>
      <c r="AQ438" s="158" t="b">
        <f>IF(AN438="",TRUE,IF(IF(AO438="",VLOOKUP(AN438,Calculs!$A$19:$S$425,19,FALSE),VLOOKUP(AO438,Calculs!$A$19:$S$425,19,FALSE))&gt;=AP438,TRUE,FALSE))</f>
        <v>1</v>
      </c>
      <c r="AR438" s="158"/>
      <c r="AS438" s="158" t="b">
        <f>IF(Calculs!H638&gt;0,TRUE,FALSE)</f>
        <v>0</v>
      </c>
      <c r="AT438" s="158"/>
      <c r="AU438" s="158" t="b">
        <f>IF(AT438="",TRUE,IF(VLOOKUP(AT438,Calculs!$A$740:$G$912,7,FALSE)&gt;0,TRUE,FALSE))</f>
        <v>1</v>
      </c>
      <c r="AV438" s="158" t="b">
        <f t="shared" si="45"/>
        <v>0</v>
      </c>
      <c r="AW438" s="159" t="s">
        <v>8092</v>
      </c>
      <c r="AX438" s="162" t="s">
        <v>2076</v>
      </c>
      <c r="AY438" s="15">
        <v>245</v>
      </c>
      <c r="AZ438" s="555" t="s">
        <v>8574</v>
      </c>
      <c r="BA438" s="559">
        <f>IF(Verso!$B$10=Voies!$B438,1,0)</f>
        <v>0</v>
      </c>
      <c r="BB438" s="12">
        <f>IF(Verso!$B$11=Voies!$B438,1,0)</f>
        <v>0</v>
      </c>
      <c r="BC438" s="12">
        <f>IF(Verso!$B$12=Voies!$B438,1,0)</f>
        <v>0</v>
      </c>
      <c r="BD438" s="12">
        <f>IF(Verso!$B$13=Voies!$B438,1,0)</f>
        <v>0</v>
      </c>
      <c r="BE438" s="12">
        <f>IF(Verso!$B$14=Voies!$B438,1,0)</f>
        <v>0</v>
      </c>
      <c r="BF438" s="12">
        <f>IF(Verso!$B$15=Voies!$B438,1,0)</f>
        <v>0</v>
      </c>
      <c r="BG438" s="12">
        <f>IF(Verso!$B$16=Voies!$B438,1,0)</f>
        <v>0</v>
      </c>
      <c r="BH438" s="12">
        <f>IF(Verso!$B$17=Voies!$B438,1,0)</f>
        <v>0</v>
      </c>
      <c r="BI438" s="557">
        <f t="shared" si="46"/>
        <v>0</v>
      </c>
      <c r="BJ438" s="196" t="str">
        <f t="shared" si="47"/>
        <v/>
      </c>
      <c r="BK438" s="196" t="str">
        <f t="shared" si="48"/>
        <v/>
      </c>
      <c r="BL438" s="295" t="str">
        <f t="shared" si="49"/>
        <v/>
      </c>
    </row>
    <row r="439" spans="1:65" ht="47.25" customHeight="1" x14ac:dyDescent="0.25">
      <c r="A439" s="162" t="str">
        <f>IF(AND(Réputation&gt;Voies!E439-1,OR(C439=TRUE,Calculs!$I$8&gt;0),Air&gt;Voies!J439-1,Eau&gt;Voies!K439-1,Feu&gt;Voies!L439-1,Terre&gt;Voies!M439-1,Vide&gt;Voies!N439-1,Constitution&gt;Voies!O439-1,Volonté&gt;Voies!P439-1,Force&gt;Voies!Q439-1,Perception&gt;Voies!R439-1,Reflexes&gt;Voies!S439-1,Agilité&gt;Voies!T439-1,Intuition&gt;Voies!U439-1,Intelligence&gt;Voies!V439-1,Souillure&gt;Voies!W439-1,Honneur&gt;X439-1,Statut&gt;Y439-1,Gloire&gt;Z439-1,AV439=TRUE),Voies!B439,"")</f>
        <v/>
      </c>
      <c r="B439" s="162" t="s">
        <v>2745</v>
      </c>
      <c r="C439" s="162" t="b">
        <f>IF(OR(Clan="Impérial",Clan="Chouette"),TRUE,FALSE)</f>
        <v>0</v>
      </c>
      <c r="D439" s="387" t="s">
        <v>47</v>
      </c>
      <c r="E439" s="13">
        <v>0</v>
      </c>
      <c r="F439" s="199">
        <v>0</v>
      </c>
      <c r="G439" s="157" t="s">
        <v>2078</v>
      </c>
      <c r="H439" s="219" t="s">
        <v>431</v>
      </c>
      <c r="I439" s="129" t="str">
        <f t="shared" si="52"/>
        <v>Rien</v>
      </c>
      <c r="J439" s="146">
        <v>0</v>
      </c>
      <c r="K439" s="147">
        <v>0</v>
      </c>
      <c r="L439" s="148">
        <v>0</v>
      </c>
      <c r="M439" s="149">
        <v>0</v>
      </c>
      <c r="N439" s="150">
        <v>0</v>
      </c>
      <c r="O439" s="130">
        <v>0</v>
      </c>
      <c r="P439" s="130">
        <v>0</v>
      </c>
      <c r="Q439" s="130">
        <v>4</v>
      </c>
      <c r="R439" s="130">
        <v>0</v>
      </c>
      <c r="S439" s="130">
        <v>0</v>
      </c>
      <c r="T439" s="130">
        <v>5</v>
      </c>
      <c r="U439" s="130">
        <v>0</v>
      </c>
      <c r="V439" s="524">
        <v>0</v>
      </c>
      <c r="W439" s="130">
        <v>0</v>
      </c>
      <c r="X439" s="130">
        <v>6</v>
      </c>
      <c r="Y439" s="130">
        <v>2</v>
      </c>
      <c r="Z439" s="130">
        <v>0</v>
      </c>
      <c r="AA439" s="159" t="s">
        <v>6428</v>
      </c>
      <c r="AB439" s="159" t="s">
        <v>231</v>
      </c>
      <c r="AD439" s="159">
        <v>5</v>
      </c>
      <c r="AE439" s="158" t="b">
        <f>IF(AB439="",TRUE,IF(IF(AC439="",VLOOKUP(AB439,Calculs!$A$19:$S$425,19,FALSE),VLOOKUP(AC439,Calculs!$A$19:$S$425,19,FALSE))&gt;=AD439,TRUE,FALSE))</f>
        <v>0</v>
      </c>
      <c r="AI439" s="158" t="b">
        <f>IF(AF439="",TRUE,IF(IF(AG439="",VLOOKUP(AF439,Calculs!$A$19:$S$425,19,FALSE),VLOOKUP(AG439,Calculs!$A$19:$S$425,19,FALSE))&gt;=AH439,TRUE,FALSE))</f>
        <v>1</v>
      </c>
      <c r="AM439" s="158" t="b">
        <f>IF(AJ439="",TRUE,IF(IF(AK439="",VLOOKUP(AJ439,Calculs!$A$19:$S$425,19,FALSE),VLOOKUP(AK439,Calculs!$A$19:$S$425,19,FALSE))&gt;=AL439,TRUE,FALSE))</f>
        <v>1</v>
      </c>
      <c r="AQ439" s="158" t="b">
        <f>IF(AN439="",TRUE,IF(IF(AO439="",VLOOKUP(AN439,Calculs!$A$19:$S$425,19,FALSE),VLOOKUP(AO439,Calculs!$A$19:$S$425,19,FALSE))&gt;=AP439,TRUE,FALSE))</f>
        <v>1</v>
      </c>
      <c r="AR439" s="158"/>
      <c r="AS439" s="158" t="b">
        <f>IF(Calculs!H639&gt;0,TRUE,FALSE)</f>
        <v>0</v>
      </c>
      <c r="AT439" s="158"/>
      <c r="AU439" s="158" t="b">
        <f>IF(AT439="",TRUE,IF(VLOOKUP(AT439,Calculs!$A$740:$G$912,7,FALSE)&gt;0,TRUE,FALSE))</f>
        <v>1</v>
      </c>
      <c r="AV439" s="158" t="b">
        <f t="shared" si="45"/>
        <v>0</v>
      </c>
      <c r="AW439" s="159" t="s">
        <v>8092</v>
      </c>
      <c r="AX439" s="162" t="s">
        <v>2076</v>
      </c>
      <c r="AY439" s="15">
        <v>245</v>
      </c>
      <c r="AZ439" s="555" t="str">
        <f>CONCATENATE("Lorsque vous faites un jet sur la Table des Combats de Masse (p.240) vous pouvez ajouter ou enlever ",Vide," au total du jet. Choissisez une manœuvre, vous avez une AG à cette manœuvre uniquement.")</f>
        <v>Lorsque vous faites un jet sur la Table des Combats de Masse (p.240) vous pouvez ajouter ou enlever 2 au total du jet. Choissisez une manœuvre, vous avez une AG à cette manœuvre uniquement.</v>
      </c>
      <c r="BA439" s="559">
        <f>IF(Verso!$B$10=Voies!$B439,1,0)</f>
        <v>0</v>
      </c>
      <c r="BB439" s="12">
        <f>IF(Verso!$B$11=Voies!$B439,1,0)</f>
        <v>0</v>
      </c>
      <c r="BC439" s="12">
        <f>IF(Verso!$B$12=Voies!$B439,1,0)</f>
        <v>0</v>
      </c>
      <c r="BD439" s="12">
        <f>IF(Verso!$B$13=Voies!$B439,1,0)</f>
        <v>0</v>
      </c>
      <c r="BE439" s="12">
        <f>IF(Verso!$B$14=Voies!$B439,1,0)</f>
        <v>0</v>
      </c>
      <c r="BF439" s="12">
        <f>IF(Verso!$B$15=Voies!$B439,1,0)</f>
        <v>0</v>
      </c>
      <c r="BG439" s="12">
        <f>IF(Verso!$B$16=Voies!$B439,1,0)</f>
        <v>0</v>
      </c>
      <c r="BH439" s="12">
        <f>IF(Verso!$B$17=Voies!$B439,1,0)</f>
        <v>0</v>
      </c>
      <c r="BI439" s="557">
        <f t="shared" si="46"/>
        <v>0</v>
      </c>
      <c r="BJ439" s="196" t="str">
        <f t="shared" si="47"/>
        <v/>
      </c>
      <c r="BK439" s="196" t="str">
        <f t="shared" si="48"/>
        <v/>
      </c>
      <c r="BL439" s="295" t="str">
        <f t="shared" si="49"/>
        <v/>
      </c>
    </row>
    <row r="440" spans="1:65" ht="47.25" customHeight="1" x14ac:dyDescent="0.25">
      <c r="A440" s="162" t="str">
        <f>IF(AND(Réputation&gt;Voies!E440-1,OR(C440=TRUE,Calculs!$I$8&gt;0),Air&gt;Voies!J440-1,Eau&gt;Voies!K440-1,Feu&gt;Voies!L440-1,Terre&gt;Voies!M440-1,Vide&gt;Voies!N440-1,Constitution&gt;Voies!O440-1,Volonté&gt;Voies!P440-1,Force&gt;Voies!Q440-1,Perception&gt;Voies!R440-1,Reflexes&gt;Voies!S440-1,Agilité&gt;Voies!T440-1,Intuition&gt;Voies!U440-1,Intelligence&gt;Voies!V440-1,Souillure&gt;Voies!W440-1,Honneur&gt;X440-1,Statut&gt;Y440-1,Gloire&gt;Z440-1,AV440=TRUE),Voies!B440,"")</f>
        <v/>
      </c>
      <c r="B440" s="162" t="s">
        <v>2746</v>
      </c>
      <c r="C440" s="162" t="b">
        <f>IF(OR(Clan="Impérial",Clan="Chouette"),TRUE,FALSE)</f>
        <v>0</v>
      </c>
      <c r="D440" s="387" t="s">
        <v>47</v>
      </c>
      <c r="E440" s="13">
        <v>0</v>
      </c>
      <c r="F440" s="199">
        <v>0</v>
      </c>
      <c r="G440" s="157" t="s">
        <v>2078</v>
      </c>
      <c r="H440" s="219" t="s">
        <v>431</v>
      </c>
      <c r="I440" s="129" t="str">
        <f t="shared" si="52"/>
        <v>Rien</v>
      </c>
      <c r="J440" s="146">
        <v>0</v>
      </c>
      <c r="K440" s="147">
        <v>0</v>
      </c>
      <c r="L440" s="148">
        <v>0</v>
      </c>
      <c r="M440" s="149">
        <v>0</v>
      </c>
      <c r="N440" s="150">
        <v>0</v>
      </c>
      <c r="O440" s="130">
        <v>0</v>
      </c>
      <c r="P440" s="130">
        <v>0</v>
      </c>
      <c r="Q440" s="130">
        <v>4</v>
      </c>
      <c r="R440" s="130">
        <v>0</v>
      </c>
      <c r="S440" s="130">
        <v>0</v>
      </c>
      <c r="T440" s="130">
        <v>5</v>
      </c>
      <c r="U440" s="130">
        <v>0</v>
      </c>
      <c r="V440" s="524">
        <v>0</v>
      </c>
      <c r="W440" s="130">
        <v>0</v>
      </c>
      <c r="X440" s="130">
        <v>6</v>
      </c>
      <c r="Y440" s="130">
        <v>2</v>
      </c>
      <c r="Z440" s="130">
        <v>0</v>
      </c>
      <c r="AA440" s="159" t="s">
        <v>6428</v>
      </c>
      <c r="AB440" s="159" t="s">
        <v>231</v>
      </c>
      <c r="AD440" s="159">
        <v>5</v>
      </c>
      <c r="AE440" s="158" t="b">
        <f>IF(AB440="",TRUE,IF(IF(AC440="",VLOOKUP(AB440,Calculs!$A$19:$S$425,19,FALSE),VLOOKUP(AC440,Calculs!$A$19:$S$425,19,FALSE))&gt;=AD440,TRUE,FALSE))</f>
        <v>0</v>
      </c>
      <c r="AI440" s="158" t="b">
        <f>IF(AF440="",TRUE,IF(IF(AG440="",VLOOKUP(AF440,Calculs!$A$19:$S$425,19,FALSE),VLOOKUP(AG440,Calculs!$A$19:$S$425,19,FALSE))&gt;=AH440,TRUE,FALSE))</f>
        <v>1</v>
      </c>
      <c r="AM440" s="158" t="b">
        <f>IF(AJ440="",TRUE,IF(IF(AK440="",VLOOKUP(AJ440,Calculs!$A$19:$S$425,19,FALSE),VLOOKUP(AK440,Calculs!$A$19:$S$425,19,FALSE))&gt;=AL440,TRUE,FALSE))</f>
        <v>1</v>
      </c>
      <c r="AQ440" s="158" t="b">
        <f>IF(AN440="",TRUE,IF(IF(AO440="",VLOOKUP(AN440,Calculs!$A$19:$S$425,19,FALSE),VLOOKUP(AO440,Calculs!$A$19:$S$425,19,FALSE))&gt;=AP440,TRUE,FALSE))</f>
        <v>1</v>
      </c>
      <c r="AR440" s="158"/>
      <c r="AS440" s="158" t="b">
        <f>IF(Calculs!H640&gt;0,TRUE,FALSE)</f>
        <v>0</v>
      </c>
      <c r="AT440" s="158"/>
      <c r="AU440" s="158" t="b">
        <f>IF(AT440="",TRUE,IF(VLOOKUP(AT440,Calculs!$A$740:$G$912,7,FALSE)&gt;0,TRUE,FALSE))</f>
        <v>1</v>
      </c>
      <c r="AV440" s="158" t="b">
        <f t="shared" si="45"/>
        <v>0</v>
      </c>
      <c r="AW440" s="159" t="s">
        <v>8092</v>
      </c>
      <c r="AX440" s="162" t="s">
        <v>2076</v>
      </c>
      <c r="AY440" s="15">
        <v>245</v>
      </c>
      <c r="AZ440" s="555" t="s">
        <v>8575</v>
      </c>
      <c r="BA440" s="559">
        <f>IF(Verso!$B$10=Voies!$B440,1,0)</f>
        <v>0</v>
      </c>
      <c r="BB440" s="12">
        <f>IF(Verso!$B$11=Voies!$B440,1,0)</f>
        <v>0</v>
      </c>
      <c r="BC440" s="12">
        <f>IF(Verso!$B$12=Voies!$B440,1,0)</f>
        <v>0</v>
      </c>
      <c r="BD440" s="12">
        <f>IF(Verso!$B$13=Voies!$B440,1,0)</f>
        <v>0</v>
      </c>
      <c r="BE440" s="12">
        <f>IF(Verso!$B$14=Voies!$B440,1,0)</f>
        <v>0</v>
      </c>
      <c r="BF440" s="12">
        <f>IF(Verso!$B$15=Voies!$B440,1,0)</f>
        <v>0</v>
      </c>
      <c r="BG440" s="12">
        <f>IF(Verso!$B$16=Voies!$B440,1,0)</f>
        <v>0</v>
      </c>
      <c r="BH440" s="12">
        <f>IF(Verso!$B$17=Voies!$B440,1,0)</f>
        <v>0</v>
      </c>
      <c r="BI440" s="557">
        <f t="shared" si="46"/>
        <v>0</v>
      </c>
      <c r="BJ440" s="196" t="str">
        <f t="shared" si="47"/>
        <v/>
      </c>
      <c r="BK440" s="196" t="str">
        <f t="shared" si="48"/>
        <v/>
      </c>
      <c r="BL440" s="295" t="str">
        <f t="shared" si="49"/>
        <v/>
      </c>
    </row>
    <row r="441" spans="1:65" ht="47.25" customHeight="1" x14ac:dyDescent="0.25">
      <c r="A441" s="162" t="str">
        <f>IF(AND(Réputation&gt;Voies!E441-1,OR(C441=TRUE,Calculs!$I$8&gt;0),Air&gt;Voies!J441-1,Eau&gt;Voies!K441-1,Feu&gt;Voies!L441-1,Terre&gt;Voies!M441-1,Vide&gt;Voies!N441-1,Constitution&gt;Voies!O441-1,Volonté&gt;Voies!P441-1,Force&gt;Voies!Q441-1,Perception&gt;Voies!R441-1,Reflexes&gt;Voies!S441-1,Agilité&gt;Voies!T441-1,Intuition&gt;Voies!U441-1,Intelligence&gt;Voies!V441-1,Souillure&gt;Voies!W441-1,Honneur&gt;X441-1,Statut&gt;Y441-1,Gloire&gt;Z441-1,AV441=TRUE),Voies!B441,"")</f>
        <v/>
      </c>
      <c r="B441" s="162" t="s">
        <v>4827</v>
      </c>
      <c r="C441" s="162" t="b">
        <f>IF(Clan=Voies!D441,TRUE,FALSE)</f>
        <v>0</v>
      </c>
      <c r="D441" s="387" t="s">
        <v>47</v>
      </c>
      <c r="E441" s="13">
        <v>0</v>
      </c>
      <c r="F441" s="199">
        <v>0</v>
      </c>
      <c r="G441" s="13" t="s">
        <v>2052</v>
      </c>
      <c r="H441" s="219" t="s">
        <v>4826</v>
      </c>
      <c r="I441" s="129" t="str">
        <f t="shared" si="52"/>
        <v>Rien</v>
      </c>
      <c r="J441" s="146">
        <v>0</v>
      </c>
      <c r="K441" s="147">
        <v>0</v>
      </c>
      <c r="L441" s="148">
        <v>0</v>
      </c>
      <c r="M441" s="149">
        <v>0</v>
      </c>
      <c r="N441" s="150">
        <v>0</v>
      </c>
      <c r="O441" s="130">
        <v>0</v>
      </c>
      <c r="P441" s="130">
        <v>0</v>
      </c>
      <c r="Q441" s="130">
        <v>0</v>
      </c>
      <c r="R441" s="130">
        <v>4</v>
      </c>
      <c r="S441" s="130">
        <v>0</v>
      </c>
      <c r="T441" s="130">
        <v>0</v>
      </c>
      <c r="U441" s="130">
        <v>5</v>
      </c>
      <c r="V441" s="524">
        <v>0</v>
      </c>
      <c r="W441" s="130">
        <v>0</v>
      </c>
      <c r="X441" s="130">
        <v>0</v>
      </c>
      <c r="Y441" s="130">
        <v>4</v>
      </c>
      <c r="Z441" s="130">
        <v>0</v>
      </c>
      <c r="AA441" s="159" t="s">
        <v>2667</v>
      </c>
      <c r="AB441" s="159" t="s">
        <v>189</v>
      </c>
      <c r="AD441" s="159">
        <v>6</v>
      </c>
      <c r="AE441" s="158" t="b">
        <f>IF(AB441="",TRUE,IF(IF(AC441="",VLOOKUP(AB441,Calculs!$A$19:$S$425,19,FALSE),VLOOKUP(AC441,Calculs!$A$19:$S$425,19,FALSE))&gt;=AD441,TRUE,FALSE))</f>
        <v>0</v>
      </c>
      <c r="AF441" s="159" t="s">
        <v>1208</v>
      </c>
      <c r="AH441" s="159">
        <v>4</v>
      </c>
      <c r="AI441" s="158" t="b">
        <f>IF(AF441="",TRUE,IF(IF(AG441="",VLOOKUP(AF441,Calculs!$A$19:$S$425,19,FALSE),VLOOKUP(AG441,Calculs!$A$19:$S$425,19,FALSE))&gt;=AH441,TRUE,FALSE))</f>
        <v>0</v>
      </c>
      <c r="AM441" s="158" t="b">
        <f>IF(AJ441="",TRUE,IF(IF(AK441="",VLOOKUP(AJ441,Calculs!$A$19:$S$425,19,FALSE),VLOOKUP(AK441,Calculs!$A$19:$S$425,19,FALSE))&gt;=AL441,TRUE,FALSE))</f>
        <v>1</v>
      </c>
      <c r="AQ441" s="158" t="b">
        <f>IF(AN441="",TRUE,IF(IF(AO441="",VLOOKUP(AN441,Calculs!$A$19:$S$425,19,FALSE),VLOOKUP(AO441,Calculs!$A$19:$S$425,19,FALSE))&gt;=AP441,TRUE,FALSE))</f>
        <v>1</v>
      </c>
      <c r="AR441" s="158"/>
      <c r="AS441" s="158" t="b">
        <f>IF(AR441="",TRUE,IF(VLOOKUP(AR441,Calculs!$A$427:$G$738,7,FALSE)&gt;0,TRUE,FALSE))</f>
        <v>1</v>
      </c>
      <c r="AT441" s="158"/>
      <c r="AU441" s="158" t="b">
        <f>IF(AT441="",TRUE,IF(VLOOKUP(AT441,Calculs!$A$740:$G$912,7,FALSE)&gt;0,TRUE,FALSE))</f>
        <v>1</v>
      </c>
      <c r="AV441" s="158" t="b">
        <f t="shared" si="45"/>
        <v>0</v>
      </c>
      <c r="AW441" s="159" t="s">
        <v>8093</v>
      </c>
      <c r="AX441" s="162" t="s">
        <v>5202</v>
      </c>
      <c r="AY441" s="15">
        <v>80</v>
      </c>
      <c r="AZ441" s="555" t="str">
        <f>CONCATENATE("Chaque fois que vous êtes appelé à faire un jet de compétence, ou d'utiliser votre Rg. de Gloire ou d'Honneur, vous pouvez dépenser un PVide pour prendre ",Statut," comme résultat")</f>
        <v>Chaque fois que vous êtes appelé à faire un jet de compétence, ou d'utiliser votre Rg. de Gloire ou d'Honneur, vous pouvez dépenser un PVide pour prendre 1 comme résultat</v>
      </c>
      <c r="BA441" s="559">
        <f>IF(Verso!$B$10=Voies!$B441,1,0)</f>
        <v>0</v>
      </c>
      <c r="BB441" s="12">
        <f>IF(Verso!$B$11=Voies!$B441,1,0)</f>
        <v>0</v>
      </c>
      <c r="BC441" s="12">
        <f>IF(Verso!$B$12=Voies!$B441,1,0)</f>
        <v>0</v>
      </c>
      <c r="BD441" s="12">
        <f>IF(Verso!$B$13=Voies!$B441,1,0)</f>
        <v>0</v>
      </c>
      <c r="BE441" s="12">
        <f>IF(Verso!$B$14=Voies!$B441,1,0)</f>
        <v>0</v>
      </c>
      <c r="BF441" s="12">
        <f>IF(Verso!$B$15=Voies!$B441,1,0)</f>
        <v>0</v>
      </c>
      <c r="BG441" s="12">
        <f>IF(Verso!$B$16=Voies!$B441,1,0)</f>
        <v>0</v>
      </c>
      <c r="BH441" s="12">
        <f>IF(Verso!$B$17=Voies!$B441,1,0)</f>
        <v>0</v>
      </c>
      <c r="BI441" s="557">
        <f t="shared" si="46"/>
        <v>0</v>
      </c>
      <c r="BJ441" s="196" t="str">
        <f t="shared" si="47"/>
        <v/>
      </c>
      <c r="BK441" s="196" t="str">
        <f t="shared" si="48"/>
        <v/>
      </c>
      <c r="BL441" s="295" t="str">
        <f t="shared" si="49"/>
        <v/>
      </c>
    </row>
    <row r="442" spans="1:65" ht="47.25" customHeight="1" x14ac:dyDescent="0.25">
      <c r="A442" s="162" t="str">
        <f>IF(AND(Réputation&gt;Voies!E442-1,OR(C442=TRUE,Calculs!$I$8&gt;0),Air&gt;Voies!J442-1,Eau&gt;Voies!K442-1,Feu&gt;Voies!L442-1,Terre&gt;Voies!M442-1,Vide&gt;Voies!N442-1,Constitution&gt;Voies!O442-1,Volonté&gt;Voies!P442-1,Force&gt;Voies!Q442-1,Perception&gt;Voies!R442-1,Reflexes&gt;Voies!S442-1,Agilité&gt;Voies!T442-1,Intuition&gt;Voies!U442-1,Intelligence&gt;Voies!V442-1,Souillure&gt;Voies!W442-1,Honneur&gt;X442-1,Statut&gt;Y442-1,Gloire&gt;Z442-1,AV442=TRUE),Voies!B442,"")</f>
        <v/>
      </c>
      <c r="B442" s="162" t="s">
        <v>2668</v>
      </c>
      <c r="C442" s="162" t="b">
        <f>IF(Clan=Voies!D442,TRUE,FALSE)</f>
        <v>0</v>
      </c>
      <c r="D442" s="387" t="s">
        <v>47</v>
      </c>
      <c r="E442" s="13">
        <v>0</v>
      </c>
      <c r="F442" s="199">
        <v>0</v>
      </c>
      <c r="G442" s="199" t="s">
        <v>2052</v>
      </c>
      <c r="H442" s="219" t="s">
        <v>4826</v>
      </c>
      <c r="I442" s="129" t="str">
        <f t="shared" si="52"/>
        <v>Rien</v>
      </c>
      <c r="J442" s="146">
        <v>0</v>
      </c>
      <c r="K442" s="147">
        <v>0</v>
      </c>
      <c r="L442" s="148">
        <v>0</v>
      </c>
      <c r="M442" s="149">
        <v>0</v>
      </c>
      <c r="N442" s="150">
        <v>0</v>
      </c>
      <c r="O442" s="130">
        <v>0</v>
      </c>
      <c r="P442" s="130">
        <v>0</v>
      </c>
      <c r="Q442" s="130">
        <v>0</v>
      </c>
      <c r="R442" s="130">
        <v>4</v>
      </c>
      <c r="S442" s="130">
        <v>0</v>
      </c>
      <c r="T442" s="130">
        <v>0</v>
      </c>
      <c r="U442" s="130">
        <v>5</v>
      </c>
      <c r="V442" s="524">
        <v>0</v>
      </c>
      <c r="W442" s="130">
        <v>0</v>
      </c>
      <c r="X442" s="130">
        <v>0</v>
      </c>
      <c r="Y442" s="130">
        <v>4</v>
      </c>
      <c r="Z442" s="130">
        <v>0</v>
      </c>
      <c r="AA442" s="159" t="s">
        <v>2667</v>
      </c>
      <c r="AB442" s="159" t="s">
        <v>189</v>
      </c>
      <c r="AD442" s="159">
        <v>6</v>
      </c>
      <c r="AE442" s="158" t="b">
        <f>IF(AB442="",TRUE,IF(IF(AC442="",VLOOKUP(AB442,Calculs!$A$19:$S$425,19,FALSE),VLOOKUP(AC442,Calculs!$A$19:$S$425,19,FALSE))&gt;=AD442,TRUE,FALSE))</f>
        <v>0</v>
      </c>
      <c r="AF442" s="159" t="s">
        <v>1208</v>
      </c>
      <c r="AH442" s="159">
        <v>4</v>
      </c>
      <c r="AI442" s="158" t="b">
        <f>IF(AF442="",TRUE,IF(IF(AG442="",VLOOKUP(AF442,Calculs!$A$19:$S$425,19,FALSE),VLOOKUP(AG442,Calculs!$A$19:$S$425,19,FALSE))&gt;=AH442,TRUE,FALSE))</f>
        <v>0</v>
      </c>
      <c r="AM442" s="158" t="b">
        <f>IF(AJ442="",TRUE,IF(IF(AK442="",VLOOKUP(AJ442,Calculs!$A$19:$S$425,19,FALSE),VLOOKUP(AK442,Calculs!$A$19:$S$425,19,FALSE))&gt;=AL442,TRUE,FALSE))</f>
        <v>1</v>
      </c>
      <c r="AQ442" s="158" t="b">
        <f>IF(AN442="",TRUE,IF(IF(AO442="",VLOOKUP(AN442,Calculs!$A$19:$S$425,19,FALSE),VLOOKUP(AO442,Calculs!$A$19:$S$425,19,FALSE))&gt;=AP442,TRUE,FALSE))</f>
        <v>1</v>
      </c>
      <c r="AR442" s="158"/>
      <c r="AS442" s="158" t="b">
        <f>IF(AR442="",TRUE,IF(VLOOKUP(AR442,Calculs!$A$427:$G$738,7,FALSE)&gt;0,TRUE,FALSE))</f>
        <v>1</v>
      </c>
      <c r="AT442" s="158"/>
      <c r="AU442" s="158" t="b">
        <f>IF(AT442="",TRUE,IF(VLOOKUP(AT442,Calculs!$A$740:$G$912,7,FALSE)&gt;0,TRUE,FALSE))</f>
        <v>1</v>
      </c>
      <c r="AV442" s="158" t="b">
        <f t="shared" si="45"/>
        <v>0</v>
      </c>
      <c r="AW442" s="159" t="s">
        <v>8093</v>
      </c>
      <c r="AX442" s="162" t="s">
        <v>5202</v>
      </c>
      <c r="AY442" s="15">
        <v>80</v>
      </c>
      <c r="AZ442" s="555" t="str">
        <f>CONCATENATE("Contre un adversaire de rang de Statut inférieur, vs pouvez le forcer à faire un jet Courtisan/Etiquette opposé au vôtre. En cas de succès, vous pouvez réduire son Statut de ",Perception*2)</f>
        <v>Contre un adversaire de rang de Statut inférieur, vs pouvez le forcer à faire un jet Courtisan/Etiquette opposé au vôtre. En cas de succès, vous pouvez réduire son Statut de 4</v>
      </c>
      <c r="BA442" s="559">
        <f>IF(Verso!$B$10=Voies!$B442,1,0)</f>
        <v>0</v>
      </c>
      <c r="BB442" s="12">
        <f>IF(Verso!$B$11=Voies!$B442,1,0)</f>
        <v>0</v>
      </c>
      <c r="BC442" s="12">
        <f>IF(Verso!$B$12=Voies!$B442,1,0)</f>
        <v>0</v>
      </c>
      <c r="BD442" s="12">
        <f>IF(Verso!$B$13=Voies!$B442,1,0)</f>
        <v>0</v>
      </c>
      <c r="BE442" s="12">
        <f>IF(Verso!$B$14=Voies!$B442,1,0)</f>
        <v>0</v>
      </c>
      <c r="BF442" s="12">
        <f>IF(Verso!$B$15=Voies!$B442,1,0)</f>
        <v>0</v>
      </c>
      <c r="BG442" s="12">
        <f>IF(Verso!$B$16=Voies!$B442,1,0)</f>
        <v>0</v>
      </c>
      <c r="BH442" s="12">
        <f>IF(Verso!$B$17=Voies!$B442,1,0)</f>
        <v>0</v>
      </c>
      <c r="BI442" s="557">
        <f t="shared" si="46"/>
        <v>0</v>
      </c>
      <c r="BJ442" s="196" t="str">
        <f t="shared" si="47"/>
        <v/>
      </c>
      <c r="BK442" s="196" t="str">
        <f t="shared" si="48"/>
        <v/>
      </c>
      <c r="BL442" s="295" t="str">
        <f t="shared" si="49"/>
        <v/>
      </c>
    </row>
    <row r="443" spans="1:65" ht="47.25" customHeight="1" x14ac:dyDescent="0.25">
      <c r="A443" s="162" t="str">
        <f>IF(AND(Réputation&gt;Voies!E443-1,OR(C443=TRUE,Calculs!$I$8&gt;0),Air&gt;Voies!J443-1,Eau&gt;Voies!K443-1,Feu&gt;Voies!L443-1,Terre&gt;Voies!M443-1,Vide&gt;Voies!N443-1,Constitution&gt;Voies!O443-1,Volonté&gt;Voies!P443-1,Force&gt;Voies!Q443-1,Perception&gt;Voies!R443-1,Reflexes&gt;Voies!S443-1,Agilité&gt;Voies!T443-1,Intuition&gt;Voies!U443-1,Intelligence&gt;Voies!V443-1,Souillure&gt;Voies!W443-1,Honneur&gt;X443-1,Statut&gt;Y443-1,Gloire&gt;Z443-1,AV443=TRUE),Voies!B443,"")</f>
        <v/>
      </c>
      <c r="B443" s="162" t="s">
        <v>2669</v>
      </c>
      <c r="C443" s="162" t="b">
        <f>IF(Clan=Voies!D443,TRUE,FALSE)</f>
        <v>0</v>
      </c>
      <c r="D443" s="387" t="s">
        <v>47</v>
      </c>
      <c r="E443" s="13">
        <v>0</v>
      </c>
      <c r="F443" s="199">
        <v>0</v>
      </c>
      <c r="G443" s="199" t="s">
        <v>2052</v>
      </c>
      <c r="H443" s="219" t="s">
        <v>4826</v>
      </c>
      <c r="I443" s="129" t="str">
        <f t="shared" si="52"/>
        <v>Rien</v>
      </c>
      <c r="J443" s="146">
        <v>0</v>
      </c>
      <c r="K443" s="147">
        <v>0</v>
      </c>
      <c r="L443" s="148">
        <v>0</v>
      </c>
      <c r="M443" s="149">
        <v>0</v>
      </c>
      <c r="N443" s="150">
        <v>0</v>
      </c>
      <c r="O443" s="130">
        <v>0</v>
      </c>
      <c r="P443" s="130">
        <v>0</v>
      </c>
      <c r="Q443" s="130">
        <v>0</v>
      </c>
      <c r="R443" s="130">
        <v>4</v>
      </c>
      <c r="S443" s="130">
        <v>0</v>
      </c>
      <c r="T443" s="130">
        <v>0</v>
      </c>
      <c r="U443" s="130">
        <v>5</v>
      </c>
      <c r="V443" s="524">
        <v>0</v>
      </c>
      <c r="W443" s="130">
        <v>0</v>
      </c>
      <c r="X443" s="130">
        <v>0</v>
      </c>
      <c r="Y443" s="130">
        <v>4</v>
      </c>
      <c r="Z443" s="130">
        <v>0</v>
      </c>
      <c r="AA443" s="159" t="s">
        <v>2667</v>
      </c>
      <c r="AB443" s="159" t="s">
        <v>189</v>
      </c>
      <c r="AD443" s="159">
        <v>6</v>
      </c>
      <c r="AE443" s="158" t="b">
        <f>IF(AB443="",TRUE,IF(IF(AC443="",VLOOKUP(AB443,Calculs!$A$19:$S$425,19,FALSE),VLOOKUP(AC443,Calculs!$A$19:$S$425,19,FALSE))&gt;=AD443,TRUE,FALSE))</f>
        <v>0</v>
      </c>
      <c r="AF443" s="159" t="s">
        <v>1208</v>
      </c>
      <c r="AH443" s="159">
        <v>4</v>
      </c>
      <c r="AI443" s="158" t="b">
        <f>IF(AF443="",TRUE,IF(IF(AG443="",VLOOKUP(AF443,Calculs!$A$19:$S$425,19,FALSE),VLOOKUP(AG443,Calculs!$A$19:$S$425,19,FALSE))&gt;=AH443,TRUE,FALSE))</f>
        <v>0</v>
      </c>
      <c r="AM443" s="158" t="b">
        <f>IF(AJ443="",TRUE,IF(IF(AK443="",VLOOKUP(AJ443,Calculs!$A$19:$S$425,19,FALSE),VLOOKUP(AK443,Calculs!$A$19:$S$425,19,FALSE))&gt;=AL443,TRUE,FALSE))</f>
        <v>1</v>
      </c>
      <c r="AQ443" s="158" t="b">
        <f>IF(AN443="",TRUE,IF(IF(AO443="",VLOOKUP(AN443,Calculs!$A$19:$S$425,19,FALSE),VLOOKUP(AO443,Calculs!$A$19:$S$425,19,FALSE))&gt;=AP443,TRUE,FALSE))</f>
        <v>1</v>
      </c>
      <c r="AR443" s="158"/>
      <c r="AS443" s="158" t="b">
        <f>IF(AR443="",TRUE,IF(VLOOKUP(AR443,Calculs!$A$427:$G$738,7,FALSE)&gt;0,TRUE,FALSE))</f>
        <v>1</v>
      </c>
      <c r="AT443" s="158"/>
      <c r="AU443" s="158" t="b">
        <f>IF(AT443="",TRUE,IF(VLOOKUP(AT443,Calculs!$A$740:$G$912,7,FALSE)&gt;0,TRUE,FALSE))</f>
        <v>1</v>
      </c>
      <c r="AV443" s="158" t="b">
        <f t="shared" si="45"/>
        <v>0</v>
      </c>
      <c r="AW443" s="159" t="s">
        <v>8093</v>
      </c>
      <c r="AX443" s="162" t="s">
        <v>5202</v>
      </c>
      <c r="AY443" s="15">
        <v>80</v>
      </c>
      <c r="AZ443" s="555" t="s">
        <v>2670</v>
      </c>
      <c r="BA443" s="559">
        <f>IF(Verso!$B$10=Voies!$B443,1,0)</f>
        <v>0</v>
      </c>
      <c r="BB443" s="12">
        <f>IF(Verso!$B$11=Voies!$B443,1,0)</f>
        <v>0</v>
      </c>
      <c r="BC443" s="12">
        <f>IF(Verso!$B$12=Voies!$B443,1,0)</f>
        <v>0</v>
      </c>
      <c r="BD443" s="12">
        <f>IF(Verso!$B$13=Voies!$B443,1,0)</f>
        <v>0</v>
      </c>
      <c r="BE443" s="12">
        <f>IF(Verso!$B$14=Voies!$B443,1,0)</f>
        <v>0</v>
      </c>
      <c r="BF443" s="12">
        <f>IF(Verso!$B$15=Voies!$B443,1,0)</f>
        <v>0</v>
      </c>
      <c r="BG443" s="12">
        <f>IF(Verso!$B$16=Voies!$B443,1,0)</f>
        <v>0</v>
      </c>
      <c r="BH443" s="12">
        <f>IF(Verso!$B$17=Voies!$B443,1,0)</f>
        <v>0</v>
      </c>
      <c r="BI443" s="557">
        <f t="shared" si="46"/>
        <v>0</v>
      </c>
      <c r="BJ443" s="196" t="str">
        <f t="shared" si="47"/>
        <v/>
      </c>
      <c r="BK443" s="196" t="str">
        <f t="shared" si="48"/>
        <v/>
      </c>
      <c r="BL443" s="295" t="str">
        <f t="shared" si="49"/>
        <v/>
      </c>
    </row>
    <row r="444" spans="1:65" ht="47.25" customHeight="1" x14ac:dyDescent="0.25">
      <c r="A444" s="162" t="str">
        <f>IF(AND(Réputation&gt;Voies!E444-1,OR(C444=TRUE,Calculs!$I$8&gt;0),Air&gt;Voies!J444-1,Eau&gt;Voies!K444-1,Feu&gt;Voies!L444-1,Terre&gt;Voies!M444-1,Vide&gt;Voies!N444-1,Constitution&gt;Voies!O444-1,Volonté&gt;Voies!P444-1,Force&gt;Voies!Q444-1,Perception&gt;Voies!R444-1,Reflexes&gt;Voies!S444-1,Agilité&gt;Voies!T444-1,Intuition&gt;Voies!U444-1,Intelligence&gt;Voies!V444-1,Souillure&gt;Voies!W444-1,Honneur&gt;X444-1,Statut&gt;Y444-1,Gloire&gt;Z444-1,AV444=TRUE),Voies!B444,"")</f>
        <v/>
      </c>
      <c r="B444" s="162" t="s">
        <v>2303</v>
      </c>
      <c r="C444" s="162" t="b">
        <f>IF(Clan=Voies!D444,TRUE,FALSE)</f>
        <v>0</v>
      </c>
      <c r="D444" s="387" t="s">
        <v>47</v>
      </c>
      <c r="E444" s="13">
        <v>1</v>
      </c>
      <c r="F444" s="199">
        <v>1</v>
      </c>
      <c r="G444" s="199" t="s">
        <v>2049</v>
      </c>
      <c r="H444" s="219" t="s">
        <v>251</v>
      </c>
      <c r="I444" s="129" t="str">
        <f t="shared" si="52"/>
        <v>Rien</v>
      </c>
      <c r="J444" s="146">
        <v>0</v>
      </c>
      <c r="K444" s="147">
        <v>0</v>
      </c>
      <c r="L444" s="148">
        <v>0</v>
      </c>
      <c r="M444" s="149">
        <v>0</v>
      </c>
      <c r="N444" s="150">
        <v>0</v>
      </c>
      <c r="O444" s="130">
        <v>0</v>
      </c>
      <c r="P444" s="130">
        <v>0</v>
      </c>
      <c r="Q444" s="130">
        <v>0</v>
      </c>
      <c r="R444" s="130">
        <v>0</v>
      </c>
      <c r="S444" s="130">
        <v>0</v>
      </c>
      <c r="T444" s="130">
        <v>0</v>
      </c>
      <c r="U444" s="130">
        <v>0</v>
      </c>
      <c r="V444" s="524">
        <v>0</v>
      </c>
      <c r="W444" s="130">
        <v>0</v>
      </c>
      <c r="X444" s="130">
        <v>0</v>
      </c>
      <c r="Y444" s="130">
        <v>0</v>
      </c>
      <c r="Z444" s="130">
        <v>0</v>
      </c>
      <c r="AA444" s="158" t="s">
        <v>2078</v>
      </c>
      <c r="AB444" s="158"/>
      <c r="AC444" s="158"/>
      <c r="AD444" s="158"/>
      <c r="AE444" s="158" t="b">
        <f>IF(AB444="",TRUE,IF(IF(AC444="",VLOOKUP(AB444,Calculs!$A$19:$S$425,19,FALSE),VLOOKUP(AC444,Calculs!$A$19:$S$425,19,FALSE))&gt;=AD444,TRUE,FALSE))</f>
        <v>1</v>
      </c>
      <c r="AF444" s="158"/>
      <c r="AG444" s="158"/>
      <c r="AH444" s="158"/>
      <c r="AI444" s="158" t="b">
        <f>IF(AF444="",TRUE,IF(IF(AG444="",VLOOKUP(AF444,Calculs!$A$19:$S$425,19,FALSE),VLOOKUP(AG444,Calculs!$A$19:$S$425,19,FALSE))&gt;=AH444,TRUE,FALSE))</f>
        <v>1</v>
      </c>
      <c r="AJ444" s="158"/>
      <c r="AK444" s="158"/>
      <c r="AL444" s="158"/>
      <c r="AM444" s="158" t="b">
        <f>IF(AJ444="",TRUE,IF(IF(AK444="",VLOOKUP(AJ444,Calculs!$A$19:$S$425,19,FALSE),VLOOKUP(AK444,Calculs!$A$19:$S$425,19,FALSE))&gt;=AL444,TRUE,FALSE))</f>
        <v>1</v>
      </c>
      <c r="AN444" s="158"/>
      <c r="AO444" s="158"/>
      <c r="AP444" s="158"/>
      <c r="AQ444" s="158" t="b">
        <f>IF(AN444="",TRUE,IF(IF(AO444="",VLOOKUP(AN444,Calculs!$A$19:$S$425,19,FALSE),VLOOKUP(AO444,Calculs!$A$19:$S$425,19,FALSE))&gt;=AP444,TRUE,FALSE))</f>
        <v>1</v>
      </c>
      <c r="AR444" s="158"/>
      <c r="AS444" s="158" t="b">
        <f>IF(AR444="",TRUE,IF(VLOOKUP(AR444,Calculs!$A$427:$G$738,7,FALSE)&gt;0,TRUE,FALSE))</f>
        <v>1</v>
      </c>
      <c r="AT444" s="158"/>
      <c r="AU444" s="158" t="b">
        <f>IF(AT444="",TRUE,IF(VLOOKUP(AT444,Calculs!$A$740:$G$912,7,FALSE)&gt;0,TRUE,FALSE))</f>
        <v>1</v>
      </c>
      <c r="AV444" s="158" t="b">
        <f t="shared" si="45"/>
        <v>1</v>
      </c>
      <c r="AW444" s="158" t="s">
        <v>2078</v>
      </c>
      <c r="AX444" s="162" t="s">
        <v>3</v>
      </c>
      <c r="AY444" s="15">
        <v>229</v>
      </c>
      <c r="AZ444" s="555" t="s">
        <v>2305</v>
      </c>
      <c r="BA444" s="559">
        <f>IF(Verso!$B$10=Voies!$B444,1,0)</f>
        <v>0</v>
      </c>
      <c r="BB444" s="12">
        <f>IF(Verso!$B$11=Voies!$B444,1,0)</f>
        <v>0</v>
      </c>
      <c r="BC444" s="12">
        <f>IF(Verso!$B$12=Voies!$B444,1,0)</f>
        <v>0</v>
      </c>
      <c r="BD444" s="12">
        <f>IF(Verso!$B$13=Voies!$B444,1,0)</f>
        <v>0</v>
      </c>
      <c r="BE444" s="12">
        <f>IF(Verso!$B$14=Voies!$B444,1,0)</f>
        <v>0</v>
      </c>
      <c r="BF444" s="12">
        <f>IF(Verso!$B$15=Voies!$B444,1,0)</f>
        <v>0</v>
      </c>
      <c r="BG444" s="12">
        <f>IF(Verso!$B$16=Voies!$B444,1,0)</f>
        <v>0</v>
      </c>
      <c r="BH444" s="12">
        <f>IF(Verso!$B$17=Voies!$B444,1,0)</f>
        <v>0</v>
      </c>
      <c r="BI444" s="557">
        <f t="shared" si="46"/>
        <v>0</v>
      </c>
      <c r="BJ444" s="196" t="str">
        <f t="shared" si="47"/>
        <v/>
      </c>
      <c r="BK444" s="196" t="str">
        <f t="shared" si="48"/>
        <v/>
      </c>
      <c r="BL444" s="295" t="str">
        <f t="shared" si="49"/>
        <v/>
      </c>
    </row>
    <row r="445" spans="1:65" ht="47.25" customHeight="1" x14ac:dyDescent="0.25">
      <c r="A445" s="162" t="str">
        <f>IF(AND(Réputation&gt;Voies!E445-1,OR(C445=TRUE,Calculs!$I$8&gt;0),Air&gt;Voies!J445-1,Eau&gt;Voies!K445-1,Feu&gt;Voies!L445-1,Terre&gt;Voies!M445-1,Vide&gt;Voies!N445-1,Constitution&gt;Voies!O445-1,Volonté&gt;Voies!P445-1,Force&gt;Voies!Q445-1,Perception&gt;Voies!R445-1,Reflexes&gt;Voies!S445-1,Agilité&gt;Voies!T445-1,Intuition&gt;Voies!U445-1,Intelligence&gt;Voies!V445-1,Souillure&gt;Voies!W445-1,Honneur&gt;X445-1,Statut&gt;Y445-1,Gloire&gt;Z445-1,AV445=TRUE),Voies!B445,"")</f>
        <v/>
      </c>
      <c r="B445" s="162" t="s">
        <v>2294</v>
      </c>
      <c r="C445" s="162" t="b">
        <f>IF(Clan=Voies!D445,TRUE,FALSE)</f>
        <v>0</v>
      </c>
      <c r="D445" s="387" t="s">
        <v>47</v>
      </c>
      <c r="E445" s="13">
        <v>1</v>
      </c>
      <c r="F445" s="199">
        <v>1</v>
      </c>
      <c r="G445" s="199" t="s">
        <v>2052</v>
      </c>
      <c r="H445" s="219" t="s">
        <v>250</v>
      </c>
      <c r="I445" s="129" t="str">
        <f t="shared" si="52"/>
        <v>Rien</v>
      </c>
      <c r="J445" s="146">
        <v>0</v>
      </c>
      <c r="K445" s="147">
        <v>0</v>
      </c>
      <c r="L445" s="148">
        <v>0</v>
      </c>
      <c r="M445" s="149">
        <v>0</v>
      </c>
      <c r="N445" s="150">
        <v>0</v>
      </c>
      <c r="O445" s="130">
        <v>0</v>
      </c>
      <c r="P445" s="130">
        <v>0</v>
      </c>
      <c r="Q445" s="130">
        <v>0</v>
      </c>
      <c r="R445" s="130">
        <v>0</v>
      </c>
      <c r="S445" s="130">
        <v>0</v>
      </c>
      <c r="T445" s="130">
        <v>0</v>
      </c>
      <c r="U445" s="130">
        <v>0</v>
      </c>
      <c r="V445" s="524">
        <v>0</v>
      </c>
      <c r="W445" s="130">
        <v>0</v>
      </c>
      <c r="X445" s="130">
        <v>0</v>
      </c>
      <c r="Y445" s="130">
        <v>0</v>
      </c>
      <c r="Z445" s="130">
        <v>0</v>
      </c>
      <c r="AA445" s="158" t="s">
        <v>2078</v>
      </c>
      <c r="AB445" s="158"/>
      <c r="AC445" s="158"/>
      <c r="AD445" s="158"/>
      <c r="AE445" s="158" t="b">
        <f>IF(AB445="",TRUE,IF(IF(AC445="",VLOOKUP(AB445,Calculs!$A$19:$S$425,19,FALSE),VLOOKUP(AC445,Calculs!$A$19:$S$425,19,FALSE))&gt;=AD445,TRUE,FALSE))</f>
        <v>1</v>
      </c>
      <c r="AF445" s="158"/>
      <c r="AG445" s="158"/>
      <c r="AH445" s="158"/>
      <c r="AI445" s="158" t="b">
        <f>IF(AF445="",TRUE,IF(IF(AG445="",VLOOKUP(AF445,Calculs!$A$19:$S$425,19,FALSE),VLOOKUP(AG445,Calculs!$A$19:$S$425,19,FALSE))&gt;=AH445,TRUE,FALSE))</f>
        <v>1</v>
      </c>
      <c r="AJ445" s="158"/>
      <c r="AK445" s="158"/>
      <c r="AL445" s="158"/>
      <c r="AM445" s="158" t="b">
        <f>IF(AJ445="",TRUE,IF(IF(AK445="",VLOOKUP(AJ445,Calculs!$A$19:$S$425,19,FALSE),VLOOKUP(AK445,Calculs!$A$19:$S$425,19,FALSE))&gt;=AL445,TRUE,FALSE))</f>
        <v>1</v>
      </c>
      <c r="AN445" s="158"/>
      <c r="AO445" s="158"/>
      <c r="AP445" s="158"/>
      <c r="AQ445" s="158" t="b">
        <f>IF(AN445="",TRUE,IF(IF(AO445="",VLOOKUP(AN445,Calculs!$A$19:$S$425,19,FALSE),VLOOKUP(AO445,Calculs!$A$19:$S$425,19,FALSE))&gt;=AP445,TRUE,FALSE))</f>
        <v>1</v>
      </c>
      <c r="AR445" s="158"/>
      <c r="AS445" s="158" t="b">
        <f>IF(AR445="",TRUE,IF(VLOOKUP(AR445,Calculs!$A$427:$G$738,7,FALSE)&gt;0,TRUE,FALSE))</f>
        <v>1</v>
      </c>
      <c r="AT445" s="158"/>
      <c r="AU445" s="158" t="b">
        <f>IF(AT445="",TRUE,IF(VLOOKUP(AT445,Calculs!$A$740:$G$912,7,FALSE)&gt;0,TRUE,FALSE))</f>
        <v>1</v>
      </c>
      <c r="AV445" s="158" t="b">
        <f t="shared" si="45"/>
        <v>1</v>
      </c>
      <c r="AW445" s="158" t="s">
        <v>2078</v>
      </c>
      <c r="AX445" s="162" t="s">
        <v>3</v>
      </c>
      <c r="AY445" s="15">
        <v>229</v>
      </c>
      <c r="AZ445" s="555" t="s">
        <v>8576</v>
      </c>
      <c r="BA445" s="559">
        <f>IF(Verso!$B$10=Voies!$B445,1,0)</f>
        <v>0</v>
      </c>
      <c r="BB445" s="12">
        <f>IF(Verso!$B$11=Voies!$B445,1,0)</f>
        <v>0</v>
      </c>
      <c r="BC445" s="12">
        <f>IF(Verso!$B$12=Voies!$B445,1,0)</f>
        <v>0</v>
      </c>
      <c r="BD445" s="12">
        <f>IF(Verso!$B$13=Voies!$B445,1,0)</f>
        <v>0</v>
      </c>
      <c r="BE445" s="12">
        <f>IF(Verso!$B$14=Voies!$B445,1,0)</f>
        <v>0</v>
      </c>
      <c r="BF445" s="12">
        <f>IF(Verso!$B$15=Voies!$B445,1,0)</f>
        <v>0</v>
      </c>
      <c r="BG445" s="12">
        <f>IF(Verso!$B$16=Voies!$B445,1,0)</f>
        <v>0</v>
      </c>
      <c r="BH445" s="12">
        <f>IF(Verso!$B$17=Voies!$B445,1,0)</f>
        <v>0</v>
      </c>
      <c r="BI445" s="557">
        <f t="shared" si="46"/>
        <v>0</v>
      </c>
      <c r="BJ445" s="196" t="str">
        <f t="shared" si="47"/>
        <v/>
      </c>
      <c r="BK445" s="196" t="str">
        <f t="shared" si="48"/>
        <v/>
      </c>
      <c r="BL445" s="295" t="str">
        <f t="shared" si="49"/>
        <v/>
      </c>
    </row>
    <row r="446" spans="1:65" ht="47.25" customHeight="1" x14ac:dyDescent="0.25">
      <c r="A446" s="162" t="str">
        <f>IF(AND(Réputation&gt;Voies!E446-1,OR(C446=TRUE,Calculs!$I$8&gt;0),Air&gt;Voies!J446-1,Eau&gt;Voies!K446-1,Feu&gt;Voies!L446-1,Terre&gt;Voies!M446-1,Vide&gt;Voies!N446-1,Constitution&gt;Voies!O446-1,Volonté&gt;Voies!P446-1,Force&gt;Voies!Q446-1,Perception&gt;Voies!R446-1,Reflexes&gt;Voies!S446-1,Agilité&gt;Voies!T446-1,Intuition&gt;Voies!U446-1,Intelligence&gt;Voies!V446-1,Souillure&gt;Voies!W446-1,Honneur&gt;X446-1,Statut&gt;Y446-1,Gloire&gt;Z446-1,AV446=TRUE),Voies!B446,"")</f>
        <v/>
      </c>
      <c r="B446" s="162" t="s">
        <v>2288</v>
      </c>
      <c r="C446" s="162" t="b">
        <f>IF(Clan=Voies!D446,TRUE,FALSE)</f>
        <v>0</v>
      </c>
      <c r="D446" s="387" t="s">
        <v>47</v>
      </c>
      <c r="E446" s="13">
        <v>1</v>
      </c>
      <c r="F446" s="199">
        <v>1</v>
      </c>
      <c r="G446" s="13" t="s">
        <v>2052</v>
      </c>
      <c r="H446" s="219" t="s">
        <v>249</v>
      </c>
      <c r="I446" s="129" t="str">
        <f t="shared" si="52"/>
        <v>Rien</v>
      </c>
      <c r="J446" s="146">
        <v>0</v>
      </c>
      <c r="K446" s="147">
        <v>0</v>
      </c>
      <c r="L446" s="148">
        <v>0</v>
      </c>
      <c r="M446" s="149">
        <v>0</v>
      </c>
      <c r="N446" s="150">
        <v>0</v>
      </c>
      <c r="O446" s="130">
        <v>0</v>
      </c>
      <c r="P446" s="130">
        <v>0</v>
      </c>
      <c r="Q446" s="130">
        <v>0</v>
      </c>
      <c r="R446" s="130">
        <v>0</v>
      </c>
      <c r="S446" s="130">
        <v>0</v>
      </c>
      <c r="T446" s="130">
        <v>0</v>
      </c>
      <c r="U446" s="130">
        <v>0</v>
      </c>
      <c r="V446" s="524">
        <v>0</v>
      </c>
      <c r="W446" s="130">
        <v>0</v>
      </c>
      <c r="X446" s="130">
        <v>0</v>
      </c>
      <c r="Y446" s="130">
        <v>0</v>
      </c>
      <c r="Z446" s="130">
        <v>0</v>
      </c>
      <c r="AA446" s="158" t="s">
        <v>2078</v>
      </c>
      <c r="AB446" s="158"/>
      <c r="AC446" s="158"/>
      <c r="AD446" s="158"/>
      <c r="AE446" s="158" t="b">
        <f>IF(AB446="",TRUE,IF(IF(AC446="",VLOOKUP(AB446,Calculs!$A$19:$S$425,19,FALSE),VLOOKUP(AC446,Calculs!$A$19:$S$425,19,FALSE))&gt;=AD446,TRUE,FALSE))</f>
        <v>1</v>
      </c>
      <c r="AF446" s="158"/>
      <c r="AG446" s="158"/>
      <c r="AH446" s="158"/>
      <c r="AI446" s="158" t="b">
        <f>IF(AF446="",TRUE,IF(IF(AG446="",VLOOKUP(AF446,Calculs!$A$19:$S$425,19,FALSE),VLOOKUP(AG446,Calculs!$A$19:$S$425,19,FALSE))&gt;=AH446,TRUE,FALSE))</f>
        <v>1</v>
      </c>
      <c r="AJ446" s="158"/>
      <c r="AK446" s="158"/>
      <c r="AL446" s="158"/>
      <c r="AM446" s="158" t="b">
        <f>IF(AJ446="",TRUE,IF(IF(AK446="",VLOOKUP(AJ446,Calculs!$A$19:$S$425,19,FALSE),VLOOKUP(AK446,Calculs!$A$19:$S$425,19,FALSE))&gt;=AL446,TRUE,FALSE))</f>
        <v>1</v>
      </c>
      <c r="AN446" s="158"/>
      <c r="AO446" s="158"/>
      <c r="AP446" s="158"/>
      <c r="AQ446" s="158" t="b">
        <f>IF(AN446="",TRUE,IF(IF(AO446="",VLOOKUP(AN446,Calculs!$A$19:$S$425,19,FALSE),VLOOKUP(AO446,Calculs!$A$19:$S$425,19,FALSE))&gt;=AP446,TRUE,FALSE))</f>
        <v>1</v>
      </c>
      <c r="AR446" s="158"/>
      <c r="AS446" s="158" t="b">
        <f>IF(AR446="",TRUE,IF(VLOOKUP(AR446,Calculs!$A$427:$G$738,7,FALSE)&gt;0,TRUE,FALSE))</f>
        <v>1</v>
      </c>
      <c r="AT446" s="158"/>
      <c r="AU446" s="158" t="b">
        <f>IF(AT446="",TRUE,IF(VLOOKUP(AT446,Calculs!$A$740:$G$912,7,FALSE)&gt;0,TRUE,FALSE))</f>
        <v>1</v>
      </c>
      <c r="AV446" s="158" t="b">
        <f t="shared" si="45"/>
        <v>1</v>
      </c>
      <c r="AW446" s="158" t="s">
        <v>2078</v>
      </c>
      <c r="AX446" s="162" t="s">
        <v>3</v>
      </c>
      <c r="AY446" s="15">
        <v>228</v>
      </c>
      <c r="AZ446" s="555" t="s">
        <v>8577</v>
      </c>
      <c r="BA446" s="559">
        <f>IF(Verso!$B$10=Voies!$B446,1,0)</f>
        <v>0</v>
      </c>
      <c r="BB446" s="12">
        <f>IF(Verso!$B$11=Voies!$B446,1,0)</f>
        <v>0</v>
      </c>
      <c r="BC446" s="12">
        <f>IF(Verso!$B$12=Voies!$B446,1,0)</f>
        <v>0</v>
      </c>
      <c r="BD446" s="12">
        <f>IF(Verso!$B$13=Voies!$B446,1,0)</f>
        <v>0</v>
      </c>
      <c r="BE446" s="12">
        <f>IF(Verso!$B$14=Voies!$B446,1,0)</f>
        <v>0</v>
      </c>
      <c r="BF446" s="12">
        <f>IF(Verso!$B$15=Voies!$B446,1,0)</f>
        <v>0</v>
      </c>
      <c r="BG446" s="12">
        <f>IF(Verso!$B$16=Voies!$B446,1,0)</f>
        <v>0</v>
      </c>
      <c r="BH446" s="12">
        <f>IF(Verso!$B$17=Voies!$B446,1,0)</f>
        <v>0</v>
      </c>
      <c r="BI446" s="557">
        <f t="shared" si="46"/>
        <v>0</v>
      </c>
      <c r="BJ446" s="196" t="str">
        <f t="shared" si="47"/>
        <v/>
      </c>
      <c r="BK446" s="196" t="str">
        <f t="shared" si="48"/>
        <v/>
      </c>
      <c r="BL446" s="295" t="str">
        <f t="shared" si="49"/>
        <v/>
      </c>
    </row>
    <row r="447" spans="1:65" ht="47.25" customHeight="1" x14ac:dyDescent="0.25">
      <c r="A447" s="162" t="str">
        <f>IF(AND(Réputation&gt;Voies!E447-1,OR(C447=TRUE,Calculs!$I$8&gt;0),Air&gt;Voies!J447-1,Eau&gt;Voies!K447-1,Feu&gt;Voies!L447-1,Terre&gt;Voies!M447-1,Vide&gt;Voies!N447-1,Constitution&gt;Voies!O447-1,Volonté&gt;Voies!P447-1,Force&gt;Voies!Q447-1,Perception&gt;Voies!R447-1,Reflexes&gt;Voies!S447-1,Agilité&gt;Voies!T447-1,Intuition&gt;Voies!U447-1,Intelligence&gt;Voies!V447-1,Souillure&gt;Voies!W447-1,Honneur&gt;X447-1,Statut&gt;Y447-1,Gloire&gt;Z447-1,AV447=TRUE),Voies!B447,"")</f>
        <v/>
      </c>
      <c r="B447" s="162" t="s">
        <v>2311</v>
      </c>
      <c r="C447" s="162" t="b">
        <f>IF(Clan=Voies!D447,TRUE,FALSE)</f>
        <v>0</v>
      </c>
      <c r="D447" s="387" t="s">
        <v>47</v>
      </c>
      <c r="E447" s="13">
        <v>1</v>
      </c>
      <c r="F447" s="199">
        <v>1</v>
      </c>
      <c r="G447" s="13" t="s">
        <v>2048</v>
      </c>
      <c r="H447" s="219" t="s">
        <v>252</v>
      </c>
      <c r="I447" s="129" t="str">
        <f t="shared" si="52"/>
        <v>Rien</v>
      </c>
      <c r="J447" s="146">
        <v>0</v>
      </c>
      <c r="K447" s="147">
        <v>0</v>
      </c>
      <c r="L447" s="148">
        <v>0</v>
      </c>
      <c r="M447" s="149">
        <v>0</v>
      </c>
      <c r="N447" s="150">
        <v>0</v>
      </c>
      <c r="O447" s="130">
        <v>0</v>
      </c>
      <c r="P447" s="130">
        <v>0</v>
      </c>
      <c r="Q447" s="130">
        <v>0</v>
      </c>
      <c r="R447" s="130">
        <v>0</v>
      </c>
      <c r="S447" s="130">
        <v>0</v>
      </c>
      <c r="T447" s="130">
        <v>0</v>
      </c>
      <c r="U447" s="130">
        <v>0</v>
      </c>
      <c r="V447" s="524">
        <v>0</v>
      </c>
      <c r="W447" s="130">
        <v>0</v>
      </c>
      <c r="X447" s="130">
        <v>0</v>
      </c>
      <c r="Y447" s="130">
        <v>0</v>
      </c>
      <c r="Z447" s="130">
        <v>0</v>
      </c>
      <c r="AA447" s="158" t="s">
        <v>2078</v>
      </c>
      <c r="AB447" s="158"/>
      <c r="AC447" s="158"/>
      <c r="AD447" s="158"/>
      <c r="AE447" s="158" t="b">
        <f>IF(AB447="",TRUE,IF(IF(AC447="",VLOOKUP(AB447,Calculs!$A$19:$S$425,19,FALSE),VLOOKUP(AC447,Calculs!$A$19:$S$425,19,FALSE))&gt;=AD447,TRUE,FALSE))</f>
        <v>1</v>
      </c>
      <c r="AF447" s="158"/>
      <c r="AG447" s="158"/>
      <c r="AH447" s="158"/>
      <c r="AI447" s="158" t="b">
        <f>IF(AF447="",TRUE,IF(IF(AG447="",VLOOKUP(AF447,Calculs!$A$19:$S$425,19,FALSE),VLOOKUP(AG447,Calculs!$A$19:$S$425,19,FALSE))&gt;=AH447,TRUE,FALSE))</f>
        <v>1</v>
      </c>
      <c r="AJ447" s="158"/>
      <c r="AK447" s="158"/>
      <c r="AL447" s="158"/>
      <c r="AM447" s="158" t="b">
        <f>IF(AJ447="",TRUE,IF(IF(AK447="",VLOOKUP(AJ447,Calculs!$A$19:$S$425,19,FALSE),VLOOKUP(AK447,Calculs!$A$19:$S$425,19,FALSE))&gt;=AL447,TRUE,FALSE))</f>
        <v>1</v>
      </c>
      <c r="AN447" s="158"/>
      <c r="AO447" s="158"/>
      <c r="AP447" s="158"/>
      <c r="AQ447" s="158" t="b">
        <f>IF(AN447="",TRUE,IF(IF(AO447="",VLOOKUP(AN447,Calculs!$A$19:$S$425,19,FALSE),VLOOKUP(AO447,Calculs!$A$19:$S$425,19,FALSE))&gt;=AP447,TRUE,FALSE))</f>
        <v>1</v>
      </c>
      <c r="AR447" s="158"/>
      <c r="AS447" s="158" t="b">
        <f>IF(AR447="",TRUE,IF(VLOOKUP(AR447,Calculs!$A$427:$G$738,7,FALSE)&gt;0,TRUE,FALSE))</f>
        <v>1</v>
      </c>
      <c r="AT447" s="158"/>
      <c r="AU447" s="158" t="b">
        <f>IF(AT447="",TRUE,IF(VLOOKUP(AT447,Calculs!$A$740:$G$912,7,FALSE)&gt;0,TRUE,FALSE))</f>
        <v>1</v>
      </c>
      <c r="AV447" s="158" t="b">
        <f t="shared" si="45"/>
        <v>1</v>
      </c>
      <c r="AW447" s="158" t="s">
        <v>2078</v>
      </c>
      <c r="AX447" s="162" t="s">
        <v>3</v>
      </c>
      <c r="AY447" s="15">
        <v>230</v>
      </c>
      <c r="AZ447" s="555" t="s">
        <v>2314</v>
      </c>
      <c r="BA447" s="559">
        <f>IF(Verso!$B$10=Voies!$B447,1,0)</f>
        <v>0</v>
      </c>
      <c r="BB447" s="12">
        <f>IF(Verso!$B$11=Voies!$B447,1,0)</f>
        <v>0</v>
      </c>
      <c r="BC447" s="12">
        <f>IF(Verso!$B$12=Voies!$B447,1,0)</f>
        <v>0</v>
      </c>
      <c r="BD447" s="12">
        <f>IF(Verso!$B$13=Voies!$B447,1,0)</f>
        <v>0</v>
      </c>
      <c r="BE447" s="12">
        <f>IF(Verso!$B$14=Voies!$B447,1,0)</f>
        <v>0</v>
      </c>
      <c r="BF447" s="12">
        <f>IF(Verso!$B$15=Voies!$B447,1,0)</f>
        <v>0</v>
      </c>
      <c r="BG447" s="12">
        <f>IF(Verso!$B$16=Voies!$B447,1,0)</f>
        <v>0</v>
      </c>
      <c r="BH447" s="12">
        <f>IF(Verso!$B$17=Voies!$B447,1,0)</f>
        <v>0</v>
      </c>
      <c r="BI447" s="557">
        <f t="shared" si="46"/>
        <v>0</v>
      </c>
      <c r="BJ447" s="196" t="str">
        <f t="shared" si="47"/>
        <v/>
      </c>
      <c r="BK447" s="196" t="str">
        <f t="shared" si="48"/>
        <v/>
      </c>
      <c r="BL447" s="295" t="str">
        <f t="shared" si="49"/>
        <v/>
      </c>
    </row>
    <row r="448" spans="1:65" ht="47.25" customHeight="1" x14ac:dyDescent="0.25">
      <c r="A448" s="162" t="str">
        <f>IF(AND(Réputation&gt;Voies!E448-1,OR(C448=TRUE,Calculs!$I$8&gt;0),Air&gt;Voies!J448-1,Eau&gt;Voies!K448-1,Feu&gt;Voies!L448-1,Terre&gt;Voies!M448-1,Vide&gt;Voies!N448-1,Constitution&gt;Voies!O448-1,Volonté&gt;Voies!P448-1,Force&gt;Voies!Q448-1,Perception&gt;Voies!R448-1,Reflexes&gt;Voies!S448-1,Agilité&gt;Voies!T448-1,Intuition&gt;Voies!U448-1,Intelligence&gt;Voies!V448-1,Souillure&gt;Voies!W448-1,Honneur&gt;X448-1,Statut&gt;Y448-1,Gloire&gt;Z448-1,AV448=TRUE),Voies!B448,"")</f>
        <v/>
      </c>
      <c r="B448" s="162" t="s">
        <v>3745</v>
      </c>
      <c r="C448" s="162" t="b">
        <f>IF(Clan=Voies!D448,TRUE,FALSE)</f>
        <v>0</v>
      </c>
      <c r="D448" s="387" t="s">
        <v>47</v>
      </c>
      <c r="E448" s="13">
        <v>2</v>
      </c>
      <c r="F448" s="199">
        <v>2</v>
      </c>
      <c r="G448" s="157" t="s">
        <v>2078</v>
      </c>
      <c r="H448" s="219" t="s">
        <v>549</v>
      </c>
      <c r="I448" s="129" t="s">
        <v>3744</v>
      </c>
      <c r="J448" s="146">
        <v>0</v>
      </c>
      <c r="K448" s="147">
        <v>0</v>
      </c>
      <c r="L448" s="148">
        <v>0</v>
      </c>
      <c r="M448" s="149">
        <v>0</v>
      </c>
      <c r="N448" s="150">
        <v>0</v>
      </c>
      <c r="O448" s="130">
        <v>0</v>
      </c>
      <c r="P448" s="130">
        <v>0</v>
      </c>
      <c r="Q448" s="130">
        <v>0</v>
      </c>
      <c r="R448" s="130">
        <v>0</v>
      </c>
      <c r="S448" s="130">
        <v>0</v>
      </c>
      <c r="T448" s="130">
        <v>0</v>
      </c>
      <c r="U448" s="130">
        <v>0</v>
      </c>
      <c r="V448" s="524">
        <v>0</v>
      </c>
      <c r="W448" s="130">
        <v>0</v>
      </c>
      <c r="X448" s="130">
        <v>0</v>
      </c>
      <c r="Y448" s="130">
        <v>0</v>
      </c>
      <c r="Z448" s="130">
        <v>0</v>
      </c>
      <c r="AA448" s="159" t="s">
        <v>6339</v>
      </c>
      <c r="AB448" s="159" t="s">
        <v>3325</v>
      </c>
      <c r="AC448" s="159" t="s">
        <v>3284</v>
      </c>
      <c r="AD448" s="159">
        <v>3</v>
      </c>
      <c r="AE448" s="158" t="b">
        <f>IF(AB448="",TRUE,IF(IF(AC448="",VLOOKUP(AB448,Calculs!$A$19:$S$425,19,FALSE),VLOOKUP(AC448,Calculs!$A$19:$S$425,19,FALSE))&gt;=AD448,TRUE,FALSE))</f>
        <v>0</v>
      </c>
      <c r="AI448" s="158" t="b">
        <f>IF(AF448="",TRUE,IF(IF(AG448="",VLOOKUP(AF448,Calculs!$A$19:$S$425,19,FALSE),VLOOKUP(AG448,Calculs!$A$19:$S$425,19,FALSE))&gt;=AH448,TRUE,FALSE))</f>
        <v>1</v>
      </c>
      <c r="AM448" s="158" t="b">
        <f>IF(AJ448="",TRUE,IF(IF(AK448="",VLOOKUP(AJ448,Calculs!$A$19:$S$425,19,FALSE),VLOOKUP(AK448,Calculs!$A$19:$S$425,19,FALSE))&gt;=AL448,TRUE,FALSE))</f>
        <v>1</v>
      </c>
      <c r="AQ448" s="158" t="b">
        <f>IF(AN448="",TRUE,IF(IF(AO448="",VLOOKUP(AN448,Calculs!$A$19:$S$425,19,FALSE),VLOOKUP(AO448,Calculs!$A$19:$S$425,19,FALSE))&gt;=AP448,TRUE,FALSE))</f>
        <v>1</v>
      </c>
      <c r="AR448" s="158"/>
      <c r="AS448" s="158" t="b">
        <f>IF(AR448="",TRUE,IF(VLOOKUP(AR448,Calculs!$A$427:$G$738,7,FALSE)&gt;0,TRUE,FALSE))</f>
        <v>1</v>
      </c>
      <c r="AT448" s="158"/>
      <c r="AU448" s="158" t="b">
        <f>IF(AT448="",TRUE,IF(VLOOKUP(AT448,Calculs!$A$740:$G$912,7,FALSE)&gt;0,TRUE,FALSE))</f>
        <v>1</v>
      </c>
      <c r="AV448" s="158" t="b">
        <f t="shared" si="45"/>
        <v>0</v>
      </c>
      <c r="AW448" s="158" t="s">
        <v>2078</v>
      </c>
      <c r="AX448" s="162" t="s">
        <v>2921</v>
      </c>
      <c r="AY448" s="15">
        <v>256</v>
      </c>
      <c r="AZ448" s="555" t="s">
        <v>8578</v>
      </c>
      <c r="BA448" s="559">
        <f>IF(Verso!$B$10=Voies!$B448,1,0)</f>
        <v>0</v>
      </c>
      <c r="BB448" s="12">
        <f>IF(Verso!$B$11=Voies!$B448,1,0)</f>
        <v>0</v>
      </c>
      <c r="BC448" s="12">
        <f>IF(Verso!$B$12=Voies!$B448,1,0)</f>
        <v>0</v>
      </c>
      <c r="BD448" s="12">
        <f>IF(Verso!$B$13=Voies!$B448,1,0)</f>
        <v>0</v>
      </c>
      <c r="BE448" s="12">
        <f>IF(Verso!$B$14=Voies!$B448,1,0)</f>
        <v>0</v>
      </c>
      <c r="BF448" s="12">
        <f>IF(Verso!$B$15=Voies!$B448,1,0)</f>
        <v>0</v>
      </c>
      <c r="BG448" s="12">
        <f>IF(Verso!$B$16=Voies!$B448,1,0)</f>
        <v>0</v>
      </c>
      <c r="BH448" s="12">
        <f>IF(Verso!$B$17=Voies!$B448,1,0)</f>
        <v>0</v>
      </c>
      <c r="BI448" s="557">
        <f t="shared" si="46"/>
        <v>0</v>
      </c>
      <c r="BJ448" s="196" t="str">
        <f t="shared" si="47"/>
        <v/>
      </c>
      <c r="BK448" s="196" t="str">
        <f t="shared" si="48"/>
        <v/>
      </c>
      <c r="BL448" s="295" t="str">
        <f t="shared" si="49"/>
        <v/>
      </c>
    </row>
    <row r="449" spans="1:65" ht="47.25" customHeight="1" x14ac:dyDescent="0.25">
      <c r="A449" s="162" t="str">
        <f>IF(AND(Réputation&gt;Voies!E449-1,OR(C449=TRUE,Calculs!$I$8&gt;0),Air&gt;Voies!J449-1,Eau&gt;Voies!K449-1,Feu&gt;Voies!L449-1,Terre&gt;Voies!M449-1,Vide&gt;Voies!N449-1,Constitution&gt;Voies!O449-1,Volonté&gt;Voies!P449-1,Force&gt;Voies!Q449-1,Perception&gt;Voies!R449-1,Reflexes&gt;Voies!S449-1,Agilité&gt;Voies!T449-1,Intuition&gt;Voies!U449-1,Intelligence&gt;Voies!V449-1,Souillure&gt;Voies!W449-1,Honneur&gt;X449-1,Statut&gt;Y449-1,Gloire&gt;Z449-1,AV449=TRUE),Voies!B449,"")</f>
        <v/>
      </c>
      <c r="B449" s="162" t="s">
        <v>2306</v>
      </c>
      <c r="C449" s="162" t="b">
        <f>IF(Clan=Voies!D449,TRUE,FALSE)</f>
        <v>0</v>
      </c>
      <c r="D449" s="387" t="s">
        <v>47</v>
      </c>
      <c r="E449" s="13">
        <v>2</v>
      </c>
      <c r="F449" s="199">
        <v>2</v>
      </c>
      <c r="G449" s="13" t="s">
        <v>2049</v>
      </c>
      <c r="H449" s="219" t="s">
        <v>251</v>
      </c>
      <c r="I449" s="129" t="str">
        <f>IF(B449="","","Rien")</f>
        <v>Rien</v>
      </c>
      <c r="J449" s="146">
        <v>0</v>
      </c>
      <c r="K449" s="147">
        <v>0</v>
      </c>
      <c r="L449" s="148">
        <v>0</v>
      </c>
      <c r="M449" s="149">
        <v>0</v>
      </c>
      <c r="N449" s="150">
        <v>0</v>
      </c>
      <c r="O449" s="130">
        <v>0</v>
      </c>
      <c r="P449" s="130">
        <v>0</v>
      </c>
      <c r="Q449" s="130">
        <v>0</v>
      </c>
      <c r="R449" s="130">
        <v>0</v>
      </c>
      <c r="S449" s="130">
        <v>0</v>
      </c>
      <c r="T449" s="130">
        <v>0</v>
      </c>
      <c r="U449" s="130">
        <v>0</v>
      </c>
      <c r="V449" s="524">
        <v>0</v>
      </c>
      <c r="W449" s="130">
        <v>0</v>
      </c>
      <c r="X449" s="130">
        <v>0</v>
      </c>
      <c r="Y449" s="130">
        <v>0</v>
      </c>
      <c r="Z449" s="130">
        <v>0</v>
      </c>
      <c r="AA449" s="158" t="s">
        <v>2078</v>
      </c>
      <c r="AB449" s="158"/>
      <c r="AC449" s="158"/>
      <c r="AD449" s="158"/>
      <c r="AE449" s="158" t="b">
        <f>IF(AB449="",TRUE,IF(IF(AC449="",VLOOKUP(AB449,Calculs!$A$19:$S$425,19,FALSE),VLOOKUP(AC449,Calculs!$A$19:$S$425,19,FALSE))&gt;=AD449,TRUE,FALSE))</f>
        <v>1</v>
      </c>
      <c r="AF449" s="158"/>
      <c r="AG449" s="158"/>
      <c r="AH449" s="158"/>
      <c r="AI449" s="158" t="b">
        <f>IF(AF449="",TRUE,IF(IF(AG449="",VLOOKUP(AF449,Calculs!$A$19:$S$425,19,FALSE),VLOOKUP(AG449,Calculs!$A$19:$S$425,19,FALSE))&gt;=AH449,TRUE,FALSE))</f>
        <v>1</v>
      </c>
      <c r="AJ449" s="158"/>
      <c r="AK449" s="158"/>
      <c r="AL449" s="158"/>
      <c r="AM449" s="158" t="b">
        <f>IF(AJ449="",TRUE,IF(IF(AK449="",VLOOKUP(AJ449,Calculs!$A$19:$S$425,19,FALSE),VLOOKUP(AK449,Calculs!$A$19:$S$425,19,FALSE))&gt;=AL449,TRUE,FALSE))</f>
        <v>1</v>
      </c>
      <c r="AN449" s="158"/>
      <c r="AO449" s="158"/>
      <c r="AP449" s="158"/>
      <c r="AQ449" s="158" t="b">
        <f>IF(AN449="",TRUE,IF(IF(AO449="",VLOOKUP(AN449,Calculs!$A$19:$S$425,19,FALSE),VLOOKUP(AO449,Calculs!$A$19:$S$425,19,FALSE))&gt;=AP449,TRUE,FALSE))</f>
        <v>1</v>
      </c>
      <c r="AR449" s="158"/>
      <c r="AS449" s="158" t="b">
        <f>IF(AR449="",TRUE,IF(VLOOKUP(AR449,Calculs!$A$427:$G$738,7,FALSE)&gt;0,TRUE,FALSE))</f>
        <v>1</v>
      </c>
      <c r="AT449" s="158"/>
      <c r="AU449" s="158" t="b">
        <f>IF(AT449="",TRUE,IF(VLOOKUP(AT449,Calculs!$A$740:$G$912,7,FALSE)&gt;0,TRUE,FALSE))</f>
        <v>1</v>
      </c>
      <c r="AV449" s="158" t="b">
        <f t="shared" si="45"/>
        <v>1</v>
      </c>
      <c r="AW449" s="158" t="s">
        <v>2078</v>
      </c>
      <c r="AX449" s="162" t="s">
        <v>3</v>
      </c>
      <c r="AY449" s="15">
        <v>230</v>
      </c>
      <c r="AZ449" s="555" t="str">
        <f>CONCATENATE("Dépensez un Pvide au début de votre tour pour ajouter ",Honneur," au total de vos jets d'Attaque et de Dommages jusqu'à la fin du Round.")</f>
        <v>Dépensez un Pvide au début de votre tour pour ajouter 0 au total de vos jets d'Attaque et de Dommages jusqu'à la fin du Round.</v>
      </c>
      <c r="BA449" s="559">
        <f>IF(Verso!$B$10=Voies!$B449,1,0)</f>
        <v>0</v>
      </c>
      <c r="BB449" s="12">
        <f>IF(Verso!$B$11=Voies!$B449,1,0)</f>
        <v>0</v>
      </c>
      <c r="BC449" s="12">
        <f>IF(Verso!$B$12=Voies!$B449,1,0)</f>
        <v>0</v>
      </c>
      <c r="BD449" s="12">
        <f>IF(Verso!$B$13=Voies!$B449,1,0)</f>
        <v>0</v>
      </c>
      <c r="BE449" s="12">
        <f>IF(Verso!$B$14=Voies!$B449,1,0)</f>
        <v>0</v>
      </c>
      <c r="BF449" s="12">
        <f>IF(Verso!$B$15=Voies!$B449,1,0)</f>
        <v>0</v>
      </c>
      <c r="BG449" s="12">
        <f>IF(Verso!$B$16=Voies!$B449,1,0)</f>
        <v>0</v>
      </c>
      <c r="BH449" s="12">
        <f>IF(Verso!$B$17=Voies!$B449,1,0)</f>
        <v>0</v>
      </c>
      <c r="BI449" s="557">
        <f t="shared" si="46"/>
        <v>0</v>
      </c>
      <c r="BJ449" s="196" t="str">
        <f t="shared" si="47"/>
        <v/>
      </c>
      <c r="BK449" s="196" t="str">
        <f t="shared" si="48"/>
        <v/>
      </c>
      <c r="BL449" s="295" t="str">
        <f t="shared" si="49"/>
        <v/>
      </c>
    </row>
    <row r="450" spans="1:65" ht="47.25" customHeight="1" x14ac:dyDescent="0.25">
      <c r="A450" s="162" t="str">
        <f>IF(AND(Réputation&gt;Voies!E450-1,OR(C450=TRUE,Calculs!$I$8&gt;0),Air&gt;Voies!J450-1,Eau&gt;Voies!K450-1,Feu&gt;Voies!L450-1,Terre&gt;Voies!M450-1,Vide&gt;Voies!N450-1,Constitution&gt;Voies!O450-1,Volonté&gt;Voies!P450-1,Force&gt;Voies!Q450-1,Perception&gt;Voies!R450-1,Reflexes&gt;Voies!S450-1,Agilité&gt;Voies!T450-1,Intuition&gt;Voies!U450-1,Intelligence&gt;Voies!V450-1,Souillure&gt;Voies!W450-1,Honneur&gt;X450-1,Statut&gt;Y450-1,Gloire&gt;Z450-1,AV450=TRUE),Voies!B450,"")</f>
        <v/>
      </c>
      <c r="B450" s="162" t="s">
        <v>3748</v>
      </c>
      <c r="C450" s="162" t="b">
        <f>IF(Clan=Voies!D450,TRUE,FALSE)</f>
        <v>0</v>
      </c>
      <c r="D450" s="387" t="s">
        <v>47</v>
      </c>
      <c r="E450" s="13">
        <v>2</v>
      </c>
      <c r="F450" s="199">
        <v>2</v>
      </c>
      <c r="G450" s="13" t="s">
        <v>2049</v>
      </c>
      <c r="H450" s="219" t="s">
        <v>557</v>
      </c>
      <c r="I450" s="129" t="s">
        <v>3744</v>
      </c>
      <c r="J450" s="146">
        <v>0</v>
      </c>
      <c r="K450" s="147">
        <v>0</v>
      </c>
      <c r="L450" s="148">
        <v>0</v>
      </c>
      <c r="M450" s="149">
        <v>0</v>
      </c>
      <c r="N450" s="150">
        <v>0</v>
      </c>
      <c r="O450" s="130">
        <v>0</v>
      </c>
      <c r="P450" s="130">
        <v>0</v>
      </c>
      <c r="Q450" s="130">
        <v>0</v>
      </c>
      <c r="R450" s="130">
        <v>0</v>
      </c>
      <c r="S450" s="130">
        <v>0</v>
      </c>
      <c r="T450" s="130">
        <v>0</v>
      </c>
      <c r="U450" s="130">
        <v>0</v>
      </c>
      <c r="V450" s="524">
        <v>0</v>
      </c>
      <c r="W450" s="130">
        <v>0</v>
      </c>
      <c r="X450" s="130">
        <v>0</v>
      </c>
      <c r="Y450" s="130">
        <v>0</v>
      </c>
      <c r="Z450" s="130">
        <v>0</v>
      </c>
      <c r="AA450" s="159" t="s">
        <v>3747</v>
      </c>
      <c r="AB450" s="159" t="s">
        <v>228</v>
      </c>
      <c r="AD450" s="159">
        <v>4</v>
      </c>
      <c r="AE450" s="158" t="b">
        <f>IF(AB450="",TRUE,IF(IF(AC450="",VLOOKUP(AB450,Calculs!$A$19:$S$425,19,FALSE),VLOOKUP(AC450,Calculs!$A$19:$S$425,19,FALSE))&gt;=AD450,TRUE,FALSE))</f>
        <v>0</v>
      </c>
      <c r="AI450" s="158" t="b">
        <f>IF(AF450="",TRUE,IF(IF(AG450="",VLOOKUP(AF450,Calculs!$A$19:$S$425,19,FALSE),VLOOKUP(AG450,Calculs!$A$19:$S$425,19,FALSE))&gt;=AH450,TRUE,FALSE))</f>
        <v>1</v>
      </c>
      <c r="AM450" s="158" t="b">
        <f>IF(AJ450="",TRUE,IF(IF(AK450="",VLOOKUP(AJ450,Calculs!$A$19:$S$425,19,FALSE),VLOOKUP(AK450,Calculs!$A$19:$S$425,19,FALSE))&gt;=AL450,TRUE,FALSE))</f>
        <v>1</v>
      </c>
      <c r="AQ450" s="158" t="b">
        <f>IF(AN450="",TRUE,IF(IF(AO450="",VLOOKUP(AN450,Calculs!$A$19:$S$425,19,FALSE),VLOOKUP(AO450,Calculs!$A$19:$S$425,19,FALSE))&gt;=AP450,TRUE,FALSE))</f>
        <v>1</v>
      </c>
      <c r="AR450" s="158"/>
      <c r="AS450" s="158" t="b">
        <f>IF(AR450="",TRUE,IF(VLOOKUP(AR450,Calculs!$A$427:$G$738,7,FALSE)&gt;0,TRUE,FALSE))</f>
        <v>1</v>
      </c>
      <c r="AT450" s="158"/>
      <c r="AU450" s="158" t="b">
        <f>IF(AT450="",TRUE,IF(VLOOKUP(AT450,Calculs!$A$740:$G$912,7,FALSE)&gt;0,TRUE,FALSE))</f>
        <v>1</v>
      </c>
      <c r="AV450" s="158" t="b">
        <f t="shared" si="45"/>
        <v>0</v>
      </c>
      <c r="AW450" s="158" t="s">
        <v>2078</v>
      </c>
      <c r="AX450" s="162" t="s">
        <v>2921</v>
      </c>
      <c r="AY450" s="15">
        <v>103</v>
      </c>
      <c r="AZ450" s="555" t="str">
        <f>CONCATENATE("Votre Statut est égal à ",Statut+1," dans les colonies et qd vs êtes en Posture de Défense ou Esquive et que votre adv. Manque une atk contre vs, vous pouvez immédiatement changer votre Posture pour Attaque mais perdez tous les bonus au ND d'Armure de votre ancienne Posture.")</f>
        <v>Votre Statut est égal à 2 dans les colonies et qd vs êtes en Posture de Défense ou Esquive et que votre adv. Manque une atk contre vs, vous pouvez immédiatement changer votre Posture pour Attaque mais perdez tous les bonus au ND d'Armure de votre ancienne Posture.</v>
      </c>
      <c r="BA450" s="559">
        <f>IF(Verso!$B$10=Voies!$B450,1,0)</f>
        <v>0</v>
      </c>
      <c r="BB450" s="12">
        <f>IF(Verso!$B$11=Voies!$B450,1,0)</f>
        <v>0</v>
      </c>
      <c r="BC450" s="12">
        <f>IF(Verso!$B$12=Voies!$B450,1,0)</f>
        <v>0</v>
      </c>
      <c r="BD450" s="12">
        <f>IF(Verso!$B$13=Voies!$B450,1,0)</f>
        <v>0</v>
      </c>
      <c r="BE450" s="12">
        <f>IF(Verso!$B$14=Voies!$B450,1,0)</f>
        <v>0</v>
      </c>
      <c r="BF450" s="12">
        <f>IF(Verso!$B$15=Voies!$B450,1,0)</f>
        <v>0</v>
      </c>
      <c r="BG450" s="12">
        <f>IF(Verso!$B$16=Voies!$B450,1,0)</f>
        <v>0</v>
      </c>
      <c r="BH450" s="12">
        <f>IF(Verso!$B$17=Voies!$B450,1,0)</f>
        <v>0</v>
      </c>
      <c r="BI450" s="557">
        <f t="shared" si="46"/>
        <v>0</v>
      </c>
      <c r="BJ450" s="196" t="str">
        <f t="shared" si="47"/>
        <v/>
      </c>
      <c r="BK450" s="196" t="str">
        <f t="shared" si="48"/>
        <v/>
      </c>
      <c r="BL450" s="295" t="str">
        <f t="shared" si="49"/>
        <v/>
      </c>
    </row>
    <row r="451" spans="1:65" ht="47.25" customHeight="1" x14ac:dyDescent="0.25">
      <c r="A451" s="162" t="str">
        <f>IF(AND(Réputation&gt;Voies!E451-1,OR(C451=TRUE,Calculs!$I$8&gt;0),Air&gt;Voies!J451-1,Eau&gt;Voies!K451-1,Feu&gt;Voies!L451-1,Terre&gt;Voies!M451-1,Vide&gt;Voies!N451-1,Constitution&gt;Voies!O451-1,Volonté&gt;Voies!P451-1,Force&gt;Voies!Q451-1,Perception&gt;Voies!R451-1,Reflexes&gt;Voies!S451-1,Agilité&gt;Voies!T451-1,Intuition&gt;Voies!U451-1,Intelligence&gt;Voies!V451-1,Souillure&gt;Voies!W451-1,Honneur&gt;X451-1,Statut&gt;Y451-1,Gloire&gt;Z451-1,AV451=TRUE),Voies!B451,"")</f>
        <v/>
      </c>
      <c r="B451" s="162" t="s">
        <v>2295</v>
      </c>
      <c r="C451" s="162" t="b">
        <f>IF(Clan=Voies!D451,TRUE,FALSE)</f>
        <v>0</v>
      </c>
      <c r="D451" s="387" t="s">
        <v>47</v>
      </c>
      <c r="E451" s="13">
        <v>2</v>
      </c>
      <c r="F451" s="199">
        <v>2</v>
      </c>
      <c r="G451" s="13" t="s">
        <v>2052</v>
      </c>
      <c r="H451" s="219" t="s">
        <v>250</v>
      </c>
      <c r="I451" s="129" t="str">
        <f>IF(B451="","","Rien")</f>
        <v>Rien</v>
      </c>
      <c r="J451" s="146">
        <v>0</v>
      </c>
      <c r="K451" s="147">
        <v>0</v>
      </c>
      <c r="L451" s="148">
        <v>0</v>
      </c>
      <c r="M451" s="149">
        <v>0</v>
      </c>
      <c r="N451" s="150">
        <v>0</v>
      </c>
      <c r="O451" s="130">
        <v>0</v>
      </c>
      <c r="P451" s="130">
        <v>0</v>
      </c>
      <c r="Q451" s="130">
        <v>0</v>
      </c>
      <c r="R451" s="130">
        <v>0</v>
      </c>
      <c r="S451" s="130">
        <v>0</v>
      </c>
      <c r="T451" s="130">
        <v>0</v>
      </c>
      <c r="U451" s="130">
        <v>0</v>
      </c>
      <c r="V451" s="524">
        <v>0</v>
      </c>
      <c r="W451" s="130">
        <v>0</v>
      </c>
      <c r="X451" s="130">
        <v>0</v>
      </c>
      <c r="Y451" s="130">
        <v>0</v>
      </c>
      <c r="Z451" s="130">
        <v>0</v>
      </c>
      <c r="AA451" s="158" t="s">
        <v>2078</v>
      </c>
      <c r="AB451" s="158"/>
      <c r="AC451" s="158"/>
      <c r="AD451" s="158"/>
      <c r="AE451" s="158" t="b">
        <f>IF(AB451="",TRUE,IF(IF(AC451="",VLOOKUP(AB451,Calculs!$A$19:$S$425,19,FALSE),VLOOKUP(AC451,Calculs!$A$19:$S$425,19,FALSE))&gt;=AD451,TRUE,FALSE))</f>
        <v>1</v>
      </c>
      <c r="AF451" s="158"/>
      <c r="AG451" s="158"/>
      <c r="AH451" s="158"/>
      <c r="AI451" s="158" t="b">
        <f>IF(AF451="",TRUE,IF(IF(AG451="",VLOOKUP(AF451,Calculs!$A$19:$S$425,19,FALSE),VLOOKUP(AG451,Calculs!$A$19:$S$425,19,FALSE))&gt;=AH451,TRUE,FALSE))</f>
        <v>1</v>
      </c>
      <c r="AJ451" s="158"/>
      <c r="AK451" s="158"/>
      <c r="AL451" s="158"/>
      <c r="AM451" s="158" t="b">
        <f>IF(AJ451="",TRUE,IF(IF(AK451="",VLOOKUP(AJ451,Calculs!$A$19:$S$425,19,FALSE),VLOOKUP(AK451,Calculs!$A$19:$S$425,19,FALSE))&gt;=AL451,TRUE,FALSE))</f>
        <v>1</v>
      </c>
      <c r="AN451" s="158"/>
      <c r="AO451" s="158"/>
      <c r="AP451" s="158"/>
      <c r="AQ451" s="158" t="b">
        <f>IF(AN451="",TRUE,IF(IF(AO451="",VLOOKUP(AN451,Calculs!$A$19:$S$425,19,FALSE),VLOOKUP(AO451,Calculs!$A$19:$S$425,19,FALSE))&gt;=AP451,TRUE,FALSE))</f>
        <v>1</v>
      </c>
      <c r="AR451" s="158"/>
      <c r="AS451" s="158" t="b">
        <f>IF(AR451="",TRUE,IF(VLOOKUP(AR451,Calculs!$A$427:$G$738,7,FALSE)&gt;0,TRUE,FALSE))</f>
        <v>1</v>
      </c>
      <c r="AT451" s="158"/>
      <c r="AU451" s="158" t="b">
        <f>IF(AT451="",TRUE,IF(VLOOKUP(AT451,Calculs!$A$740:$G$912,7,FALSE)&gt;0,TRUE,FALSE))</f>
        <v>1</v>
      </c>
      <c r="AV451" s="158" t="b">
        <f t="shared" ref="AV451:AV514" si="53">IF(AND(AE451=TRUE,AI451=TRUE,AM451=TRUE,AQ451=TRUE,AS451=TRUE,AU451=TRUE),TRUE,FALSE)</f>
        <v>1</v>
      </c>
      <c r="AW451" s="158" t="s">
        <v>2078</v>
      </c>
      <c r="AX451" s="162" t="s">
        <v>3</v>
      </c>
      <c r="AY451" s="15">
        <v>229</v>
      </c>
      <c r="AZ451" s="555" t="s">
        <v>2299</v>
      </c>
      <c r="BA451" s="559">
        <f>IF(Verso!$B$10=Voies!$B451,1,0)</f>
        <v>0</v>
      </c>
      <c r="BB451" s="12">
        <f>IF(Verso!$B$11=Voies!$B451,1,0)</f>
        <v>0</v>
      </c>
      <c r="BC451" s="12">
        <f>IF(Verso!$B$12=Voies!$B451,1,0)</f>
        <v>0</v>
      </c>
      <c r="BD451" s="12">
        <f>IF(Verso!$B$13=Voies!$B451,1,0)</f>
        <v>0</v>
      </c>
      <c r="BE451" s="12">
        <f>IF(Verso!$B$14=Voies!$B451,1,0)</f>
        <v>0</v>
      </c>
      <c r="BF451" s="12">
        <f>IF(Verso!$B$15=Voies!$B451,1,0)</f>
        <v>0</v>
      </c>
      <c r="BG451" s="12">
        <f>IF(Verso!$B$16=Voies!$B451,1,0)</f>
        <v>0</v>
      </c>
      <c r="BH451" s="12">
        <f>IF(Verso!$B$17=Voies!$B451,1,0)</f>
        <v>0</v>
      </c>
      <c r="BI451" s="557">
        <f t="shared" ref="BI451:BI514" si="54">SUM(BA451:BH451)</f>
        <v>0</v>
      </c>
      <c r="BJ451" s="196" t="str">
        <f t="shared" si="47"/>
        <v/>
      </c>
      <c r="BK451" s="196" t="str">
        <f t="shared" si="48"/>
        <v/>
      </c>
      <c r="BL451" s="295" t="str">
        <f t="shared" si="49"/>
        <v/>
      </c>
    </row>
    <row r="452" spans="1:65" ht="47.25" customHeight="1" x14ac:dyDescent="0.25">
      <c r="A452" s="162" t="str">
        <f>IF(AND(Réputation&gt;Voies!E452-1,OR(C452=TRUE,Calculs!$I$8&gt;0),Air&gt;Voies!J452-1,Eau&gt;Voies!K452-1,Feu&gt;Voies!L452-1,Terre&gt;Voies!M452-1,Vide&gt;Voies!N452-1,Constitution&gt;Voies!O452-1,Volonté&gt;Voies!P452-1,Force&gt;Voies!Q452-1,Perception&gt;Voies!R452-1,Reflexes&gt;Voies!S452-1,Agilité&gt;Voies!T452-1,Intuition&gt;Voies!U452-1,Intelligence&gt;Voies!V452-1,Souillure&gt;Voies!W452-1,Honneur&gt;X452-1,Statut&gt;Y452-1,Gloire&gt;Z452-1,AV452=TRUE),Voies!B452,"")</f>
        <v/>
      </c>
      <c r="B452" s="162" t="s">
        <v>5875</v>
      </c>
      <c r="C452" s="162" t="b">
        <f>IF(Clan=Voies!D452,TRUE,FALSE)</f>
        <v>0</v>
      </c>
      <c r="D452" s="387" t="s">
        <v>47</v>
      </c>
      <c r="E452" s="13">
        <v>2</v>
      </c>
      <c r="F452" s="199">
        <v>2</v>
      </c>
      <c r="G452" s="13" t="s">
        <v>2052</v>
      </c>
      <c r="H452" s="219" t="s">
        <v>249</v>
      </c>
      <c r="I452" s="129" t="str">
        <f>IF(B452="","","Rien")</f>
        <v>Rien</v>
      </c>
      <c r="J452" s="146">
        <v>0</v>
      </c>
      <c r="K452" s="147">
        <v>0</v>
      </c>
      <c r="L452" s="148">
        <v>0</v>
      </c>
      <c r="M452" s="149">
        <v>0</v>
      </c>
      <c r="N452" s="150">
        <v>0</v>
      </c>
      <c r="O452" s="130">
        <v>0</v>
      </c>
      <c r="P452" s="130">
        <v>0</v>
      </c>
      <c r="Q452" s="130">
        <v>0</v>
      </c>
      <c r="R452" s="130">
        <v>0</v>
      </c>
      <c r="S452" s="130">
        <v>0</v>
      </c>
      <c r="T452" s="130">
        <v>0</v>
      </c>
      <c r="U452" s="130">
        <v>0</v>
      </c>
      <c r="V452" s="524">
        <v>0</v>
      </c>
      <c r="W452" s="130">
        <v>0</v>
      </c>
      <c r="X452" s="130">
        <v>0</v>
      </c>
      <c r="Y452" s="130">
        <v>0</v>
      </c>
      <c r="Z452" s="130">
        <v>0</v>
      </c>
      <c r="AA452" s="158" t="s">
        <v>2078</v>
      </c>
      <c r="AB452" s="158"/>
      <c r="AC452" s="158"/>
      <c r="AD452" s="158"/>
      <c r="AE452" s="158" t="b">
        <f>IF(AB452="",TRUE,IF(IF(AC452="",VLOOKUP(AB452,Calculs!$A$19:$S$425,19,FALSE),VLOOKUP(AC452,Calculs!$A$19:$S$425,19,FALSE))&gt;=AD452,TRUE,FALSE))</f>
        <v>1</v>
      </c>
      <c r="AF452" s="158"/>
      <c r="AG452" s="158"/>
      <c r="AH452" s="158"/>
      <c r="AI452" s="158" t="b">
        <f>IF(AF452="",TRUE,IF(IF(AG452="",VLOOKUP(AF452,Calculs!$A$19:$S$425,19,FALSE),VLOOKUP(AG452,Calculs!$A$19:$S$425,19,FALSE))&gt;=AH452,TRUE,FALSE))</f>
        <v>1</v>
      </c>
      <c r="AJ452" s="158"/>
      <c r="AK452" s="158"/>
      <c r="AL452" s="158"/>
      <c r="AM452" s="158" t="b">
        <f>IF(AJ452="",TRUE,IF(IF(AK452="",VLOOKUP(AJ452,Calculs!$A$19:$S$425,19,FALSE),VLOOKUP(AK452,Calculs!$A$19:$S$425,19,FALSE))&gt;=AL452,TRUE,FALSE))</f>
        <v>1</v>
      </c>
      <c r="AN452" s="158"/>
      <c r="AO452" s="158"/>
      <c r="AP452" s="158"/>
      <c r="AQ452" s="158" t="b">
        <f>IF(AN452="",TRUE,IF(IF(AO452="",VLOOKUP(AN452,Calculs!$A$19:$S$425,19,FALSE),VLOOKUP(AO452,Calculs!$A$19:$S$425,19,FALSE))&gt;=AP452,TRUE,FALSE))</f>
        <v>1</v>
      </c>
      <c r="AR452" s="158"/>
      <c r="AS452" s="158" t="b">
        <f>IF(AR452="",TRUE,IF(VLOOKUP(AR452,Calculs!$A$427:$G$738,7,FALSE)&gt;0,TRUE,FALSE))</f>
        <v>1</v>
      </c>
      <c r="AT452" s="158"/>
      <c r="AU452" s="158" t="b">
        <f>IF(AT452="",TRUE,IF(VLOOKUP(AT452,Calculs!$A$740:$G$912,7,FALSE)&gt;0,TRUE,FALSE))</f>
        <v>1</v>
      </c>
      <c r="AV452" s="158" t="b">
        <f t="shared" si="53"/>
        <v>1</v>
      </c>
      <c r="AW452" s="158" t="s">
        <v>2078</v>
      </c>
      <c r="AX452" s="162" t="s">
        <v>3</v>
      </c>
      <c r="AY452" s="15">
        <v>228</v>
      </c>
      <c r="AZ452" s="555" t="str">
        <f>CONCATENATE("+",Honneur," aux jets d'Etiquette (Courtoisie) pour résister aux tentatives d'influence d'autrui.")</f>
        <v>+0 aux jets d'Etiquette (Courtoisie) pour résister aux tentatives d'influence d'autrui.</v>
      </c>
      <c r="BA452" s="559">
        <f>IF(Verso!$B$10=Voies!$B452,1,0)</f>
        <v>0</v>
      </c>
      <c r="BB452" s="12">
        <f>IF(Verso!$B$11=Voies!$B452,1,0)</f>
        <v>0</v>
      </c>
      <c r="BC452" s="12">
        <f>IF(Verso!$B$12=Voies!$B452,1,0)</f>
        <v>0</v>
      </c>
      <c r="BD452" s="12">
        <f>IF(Verso!$B$13=Voies!$B452,1,0)</f>
        <v>0</v>
      </c>
      <c r="BE452" s="12">
        <f>IF(Verso!$B$14=Voies!$B452,1,0)</f>
        <v>0</v>
      </c>
      <c r="BF452" s="12">
        <f>IF(Verso!$B$15=Voies!$B452,1,0)</f>
        <v>0</v>
      </c>
      <c r="BG452" s="12">
        <f>IF(Verso!$B$16=Voies!$B452,1,0)</f>
        <v>0</v>
      </c>
      <c r="BH452" s="12">
        <f>IF(Verso!$B$17=Voies!$B452,1,0)</f>
        <v>0</v>
      </c>
      <c r="BI452" s="557">
        <f t="shared" si="54"/>
        <v>0</v>
      </c>
      <c r="BJ452" s="196" t="str">
        <f t="shared" ref="BJ452:BJ515" si="55">IF(A452="","",ROW())</f>
        <v/>
      </c>
      <c r="BK452" s="196" t="str">
        <f t="shared" ref="BK452:BK515" si="56">IFERROR(SMALL(BJ:BJ,ROW()-2),"")</f>
        <v/>
      </c>
      <c r="BL452" s="295" t="str">
        <f t="shared" ref="BL452:BL515" si="57">IFERROR(INDEX(A:A,BK452),"")</f>
        <v/>
      </c>
    </row>
    <row r="453" spans="1:65" ht="47.25" customHeight="1" x14ac:dyDescent="0.25">
      <c r="A453" s="162" t="str">
        <f>IF(AND(Réputation&gt;Voies!E453-1,OR(C453=TRUE,Calculs!$I$8&gt;0),Air&gt;Voies!J453-1,Eau&gt;Voies!K453-1,Feu&gt;Voies!L453-1,Terre&gt;Voies!M453-1,Vide&gt;Voies!N453-1,Constitution&gt;Voies!O453-1,Volonté&gt;Voies!P453-1,Force&gt;Voies!Q453-1,Perception&gt;Voies!R453-1,Reflexes&gt;Voies!S453-1,Agilité&gt;Voies!T453-1,Intuition&gt;Voies!U453-1,Intelligence&gt;Voies!V453-1,Souillure&gt;Voies!W453-1,Honneur&gt;X453-1,Statut&gt;Y453-1,Gloire&gt;Z453-1,AV453=TRUE),Voies!B453,"")</f>
        <v/>
      </c>
      <c r="B453" s="162" t="s">
        <v>2307</v>
      </c>
      <c r="C453" s="162" t="b">
        <f>IF(Clan=Voies!D453,TRUE,FALSE)</f>
        <v>0</v>
      </c>
      <c r="D453" s="387" t="s">
        <v>47</v>
      </c>
      <c r="E453" s="13">
        <v>3</v>
      </c>
      <c r="F453" s="199">
        <v>3</v>
      </c>
      <c r="G453" s="199" t="s">
        <v>2049</v>
      </c>
      <c r="H453" s="219" t="s">
        <v>251</v>
      </c>
      <c r="I453" s="129" t="str">
        <f>IF(B453="","","Rien")</f>
        <v>Rien</v>
      </c>
      <c r="J453" s="146">
        <v>0</v>
      </c>
      <c r="K453" s="147">
        <v>0</v>
      </c>
      <c r="L453" s="148">
        <v>0</v>
      </c>
      <c r="M453" s="149">
        <v>0</v>
      </c>
      <c r="N453" s="150">
        <v>0</v>
      </c>
      <c r="O453" s="130">
        <v>0</v>
      </c>
      <c r="P453" s="130">
        <v>0</v>
      </c>
      <c r="Q453" s="130">
        <v>0</v>
      </c>
      <c r="R453" s="130">
        <v>0</v>
      </c>
      <c r="S453" s="130">
        <v>0</v>
      </c>
      <c r="T453" s="130">
        <v>0</v>
      </c>
      <c r="U453" s="130">
        <v>0</v>
      </c>
      <c r="V453" s="524">
        <v>0</v>
      </c>
      <c r="W453" s="130">
        <v>0</v>
      </c>
      <c r="X453" s="130">
        <v>0</v>
      </c>
      <c r="Y453" s="130">
        <v>0</v>
      </c>
      <c r="Z453" s="130">
        <v>0</v>
      </c>
      <c r="AA453" s="158" t="s">
        <v>2078</v>
      </c>
      <c r="AB453" s="158"/>
      <c r="AC453" s="158"/>
      <c r="AD453" s="158"/>
      <c r="AE453" s="158" t="b">
        <f>IF(AB453="",TRUE,IF(IF(AC453="",VLOOKUP(AB453,Calculs!$A$19:$S$425,19,FALSE),VLOOKUP(AC453,Calculs!$A$19:$S$425,19,FALSE))&gt;=AD453,TRUE,FALSE))</f>
        <v>1</v>
      </c>
      <c r="AF453" s="158"/>
      <c r="AG453" s="158"/>
      <c r="AH453" s="158"/>
      <c r="AI453" s="158" t="b">
        <f>IF(AF453="",TRUE,IF(IF(AG453="",VLOOKUP(AF453,Calculs!$A$19:$S$425,19,FALSE),VLOOKUP(AG453,Calculs!$A$19:$S$425,19,FALSE))&gt;=AH453,TRUE,FALSE))</f>
        <v>1</v>
      </c>
      <c r="AJ453" s="158"/>
      <c r="AK453" s="158"/>
      <c r="AL453" s="158"/>
      <c r="AM453" s="158" t="b">
        <f>IF(AJ453="",TRUE,IF(IF(AK453="",VLOOKUP(AJ453,Calculs!$A$19:$S$425,19,FALSE),VLOOKUP(AK453,Calculs!$A$19:$S$425,19,FALSE))&gt;=AL453,TRUE,FALSE))</f>
        <v>1</v>
      </c>
      <c r="AN453" s="158"/>
      <c r="AO453" s="158"/>
      <c r="AP453" s="158"/>
      <c r="AQ453" s="158" t="b">
        <f>IF(AN453="",TRUE,IF(IF(AO453="",VLOOKUP(AN453,Calculs!$A$19:$S$425,19,FALSE),VLOOKUP(AO453,Calculs!$A$19:$S$425,19,FALSE))&gt;=AP453,TRUE,FALSE))</f>
        <v>1</v>
      </c>
      <c r="AR453" s="158"/>
      <c r="AS453" s="158" t="b">
        <f>IF(AR453="",TRUE,IF(VLOOKUP(AR453,Calculs!$A$427:$G$738,7,FALSE)&gt;0,TRUE,FALSE))</f>
        <v>1</v>
      </c>
      <c r="AT453" s="158"/>
      <c r="AU453" s="158" t="b">
        <f>IF(AT453="",TRUE,IF(VLOOKUP(AT453,Calculs!$A$740:$G$912,7,FALSE)&gt;0,TRUE,FALSE))</f>
        <v>1</v>
      </c>
      <c r="AV453" s="158" t="b">
        <f t="shared" si="53"/>
        <v>1</v>
      </c>
      <c r="AW453" s="158" t="s">
        <v>2078</v>
      </c>
      <c r="AX453" s="162" t="s">
        <v>3</v>
      </c>
      <c r="AY453" s="15">
        <v>230</v>
      </c>
      <c r="AZ453" s="555" t="s">
        <v>8579</v>
      </c>
      <c r="BA453" s="559">
        <f>IF(Verso!$B$10=Voies!$B453,1,0)</f>
        <v>0</v>
      </c>
      <c r="BB453" s="12">
        <f>IF(Verso!$B$11=Voies!$B453,1,0)</f>
        <v>0</v>
      </c>
      <c r="BC453" s="12">
        <f>IF(Verso!$B$12=Voies!$B453,1,0)</f>
        <v>0</v>
      </c>
      <c r="BD453" s="12">
        <f>IF(Verso!$B$13=Voies!$B453,1,0)</f>
        <v>0</v>
      </c>
      <c r="BE453" s="12">
        <f>IF(Verso!$B$14=Voies!$B453,1,0)</f>
        <v>0</v>
      </c>
      <c r="BF453" s="12">
        <f>IF(Verso!$B$15=Voies!$B453,1,0)</f>
        <v>0</v>
      </c>
      <c r="BG453" s="12">
        <f>IF(Verso!$B$16=Voies!$B453,1,0)</f>
        <v>0</v>
      </c>
      <c r="BH453" s="12">
        <f>IF(Verso!$B$17=Voies!$B453,1,0)</f>
        <v>0</v>
      </c>
      <c r="BI453" s="557">
        <f t="shared" si="54"/>
        <v>0</v>
      </c>
      <c r="BJ453" s="196" t="str">
        <f t="shared" si="55"/>
        <v/>
      </c>
      <c r="BK453" s="196" t="str">
        <f t="shared" si="56"/>
        <v/>
      </c>
      <c r="BL453" s="295" t="str">
        <f t="shared" si="57"/>
        <v/>
      </c>
    </row>
    <row r="454" spans="1:65" ht="47.25" customHeight="1" x14ac:dyDescent="0.25">
      <c r="A454" s="162" t="str">
        <f>IF(AND(Réputation&gt;Voies!E454-1,OR(C454=TRUE,Calculs!$I$8&gt;0),Air&gt;Voies!J454-1,Eau&gt;Voies!K454-1,Feu&gt;Voies!L454-1,Terre&gt;Voies!M454-1,Vide&gt;Voies!N454-1,Constitution&gt;Voies!O454-1,Volonté&gt;Voies!P454-1,Force&gt;Voies!Q454-1,Perception&gt;Voies!R454-1,Reflexes&gt;Voies!S454-1,Agilité&gt;Voies!T454-1,Intuition&gt;Voies!U454-1,Intelligence&gt;Voies!V454-1,Souillure&gt;Voies!W454-1,Honneur&gt;X454-1,Statut&gt;Y454-1,Gloire&gt;Z454-1,AV454=TRUE),Voies!B454,"")</f>
        <v/>
      </c>
      <c r="B454" s="162" t="s">
        <v>9082</v>
      </c>
      <c r="C454" s="162" t="b">
        <f>IF(Clan=Voies!D458,TRUE,FALSE)</f>
        <v>0</v>
      </c>
      <c r="D454" s="388" t="s">
        <v>47</v>
      </c>
      <c r="E454" s="13">
        <v>3</v>
      </c>
      <c r="F454" s="199">
        <v>3</v>
      </c>
      <c r="G454" s="13" t="s">
        <v>2049</v>
      </c>
      <c r="H454" s="162" t="s">
        <v>9081</v>
      </c>
      <c r="I454" s="129" t="s">
        <v>9080</v>
      </c>
      <c r="J454" s="146">
        <v>0</v>
      </c>
      <c r="K454" s="147">
        <v>0</v>
      </c>
      <c r="L454" s="148">
        <v>0</v>
      </c>
      <c r="M454" s="149">
        <v>0</v>
      </c>
      <c r="N454" s="150">
        <v>0</v>
      </c>
      <c r="O454" s="130">
        <v>0</v>
      </c>
      <c r="P454" s="130">
        <v>0</v>
      </c>
      <c r="Q454" s="130">
        <v>0</v>
      </c>
      <c r="R454" s="130">
        <v>0</v>
      </c>
      <c r="S454" s="130">
        <v>0</v>
      </c>
      <c r="T454" s="130">
        <v>0</v>
      </c>
      <c r="U454" s="130">
        <v>0</v>
      </c>
      <c r="V454" s="524">
        <v>0</v>
      </c>
      <c r="W454" s="130">
        <v>0</v>
      </c>
      <c r="X454" s="130">
        <v>0</v>
      </c>
      <c r="Y454" s="130">
        <v>4</v>
      </c>
      <c r="Z454" s="130">
        <v>0</v>
      </c>
      <c r="AA454" s="158" t="s">
        <v>2078</v>
      </c>
      <c r="AB454" s="158"/>
      <c r="AC454" s="158"/>
      <c r="AD454" s="158"/>
      <c r="AE454" s="158" t="b">
        <f>IF(AB454="",TRUE,IF(IF(AC454="",VLOOKUP(AB454,Calculs!$A$19:$S$425,19,FALSE),VLOOKUP(AC454,Calculs!$A$19:$S$425,19,FALSE))&gt;=AD454,TRUE,FALSE))</f>
        <v>1</v>
      </c>
      <c r="AF454" s="158"/>
      <c r="AG454" s="158"/>
      <c r="AH454" s="158"/>
      <c r="AI454" s="158" t="b">
        <f>IF(AF454="",TRUE,IF(IF(AG454="",VLOOKUP(AF454,Calculs!$A$19:$S$425,19,FALSE),VLOOKUP(AG454,Calculs!$A$19:$S$425,19,FALSE))&gt;=AH454,TRUE,FALSE))</f>
        <v>1</v>
      </c>
      <c r="AJ454" s="158"/>
      <c r="AK454" s="158"/>
      <c r="AL454" s="158"/>
      <c r="AM454" s="158" t="b">
        <f>IF(AJ454="",TRUE,IF(IF(AK454="",VLOOKUP(AJ454,Calculs!$A$19:$S$425,19,FALSE),VLOOKUP(AK454,Calculs!$A$19:$S$425,19,FALSE))&gt;=AL454,TRUE,FALSE))</f>
        <v>1</v>
      </c>
      <c r="AN454" s="158"/>
      <c r="AO454" s="158"/>
      <c r="AP454" s="158"/>
      <c r="AQ454" s="158" t="b">
        <f>IF(AN454="",TRUE,IF(IF(AO454="",VLOOKUP(AN454,Calculs!$A$19:$S$425,19,FALSE),VLOOKUP(AO454,Calculs!$A$19:$S$425,19,FALSE))&gt;=AP454,TRUE,FALSE))</f>
        <v>1</v>
      </c>
      <c r="AR454" s="158"/>
      <c r="AS454" s="158" t="b">
        <f>IF(AR454="",TRUE,IF(VLOOKUP(AR454,Calculs!$A$427:$G$738,7,FALSE)&gt;0,TRUE,FALSE))</f>
        <v>1</v>
      </c>
      <c r="AT454" s="158"/>
      <c r="AU454" s="158" t="b">
        <f>IF(AT454="",TRUE,IF(VLOOKUP(AT454,Calculs!$A$740:$G$912,7,FALSE)&gt;0,TRUE,FALSE))</f>
        <v>1</v>
      </c>
      <c r="AV454" s="158" t="b">
        <f t="shared" si="53"/>
        <v>1</v>
      </c>
      <c r="AW454" s="158" t="s">
        <v>2078</v>
      </c>
      <c r="AX454" s="162" t="s">
        <v>9070</v>
      </c>
      <c r="AY454" s="15">
        <v>150</v>
      </c>
      <c r="AZ454" s="555" t="s">
        <v>9083</v>
      </c>
      <c r="BA454" s="559">
        <f>IF(Verso!$B$10=Voies!$B458,1,0)</f>
        <v>0</v>
      </c>
      <c r="BB454" s="12">
        <f>IF(Verso!$B$11=Voies!$B458,1,0)</f>
        <v>0</v>
      </c>
      <c r="BC454" s="12">
        <f>IF(Verso!$B$12=Voies!$B458,1,0)</f>
        <v>0</v>
      </c>
      <c r="BD454" s="12">
        <f>IF(Verso!$B$13=Voies!$B458,1,0)</f>
        <v>0</v>
      </c>
      <c r="BE454" s="12">
        <f>IF(Verso!$B$14=Voies!$B458,1,0)</f>
        <v>0</v>
      </c>
      <c r="BF454" s="12">
        <f>IF(Verso!$B$15=Voies!$B458,1,0)</f>
        <v>0</v>
      </c>
      <c r="BG454" s="12">
        <f>IF(Verso!$B$16=Voies!$B458,1,0)</f>
        <v>0</v>
      </c>
      <c r="BH454" s="12">
        <f>IF(Verso!$B$17=Voies!$B458,1,0)</f>
        <v>0</v>
      </c>
      <c r="BI454" s="557">
        <f t="shared" si="54"/>
        <v>0</v>
      </c>
      <c r="BJ454" s="196" t="str">
        <f t="shared" si="55"/>
        <v/>
      </c>
      <c r="BK454" s="196" t="str">
        <f t="shared" si="56"/>
        <v/>
      </c>
      <c r="BL454" s="295" t="str">
        <f t="shared" si="57"/>
        <v/>
      </c>
    </row>
    <row r="455" spans="1:65" ht="47.25" customHeight="1" x14ac:dyDescent="0.25">
      <c r="A455" s="162" t="str">
        <f>IF(AND(Réputation&gt;Voies!E455-1,OR(C455=TRUE,Calculs!$I$8&gt;0),Air&gt;Voies!J455-1,Eau&gt;Voies!K455-1,Feu&gt;Voies!L455-1,Terre&gt;Voies!M455-1,Vide&gt;Voies!N455-1,Constitution&gt;Voies!O455-1,Volonté&gt;Voies!P455-1,Force&gt;Voies!Q455-1,Perception&gt;Voies!R455-1,Reflexes&gt;Voies!S455-1,Agilité&gt;Voies!T455-1,Intuition&gt;Voies!U455-1,Intelligence&gt;Voies!V455-1,Souillure&gt;Voies!W455-1,Honneur&gt;X455-1,Statut&gt;Y455-1,Gloire&gt;Z455-1,AV455=TRUE),Voies!B455,"")</f>
        <v/>
      </c>
      <c r="B455" s="162" t="s">
        <v>3467</v>
      </c>
      <c r="C455" s="162" t="b">
        <f>IF(Clan=Voies!D454,TRUE,FALSE)</f>
        <v>0</v>
      </c>
      <c r="D455" s="387" t="s">
        <v>47</v>
      </c>
      <c r="E455" s="13">
        <v>3</v>
      </c>
      <c r="F455" s="199">
        <v>3</v>
      </c>
      <c r="G455" s="199" t="s">
        <v>2052</v>
      </c>
      <c r="H455" s="219" t="s">
        <v>554</v>
      </c>
      <c r="I455" s="129" t="s">
        <v>3465</v>
      </c>
      <c r="J455" s="146">
        <v>0</v>
      </c>
      <c r="K455" s="147">
        <v>0</v>
      </c>
      <c r="L455" s="148">
        <v>0</v>
      </c>
      <c r="M455" s="149">
        <v>0</v>
      </c>
      <c r="N455" s="150">
        <v>0</v>
      </c>
      <c r="O455" s="130">
        <v>0</v>
      </c>
      <c r="P455" s="130">
        <v>0</v>
      </c>
      <c r="Q455" s="130">
        <v>0</v>
      </c>
      <c r="R455" s="130">
        <v>0</v>
      </c>
      <c r="S455" s="130">
        <v>0</v>
      </c>
      <c r="T455" s="130">
        <v>0</v>
      </c>
      <c r="U455" s="130">
        <v>0</v>
      </c>
      <c r="V455" s="524">
        <v>0</v>
      </c>
      <c r="W455" s="130">
        <v>0</v>
      </c>
      <c r="X455" s="130">
        <v>0</v>
      </c>
      <c r="Y455" s="130">
        <v>0</v>
      </c>
      <c r="Z455" s="130">
        <v>0</v>
      </c>
      <c r="AA455" s="159" t="s">
        <v>3466</v>
      </c>
      <c r="AB455" s="159" t="s">
        <v>1208</v>
      </c>
      <c r="AC455" s="159" t="s">
        <v>3298</v>
      </c>
      <c r="AD455" s="159">
        <v>5</v>
      </c>
      <c r="AE455" s="158" t="b">
        <f>IF(AB455="",TRUE,IF(IF(AC455="",VLOOKUP(AB455,Calculs!$A$19:$S$425,19,FALSE),VLOOKUP(AC455,Calculs!$A$19:$S$425,19,FALSE))&gt;=AD455,TRUE,FALSE))</f>
        <v>0</v>
      </c>
      <c r="AI455" s="158" t="b">
        <f>IF(AF455="",TRUE,IF(IF(AG455="",VLOOKUP(AF455,Calculs!$A$19:$S$425,19,FALSE),VLOOKUP(AG455,Calculs!$A$19:$S$425,19,FALSE))&gt;=AH455,TRUE,FALSE))</f>
        <v>1</v>
      </c>
      <c r="AM455" s="158" t="b">
        <f>IF(AJ455="",TRUE,IF(IF(AK455="",VLOOKUP(AJ455,Calculs!$A$19:$S$425,19,FALSE),VLOOKUP(AK455,Calculs!$A$19:$S$425,19,FALSE))&gt;=AL455,TRUE,FALSE))</f>
        <v>1</v>
      </c>
      <c r="AQ455" s="158" t="b">
        <f>IF(AN455="",TRUE,IF(IF(AO455="",VLOOKUP(AN455,Calculs!$A$19:$S$425,19,FALSE),VLOOKUP(AO455,Calculs!$A$19:$S$425,19,FALSE))&gt;=AP455,TRUE,FALSE))</f>
        <v>1</v>
      </c>
      <c r="AR455" s="158"/>
      <c r="AS455" s="158" t="b">
        <f>IF(AR455="",TRUE,IF(VLOOKUP(AR455,Calculs!$A$427:$G$738,7,FALSE)&gt;0,TRUE,FALSE))</f>
        <v>1</v>
      </c>
      <c r="AT455" s="158"/>
      <c r="AU455" s="158" t="b">
        <f>IF(AT455="",TRUE,IF(VLOOKUP(AT455,Calculs!$A$740:$G$912,7,FALSE)&gt;0,TRUE,FALSE))</f>
        <v>1</v>
      </c>
      <c r="AV455" s="158" t="b">
        <f t="shared" si="53"/>
        <v>0</v>
      </c>
      <c r="AW455" s="158" t="s">
        <v>2078</v>
      </c>
      <c r="AX455" s="162" t="s">
        <v>158</v>
      </c>
      <c r="AY455" s="15">
        <v>204</v>
      </c>
      <c r="AZ455" s="555" t="s">
        <v>3468</v>
      </c>
      <c r="BA455" s="559">
        <f>IF(Verso!$B$10=Voies!$B454,1,0)</f>
        <v>0</v>
      </c>
      <c r="BB455" s="12">
        <f>IF(Verso!$B$11=Voies!$B454,1,0)</f>
        <v>0</v>
      </c>
      <c r="BC455" s="12">
        <f>IF(Verso!$B$12=Voies!$B454,1,0)</f>
        <v>0</v>
      </c>
      <c r="BD455" s="12">
        <f>IF(Verso!$B$13=Voies!$B454,1,0)</f>
        <v>0</v>
      </c>
      <c r="BE455" s="12">
        <f>IF(Verso!$B$14=Voies!$B454,1,0)</f>
        <v>0</v>
      </c>
      <c r="BF455" s="12">
        <f>IF(Verso!$B$15=Voies!$B454,1,0)</f>
        <v>0</v>
      </c>
      <c r="BG455" s="12">
        <f>IF(Verso!$B$16=Voies!$B454,1,0)</f>
        <v>0</v>
      </c>
      <c r="BH455" s="12">
        <f>IF(Verso!$B$17=Voies!$B454,1,0)</f>
        <v>0</v>
      </c>
      <c r="BI455" s="557">
        <f t="shared" si="54"/>
        <v>0</v>
      </c>
      <c r="BJ455" s="196" t="str">
        <f t="shared" si="55"/>
        <v/>
      </c>
      <c r="BK455" s="196" t="str">
        <f t="shared" si="56"/>
        <v/>
      </c>
      <c r="BL455" s="295" t="str">
        <f t="shared" si="57"/>
        <v/>
      </c>
    </row>
    <row r="456" spans="1:65" ht="47.25" customHeight="1" x14ac:dyDescent="0.25">
      <c r="A456" s="162" t="str">
        <f>IF(AND(Réputation&gt;Voies!E456-1,OR(C456=TRUE,Calculs!$I$8&gt;0),Air&gt;Voies!J456-1,Eau&gt;Voies!K456-1,Feu&gt;Voies!L456-1,Terre&gt;Voies!M456-1,Vide&gt;Voies!N456-1,Constitution&gt;Voies!O456-1,Volonté&gt;Voies!P456-1,Force&gt;Voies!Q456-1,Perception&gt;Voies!R456-1,Reflexes&gt;Voies!S456-1,Agilité&gt;Voies!T456-1,Intuition&gt;Voies!U456-1,Intelligence&gt;Voies!V456-1,Souillure&gt;Voies!W456-1,Honneur&gt;X456-1,Statut&gt;Y456-1,Gloire&gt;Z456-1,AV456=TRUE),Voies!B456,"")</f>
        <v/>
      </c>
      <c r="B456" s="162" t="s">
        <v>2296</v>
      </c>
      <c r="C456" s="162" t="b">
        <f>IF(Clan=Voies!D455,TRUE,FALSE)</f>
        <v>0</v>
      </c>
      <c r="D456" s="387" t="s">
        <v>47</v>
      </c>
      <c r="E456" s="13">
        <v>3</v>
      </c>
      <c r="F456" s="199">
        <v>3</v>
      </c>
      <c r="G456" s="13" t="s">
        <v>2052</v>
      </c>
      <c r="H456" s="219" t="s">
        <v>250</v>
      </c>
      <c r="I456" s="129" t="str">
        <f>IF(B456="","","Rien")</f>
        <v>Rien</v>
      </c>
      <c r="J456" s="146">
        <v>0</v>
      </c>
      <c r="K456" s="147">
        <v>0</v>
      </c>
      <c r="L456" s="148">
        <v>0</v>
      </c>
      <c r="M456" s="149">
        <v>0</v>
      </c>
      <c r="N456" s="150">
        <v>0</v>
      </c>
      <c r="O456" s="130">
        <v>0</v>
      </c>
      <c r="P456" s="130">
        <v>0</v>
      </c>
      <c r="Q456" s="130">
        <v>0</v>
      </c>
      <c r="R456" s="130">
        <v>0</v>
      </c>
      <c r="S456" s="130">
        <v>0</v>
      </c>
      <c r="T456" s="130">
        <v>0</v>
      </c>
      <c r="U456" s="130">
        <v>0</v>
      </c>
      <c r="V456" s="524">
        <v>0</v>
      </c>
      <c r="W456" s="130">
        <v>0</v>
      </c>
      <c r="X456" s="130">
        <v>0</v>
      </c>
      <c r="Y456" s="130">
        <v>0</v>
      </c>
      <c r="Z456" s="130">
        <v>0</v>
      </c>
      <c r="AA456" s="158" t="s">
        <v>2078</v>
      </c>
      <c r="AB456" s="158"/>
      <c r="AC456" s="158"/>
      <c r="AD456" s="158"/>
      <c r="AE456" s="158" t="b">
        <f>IF(AB456="",TRUE,IF(IF(AC456="",VLOOKUP(AB456,Calculs!$A$19:$S$425,19,FALSE),VLOOKUP(AC456,Calculs!$A$19:$S$425,19,FALSE))&gt;=AD456,TRUE,FALSE))</f>
        <v>1</v>
      </c>
      <c r="AF456" s="158"/>
      <c r="AG456" s="158"/>
      <c r="AH456" s="158"/>
      <c r="AI456" s="158" t="b">
        <f>IF(AF456="",TRUE,IF(IF(AG456="",VLOOKUP(AF456,Calculs!$A$19:$S$425,19,FALSE),VLOOKUP(AG456,Calculs!$A$19:$S$425,19,FALSE))&gt;=AH456,TRUE,FALSE))</f>
        <v>1</v>
      </c>
      <c r="AJ456" s="158"/>
      <c r="AK456" s="158"/>
      <c r="AL456" s="158"/>
      <c r="AM456" s="158" t="b">
        <f>IF(AJ456="",TRUE,IF(IF(AK456="",VLOOKUP(AJ456,Calculs!$A$19:$S$425,19,FALSE),VLOOKUP(AK456,Calculs!$A$19:$S$425,19,FALSE))&gt;=AL456,TRUE,FALSE))</f>
        <v>1</v>
      </c>
      <c r="AN456" s="158"/>
      <c r="AO456" s="158"/>
      <c r="AP456" s="158"/>
      <c r="AQ456" s="158" t="b">
        <f>IF(AN456="",TRUE,IF(IF(AO456="",VLOOKUP(AN456,Calculs!$A$19:$S$425,19,FALSE),VLOOKUP(AO456,Calculs!$A$19:$S$425,19,FALSE))&gt;=AP456,TRUE,FALSE))</f>
        <v>1</v>
      </c>
      <c r="AR456" s="158"/>
      <c r="AS456" s="158" t="b">
        <f>IF(AR456="",TRUE,IF(VLOOKUP(AR456,Calculs!$A$427:$G$738,7,FALSE)&gt;0,TRUE,FALSE))</f>
        <v>1</v>
      </c>
      <c r="AT456" s="158"/>
      <c r="AU456" s="158" t="b">
        <f>IF(AT456="",TRUE,IF(VLOOKUP(AT456,Calculs!$A$740:$G$912,7,FALSE)&gt;0,TRUE,FALSE))</f>
        <v>1</v>
      </c>
      <c r="AV456" s="158" t="b">
        <f t="shared" si="53"/>
        <v>1</v>
      </c>
      <c r="AW456" s="158" t="s">
        <v>2078</v>
      </c>
      <c r="AX456" s="162" t="s">
        <v>3</v>
      </c>
      <c r="AY456" s="15">
        <v>229</v>
      </c>
      <c r="AZ456" s="555" t="s">
        <v>2300</v>
      </c>
      <c r="BA456" s="559">
        <f>IF(Verso!$B$10=Voies!$B455,1,0)</f>
        <v>0</v>
      </c>
      <c r="BB456" s="12">
        <f>IF(Verso!$B$11=Voies!$B455,1,0)</f>
        <v>0</v>
      </c>
      <c r="BC456" s="12">
        <f>IF(Verso!$B$12=Voies!$B455,1,0)</f>
        <v>0</v>
      </c>
      <c r="BD456" s="12">
        <f>IF(Verso!$B$13=Voies!$B455,1,0)</f>
        <v>0</v>
      </c>
      <c r="BE456" s="12">
        <f>IF(Verso!$B$14=Voies!$B455,1,0)</f>
        <v>0</v>
      </c>
      <c r="BF456" s="12">
        <f>IF(Verso!$B$15=Voies!$B455,1,0)</f>
        <v>0</v>
      </c>
      <c r="BG456" s="12">
        <f>IF(Verso!$B$16=Voies!$B455,1,0)</f>
        <v>0</v>
      </c>
      <c r="BH456" s="12">
        <f>IF(Verso!$B$17=Voies!$B455,1,0)</f>
        <v>0</v>
      </c>
      <c r="BI456" s="557">
        <f t="shared" si="54"/>
        <v>0</v>
      </c>
      <c r="BJ456" s="196" t="str">
        <f t="shared" si="55"/>
        <v/>
      </c>
      <c r="BK456" s="196" t="str">
        <f t="shared" si="56"/>
        <v/>
      </c>
      <c r="BL456" s="295" t="str">
        <f t="shared" si="57"/>
        <v/>
      </c>
    </row>
    <row r="457" spans="1:65" ht="47.25" customHeight="1" x14ac:dyDescent="0.25">
      <c r="A457" s="162" t="str">
        <f>IF(AND(Réputation&gt;Voies!E457-1,OR(C457=TRUE,Calculs!$I$8&gt;0),Air&gt;Voies!J457-1,Eau&gt;Voies!K457-1,Feu&gt;Voies!L457-1,Terre&gt;Voies!M457-1,Vide&gt;Voies!N457-1,Constitution&gt;Voies!O457-1,Volonté&gt;Voies!P457-1,Force&gt;Voies!Q457-1,Perception&gt;Voies!R457-1,Reflexes&gt;Voies!S457-1,Agilité&gt;Voies!T457-1,Intuition&gt;Voies!U457-1,Intelligence&gt;Voies!V457-1,Souillure&gt;Voies!W457-1,Honneur&gt;X457-1,Statut&gt;Y457-1,Gloire&gt;Z457-1,AV457=TRUE),Voies!B457,"")</f>
        <v/>
      </c>
      <c r="B457" s="162" t="s">
        <v>2289</v>
      </c>
      <c r="C457" s="162" t="b">
        <f>IF(Clan=Voies!D456,TRUE,FALSE)</f>
        <v>0</v>
      </c>
      <c r="D457" s="387" t="s">
        <v>47</v>
      </c>
      <c r="E457" s="13">
        <v>3</v>
      </c>
      <c r="F457" s="199">
        <v>3</v>
      </c>
      <c r="G457" s="199" t="s">
        <v>2052</v>
      </c>
      <c r="H457" s="219" t="s">
        <v>249</v>
      </c>
      <c r="I457" s="129" t="str">
        <f>IF(B457="","","Rien")</f>
        <v>Rien</v>
      </c>
      <c r="J457" s="146">
        <v>0</v>
      </c>
      <c r="K457" s="147">
        <v>0</v>
      </c>
      <c r="L457" s="148">
        <v>0</v>
      </c>
      <c r="M457" s="149">
        <v>0</v>
      </c>
      <c r="N457" s="150">
        <v>0</v>
      </c>
      <c r="O457" s="130">
        <v>0</v>
      </c>
      <c r="P457" s="130">
        <v>0</v>
      </c>
      <c r="Q457" s="130">
        <v>0</v>
      </c>
      <c r="R457" s="130">
        <v>0</v>
      </c>
      <c r="S457" s="130">
        <v>0</v>
      </c>
      <c r="T457" s="130">
        <v>0</v>
      </c>
      <c r="U457" s="130">
        <v>0</v>
      </c>
      <c r="V457" s="524">
        <v>0</v>
      </c>
      <c r="W457" s="130">
        <v>0</v>
      </c>
      <c r="X457" s="130">
        <v>0</v>
      </c>
      <c r="Y457" s="130">
        <v>0</v>
      </c>
      <c r="Z457" s="130">
        <v>0</v>
      </c>
      <c r="AA457" s="158" t="s">
        <v>2078</v>
      </c>
      <c r="AB457" s="158"/>
      <c r="AC457" s="158"/>
      <c r="AD457" s="158"/>
      <c r="AE457" s="158" t="b">
        <f>IF(AB457="",TRUE,IF(IF(AC457="",VLOOKUP(AB457,Calculs!$A$19:$S$425,19,FALSE),VLOOKUP(AC457,Calculs!$A$19:$S$425,19,FALSE))&gt;=AD457,TRUE,FALSE))</f>
        <v>1</v>
      </c>
      <c r="AF457" s="158"/>
      <c r="AG457" s="158"/>
      <c r="AH457" s="158"/>
      <c r="AI457" s="158" t="b">
        <f>IF(AF457="",TRUE,IF(IF(AG457="",VLOOKUP(AF457,Calculs!$A$19:$S$425,19,FALSE),VLOOKUP(AG457,Calculs!$A$19:$S$425,19,FALSE))&gt;=AH457,TRUE,FALSE))</f>
        <v>1</v>
      </c>
      <c r="AJ457" s="158"/>
      <c r="AK457" s="158"/>
      <c r="AL457" s="158"/>
      <c r="AM457" s="158" t="b">
        <f>IF(AJ457="",TRUE,IF(IF(AK457="",VLOOKUP(AJ457,Calculs!$A$19:$S$425,19,FALSE),VLOOKUP(AK457,Calculs!$A$19:$S$425,19,FALSE))&gt;=AL457,TRUE,FALSE))</f>
        <v>1</v>
      </c>
      <c r="AN457" s="158"/>
      <c r="AO457" s="158"/>
      <c r="AP457" s="158"/>
      <c r="AQ457" s="158" t="b">
        <f>IF(AN457="",TRUE,IF(IF(AO457="",VLOOKUP(AN457,Calculs!$A$19:$S$425,19,FALSE),VLOOKUP(AO457,Calculs!$A$19:$S$425,19,FALSE))&gt;=AP457,TRUE,FALSE))</f>
        <v>1</v>
      </c>
      <c r="AR457" s="158"/>
      <c r="AS457" s="158" t="b">
        <f>IF(AR457="",TRUE,IF(VLOOKUP(AR457,Calculs!$A$427:$G$738,7,FALSE)&gt;0,TRUE,FALSE))</f>
        <v>1</v>
      </c>
      <c r="AT457" s="158"/>
      <c r="AU457" s="158" t="b">
        <f>IF(AT457="",TRUE,IF(VLOOKUP(AT457,Calculs!$A$740:$G$912,7,FALSE)&gt;0,TRUE,FALSE))</f>
        <v>1</v>
      </c>
      <c r="AV457" s="158" t="b">
        <f t="shared" si="53"/>
        <v>1</v>
      </c>
      <c r="AW457" s="158" t="s">
        <v>2078</v>
      </c>
      <c r="AX457" s="162" t="s">
        <v>3</v>
      </c>
      <c r="AY457" s="15">
        <v>228</v>
      </c>
      <c r="AZ457" s="555" t="s">
        <v>2285</v>
      </c>
      <c r="BA457" s="559">
        <f>IF(Verso!$B$10=Voies!$B456,1,0)</f>
        <v>0</v>
      </c>
      <c r="BB457" s="12">
        <f>IF(Verso!$B$11=Voies!$B456,1,0)</f>
        <v>0</v>
      </c>
      <c r="BC457" s="12">
        <f>IF(Verso!$B$12=Voies!$B456,1,0)</f>
        <v>0</v>
      </c>
      <c r="BD457" s="12">
        <f>IF(Verso!$B$13=Voies!$B456,1,0)</f>
        <v>0</v>
      </c>
      <c r="BE457" s="12">
        <f>IF(Verso!$B$14=Voies!$B456,1,0)</f>
        <v>0</v>
      </c>
      <c r="BF457" s="12">
        <f>IF(Verso!$B$15=Voies!$B456,1,0)</f>
        <v>0</v>
      </c>
      <c r="BG457" s="12">
        <f>IF(Verso!$B$16=Voies!$B456,1,0)</f>
        <v>0</v>
      </c>
      <c r="BH457" s="12">
        <f>IF(Verso!$B$17=Voies!$B456,1,0)</f>
        <v>0</v>
      </c>
      <c r="BI457" s="557">
        <f t="shared" si="54"/>
        <v>0</v>
      </c>
      <c r="BJ457" s="196" t="str">
        <f t="shared" si="55"/>
        <v/>
      </c>
      <c r="BK457" s="196" t="str">
        <f t="shared" si="56"/>
        <v/>
      </c>
      <c r="BL457" s="295" t="str">
        <f t="shared" si="57"/>
        <v/>
      </c>
    </row>
    <row r="458" spans="1:65" s="196" customFormat="1" ht="47.25" customHeight="1" x14ac:dyDescent="0.25">
      <c r="A458" s="162" t="str">
        <f>IF(AND(Réputation&gt;Voies!E458-1,OR(C458=TRUE,Calculs!$I$8&gt;0),Air&gt;Voies!J458-1,Eau&gt;Voies!K458-1,Feu&gt;Voies!L458-1,Terre&gt;Voies!M458-1,Vide&gt;Voies!N458-1,Constitution&gt;Voies!O458-1,Volonté&gt;Voies!P458-1,Force&gt;Voies!Q458-1,Perception&gt;Voies!R458-1,Reflexes&gt;Voies!S458-1,Agilité&gt;Voies!T458-1,Intuition&gt;Voies!U458-1,Intelligence&gt;Voies!V458-1,Souillure&gt;Voies!W458-1,Honneur&gt;X458-1,Statut&gt;Y458-1,Gloire&gt;Z458-1,AV458=TRUE),Voies!B458,"")</f>
        <v/>
      </c>
      <c r="B458" s="162" t="s">
        <v>6013</v>
      </c>
      <c r="C458" s="162" t="b">
        <f>IF(Clan=Voies!D457,TRUE,FALSE)</f>
        <v>0</v>
      </c>
      <c r="D458" s="388" t="s">
        <v>47</v>
      </c>
      <c r="E458" s="199">
        <v>3</v>
      </c>
      <c r="F458" s="199">
        <v>3</v>
      </c>
      <c r="G458" s="199" t="s">
        <v>2052</v>
      </c>
      <c r="H458" s="162" t="s">
        <v>6012</v>
      </c>
      <c r="I458" s="129" t="s">
        <v>3465</v>
      </c>
      <c r="J458" s="146">
        <v>0</v>
      </c>
      <c r="K458" s="147">
        <v>0</v>
      </c>
      <c r="L458" s="148">
        <v>0</v>
      </c>
      <c r="M458" s="149">
        <v>0</v>
      </c>
      <c r="N458" s="150">
        <v>0</v>
      </c>
      <c r="O458" s="130">
        <v>0</v>
      </c>
      <c r="P458" s="130">
        <v>0</v>
      </c>
      <c r="Q458" s="130">
        <v>0</v>
      </c>
      <c r="R458" s="130">
        <v>0</v>
      </c>
      <c r="S458" s="130">
        <v>0</v>
      </c>
      <c r="T458" s="130">
        <v>0</v>
      </c>
      <c r="U458" s="130">
        <v>4</v>
      </c>
      <c r="V458" s="524">
        <v>0</v>
      </c>
      <c r="W458" s="130">
        <v>0</v>
      </c>
      <c r="X458" s="130">
        <v>0</v>
      </c>
      <c r="Y458" s="130">
        <v>4</v>
      </c>
      <c r="Z458" s="130">
        <v>0</v>
      </c>
      <c r="AA458" s="159" t="s">
        <v>6014</v>
      </c>
      <c r="AB458" s="159" t="s">
        <v>1208</v>
      </c>
      <c r="AC458" s="159"/>
      <c r="AD458" s="159">
        <v>5</v>
      </c>
      <c r="AE458" s="158" t="b">
        <f>IF(AB458="",TRUE,IF(IF(AC458="",VLOOKUP(AB458,Calculs!$A$19:$S$425,19,FALSE),VLOOKUP(AC458,Calculs!$A$19:$S$425,19,FALSE))&gt;=AD458,TRUE,FALSE))</f>
        <v>0</v>
      </c>
      <c r="AF458" s="159" t="s">
        <v>1266</v>
      </c>
      <c r="AG458" s="159"/>
      <c r="AH458" s="159">
        <v>5</v>
      </c>
      <c r="AI458" s="158" t="b">
        <f>IF(AF458="",TRUE,IF(IF(AG458="",VLOOKUP(AF458,Calculs!$A$19:$S$425,19,FALSE),VLOOKUP(AG458,Calculs!$A$19:$S$425,19,FALSE))&gt;=AH458,TRUE,FALSE))</f>
        <v>0</v>
      </c>
      <c r="AJ458" s="159"/>
      <c r="AK458" s="159"/>
      <c r="AL458" s="159"/>
      <c r="AM458" s="158" t="b">
        <f>IF(AJ458="",TRUE,IF(IF(AK458="",VLOOKUP(AJ458,Calculs!$A$19:$S$425,19,FALSE),VLOOKUP(AK458,Calculs!$A$19:$S$425,19,FALSE))&gt;=AL458,TRUE,FALSE))</f>
        <v>1</v>
      </c>
      <c r="AN458" s="159"/>
      <c r="AO458" s="159"/>
      <c r="AP458" s="159"/>
      <c r="AQ458" s="158" t="b">
        <f>IF(AN458="",TRUE,IF(IF(AO458="",VLOOKUP(AN458,Calculs!$A$19:$S$425,19,FALSE),VLOOKUP(AO458,Calculs!$A$19:$S$425,19,FALSE))&gt;=AP458,TRUE,FALSE))</f>
        <v>1</v>
      </c>
      <c r="AR458" s="158"/>
      <c r="AS458" s="158" t="b">
        <f>IF(AR458="",TRUE,IF(VLOOKUP(AR458,Calculs!$A$427:$G$738,7,FALSE)&gt;0,TRUE,FALSE))</f>
        <v>1</v>
      </c>
      <c r="AT458" s="158"/>
      <c r="AU458" s="158" t="b">
        <f>IF(AT458="",TRUE,IF(VLOOKUP(AT458,Calculs!$A$740:$G$912,7,FALSE)&gt;0,TRUE,FALSE))</f>
        <v>1</v>
      </c>
      <c r="AV458" s="158" t="b">
        <f t="shared" si="53"/>
        <v>0</v>
      </c>
      <c r="AW458" s="158" t="s">
        <v>2078</v>
      </c>
      <c r="AX458" s="162" t="s">
        <v>6010</v>
      </c>
      <c r="AY458" s="15"/>
      <c r="AZ458" s="555" t="s">
        <v>6015</v>
      </c>
      <c r="BA458" s="559">
        <f>IF(Verso!$B$10=Voies!$B457,1,0)</f>
        <v>0</v>
      </c>
      <c r="BB458" s="12">
        <f>IF(Verso!$B$11=Voies!$B457,1,0)</f>
        <v>0</v>
      </c>
      <c r="BC458" s="12">
        <f>IF(Verso!$B$12=Voies!$B457,1,0)</f>
        <v>0</v>
      </c>
      <c r="BD458" s="12">
        <f>IF(Verso!$B$13=Voies!$B457,1,0)</f>
        <v>0</v>
      </c>
      <c r="BE458" s="12">
        <f>IF(Verso!$B$14=Voies!$B457,1,0)</f>
        <v>0</v>
      </c>
      <c r="BF458" s="12">
        <f>IF(Verso!$B$15=Voies!$B457,1,0)</f>
        <v>0</v>
      </c>
      <c r="BG458" s="12">
        <f>IF(Verso!$B$16=Voies!$B457,1,0)</f>
        <v>0</v>
      </c>
      <c r="BH458" s="12">
        <f>IF(Verso!$B$17=Voies!$B457,1,0)</f>
        <v>0</v>
      </c>
      <c r="BI458" s="557">
        <f t="shared" si="54"/>
        <v>0</v>
      </c>
      <c r="BJ458" s="196" t="str">
        <f t="shared" si="55"/>
        <v/>
      </c>
      <c r="BK458" s="196" t="str">
        <f t="shared" si="56"/>
        <v/>
      </c>
      <c r="BL458" s="295" t="str">
        <f t="shared" si="57"/>
        <v/>
      </c>
      <c r="BM458" s="91"/>
    </row>
    <row r="459" spans="1:65" ht="47.25" customHeight="1" x14ac:dyDescent="0.25">
      <c r="A459" s="162" t="str">
        <f>IF(AND(Réputation&gt;Voies!E459-1,OR(C459=TRUE,Calculs!$I$8&gt;0),Air&gt;Voies!J459-1,Eau&gt;Voies!K459-1,Feu&gt;Voies!L459-1,Terre&gt;Voies!M459-1,Vide&gt;Voies!N459-1,Constitution&gt;Voies!O459-1,Volonté&gt;Voies!P459-1,Force&gt;Voies!Q459-1,Perception&gt;Voies!R459-1,Reflexes&gt;Voies!S459-1,Agilité&gt;Voies!T459-1,Intuition&gt;Voies!U459-1,Intelligence&gt;Voies!V459-1,Souillure&gt;Voies!W459-1,Honneur&gt;X459-1,Statut&gt;Y459-1,Gloire&gt;Z459-1,AV459=TRUE),Voies!B459,"")</f>
        <v/>
      </c>
      <c r="B459" s="162" t="s">
        <v>3795</v>
      </c>
      <c r="C459" s="162" t="b">
        <f>IF(Clan=Voies!D459,TRUE,FALSE)</f>
        <v>0</v>
      </c>
      <c r="D459" s="387" t="s">
        <v>47</v>
      </c>
      <c r="E459" s="13">
        <v>3</v>
      </c>
      <c r="F459" s="199">
        <v>3</v>
      </c>
      <c r="G459" s="13" t="s">
        <v>2048</v>
      </c>
      <c r="H459" s="219" t="s">
        <v>3793</v>
      </c>
      <c r="I459" s="129" t="s">
        <v>3794</v>
      </c>
      <c r="J459" s="146">
        <v>0</v>
      </c>
      <c r="K459" s="147">
        <v>0</v>
      </c>
      <c r="L459" s="148">
        <v>0</v>
      </c>
      <c r="M459" s="149">
        <v>0</v>
      </c>
      <c r="N459" s="150">
        <v>0</v>
      </c>
      <c r="O459" s="130">
        <v>0</v>
      </c>
      <c r="P459" s="130">
        <v>0</v>
      </c>
      <c r="Q459" s="130">
        <v>0</v>
      </c>
      <c r="R459" s="130">
        <v>0</v>
      </c>
      <c r="S459" s="130">
        <v>0</v>
      </c>
      <c r="T459" s="130">
        <v>0</v>
      </c>
      <c r="U459" s="130">
        <v>0</v>
      </c>
      <c r="V459" s="524">
        <v>0</v>
      </c>
      <c r="W459" s="130">
        <v>0</v>
      </c>
      <c r="X459" s="130">
        <v>0</v>
      </c>
      <c r="Y459" s="130">
        <v>0</v>
      </c>
      <c r="Z459" s="130">
        <v>0</v>
      </c>
      <c r="AA459" s="158" t="s">
        <v>2078</v>
      </c>
      <c r="AB459" s="158"/>
      <c r="AC459" s="158"/>
      <c r="AD459" s="158"/>
      <c r="AE459" s="158" t="b">
        <f>IF(AB459="",TRUE,IF(IF(AC459="",VLOOKUP(AB459,Calculs!$A$19:$S$425,19,FALSE),VLOOKUP(AC459,Calculs!$A$19:$S$425,19,FALSE))&gt;=AD459,TRUE,FALSE))</f>
        <v>1</v>
      </c>
      <c r="AF459" s="158"/>
      <c r="AG459" s="158"/>
      <c r="AH459" s="158"/>
      <c r="AI459" s="158" t="b">
        <f>IF(AF459="",TRUE,IF(IF(AG459="",VLOOKUP(AF459,Calculs!$A$19:$S$425,19,FALSE),VLOOKUP(AG459,Calculs!$A$19:$S$425,19,FALSE))&gt;=AH459,TRUE,FALSE))</f>
        <v>1</v>
      </c>
      <c r="AJ459" s="158"/>
      <c r="AK459" s="158"/>
      <c r="AL459" s="158"/>
      <c r="AM459" s="158" t="b">
        <f>IF(AJ459="",TRUE,IF(IF(AK459="",VLOOKUP(AJ459,Calculs!$A$19:$S$425,19,FALSE),VLOOKUP(AK459,Calculs!$A$19:$S$425,19,FALSE))&gt;=AL459,TRUE,FALSE))</f>
        <v>1</v>
      </c>
      <c r="AN459" s="158"/>
      <c r="AO459" s="158"/>
      <c r="AP459" s="158"/>
      <c r="AQ459" s="158" t="b">
        <f>IF(AN459="",TRUE,IF(IF(AO459="",VLOOKUP(AN459,Calculs!$A$19:$S$425,19,FALSE),VLOOKUP(AO459,Calculs!$A$19:$S$425,19,FALSE))&gt;=AP459,TRUE,FALSE))</f>
        <v>1</v>
      </c>
      <c r="AR459" s="158"/>
      <c r="AS459" s="158" t="b">
        <f>IF(AR459="",TRUE,IF(VLOOKUP(AR459,Calculs!$A$427:$G$738,7,FALSE)&gt;0,TRUE,FALSE))</f>
        <v>1</v>
      </c>
      <c r="AT459" s="158"/>
      <c r="AU459" s="158" t="b">
        <f>IF(AT459="",TRUE,IF(VLOOKUP(AT459,Calculs!$A$740:$G$912,7,FALSE)&gt;0,TRUE,FALSE))</f>
        <v>1</v>
      </c>
      <c r="AV459" s="158" t="b">
        <f t="shared" si="53"/>
        <v>1</v>
      </c>
      <c r="AW459" s="159" t="s">
        <v>3796</v>
      </c>
      <c r="AX459" s="162" t="s">
        <v>2080</v>
      </c>
      <c r="AY459" s="15">
        <v>241</v>
      </c>
      <c r="AZ459" s="555" t="s">
        <v>3797</v>
      </c>
      <c r="BA459" s="559">
        <f>IF(Verso!$B$10=Voies!$B459,1,0)</f>
        <v>0</v>
      </c>
      <c r="BB459" s="12">
        <f>IF(Verso!$B$11=Voies!$B459,1,0)</f>
        <v>0</v>
      </c>
      <c r="BC459" s="12">
        <f>IF(Verso!$B$12=Voies!$B459,1,0)</f>
        <v>0</v>
      </c>
      <c r="BD459" s="12">
        <f>IF(Verso!$B$13=Voies!$B459,1,0)</f>
        <v>0</v>
      </c>
      <c r="BE459" s="12">
        <f>IF(Verso!$B$14=Voies!$B459,1,0)</f>
        <v>0</v>
      </c>
      <c r="BF459" s="12">
        <f>IF(Verso!$B$15=Voies!$B459,1,0)</f>
        <v>0</v>
      </c>
      <c r="BG459" s="12">
        <f>IF(Verso!$B$16=Voies!$B459,1,0)</f>
        <v>0</v>
      </c>
      <c r="BH459" s="12">
        <f>IF(Verso!$B$17=Voies!$B459,1,0)</f>
        <v>0</v>
      </c>
      <c r="BI459" s="557">
        <f t="shared" si="54"/>
        <v>0</v>
      </c>
      <c r="BJ459" s="196" t="str">
        <f t="shared" si="55"/>
        <v/>
      </c>
      <c r="BK459" s="196" t="str">
        <f t="shared" si="56"/>
        <v/>
      </c>
      <c r="BL459" s="295" t="str">
        <f t="shared" si="57"/>
        <v/>
      </c>
    </row>
    <row r="460" spans="1:65" ht="47.25" customHeight="1" x14ac:dyDescent="0.25">
      <c r="A460" s="162" t="str">
        <f>IF(AND(Réputation&gt;Voies!E460-1,OR(C460=TRUE,Calculs!$I$8&gt;0),Air&gt;Voies!J460-1,Eau&gt;Voies!K460-1,Feu&gt;Voies!L460-1,Terre&gt;Voies!M460-1,Vide&gt;Voies!N460-1,Constitution&gt;Voies!O460-1,Volonté&gt;Voies!P460-1,Force&gt;Voies!Q460-1,Perception&gt;Voies!R460-1,Reflexes&gt;Voies!S460-1,Agilité&gt;Voies!T460-1,Intuition&gt;Voies!U460-1,Intelligence&gt;Voies!V460-1,Souillure&gt;Voies!W460-1,Honneur&gt;X460-1,Statut&gt;Y460-1,Gloire&gt;Z460-1,AV460=TRUE),Voies!B460,"")</f>
        <v/>
      </c>
      <c r="B460" s="162" t="s">
        <v>2308</v>
      </c>
      <c r="C460" s="162" t="b">
        <f>IF(Clan=Voies!D460,TRUE,FALSE)</f>
        <v>0</v>
      </c>
      <c r="D460" s="387" t="s">
        <v>47</v>
      </c>
      <c r="E460" s="13">
        <v>4</v>
      </c>
      <c r="F460" s="199">
        <v>4</v>
      </c>
      <c r="G460" s="13" t="s">
        <v>2049</v>
      </c>
      <c r="H460" s="219" t="s">
        <v>251</v>
      </c>
      <c r="I460" s="129" t="str">
        <f>IF(B460="","","Rien")</f>
        <v>Rien</v>
      </c>
      <c r="J460" s="146">
        <v>0</v>
      </c>
      <c r="K460" s="147">
        <v>0</v>
      </c>
      <c r="L460" s="148">
        <v>0</v>
      </c>
      <c r="M460" s="149">
        <v>0</v>
      </c>
      <c r="N460" s="150">
        <v>0</v>
      </c>
      <c r="O460" s="130">
        <v>0</v>
      </c>
      <c r="P460" s="130">
        <v>0</v>
      </c>
      <c r="Q460" s="130">
        <v>0</v>
      </c>
      <c r="R460" s="130">
        <v>0</v>
      </c>
      <c r="S460" s="130">
        <v>0</v>
      </c>
      <c r="T460" s="130">
        <v>0</v>
      </c>
      <c r="U460" s="130">
        <v>0</v>
      </c>
      <c r="V460" s="524">
        <v>0</v>
      </c>
      <c r="W460" s="130">
        <v>0</v>
      </c>
      <c r="X460" s="130">
        <v>0</v>
      </c>
      <c r="Y460" s="130">
        <v>0</v>
      </c>
      <c r="Z460" s="130">
        <v>0</v>
      </c>
      <c r="AA460" s="158" t="s">
        <v>2078</v>
      </c>
      <c r="AB460" s="158"/>
      <c r="AC460" s="158"/>
      <c r="AD460" s="158"/>
      <c r="AE460" s="158" t="b">
        <f>IF(AB460="",TRUE,IF(IF(AC460="",VLOOKUP(AB460,Calculs!$A$19:$S$425,19,FALSE),VLOOKUP(AC460,Calculs!$A$19:$S$425,19,FALSE))&gt;=AD460,TRUE,FALSE))</f>
        <v>1</v>
      </c>
      <c r="AF460" s="158"/>
      <c r="AG460" s="158"/>
      <c r="AH460" s="158"/>
      <c r="AI460" s="158" t="b">
        <f>IF(AF460="",TRUE,IF(IF(AG460="",VLOOKUP(AF460,Calculs!$A$19:$S$425,19,FALSE),VLOOKUP(AG460,Calculs!$A$19:$S$425,19,FALSE))&gt;=AH460,TRUE,FALSE))</f>
        <v>1</v>
      </c>
      <c r="AJ460" s="158"/>
      <c r="AK460" s="158"/>
      <c r="AL460" s="158"/>
      <c r="AM460" s="158" t="b">
        <f>IF(AJ460="",TRUE,IF(IF(AK460="",VLOOKUP(AJ460,Calculs!$A$19:$S$425,19,FALSE),VLOOKUP(AK460,Calculs!$A$19:$S$425,19,FALSE))&gt;=AL460,TRUE,FALSE))</f>
        <v>1</v>
      </c>
      <c r="AN460" s="158"/>
      <c r="AO460" s="158"/>
      <c r="AP460" s="158"/>
      <c r="AQ460" s="158" t="b">
        <f>IF(AN460="",TRUE,IF(IF(AO460="",VLOOKUP(AN460,Calculs!$A$19:$S$425,19,FALSE),VLOOKUP(AO460,Calculs!$A$19:$S$425,19,FALSE))&gt;=AP460,TRUE,FALSE))</f>
        <v>1</v>
      </c>
      <c r="AR460" s="158"/>
      <c r="AS460" s="158" t="b">
        <f>IF(AR460="",TRUE,IF(VLOOKUP(AR460,Calculs!$A$427:$G$738,7,FALSE)&gt;0,TRUE,FALSE))</f>
        <v>1</v>
      </c>
      <c r="AT460" s="158"/>
      <c r="AU460" s="158" t="b">
        <f>IF(AT460="",TRUE,IF(VLOOKUP(AT460,Calculs!$A$740:$G$912,7,FALSE)&gt;0,TRUE,FALSE))</f>
        <v>1</v>
      </c>
      <c r="AV460" s="158" t="b">
        <f t="shared" si="53"/>
        <v>1</v>
      </c>
      <c r="AW460" s="158" t="s">
        <v>2078</v>
      </c>
      <c r="AX460" s="162" t="s">
        <v>3</v>
      </c>
      <c r="AY460" s="15">
        <v>230</v>
      </c>
      <c r="AZ460" s="555" t="s">
        <v>2247</v>
      </c>
      <c r="BA460" s="559">
        <f>IF(Verso!$B$10=Voies!$B460,1,0)</f>
        <v>0</v>
      </c>
      <c r="BB460" s="12">
        <f>IF(Verso!$B$11=Voies!$B460,1,0)</f>
        <v>0</v>
      </c>
      <c r="BC460" s="12">
        <f>IF(Verso!$B$12=Voies!$B460,1,0)</f>
        <v>0</v>
      </c>
      <c r="BD460" s="12">
        <f>IF(Verso!$B$13=Voies!$B460,1,0)</f>
        <v>0</v>
      </c>
      <c r="BE460" s="12">
        <f>IF(Verso!$B$14=Voies!$B460,1,0)</f>
        <v>0</v>
      </c>
      <c r="BF460" s="12">
        <f>IF(Verso!$B$15=Voies!$B460,1,0)</f>
        <v>0</v>
      </c>
      <c r="BG460" s="12">
        <f>IF(Verso!$B$16=Voies!$B460,1,0)</f>
        <v>0</v>
      </c>
      <c r="BH460" s="12">
        <f>IF(Verso!$B$17=Voies!$B460,1,0)</f>
        <v>0</v>
      </c>
      <c r="BI460" s="557">
        <f t="shared" si="54"/>
        <v>0</v>
      </c>
      <c r="BJ460" s="196" t="str">
        <f t="shared" si="55"/>
        <v/>
      </c>
      <c r="BK460" s="196" t="str">
        <f t="shared" si="56"/>
        <v/>
      </c>
      <c r="BL460" s="295" t="str">
        <f t="shared" si="57"/>
        <v/>
      </c>
    </row>
    <row r="461" spans="1:65" ht="47.25" customHeight="1" x14ac:dyDescent="0.25">
      <c r="A461" s="162" t="str">
        <f>IF(AND(Réputation&gt;Voies!E461-1,OR(C461=TRUE,Calculs!$I$8&gt;0),Air&gt;Voies!J461-1,Eau&gt;Voies!K461-1,Feu&gt;Voies!L461-1,Terre&gt;Voies!M461-1,Vide&gt;Voies!N461-1,Constitution&gt;Voies!O461-1,Volonté&gt;Voies!P461-1,Force&gt;Voies!Q461-1,Perception&gt;Voies!R461-1,Reflexes&gt;Voies!S461-1,Agilité&gt;Voies!T461-1,Intuition&gt;Voies!U461-1,Intelligence&gt;Voies!V461-1,Souillure&gt;Voies!W461-1,Honneur&gt;X461-1,Statut&gt;Y461-1,Gloire&gt;Z461-1,AV461=TRUE),Voies!B461,"")</f>
        <v/>
      </c>
      <c r="B461" s="162" t="s">
        <v>3798</v>
      </c>
      <c r="C461" s="162" t="b">
        <f>IF(Clan=Voies!D461,TRUE,FALSE)</f>
        <v>0</v>
      </c>
      <c r="D461" s="387" t="s">
        <v>47</v>
      </c>
      <c r="E461" s="13">
        <v>4</v>
      </c>
      <c r="F461" s="199">
        <v>4</v>
      </c>
      <c r="G461" s="13" t="s">
        <v>2049</v>
      </c>
      <c r="H461" s="219" t="s">
        <v>556</v>
      </c>
      <c r="I461" s="129" t="s">
        <v>3799</v>
      </c>
      <c r="J461" s="146">
        <v>0</v>
      </c>
      <c r="K461" s="147">
        <v>0</v>
      </c>
      <c r="L461" s="148">
        <v>0</v>
      </c>
      <c r="M461" s="149">
        <v>0</v>
      </c>
      <c r="N461" s="150">
        <v>0</v>
      </c>
      <c r="O461" s="130">
        <v>0</v>
      </c>
      <c r="P461" s="130">
        <v>0</v>
      </c>
      <c r="Q461" s="130">
        <v>0</v>
      </c>
      <c r="R461" s="130">
        <v>0</v>
      </c>
      <c r="S461" s="130">
        <v>0</v>
      </c>
      <c r="T461" s="130">
        <v>0</v>
      </c>
      <c r="U461" s="130">
        <v>0</v>
      </c>
      <c r="V461" s="524">
        <v>0</v>
      </c>
      <c r="W461" s="130">
        <v>0</v>
      </c>
      <c r="X461" s="130">
        <v>0</v>
      </c>
      <c r="Y461" s="130">
        <v>0</v>
      </c>
      <c r="Z461" s="130">
        <v>0</v>
      </c>
      <c r="AA461" s="159" t="s">
        <v>3629</v>
      </c>
      <c r="AB461" s="159" t="s">
        <v>351</v>
      </c>
      <c r="AD461" s="159">
        <v>5</v>
      </c>
      <c r="AE461" s="158" t="b">
        <f>IF(AB461="",TRUE,IF(IF(AC461="",VLOOKUP(AB461,Calculs!$A$19:$S$425,19,FALSE),VLOOKUP(AC461,Calculs!$A$19:$S$425,19,FALSE))&gt;=AD461,TRUE,FALSE))</f>
        <v>0</v>
      </c>
      <c r="AI461" s="158" t="b">
        <f>IF(AF461="",TRUE,IF(IF(AG461="",VLOOKUP(AF461,Calculs!$A$19:$S$425,19,FALSE),VLOOKUP(AG461,Calculs!$A$19:$S$425,19,FALSE))&gt;=AH461,TRUE,FALSE))</f>
        <v>1</v>
      </c>
      <c r="AM461" s="158" t="b">
        <f>IF(AJ461="",TRUE,IF(IF(AK461="",VLOOKUP(AJ461,Calculs!$A$19:$S$425,19,FALSE),VLOOKUP(AK461,Calculs!$A$19:$S$425,19,FALSE))&gt;=AL461,TRUE,FALSE))</f>
        <v>1</v>
      </c>
      <c r="AQ461" s="158" t="b">
        <f>IF(AN461="",TRUE,IF(IF(AO461="",VLOOKUP(AN461,Calculs!$A$19:$S$425,19,FALSE),VLOOKUP(AO461,Calculs!$A$19:$S$425,19,FALSE))&gt;=AP461,TRUE,FALSE))</f>
        <v>1</v>
      </c>
      <c r="AR461" s="158"/>
      <c r="AS461" s="158" t="b">
        <f>IF(AR461="",TRUE,IF(VLOOKUP(AR461,Calculs!$A$427:$G$738,7,FALSE)&gt;0,TRUE,FALSE))</f>
        <v>1</v>
      </c>
      <c r="AT461" s="158"/>
      <c r="AU461" s="158" t="b">
        <f>IF(AT461="",TRUE,IF(VLOOKUP(AT461,Calculs!$A$740:$G$912,7,FALSE)&gt;0,TRUE,FALSE))</f>
        <v>1</v>
      </c>
      <c r="AV461" s="158" t="b">
        <f t="shared" si="53"/>
        <v>0</v>
      </c>
      <c r="AW461" s="158" t="s">
        <v>2078</v>
      </c>
      <c r="AX461" s="162" t="s">
        <v>2080</v>
      </c>
      <c r="AY461" s="15">
        <v>241</v>
      </c>
      <c r="AZ461" s="555" t="s">
        <v>3800</v>
      </c>
      <c r="BA461" s="559">
        <f>IF(Verso!$B$10=Voies!$B461,1,0)</f>
        <v>0</v>
      </c>
      <c r="BB461" s="12">
        <f>IF(Verso!$B$11=Voies!$B461,1,0)</f>
        <v>0</v>
      </c>
      <c r="BC461" s="12">
        <f>IF(Verso!$B$12=Voies!$B461,1,0)</f>
        <v>0</v>
      </c>
      <c r="BD461" s="12">
        <f>IF(Verso!$B$13=Voies!$B461,1,0)</f>
        <v>0</v>
      </c>
      <c r="BE461" s="12">
        <f>IF(Verso!$B$14=Voies!$B461,1,0)</f>
        <v>0</v>
      </c>
      <c r="BF461" s="12">
        <f>IF(Verso!$B$15=Voies!$B461,1,0)</f>
        <v>0</v>
      </c>
      <c r="BG461" s="12">
        <f>IF(Verso!$B$16=Voies!$B461,1,0)</f>
        <v>0</v>
      </c>
      <c r="BH461" s="12">
        <f>IF(Verso!$B$17=Voies!$B461,1,0)</f>
        <v>0</v>
      </c>
      <c r="BI461" s="557">
        <f t="shared" si="54"/>
        <v>0</v>
      </c>
      <c r="BJ461" s="196" t="str">
        <f t="shared" si="55"/>
        <v/>
      </c>
      <c r="BK461" s="196" t="str">
        <f t="shared" si="56"/>
        <v/>
      </c>
      <c r="BL461" s="295" t="str">
        <f t="shared" si="57"/>
        <v/>
      </c>
    </row>
    <row r="462" spans="1:65" s="196" customFormat="1" ht="47.25" customHeight="1" x14ac:dyDescent="0.25">
      <c r="A462" s="162" t="str">
        <f>IF(AND(Réputation&gt;Voies!E462-1,OR(C462=TRUE,Calculs!$I$8&gt;0),Air&gt;Voies!J462-1,Eau&gt;Voies!K462-1,Feu&gt;Voies!L462-1,Terre&gt;Voies!M462-1,Vide&gt;Voies!N462-1,Constitution&gt;Voies!O462-1,Volonté&gt;Voies!P462-1,Force&gt;Voies!Q462-1,Perception&gt;Voies!R462-1,Reflexes&gt;Voies!S462-1,Agilité&gt;Voies!T462-1,Intuition&gt;Voies!U462-1,Intelligence&gt;Voies!V462-1,Souillure&gt;Voies!W462-1,Honneur&gt;X462-1,Statut&gt;Y462-1,Gloire&gt;Z462-1,AV462=TRUE),Voies!B462,"")</f>
        <v/>
      </c>
      <c r="B462" s="162" t="s">
        <v>3649</v>
      </c>
      <c r="C462" s="162" t="b">
        <v>1</v>
      </c>
      <c r="D462" s="387" t="s">
        <v>47</v>
      </c>
      <c r="E462" s="199">
        <v>4</v>
      </c>
      <c r="F462" s="199">
        <v>4</v>
      </c>
      <c r="G462" s="199" t="s">
        <v>2049</v>
      </c>
      <c r="H462" s="219" t="s">
        <v>279</v>
      </c>
      <c r="I462" s="129" t="s">
        <v>3650</v>
      </c>
      <c r="J462" s="146">
        <v>0</v>
      </c>
      <c r="K462" s="147">
        <v>0</v>
      </c>
      <c r="L462" s="148">
        <v>0</v>
      </c>
      <c r="M462" s="149">
        <v>0</v>
      </c>
      <c r="N462" s="150">
        <v>0</v>
      </c>
      <c r="O462" s="130">
        <v>0</v>
      </c>
      <c r="P462" s="130">
        <v>0</v>
      </c>
      <c r="Q462" s="130">
        <v>0</v>
      </c>
      <c r="R462" s="130">
        <v>0</v>
      </c>
      <c r="S462" s="130">
        <v>0</v>
      </c>
      <c r="T462" s="130">
        <v>0</v>
      </c>
      <c r="U462" s="130">
        <v>0</v>
      </c>
      <c r="V462" s="524">
        <v>0</v>
      </c>
      <c r="W462" s="130">
        <v>0</v>
      </c>
      <c r="X462" s="130">
        <v>0</v>
      </c>
      <c r="Y462" s="130">
        <v>0</v>
      </c>
      <c r="Z462" s="130">
        <v>0</v>
      </c>
      <c r="AA462" s="159" t="s">
        <v>3651</v>
      </c>
      <c r="AB462" s="159" t="s">
        <v>376</v>
      </c>
      <c r="AC462" s="159"/>
      <c r="AD462" s="159">
        <v>5</v>
      </c>
      <c r="AE462" s="158" t="b">
        <f>IF(AB462="",TRUE,IF(IF(AC462="",VLOOKUP(AB462,Calculs!$A$19:$S$425,19,FALSE),VLOOKUP(AC462,Calculs!$A$19:$S$425,19,FALSE))&gt;=AD462,TRUE,FALSE))</f>
        <v>0</v>
      </c>
      <c r="AF462" s="159" t="s">
        <v>1221</v>
      </c>
      <c r="AG462" s="159"/>
      <c r="AH462" s="159">
        <v>5</v>
      </c>
      <c r="AI462" s="158" t="b">
        <f>IF(AF462="",TRUE,IF(IF(AG462="",VLOOKUP(AF462,Calculs!$A$19:$S$425,19,FALSE),VLOOKUP(AG462,Calculs!$A$19:$S$425,19,FALSE))&gt;=AH462,TRUE,FALSE))</f>
        <v>0</v>
      </c>
      <c r="AJ462" s="159"/>
      <c r="AK462" s="159"/>
      <c r="AL462" s="159"/>
      <c r="AM462" s="158" t="b">
        <f>IF(AJ462="",TRUE,IF(IF(AK462="",VLOOKUP(AJ462,Calculs!$A$19:$S$425,19,FALSE),VLOOKUP(AK462,Calculs!$A$19:$S$425,19,FALSE))&gt;=AL462,TRUE,FALSE))</f>
        <v>1</v>
      </c>
      <c r="AN462" s="159"/>
      <c r="AO462" s="159"/>
      <c r="AP462" s="159"/>
      <c r="AQ462" s="158" t="b">
        <f>IF(AN462="",TRUE,IF(IF(AO462="",VLOOKUP(AN462,Calculs!$A$19:$S$425,19,FALSE),VLOOKUP(AO462,Calculs!$A$19:$S$425,19,FALSE))&gt;=AP462,TRUE,FALSE))</f>
        <v>1</v>
      </c>
      <c r="AR462" s="158"/>
      <c r="AS462" s="158" t="b">
        <f>IF(AR462="",TRUE,IF(VLOOKUP(AR462,Calculs!$A$427:$G$738,7,FALSE)&gt;0,TRUE,FALSE))</f>
        <v>1</v>
      </c>
      <c r="AT462" s="158"/>
      <c r="AU462" s="158" t="b">
        <f>IF(AT462="",TRUE,IF(VLOOKUP(AT462,Calculs!$A$740:$G$912,7,FALSE)&gt;0,TRUE,FALSE))</f>
        <v>1</v>
      </c>
      <c r="AV462" s="158" t="b">
        <f t="shared" si="53"/>
        <v>0</v>
      </c>
      <c r="AW462" s="159" t="s">
        <v>3652</v>
      </c>
      <c r="AX462" s="162" t="s">
        <v>2077</v>
      </c>
      <c r="AY462" s="151">
        <v>123</v>
      </c>
      <c r="AZ462" s="555" t="s">
        <v>8580</v>
      </c>
      <c r="BA462" s="559">
        <f>IF(Verso!$B$10=Voies!$B462,1,0)</f>
        <v>0</v>
      </c>
      <c r="BB462" s="12">
        <f>IF(Verso!$B$11=Voies!$B462,1,0)</f>
        <v>0</v>
      </c>
      <c r="BC462" s="12">
        <f>IF(Verso!$B$12=Voies!$B462,1,0)</f>
        <v>0</v>
      </c>
      <c r="BD462" s="12">
        <f>IF(Verso!$B$13=Voies!$B462,1,0)</f>
        <v>0</v>
      </c>
      <c r="BE462" s="12">
        <f>IF(Verso!$B$14=Voies!$B462,1,0)</f>
        <v>0</v>
      </c>
      <c r="BF462" s="12">
        <f>IF(Verso!$B$15=Voies!$B462,1,0)</f>
        <v>0</v>
      </c>
      <c r="BG462" s="12">
        <f>IF(Verso!$B$16=Voies!$B462,1,0)</f>
        <v>0</v>
      </c>
      <c r="BH462" s="12">
        <f>IF(Verso!$B$17=Voies!$B462,1,0)</f>
        <v>0</v>
      </c>
      <c r="BI462" s="557">
        <f t="shared" si="54"/>
        <v>0</v>
      </c>
      <c r="BJ462" s="196" t="str">
        <f t="shared" si="55"/>
        <v/>
      </c>
      <c r="BK462" s="196" t="str">
        <f t="shared" si="56"/>
        <v/>
      </c>
      <c r="BL462" s="295" t="str">
        <f t="shared" si="57"/>
        <v/>
      </c>
      <c r="BM462" s="91"/>
    </row>
    <row r="463" spans="1:65" ht="47.25" customHeight="1" x14ac:dyDescent="0.25">
      <c r="A463" s="162" t="str">
        <f>IF(AND(Réputation&gt;Voies!E463-1,OR(C463=TRUE,Calculs!$I$8&gt;0),Air&gt;Voies!J463-1,Eau&gt;Voies!K463-1,Feu&gt;Voies!L463-1,Terre&gt;Voies!M463-1,Vide&gt;Voies!N463-1,Constitution&gt;Voies!O463-1,Volonté&gt;Voies!P463-1,Force&gt;Voies!Q463-1,Perception&gt;Voies!R463-1,Reflexes&gt;Voies!S463-1,Agilité&gt;Voies!T463-1,Intuition&gt;Voies!U463-1,Intelligence&gt;Voies!V463-1,Souillure&gt;Voies!W463-1,Honneur&gt;X463-1,Statut&gt;Y463-1,Gloire&gt;Z463-1,AV463=TRUE),Voies!B463,"")</f>
        <v/>
      </c>
      <c r="B463" s="162" t="s">
        <v>6189</v>
      </c>
      <c r="C463" s="162" t="b">
        <v>1</v>
      </c>
      <c r="D463" s="387" t="s">
        <v>47</v>
      </c>
      <c r="E463" s="13">
        <v>4</v>
      </c>
      <c r="F463" s="199">
        <v>4</v>
      </c>
      <c r="G463" s="13" t="s">
        <v>2052</v>
      </c>
      <c r="H463" s="219" t="s">
        <v>6188</v>
      </c>
      <c r="I463" s="129" t="s">
        <v>6191</v>
      </c>
      <c r="J463" s="146">
        <v>0</v>
      </c>
      <c r="K463" s="147">
        <v>0</v>
      </c>
      <c r="L463" s="148">
        <v>0</v>
      </c>
      <c r="M463" s="149">
        <v>0</v>
      </c>
      <c r="N463" s="150">
        <v>0</v>
      </c>
      <c r="O463" s="130">
        <v>0</v>
      </c>
      <c r="P463" s="130">
        <v>0</v>
      </c>
      <c r="Q463" s="130">
        <v>0</v>
      </c>
      <c r="R463" s="130">
        <v>0</v>
      </c>
      <c r="S463" s="130">
        <v>0</v>
      </c>
      <c r="T463" s="130">
        <v>0</v>
      </c>
      <c r="U463" s="130">
        <v>0</v>
      </c>
      <c r="V463" s="524">
        <v>0</v>
      </c>
      <c r="W463" s="130">
        <v>0</v>
      </c>
      <c r="X463" s="130">
        <v>0</v>
      </c>
      <c r="Y463" s="130">
        <v>3</v>
      </c>
      <c r="Z463" s="130">
        <v>0</v>
      </c>
      <c r="AA463" s="159" t="s">
        <v>6372</v>
      </c>
      <c r="AB463" s="159" t="s">
        <v>231</v>
      </c>
      <c r="AD463" s="159">
        <v>4</v>
      </c>
      <c r="AE463" s="158" t="b">
        <f>IF(AB463="",TRUE,IF(IF(AC463="",VLOOKUP(AB463,Calculs!$A$19:$S$425,19,FALSE),VLOOKUP(AC463,Calculs!$A$19:$S$425,19,FALSE))&gt;=AD463,TRUE,FALSE))</f>
        <v>0</v>
      </c>
      <c r="AF463" s="159" t="s">
        <v>3325</v>
      </c>
      <c r="AG463" s="159" t="s">
        <v>3192</v>
      </c>
      <c r="AH463" s="159">
        <v>4</v>
      </c>
      <c r="AI463" s="158" t="b">
        <f>IF(AF463="",TRUE,IF(IF(AG463="",VLOOKUP(AF463,Calculs!$A$19:$S$425,19,FALSE),VLOOKUP(AG463,Calculs!$A$19:$S$425,19,FALSE))&gt;=AH463,TRUE,FALSE))</f>
        <v>0</v>
      </c>
      <c r="AJ463" s="159" t="s">
        <v>1266</v>
      </c>
      <c r="AL463" s="159">
        <v>4</v>
      </c>
      <c r="AM463" s="158" t="b">
        <f>IF(AJ463="",TRUE,IF(IF(AK463="",VLOOKUP(AJ463,Calculs!$A$19:$S$425,19,FALSE),VLOOKUP(AK463,Calculs!$A$19:$S$425,19,FALSE))&gt;=AL463,TRUE,FALSE))</f>
        <v>0</v>
      </c>
      <c r="AQ463" s="158" t="b">
        <f>IF(AN463="",TRUE,IF(IF(AO463="",VLOOKUP(AN463,Calculs!$A$19:$S$425,19,FALSE),VLOOKUP(AO463,Calculs!$A$19:$S$425,19,FALSE))&gt;=AP463,TRUE,FALSE))</f>
        <v>1</v>
      </c>
      <c r="AR463" s="158"/>
      <c r="AS463" s="158" t="b">
        <f>IF(AR463="",TRUE,IF(VLOOKUP(AR463,Calculs!$A$427:$G$738,7,FALSE)&gt;0,TRUE,FALSE))</f>
        <v>1</v>
      </c>
      <c r="AT463" s="158"/>
      <c r="AU463" s="158" t="b">
        <f>IF(AT463="",TRUE,IF(VLOOKUP(AT463,Calculs!$A$740:$G$912,7,FALSE)&gt;0,TRUE,FALSE))</f>
        <v>1</v>
      </c>
      <c r="AV463" s="158" t="b">
        <f t="shared" si="53"/>
        <v>0</v>
      </c>
      <c r="AW463" s="158" t="s">
        <v>2078</v>
      </c>
      <c r="AX463" s="162" t="s">
        <v>6010</v>
      </c>
      <c r="AY463" s="15">
        <v>211</v>
      </c>
      <c r="AZ463" s="555" t="s">
        <v>6190</v>
      </c>
      <c r="BA463" s="559">
        <f>IF(Verso!$B$10=Voies!$B463,1,0)</f>
        <v>0</v>
      </c>
      <c r="BB463" s="12">
        <f>IF(Verso!$B$11=Voies!$B463,1,0)</f>
        <v>0</v>
      </c>
      <c r="BC463" s="12">
        <f>IF(Verso!$B$12=Voies!$B463,1,0)</f>
        <v>0</v>
      </c>
      <c r="BD463" s="12">
        <f>IF(Verso!$B$13=Voies!$B463,1,0)</f>
        <v>0</v>
      </c>
      <c r="BE463" s="12">
        <f>IF(Verso!$B$14=Voies!$B463,1,0)</f>
        <v>0</v>
      </c>
      <c r="BF463" s="12">
        <f>IF(Verso!$B$15=Voies!$B463,1,0)</f>
        <v>0</v>
      </c>
      <c r="BG463" s="12">
        <f>IF(Verso!$B$16=Voies!$B463,1,0)</f>
        <v>0</v>
      </c>
      <c r="BH463" s="12">
        <f>IF(Verso!$B$17=Voies!$B463,1,0)</f>
        <v>0</v>
      </c>
      <c r="BI463" s="557">
        <f t="shared" si="54"/>
        <v>0</v>
      </c>
      <c r="BJ463" s="196" t="str">
        <f t="shared" si="55"/>
        <v/>
      </c>
      <c r="BK463" s="196" t="str">
        <f t="shared" si="56"/>
        <v/>
      </c>
      <c r="BL463" s="295" t="str">
        <f t="shared" si="57"/>
        <v/>
      </c>
    </row>
    <row r="464" spans="1:65" ht="47.25" customHeight="1" x14ac:dyDescent="0.25">
      <c r="A464" s="162" t="str">
        <f>IF(AND(Réputation&gt;Voies!E464-1,OR(C464=TRUE,Calculs!$I$8&gt;0),Air&gt;Voies!J464-1,Eau&gt;Voies!K464-1,Feu&gt;Voies!L464-1,Terre&gt;Voies!M464-1,Vide&gt;Voies!N464-1,Constitution&gt;Voies!O464-1,Volonté&gt;Voies!P464-1,Force&gt;Voies!Q464-1,Perception&gt;Voies!R464-1,Reflexes&gt;Voies!S464-1,Agilité&gt;Voies!T464-1,Intuition&gt;Voies!U464-1,Intelligence&gt;Voies!V464-1,Souillure&gt;Voies!W464-1,Honneur&gt;X464-1,Statut&gt;Y464-1,Gloire&gt;Z464-1,AV464=TRUE),Voies!B464,"")</f>
        <v/>
      </c>
      <c r="B464" s="162" t="s">
        <v>2297</v>
      </c>
      <c r="C464" s="162" t="b">
        <f>IF(Clan=Voies!D464,TRUE,FALSE)</f>
        <v>0</v>
      </c>
      <c r="D464" s="387" t="s">
        <v>47</v>
      </c>
      <c r="E464" s="13">
        <v>4</v>
      </c>
      <c r="F464" s="199">
        <v>4</v>
      </c>
      <c r="G464" s="199" t="s">
        <v>2052</v>
      </c>
      <c r="H464" s="219" t="s">
        <v>250</v>
      </c>
      <c r="I464" s="129" t="str">
        <f>IF(B464="","","Rien")</f>
        <v>Rien</v>
      </c>
      <c r="J464" s="146">
        <v>0</v>
      </c>
      <c r="K464" s="147">
        <v>0</v>
      </c>
      <c r="L464" s="148">
        <v>0</v>
      </c>
      <c r="M464" s="149">
        <v>0</v>
      </c>
      <c r="N464" s="150">
        <v>0</v>
      </c>
      <c r="O464" s="130">
        <v>0</v>
      </c>
      <c r="P464" s="130">
        <v>0</v>
      </c>
      <c r="Q464" s="130">
        <v>0</v>
      </c>
      <c r="R464" s="130">
        <v>0</v>
      </c>
      <c r="S464" s="130">
        <v>0</v>
      </c>
      <c r="T464" s="130">
        <v>0</v>
      </c>
      <c r="U464" s="130">
        <v>0</v>
      </c>
      <c r="V464" s="524">
        <v>0</v>
      </c>
      <c r="W464" s="130">
        <v>0</v>
      </c>
      <c r="X464" s="130">
        <v>0</v>
      </c>
      <c r="Y464" s="130">
        <v>0</v>
      </c>
      <c r="Z464" s="130">
        <v>0</v>
      </c>
      <c r="AA464" s="158" t="s">
        <v>2078</v>
      </c>
      <c r="AB464" s="158"/>
      <c r="AC464" s="158"/>
      <c r="AD464" s="158"/>
      <c r="AE464" s="158" t="b">
        <f>IF(AB464="",TRUE,IF(IF(AC464="",VLOOKUP(AB464,Calculs!$A$19:$S$425,19,FALSE),VLOOKUP(AC464,Calculs!$A$19:$S$425,19,FALSE))&gt;=AD464,TRUE,FALSE))</f>
        <v>1</v>
      </c>
      <c r="AF464" s="158"/>
      <c r="AG464" s="158"/>
      <c r="AH464" s="158"/>
      <c r="AI464" s="158" t="b">
        <f>IF(AF464="",TRUE,IF(IF(AG464="",VLOOKUP(AF464,Calculs!$A$19:$S$425,19,FALSE),VLOOKUP(AG464,Calculs!$A$19:$S$425,19,FALSE))&gt;=AH464,TRUE,FALSE))</f>
        <v>1</v>
      </c>
      <c r="AJ464" s="158"/>
      <c r="AK464" s="158"/>
      <c r="AL464" s="158"/>
      <c r="AM464" s="158" t="b">
        <f>IF(AJ464="",TRUE,IF(IF(AK464="",VLOOKUP(AJ464,Calculs!$A$19:$S$425,19,FALSE),VLOOKUP(AK464,Calculs!$A$19:$S$425,19,FALSE))&gt;=AL464,TRUE,FALSE))</f>
        <v>1</v>
      </c>
      <c r="AN464" s="158"/>
      <c r="AO464" s="158"/>
      <c r="AP464" s="158"/>
      <c r="AQ464" s="158" t="b">
        <f>IF(AN464="",TRUE,IF(IF(AO464="",VLOOKUP(AN464,Calculs!$A$19:$S$425,19,FALSE),VLOOKUP(AO464,Calculs!$A$19:$S$425,19,FALSE))&gt;=AP464,TRUE,FALSE))</f>
        <v>1</v>
      </c>
      <c r="AR464" s="158"/>
      <c r="AS464" s="158" t="b">
        <f>IF(AR464="",TRUE,IF(VLOOKUP(AR464,Calculs!$A$427:$G$738,7,FALSE)&gt;0,TRUE,FALSE))</f>
        <v>1</v>
      </c>
      <c r="AT464" s="158"/>
      <c r="AU464" s="158" t="b">
        <f>IF(AT464="",TRUE,IF(VLOOKUP(AT464,Calculs!$A$740:$G$912,7,FALSE)&gt;0,TRUE,FALSE))</f>
        <v>1</v>
      </c>
      <c r="AV464" s="158" t="b">
        <f t="shared" si="53"/>
        <v>1</v>
      </c>
      <c r="AW464" s="158" t="s">
        <v>2078</v>
      </c>
      <c r="AX464" s="162" t="s">
        <v>3</v>
      </c>
      <c r="AY464" s="15">
        <v>229</v>
      </c>
      <c r="AZ464" s="555" t="s">
        <v>8581</v>
      </c>
      <c r="BA464" s="559">
        <f>IF(Verso!$B$10=Voies!$B464,1,0)</f>
        <v>0</v>
      </c>
      <c r="BB464" s="12">
        <f>IF(Verso!$B$11=Voies!$B464,1,0)</f>
        <v>0</v>
      </c>
      <c r="BC464" s="12">
        <f>IF(Verso!$B$12=Voies!$B464,1,0)</f>
        <v>0</v>
      </c>
      <c r="BD464" s="12">
        <f>IF(Verso!$B$13=Voies!$B464,1,0)</f>
        <v>0</v>
      </c>
      <c r="BE464" s="12">
        <f>IF(Verso!$B$14=Voies!$B464,1,0)</f>
        <v>0</v>
      </c>
      <c r="BF464" s="12">
        <f>IF(Verso!$B$15=Voies!$B464,1,0)</f>
        <v>0</v>
      </c>
      <c r="BG464" s="12">
        <f>IF(Verso!$B$16=Voies!$B464,1,0)</f>
        <v>0</v>
      </c>
      <c r="BH464" s="12">
        <f>IF(Verso!$B$17=Voies!$B464,1,0)</f>
        <v>0</v>
      </c>
      <c r="BI464" s="557">
        <f t="shared" si="54"/>
        <v>0</v>
      </c>
      <c r="BJ464" s="196" t="str">
        <f t="shared" si="55"/>
        <v/>
      </c>
      <c r="BK464" s="196" t="str">
        <f t="shared" si="56"/>
        <v/>
      </c>
      <c r="BL464" s="295" t="str">
        <f t="shared" si="57"/>
        <v/>
      </c>
    </row>
    <row r="465" spans="1:65" ht="47.25" customHeight="1" x14ac:dyDescent="0.25">
      <c r="A465" s="162" t="str">
        <f>IF(AND(Réputation&gt;Voies!E465-1,OR(C465=TRUE,Calculs!$I$8&gt;0),Air&gt;Voies!J465-1,Eau&gt;Voies!K465-1,Feu&gt;Voies!L465-1,Terre&gt;Voies!M465-1,Vide&gt;Voies!N465-1,Constitution&gt;Voies!O465-1,Volonté&gt;Voies!P465-1,Force&gt;Voies!Q465-1,Perception&gt;Voies!R465-1,Reflexes&gt;Voies!S465-1,Agilité&gt;Voies!T465-1,Intuition&gt;Voies!U465-1,Intelligence&gt;Voies!V465-1,Souillure&gt;Voies!W465-1,Honneur&gt;X465-1,Statut&gt;Y465-1,Gloire&gt;Z465-1,AV465=TRUE),Voies!B465,"")</f>
        <v/>
      </c>
      <c r="B465" s="162" t="s">
        <v>2290</v>
      </c>
      <c r="C465" s="162" t="b">
        <f>IF(Clan=Voies!D465,TRUE,FALSE)</f>
        <v>0</v>
      </c>
      <c r="D465" s="387" t="s">
        <v>47</v>
      </c>
      <c r="E465" s="13">
        <v>4</v>
      </c>
      <c r="F465" s="199">
        <v>4</v>
      </c>
      <c r="G465" s="199" t="s">
        <v>2052</v>
      </c>
      <c r="H465" s="219" t="s">
        <v>249</v>
      </c>
      <c r="I465" s="129" t="str">
        <f>IF(B465="","","Rien")</f>
        <v>Rien</v>
      </c>
      <c r="J465" s="146">
        <v>0</v>
      </c>
      <c r="K465" s="147">
        <v>0</v>
      </c>
      <c r="L465" s="148">
        <v>0</v>
      </c>
      <c r="M465" s="149">
        <v>0</v>
      </c>
      <c r="N465" s="150">
        <v>0</v>
      </c>
      <c r="O465" s="130">
        <v>0</v>
      </c>
      <c r="P465" s="130">
        <v>0</v>
      </c>
      <c r="Q465" s="130">
        <v>0</v>
      </c>
      <c r="R465" s="130">
        <v>0</v>
      </c>
      <c r="S465" s="130">
        <v>0</v>
      </c>
      <c r="T465" s="130">
        <v>0</v>
      </c>
      <c r="U465" s="130">
        <v>0</v>
      </c>
      <c r="V465" s="524">
        <v>0</v>
      </c>
      <c r="W465" s="130">
        <v>0</v>
      </c>
      <c r="X465" s="130">
        <v>0</v>
      </c>
      <c r="Y465" s="130">
        <v>0</v>
      </c>
      <c r="Z465" s="130">
        <v>0</v>
      </c>
      <c r="AA465" s="158" t="s">
        <v>2078</v>
      </c>
      <c r="AB465" s="158"/>
      <c r="AC465" s="158"/>
      <c r="AD465" s="158"/>
      <c r="AE465" s="158" t="b">
        <f>IF(AB465="",TRUE,IF(IF(AC465="",VLOOKUP(AB465,Calculs!$A$19:$S$425,19,FALSE),VLOOKUP(AC465,Calculs!$A$19:$S$425,19,FALSE))&gt;=AD465,TRUE,FALSE))</f>
        <v>1</v>
      </c>
      <c r="AF465" s="158"/>
      <c r="AG465" s="158"/>
      <c r="AH465" s="158"/>
      <c r="AI465" s="158" t="b">
        <f>IF(AF465="",TRUE,IF(IF(AG465="",VLOOKUP(AF465,Calculs!$A$19:$S$425,19,FALSE),VLOOKUP(AG465,Calculs!$A$19:$S$425,19,FALSE))&gt;=AH465,TRUE,FALSE))</f>
        <v>1</v>
      </c>
      <c r="AJ465" s="158"/>
      <c r="AK465" s="158"/>
      <c r="AL465" s="158"/>
      <c r="AM465" s="158" t="b">
        <f>IF(AJ465="",TRUE,IF(IF(AK465="",VLOOKUP(AJ465,Calculs!$A$19:$S$425,19,FALSE),VLOOKUP(AK465,Calculs!$A$19:$S$425,19,FALSE))&gt;=AL465,TRUE,FALSE))</f>
        <v>1</v>
      </c>
      <c r="AN465" s="158"/>
      <c r="AO465" s="158"/>
      <c r="AP465" s="158"/>
      <c r="AQ465" s="158" t="b">
        <f>IF(AN465="",TRUE,IF(IF(AO465="",VLOOKUP(AN465,Calculs!$A$19:$S$425,19,FALSE),VLOOKUP(AO465,Calculs!$A$19:$S$425,19,FALSE))&gt;=AP465,TRUE,FALSE))</f>
        <v>1</v>
      </c>
      <c r="AR465" s="158"/>
      <c r="AS465" s="158" t="b">
        <f>IF(AR465="",TRUE,IF(VLOOKUP(AR465,Calculs!$A$427:$G$738,7,FALSE)&gt;0,TRUE,FALSE))</f>
        <v>1</v>
      </c>
      <c r="AT465" s="158"/>
      <c r="AU465" s="158" t="b">
        <f>IF(AT465="",TRUE,IF(VLOOKUP(AT465,Calculs!$A$740:$G$912,7,FALSE)&gt;0,TRUE,FALSE))</f>
        <v>1</v>
      </c>
      <c r="AV465" s="158" t="b">
        <f t="shared" si="53"/>
        <v>1</v>
      </c>
      <c r="AW465" s="158" t="s">
        <v>2078</v>
      </c>
      <c r="AX465" s="162" t="s">
        <v>3</v>
      </c>
      <c r="AY465" s="15">
        <v>228</v>
      </c>
      <c r="AZ465" s="555" t="s">
        <v>2286</v>
      </c>
      <c r="BA465" s="559">
        <f>IF(Verso!$B$10=Voies!$B465,1,0)</f>
        <v>0</v>
      </c>
      <c r="BB465" s="12">
        <f>IF(Verso!$B$11=Voies!$B465,1,0)</f>
        <v>0</v>
      </c>
      <c r="BC465" s="12">
        <f>IF(Verso!$B$12=Voies!$B465,1,0)</f>
        <v>0</v>
      </c>
      <c r="BD465" s="12">
        <f>IF(Verso!$B$13=Voies!$B465,1,0)</f>
        <v>0</v>
      </c>
      <c r="BE465" s="12">
        <f>IF(Verso!$B$14=Voies!$B465,1,0)</f>
        <v>0</v>
      </c>
      <c r="BF465" s="12">
        <f>IF(Verso!$B$15=Voies!$B465,1,0)</f>
        <v>0</v>
      </c>
      <c r="BG465" s="12">
        <f>IF(Verso!$B$16=Voies!$B465,1,0)</f>
        <v>0</v>
      </c>
      <c r="BH465" s="12">
        <f>IF(Verso!$B$17=Voies!$B465,1,0)</f>
        <v>0</v>
      </c>
      <c r="BI465" s="557">
        <f t="shared" si="54"/>
        <v>0</v>
      </c>
      <c r="BJ465" s="196" t="str">
        <f t="shared" si="55"/>
        <v/>
      </c>
      <c r="BK465" s="196" t="str">
        <f t="shared" si="56"/>
        <v/>
      </c>
      <c r="BL465" s="295" t="str">
        <f t="shared" si="57"/>
        <v/>
      </c>
    </row>
    <row r="466" spans="1:65" s="196" customFormat="1" ht="47.25" customHeight="1" x14ac:dyDescent="0.25">
      <c r="A466" s="162" t="str">
        <f>IF(AND(Réputation&gt;Voies!E466-1,OR(C466=TRUE,Calculs!$I$8&gt;0),Air&gt;Voies!J466-1,Eau&gt;Voies!K466-1,Feu&gt;Voies!L466-1,Terre&gt;Voies!M466-1,Vide&gt;Voies!N466-1,Constitution&gt;Voies!O466-1,Volonté&gt;Voies!P466-1,Force&gt;Voies!Q466-1,Perception&gt;Voies!R466-1,Reflexes&gt;Voies!S466-1,Agilité&gt;Voies!T466-1,Intuition&gt;Voies!U466-1,Intelligence&gt;Voies!V466-1,Souillure&gt;Voies!W466-1,Honneur&gt;X466-1,Statut&gt;Y466-1,Gloire&gt;Z466-1,AV466=TRUE),Voies!B466,"")</f>
        <v/>
      </c>
      <c r="B466" s="162" t="s">
        <v>5898</v>
      </c>
      <c r="C466" s="162" t="b">
        <f>IF(Clan=Voies!D466,TRUE,FALSE)</f>
        <v>0</v>
      </c>
      <c r="D466" s="388" t="s">
        <v>47</v>
      </c>
      <c r="E466" s="199">
        <v>4</v>
      </c>
      <c r="F466" s="199">
        <v>4</v>
      </c>
      <c r="G466" s="199" t="s">
        <v>2048</v>
      </c>
      <c r="H466" s="162" t="s">
        <v>4774</v>
      </c>
      <c r="I466" s="129" t="s">
        <v>5896</v>
      </c>
      <c r="J466" s="146">
        <v>0</v>
      </c>
      <c r="K466" s="147">
        <v>0</v>
      </c>
      <c r="L466" s="148">
        <v>0</v>
      </c>
      <c r="M466" s="149">
        <v>0</v>
      </c>
      <c r="N466" s="150">
        <v>0</v>
      </c>
      <c r="O466" s="130">
        <v>0</v>
      </c>
      <c r="P466" s="130">
        <v>0</v>
      </c>
      <c r="Q466" s="130">
        <v>0</v>
      </c>
      <c r="R466" s="130">
        <v>0</v>
      </c>
      <c r="S466" s="130">
        <v>0</v>
      </c>
      <c r="T466" s="130">
        <v>0</v>
      </c>
      <c r="U466" s="130">
        <v>0</v>
      </c>
      <c r="V466" s="524">
        <v>0</v>
      </c>
      <c r="W466" s="130">
        <v>0</v>
      </c>
      <c r="X466" s="130">
        <v>0</v>
      </c>
      <c r="Y466" s="130">
        <v>0</v>
      </c>
      <c r="Z466" s="130">
        <v>0</v>
      </c>
      <c r="AA466" s="159" t="s">
        <v>5897</v>
      </c>
      <c r="AB466" s="159" t="s">
        <v>102</v>
      </c>
      <c r="AC466" s="159" t="s">
        <v>1298</v>
      </c>
      <c r="AD466" s="159">
        <v>4</v>
      </c>
      <c r="AE466" s="158" t="b">
        <f>IF(AB466="",TRUE,IF(IF(AC466="",VLOOKUP(AB466,Calculs!$A$19:$S$425,19,FALSE),VLOOKUP(AC466,Calculs!$A$19:$S$425,19,FALSE))&gt;=AD466,TRUE,FALSE))</f>
        <v>0</v>
      </c>
      <c r="AF466" s="159" t="s">
        <v>102</v>
      </c>
      <c r="AG466" s="159" t="s">
        <v>5851</v>
      </c>
      <c r="AH466" s="159">
        <v>5</v>
      </c>
      <c r="AI466" s="158" t="b">
        <f>IF(AF466="",TRUE,IF(IF(AG466="",VLOOKUP(AF466,Calculs!$A$19:$S$425,19,FALSE),VLOOKUP(AG466,Calculs!$A$19:$S$425,19,FALSE))&gt;=AH466,TRUE,FALSE))</f>
        <v>0</v>
      </c>
      <c r="AJ466" s="159"/>
      <c r="AK466" s="159"/>
      <c r="AL466" s="159"/>
      <c r="AM466" s="158" t="b">
        <f>IF(AJ466="",TRUE,IF(IF(AK466="",VLOOKUP(AJ466,Calculs!$A$19:$S$425,19,FALSE),VLOOKUP(AK466,Calculs!$A$19:$S$425,19,FALSE))&gt;=AL466,TRUE,FALSE))</f>
        <v>1</v>
      </c>
      <c r="AN466" s="159"/>
      <c r="AO466" s="159"/>
      <c r="AP466" s="159"/>
      <c r="AQ466" s="158" t="b">
        <f>IF(AN466="",TRUE,IF(IF(AO466="",VLOOKUP(AN466,Calculs!$A$19:$S$425,19,FALSE),VLOOKUP(AO466,Calculs!$A$19:$S$425,19,FALSE))&gt;=AP466,TRUE,FALSE))</f>
        <v>1</v>
      </c>
      <c r="AR466" s="158"/>
      <c r="AS466" s="158" t="b">
        <f>IF(AR466="",TRUE,IF(VLOOKUP(AR466,Calculs!$A$427:$G$738,7,FALSE)&gt;0,TRUE,FALSE))</f>
        <v>1</v>
      </c>
      <c r="AT466" s="158"/>
      <c r="AU466" s="158" t="b">
        <f>IF(AT466="",TRUE,IF(VLOOKUP(AT466,Calculs!$A$740:$G$912,7,FALSE)&gt;0,TRUE,FALSE))</f>
        <v>1</v>
      </c>
      <c r="AV466" s="158" t="b">
        <f t="shared" si="53"/>
        <v>0</v>
      </c>
      <c r="AW466" s="158" t="s">
        <v>2078</v>
      </c>
      <c r="AX466" s="162" t="s">
        <v>4403</v>
      </c>
      <c r="AY466" s="15">
        <v>179</v>
      </c>
      <c r="AZ466" s="555" t="s">
        <v>5899</v>
      </c>
      <c r="BA466" s="559">
        <f>IF(Verso!$B$10=Voies!$B466,1,0)</f>
        <v>0</v>
      </c>
      <c r="BB466" s="12">
        <f>IF(Verso!$B$11=Voies!$B466,1,0)</f>
        <v>0</v>
      </c>
      <c r="BC466" s="12">
        <f>IF(Verso!$B$12=Voies!$B466,1,0)</f>
        <v>0</v>
      </c>
      <c r="BD466" s="12">
        <f>IF(Verso!$B$13=Voies!$B466,1,0)</f>
        <v>0</v>
      </c>
      <c r="BE466" s="12">
        <f>IF(Verso!$B$14=Voies!$B466,1,0)</f>
        <v>0</v>
      </c>
      <c r="BF466" s="12">
        <f>IF(Verso!$B$15=Voies!$B466,1,0)</f>
        <v>0</v>
      </c>
      <c r="BG466" s="12">
        <f>IF(Verso!$B$16=Voies!$B466,1,0)</f>
        <v>0</v>
      </c>
      <c r="BH466" s="12">
        <f>IF(Verso!$B$17=Voies!$B466,1,0)</f>
        <v>0</v>
      </c>
      <c r="BI466" s="557">
        <f t="shared" si="54"/>
        <v>0</v>
      </c>
      <c r="BJ466" s="196" t="str">
        <f t="shared" si="55"/>
        <v/>
      </c>
      <c r="BK466" s="196" t="str">
        <f t="shared" si="56"/>
        <v/>
      </c>
      <c r="BL466" s="295" t="str">
        <f t="shared" si="57"/>
        <v/>
      </c>
      <c r="BM466" s="91"/>
    </row>
    <row r="467" spans="1:65" ht="47.25" customHeight="1" x14ac:dyDescent="0.25">
      <c r="A467" s="162" t="str">
        <f>IF(AND(Réputation&gt;Voies!E467-1,OR(C467=TRUE,Calculs!$I$8&gt;0),Air&gt;Voies!J467-1,Eau&gt;Voies!K467-1,Feu&gt;Voies!L467-1,Terre&gt;Voies!M467-1,Vide&gt;Voies!N467-1,Constitution&gt;Voies!O467-1,Volonté&gt;Voies!P467-1,Force&gt;Voies!Q467-1,Perception&gt;Voies!R467-1,Reflexes&gt;Voies!S467-1,Agilité&gt;Voies!T467-1,Intuition&gt;Voies!U467-1,Intelligence&gt;Voies!V467-1,Souillure&gt;Voies!W467-1,Honneur&gt;X467-1,Statut&gt;Y467-1,Gloire&gt;Z467-1,AV467=TRUE),Voies!B467,"")</f>
        <v/>
      </c>
      <c r="B467" s="162" t="s">
        <v>2309</v>
      </c>
      <c r="C467" s="162" t="b">
        <f>IF(Clan=Voies!D467,TRUE,FALSE)</f>
        <v>0</v>
      </c>
      <c r="D467" s="387" t="s">
        <v>47</v>
      </c>
      <c r="E467" s="199">
        <v>5</v>
      </c>
      <c r="F467" s="199">
        <v>5</v>
      </c>
      <c r="G467" s="199" t="s">
        <v>2049</v>
      </c>
      <c r="H467" s="219" t="s">
        <v>251</v>
      </c>
      <c r="I467" s="129" t="str">
        <f>IF(B467="","","Rien")</f>
        <v>Rien</v>
      </c>
      <c r="J467" s="146">
        <v>0</v>
      </c>
      <c r="K467" s="147">
        <v>0</v>
      </c>
      <c r="L467" s="148">
        <v>0</v>
      </c>
      <c r="M467" s="149">
        <v>0</v>
      </c>
      <c r="N467" s="150">
        <v>0</v>
      </c>
      <c r="O467" s="130">
        <v>0</v>
      </c>
      <c r="P467" s="130">
        <v>0</v>
      </c>
      <c r="Q467" s="130">
        <v>0</v>
      </c>
      <c r="R467" s="130">
        <v>0</v>
      </c>
      <c r="S467" s="130">
        <v>0</v>
      </c>
      <c r="T467" s="130">
        <v>0</v>
      </c>
      <c r="U467" s="130">
        <v>0</v>
      </c>
      <c r="V467" s="524">
        <v>0</v>
      </c>
      <c r="W467" s="130">
        <v>0</v>
      </c>
      <c r="X467" s="130">
        <v>0</v>
      </c>
      <c r="Y467" s="130">
        <v>0</v>
      </c>
      <c r="Z467" s="130">
        <v>0</v>
      </c>
      <c r="AA467" s="158" t="s">
        <v>2078</v>
      </c>
      <c r="AB467" s="158"/>
      <c r="AC467" s="158"/>
      <c r="AD467" s="158"/>
      <c r="AE467" s="158" t="b">
        <f>IF(AB467="",TRUE,IF(IF(AC467="",VLOOKUP(AB467,Calculs!$A$19:$S$425,19,FALSE),VLOOKUP(AC467,Calculs!$A$19:$S$425,19,FALSE))&gt;=AD467,TRUE,FALSE))</f>
        <v>1</v>
      </c>
      <c r="AF467" s="158"/>
      <c r="AG467" s="158"/>
      <c r="AH467" s="158"/>
      <c r="AI467" s="158" t="b">
        <f>IF(AF467="",TRUE,IF(IF(AG467="",VLOOKUP(AF467,Calculs!$A$19:$S$425,19,FALSE),VLOOKUP(AG467,Calculs!$A$19:$S$425,19,FALSE))&gt;=AH467,TRUE,FALSE))</f>
        <v>1</v>
      </c>
      <c r="AJ467" s="158"/>
      <c r="AK467" s="158"/>
      <c r="AL467" s="158"/>
      <c r="AM467" s="158" t="b">
        <f>IF(AJ467="",TRUE,IF(IF(AK467="",VLOOKUP(AJ467,Calculs!$A$19:$S$425,19,FALSE),VLOOKUP(AK467,Calculs!$A$19:$S$425,19,FALSE))&gt;=AL467,TRUE,FALSE))</f>
        <v>1</v>
      </c>
      <c r="AN467" s="158"/>
      <c r="AO467" s="158"/>
      <c r="AP467" s="158"/>
      <c r="AQ467" s="158" t="b">
        <f>IF(AN467="",TRUE,IF(IF(AO467="",VLOOKUP(AN467,Calculs!$A$19:$S$425,19,FALSE),VLOOKUP(AO467,Calculs!$A$19:$S$425,19,FALSE))&gt;=AP467,TRUE,FALSE))</f>
        <v>1</v>
      </c>
      <c r="AR467" s="158"/>
      <c r="AS467" s="158" t="b">
        <f>IF(AR467="",TRUE,IF(VLOOKUP(AR467,Calculs!$A$427:$G$738,7,FALSE)&gt;0,TRUE,FALSE))</f>
        <v>1</v>
      </c>
      <c r="AT467" s="158"/>
      <c r="AU467" s="158" t="b">
        <f>IF(AT467="",TRUE,IF(VLOOKUP(AT467,Calculs!$A$740:$G$912,7,FALSE)&gt;0,TRUE,FALSE))</f>
        <v>1</v>
      </c>
      <c r="AV467" s="158" t="b">
        <f t="shared" si="53"/>
        <v>1</v>
      </c>
      <c r="AW467" s="158" t="s">
        <v>2078</v>
      </c>
      <c r="AX467" s="162" t="s">
        <v>3</v>
      </c>
      <c r="AY467" s="15">
        <v>230</v>
      </c>
      <c r="AZ467" s="555" t="s">
        <v>2310</v>
      </c>
      <c r="BA467" s="559">
        <f>IF(Verso!$B$10=Voies!$B467,1,0)</f>
        <v>0</v>
      </c>
      <c r="BB467" s="12">
        <f>IF(Verso!$B$11=Voies!$B467,1,0)</f>
        <v>0</v>
      </c>
      <c r="BC467" s="12">
        <f>IF(Verso!$B$12=Voies!$B467,1,0)</f>
        <v>0</v>
      </c>
      <c r="BD467" s="12">
        <f>IF(Verso!$B$13=Voies!$B467,1,0)</f>
        <v>0</v>
      </c>
      <c r="BE467" s="12">
        <f>IF(Verso!$B$14=Voies!$B467,1,0)</f>
        <v>0</v>
      </c>
      <c r="BF467" s="12">
        <f>IF(Verso!$B$15=Voies!$B467,1,0)</f>
        <v>0</v>
      </c>
      <c r="BG467" s="12">
        <f>IF(Verso!$B$16=Voies!$B467,1,0)</f>
        <v>0</v>
      </c>
      <c r="BH467" s="12">
        <f>IF(Verso!$B$17=Voies!$B467,1,0)</f>
        <v>0</v>
      </c>
      <c r="BI467" s="557">
        <f t="shared" si="54"/>
        <v>0</v>
      </c>
      <c r="BJ467" s="196" t="str">
        <f t="shared" si="55"/>
        <v/>
      </c>
      <c r="BK467" s="196" t="str">
        <f t="shared" si="56"/>
        <v/>
      </c>
      <c r="BL467" s="295" t="str">
        <f t="shared" si="57"/>
        <v/>
      </c>
    </row>
    <row r="468" spans="1:65" ht="47.25" customHeight="1" x14ac:dyDescent="0.25">
      <c r="A468" s="162" t="str">
        <f>IF(AND(Réputation&gt;Voies!E468-1,OR(C468=TRUE,Calculs!$I$8&gt;0),Air&gt;Voies!J468-1,Eau&gt;Voies!K468-1,Feu&gt;Voies!L468-1,Terre&gt;Voies!M468-1,Vide&gt;Voies!N468-1,Constitution&gt;Voies!O468-1,Volonté&gt;Voies!P468-1,Force&gt;Voies!Q468-1,Perception&gt;Voies!R468-1,Reflexes&gt;Voies!S468-1,Agilité&gt;Voies!T468-1,Intuition&gt;Voies!U468-1,Intelligence&gt;Voies!V468-1,Souillure&gt;Voies!W468-1,Honneur&gt;X468-1,Statut&gt;Y468-1,Gloire&gt;Z468-1,AV468=TRUE),Voies!B468,"")</f>
        <v/>
      </c>
      <c r="B468" s="162" t="s">
        <v>6124</v>
      </c>
      <c r="C468" s="162" t="b">
        <f>IF(Clan=Voies!D468,TRUE,FALSE)</f>
        <v>0</v>
      </c>
      <c r="D468" s="387" t="s">
        <v>47</v>
      </c>
      <c r="E468" s="199">
        <v>5</v>
      </c>
      <c r="F468" s="199">
        <v>5</v>
      </c>
      <c r="G468" s="199" t="s">
        <v>2049</v>
      </c>
      <c r="H468" s="219" t="s">
        <v>6125</v>
      </c>
      <c r="I468" s="129" t="s">
        <v>6126</v>
      </c>
      <c r="J468" s="146">
        <v>0</v>
      </c>
      <c r="K468" s="147">
        <v>0</v>
      </c>
      <c r="L468" s="148">
        <v>0</v>
      </c>
      <c r="M468" s="149">
        <v>0</v>
      </c>
      <c r="N468" s="150">
        <v>0</v>
      </c>
      <c r="O468" s="130">
        <v>0</v>
      </c>
      <c r="P468" s="130">
        <v>0</v>
      </c>
      <c r="Q468" s="130">
        <v>0</v>
      </c>
      <c r="R468" s="130">
        <v>4</v>
      </c>
      <c r="S468" s="130">
        <v>0</v>
      </c>
      <c r="T468" s="130">
        <v>0</v>
      </c>
      <c r="U468" s="130">
        <v>0</v>
      </c>
      <c r="V468" s="524">
        <v>0</v>
      </c>
      <c r="W468" s="130">
        <v>0</v>
      </c>
      <c r="X468" s="130">
        <v>0</v>
      </c>
      <c r="Y468" s="130">
        <v>0</v>
      </c>
      <c r="Z468" s="130">
        <v>0</v>
      </c>
      <c r="AA468" s="158" t="s">
        <v>6127</v>
      </c>
      <c r="AB468" s="158" t="s">
        <v>1268</v>
      </c>
      <c r="AC468" s="158"/>
      <c r="AD468" s="158">
        <v>5</v>
      </c>
      <c r="AE468" s="158" t="b">
        <f>IF(AB468="",TRUE,IF(IF(AC468="",VLOOKUP(AB468,Calculs!$A$19:$S$425,19,FALSE),VLOOKUP(AC468,Calculs!$A$19:$S$425,19,FALSE))&gt;=AD468,TRUE,FALSE))</f>
        <v>0</v>
      </c>
      <c r="AF468" s="158" t="s">
        <v>1275</v>
      </c>
      <c r="AG468" s="158"/>
      <c r="AH468" s="158">
        <v>5</v>
      </c>
      <c r="AI468" s="158" t="b">
        <f>IF(AF468="",TRUE,IF(IF(AG468="",VLOOKUP(AF468,Calculs!$A$19:$S$425,19,FALSE),VLOOKUP(AG468,Calculs!$A$19:$S$425,19,FALSE))&gt;=AH468,TRUE,FALSE))</f>
        <v>0</v>
      </c>
      <c r="AJ468" s="158"/>
      <c r="AK468" s="158"/>
      <c r="AL468" s="158"/>
      <c r="AM468" s="158" t="b">
        <f>IF(AJ468="",TRUE,IF(IF(AK468="",VLOOKUP(AJ468,Calculs!$A$19:$S$425,19,FALSE),VLOOKUP(AK468,Calculs!$A$19:$S$425,19,FALSE))&gt;=AL468,TRUE,FALSE))</f>
        <v>1</v>
      </c>
      <c r="AN468" s="158"/>
      <c r="AO468" s="158"/>
      <c r="AP468" s="158"/>
      <c r="AQ468" s="158" t="b">
        <f>IF(AN468="",TRUE,IF(IF(AO468="",VLOOKUP(AN468,Calculs!$A$19:$S$425,19,FALSE),VLOOKUP(AO468,Calculs!$A$19:$S$425,19,FALSE))&gt;=AP468,TRUE,FALSE))</f>
        <v>1</v>
      </c>
      <c r="AR468" s="158"/>
      <c r="AS468" s="158" t="b">
        <f>IF(AR468="",TRUE,IF(VLOOKUP(AR468,Calculs!$A$427:$G$738,7,FALSE)&gt;0,TRUE,FALSE))</f>
        <v>1</v>
      </c>
      <c r="AT468" s="158"/>
      <c r="AU468" s="158" t="b">
        <f>IF(AT468="",TRUE,IF(VLOOKUP(AT468,Calculs!$A$740:$G$912,7,FALSE)&gt;0,TRUE,FALSE))</f>
        <v>1</v>
      </c>
      <c r="AV468" s="158" t="b">
        <f t="shared" si="53"/>
        <v>0</v>
      </c>
      <c r="AW468" s="158" t="s">
        <v>2078</v>
      </c>
      <c r="AX468" s="162" t="s">
        <v>6010</v>
      </c>
      <c r="AY468" s="15">
        <v>210</v>
      </c>
      <c r="AZ468" s="566" t="str">
        <f>CONCATENATE("Lorsque vous êtes Monté et en Posture d'attaque, ajoutez ",Honneur,"  à votre ND d'armure. Dépensez un Pvide pour ajouter 0g",ROUNDUP(Honneur/2,0)," à vos attaques.")</f>
        <v>Lorsque vous êtes Monté et en Posture d'attaque, ajoutez 0  à votre ND d'armure. Dépensez un Pvide pour ajouter 0g0 à vos attaques.</v>
      </c>
      <c r="BA468" s="559">
        <f>IF(Verso!$B$10=Voies!$B468,1,0)</f>
        <v>0</v>
      </c>
      <c r="BB468" s="12">
        <f>IF(Verso!$B$11=Voies!$B468,1,0)</f>
        <v>0</v>
      </c>
      <c r="BC468" s="12">
        <f>IF(Verso!$B$12=Voies!$B468,1,0)</f>
        <v>0</v>
      </c>
      <c r="BD468" s="12">
        <f>IF(Verso!$B$13=Voies!$B468,1,0)</f>
        <v>0</v>
      </c>
      <c r="BE468" s="12">
        <f>IF(Verso!$B$14=Voies!$B468,1,0)</f>
        <v>0</v>
      </c>
      <c r="BF468" s="12">
        <f>IF(Verso!$B$15=Voies!$B468,1,0)</f>
        <v>0</v>
      </c>
      <c r="BG468" s="12">
        <f>IF(Verso!$B$16=Voies!$B468,1,0)</f>
        <v>0</v>
      </c>
      <c r="BH468" s="12">
        <f>IF(Verso!$B$17=Voies!$B468,1,0)</f>
        <v>0</v>
      </c>
      <c r="BI468" s="557">
        <f t="shared" si="54"/>
        <v>0</v>
      </c>
      <c r="BJ468" s="196" t="str">
        <f t="shared" si="55"/>
        <v/>
      </c>
      <c r="BK468" s="196" t="str">
        <f t="shared" si="56"/>
        <v/>
      </c>
      <c r="BL468" s="295" t="str">
        <f t="shared" si="57"/>
        <v/>
      </c>
    </row>
    <row r="469" spans="1:65" ht="47.25" customHeight="1" x14ac:dyDescent="0.25">
      <c r="A469" s="162" t="str">
        <f>IF(AND(Réputation&gt;Voies!E469-1,OR(C469=TRUE,Calculs!$I$8&gt;0),Air&gt;Voies!J469-1,Eau&gt;Voies!K469-1,Feu&gt;Voies!L469-1,Terre&gt;Voies!M469-1,Vide&gt;Voies!N469-1,Constitution&gt;Voies!O469-1,Volonté&gt;Voies!P469-1,Force&gt;Voies!Q469-1,Perception&gt;Voies!R469-1,Reflexes&gt;Voies!S469-1,Agilité&gt;Voies!T469-1,Intuition&gt;Voies!U469-1,Intelligence&gt;Voies!V469-1,Souillure&gt;Voies!W469-1,Honneur&gt;X469-1,Statut&gt;Y469-1,Gloire&gt;Z469-1,AV469=TRUE),Voies!B469,"")</f>
        <v/>
      </c>
      <c r="B469" s="162" t="s">
        <v>2298</v>
      </c>
      <c r="C469" s="162" t="b">
        <f>IF(Clan=Voies!D469,TRUE,FALSE)</f>
        <v>0</v>
      </c>
      <c r="D469" s="387" t="s">
        <v>47</v>
      </c>
      <c r="E469" s="199">
        <v>5</v>
      </c>
      <c r="F469" s="199">
        <v>5</v>
      </c>
      <c r="G469" s="199" t="s">
        <v>2052</v>
      </c>
      <c r="H469" s="219" t="s">
        <v>250</v>
      </c>
      <c r="I469" s="129" t="str">
        <f>IF(B469="","","Rien")</f>
        <v>Rien</v>
      </c>
      <c r="J469" s="146">
        <v>0</v>
      </c>
      <c r="K469" s="147">
        <v>0</v>
      </c>
      <c r="L469" s="148">
        <v>0</v>
      </c>
      <c r="M469" s="149">
        <v>0</v>
      </c>
      <c r="N469" s="150">
        <v>0</v>
      </c>
      <c r="O469" s="130">
        <v>0</v>
      </c>
      <c r="P469" s="130">
        <v>0</v>
      </c>
      <c r="Q469" s="130">
        <v>0</v>
      </c>
      <c r="R469" s="130">
        <v>0</v>
      </c>
      <c r="S469" s="130">
        <v>0</v>
      </c>
      <c r="T469" s="130">
        <v>0</v>
      </c>
      <c r="U469" s="130">
        <v>0</v>
      </c>
      <c r="V469" s="524">
        <v>0</v>
      </c>
      <c r="W469" s="130">
        <v>0</v>
      </c>
      <c r="X469" s="130">
        <v>0</v>
      </c>
      <c r="Y469" s="130">
        <v>0</v>
      </c>
      <c r="Z469" s="130">
        <v>0</v>
      </c>
      <c r="AA469" s="158" t="s">
        <v>2078</v>
      </c>
      <c r="AB469" s="158"/>
      <c r="AC469" s="158"/>
      <c r="AD469" s="158"/>
      <c r="AE469" s="158" t="b">
        <f>IF(AB469="",TRUE,IF(IF(AC469="",VLOOKUP(AB469,Calculs!$A$19:$S$425,19,FALSE),VLOOKUP(AC469,Calculs!$A$19:$S$425,19,FALSE))&gt;=AD469,TRUE,FALSE))</f>
        <v>1</v>
      </c>
      <c r="AF469" s="158"/>
      <c r="AG469" s="158"/>
      <c r="AH469" s="158"/>
      <c r="AI469" s="158" t="b">
        <f>IF(AF469="",TRUE,IF(IF(AG469="",VLOOKUP(AF469,Calculs!$A$19:$S$425,19,FALSE),VLOOKUP(AG469,Calculs!$A$19:$S$425,19,FALSE))&gt;=AH469,TRUE,FALSE))</f>
        <v>1</v>
      </c>
      <c r="AJ469" s="158"/>
      <c r="AK469" s="158"/>
      <c r="AL469" s="158"/>
      <c r="AM469" s="158" t="b">
        <f>IF(AJ469="",TRUE,IF(IF(AK469="",VLOOKUP(AJ469,Calculs!$A$19:$S$425,19,FALSE),VLOOKUP(AK469,Calculs!$A$19:$S$425,19,FALSE))&gt;=AL469,TRUE,FALSE))</f>
        <v>1</v>
      </c>
      <c r="AN469" s="158"/>
      <c r="AO469" s="158"/>
      <c r="AP469" s="158"/>
      <c r="AQ469" s="158" t="b">
        <f>IF(AN469="",TRUE,IF(IF(AO469="",VLOOKUP(AN469,Calculs!$A$19:$S$425,19,FALSE),VLOOKUP(AO469,Calculs!$A$19:$S$425,19,FALSE))&gt;=AP469,TRUE,FALSE))</f>
        <v>1</v>
      </c>
      <c r="AR469" s="158"/>
      <c r="AS469" s="158" t="b">
        <f>IF(AR469="",TRUE,IF(VLOOKUP(AR469,Calculs!$A$427:$G$738,7,FALSE)&gt;0,TRUE,FALSE))</f>
        <v>1</v>
      </c>
      <c r="AT469" s="158"/>
      <c r="AU469" s="158" t="b">
        <f>IF(AT469="",TRUE,IF(VLOOKUP(AT469,Calculs!$A$740:$G$912,7,FALSE)&gt;0,TRUE,FALSE))</f>
        <v>1</v>
      </c>
      <c r="AV469" s="158" t="b">
        <f t="shared" si="53"/>
        <v>1</v>
      </c>
      <c r="AW469" s="158" t="s">
        <v>2078</v>
      </c>
      <c r="AX469" s="162" t="s">
        <v>3</v>
      </c>
      <c r="AY469" s="15">
        <v>229</v>
      </c>
      <c r="AZ469" s="566" t="s">
        <v>2301</v>
      </c>
      <c r="BA469" s="559">
        <f>IF(Verso!$B$10=Voies!$B469,1,0)</f>
        <v>0</v>
      </c>
      <c r="BB469" s="12">
        <f>IF(Verso!$B$11=Voies!$B469,1,0)</f>
        <v>0</v>
      </c>
      <c r="BC469" s="12">
        <f>IF(Verso!$B$12=Voies!$B469,1,0)</f>
        <v>0</v>
      </c>
      <c r="BD469" s="12">
        <f>IF(Verso!$B$13=Voies!$B469,1,0)</f>
        <v>0</v>
      </c>
      <c r="BE469" s="12">
        <f>IF(Verso!$B$14=Voies!$B469,1,0)</f>
        <v>0</v>
      </c>
      <c r="BF469" s="12">
        <f>IF(Verso!$B$15=Voies!$B469,1,0)</f>
        <v>0</v>
      </c>
      <c r="BG469" s="12">
        <f>IF(Verso!$B$16=Voies!$B469,1,0)</f>
        <v>0</v>
      </c>
      <c r="BH469" s="12">
        <f>IF(Verso!$B$17=Voies!$B469,1,0)</f>
        <v>0</v>
      </c>
      <c r="BI469" s="557">
        <f t="shared" si="54"/>
        <v>0</v>
      </c>
      <c r="BJ469" s="196" t="str">
        <f t="shared" si="55"/>
        <v/>
      </c>
      <c r="BK469" s="196" t="str">
        <f t="shared" si="56"/>
        <v/>
      </c>
      <c r="BL469" s="295" t="str">
        <f t="shared" si="57"/>
        <v/>
      </c>
    </row>
    <row r="470" spans="1:65" ht="47.25" customHeight="1" x14ac:dyDescent="0.25">
      <c r="A470" s="162" t="str">
        <f>IF(AND(Réputation&gt;Voies!E470-1,OR(C470=TRUE,Calculs!$I$8&gt;0),Air&gt;Voies!J470-1,Eau&gt;Voies!K470-1,Feu&gt;Voies!L470-1,Terre&gt;Voies!M470-1,Vide&gt;Voies!N470-1,Constitution&gt;Voies!O470-1,Volonté&gt;Voies!P470-1,Force&gt;Voies!Q470-1,Perception&gt;Voies!R470-1,Reflexes&gt;Voies!S470-1,Agilité&gt;Voies!T470-1,Intuition&gt;Voies!U470-1,Intelligence&gt;Voies!V470-1,Souillure&gt;Voies!W470-1,Honneur&gt;X470-1,Statut&gt;Y470-1,Gloire&gt;Z470-1,AV470=TRUE),Voies!B470,"")</f>
        <v/>
      </c>
      <c r="B470" s="162" t="s">
        <v>2291</v>
      </c>
      <c r="C470" s="162" t="b">
        <f>IF(Clan=Voies!D470,TRUE,FALSE)</f>
        <v>0</v>
      </c>
      <c r="D470" s="387" t="s">
        <v>47</v>
      </c>
      <c r="E470" s="199">
        <v>5</v>
      </c>
      <c r="F470" s="199">
        <v>5</v>
      </c>
      <c r="G470" s="199" t="s">
        <v>2052</v>
      </c>
      <c r="H470" s="219" t="s">
        <v>249</v>
      </c>
      <c r="I470" s="129" t="str">
        <f>IF(B470="","","Rien")</f>
        <v>Rien</v>
      </c>
      <c r="J470" s="146">
        <v>0</v>
      </c>
      <c r="K470" s="147">
        <v>0</v>
      </c>
      <c r="L470" s="148">
        <v>0</v>
      </c>
      <c r="M470" s="149">
        <v>0</v>
      </c>
      <c r="N470" s="150">
        <v>0</v>
      </c>
      <c r="O470" s="130">
        <v>0</v>
      </c>
      <c r="P470" s="130">
        <v>0</v>
      </c>
      <c r="Q470" s="130">
        <v>0</v>
      </c>
      <c r="R470" s="130">
        <v>0</v>
      </c>
      <c r="S470" s="130">
        <v>0</v>
      </c>
      <c r="T470" s="130">
        <v>0</v>
      </c>
      <c r="U470" s="130">
        <v>0</v>
      </c>
      <c r="V470" s="524">
        <v>0</v>
      </c>
      <c r="W470" s="130">
        <v>0</v>
      </c>
      <c r="X470" s="130">
        <v>0</v>
      </c>
      <c r="Y470" s="130">
        <v>0</v>
      </c>
      <c r="Z470" s="130">
        <v>0</v>
      </c>
      <c r="AA470" s="158" t="s">
        <v>2078</v>
      </c>
      <c r="AB470" s="158"/>
      <c r="AC470" s="158"/>
      <c r="AD470" s="158"/>
      <c r="AE470" s="158" t="b">
        <f>IF(AB470="",TRUE,IF(IF(AC470="",VLOOKUP(AB470,Calculs!$A$19:$S$425,19,FALSE),VLOOKUP(AC470,Calculs!$A$19:$S$425,19,FALSE))&gt;=AD470,TRUE,FALSE))</f>
        <v>1</v>
      </c>
      <c r="AF470" s="158"/>
      <c r="AG470" s="158"/>
      <c r="AH470" s="158"/>
      <c r="AI470" s="158" t="b">
        <f>IF(AF470="",TRUE,IF(IF(AG470="",VLOOKUP(AF470,Calculs!$A$19:$S$425,19,FALSE),VLOOKUP(AG470,Calculs!$A$19:$S$425,19,FALSE))&gt;=AH470,TRUE,FALSE))</f>
        <v>1</v>
      </c>
      <c r="AJ470" s="158"/>
      <c r="AK470" s="158"/>
      <c r="AL470" s="158"/>
      <c r="AM470" s="158" t="b">
        <f>IF(AJ470="",TRUE,IF(IF(AK470="",VLOOKUP(AJ470,Calculs!$A$19:$S$425,19,FALSE),VLOOKUP(AK470,Calculs!$A$19:$S$425,19,FALSE))&gt;=AL470,TRUE,FALSE))</f>
        <v>1</v>
      </c>
      <c r="AN470" s="158"/>
      <c r="AO470" s="158"/>
      <c r="AP470" s="158"/>
      <c r="AQ470" s="158" t="b">
        <f>IF(AN470="",TRUE,IF(IF(AO470="",VLOOKUP(AN470,Calculs!$A$19:$S$425,19,FALSE),VLOOKUP(AO470,Calculs!$A$19:$S$425,19,FALSE))&gt;=AP470,TRUE,FALSE))</f>
        <v>1</v>
      </c>
      <c r="AR470" s="158"/>
      <c r="AS470" s="158" t="b">
        <f>IF(AR470="",TRUE,IF(VLOOKUP(AR470,Calculs!$A$427:$G$738,7,FALSE)&gt;0,TRUE,FALSE))</f>
        <v>1</v>
      </c>
      <c r="AT470" s="158"/>
      <c r="AU470" s="158" t="b">
        <f>IF(AT470="",TRUE,IF(VLOOKUP(AT470,Calculs!$A$740:$G$912,7,FALSE)&gt;0,TRUE,FALSE))</f>
        <v>1</v>
      </c>
      <c r="AV470" s="158" t="b">
        <f t="shared" si="53"/>
        <v>1</v>
      </c>
      <c r="AW470" s="158" t="s">
        <v>2078</v>
      </c>
      <c r="AX470" s="162" t="s">
        <v>3</v>
      </c>
      <c r="AY470" s="15">
        <v>228</v>
      </c>
      <c r="AZ470" s="566" t="s">
        <v>2287</v>
      </c>
      <c r="BA470" s="559">
        <f>IF(Verso!$B$10=Voies!$B470,1,0)</f>
        <v>0</v>
      </c>
      <c r="BB470" s="12">
        <f>IF(Verso!$B$11=Voies!$B470,1,0)</f>
        <v>0</v>
      </c>
      <c r="BC470" s="12">
        <f>IF(Verso!$B$12=Voies!$B470,1,0)</f>
        <v>0</v>
      </c>
      <c r="BD470" s="12">
        <f>IF(Verso!$B$13=Voies!$B470,1,0)</f>
        <v>0</v>
      </c>
      <c r="BE470" s="12">
        <f>IF(Verso!$B$14=Voies!$B470,1,0)</f>
        <v>0</v>
      </c>
      <c r="BF470" s="12">
        <f>IF(Verso!$B$15=Voies!$B470,1,0)</f>
        <v>0</v>
      </c>
      <c r="BG470" s="12">
        <f>IF(Verso!$B$16=Voies!$B470,1,0)</f>
        <v>0</v>
      </c>
      <c r="BH470" s="12">
        <f>IF(Verso!$B$17=Voies!$B470,1,0)</f>
        <v>0</v>
      </c>
      <c r="BI470" s="557">
        <f t="shared" si="54"/>
        <v>0</v>
      </c>
      <c r="BJ470" s="196" t="str">
        <f t="shared" si="55"/>
        <v/>
      </c>
      <c r="BK470" s="196" t="str">
        <f t="shared" si="56"/>
        <v/>
      </c>
      <c r="BL470" s="295" t="str">
        <f t="shared" si="57"/>
        <v/>
      </c>
    </row>
    <row r="471" spans="1:65" ht="47.25" customHeight="1" x14ac:dyDescent="0.25">
      <c r="A471" s="162" t="str">
        <f>IF(AND(Réputation&gt;Voies!E471-1,OR(C471=TRUE,Calculs!$I$8&gt;0),Air&gt;Voies!J471-1,Eau&gt;Voies!K471-1,Feu&gt;Voies!L471-1,Terre&gt;Voies!M471-1,Vide&gt;Voies!N471-1,Constitution&gt;Voies!O471-1,Volonté&gt;Voies!P471-1,Force&gt;Voies!Q471-1,Perception&gt;Voies!R471-1,Reflexes&gt;Voies!S471-1,Agilité&gt;Voies!T471-1,Intuition&gt;Voies!U471-1,Intelligence&gt;Voies!V471-1,Souillure&gt;Voies!W471-1,Honneur&gt;X471-1,Statut&gt;Y471-1,Gloire&gt;Z471-1,AV471=TRUE),Voies!B471,"")</f>
        <v>L'Aile du Tonnerre</v>
      </c>
      <c r="B471" s="162" t="s">
        <v>3010</v>
      </c>
      <c r="C471" s="162" t="b">
        <v>1</v>
      </c>
      <c r="D471" s="388" t="s">
        <v>1940</v>
      </c>
      <c r="E471" s="13">
        <v>1</v>
      </c>
      <c r="F471" s="199">
        <v>1</v>
      </c>
      <c r="G471" s="199" t="s">
        <v>2049</v>
      </c>
      <c r="H471" s="219" t="s">
        <v>302</v>
      </c>
      <c r="I471" s="129" t="str">
        <f>IF(B471="","","Rien")</f>
        <v>Rien</v>
      </c>
      <c r="J471" s="146">
        <v>0</v>
      </c>
      <c r="K471" s="147">
        <v>0</v>
      </c>
      <c r="L471" s="148">
        <v>0</v>
      </c>
      <c r="M471" s="149">
        <v>0</v>
      </c>
      <c r="N471" s="150">
        <v>0</v>
      </c>
      <c r="O471" s="130">
        <v>0</v>
      </c>
      <c r="P471" s="130">
        <v>0</v>
      </c>
      <c r="Q471" s="130">
        <v>0</v>
      </c>
      <c r="R471" s="130">
        <v>0</v>
      </c>
      <c r="S471" s="130">
        <v>0</v>
      </c>
      <c r="T471" s="130">
        <v>0</v>
      </c>
      <c r="U471" s="130">
        <v>0</v>
      </c>
      <c r="V471" s="524">
        <v>0</v>
      </c>
      <c r="W471" s="130">
        <v>0</v>
      </c>
      <c r="X471" s="130">
        <v>0</v>
      </c>
      <c r="Y471" s="130">
        <v>0</v>
      </c>
      <c r="Z471" s="130">
        <v>0</v>
      </c>
      <c r="AA471" s="158" t="s">
        <v>2078</v>
      </c>
      <c r="AB471" s="158"/>
      <c r="AC471" s="158"/>
      <c r="AD471" s="158"/>
      <c r="AE471" s="158" t="b">
        <f>IF(AB471="",TRUE,IF(IF(AC471="",VLOOKUP(AB471,Calculs!$A$19:$S$425,19,FALSE),VLOOKUP(AC471,Calculs!$A$19:$S$425,19,FALSE))&gt;=AD471,TRUE,FALSE))</f>
        <v>1</v>
      </c>
      <c r="AF471" s="158"/>
      <c r="AG471" s="158"/>
      <c r="AH471" s="158"/>
      <c r="AI471" s="158" t="b">
        <f>IF(AF471="",TRUE,IF(IF(AG471="",VLOOKUP(AF471,Calculs!$A$19:$S$425,19,FALSE),VLOOKUP(AG471,Calculs!$A$19:$S$425,19,FALSE))&gt;=AH471,TRUE,FALSE))</f>
        <v>1</v>
      </c>
      <c r="AJ471" s="158"/>
      <c r="AK471" s="158"/>
      <c r="AL471" s="158"/>
      <c r="AM471" s="158" t="b">
        <f>IF(AJ471="",TRUE,IF(IF(AK471="",VLOOKUP(AJ471,Calculs!$A$19:$S$425,19,FALSE),VLOOKUP(AK471,Calculs!$A$19:$S$425,19,FALSE))&gt;=AL471,TRUE,FALSE))</f>
        <v>1</v>
      </c>
      <c r="AN471" s="158"/>
      <c r="AO471" s="158"/>
      <c r="AP471" s="158"/>
      <c r="AQ471" s="158" t="b">
        <f>IF(AN471="",TRUE,IF(IF(AO471="",VLOOKUP(AN471,Calculs!$A$19:$S$425,19,FALSE),VLOOKUP(AO471,Calculs!$A$19:$S$425,19,FALSE))&gt;=AP471,TRUE,FALSE))</f>
        <v>1</v>
      </c>
      <c r="AR471" s="158"/>
      <c r="AS471" s="158" t="b">
        <f>IF(AR471="",TRUE,IF(VLOOKUP(AR471,Calculs!$A$427:$G$738,7,FALSE)&gt;0,TRUE,FALSE))</f>
        <v>1</v>
      </c>
      <c r="AT471" s="158"/>
      <c r="AU471" s="158" t="b">
        <f>IF(AT471="",TRUE,IF(VLOOKUP(AT471,Calculs!$A$740:$G$912,7,FALSE)&gt;0,TRUE,FALSE))</f>
        <v>1</v>
      </c>
      <c r="AV471" s="158" t="b">
        <f t="shared" si="53"/>
        <v>1</v>
      </c>
      <c r="AW471" s="158" t="s">
        <v>2078</v>
      </c>
      <c r="AX471" s="162" t="s">
        <v>2075</v>
      </c>
      <c r="AY471" s="15">
        <v>182</v>
      </c>
      <c r="AZ471" s="555" t="str">
        <f>CONCATENATE("Vous pouvez ajouter ",Reflexes," et votre Rang d'Ecole à votre ND d'Armure contre tout ennemi ayant une Initiative inférieure à la vôtre")</f>
        <v>Vous pouvez ajouter 2 et votre Rang d'Ecole à votre ND d'Armure contre tout ennemi ayant une Initiative inférieure à la vôtre</v>
      </c>
      <c r="BA471" s="559">
        <f>IF(Verso!$B$10=Voies!$B471,1,0)</f>
        <v>0</v>
      </c>
      <c r="BB471" s="12">
        <f>IF(Verso!$B$11=Voies!$B471,1,0)</f>
        <v>0</v>
      </c>
      <c r="BC471" s="12">
        <f>IF(Verso!$B$12=Voies!$B471,1,0)</f>
        <v>0</v>
      </c>
      <c r="BD471" s="12">
        <f>IF(Verso!$B$13=Voies!$B471,1,0)</f>
        <v>0</v>
      </c>
      <c r="BE471" s="12">
        <f>IF(Verso!$B$14=Voies!$B471,1,0)</f>
        <v>0</v>
      </c>
      <c r="BF471" s="12">
        <f>IF(Verso!$B$15=Voies!$B471,1,0)</f>
        <v>0</v>
      </c>
      <c r="BG471" s="12">
        <f>IF(Verso!$B$16=Voies!$B471,1,0)</f>
        <v>0</v>
      </c>
      <c r="BH471" s="12">
        <f>IF(Verso!$B$17=Voies!$B471,1,0)</f>
        <v>0</v>
      </c>
      <c r="BI471" s="557">
        <f t="shared" si="54"/>
        <v>0</v>
      </c>
      <c r="BJ471" s="196">
        <f t="shared" si="55"/>
        <v>471</v>
      </c>
      <c r="BK471" s="196" t="str">
        <f t="shared" si="56"/>
        <v/>
      </c>
      <c r="BL471" s="295" t="str">
        <f t="shared" si="57"/>
        <v/>
      </c>
    </row>
    <row r="472" spans="1:65" s="196" customFormat="1" ht="47.25" customHeight="1" x14ac:dyDescent="0.25">
      <c r="A472" s="162" t="str">
        <f>IF(AND(Réputation&gt;Voies!E472-1,OR(C472=TRUE,Calculs!$I$8&gt;0),Air&gt;Voies!J472-1,Eau&gt;Voies!K472-1,Feu&gt;Voies!L472-1,Terre&gt;Voies!M472-1,Vide&gt;Voies!N472-1,Constitution&gt;Voies!O472-1,Volonté&gt;Voies!P472-1,Force&gt;Voies!Q472-1,Perception&gt;Voies!R472-1,Reflexes&gt;Voies!S472-1,Agilité&gt;Voies!T472-1,Intuition&gt;Voies!U472-1,Intelligence&gt;Voies!V472-1,Souillure&gt;Voies!W472-1,Honneur&gt;X472-1,Statut&gt;Y472-1,Gloire&gt;Z472-1,AV472=TRUE),Voies!B472,"")</f>
        <v/>
      </c>
      <c r="B472" s="162" t="s">
        <v>8454</v>
      </c>
      <c r="C472" s="162" t="b">
        <v>1</v>
      </c>
      <c r="D472" s="388" t="s">
        <v>1940</v>
      </c>
      <c r="E472" s="199">
        <v>2</v>
      </c>
      <c r="F472" s="199">
        <v>2</v>
      </c>
      <c r="G472" s="199" t="s">
        <v>2049</v>
      </c>
      <c r="H472" s="219" t="s">
        <v>8455</v>
      </c>
      <c r="I472" s="129" t="s">
        <v>8453</v>
      </c>
      <c r="J472" s="146">
        <v>0</v>
      </c>
      <c r="K472" s="147">
        <v>0</v>
      </c>
      <c r="L472" s="148">
        <v>0</v>
      </c>
      <c r="M472" s="149">
        <v>0</v>
      </c>
      <c r="N472" s="150">
        <v>0</v>
      </c>
      <c r="O472" s="130">
        <v>0</v>
      </c>
      <c r="P472" s="130">
        <v>0</v>
      </c>
      <c r="Q472" s="130">
        <v>0</v>
      </c>
      <c r="R472" s="130">
        <v>0</v>
      </c>
      <c r="S472" s="130">
        <v>0</v>
      </c>
      <c r="T472" s="130">
        <v>0</v>
      </c>
      <c r="U472" s="130">
        <v>0</v>
      </c>
      <c r="V472" s="524">
        <v>0</v>
      </c>
      <c r="W472" s="130">
        <v>0</v>
      </c>
      <c r="X472" s="130">
        <v>0</v>
      </c>
      <c r="Y472" s="130">
        <v>0</v>
      </c>
      <c r="Z472" s="130">
        <v>0</v>
      </c>
      <c r="AA472" s="158" t="s">
        <v>3375</v>
      </c>
      <c r="AB472" s="158" t="s">
        <v>1221</v>
      </c>
      <c r="AC472" s="158"/>
      <c r="AD472" s="158">
        <v>3</v>
      </c>
      <c r="AE472" s="158" t="b">
        <f>IF(AB472="",TRUE,IF(IF(AC472="",VLOOKUP(AB472,Calculs!$A$19:$S$425,19,FALSE),VLOOKUP(AC472,Calculs!$A$19:$S$425,19,FALSE))&gt;=AD472,TRUE,FALSE))</f>
        <v>0</v>
      </c>
      <c r="AF472" s="158"/>
      <c r="AG472" s="158"/>
      <c r="AH472" s="158"/>
      <c r="AI472" s="158" t="b">
        <f>IF(AF472="",TRUE,IF(IF(AG472="",VLOOKUP(AF472,Calculs!$A$19:$S$425,19,FALSE),VLOOKUP(AG472,Calculs!$A$19:$S$425,19,FALSE))&gt;=AH472,TRUE,FALSE))</f>
        <v>1</v>
      </c>
      <c r="AJ472" s="158"/>
      <c r="AK472" s="158"/>
      <c r="AL472" s="158"/>
      <c r="AM472" s="158" t="b">
        <f>IF(AJ472="",TRUE,IF(IF(AK472="",VLOOKUP(AJ472,Calculs!$A$19:$S$425,19,FALSE),VLOOKUP(AK472,Calculs!$A$19:$S$425,19,FALSE))&gt;=AL472,TRUE,FALSE))</f>
        <v>1</v>
      </c>
      <c r="AN472" s="158"/>
      <c r="AO472" s="158"/>
      <c r="AP472" s="158"/>
      <c r="AQ472" s="158" t="b">
        <f>IF(AN472="",TRUE,IF(IF(AO472="",VLOOKUP(AN472,Calculs!$A$19:$S$425,19,FALSE),VLOOKUP(AO472,Calculs!$A$19:$S$425,19,FALSE))&gt;=AP472,TRUE,FALSE))</f>
        <v>1</v>
      </c>
      <c r="AR472" s="158"/>
      <c r="AS472" s="158" t="b">
        <f>IF(AR472="",TRUE,IF(VLOOKUP(AR472,Calculs!$A$427:$G$738,7,FALSE)&gt;0,TRUE,FALSE))</f>
        <v>1</v>
      </c>
      <c r="AT472" s="158"/>
      <c r="AU472" s="158" t="b">
        <f>IF(AT472="",TRUE,IF(VLOOKUP(AT472,Calculs!$A$740:$G$912,7,FALSE)&gt;0,TRUE,FALSE))</f>
        <v>1</v>
      </c>
      <c r="AV472" s="158" t="b">
        <f t="shared" si="53"/>
        <v>0</v>
      </c>
      <c r="AW472" s="158" t="s">
        <v>2078</v>
      </c>
      <c r="AX472" s="162" t="s">
        <v>7759</v>
      </c>
      <c r="AY472" s="15">
        <v>30</v>
      </c>
      <c r="AZ472" s="555" t="s">
        <v>8456</v>
      </c>
      <c r="BA472" s="559">
        <f>IF(Verso!$B$10=Voies!$B472,1,0)</f>
        <v>0</v>
      </c>
      <c r="BB472" s="12">
        <f>IF(Verso!$B$11=Voies!$B472,1,0)</f>
        <v>0</v>
      </c>
      <c r="BC472" s="12">
        <f>IF(Verso!$B$12=Voies!$B472,1,0)</f>
        <v>0</v>
      </c>
      <c r="BD472" s="12">
        <f>IF(Verso!$B$13=Voies!$B472,1,0)</f>
        <v>0</v>
      </c>
      <c r="BE472" s="12">
        <f>IF(Verso!$B$14=Voies!$B472,1,0)</f>
        <v>0</v>
      </c>
      <c r="BF472" s="12">
        <f>IF(Verso!$B$15=Voies!$B472,1,0)</f>
        <v>0</v>
      </c>
      <c r="BG472" s="12">
        <f>IF(Verso!$B$16=Voies!$B472,1,0)</f>
        <v>0</v>
      </c>
      <c r="BH472" s="12">
        <f>IF(Verso!$B$17=Voies!$B472,1,0)</f>
        <v>0</v>
      </c>
      <c r="BI472" s="557">
        <f t="shared" si="54"/>
        <v>0</v>
      </c>
      <c r="BJ472" s="196" t="str">
        <f t="shared" si="55"/>
        <v/>
      </c>
      <c r="BK472" s="196" t="str">
        <f t="shared" si="56"/>
        <v/>
      </c>
      <c r="BL472" s="295" t="str">
        <f t="shared" si="57"/>
        <v/>
      </c>
      <c r="BM472" s="91"/>
    </row>
    <row r="473" spans="1:65" ht="47.25" customHeight="1" x14ac:dyDescent="0.25">
      <c r="A473" s="162" t="str">
        <f>IF(AND(Réputation&gt;Voies!E473-1,OR(C473=TRUE,Calculs!$I$8&gt;0),Air&gt;Voies!J473-1,Eau&gt;Voies!K473-1,Feu&gt;Voies!L473-1,Terre&gt;Voies!M473-1,Vide&gt;Voies!N473-1,Constitution&gt;Voies!O473-1,Volonté&gt;Voies!P473-1,Force&gt;Voies!Q473-1,Perception&gt;Voies!R473-1,Reflexes&gt;Voies!S473-1,Agilité&gt;Voies!T473-1,Intuition&gt;Voies!U473-1,Intelligence&gt;Voies!V473-1,Souillure&gt;Voies!W473-1,Honneur&gt;X473-1,Statut&gt;Y473-1,Gloire&gt;Z473-1,AV473=TRUE),Voies!B473,"")</f>
        <v/>
      </c>
      <c r="B473" s="162" t="s">
        <v>3011</v>
      </c>
      <c r="C473" s="162" t="b">
        <v>1</v>
      </c>
      <c r="D473" s="388" t="s">
        <v>1940</v>
      </c>
      <c r="E473" s="13">
        <v>2</v>
      </c>
      <c r="F473" s="199">
        <v>2</v>
      </c>
      <c r="G473" s="199" t="s">
        <v>2049</v>
      </c>
      <c r="H473" s="219" t="s">
        <v>302</v>
      </c>
      <c r="I473" s="129" t="str">
        <f>IF(B473="","","Rien")</f>
        <v>Rien</v>
      </c>
      <c r="J473" s="146">
        <v>0</v>
      </c>
      <c r="K473" s="147">
        <v>0</v>
      </c>
      <c r="L473" s="148">
        <v>0</v>
      </c>
      <c r="M473" s="149">
        <v>0</v>
      </c>
      <c r="N473" s="150">
        <v>0</v>
      </c>
      <c r="O473" s="130">
        <v>0</v>
      </c>
      <c r="P473" s="130">
        <v>0</v>
      </c>
      <c r="Q473" s="130">
        <v>0</v>
      </c>
      <c r="R473" s="130">
        <v>0</v>
      </c>
      <c r="S473" s="130">
        <v>0</v>
      </c>
      <c r="T473" s="130">
        <v>0</v>
      </c>
      <c r="U473" s="130">
        <v>0</v>
      </c>
      <c r="V473" s="524">
        <v>0</v>
      </c>
      <c r="W473" s="130">
        <v>0</v>
      </c>
      <c r="X473" s="130">
        <v>0</v>
      </c>
      <c r="Y473" s="130">
        <v>0</v>
      </c>
      <c r="Z473" s="130">
        <v>0</v>
      </c>
      <c r="AA473" s="158" t="s">
        <v>2078</v>
      </c>
      <c r="AB473" s="158"/>
      <c r="AC473" s="158"/>
      <c r="AD473" s="158"/>
      <c r="AE473" s="158" t="b">
        <f>IF(AB473="",TRUE,IF(IF(AC473="",VLOOKUP(AB473,Calculs!$A$19:$S$425,19,FALSE),VLOOKUP(AC473,Calculs!$A$19:$S$425,19,FALSE))&gt;=AD473,TRUE,FALSE))</f>
        <v>1</v>
      </c>
      <c r="AF473" s="158"/>
      <c r="AG473" s="158"/>
      <c r="AH473" s="158"/>
      <c r="AI473" s="158" t="b">
        <f>IF(AF473="",TRUE,IF(IF(AG473="",VLOOKUP(AF473,Calculs!$A$19:$S$425,19,FALSE),VLOOKUP(AG473,Calculs!$A$19:$S$425,19,FALSE))&gt;=AH473,TRUE,FALSE))</f>
        <v>1</v>
      </c>
      <c r="AJ473" s="158"/>
      <c r="AK473" s="158"/>
      <c r="AL473" s="158"/>
      <c r="AM473" s="158" t="b">
        <f>IF(AJ473="",TRUE,IF(IF(AK473="",VLOOKUP(AJ473,Calculs!$A$19:$S$425,19,FALSE),VLOOKUP(AK473,Calculs!$A$19:$S$425,19,FALSE))&gt;=AL473,TRUE,FALSE))</f>
        <v>1</v>
      </c>
      <c r="AN473" s="158"/>
      <c r="AO473" s="158"/>
      <c r="AP473" s="158"/>
      <c r="AQ473" s="158" t="b">
        <f>IF(AN473="",TRUE,IF(IF(AO473="",VLOOKUP(AN473,Calculs!$A$19:$S$425,19,FALSE),VLOOKUP(AO473,Calculs!$A$19:$S$425,19,FALSE))&gt;=AP473,TRUE,FALSE))</f>
        <v>1</v>
      </c>
      <c r="AR473" s="158"/>
      <c r="AS473" s="158" t="b">
        <f>IF(AR473="",TRUE,IF(VLOOKUP(AR473,Calculs!$A$427:$G$738,7,FALSE)&gt;0,TRUE,FALSE))</f>
        <v>1</v>
      </c>
      <c r="AT473" s="158"/>
      <c r="AU473" s="158" t="b">
        <f>IF(AT473="",TRUE,IF(VLOOKUP(AT473,Calculs!$A$740:$G$912,7,FALSE)&gt;0,TRUE,FALSE))</f>
        <v>1</v>
      </c>
      <c r="AV473" s="158" t="b">
        <f t="shared" si="53"/>
        <v>1</v>
      </c>
      <c r="AW473" s="158" t="s">
        <v>2078</v>
      </c>
      <c r="AX473" s="162" t="s">
        <v>2075</v>
      </c>
      <c r="AY473" s="15">
        <v>182</v>
      </c>
      <c r="AZ473" s="555" t="s">
        <v>8582</v>
      </c>
      <c r="BA473" s="559">
        <f>IF(Verso!$B$10=Voies!$B473,1,0)</f>
        <v>0</v>
      </c>
      <c r="BB473" s="12">
        <f>IF(Verso!$B$11=Voies!$B473,1,0)</f>
        <v>0</v>
      </c>
      <c r="BC473" s="12">
        <f>IF(Verso!$B$12=Voies!$B473,1,0)</f>
        <v>0</v>
      </c>
      <c r="BD473" s="12">
        <f>IF(Verso!$B$13=Voies!$B473,1,0)</f>
        <v>0</v>
      </c>
      <c r="BE473" s="12">
        <f>IF(Verso!$B$14=Voies!$B473,1,0)</f>
        <v>0</v>
      </c>
      <c r="BF473" s="12">
        <f>IF(Verso!$B$15=Voies!$B473,1,0)</f>
        <v>0</v>
      </c>
      <c r="BG473" s="12">
        <f>IF(Verso!$B$16=Voies!$B473,1,0)</f>
        <v>0</v>
      </c>
      <c r="BH473" s="12">
        <f>IF(Verso!$B$17=Voies!$B473,1,0)</f>
        <v>0</v>
      </c>
      <c r="BI473" s="557">
        <f t="shared" si="54"/>
        <v>0</v>
      </c>
      <c r="BJ473" s="196" t="str">
        <f t="shared" si="55"/>
        <v/>
      </c>
      <c r="BK473" s="196" t="str">
        <f t="shared" si="56"/>
        <v/>
      </c>
      <c r="BL473" s="295" t="str">
        <f t="shared" si="57"/>
        <v/>
      </c>
    </row>
    <row r="474" spans="1:65" ht="47.25" customHeight="1" x14ac:dyDescent="0.25">
      <c r="A474" s="162" t="str">
        <f>IF(AND(Réputation&gt;Voies!E474-1,OR(C474=TRUE,Calculs!$I$8&gt;0),Air&gt;Voies!J474-1,Eau&gt;Voies!K474-1,Feu&gt;Voies!L474-1,Terre&gt;Voies!M474-1,Vide&gt;Voies!N474-1,Constitution&gt;Voies!O474-1,Volonté&gt;Voies!P474-1,Force&gt;Voies!Q474-1,Perception&gt;Voies!R474-1,Reflexes&gt;Voies!S474-1,Agilité&gt;Voies!T474-1,Intuition&gt;Voies!U474-1,Intelligence&gt;Voies!V474-1,Souillure&gt;Voies!W474-1,Honneur&gt;X474-1,Statut&gt;Y474-1,Gloire&gt;Z474-1,AV474=TRUE),Voies!B474,"")</f>
        <v/>
      </c>
      <c r="B474" s="162" t="s">
        <v>3012</v>
      </c>
      <c r="C474" s="162" t="b">
        <v>1</v>
      </c>
      <c r="D474" s="388" t="s">
        <v>1940</v>
      </c>
      <c r="E474" s="13">
        <v>3</v>
      </c>
      <c r="F474" s="199">
        <v>3</v>
      </c>
      <c r="G474" s="199" t="s">
        <v>2049</v>
      </c>
      <c r="H474" s="219" t="s">
        <v>302</v>
      </c>
      <c r="I474" s="129" t="str">
        <f>IF(B474="","","Rien")</f>
        <v>Rien</v>
      </c>
      <c r="J474" s="146">
        <v>0</v>
      </c>
      <c r="K474" s="147">
        <v>0</v>
      </c>
      <c r="L474" s="148">
        <v>0</v>
      </c>
      <c r="M474" s="149">
        <v>0</v>
      </c>
      <c r="N474" s="150">
        <v>0</v>
      </c>
      <c r="O474" s="130">
        <v>0</v>
      </c>
      <c r="P474" s="130">
        <v>0</v>
      </c>
      <c r="Q474" s="130">
        <v>0</v>
      </c>
      <c r="R474" s="130">
        <v>0</v>
      </c>
      <c r="S474" s="130">
        <v>0</v>
      </c>
      <c r="T474" s="130">
        <v>0</v>
      </c>
      <c r="U474" s="130">
        <v>0</v>
      </c>
      <c r="V474" s="524">
        <v>0</v>
      </c>
      <c r="W474" s="130">
        <v>0</v>
      </c>
      <c r="X474" s="130">
        <v>0</v>
      </c>
      <c r="Y474" s="130">
        <v>0</v>
      </c>
      <c r="Z474" s="130">
        <v>0</v>
      </c>
      <c r="AA474" s="158" t="s">
        <v>2078</v>
      </c>
      <c r="AB474" s="158"/>
      <c r="AC474" s="158"/>
      <c r="AD474" s="158"/>
      <c r="AE474" s="158" t="b">
        <f>IF(AB474="",TRUE,IF(IF(AC474="",VLOOKUP(AB474,Calculs!$A$19:$S$425,19,FALSE),VLOOKUP(AC474,Calculs!$A$19:$S$425,19,FALSE))&gt;=AD474,TRUE,FALSE))</f>
        <v>1</v>
      </c>
      <c r="AF474" s="158"/>
      <c r="AG474" s="158"/>
      <c r="AH474" s="158"/>
      <c r="AI474" s="158" t="b">
        <f>IF(AF474="",TRUE,IF(IF(AG474="",VLOOKUP(AF474,Calculs!$A$19:$S$425,19,FALSE),VLOOKUP(AG474,Calculs!$A$19:$S$425,19,FALSE))&gt;=AH474,TRUE,FALSE))</f>
        <v>1</v>
      </c>
      <c r="AJ474" s="158"/>
      <c r="AK474" s="158"/>
      <c r="AL474" s="158"/>
      <c r="AM474" s="158" t="b">
        <f>IF(AJ474="",TRUE,IF(IF(AK474="",VLOOKUP(AJ474,Calculs!$A$19:$S$425,19,FALSE),VLOOKUP(AK474,Calculs!$A$19:$S$425,19,FALSE))&gt;=AL474,TRUE,FALSE))</f>
        <v>1</v>
      </c>
      <c r="AN474" s="158"/>
      <c r="AO474" s="158"/>
      <c r="AP474" s="158"/>
      <c r="AQ474" s="158" t="b">
        <f>IF(AN474="",TRUE,IF(IF(AO474="",VLOOKUP(AN474,Calculs!$A$19:$S$425,19,FALSE),VLOOKUP(AO474,Calculs!$A$19:$S$425,19,FALSE))&gt;=AP474,TRUE,FALSE))</f>
        <v>1</v>
      </c>
      <c r="AR474" s="158"/>
      <c r="AS474" s="158" t="b">
        <f>IF(AR474="",TRUE,IF(VLOOKUP(AR474,Calculs!$A$427:$G$738,7,FALSE)&gt;0,TRUE,FALSE))</f>
        <v>1</v>
      </c>
      <c r="AT474" s="158"/>
      <c r="AU474" s="158" t="b">
        <f>IF(AT474="",TRUE,IF(VLOOKUP(AT474,Calculs!$A$740:$G$912,7,FALSE)&gt;0,TRUE,FALSE))</f>
        <v>1</v>
      </c>
      <c r="AV474" s="158" t="b">
        <f t="shared" si="53"/>
        <v>1</v>
      </c>
      <c r="AW474" s="158" t="s">
        <v>2078</v>
      </c>
      <c r="AX474" s="162" t="s">
        <v>2075</v>
      </c>
      <c r="AY474" s="15">
        <v>182</v>
      </c>
      <c r="AZ474" s="555" t="s">
        <v>3015</v>
      </c>
      <c r="BA474" s="559">
        <f>IF(Verso!$B$10=Voies!$B474,1,0)</f>
        <v>0</v>
      </c>
      <c r="BB474" s="12">
        <f>IF(Verso!$B$11=Voies!$B474,1,0)</f>
        <v>0</v>
      </c>
      <c r="BC474" s="12">
        <f>IF(Verso!$B$12=Voies!$B474,1,0)</f>
        <v>0</v>
      </c>
      <c r="BD474" s="12">
        <f>IF(Verso!$B$13=Voies!$B474,1,0)</f>
        <v>0</v>
      </c>
      <c r="BE474" s="12">
        <f>IF(Verso!$B$14=Voies!$B474,1,0)</f>
        <v>0</v>
      </c>
      <c r="BF474" s="12">
        <f>IF(Verso!$B$15=Voies!$B474,1,0)</f>
        <v>0</v>
      </c>
      <c r="BG474" s="12">
        <f>IF(Verso!$B$16=Voies!$B474,1,0)</f>
        <v>0</v>
      </c>
      <c r="BH474" s="12">
        <f>IF(Verso!$B$17=Voies!$B474,1,0)</f>
        <v>0</v>
      </c>
      <c r="BI474" s="557">
        <f t="shared" si="54"/>
        <v>0</v>
      </c>
      <c r="BJ474" s="196" t="str">
        <f t="shared" si="55"/>
        <v/>
      </c>
      <c r="BK474" s="196" t="str">
        <f t="shared" si="56"/>
        <v/>
      </c>
      <c r="BL474" s="295" t="str">
        <f t="shared" si="57"/>
        <v/>
      </c>
    </row>
    <row r="475" spans="1:65" ht="47.25" customHeight="1" x14ac:dyDescent="0.25">
      <c r="A475" s="162" t="str">
        <f>IF(AND(Réputation&gt;Voies!E475-1,OR(C475=TRUE,Calculs!$I$8&gt;0),Air&gt;Voies!J475-1,Eau&gt;Voies!K475-1,Feu&gt;Voies!L475-1,Terre&gt;Voies!M475-1,Vide&gt;Voies!N475-1,Constitution&gt;Voies!O475-1,Volonté&gt;Voies!P475-1,Force&gt;Voies!Q475-1,Perception&gt;Voies!R475-1,Reflexes&gt;Voies!S475-1,Agilité&gt;Voies!T475-1,Intuition&gt;Voies!U475-1,Intelligence&gt;Voies!V475-1,Souillure&gt;Voies!W475-1,Honneur&gt;X475-1,Statut&gt;Y475-1,Gloire&gt;Z475-1,AV475=TRUE),Voies!B475,"")</f>
        <v/>
      </c>
      <c r="B475" s="162" t="s">
        <v>3013</v>
      </c>
      <c r="C475" s="162" t="b">
        <v>1</v>
      </c>
      <c r="D475" s="388" t="s">
        <v>1940</v>
      </c>
      <c r="E475" s="13">
        <v>4</v>
      </c>
      <c r="F475" s="199">
        <v>4</v>
      </c>
      <c r="G475" s="13" t="s">
        <v>2049</v>
      </c>
      <c r="H475" s="219" t="s">
        <v>302</v>
      </c>
      <c r="I475" s="129" t="str">
        <f>IF(B475="","","Rien")</f>
        <v>Rien</v>
      </c>
      <c r="J475" s="146">
        <v>0</v>
      </c>
      <c r="K475" s="147">
        <v>0</v>
      </c>
      <c r="L475" s="148">
        <v>0</v>
      </c>
      <c r="M475" s="149">
        <v>0</v>
      </c>
      <c r="N475" s="150">
        <v>0</v>
      </c>
      <c r="O475" s="130">
        <v>0</v>
      </c>
      <c r="P475" s="130">
        <v>0</v>
      </c>
      <c r="Q475" s="130">
        <v>0</v>
      </c>
      <c r="R475" s="130">
        <v>0</v>
      </c>
      <c r="S475" s="130">
        <v>0</v>
      </c>
      <c r="T475" s="130">
        <v>0</v>
      </c>
      <c r="U475" s="130">
        <v>0</v>
      </c>
      <c r="V475" s="524">
        <v>0</v>
      </c>
      <c r="W475" s="130">
        <v>0</v>
      </c>
      <c r="X475" s="130">
        <v>0</v>
      </c>
      <c r="Y475" s="130">
        <v>0</v>
      </c>
      <c r="Z475" s="130">
        <v>0</v>
      </c>
      <c r="AA475" s="158" t="s">
        <v>2078</v>
      </c>
      <c r="AB475" s="158"/>
      <c r="AC475" s="158"/>
      <c r="AD475" s="158"/>
      <c r="AE475" s="158" t="b">
        <f>IF(AB475="",TRUE,IF(IF(AC475="",VLOOKUP(AB475,Calculs!$A$19:$S$425,19,FALSE),VLOOKUP(AC475,Calculs!$A$19:$S$425,19,FALSE))&gt;=AD475,TRUE,FALSE))</f>
        <v>1</v>
      </c>
      <c r="AF475" s="158"/>
      <c r="AG475" s="158"/>
      <c r="AH475" s="158"/>
      <c r="AI475" s="158" t="b">
        <f>IF(AF475="",TRUE,IF(IF(AG475="",VLOOKUP(AF475,Calculs!$A$19:$S$425,19,FALSE),VLOOKUP(AG475,Calculs!$A$19:$S$425,19,FALSE))&gt;=AH475,TRUE,FALSE))</f>
        <v>1</v>
      </c>
      <c r="AJ475" s="158"/>
      <c r="AK475" s="158"/>
      <c r="AL475" s="158"/>
      <c r="AM475" s="158" t="b">
        <f>IF(AJ475="",TRUE,IF(IF(AK475="",VLOOKUP(AJ475,Calculs!$A$19:$S$425,19,FALSE),VLOOKUP(AK475,Calculs!$A$19:$S$425,19,FALSE))&gt;=AL475,TRUE,FALSE))</f>
        <v>1</v>
      </c>
      <c r="AN475" s="158"/>
      <c r="AO475" s="158"/>
      <c r="AP475" s="158"/>
      <c r="AQ475" s="158" t="b">
        <f>IF(AN475="",TRUE,IF(IF(AO475="",VLOOKUP(AN475,Calculs!$A$19:$S$425,19,FALSE),VLOOKUP(AO475,Calculs!$A$19:$S$425,19,FALSE))&gt;=AP475,TRUE,FALSE))</f>
        <v>1</v>
      </c>
      <c r="AR475" s="158"/>
      <c r="AS475" s="158" t="b">
        <f>IF(AR475="",TRUE,IF(VLOOKUP(AR475,Calculs!$A$427:$G$738,7,FALSE)&gt;0,TRUE,FALSE))</f>
        <v>1</v>
      </c>
      <c r="AT475" s="158"/>
      <c r="AU475" s="158" t="b">
        <f>IF(AT475="",TRUE,IF(VLOOKUP(AT475,Calculs!$A$740:$G$912,7,FALSE)&gt;0,TRUE,FALSE))</f>
        <v>1</v>
      </c>
      <c r="AV475" s="158" t="b">
        <f t="shared" si="53"/>
        <v>1</v>
      </c>
      <c r="AW475" s="158" t="s">
        <v>2078</v>
      </c>
      <c r="AX475" s="162" t="s">
        <v>2075</v>
      </c>
      <c r="AY475" s="15">
        <v>182</v>
      </c>
      <c r="AZ475" s="555" t="s">
        <v>8583</v>
      </c>
      <c r="BA475" s="559">
        <f>IF(Verso!$B$10=Voies!$B475,1,0)</f>
        <v>0</v>
      </c>
      <c r="BB475" s="12">
        <f>IF(Verso!$B$11=Voies!$B475,1,0)</f>
        <v>0</v>
      </c>
      <c r="BC475" s="12">
        <f>IF(Verso!$B$12=Voies!$B475,1,0)</f>
        <v>0</v>
      </c>
      <c r="BD475" s="12">
        <f>IF(Verso!$B$13=Voies!$B475,1,0)</f>
        <v>0</v>
      </c>
      <c r="BE475" s="12">
        <f>IF(Verso!$B$14=Voies!$B475,1,0)</f>
        <v>0</v>
      </c>
      <c r="BF475" s="12">
        <f>IF(Verso!$B$15=Voies!$B475,1,0)</f>
        <v>0</v>
      </c>
      <c r="BG475" s="12">
        <f>IF(Verso!$B$16=Voies!$B475,1,0)</f>
        <v>0</v>
      </c>
      <c r="BH475" s="12">
        <f>IF(Verso!$B$17=Voies!$B475,1,0)</f>
        <v>0</v>
      </c>
      <c r="BI475" s="557">
        <f t="shared" si="54"/>
        <v>0</v>
      </c>
      <c r="BJ475" s="196" t="str">
        <f t="shared" si="55"/>
        <v/>
      </c>
      <c r="BK475" s="196" t="str">
        <f t="shared" si="56"/>
        <v/>
      </c>
      <c r="BL475" s="295" t="str">
        <f t="shared" si="57"/>
        <v/>
      </c>
    </row>
    <row r="476" spans="1:65" ht="47.25" customHeight="1" x14ac:dyDescent="0.25">
      <c r="A476" s="162" t="str">
        <f>IF(AND(Réputation&gt;Voies!E476-1,OR(C476=TRUE,Calculs!$I$8&gt;0),Air&gt;Voies!J476-1,Eau&gt;Voies!K476-1,Feu&gt;Voies!L476-1,Terre&gt;Voies!M476-1,Vide&gt;Voies!N476-1,Constitution&gt;Voies!O476-1,Volonté&gt;Voies!P476-1,Force&gt;Voies!Q476-1,Perception&gt;Voies!R476-1,Reflexes&gt;Voies!S476-1,Agilité&gt;Voies!T476-1,Intuition&gt;Voies!U476-1,Intelligence&gt;Voies!V476-1,Souillure&gt;Voies!W476-1,Honneur&gt;X476-1,Statut&gt;Y476-1,Gloire&gt;Z476-1,AV476=TRUE),Voies!B476,"")</f>
        <v/>
      </c>
      <c r="B476" s="162" t="s">
        <v>3014</v>
      </c>
      <c r="C476" s="162" t="b">
        <v>1</v>
      </c>
      <c r="D476" s="388" t="s">
        <v>1940</v>
      </c>
      <c r="E476" s="13">
        <v>5</v>
      </c>
      <c r="F476" s="199">
        <v>5</v>
      </c>
      <c r="G476" s="199" t="s">
        <v>2049</v>
      </c>
      <c r="H476" s="219" t="s">
        <v>302</v>
      </c>
      <c r="I476" s="129" t="str">
        <f>IF(B476="","","Rien")</f>
        <v>Rien</v>
      </c>
      <c r="J476" s="146">
        <v>0</v>
      </c>
      <c r="K476" s="147">
        <v>0</v>
      </c>
      <c r="L476" s="148">
        <v>0</v>
      </c>
      <c r="M476" s="149">
        <v>0</v>
      </c>
      <c r="N476" s="150">
        <v>0</v>
      </c>
      <c r="O476" s="130">
        <v>0</v>
      </c>
      <c r="P476" s="130">
        <v>0</v>
      </c>
      <c r="Q476" s="130">
        <v>0</v>
      </c>
      <c r="R476" s="130">
        <v>0</v>
      </c>
      <c r="S476" s="130">
        <v>0</v>
      </c>
      <c r="T476" s="130">
        <v>0</v>
      </c>
      <c r="U476" s="130">
        <v>0</v>
      </c>
      <c r="V476" s="524">
        <v>0</v>
      </c>
      <c r="W476" s="130">
        <v>0</v>
      </c>
      <c r="X476" s="130">
        <v>0</v>
      </c>
      <c r="Y476" s="130">
        <v>0</v>
      </c>
      <c r="Z476" s="130">
        <v>0</v>
      </c>
      <c r="AA476" s="158" t="s">
        <v>2078</v>
      </c>
      <c r="AB476" s="158"/>
      <c r="AC476" s="158"/>
      <c r="AD476" s="158"/>
      <c r="AE476" s="158" t="b">
        <f>IF(AB476="",TRUE,IF(IF(AC476="",VLOOKUP(AB476,Calculs!$A$19:$S$425,19,FALSE),VLOOKUP(AC476,Calculs!$A$19:$S$425,19,FALSE))&gt;=AD476,TRUE,FALSE))</f>
        <v>1</v>
      </c>
      <c r="AF476" s="158"/>
      <c r="AG476" s="158"/>
      <c r="AH476" s="158"/>
      <c r="AI476" s="158" t="b">
        <f>IF(AF476="",TRUE,IF(IF(AG476="",VLOOKUP(AF476,Calculs!$A$19:$S$425,19,FALSE),VLOOKUP(AG476,Calculs!$A$19:$S$425,19,FALSE))&gt;=AH476,TRUE,FALSE))</f>
        <v>1</v>
      </c>
      <c r="AJ476" s="158"/>
      <c r="AK476" s="158"/>
      <c r="AL476" s="158"/>
      <c r="AM476" s="158" t="b">
        <f>IF(AJ476="",TRUE,IF(IF(AK476="",VLOOKUP(AJ476,Calculs!$A$19:$S$425,19,FALSE),VLOOKUP(AK476,Calculs!$A$19:$S$425,19,FALSE))&gt;=AL476,TRUE,FALSE))</f>
        <v>1</v>
      </c>
      <c r="AN476" s="158"/>
      <c r="AO476" s="158"/>
      <c r="AP476" s="158"/>
      <c r="AQ476" s="158" t="b">
        <f>IF(AN476="",TRUE,IF(IF(AO476="",VLOOKUP(AN476,Calculs!$A$19:$S$425,19,FALSE),VLOOKUP(AO476,Calculs!$A$19:$S$425,19,FALSE))&gt;=AP476,TRUE,FALSE))</f>
        <v>1</v>
      </c>
      <c r="AR476" s="158"/>
      <c r="AS476" s="158" t="b">
        <f>IF(AR476="",TRUE,IF(VLOOKUP(AR476,Calculs!$A$427:$G$738,7,FALSE)&gt;0,TRUE,FALSE))</f>
        <v>1</v>
      </c>
      <c r="AT476" s="158"/>
      <c r="AU476" s="158" t="b">
        <f>IF(AT476="",TRUE,IF(VLOOKUP(AT476,Calculs!$A$740:$G$912,7,FALSE)&gt;0,TRUE,FALSE))</f>
        <v>1</v>
      </c>
      <c r="AV476" s="158" t="b">
        <f t="shared" si="53"/>
        <v>1</v>
      </c>
      <c r="AW476" s="158" t="s">
        <v>2078</v>
      </c>
      <c r="AX476" s="162" t="s">
        <v>2075</v>
      </c>
      <c r="AY476" s="15">
        <v>182</v>
      </c>
      <c r="AZ476" s="555" t="str">
        <f>CONCATENATE("Dépensez un Pvide et une Act.G au début de votre tour pour copier une Technique de Bushi de n'importe quel autre personnage (humain ou non) dans un rayon de 6m pendant ",Air," Rounds")</f>
        <v>Dépensez un Pvide et une Act.G au début de votre tour pour copier une Technique de Bushi de n'importe quel autre personnage (humain ou non) dans un rayon de 6m pendant 2 Rounds</v>
      </c>
      <c r="BA476" s="559">
        <f>IF(Verso!$B$10=Voies!$B476,1,0)</f>
        <v>0</v>
      </c>
      <c r="BB476" s="12">
        <f>IF(Verso!$B$11=Voies!$B476,1,0)</f>
        <v>0</v>
      </c>
      <c r="BC476" s="12">
        <f>IF(Verso!$B$12=Voies!$B476,1,0)</f>
        <v>0</v>
      </c>
      <c r="BD476" s="12">
        <f>IF(Verso!$B$13=Voies!$B476,1,0)</f>
        <v>0</v>
      </c>
      <c r="BE476" s="12">
        <f>IF(Verso!$B$14=Voies!$B476,1,0)</f>
        <v>0</v>
      </c>
      <c r="BF476" s="12">
        <f>IF(Verso!$B$15=Voies!$B476,1,0)</f>
        <v>0</v>
      </c>
      <c r="BG476" s="12">
        <f>IF(Verso!$B$16=Voies!$B476,1,0)</f>
        <v>0</v>
      </c>
      <c r="BH476" s="12">
        <f>IF(Verso!$B$17=Voies!$B476,1,0)</f>
        <v>0</v>
      </c>
      <c r="BI476" s="557">
        <f t="shared" si="54"/>
        <v>0</v>
      </c>
      <c r="BJ476" s="196" t="str">
        <f t="shared" si="55"/>
        <v/>
      </c>
      <c r="BK476" s="196" t="str">
        <f t="shared" si="56"/>
        <v/>
      </c>
      <c r="BL476" s="295" t="str">
        <f t="shared" si="57"/>
        <v/>
      </c>
    </row>
    <row r="477" spans="1:65" ht="47.25" customHeight="1" x14ac:dyDescent="0.25">
      <c r="A477" s="162" t="str">
        <f>IF(AND(Réputation&gt;Voies!E477-1,OR(C477=TRUE,Calculs!$I$8&gt;0),Air&gt;Voies!J477-1,Eau&gt;Voies!K477-1,Feu&gt;Voies!L477-1,Terre&gt;Voies!M477-1,Vide&gt;Voies!N477-1,Constitution&gt;Voies!O477-1,Volonté&gt;Voies!P477-1,Force&gt;Voies!Q477-1,Perception&gt;Voies!R477-1,Reflexes&gt;Voies!S477-1,Agilité&gt;Voies!T477-1,Intuition&gt;Voies!U477-1,Intelligence&gt;Voies!V477-1,Souillure&gt;Voies!W477-1,Honneur&gt;X477-1,Statut&gt;Y477-1,Gloire&gt;Z477-1,AV477=TRUE),Voies!B477,"")</f>
        <v/>
      </c>
      <c r="B477" s="162" t="s">
        <v>3544</v>
      </c>
      <c r="C477" s="162" t="b">
        <v>1</v>
      </c>
      <c r="D477" s="388" t="s">
        <v>64</v>
      </c>
      <c r="E477" s="13">
        <v>0</v>
      </c>
      <c r="F477" s="199">
        <v>0</v>
      </c>
      <c r="G477" s="157" t="s">
        <v>2078</v>
      </c>
      <c r="H477" s="219" t="s">
        <v>599</v>
      </c>
      <c r="I477" s="129" t="s">
        <v>3537</v>
      </c>
      <c r="J477" s="146">
        <v>0</v>
      </c>
      <c r="K477" s="147">
        <v>0</v>
      </c>
      <c r="L477" s="148">
        <v>0</v>
      </c>
      <c r="M477" s="149">
        <v>0</v>
      </c>
      <c r="N477" s="150">
        <v>0</v>
      </c>
      <c r="O477" s="130">
        <v>0</v>
      </c>
      <c r="P477" s="130">
        <v>0</v>
      </c>
      <c r="Q477" s="130">
        <v>0</v>
      </c>
      <c r="R477" s="130">
        <v>0</v>
      </c>
      <c r="S477" s="130">
        <v>4</v>
      </c>
      <c r="T477" s="130">
        <v>4</v>
      </c>
      <c r="U477" s="130">
        <v>0</v>
      </c>
      <c r="V477" s="524">
        <v>0</v>
      </c>
      <c r="W477" s="130">
        <v>0</v>
      </c>
      <c r="X477" s="130">
        <v>0</v>
      </c>
      <c r="Y477" s="130">
        <v>0</v>
      </c>
      <c r="Z477" s="130">
        <v>0</v>
      </c>
      <c r="AA477" s="158" t="s">
        <v>3542</v>
      </c>
      <c r="AB477" s="158" t="s">
        <v>189</v>
      </c>
      <c r="AC477" s="158" t="s">
        <v>1295</v>
      </c>
      <c r="AD477" s="158">
        <v>5</v>
      </c>
      <c r="AE477" s="158" t="b">
        <f>IF(AB477="",TRUE,IF(IF(AC477="",VLOOKUP(AB477,Calculs!$A$19:$S$425,19,FALSE),VLOOKUP(AC477,Calculs!$A$19:$S$425,19,FALSE))&gt;=AD477,TRUE,FALSE))</f>
        <v>0</v>
      </c>
      <c r="AF477" s="158" t="s">
        <v>376</v>
      </c>
      <c r="AG477" s="158" t="s">
        <v>1338</v>
      </c>
      <c r="AH477" s="158">
        <v>4</v>
      </c>
      <c r="AI477" s="158" t="b">
        <f>IF(AF477="",TRUE,IF(IF(AG477="",VLOOKUP(AF477,Calculs!$A$19:$S$425,19,FALSE),VLOOKUP(AG477,Calculs!$A$19:$S$425,19,FALSE))&gt;=AH477,TRUE,FALSE))</f>
        <v>0</v>
      </c>
      <c r="AJ477" s="158"/>
      <c r="AK477" s="158"/>
      <c r="AL477" s="158"/>
      <c r="AM477" s="158" t="b">
        <f>IF(AJ477="",TRUE,IF(IF(AK477="",VLOOKUP(AJ477,Calculs!$A$19:$S$425,19,FALSE),VLOOKUP(AK477,Calculs!$A$19:$S$425,19,FALSE))&gt;=AL477,TRUE,FALSE))</f>
        <v>1</v>
      </c>
      <c r="AN477" s="158"/>
      <c r="AO477" s="158"/>
      <c r="AP477" s="158"/>
      <c r="AQ477" s="158" t="b">
        <f>IF(AN477="",TRUE,IF(IF(AO477="",VLOOKUP(AN477,Calculs!$A$19:$S$425,19,FALSE),VLOOKUP(AO477,Calculs!$A$19:$S$425,19,FALSE))&gt;=AP477,TRUE,FALSE))</f>
        <v>1</v>
      </c>
      <c r="AR477" s="158"/>
      <c r="AS477" s="158" t="b">
        <f>IF(AR477="",TRUE,IF(VLOOKUP(AR477,Calculs!$A$427:$G$738,7,FALSE)&gt;0,TRUE,FALSE))</f>
        <v>1</v>
      </c>
      <c r="AT477" s="158"/>
      <c r="AU477" s="158" t="b">
        <f>IF(AT477="",TRUE,IF(VLOOKUP(AT477,Calculs!$A$740:$G$912,7,FALSE)&gt;0,TRUE,FALSE))</f>
        <v>1</v>
      </c>
      <c r="AV477" s="158" t="b">
        <f t="shared" si="53"/>
        <v>0</v>
      </c>
      <c r="AW477" s="159" t="s">
        <v>3543</v>
      </c>
      <c r="AX477" s="162" t="s">
        <v>2075</v>
      </c>
      <c r="AY477" s="15">
        <v>49</v>
      </c>
      <c r="AZ477" s="555" t="s">
        <v>3545</v>
      </c>
      <c r="BA477" s="559">
        <f>IF(Verso!$B$10=Voies!$B477,1,0)</f>
        <v>0</v>
      </c>
      <c r="BB477" s="12">
        <f>IF(Verso!$B$11=Voies!$B477,1,0)</f>
        <v>0</v>
      </c>
      <c r="BC477" s="12">
        <f>IF(Verso!$B$12=Voies!$B477,1,0)</f>
        <v>0</v>
      </c>
      <c r="BD477" s="12">
        <f>IF(Verso!$B$13=Voies!$B477,1,0)</f>
        <v>0</v>
      </c>
      <c r="BE477" s="12">
        <f>IF(Verso!$B$14=Voies!$B477,1,0)</f>
        <v>0</v>
      </c>
      <c r="BF477" s="12">
        <f>IF(Verso!$B$15=Voies!$B477,1,0)</f>
        <v>0</v>
      </c>
      <c r="BG477" s="12">
        <f>IF(Verso!$B$16=Voies!$B477,1,0)</f>
        <v>0</v>
      </c>
      <c r="BH477" s="12">
        <f>IF(Verso!$B$17=Voies!$B477,1,0)</f>
        <v>0</v>
      </c>
      <c r="BI477" s="557">
        <f t="shared" si="54"/>
        <v>0</v>
      </c>
      <c r="BJ477" s="196" t="str">
        <f t="shared" si="55"/>
        <v/>
      </c>
      <c r="BK477" s="196" t="str">
        <f t="shared" si="56"/>
        <v/>
      </c>
      <c r="BL477" s="295" t="str">
        <f t="shared" si="57"/>
        <v/>
      </c>
    </row>
    <row r="478" spans="1:65" ht="47.25" customHeight="1" x14ac:dyDescent="0.25">
      <c r="A478" s="162" t="str">
        <f>IF(AND(Réputation&gt;Voies!E478-1,OR(C478=TRUE,Calculs!$I$8&gt;0),Air&gt;Voies!J478-1,Eau&gt;Voies!K478-1,Feu&gt;Voies!L478-1,Terre&gt;Voies!M478-1,Vide&gt;Voies!N478-1,Constitution&gt;Voies!O478-1,Volonté&gt;Voies!P478-1,Force&gt;Voies!Q478-1,Perception&gt;Voies!R478-1,Reflexes&gt;Voies!S478-1,Agilité&gt;Voies!T478-1,Intuition&gt;Voies!U478-1,Intelligence&gt;Voies!V478-1,Souillure&gt;Voies!W478-1,Honneur&gt;X478-1,Statut&gt;Y478-1,Gloire&gt;Z478-1,AV478=TRUE),Voies!B478,"")</f>
        <v/>
      </c>
      <c r="B478" s="162" t="s">
        <v>3003</v>
      </c>
      <c r="C478" s="162" t="b">
        <v>1</v>
      </c>
      <c r="D478" s="388" t="s">
        <v>64</v>
      </c>
      <c r="E478" s="199">
        <v>0</v>
      </c>
      <c r="F478" s="199">
        <v>0</v>
      </c>
      <c r="G478" s="13" t="s">
        <v>2060</v>
      </c>
      <c r="H478" s="219" t="s">
        <v>430</v>
      </c>
      <c r="I478" s="129" t="str">
        <f>IF(B478="","","Rien")</f>
        <v>Rien</v>
      </c>
      <c r="J478" s="146">
        <v>0</v>
      </c>
      <c r="K478" s="147">
        <v>0</v>
      </c>
      <c r="L478" s="148">
        <v>0</v>
      </c>
      <c r="M478" s="149">
        <v>0</v>
      </c>
      <c r="N478" s="150">
        <v>0</v>
      </c>
      <c r="O478" s="130">
        <v>0</v>
      </c>
      <c r="P478" s="130">
        <v>0</v>
      </c>
      <c r="Q478" s="130">
        <v>0</v>
      </c>
      <c r="R478" s="130">
        <v>0</v>
      </c>
      <c r="S478" s="130">
        <v>4</v>
      </c>
      <c r="T478" s="130">
        <v>4</v>
      </c>
      <c r="U478" s="130">
        <v>0</v>
      </c>
      <c r="V478" s="524">
        <v>0</v>
      </c>
      <c r="W478" s="130">
        <v>0</v>
      </c>
      <c r="X478" s="130">
        <v>0</v>
      </c>
      <c r="Y478" s="130">
        <v>0</v>
      </c>
      <c r="Z478" s="130">
        <v>0</v>
      </c>
      <c r="AA478" s="159" t="s">
        <v>3000</v>
      </c>
      <c r="AB478" s="159" t="s">
        <v>1244</v>
      </c>
      <c r="AD478" s="159">
        <v>5</v>
      </c>
      <c r="AE478" s="158" t="b">
        <f>IF(AB478="",TRUE,IF(IF(AC478="",VLOOKUP(AB478,Calculs!$A$19:$S$425,19,FALSE),VLOOKUP(AC478,Calculs!$A$19:$S$425,19,FALSE))&gt;=AD478,TRUE,FALSE))</f>
        <v>0</v>
      </c>
      <c r="AF478" s="159" t="s">
        <v>1273</v>
      </c>
      <c r="AH478" s="159">
        <v>5</v>
      </c>
      <c r="AI478" s="158" t="b">
        <f>IF(AF478="",TRUE,IF(IF(AG478="",VLOOKUP(AF478,Calculs!$A$19:$S$425,19,FALSE),VLOOKUP(AG478,Calculs!$A$19:$S$425,19,FALSE))&gt;=AH478,TRUE,FALSE))</f>
        <v>0</v>
      </c>
      <c r="AJ478" s="159" t="s">
        <v>1282</v>
      </c>
      <c r="AL478" s="159">
        <v>5</v>
      </c>
      <c r="AM478" s="158" t="b">
        <f>IF(AJ478="",TRUE,IF(IF(AK478="",VLOOKUP(AJ478,Calculs!$A$19:$S$425,19,FALSE),VLOOKUP(AK478,Calculs!$A$19:$S$425,19,FALSE))&gt;=AL478,TRUE,FALSE))</f>
        <v>0</v>
      </c>
      <c r="AQ478" s="158" t="b">
        <f>IF(AN478="",TRUE,IF(IF(AO478="",VLOOKUP(AN478,Calculs!$A$19:$S$425,19,FALSE),VLOOKUP(AO478,Calculs!$A$19:$S$425,19,FALSE))&gt;=AP478,TRUE,FALSE))</f>
        <v>1</v>
      </c>
      <c r="AR478" s="158"/>
      <c r="AS478" s="158" t="b">
        <f>IF(AR478="",TRUE,IF(VLOOKUP(AR478,Calculs!$A$427:$G$738,7,FALSE)&gt;0,TRUE,FALSE))</f>
        <v>1</v>
      </c>
      <c r="AT478" s="158"/>
      <c r="AU478" s="158" t="b">
        <f>IF(AT478="",TRUE,IF(VLOOKUP(AT478,Calculs!$A$740:$G$912,7,FALSE)&gt;0,TRUE,FALSE))</f>
        <v>1</v>
      </c>
      <c r="AV478" s="158" t="b">
        <f t="shared" si="53"/>
        <v>0</v>
      </c>
      <c r="AW478" s="159" t="s">
        <v>3001</v>
      </c>
      <c r="AX478" s="162" t="s">
        <v>2075</v>
      </c>
      <c r="AY478" s="15">
        <v>49</v>
      </c>
      <c r="AZ478" s="555" t="s">
        <v>3006</v>
      </c>
      <c r="BA478" s="559">
        <f>IF(Verso!$B$10=Voies!$B478,1,0)</f>
        <v>0</v>
      </c>
      <c r="BB478" s="12">
        <f>IF(Verso!$B$11=Voies!$B478,1,0)</f>
        <v>0</v>
      </c>
      <c r="BC478" s="12">
        <f>IF(Verso!$B$12=Voies!$B478,1,0)</f>
        <v>0</v>
      </c>
      <c r="BD478" s="12">
        <f>IF(Verso!$B$13=Voies!$B478,1,0)</f>
        <v>0</v>
      </c>
      <c r="BE478" s="12">
        <f>IF(Verso!$B$14=Voies!$B478,1,0)</f>
        <v>0</v>
      </c>
      <c r="BF478" s="12">
        <f>IF(Verso!$B$15=Voies!$B478,1,0)</f>
        <v>0</v>
      </c>
      <c r="BG478" s="12">
        <f>IF(Verso!$B$16=Voies!$B478,1,0)</f>
        <v>0</v>
      </c>
      <c r="BH478" s="12">
        <f>IF(Verso!$B$17=Voies!$B478,1,0)</f>
        <v>0</v>
      </c>
      <c r="BI478" s="557">
        <f t="shared" si="54"/>
        <v>0</v>
      </c>
      <c r="BJ478" s="196" t="str">
        <f t="shared" si="55"/>
        <v/>
      </c>
      <c r="BK478" s="196" t="str">
        <f t="shared" si="56"/>
        <v/>
      </c>
      <c r="BL478" s="295" t="str">
        <f t="shared" si="57"/>
        <v/>
      </c>
    </row>
    <row r="479" spans="1:65" ht="47.25" customHeight="1" x14ac:dyDescent="0.25">
      <c r="A479" s="162" t="str">
        <f>IF(AND(Réputation&gt;Voies!E479-1,OR(C479=TRUE,Calculs!$I$8&gt;0),Air&gt;Voies!J479-1,Eau&gt;Voies!K479-1,Feu&gt;Voies!L479-1,Terre&gt;Voies!M479-1,Vide&gt;Voies!N479-1,Constitution&gt;Voies!O479-1,Volonté&gt;Voies!P479-1,Force&gt;Voies!Q479-1,Perception&gt;Voies!R479-1,Reflexes&gt;Voies!S479-1,Agilité&gt;Voies!T479-1,Intuition&gt;Voies!U479-1,Intelligence&gt;Voies!V479-1,Souillure&gt;Voies!W479-1,Honneur&gt;X479-1,Statut&gt;Y479-1,Gloire&gt;Z479-1,AV479=TRUE),Voies!B479,"")</f>
        <v/>
      </c>
      <c r="B479" s="162" t="s">
        <v>3004</v>
      </c>
      <c r="C479" s="162" t="b">
        <v>1</v>
      </c>
      <c r="D479" s="388" t="s">
        <v>64</v>
      </c>
      <c r="E479" s="199">
        <v>0</v>
      </c>
      <c r="F479" s="199">
        <v>0</v>
      </c>
      <c r="G479" s="199" t="s">
        <v>2060</v>
      </c>
      <c r="H479" s="219" t="s">
        <v>430</v>
      </c>
      <c r="I479" s="129" t="str">
        <f>IF(B479="","","Rien")</f>
        <v>Rien</v>
      </c>
      <c r="J479" s="146">
        <v>0</v>
      </c>
      <c r="K479" s="147">
        <v>0</v>
      </c>
      <c r="L479" s="148">
        <v>0</v>
      </c>
      <c r="M479" s="149">
        <v>0</v>
      </c>
      <c r="N479" s="150">
        <v>0</v>
      </c>
      <c r="O479" s="130">
        <v>0</v>
      </c>
      <c r="P479" s="130">
        <v>0</v>
      </c>
      <c r="Q479" s="130">
        <v>0</v>
      </c>
      <c r="R479" s="130">
        <v>0</v>
      </c>
      <c r="S479" s="130">
        <v>4</v>
      </c>
      <c r="T479" s="130">
        <v>4</v>
      </c>
      <c r="U479" s="130">
        <v>0</v>
      </c>
      <c r="V479" s="524">
        <v>0</v>
      </c>
      <c r="W479" s="130">
        <v>0</v>
      </c>
      <c r="X479" s="130">
        <v>0</v>
      </c>
      <c r="Y479" s="130">
        <v>0</v>
      </c>
      <c r="Z479" s="130">
        <v>0</v>
      </c>
      <c r="AA479" s="159" t="s">
        <v>3000</v>
      </c>
      <c r="AB479" s="159" t="s">
        <v>1244</v>
      </c>
      <c r="AD479" s="159">
        <v>5</v>
      </c>
      <c r="AE479" s="158" t="b">
        <f>IF(AB479="",TRUE,IF(IF(AC479="",VLOOKUP(AB479,Calculs!$A$19:$S$425,19,FALSE),VLOOKUP(AC479,Calculs!$A$19:$S$425,19,FALSE))&gt;=AD479,TRUE,FALSE))</f>
        <v>0</v>
      </c>
      <c r="AF479" s="159" t="s">
        <v>1273</v>
      </c>
      <c r="AH479" s="159">
        <v>5</v>
      </c>
      <c r="AI479" s="158" t="b">
        <f>IF(AF479="",TRUE,IF(IF(AG479="",VLOOKUP(AF479,Calculs!$A$19:$S$425,19,FALSE),VLOOKUP(AG479,Calculs!$A$19:$S$425,19,FALSE))&gt;=AH479,TRUE,FALSE))</f>
        <v>0</v>
      </c>
      <c r="AJ479" s="159" t="s">
        <v>1282</v>
      </c>
      <c r="AL479" s="159">
        <v>5</v>
      </c>
      <c r="AM479" s="158" t="b">
        <f>IF(AJ479="",TRUE,IF(IF(AK479="",VLOOKUP(AJ479,Calculs!$A$19:$S$425,19,FALSE),VLOOKUP(AK479,Calculs!$A$19:$S$425,19,FALSE))&gt;=AL479,TRUE,FALSE))</f>
        <v>0</v>
      </c>
      <c r="AQ479" s="158" t="b">
        <f>IF(AN479="",TRUE,IF(IF(AO479="",VLOOKUP(AN479,Calculs!$A$19:$S$425,19,FALSE),VLOOKUP(AO479,Calculs!$A$19:$S$425,19,FALSE))&gt;=AP479,TRUE,FALSE))</f>
        <v>1</v>
      </c>
      <c r="AR479" s="158"/>
      <c r="AS479" s="158" t="b">
        <f>IF(AR479="",TRUE,IF(VLOOKUP(AR479,Calculs!$A$427:$G$738,7,FALSE)&gt;0,TRUE,FALSE))</f>
        <v>1</v>
      </c>
      <c r="AT479" s="158"/>
      <c r="AU479" s="158" t="b">
        <f>IF(AT479="",TRUE,IF(VLOOKUP(AT479,Calculs!$A$740:$G$912,7,FALSE)&gt;0,TRUE,FALSE))</f>
        <v>1</v>
      </c>
      <c r="AV479" s="158" t="b">
        <f t="shared" si="53"/>
        <v>0</v>
      </c>
      <c r="AW479" s="159" t="s">
        <v>3001</v>
      </c>
      <c r="AX479" s="162" t="s">
        <v>2075</v>
      </c>
      <c r="AY479" s="15">
        <v>49</v>
      </c>
      <c r="AZ479" s="566" t="s">
        <v>3007</v>
      </c>
      <c r="BA479" s="559">
        <f>IF(Verso!$B$10=Voies!$B479,1,0)</f>
        <v>0</v>
      </c>
      <c r="BB479" s="12">
        <f>IF(Verso!$B$11=Voies!$B479,1,0)</f>
        <v>0</v>
      </c>
      <c r="BC479" s="12">
        <f>IF(Verso!$B$12=Voies!$B479,1,0)</f>
        <v>0</v>
      </c>
      <c r="BD479" s="12">
        <f>IF(Verso!$B$13=Voies!$B479,1,0)</f>
        <v>0</v>
      </c>
      <c r="BE479" s="12">
        <f>IF(Verso!$B$14=Voies!$B479,1,0)</f>
        <v>0</v>
      </c>
      <c r="BF479" s="12">
        <f>IF(Verso!$B$15=Voies!$B479,1,0)</f>
        <v>0</v>
      </c>
      <c r="BG479" s="12">
        <f>IF(Verso!$B$16=Voies!$B479,1,0)</f>
        <v>0</v>
      </c>
      <c r="BH479" s="12">
        <f>IF(Verso!$B$17=Voies!$B479,1,0)</f>
        <v>0</v>
      </c>
      <c r="BI479" s="557">
        <f t="shared" si="54"/>
        <v>0</v>
      </c>
      <c r="BJ479" s="196" t="str">
        <f t="shared" si="55"/>
        <v/>
      </c>
      <c r="BK479" s="196" t="str">
        <f t="shared" si="56"/>
        <v/>
      </c>
      <c r="BL479" s="295" t="str">
        <f t="shared" si="57"/>
        <v/>
      </c>
    </row>
    <row r="480" spans="1:65" ht="47.25" customHeight="1" x14ac:dyDescent="0.25">
      <c r="A480" s="162" t="str">
        <f>IF(AND(Réputation&gt;Voies!E480-1,OR(C480=TRUE,Calculs!$I$8&gt;0),Air&gt;Voies!J480-1,Eau&gt;Voies!K480-1,Feu&gt;Voies!L480-1,Terre&gt;Voies!M480-1,Vide&gt;Voies!N480-1,Constitution&gt;Voies!O480-1,Volonté&gt;Voies!P480-1,Force&gt;Voies!Q480-1,Perception&gt;Voies!R480-1,Reflexes&gt;Voies!S480-1,Agilité&gt;Voies!T480-1,Intuition&gt;Voies!U480-1,Intelligence&gt;Voies!V480-1,Souillure&gt;Voies!W480-1,Honneur&gt;X480-1,Statut&gt;Y480-1,Gloire&gt;Z480-1,AV480=TRUE),Voies!B480,"")</f>
        <v/>
      </c>
      <c r="B480" s="162" t="s">
        <v>3005</v>
      </c>
      <c r="C480" s="162" t="b">
        <v>1</v>
      </c>
      <c r="D480" s="388" t="s">
        <v>64</v>
      </c>
      <c r="E480" s="199">
        <v>0</v>
      </c>
      <c r="F480" s="199">
        <v>0</v>
      </c>
      <c r="G480" s="199" t="s">
        <v>2060</v>
      </c>
      <c r="H480" s="219" t="s">
        <v>430</v>
      </c>
      <c r="I480" s="129" t="str">
        <f>IF(B480="","","Rien")</f>
        <v>Rien</v>
      </c>
      <c r="J480" s="146">
        <v>0</v>
      </c>
      <c r="K480" s="147">
        <v>0</v>
      </c>
      <c r="L480" s="148">
        <v>0</v>
      </c>
      <c r="M480" s="149">
        <v>0</v>
      </c>
      <c r="N480" s="150">
        <v>0</v>
      </c>
      <c r="O480" s="130">
        <v>0</v>
      </c>
      <c r="P480" s="130">
        <v>0</v>
      </c>
      <c r="Q480" s="130">
        <v>0</v>
      </c>
      <c r="R480" s="130">
        <v>0</v>
      </c>
      <c r="S480" s="130">
        <v>4</v>
      </c>
      <c r="T480" s="130">
        <v>4</v>
      </c>
      <c r="U480" s="130">
        <v>0</v>
      </c>
      <c r="V480" s="524">
        <v>0</v>
      </c>
      <c r="W480" s="130">
        <v>0</v>
      </c>
      <c r="X480" s="130">
        <v>0</v>
      </c>
      <c r="Y480" s="130">
        <v>0</v>
      </c>
      <c r="Z480" s="130">
        <v>0</v>
      </c>
      <c r="AA480" s="159" t="s">
        <v>3000</v>
      </c>
      <c r="AB480" s="159" t="s">
        <v>1244</v>
      </c>
      <c r="AD480" s="159">
        <v>5</v>
      </c>
      <c r="AE480" s="158" t="b">
        <f>IF(AB480="",TRUE,IF(IF(AC480="",VLOOKUP(AB480,Calculs!$A$19:$S$425,19,FALSE),VLOOKUP(AC480,Calculs!$A$19:$S$425,19,FALSE))&gt;=AD480,TRUE,FALSE))</f>
        <v>0</v>
      </c>
      <c r="AF480" s="159" t="s">
        <v>1273</v>
      </c>
      <c r="AH480" s="159">
        <v>5</v>
      </c>
      <c r="AI480" s="158" t="b">
        <f>IF(AF480="",TRUE,IF(IF(AG480="",VLOOKUP(AF480,Calculs!$A$19:$S$425,19,FALSE),VLOOKUP(AG480,Calculs!$A$19:$S$425,19,FALSE))&gt;=AH480,TRUE,FALSE))</f>
        <v>0</v>
      </c>
      <c r="AJ480" s="159" t="s">
        <v>1282</v>
      </c>
      <c r="AL480" s="159">
        <v>5</v>
      </c>
      <c r="AM480" s="158" t="b">
        <f>IF(AJ480="",TRUE,IF(IF(AK480="",VLOOKUP(AJ480,Calculs!$A$19:$S$425,19,FALSE),VLOOKUP(AK480,Calculs!$A$19:$S$425,19,FALSE))&gt;=AL480,TRUE,FALSE))</f>
        <v>0</v>
      </c>
      <c r="AQ480" s="158" t="b">
        <f>IF(AN480="",TRUE,IF(IF(AO480="",VLOOKUP(AN480,Calculs!$A$19:$S$425,19,FALSE),VLOOKUP(AO480,Calculs!$A$19:$S$425,19,FALSE))&gt;=AP480,TRUE,FALSE))</f>
        <v>1</v>
      </c>
      <c r="AR480" s="158"/>
      <c r="AS480" s="158" t="b">
        <f>IF(AR480="",TRUE,IF(VLOOKUP(AR480,Calculs!$A$427:$G$738,7,FALSE)&gt;0,TRUE,FALSE))</f>
        <v>1</v>
      </c>
      <c r="AT480" s="158"/>
      <c r="AU480" s="158" t="b">
        <f>IF(AT480="",TRUE,IF(VLOOKUP(AT480,Calculs!$A$740:$G$912,7,FALSE)&gt;0,TRUE,FALSE))</f>
        <v>1</v>
      </c>
      <c r="AV480" s="158" t="b">
        <f t="shared" si="53"/>
        <v>0</v>
      </c>
      <c r="AW480" s="159" t="s">
        <v>3001</v>
      </c>
      <c r="AX480" s="162" t="s">
        <v>2075</v>
      </c>
      <c r="AY480" s="15">
        <v>49</v>
      </c>
      <c r="AZ480" s="555" t="str">
        <f>CONCATENATE("Prenez 2A pour porter une attaque au CàC. Si cette attaque réussit, elle ne garde qu'un dé de dégâts et rend votre adversaire Aveugle, Sourd ou Muet pendant ",Eau," minutes")</f>
        <v>Prenez 2A pour porter une attaque au CàC. Si cette attaque réussit, elle ne garde qu'un dé de dégâts et rend votre adversaire Aveugle, Sourd ou Muet pendant 2 minutes</v>
      </c>
      <c r="BA480" s="559">
        <f>IF(Verso!$B$10=Voies!$B480,1,0)</f>
        <v>0</v>
      </c>
      <c r="BB480" s="12">
        <f>IF(Verso!$B$11=Voies!$B480,1,0)</f>
        <v>0</v>
      </c>
      <c r="BC480" s="12">
        <f>IF(Verso!$B$12=Voies!$B480,1,0)</f>
        <v>0</v>
      </c>
      <c r="BD480" s="12">
        <f>IF(Verso!$B$13=Voies!$B480,1,0)</f>
        <v>0</v>
      </c>
      <c r="BE480" s="12">
        <f>IF(Verso!$B$14=Voies!$B480,1,0)</f>
        <v>0</v>
      </c>
      <c r="BF480" s="12">
        <f>IF(Verso!$B$15=Voies!$B480,1,0)</f>
        <v>0</v>
      </c>
      <c r="BG480" s="12">
        <f>IF(Verso!$B$16=Voies!$B480,1,0)</f>
        <v>0</v>
      </c>
      <c r="BH480" s="12">
        <f>IF(Verso!$B$17=Voies!$B480,1,0)</f>
        <v>0</v>
      </c>
      <c r="BI480" s="557">
        <f t="shared" si="54"/>
        <v>0</v>
      </c>
      <c r="BJ480" s="196" t="str">
        <f t="shared" si="55"/>
        <v/>
      </c>
      <c r="BK480" s="196" t="str">
        <f t="shared" si="56"/>
        <v/>
      </c>
      <c r="BL480" s="295" t="str">
        <f t="shared" si="57"/>
        <v/>
      </c>
    </row>
    <row r="481" spans="1:64" ht="47.25" customHeight="1" x14ac:dyDescent="0.25">
      <c r="A481" s="162" t="str">
        <f>IF(AND(Réputation&gt;Voies!E481-1,OR(C481=TRUE,Calculs!$I$8&gt;0),Air&gt;Voies!J481-1,Eau&gt;Voies!K481-1,Feu&gt;Voies!L481-1,Terre&gt;Voies!M481-1,Vide&gt;Voies!N481-1,Constitution&gt;Voies!O481-1,Volonté&gt;Voies!P481-1,Force&gt;Voies!Q481-1,Perception&gt;Voies!R481-1,Reflexes&gt;Voies!S481-1,Agilité&gt;Voies!T481-1,Intuition&gt;Voies!U481-1,Intelligence&gt;Voies!V481-1,Souillure&gt;Voies!W481-1,Honneur&gt;X481-1,Statut&gt;Y481-1,Gloire&gt;Z481-1,AV481=TRUE),Voies!B481,"")</f>
        <v/>
      </c>
      <c r="B481" s="162" t="s">
        <v>2156</v>
      </c>
      <c r="C481" s="162" t="b">
        <f>IF(Clan=Voies!D481,TRUE,FALSE)</f>
        <v>0</v>
      </c>
      <c r="D481" s="388" t="s">
        <v>335</v>
      </c>
      <c r="E481" s="13">
        <v>1</v>
      </c>
      <c r="F481" s="199">
        <v>1</v>
      </c>
      <c r="G481" s="13" t="s">
        <v>2048</v>
      </c>
      <c r="H481" s="219" t="s">
        <v>416</v>
      </c>
      <c r="I481" s="129" t="str">
        <f>IF(B481="","","Rien")</f>
        <v>Rien</v>
      </c>
      <c r="J481" s="146">
        <v>0</v>
      </c>
      <c r="K481" s="147">
        <v>0</v>
      </c>
      <c r="L481" s="148">
        <v>0</v>
      </c>
      <c r="M481" s="149">
        <v>0</v>
      </c>
      <c r="N481" s="150">
        <v>0</v>
      </c>
      <c r="O481" s="130">
        <v>0</v>
      </c>
      <c r="P481" s="130">
        <v>0</v>
      </c>
      <c r="Q481" s="130">
        <v>0</v>
      </c>
      <c r="R481" s="130">
        <v>0</v>
      </c>
      <c r="S481" s="130">
        <v>0</v>
      </c>
      <c r="T481" s="130">
        <v>0</v>
      </c>
      <c r="U481" s="130">
        <v>0</v>
      </c>
      <c r="V481" s="524">
        <v>0</v>
      </c>
      <c r="W481" s="130">
        <v>0</v>
      </c>
      <c r="X481" s="130">
        <v>0</v>
      </c>
      <c r="Y481" s="130">
        <v>0</v>
      </c>
      <c r="Z481" s="130">
        <v>0</v>
      </c>
      <c r="AA481" s="158" t="s">
        <v>2078</v>
      </c>
      <c r="AB481" s="158"/>
      <c r="AC481" s="158"/>
      <c r="AD481" s="158"/>
      <c r="AE481" s="158" t="b">
        <f>IF(AB481="",TRUE,IF(IF(AC481="",VLOOKUP(AB481,Calculs!$A$19:$S$425,19,FALSE),VLOOKUP(AC481,Calculs!$A$19:$S$425,19,FALSE))&gt;=AD481,TRUE,FALSE))</f>
        <v>1</v>
      </c>
      <c r="AF481" s="158"/>
      <c r="AG481" s="158"/>
      <c r="AH481" s="158"/>
      <c r="AI481" s="158" t="b">
        <f>IF(AF481="",TRUE,IF(IF(AG481="",VLOOKUP(AF481,Calculs!$A$19:$S$425,19,FALSE),VLOOKUP(AG481,Calculs!$A$19:$S$425,19,FALSE))&gt;=AH481,TRUE,FALSE))</f>
        <v>1</v>
      </c>
      <c r="AJ481" s="158"/>
      <c r="AK481" s="158"/>
      <c r="AL481" s="158"/>
      <c r="AM481" s="158" t="b">
        <f>IF(AJ481="",TRUE,IF(IF(AK481="",VLOOKUP(AJ481,Calculs!$A$19:$S$425,19,FALSE),VLOOKUP(AK481,Calculs!$A$19:$S$425,19,FALSE))&gt;=AL481,TRUE,FALSE))</f>
        <v>1</v>
      </c>
      <c r="AN481" s="158"/>
      <c r="AO481" s="158"/>
      <c r="AP481" s="158"/>
      <c r="AQ481" s="158" t="b">
        <f>IF(AN481="",TRUE,IF(IF(AO481="",VLOOKUP(AN481,Calculs!$A$19:$S$425,19,FALSE),VLOOKUP(AO481,Calculs!$A$19:$S$425,19,FALSE))&gt;=AP481,TRUE,FALSE))</f>
        <v>1</v>
      </c>
      <c r="AR481" s="158"/>
      <c r="AS481" s="158" t="b">
        <f>IF(AR481="",TRUE,IF(VLOOKUP(AR481,Calculs!$A$427:$G$738,7,FALSE)&gt;0,TRUE,FALSE))</f>
        <v>1</v>
      </c>
      <c r="AT481" s="158"/>
      <c r="AU481" s="158" t="b">
        <f>IF(AT481="",TRUE,IF(VLOOKUP(AT481,Calculs!$A$740:$G$912,7,FALSE)&gt;0,TRUE,FALSE))</f>
        <v>1</v>
      </c>
      <c r="AV481" s="158" t="b">
        <f t="shared" si="53"/>
        <v>1</v>
      </c>
      <c r="AW481" s="158" t="s">
        <v>2078</v>
      </c>
      <c r="AX481" s="162" t="s">
        <v>3</v>
      </c>
      <c r="AY481" s="15">
        <v>219</v>
      </c>
      <c r="AZ481" s="555" t="s">
        <v>8413</v>
      </c>
      <c r="BA481" s="559">
        <f>IF(Verso!$B$10=Voies!$B481,1,0)</f>
        <v>0</v>
      </c>
      <c r="BB481" s="12">
        <f>IF(Verso!$B$11=Voies!$B481,1,0)</f>
        <v>0</v>
      </c>
      <c r="BC481" s="12">
        <f>IF(Verso!$B$12=Voies!$B481,1,0)</f>
        <v>0</v>
      </c>
      <c r="BD481" s="12">
        <f>IF(Verso!$B$13=Voies!$B481,1,0)</f>
        <v>0</v>
      </c>
      <c r="BE481" s="12">
        <f>IF(Verso!$B$14=Voies!$B481,1,0)</f>
        <v>0</v>
      </c>
      <c r="BF481" s="12">
        <f>IF(Verso!$B$15=Voies!$B481,1,0)</f>
        <v>0</v>
      </c>
      <c r="BG481" s="12">
        <f>IF(Verso!$B$16=Voies!$B481,1,0)</f>
        <v>0</v>
      </c>
      <c r="BH481" s="12">
        <f>IF(Verso!$B$17=Voies!$B481,1,0)</f>
        <v>0</v>
      </c>
      <c r="BI481" s="557">
        <f t="shared" si="54"/>
        <v>0</v>
      </c>
      <c r="BJ481" s="196" t="str">
        <f t="shared" si="55"/>
        <v/>
      </c>
      <c r="BK481" s="196" t="str">
        <f t="shared" si="56"/>
        <v/>
      </c>
      <c r="BL481" s="295" t="str">
        <f t="shared" si="57"/>
        <v/>
      </c>
    </row>
    <row r="482" spans="1:64" ht="47.25" customHeight="1" x14ac:dyDescent="0.25">
      <c r="A482" s="162" t="str">
        <f>IF(AND(Réputation&gt;Voies!E482-1,OR(C482=TRUE,Calculs!$I$8&gt;0),Air&gt;Voies!J482-1,Eau&gt;Voies!K482-1,Feu&gt;Voies!L482-1,Terre&gt;Voies!M482-1,Vide&gt;Voies!N482-1,Constitution&gt;Voies!O482-1,Volonté&gt;Voies!P482-1,Force&gt;Voies!Q482-1,Perception&gt;Voies!R482-1,Reflexes&gt;Voies!S482-1,Agilité&gt;Voies!T482-1,Intuition&gt;Voies!U482-1,Intelligence&gt;Voies!V482-1,Souillure&gt;Voies!W482-1,Honneur&gt;X482-1,Statut&gt;Y482-1,Gloire&gt;Z482-1,AV482=TRUE),Voies!B482,"")</f>
        <v/>
      </c>
      <c r="B482" s="162" t="s">
        <v>5895</v>
      </c>
      <c r="C482" s="162" t="b">
        <f>IF(Clan=Voies!D482,TRUE,FALSE)</f>
        <v>0</v>
      </c>
      <c r="D482" s="387" t="s">
        <v>335</v>
      </c>
      <c r="E482" s="13">
        <v>2</v>
      </c>
      <c r="F482" s="199">
        <v>2</v>
      </c>
      <c r="G482" s="13" t="s">
        <v>2048</v>
      </c>
      <c r="H482" s="162" t="s">
        <v>4773</v>
      </c>
      <c r="I482" s="129" t="s">
        <v>5893</v>
      </c>
      <c r="J482" s="146">
        <v>0</v>
      </c>
      <c r="K482" s="147">
        <v>0</v>
      </c>
      <c r="L482" s="148">
        <v>0</v>
      </c>
      <c r="M482" s="149">
        <v>0</v>
      </c>
      <c r="N482" s="150">
        <v>0</v>
      </c>
      <c r="O482" s="130">
        <v>0</v>
      </c>
      <c r="P482" s="130">
        <v>0</v>
      </c>
      <c r="Q482" s="130">
        <v>0</v>
      </c>
      <c r="R482" s="130">
        <v>0</v>
      </c>
      <c r="S482" s="130">
        <v>0</v>
      </c>
      <c r="T482" s="130">
        <v>0</v>
      </c>
      <c r="U482" s="130">
        <v>0</v>
      </c>
      <c r="V482" s="524">
        <v>0</v>
      </c>
      <c r="W482" s="130">
        <v>0</v>
      </c>
      <c r="X482" s="130">
        <v>0</v>
      </c>
      <c r="Y482" s="130">
        <v>0</v>
      </c>
      <c r="Z482" s="130">
        <v>0</v>
      </c>
      <c r="AA482" s="159" t="s">
        <v>5894</v>
      </c>
      <c r="AB482" s="159" t="s">
        <v>102</v>
      </c>
      <c r="AC482" s="159" t="s">
        <v>1297</v>
      </c>
      <c r="AD482" s="159">
        <v>4</v>
      </c>
      <c r="AE482" s="158" t="b">
        <f>IF(AB482="",TRUE,IF(IF(AC482="",VLOOKUP(AB482,Calculs!$A$19:$S$425,19,FALSE),VLOOKUP(AC482,Calculs!$A$19:$S$425,19,FALSE))&gt;=AD482,TRUE,FALSE))</f>
        <v>0</v>
      </c>
      <c r="AI482" s="158" t="b">
        <f>IF(AF482="",TRUE,IF(IF(AG482="",VLOOKUP(AF482,Calculs!$A$19:$S$425,19,FALSE),VLOOKUP(AG482,Calculs!$A$19:$S$425,19,FALSE))&gt;=AH482,TRUE,FALSE))</f>
        <v>1</v>
      </c>
      <c r="AM482" s="158" t="b">
        <f>IF(AJ482="",TRUE,IF(IF(AK482="",VLOOKUP(AJ482,Calculs!$A$19:$S$425,19,FALSE),VLOOKUP(AK482,Calculs!$A$19:$S$425,19,FALSE))&gt;=AL482,TRUE,FALSE))</f>
        <v>1</v>
      </c>
      <c r="AQ482" s="158" t="b">
        <f>IF(AN482="",TRUE,IF(IF(AO482="",VLOOKUP(AN482,Calculs!$A$19:$S$425,19,FALSE),VLOOKUP(AO482,Calculs!$A$19:$S$425,19,FALSE))&gt;=AP482,TRUE,FALSE))</f>
        <v>1</v>
      </c>
      <c r="AR482" s="158"/>
      <c r="AS482" s="158" t="b">
        <f>IF(AR482="",TRUE,IF(VLOOKUP(AR482,Calculs!$A$427:$G$738,7,FALSE)&gt;0,TRUE,FALSE))</f>
        <v>1</v>
      </c>
      <c r="AT482" s="158"/>
      <c r="AU482" s="158" t="b">
        <f>IF(AT482="",TRUE,IF(VLOOKUP(AT482,Calculs!$A$740:$G$912,7,FALSE)&gt;0,TRUE,FALSE))</f>
        <v>1</v>
      </c>
      <c r="AV482" s="158" t="b">
        <f t="shared" si="53"/>
        <v>0</v>
      </c>
      <c r="AW482" s="158" t="s">
        <v>2078</v>
      </c>
      <c r="AX482" s="162" t="s">
        <v>4403</v>
      </c>
      <c r="AY482" s="15">
        <v>179</v>
      </c>
      <c r="AZ482" s="555" t="str">
        <f>CONCATENATE("Au début de chaque journée, après 1h de méditation, Test de Divination de ND 15. En cas de succès, vous gagnez un dé +1g0 pour chaque A complète au résultat de votre jet avec pour maximum de ",Eau,". Répartissez ces dés sur les jets d'inacantation, jusqu'à la nuit tombée.")</f>
        <v>Au début de chaque journée, après 1h de méditation, Test de Divination de ND 15. En cas de succès, vous gagnez un dé +1g0 pour chaque A complète au résultat de votre jet avec pour maximum de 2. Répartissez ces dés sur les jets d'inacantation, jusqu'à la nuit tombée.</v>
      </c>
      <c r="BA482" s="559">
        <f>IF(Verso!$B$10=Voies!$B482,1,0)</f>
        <v>0</v>
      </c>
      <c r="BB482" s="12">
        <f>IF(Verso!$B$11=Voies!$B482,1,0)</f>
        <v>0</v>
      </c>
      <c r="BC482" s="12">
        <f>IF(Verso!$B$12=Voies!$B482,1,0)</f>
        <v>0</v>
      </c>
      <c r="BD482" s="12">
        <f>IF(Verso!$B$13=Voies!$B482,1,0)</f>
        <v>0</v>
      </c>
      <c r="BE482" s="12">
        <f>IF(Verso!$B$14=Voies!$B482,1,0)</f>
        <v>0</v>
      </c>
      <c r="BF482" s="12">
        <f>IF(Verso!$B$15=Voies!$B482,1,0)</f>
        <v>0</v>
      </c>
      <c r="BG482" s="12">
        <f>IF(Verso!$B$16=Voies!$B482,1,0)</f>
        <v>0</v>
      </c>
      <c r="BH482" s="12">
        <f>IF(Verso!$B$17=Voies!$B482,1,0)</f>
        <v>0</v>
      </c>
      <c r="BI482" s="557">
        <f t="shared" si="54"/>
        <v>0</v>
      </c>
      <c r="BJ482" s="196" t="str">
        <f t="shared" si="55"/>
        <v/>
      </c>
      <c r="BK482" s="196" t="str">
        <f t="shared" si="56"/>
        <v/>
      </c>
      <c r="BL482" s="295" t="str">
        <f t="shared" si="57"/>
        <v/>
      </c>
    </row>
    <row r="483" spans="1:64" ht="47.25" customHeight="1" x14ac:dyDescent="0.25">
      <c r="A483" s="162" t="str">
        <f>IF(AND(Réputation&gt;Voies!E483-1,OR(C483=TRUE,Calculs!$I$8&gt;0),Air&gt;Voies!J483-1,Eau&gt;Voies!K483-1,Feu&gt;Voies!L483-1,Terre&gt;Voies!M483-1,Vide&gt;Voies!N483-1,Constitution&gt;Voies!O483-1,Volonté&gt;Voies!P483-1,Force&gt;Voies!Q483-1,Perception&gt;Voies!R483-1,Reflexes&gt;Voies!S483-1,Agilité&gt;Voies!T483-1,Intuition&gt;Voies!U483-1,Intelligence&gt;Voies!V483-1,Souillure&gt;Voies!W483-1,Honneur&gt;X483-1,Statut&gt;Y483-1,Gloire&gt;Z483-1,AV483=TRUE),Voies!B483,"")</f>
        <v/>
      </c>
      <c r="B483" s="162" t="s">
        <v>3754</v>
      </c>
      <c r="C483" s="162" t="b">
        <f>IF(Clan=Voies!D483,TRUE,FALSE)</f>
        <v>0</v>
      </c>
      <c r="D483" s="388" t="s">
        <v>335</v>
      </c>
      <c r="E483" s="13">
        <v>3</v>
      </c>
      <c r="F483" s="199">
        <v>3</v>
      </c>
      <c r="G483" s="199" t="s">
        <v>2054</v>
      </c>
      <c r="H483" s="219" t="s">
        <v>543</v>
      </c>
      <c r="I483" s="129" t="s">
        <v>3755</v>
      </c>
      <c r="J483" s="146">
        <v>0</v>
      </c>
      <c r="K483" s="147">
        <v>0</v>
      </c>
      <c r="L483" s="148">
        <v>0</v>
      </c>
      <c r="M483" s="149">
        <v>0</v>
      </c>
      <c r="N483" s="150">
        <v>0</v>
      </c>
      <c r="O483" s="130">
        <v>0</v>
      </c>
      <c r="P483" s="130">
        <v>0</v>
      </c>
      <c r="Q483" s="130">
        <v>0</v>
      </c>
      <c r="R483" s="130">
        <v>0</v>
      </c>
      <c r="S483" s="130">
        <v>0</v>
      </c>
      <c r="T483" s="130">
        <v>0</v>
      </c>
      <c r="U483" s="130">
        <v>0</v>
      </c>
      <c r="V483" s="524">
        <v>3</v>
      </c>
      <c r="W483" s="130">
        <v>0</v>
      </c>
      <c r="X483" s="130">
        <v>0</v>
      </c>
      <c r="Y483" s="130">
        <v>0</v>
      </c>
      <c r="Z483" s="130">
        <v>0</v>
      </c>
      <c r="AA483" s="159" t="s">
        <v>3756</v>
      </c>
      <c r="AB483" s="159" t="s">
        <v>1265</v>
      </c>
      <c r="AD483" s="159">
        <v>5</v>
      </c>
      <c r="AE483" s="158" t="b">
        <f>IF(AB483="",TRUE,IF(IF(AC483="",VLOOKUP(AB483,Calculs!$A$19:$S$425,19,FALSE),VLOOKUP(AC483,Calculs!$A$19:$S$425,19,FALSE))&gt;=AD483,TRUE,FALSE))</f>
        <v>0</v>
      </c>
      <c r="AI483" s="158" t="b">
        <f>IF(AF483="",TRUE,IF(IF(AG483="",VLOOKUP(AF483,Calculs!$A$19:$S$425,19,FALSE),VLOOKUP(AG483,Calculs!$A$19:$S$425,19,FALSE))&gt;=AH483,TRUE,FALSE))</f>
        <v>1</v>
      </c>
      <c r="AM483" s="158" t="b">
        <f>IF(AJ483="",TRUE,IF(IF(AK483="",VLOOKUP(AJ483,Calculs!$A$19:$S$425,19,FALSE),VLOOKUP(AK483,Calculs!$A$19:$S$425,19,FALSE))&gt;=AL483,TRUE,FALSE))</f>
        <v>1</v>
      </c>
      <c r="AQ483" s="158" t="b">
        <f>IF(AN483="",TRUE,IF(IF(AO483="",VLOOKUP(AN483,Calculs!$A$19:$S$425,19,FALSE),VLOOKUP(AO483,Calculs!$A$19:$S$425,19,FALSE))&gt;=AP483,TRUE,FALSE))</f>
        <v>1</v>
      </c>
      <c r="AR483" s="158"/>
      <c r="AS483" s="158" t="b">
        <f>IF(AR483="",TRUE,IF(VLOOKUP(AR483,Calculs!$A$427:$G$738,7,FALSE)&gt;0,TRUE,FALSE))</f>
        <v>1</v>
      </c>
      <c r="AT483" s="158"/>
      <c r="AU483" s="158" t="b">
        <f>IF(AT483="",TRUE,IF(VLOOKUP(AT483,Calculs!$A$740:$G$912,7,FALSE)&gt;0,TRUE,FALSE))</f>
        <v>1</v>
      </c>
      <c r="AV483" s="158" t="b">
        <f t="shared" si="53"/>
        <v>0</v>
      </c>
      <c r="AW483" s="158" t="s">
        <v>2078</v>
      </c>
      <c r="AX483" s="162" t="s">
        <v>2080</v>
      </c>
      <c r="AY483" s="15">
        <v>237</v>
      </c>
      <c r="AZ483" s="566" t="s">
        <v>3757</v>
      </c>
      <c r="BA483" s="559">
        <f>IF(Verso!$B$10=Voies!$B483,1,0)</f>
        <v>0</v>
      </c>
      <c r="BB483" s="12">
        <f>IF(Verso!$B$11=Voies!$B483,1,0)</f>
        <v>0</v>
      </c>
      <c r="BC483" s="12">
        <f>IF(Verso!$B$12=Voies!$B483,1,0)</f>
        <v>0</v>
      </c>
      <c r="BD483" s="12">
        <f>IF(Verso!$B$13=Voies!$B483,1,0)</f>
        <v>0</v>
      </c>
      <c r="BE483" s="12">
        <f>IF(Verso!$B$14=Voies!$B483,1,0)</f>
        <v>0</v>
      </c>
      <c r="BF483" s="12">
        <f>IF(Verso!$B$15=Voies!$B483,1,0)</f>
        <v>0</v>
      </c>
      <c r="BG483" s="12">
        <f>IF(Verso!$B$16=Voies!$B483,1,0)</f>
        <v>0</v>
      </c>
      <c r="BH483" s="12">
        <f>IF(Verso!$B$17=Voies!$B483,1,0)</f>
        <v>0</v>
      </c>
      <c r="BI483" s="557">
        <f t="shared" si="54"/>
        <v>0</v>
      </c>
      <c r="BJ483" s="196" t="str">
        <f t="shared" si="55"/>
        <v/>
      </c>
      <c r="BK483" s="196" t="str">
        <f t="shared" si="56"/>
        <v/>
      </c>
      <c r="BL483" s="295" t="str">
        <f t="shared" si="57"/>
        <v/>
      </c>
    </row>
    <row r="484" spans="1:64" ht="47.25" customHeight="1" x14ac:dyDescent="0.25">
      <c r="A484" s="162" t="str">
        <f>IF(AND(Réputation&gt;Voies!E484-1,OR(C484=TRUE,Calculs!$I$8&gt;0),Air&gt;Voies!J484-1,Eau&gt;Voies!K484-1,Feu&gt;Voies!L484-1,Terre&gt;Voies!M484-1,Vide&gt;Voies!N484-1,Constitution&gt;Voies!O484-1,Volonté&gt;Voies!P484-1,Force&gt;Voies!Q484-1,Perception&gt;Voies!R484-1,Reflexes&gt;Voies!S484-1,Agilité&gt;Voies!T484-1,Intuition&gt;Voies!U484-1,Intelligence&gt;Voies!V484-1,Souillure&gt;Voies!W484-1,Honneur&gt;X484-1,Statut&gt;Y484-1,Gloire&gt;Z484-1,AV484=TRUE),Voies!B484,"")</f>
        <v/>
      </c>
      <c r="B484" s="162" t="s">
        <v>2575</v>
      </c>
      <c r="C484" s="162" t="b">
        <f>IF(Clan=Voies!D484,TRUE,FALSE)</f>
        <v>0</v>
      </c>
      <c r="D484" s="387" t="s">
        <v>179</v>
      </c>
      <c r="E484" s="13">
        <v>0</v>
      </c>
      <c r="F484" s="199">
        <v>0</v>
      </c>
      <c r="G484" s="13" t="s">
        <v>2049</v>
      </c>
      <c r="H484" s="219" t="s">
        <v>589</v>
      </c>
      <c r="I484" s="129" t="str">
        <f t="shared" ref="I484:I490" si="58">IF(B484="","","Rien")</f>
        <v>Rien</v>
      </c>
      <c r="J484" s="146">
        <v>0</v>
      </c>
      <c r="K484" s="147">
        <v>0</v>
      </c>
      <c r="L484" s="148">
        <v>0</v>
      </c>
      <c r="M484" s="149">
        <v>5</v>
      </c>
      <c r="N484" s="150">
        <v>0</v>
      </c>
      <c r="O484" s="130">
        <v>0</v>
      </c>
      <c r="P484" s="130">
        <v>0</v>
      </c>
      <c r="Q484" s="130">
        <v>4</v>
      </c>
      <c r="R484" s="130">
        <v>0</v>
      </c>
      <c r="S484" s="130">
        <v>0</v>
      </c>
      <c r="T484" s="130">
        <v>5</v>
      </c>
      <c r="U484" s="130">
        <v>0</v>
      </c>
      <c r="V484" s="524">
        <v>0</v>
      </c>
      <c r="W484" s="130">
        <v>0</v>
      </c>
      <c r="X484" s="130">
        <v>0</v>
      </c>
      <c r="Y484" s="130">
        <v>0</v>
      </c>
      <c r="Z484" s="130">
        <v>0</v>
      </c>
      <c r="AA484" s="159" t="s">
        <v>6341</v>
      </c>
      <c r="AB484" s="159" t="s">
        <v>1268</v>
      </c>
      <c r="AD484" s="159">
        <v>5</v>
      </c>
      <c r="AE484" s="158" t="b">
        <f>IF(AB484="",TRUE,IF(IF(AC484="",VLOOKUP(AB484,Calculs!$A$19:$S$425,19,FALSE),VLOOKUP(AC484,Calculs!$A$19:$S$425,19,FALSE))&gt;=AD484,TRUE,FALSE))</f>
        <v>0</v>
      </c>
      <c r="AF484" s="159" t="s">
        <v>3325</v>
      </c>
      <c r="AG484" s="159" t="s">
        <v>3214</v>
      </c>
      <c r="AH484" s="159">
        <v>5</v>
      </c>
      <c r="AI484" s="158" t="b">
        <f>IF(AF484="",TRUE,IF(IF(AG484="",VLOOKUP(AF484,Calculs!$A$19:$S$425,19,FALSE),VLOOKUP(AG484,Calculs!$A$19:$S$425,19,FALSE))&gt;=AH484,TRUE,FALSE))</f>
        <v>0</v>
      </c>
      <c r="AM484" s="158" t="b">
        <f>IF(AJ484="",TRUE,IF(IF(AK484="",VLOOKUP(AJ484,Calculs!$A$19:$S$425,19,FALSE),VLOOKUP(AK484,Calculs!$A$19:$S$425,19,FALSE))&gt;=AL484,TRUE,FALSE))</f>
        <v>1</v>
      </c>
      <c r="AQ484" s="158" t="b">
        <f>IF(AN484="",TRUE,IF(IF(AO484="",VLOOKUP(AN484,Calculs!$A$19:$S$425,19,FALSE),VLOOKUP(AO484,Calculs!$A$19:$S$425,19,FALSE))&gt;=AP484,TRUE,FALSE))</f>
        <v>1</v>
      </c>
      <c r="AR484" s="158"/>
      <c r="AS484" s="158" t="b">
        <f>IF(AR484="",TRUE,IF(VLOOKUP(AR484,Calculs!$A$427:$G$738,7,FALSE)&gt;0,TRUE,FALSE))</f>
        <v>1</v>
      </c>
      <c r="AT484" s="158"/>
      <c r="AU484" s="158" t="b">
        <f>IF(AT484="",TRUE,IF(VLOOKUP(AT484,Calculs!$A$740:$G$912,7,FALSE)&gt;0,TRUE,FALSE))</f>
        <v>1</v>
      </c>
      <c r="AV484" s="158" t="b">
        <f t="shared" si="53"/>
        <v>0</v>
      </c>
      <c r="AW484" s="159" t="s">
        <v>2597</v>
      </c>
      <c r="AX484" s="162" t="s">
        <v>3</v>
      </c>
      <c r="AY484" s="15">
        <v>248</v>
      </c>
      <c r="AZ484" s="555" t="s">
        <v>8584</v>
      </c>
      <c r="BA484" s="559">
        <f>IF(Verso!$B$10=Voies!$B484,1,0)</f>
        <v>0</v>
      </c>
      <c r="BB484" s="12">
        <f>IF(Verso!$B$11=Voies!$B484,1,0)</f>
        <v>0</v>
      </c>
      <c r="BC484" s="12">
        <f>IF(Verso!$B$12=Voies!$B484,1,0)</f>
        <v>0</v>
      </c>
      <c r="BD484" s="12">
        <f>IF(Verso!$B$13=Voies!$B484,1,0)</f>
        <v>0</v>
      </c>
      <c r="BE484" s="12">
        <f>IF(Verso!$B$14=Voies!$B484,1,0)</f>
        <v>0</v>
      </c>
      <c r="BF484" s="12">
        <f>IF(Verso!$B$15=Voies!$B484,1,0)</f>
        <v>0</v>
      </c>
      <c r="BG484" s="12">
        <f>IF(Verso!$B$16=Voies!$B484,1,0)</f>
        <v>0</v>
      </c>
      <c r="BH484" s="12">
        <f>IF(Verso!$B$17=Voies!$B484,1,0)</f>
        <v>0</v>
      </c>
      <c r="BI484" s="557">
        <f t="shared" si="54"/>
        <v>0</v>
      </c>
      <c r="BJ484" s="196" t="str">
        <f t="shared" si="55"/>
        <v/>
      </c>
      <c r="BK484" s="196" t="str">
        <f t="shared" si="56"/>
        <v/>
      </c>
      <c r="BL484" s="295" t="str">
        <f t="shared" si="57"/>
        <v/>
      </c>
    </row>
    <row r="485" spans="1:64" ht="47.25" customHeight="1" x14ac:dyDescent="0.25">
      <c r="A485" s="162" t="str">
        <f>IF(AND(Réputation&gt;Voies!E485-1,OR(C485=TRUE,Calculs!$I$8&gt;0),Air&gt;Voies!J485-1,Eau&gt;Voies!K485-1,Feu&gt;Voies!L485-1,Terre&gt;Voies!M485-1,Vide&gt;Voies!N485-1,Constitution&gt;Voies!O485-1,Volonté&gt;Voies!P485-1,Force&gt;Voies!Q485-1,Perception&gt;Voies!R485-1,Reflexes&gt;Voies!S485-1,Agilité&gt;Voies!T485-1,Intuition&gt;Voies!U485-1,Intelligence&gt;Voies!V485-1,Souillure&gt;Voies!W485-1,Honneur&gt;X485-1,Statut&gt;Y485-1,Gloire&gt;Z485-1,AV485=TRUE),Voies!B485,"")</f>
        <v/>
      </c>
      <c r="B485" s="162" t="s">
        <v>2576</v>
      </c>
      <c r="C485" s="162" t="b">
        <f>IF(Clan=Voies!D485,TRUE,FALSE)</f>
        <v>0</v>
      </c>
      <c r="D485" s="387" t="s">
        <v>179</v>
      </c>
      <c r="E485" s="13">
        <v>0</v>
      </c>
      <c r="F485" s="199">
        <v>0</v>
      </c>
      <c r="G485" s="13" t="s">
        <v>2049</v>
      </c>
      <c r="H485" s="219" t="s">
        <v>589</v>
      </c>
      <c r="I485" s="129" t="str">
        <f t="shared" si="58"/>
        <v>Rien</v>
      </c>
      <c r="J485" s="146">
        <v>0</v>
      </c>
      <c r="K485" s="147">
        <v>0</v>
      </c>
      <c r="L485" s="148">
        <v>0</v>
      </c>
      <c r="M485" s="149">
        <v>5</v>
      </c>
      <c r="N485" s="150">
        <v>0</v>
      </c>
      <c r="O485" s="130">
        <v>0</v>
      </c>
      <c r="P485" s="130">
        <v>0</v>
      </c>
      <c r="Q485" s="130">
        <v>4</v>
      </c>
      <c r="R485" s="130">
        <v>0</v>
      </c>
      <c r="S485" s="130">
        <v>0</v>
      </c>
      <c r="T485" s="130">
        <v>5</v>
      </c>
      <c r="U485" s="130">
        <v>0</v>
      </c>
      <c r="V485" s="524">
        <v>0</v>
      </c>
      <c r="W485" s="130">
        <v>0</v>
      </c>
      <c r="X485" s="130">
        <v>0</v>
      </c>
      <c r="Y485" s="130">
        <v>0</v>
      </c>
      <c r="Z485" s="130">
        <v>0</v>
      </c>
      <c r="AA485" s="159" t="s">
        <v>6341</v>
      </c>
      <c r="AB485" s="159" t="s">
        <v>1268</v>
      </c>
      <c r="AD485" s="159">
        <v>5</v>
      </c>
      <c r="AE485" s="158" t="b">
        <f>IF(AB485="",TRUE,IF(IF(AC485="",VLOOKUP(AB485,Calculs!$A$19:$S$425,19,FALSE),VLOOKUP(AC485,Calculs!$A$19:$S$425,19,FALSE))&gt;=AD485,TRUE,FALSE))</f>
        <v>0</v>
      </c>
      <c r="AF485" s="159" t="s">
        <v>3325</v>
      </c>
      <c r="AG485" s="159" t="s">
        <v>3214</v>
      </c>
      <c r="AH485" s="159">
        <v>5</v>
      </c>
      <c r="AI485" s="158" t="b">
        <f>IF(AF485="",TRUE,IF(IF(AG485="",VLOOKUP(AF485,Calculs!$A$19:$S$425,19,FALSE),VLOOKUP(AG485,Calculs!$A$19:$S$425,19,FALSE))&gt;=AH485,TRUE,FALSE))</f>
        <v>0</v>
      </c>
      <c r="AM485" s="158" t="b">
        <f>IF(AJ485="",TRUE,IF(IF(AK485="",VLOOKUP(AJ485,Calculs!$A$19:$S$425,19,FALSE),VLOOKUP(AK485,Calculs!$A$19:$S$425,19,FALSE))&gt;=AL485,TRUE,FALSE))</f>
        <v>1</v>
      </c>
      <c r="AQ485" s="158" t="b">
        <f>IF(AN485="",TRUE,IF(IF(AO485="",VLOOKUP(AN485,Calculs!$A$19:$S$425,19,FALSE),VLOOKUP(AO485,Calculs!$A$19:$S$425,19,FALSE))&gt;=AP485,TRUE,FALSE))</f>
        <v>1</v>
      </c>
      <c r="AR485" s="158"/>
      <c r="AS485" s="158" t="b">
        <f>IF(AR485="",TRUE,IF(VLOOKUP(AR485,Calculs!$A$427:$G$738,7,FALSE)&gt;0,TRUE,FALSE))</f>
        <v>1</v>
      </c>
      <c r="AT485" s="158"/>
      <c r="AU485" s="158" t="b">
        <f>IF(AT485="",TRUE,IF(VLOOKUP(AT485,Calculs!$A$740:$G$912,7,FALSE)&gt;0,TRUE,FALSE))</f>
        <v>1</v>
      </c>
      <c r="AV485" s="158" t="b">
        <f t="shared" si="53"/>
        <v>0</v>
      </c>
      <c r="AW485" s="159" t="s">
        <v>2597</v>
      </c>
      <c r="AX485" s="162" t="s">
        <v>3</v>
      </c>
      <c r="AY485" s="15">
        <v>248</v>
      </c>
      <c r="AZ485" s="555" t="s">
        <v>2653</v>
      </c>
      <c r="BA485" s="559">
        <f>IF(Verso!$B$10=Voies!$B485,1,0)</f>
        <v>0</v>
      </c>
      <c r="BB485" s="12">
        <f>IF(Verso!$B$11=Voies!$B485,1,0)</f>
        <v>0</v>
      </c>
      <c r="BC485" s="12">
        <f>IF(Verso!$B$12=Voies!$B485,1,0)</f>
        <v>0</v>
      </c>
      <c r="BD485" s="12">
        <f>IF(Verso!$B$13=Voies!$B485,1,0)</f>
        <v>0</v>
      </c>
      <c r="BE485" s="12">
        <f>IF(Verso!$B$14=Voies!$B485,1,0)</f>
        <v>0</v>
      </c>
      <c r="BF485" s="12">
        <f>IF(Verso!$B$15=Voies!$B485,1,0)</f>
        <v>0</v>
      </c>
      <c r="BG485" s="12">
        <f>IF(Verso!$B$16=Voies!$B485,1,0)</f>
        <v>0</v>
      </c>
      <c r="BH485" s="12">
        <f>IF(Verso!$B$17=Voies!$B485,1,0)</f>
        <v>0</v>
      </c>
      <c r="BI485" s="557">
        <f t="shared" si="54"/>
        <v>0</v>
      </c>
      <c r="BJ485" s="196" t="str">
        <f t="shared" si="55"/>
        <v/>
      </c>
      <c r="BK485" s="196" t="str">
        <f t="shared" si="56"/>
        <v/>
      </c>
      <c r="BL485" s="295" t="str">
        <f t="shared" si="57"/>
        <v/>
      </c>
    </row>
    <row r="486" spans="1:64" ht="47.25" customHeight="1" x14ac:dyDescent="0.25">
      <c r="A486" s="162" t="str">
        <f>IF(AND(Réputation&gt;Voies!E486-1,OR(C486=TRUE,Calculs!$I$8&gt;0),Air&gt;Voies!J486-1,Eau&gt;Voies!K486-1,Feu&gt;Voies!L486-1,Terre&gt;Voies!M486-1,Vide&gt;Voies!N486-1,Constitution&gt;Voies!O486-1,Volonté&gt;Voies!P486-1,Force&gt;Voies!Q486-1,Perception&gt;Voies!R486-1,Reflexes&gt;Voies!S486-1,Agilité&gt;Voies!T486-1,Intuition&gt;Voies!U486-1,Intelligence&gt;Voies!V486-1,Souillure&gt;Voies!W486-1,Honneur&gt;X486-1,Statut&gt;Y486-1,Gloire&gt;Z486-1,AV486=TRUE),Voies!B486,"")</f>
        <v/>
      </c>
      <c r="B486" s="162" t="s">
        <v>2577</v>
      </c>
      <c r="C486" s="162" t="b">
        <f>IF(Clan=Voies!D486,TRUE,FALSE)</f>
        <v>0</v>
      </c>
      <c r="D486" s="387" t="s">
        <v>179</v>
      </c>
      <c r="E486" s="13">
        <v>0</v>
      </c>
      <c r="F486" s="199">
        <v>0</v>
      </c>
      <c r="G486" s="13" t="s">
        <v>2049</v>
      </c>
      <c r="H486" s="219" t="s">
        <v>589</v>
      </c>
      <c r="I486" s="129" t="str">
        <f t="shared" si="58"/>
        <v>Rien</v>
      </c>
      <c r="J486" s="146">
        <v>0</v>
      </c>
      <c r="K486" s="147">
        <v>0</v>
      </c>
      <c r="L486" s="148">
        <v>0</v>
      </c>
      <c r="M486" s="149">
        <v>5</v>
      </c>
      <c r="N486" s="150">
        <v>0</v>
      </c>
      <c r="O486" s="130">
        <v>0</v>
      </c>
      <c r="P486" s="130">
        <v>0</v>
      </c>
      <c r="Q486" s="130">
        <v>4</v>
      </c>
      <c r="R486" s="130">
        <v>0</v>
      </c>
      <c r="S486" s="130">
        <v>0</v>
      </c>
      <c r="T486" s="130">
        <v>5</v>
      </c>
      <c r="U486" s="130">
        <v>0</v>
      </c>
      <c r="V486" s="524">
        <v>0</v>
      </c>
      <c r="W486" s="130">
        <v>0</v>
      </c>
      <c r="X486" s="130">
        <v>0</v>
      </c>
      <c r="Y486" s="130">
        <v>0</v>
      </c>
      <c r="Z486" s="130">
        <v>0</v>
      </c>
      <c r="AA486" s="159" t="s">
        <v>6341</v>
      </c>
      <c r="AB486" s="159" t="s">
        <v>1268</v>
      </c>
      <c r="AD486" s="159">
        <v>5</v>
      </c>
      <c r="AE486" s="158" t="b">
        <f>IF(AB486="",TRUE,IF(IF(AC486="",VLOOKUP(AB486,Calculs!$A$19:$S$425,19,FALSE),VLOOKUP(AC486,Calculs!$A$19:$S$425,19,FALSE))&gt;=AD486,TRUE,FALSE))</f>
        <v>0</v>
      </c>
      <c r="AF486" s="159" t="s">
        <v>3325</v>
      </c>
      <c r="AG486" s="159" t="s">
        <v>3214</v>
      </c>
      <c r="AH486" s="159">
        <v>5</v>
      </c>
      <c r="AI486" s="158" t="b">
        <f>IF(AF486="",TRUE,IF(IF(AG486="",VLOOKUP(AF486,Calculs!$A$19:$S$425,19,FALSE),VLOOKUP(AG486,Calculs!$A$19:$S$425,19,FALSE))&gt;=AH486,TRUE,FALSE))</f>
        <v>0</v>
      </c>
      <c r="AM486" s="158" t="b">
        <f>IF(AJ486="",TRUE,IF(IF(AK486="",VLOOKUP(AJ486,Calculs!$A$19:$S$425,19,FALSE),VLOOKUP(AK486,Calculs!$A$19:$S$425,19,FALSE))&gt;=AL486,TRUE,FALSE))</f>
        <v>1</v>
      </c>
      <c r="AQ486" s="158" t="b">
        <f>IF(AN486="",TRUE,IF(IF(AO486="",VLOOKUP(AN486,Calculs!$A$19:$S$425,19,FALSE),VLOOKUP(AO486,Calculs!$A$19:$S$425,19,FALSE))&gt;=AP486,TRUE,FALSE))</f>
        <v>1</v>
      </c>
      <c r="AR486" s="158"/>
      <c r="AS486" s="158" t="b">
        <f>IF(AR486="",TRUE,IF(VLOOKUP(AR486,Calculs!$A$427:$G$738,7,FALSE)&gt;0,TRUE,FALSE))</f>
        <v>1</v>
      </c>
      <c r="AT486" s="158"/>
      <c r="AU486" s="158" t="b">
        <f>IF(AT486="",TRUE,IF(VLOOKUP(AT486,Calculs!$A$740:$G$912,7,FALSE)&gt;0,TRUE,FALSE))</f>
        <v>1</v>
      </c>
      <c r="AV486" s="158" t="b">
        <f t="shared" si="53"/>
        <v>0</v>
      </c>
      <c r="AW486" s="159" t="s">
        <v>2597</v>
      </c>
      <c r="AX486" s="162" t="s">
        <v>3</v>
      </c>
      <c r="AY486" s="15">
        <v>248</v>
      </c>
      <c r="AZ486" s="555" t="s">
        <v>2599</v>
      </c>
      <c r="BA486" s="559">
        <f>IF(Verso!$B$10=Voies!$B486,1,0)</f>
        <v>0</v>
      </c>
      <c r="BB486" s="12">
        <f>IF(Verso!$B$11=Voies!$B486,1,0)</f>
        <v>0</v>
      </c>
      <c r="BC486" s="12">
        <f>IF(Verso!$B$12=Voies!$B486,1,0)</f>
        <v>0</v>
      </c>
      <c r="BD486" s="12">
        <f>IF(Verso!$B$13=Voies!$B486,1,0)</f>
        <v>0</v>
      </c>
      <c r="BE486" s="12">
        <f>IF(Verso!$B$14=Voies!$B486,1,0)</f>
        <v>0</v>
      </c>
      <c r="BF486" s="12">
        <f>IF(Verso!$B$15=Voies!$B486,1,0)</f>
        <v>0</v>
      </c>
      <c r="BG486" s="12">
        <f>IF(Verso!$B$16=Voies!$B486,1,0)</f>
        <v>0</v>
      </c>
      <c r="BH486" s="12">
        <f>IF(Verso!$B$17=Voies!$B486,1,0)</f>
        <v>0</v>
      </c>
      <c r="BI486" s="557">
        <f t="shared" si="54"/>
        <v>0</v>
      </c>
      <c r="BJ486" s="196" t="str">
        <f t="shared" si="55"/>
        <v/>
      </c>
      <c r="BK486" s="196" t="str">
        <f t="shared" si="56"/>
        <v/>
      </c>
      <c r="BL486" s="295" t="str">
        <f t="shared" si="57"/>
        <v/>
      </c>
    </row>
    <row r="487" spans="1:64" ht="47.25" customHeight="1" x14ac:dyDescent="0.25">
      <c r="A487" s="162" t="str">
        <f>IF(AND(Réputation&gt;Voies!E487-1,OR(C487=TRUE,Calculs!$I$8&gt;0),Air&gt;Voies!J487-1,Eau&gt;Voies!K487-1,Feu&gt;Voies!L487-1,Terre&gt;Voies!M487-1,Vide&gt;Voies!N487-1,Constitution&gt;Voies!O487-1,Volonté&gt;Voies!P487-1,Force&gt;Voies!Q487-1,Perception&gt;Voies!R487-1,Reflexes&gt;Voies!S487-1,Agilité&gt;Voies!T487-1,Intuition&gt;Voies!U487-1,Intelligence&gt;Voies!V487-1,Souillure&gt;Voies!W487-1,Honneur&gt;X487-1,Statut&gt;Y487-1,Gloire&gt;Z487-1,AV487=TRUE),Voies!B487,"")</f>
        <v/>
      </c>
      <c r="B487" s="162" t="s">
        <v>2379</v>
      </c>
      <c r="C487" s="162" t="b">
        <f>IF(Clan=Voies!D487,TRUE,FALSE)</f>
        <v>0</v>
      </c>
      <c r="D487" s="387" t="s">
        <v>179</v>
      </c>
      <c r="E487" s="13">
        <v>1</v>
      </c>
      <c r="F487" s="199">
        <v>1</v>
      </c>
      <c r="G487" s="13" t="s">
        <v>2049</v>
      </c>
      <c r="H487" s="219" t="s">
        <v>242</v>
      </c>
      <c r="I487" s="129" t="str">
        <f t="shared" si="58"/>
        <v>Rien</v>
      </c>
      <c r="J487" s="146">
        <v>0</v>
      </c>
      <c r="K487" s="147">
        <v>0</v>
      </c>
      <c r="L487" s="148">
        <v>0</v>
      </c>
      <c r="M487" s="149">
        <v>0</v>
      </c>
      <c r="N487" s="150">
        <v>0</v>
      </c>
      <c r="O487" s="130">
        <v>0</v>
      </c>
      <c r="P487" s="130">
        <v>0</v>
      </c>
      <c r="Q487" s="130">
        <v>0</v>
      </c>
      <c r="R487" s="130">
        <v>0</v>
      </c>
      <c r="S487" s="130">
        <v>0</v>
      </c>
      <c r="T487" s="130">
        <v>0</v>
      </c>
      <c r="U487" s="130">
        <v>0</v>
      </c>
      <c r="V487" s="524">
        <v>0</v>
      </c>
      <c r="W487" s="130">
        <v>0</v>
      </c>
      <c r="X487" s="130">
        <v>0</v>
      </c>
      <c r="Y487" s="130">
        <v>0</v>
      </c>
      <c r="Z487" s="130">
        <v>0</v>
      </c>
      <c r="AA487" s="158" t="s">
        <v>2078</v>
      </c>
      <c r="AB487" s="158"/>
      <c r="AC487" s="158"/>
      <c r="AD487" s="158"/>
      <c r="AE487" s="158" t="b">
        <f>IF(AB487="",TRUE,IF(IF(AC487="",VLOOKUP(AB487,Calculs!$A$19:$S$425,19,FALSE),VLOOKUP(AC487,Calculs!$A$19:$S$425,19,FALSE))&gt;=AD487,TRUE,FALSE))</f>
        <v>1</v>
      </c>
      <c r="AF487" s="158"/>
      <c r="AG487" s="158"/>
      <c r="AH487" s="158"/>
      <c r="AI487" s="158" t="b">
        <f>IF(AF487="",TRUE,IF(IF(AG487="",VLOOKUP(AF487,Calculs!$A$19:$S$425,19,FALSE),VLOOKUP(AG487,Calculs!$A$19:$S$425,19,FALSE))&gt;=AH487,TRUE,FALSE))</f>
        <v>1</v>
      </c>
      <c r="AJ487" s="158"/>
      <c r="AK487" s="158"/>
      <c r="AL487" s="158"/>
      <c r="AM487" s="158" t="b">
        <f>IF(AJ487="",TRUE,IF(IF(AK487="",VLOOKUP(AJ487,Calculs!$A$19:$S$425,19,FALSE),VLOOKUP(AK487,Calculs!$A$19:$S$425,19,FALSE))&gt;=AL487,TRUE,FALSE))</f>
        <v>1</v>
      </c>
      <c r="AN487" s="158"/>
      <c r="AO487" s="158"/>
      <c r="AP487" s="158"/>
      <c r="AQ487" s="158" t="b">
        <f>IF(AN487="",TRUE,IF(IF(AO487="",VLOOKUP(AN487,Calculs!$A$19:$S$425,19,FALSE),VLOOKUP(AO487,Calculs!$A$19:$S$425,19,FALSE))&gt;=AP487,TRUE,FALSE))</f>
        <v>1</v>
      </c>
      <c r="AR487" s="158"/>
      <c r="AS487" s="158" t="b">
        <f>IF(AR487="",TRUE,IF(VLOOKUP(AR487,Calculs!$A$427:$G$738,7,FALSE)&gt;0,TRUE,FALSE))</f>
        <v>1</v>
      </c>
      <c r="AT487" s="158"/>
      <c r="AU487" s="158" t="b">
        <f>IF(AT487="",TRUE,IF(VLOOKUP(AT487,Calculs!$A$740:$G$912,7,FALSE)&gt;0,TRUE,FALSE))</f>
        <v>1</v>
      </c>
      <c r="AV487" s="158" t="b">
        <f t="shared" si="53"/>
        <v>1</v>
      </c>
      <c r="AW487" s="158" t="s">
        <v>2078</v>
      </c>
      <c r="AX487" s="162" t="s">
        <v>143</v>
      </c>
      <c r="AY487" s="15">
        <v>116</v>
      </c>
      <c r="AZ487" s="555" t="s">
        <v>2384</v>
      </c>
      <c r="BA487" s="559">
        <f>IF(Verso!$B$10=Voies!$B487,1,0)</f>
        <v>0</v>
      </c>
      <c r="BB487" s="12">
        <f>IF(Verso!$B$11=Voies!$B487,1,0)</f>
        <v>0</v>
      </c>
      <c r="BC487" s="12">
        <f>IF(Verso!$B$12=Voies!$B487,1,0)</f>
        <v>0</v>
      </c>
      <c r="BD487" s="12">
        <f>IF(Verso!$B$13=Voies!$B487,1,0)</f>
        <v>0</v>
      </c>
      <c r="BE487" s="12">
        <f>IF(Verso!$B$14=Voies!$B487,1,0)</f>
        <v>0</v>
      </c>
      <c r="BF487" s="12">
        <f>IF(Verso!$B$15=Voies!$B487,1,0)</f>
        <v>0</v>
      </c>
      <c r="BG487" s="12">
        <f>IF(Verso!$B$16=Voies!$B487,1,0)</f>
        <v>0</v>
      </c>
      <c r="BH487" s="12">
        <f>IF(Verso!$B$17=Voies!$B487,1,0)</f>
        <v>0</v>
      </c>
      <c r="BI487" s="557">
        <f t="shared" si="54"/>
        <v>0</v>
      </c>
      <c r="BJ487" s="196" t="str">
        <f t="shared" si="55"/>
        <v/>
      </c>
      <c r="BK487" s="196" t="str">
        <f t="shared" si="56"/>
        <v/>
      </c>
      <c r="BL487" s="295" t="str">
        <f t="shared" si="57"/>
        <v/>
      </c>
    </row>
    <row r="488" spans="1:64" ht="47.25" customHeight="1" x14ac:dyDescent="0.25">
      <c r="A488" s="162" t="str">
        <f>IF(AND(Réputation&gt;Voies!E488-1,OR(C488=TRUE,Calculs!$I$8&gt;0),Air&gt;Voies!J488-1,Eau&gt;Voies!K488-1,Feu&gt;Voies!L488-1,Terre&gt;Voies!M488-1,Vide&gt;Voies!N488-1,Constitution&gt;Voies!O488-1,Volonté&gt;Voies!P488-1,Force&gt;Voies!Q488-1,Perception&gt;Voies!R488-1,Reflexes&gt;Voies!S488-1,Agilité&gt;Voies!T488-1,Intuition&gt;Voies!U488-1,Intelligence&gt;Voies!V488-1,Souillure&gt;Voies!W488-1,Honneur&gt;X488-1,Statut&gt;Y488-1,Gloire&gt;Z488-1,AV488=TRUE),Voies!B488,"")</f>
        <v/>
      </c>
      <c r="B488" s="162" t="s">
        <v>2674</v>
      </c>
      <c r="C488" s="162" t="b">
        <f>IF(Clan=Voies!D488,TRUE,FALSE)</f>
        <v>0</v>
      </c>
      <c r="D488" s="387" t="s">
        <v>179</v>
      </c>
      <c r="E488" s="13">
        <v>1</v>
      </c>
      <c r="F488" s="199">
        <v>1</v>
      </c>
      <c r="G488" s="13" t="s">
        <v>2049</v>
      </c>
      <c r="H488" s="219" t="s">
        <v>243</v>
      </c>
      <c r="I488" s="129" t="str">
        <f t="shared" si="58"/>
        <v>Rien</v>
      </c>
      <c r="J488" s="146">
        <v>0</v>
      </c>
      <c r="K488" s="147">
        <v>0</v>
      </c>
      <c r="L488" s="148">
        <v>0</v>
      </c>
      <c r="M488" s="149">
        <v>0</v>
      </c>
      <c r="N488" s="150">
        <v>0</v>
      </c>
      <c r="O488" s="130">
        <v>0</v>
      </c>
      <c r="P488" s="130">
        <v>0</v>
      </c>
      <c r="Q488" s="130">
        <v>0</v>
      </c>
      <c r="R488" s="130">
        <v>0</v>
      </c>
      <c r="S488" s="130">
        <v>0</v>
      </c>
      <c r="T488" s="130">
        <v>0</v>
      </c>
      <c r="U488" s="130">
        <v>0</v>
      </c>
      <c r="V488" s="524">
        <v>0</v>
      </c>
      <c r="W488" s="130">
        <v>0</v>
      </c>
      <c r="X488" s="130">
        <v>0</v>
      </c>
      <c r="Y488" s="130">
        <v>0</v>
      </c>
      <c r="Z488" s="130">
        <v>0</v>
      </c>
      <c r="AA488" s="158" t="s">
        <v>2078</v>
      </c>
      <c r="AB488" s="158"/>
      <c r="AC488" s="158"/>
      <c r="AD488" s="158"/>
      <c r="AE488" s="158" t="b">
        <f>IF(AB488="",TRUE,IF(IF(AC488="",VLOOKUP(AB488,Calculs!$A$19:$S$425,19,FALSE),VLOOKUP(AC488,Calculs!$A$19:$S$425,19,FALSE))&gt;=AD488,TRUE,FALSE))</f>
        <v>1</v>
      </c>
      <c r="AF488" s="158"/>
      <c r="AG488" s="158"/>
      <c r="AH488" s="158"/>
      <c r="AI488" s="158" t="b">
        <f>IF(AF488="",TRUE,IF(IF(AG488="",VLOOKUP(AF488,Calculs!$A$19:$S$425,19,FALSE),VLOOKUP(AG488,Calculs!$A$19:$S$425,19,FALSE))&gt;=AH488,TRUE,FALSE))</f>
        <v>1</v>
      </c>
      <c r="AJ488" s="158"/>
      <c r="AK488" s="158"/>
      <c r="AL488" s="158"/>
      <c r="AM488" s="158" t="b">
        <f>IF(AJ488="",TRUE,IF(IF(AK488="",VLOOKUP(AJ488,Calculs!$A$19:$S$425,19,FALSE),VLOOKUP(AK488,Calculs!$A$19:$S$425,19,FALSE))&gt;=AL488,TRUE,FALSE))</f>
        <v>1</v>
      </c>
      <c r="AN488" s="158"/>
      <c r="AO488" s="158"/>
      <c r="AP488" s="158"/>
      <c r="AQ488" s="158" t="b">
        <f>IF(AN488="",TRUE,IF(IF(AO488="",VLOOKUP(AN488,Calculs!$A$19:$S$425,19,FALSE),VLOOKUP(AO488,Calculs!$A$19:$S$425,19,FALSE))&gt;=AP488,TRUE,FALSE))</f>
        <v>1</v>
      </c>
      <c r="AR488" s="158"/>
      <c r="AS488" s="158" t="b">
        <f>IF(AR488="",TRUE,IF(VLOOKUP(AR488,Calculs!$A$427:$G$738,7,FALSE)&gt;0,TRUE,FALSE))</f>
        <v>1</v>
      </c>
      <c r="AT488" s="158"/>
      <c r="AU488" s="158" t="b">
        <f>IF(AT488="",TRUE,IF(VLOOKUP(AT488,Calculs!$A$740:$G$912,7,FALSE)&gt;0,TRUE,FALSE))</f>
        <v>1</v>
      </c>
      <c r="AV488" s="158" t="b">
        <f t="shared" si="53"/>
        <v>1</v>
      </c>
      <c r="AW488" s="158" t="s">
        <v>2078</v>
      </c>
      <c r="AX488" s="162" t="s">
        <v>5202</v>
      </c>
      <c r="AY488" s="15">
        <v>31</v>
      </c>
      <c r="AZ488" s="555" t="s">
        <v>2676</v>
      </c>
      <c r="BA488" s="559">
        <f>IF(Verso!$B$10=Voies!$B488,1,0)</f>
        <v>0</v>
      </c>
      <c r="BB488" s="12">
        <f>IF(Verso!$B$11=Voies!$B488,1,0)</f>
        <v>0</v>
      </c>
      <c r="BC488" s="12">
        <f>IF(Verso!$B$12=Voies!$B488,1,0)</f>
        <v>0</v>
      </c>
      <c r="BD488" s="12">
        <f>IF(Verso!$B$13=Voies!$B488,1,0)</f>
        <v>0</v>
      </c>
      <c r="BE488" s="12">
        <f>IF(Verso!$B$14=Voies!$B488,1,0)</f>
        <v>0</v>
      </c>
      <c r="BF488" s="12">
        <f>IF(Verso!$B$15=Voies!$B488,1,0)</f>
        <v>0</v>
      </c>
      <c r="BG488" s="12">
        <f>IF(Verso!$B$16=Voies!$B488,1,0)</f>
        <v>0</v>
      </c>
      <c r="BH488" s="12">
        <f>IF(Verso!$B$17=Voies!$B488,1,0)</f>
        <v>0</v>
      </c>
      <c r="BI488" s="557">
        <f t="shared" si="54"/>
        <v>0</v>
      </c>
      <c r="BJ488" s="196" t="str">
        <f t="shared" si="55"/>
        <v/>
      </c>
      <c r="BK488" s="196" t="str">
        <f t="shared" si="56"/>
        <v/>
      </c>
      <c r="BL488" s="295" t="str">
        <f t="shared" si="57"/>
        <v/>
      </c>
    </row>
    <row r="489" spans="1:64" ht="47.25" customHeight="1" x14ac:dyDescent="0.25">
      <c r="A489" s="162" t="str">
        <f>IF(AND(Réputation&gt;Voies!E489-1,OR(C489=TRUE,Calculs!$I$8&gt;0),Air&gt;Voies!J489-1,Eau&gt;Voies!K489-1,Feu&gt;Voies!L489-1,Terre&gt;Voies!M489-1,Vide&gt;Voies!N489-1,Constitution&gt;Voies!O489-1,Volonté&gt;Voies!P489-1,Force&gt;Voies!Q489-1,Perception&gt;Voies!R489-1,Reflexes&gt;Voies!S489-1,Agilité&gt;Voies!T489-1,Intuition&gt;Voies!U489-1,Intelligence&gt;Voies!V489-1,Souillure&gt;Voies!W489-1,Honneur&gt;X489-1,Statut&gt;Y489-1,Gloire&gt;Z489-1,AV489=TRUE),Voies!B489,"")</f>
        <v/>
      </c>
      <c r="B489" s="162" t="s">
        <v>2750</v>
      </c>
      <c r="C489" s="162" t="b">
        <f>IF(Clan=Voies!D489,TRUE,FALSE)</f>
        <v>0</v>
      </c>
      <c r="D489" s="387" t="s">
        <v>179</v>
      </c>
      <c r="E489" s="13">
        <v>1</v>
      </c>
      <c r="F489" s="199">
        <v>1</v>
      </c>
      <c r="G489" s="13" t="s">
        <v>2049</v>
      </c>
      <c r="H489" s="219" t="s">
        <v>244</v>
      </c>
      <c r="I489" s="129" t="str">
        <f t="shared" si="58"/>
        <v>Rien</v>
      </c>
      <c r="J489" s="146">
        <v>0</v>
      </c>
      <c r="K489" s="147">
        <v>0</v>
      </c>
      <c r="L489" s="148">
        <v>0</v>
      </c>
      <c r="M489" s="149">
        <v>0</v>
      </c>
      <c r="N489" s="150">
        <v>0</v>
      </c>
      <c r="O489" s="130">
        <v>0</v>
      </c>
      <c r="P489" s="130">
        <v>0</v>
      </c>
      <c r="Q489" s="130">
        <v>0</v>
      </c>
      <c r="R489" s="130">
        <v>0</v>
      </c>
      <c r="S489" s="130">
        <v>0</v>
      </c>
      <c r="T489" s="130">
        <v>0</v>
      </c>
      <c r="U489" s="130">
        <v>0</v>
      </c>
      <c r="V489" s="524">
        <v>0</v>
      </c>
      <c r="W489" s="130">
        <v>0</v>
      </c>
      <c r="X489" s="130">
        <v>0</v>
      </c>
      <c r="Y489" s="130">
        <v>0</v>
      </c>
      <c r="Z489" s="130">
        <v>0</v>
      </c>
      <c r="AA489" s="158" t="s">
        <v>2078</v>
      </c>
      <c r="AB489" s="158"/>
      <c r="AC489" s="158"/>
      <c r="AD489" s="158"/>
      <c r="AE489" s="158" t="b">
        <f>IF(AB489="",TRUE,IF(IF(AC489="",VLOOKUP(AB489,Calculs!$A$19:$S$425,19,FALSE),VLOOKUP(AC489,Calculs!$A$19:$S$425,19,FALSE))&gt;=AD489,TRUE,FALSE))</f>
        <v>1</v>
      </c>
      <c r="AF489" s="158"/>
      <c r="AG489" s="158"/>
      <c r="AH489" s="158"/>
      <c r="AI489" s="158" t="b">
        <f>IF(AF489="",TRUE,IF(IF(AG489="",VLOOKUP(AF489,Calculs!$A$19:$S$425,19,FALSE),VLOOKUP(AG489,Calculs!$A$19:$S$425,19,FALSE))&gt;=AH489,TRUE,FALSE))</f>
        <v>1</v>
      </c>
      <c r="AJ489" s="158"/>
      <c r="AK489" s="158"/>
      <c r="AL489" s="158"/>
      <c r="AM489" s="158" t="b">
        <f>IF(AJ489="",TRUE,IF(IF(AK489="",VLOOKUP(AJ489,Calculs!$A$19:$S$425,19,FALSE),VLOOKUP(AK489,Calculs!$A$19:$S$425,19,FALSE))&gt;=AL489,TRUE,FALSE))</f>
        <v>1</v>
      </c>
      <c r="AN489" s="158"/>
      <c r="AO489" s="158"/>
      <c r="AP489" s="158"/>
      <c r="AQ489" s="158" t="b">
        <f>IF(AN489="",TRUE,IF(IF(AO489="",VLOOKUP(AN489,Calculs!$A$19:$S$425,19,FALSE),VLOOKUP(AO489,Calculs!$A$19:$S$425,19,FALSE))&gt;=AP489,TRUE,FALSE))</f>
        <v>1</v>
      </c>
      <c r="AR489" s="158"/>
      <c r="AS489" s="158" t="b">
        <f>IF(AR489="",TRUE,IF(VLOOKUP(AR489,Calculs!$A$427:$G$738,7,FALSE)&gt;0,TRUE,FALSE))</f>
        <v>1</v>
      </c>
      <c r="AT489" s="158"/>
      <c r="AU489" s="158" t="b">
        <f>IF(AT489="",TRUE,IF(VLOOKUP(AT489,Calculs!$A$740:$G$912,7,FALSE)&gt;0,TRUE,FALSE))</f>
        <v>1</v>
      </c>
      <c r="AV489" s="158" t="b">
        <f t="shared" si="53"/>
        <v>1</v>
      </c>
      <c r="AW489" s="158" t="s">
        <v>2078</v>
      </c>
      <c r="AX489" s="162" t="s">
        <v>2076</v>
      </c>
      <c r="AY489" s="15">
        <v>169</v>
      </c>
      <c r="AZ489" s="555" t="s">
        <v>8585</v>
      </c>
      <c r="BA489" s="559">
        <f>IF(Verso!$B$10=Voies!$B489,1,0)</f>
        <v>0</v>
      </c>
      <c r="BB489" s="12">
        <f>IF(Verso!$B$11=Voies!$B489,1,0)</f>
        <v>0</v>
      </c>
      <c r="BC489" s="12">
        <f>IF(Verso!$B$12=Voies!$B489,1,0)</f>
        <v>0</v>
      </c>
      <c r="BD489" s="12">
        <f>IF(Verso!$B$13=Voies!$B489,1,0)</f>
        <v>0</v>
      </c>
      <c r="BE489" s="12">
        <f>IF(Verso!$B$14=Voies!$B489,1,0)</f>
        <v>0</v>
      </c>
      <c r="BF489" s="12">
        <f>IF(Verso!$B$15=Voies!$B489,1,0)</f>
        <v>0</v>
      </c>
      <c r="BG489" s="12">
        <f>IF(Verso!$B$16=Voies!$B489,1,0)</f>
        <v>0</v>
      </c>
      <c r="BH489" s="12">
        <f>IF(Verso!$B$17=Voies!$B489,1,0)</f>
        <v>0</v>
      </c>
      <c r="BI489" s="557">
        <f t="shared" si="54"/>
        <v>0</v>
      </c>
      <c r="BJ489" s="196" t="str">
        <f t="shared" si="55"/>
        <v/>
      </c>
      <c r="BK489" s="196" t="str">
        <f t="shared" si="56"/>
        <v/>
      </c>
      <c r="BL489" s="295" t="str">
        <f t="shared" si="57"/>
        <v/>
      </c>
    </row>
    <row r="490" spans="1:64" ht="47.25" customHeight="1" x14ac:dyDescent="0.25">
      <c r="A490" s="162" t="str">
        <f>IF(AND(Réputation&gt;Voies!E490-1,OR(C490=TRUE,Calculs!$I$8&gt;0),Air&gt;Voies!J490-1,Eau&gt;Voies!K490-1,Feu&gt;Voies!L490-1,Terre&gt;Voies!M490-1,Vide&gt;Voies!N490-1,Constitution&gt;Voies!O490-1,Volonté&gt;Voies!P490-1,Force&gt;Voies!Q490-1,Perception&gt;Voies!R490-1,Reflexes&gt;Voies!S490-1,Agilité&gt;Voies!T490-1,Intuition&gt;Voies!U490-1,Intelligence&gt;Voies!V490-1,Souillure&gt;Voies!W490-1,Honneur&gt;X490-1,Statut&gt;Y490-1,Gloire&gt;Z490-1,AV490=TRUE),Voies!B490,"")</f>
        <v/>
      </c>
      <c r="B490" s="162" t="s">
        <v>2404</v>
      </c>
      <c r="C490" s="162" t="b">
        <f>IF(Clan=Voies!D490,TRUE,FALSE)</f>
        <v>0</v>
      </c>
      <c r="D490" s="387" t="s">
        <v>179</v>
      </c>
      <c r="E490" s="13">
        <v>1</v>
      </c>
      <c r="F490" s="199">
        <v>1</v>
      </c>
      <c r="G490" s="13" t="s">
        <v>2049</v>
      </c>
      <c r="H490" s="219" t="s">
        <v>349</v>
      </c>
      <c r="I490" s="129" t="str">
        <f t="shared" si="58"/>
        <v>Rien</v>
      </c>
      <c r="J490" s="146">
        <v>0</v>
      </c>
      <c r="K490" s="147">
        <v>0</v>
      </c>
      <c r="L490" s="148">
        <v>0</v>
      </c>
      <c r="M490" s="149">
        <v>0</v>
      </c>
      <c r="N490" s="150">
        <v>0</v>
      </c>
      <c r="O490" s="130">
        <v>0</v>
      </c>
      <c r="P490" s="130">
        <v>0</v>
      </c>
      <c r="Q490" s="130">
        <v>0</v>
      </c>
      <c r="R490" s="130">
        <v>0</v>
      </c>
      <c r="S490" s="130">
        <v>0</v>
      </c>
      <c r="T490" s="130">
        <v>0</v>
      </c>
      <c r="U490" s="130">
        <v>0</v>
      </c>
      <c r="V490" s="524">
        <v>0</v>
      </c>
      <c r="W490" s="130">
        <v>0</v>
      </c>
      <c r="X490" s="130">
        <v>0</v>
      </c>
      <c r="Y490" s="130">
        <v>0</v>
      </c>
      <c r="Z490" s="130">
        <v>0</v>
      </c>
      <c r="AA490" s="158" t="s">
        <v>2078</v>
      </c>
      <c r="AB490" s="158"/>
      <c r="AC490" s="158"/>
      <c r="AD490" s="158"/>
      <c r="AE490" s="158" t="b">
        <f>IF(AB490="",TRUE,IF(IF(AC490="",VLOOKUP(AB490,Calculs!$A$19:$S$425,19,FALSE),VLOOKUP(AC490,Calculs!$A$19:$S$425,19,FALSE))&gt;=AD490,TRUE,FALSE))</f>
        <v>1</v>
      </c>
      <c r="AF490" s="158"/>
      <c r="AG490" s="158"/>
      <c r="AH490" s="158"/>
      <c r="AI490" s="158" t="b">
        <f>IF(AF490="",TRUE,IF(IF(AG490="",VLOOKUP(AF490,Calculs!$A$19:$S$425,19,FALSE),VLOOKUP(AG490,Calculs!$A$19:$S$425,19,FALSE))&gt;=AH490,TRUE,FALSE))</f>
        <v>1</v>
      </c>
      <c r="AJ490" s="158"/>
      <c r="AK490" s="158"/>
      <c r="AL490" s="158"/>
      <c r="AM490" s="158" t="b">
        <f>IF(AJ490="",TRUE,IF(IF(AK490="",VLOOKUP(AJ490,Calculs!$A$19:$S$425,19,FALSE),VLOOKUP(AK490,Calculs!$A$19:$S$425,19,FALSE))&gt;=AL490,TRUE,FALSE))</f>
        <v>1</v>
      </c>
      <c r="AN490" s="158"/>
      <c r="AO490" s="158"/>
      <c r="AP490" s="158"/>
      <c r="AQ490" s="158" t="b">
        <f>IF(AN490="",TRUE,IF(IF(AO490="",VLOOKUP(AN490,Calculs!$A$19:$S$425,19,FALSE),VLOOKUP(AO490,Calculs!$A$19:$S$425,19,FALSE))&gt;=AP490,TRUE,FALSE))</f>
        <v>1</v>
      </c>
      <c r="AR490" s="158"/>
      <c r="AS490" s="158" t="b">
        <f>IF(AR490="",TRUE,IF(VLOOKUP(AR490,Calculs!$A$427:$G$738,7,FALSE)&gt;0,TRUE,FALSE))</f>
        <v>1</v>
      </c>
      <c r="AT490" s="158"/>
      <c r="AU490" s="158" t="b">
        <f>IF(AT490="",TRUE,IF(VLOOKUP(AT490,Calculs!$A$740:$G$912,7,FALSE)&gt;0,TRUE,FALSE))</f>
        <v>1</v>
      </c>
      <c r="AV490" s="158" t="b">
        <f t="shared" si="53"/>
        <v>1</v>
      </c>
      <c r="AW490" s="158" t="s">
        <v>2078</v>
      </c>
      <c r="AX490" s="162" t="s">
        <v>143</v>
      </c>
      <c r="AY490" s="15">
        <v>119</v>
      </c>
      <c r="AZ490" s="555" t="str">
        <f>CONCATENATE("Ajoutez ",Honneur," à un jet d'Attaque par Round. Si Monté vous pouvez appliquer ce bonus aux Dommages à la place. +",Honneur," aux résultats des tests d'Equitation.")</f>
        <v>Ajoutez 0 à un jet d'Attaque par Round. Si Monté vous pouvez appliquer ce bonus aux Dommages à la place. +0 aux résultats des tests d'Equitation.</v>
      </c>
      <c r="BA490" s="559">
        <f>IF(Verso!$B$10=Voies!$B490,1,0)</f>
        <v>0</v>
      </c>
      <c r="BB490" s="12">
        <f>IF(Verso!$B$11=Voies!$B490,1,0)</f>
        <v>0</v>
      </c>
      <c r="BC490" s="12">
        <f>IF(Verso!$B$12=Voies!$B490,1,0)</f>
        <v>0</v>
      </c>
      <c r="BD490" s="12">
        <f>IF(Verso!$B$13=Voies!$B490,1,0)</f>
        <v>0</v>
      </c>
      <c r="BE490" s="12">
        <f>IF(Verso!$B$14=Voies!$B490,1,0)</f>
        <v>0</v>
      </c>
      <c r="BF490" s="12">
        <f>IF(Verso!$B$15=Voies!$B490,1,0)</f>
        <v>0</v>
      </c>
      <c r="BG490" s="12">
        <f>IF(Verso!$B$16=Voies!$B490,1,0)</f>
        <v>0</v>
      </c>
      <c r="BH490" s="12">
        <f>IF(Verso!$B$17=Voies!$B490,1,0)</f>
        <v>0</v>
      </c>
      <c r="BI490" s="557">
        <f t="shared" si="54"/>
        <v>0</v>
      </c>
      <c r="BJ490" s="196" t="str">
        <f t="shared" si="55"/>
        <v/>
      </c>
      <c r="BK490" s="196" t="str">
        <f t="shared" si="56"/>
        <v/>
      </c>
      <c r="BL490" s="295" t="str">
        <f t="shared" si="57"/>
        <v/>
      </c>
    </row>
    <row r="491" spans="1:64" ht="47.25" customHeight="1" x14ac:dyDescent="0.25">
      <c r="A491" s="162" t="str">
        <f>IF(AND(Réputation&gt;Voies!E491-1,OR(C491=TRUE,Calculs!$I$8&gt;0),Air&gt;Voies!J491-1,Eau&gt;Voies!K491-1,Feu&gt;Voies!L491-1,Terre&gt;Voies!M491-1,Vide&gt;Voies!N491-1,Constitution&gt;Voies!O491-1,Volonté&gt;Voies!P491-1,Force&gt;Voies!Q491-1,Perception&gt;Voies!R491-1,Reflexes&gt;Voies!S491-1,Agilité&gt;Voies!T491-1,Intuition&gt;Voies!U491-1,Intelligence&gt;Voies!V491-1,Souillure&gt;Voies!W491-1,Honneur&gt;X491-1,Statut&gt;Y491-1,Gloire&gt;Z491-1,AV491=TRUE),Voies!B491,"")</f>
        <v/>
      </c>
      <c r="B491" s="162" t="s">
        <v>3384</v>
      </c>
      <c r="C491" s="162" t="b">
        <f>IF(Clan=Voies!D491,TRUE,FALSE)</f>
        <v>0</v>
      </c>
      <c r="D491" s="387" t="s">
        <v>179</v>
      </c>
      <c r="E491" s="13">
        <v>1</v>
      </c>
      <c r="F491" s="199">
        <v>1</v>
      </c>
      <c r="G491" s="13" t="s">
        <v>2049</v>
      </c>
      <c r="H491" s="219" t="s">
        <v>6072</v>
      </c>
      <c r="I491" s="129" t="s">
        <v>3370</v>
      </c>
      <c r="J491" s="146">
        <v>0</v>
      </c>
      <c r="K491" s="147">
        <v>0</v>
      </c>
      <c r="L491" s="148">
        <v>0</v>
      </c>
      <c r="M491" s="149">
        <v>0</v>
      </c>
      <c r="N491" s="150">
        <v>0</v>
      </c>
      <c r="O491" s="130">
        <v>0</v>
      </c>
      <c r="P491" s="130">
        <v>0</v>
      </c>
      <c r="Q491" s="130">
        <v>0</v>
      </c>
      <c r="R491" s="130">
        <v>0</v>
      </c>
      <c r="S491" s="130">
        <v>0</v>
      </c>
      <c r="T491" s="130">
        <v>0</v>
      </c>
      <c r="U491" s="130">
        <v>0</v>
      </c>
      <c r="V491" s="524">
        <v>0</v>
      </c>
      <c r="W491" s="130">
        <v>0</v>
      </c>
      <c r="X491" s="130">
        <v>0</v>
      </c>
      <c r="Y491" s="130">
        <v>0</v>
      </c>
      <c r="Z491" s="130">
        <v>0</v>
      </c>
      <c r="AA491" s="158" t="s">
        <v>2078</v>
      </c>
      <c r="AB491" s="158"/>
      <c r="AC491" s="158"/>
      <c r="AD491" s="158"/>
      <c r="AE491" s="158" t="b">
        <f>IF(AB491="",TRUE,IF(IF(AC491="",VLOOKUP(AB491,Calculs!$A$19:$S$425,19,FALSE),VLOOKUP(AC491,Calculs!$A$19:$S$425,19,FALSE))&gt;=AD491,TRUE,FALSE))</f>
        <v>1</v>
      </c>
      <c r="AF491" s="158"/>
      <c r="AG491" s="158"/>
      <c r="AH491" s="158"/>
      <c r="AI491" s="158" t="b">
        <f>IF(AF491="",TRUE,IF(IF(AG491="",VLOOKUP(AF491,Calculs!$A$19:$S$425,19,FALSE),VLOOKUP(AG491,Calculs!$A$19:$S$425,19,FALSE))&gt;=AH491,TRUE,FALSE))</f>
        <v>1</v>
      </c>
      <c r="AJ491" s="158"/>
      <c r="AK491" s="158"/>
      <c r="AL491" s="158"/>
      <c r="AM491" s="158" t="b">
        <f>IF(AJ491="",TRUE,IF(IF(AK491="",VLOOKUP(AJ491,Calculs!$A$19:$S$425,19,FALSE),VLOOKUP(AK491,Calculs!$A$19:$S$425,19,FALSE))&gt;=AL491,TRUE,FALSE))</f>
        <v>1</v>
      </c>
      <c r="AN491" s="158"/>
      <c r="AO491" s="158"/>
      <c r="AP491" s="158"/>
      <c r="AQ491" s="158" t="b">
        <f>IF(AN491="",TRUE,IF(IF(AO491="",VLOOKUP(AN491,Calculs!$A$19:$S$425,19,FALSE),VLOOKUP(AO491,Calculs!$A$19:$S$425,19,FALSE))&gt;=AP491,TRUE,FALSE))</f>
        <v>1</v>
      </c>
      <c r="AR491" s="158"/>
      <c r="AS491" s="158" t="b">
        <f>IF(AR491="",TRUE,IF(VLOOKUP(AR491,Calculs!$A$427:$G$738,7,FALSE)&gt;0,TRUE,FALSE))</f>
        <v>1</v>
      </c>
      <c r="AT491" s="158"/>
      <c r="AU491" s="158" t="b">
        <f>IF(AT491="",TRUE,IF(VLOOKUP(AT491,Calculs!$A$740:$G$912,7,FALSE)&gt;0,TRUE,FALSE))</f>
        <v>1</v>
      </c>
      <c r="AV491" s="158" t="b">
        <f t="shared" si="53"/>
        <v>1</v>
      </c>
      <c r="AW491" s="159" t="s">
        <v>3383</v>
      </c>
      <c r="AX491" s="162" t="s">
        <v>6061</v>
      </c>
      <c r="AY491" s="15">
        <v>131</v>
      </c>
      <c r="AZ491" s="555" t="str">
        <f>CONCATENATE("Au début de chaque tour, choississez : Réduisez vos malus de ND dus aux Rg. de Blessure OU Ajoutez un bonus à votre ND d'armure égal à votre Rg. d'école + ",Volonté,". Dans un combat contre les créatures de l'Outremonde, ce bonus est doublé.")</f>
        <v>Au début de chaque tour, choississez : Réduisez vos malus de ND dus aux Rg. de Blessure OU Ajoutez un bonus à votre ND d'armure égal à votre Rg. d'école + 2. Dans un combat contre les créatures de l'Outremonde, ce bonus est doublé.</v>
      </c>
      <c r="BA491" s="559">
        <f>IF(Verso!$B$10=Voies!$B491,1,0)</f>
        <v>0</v>
      </c>
      <c r="BB491" s="12">
        <f>IF(Verso!$B$11=Voies!$B491,1,0)</f>
        <v>0</v>
      </c>
      <c r="BC491" s="12">
        <f>IF(Verso!$B$12=Voies!$B491,1,0)</f>
        <v>0</v>
      </c>
      <c r="BD491" s="12">
        <f>IF(Verso!$B$13=Voies!$B491,1,0)</f>
        <v>0</v>
      </c>
      <c r="BE491" s="12">
        <f>IF(Verso!$B$14=Voies!$B491,1,0)</f>
        <v>0</v>
      </c>
      <c r="BF491" s="12">
        <f>IF(Verso!$B$15=Voies!$B491,1,0)</f>
        <v>0</v>
      </c>
      <c r="BG491" s="12">
        <f>IF(Verso!$B$16=Voies!$B491,1,0)</f>
        <v>0</v>
      </c>
      <c r="BH491" s="12">
        <f>IF(Verso!$B$17=Voies!$B491,1,0)</f>
        <v>0</v>
      </c>
      <c r="BI491" s="557">
        <f t="shared" si="54"/>
        <v>0</v>
      </c>
      <c r="BJ491" s="196" t="str">
        <f t="shared" si="55"/>
        <v/>
      </c>
      <c r="BK491" s="196" t="str">
        <f t="shared" si="56"/>
        <v/>
      </c>
      <c r="BL491" s="295" t="str">
        <f t="shared" si="57"/>
        <v/>
      </c>
    </row>
    <row r="492" spans="1:64" ht="47.25" customHeight="1" x14ac:dyDescent="0.25">
      <c r="A492" s="162" t="str">
        <f>IF(AND(Réputation&gt;Voies!E492-1,OR(C492=TRUE,Calculs!$I$8&gt;0),Air&gt;Voies!J492-1,Eau&gt;Voies!K492-1,Feu&gt;Voies!L492-1,Terre&gt;Voies!M492-1,Vide&gt;Voies!N492-1,Constitution&gt;Voies!O492-1,Volonté&gt;Voies!P492-1,Force&gt;Voies!Q492-1,Perception&gt;Voies!R492-1,Reflexes&gt;Voies!S492-1,Agilité&gt;Voies!T492-1,Intuition&gt;Voies!U492-1,Intelligence&gt;Voies!V492-1,Souillure&gt;Voies!W492-1,Honneur&gt;X492-1,Statut&gt;Y492-1,Gloire&gt;Z492-1,AV492=TRUE),Voies!B492,"")</f>
        <v/>
      </c>
      <c r="B492" s="162" t="s">
        <v>2392</v>
      </c>
      <c r="C492" s="162" t="b">
        <f>IF(Clan=Voies!D492,TRUE,FALSE)</f>
        <v>0</v>
      </c>
      <c r="D492" s="387" t="s">
        <v>179</v>
      </c>
      <c r="E492" s="13">
        <v>1</v>
      </c>
      <c r="F492" s="199">
        <v>1</v>
      </c>
      <c r="G492" s="13" t="s">
        <v>2052</v>
      </c>
      <c r="H492" s="219" t="s">
        <v>241</v>
      </c>
      <c r="I492" s="129" t="str">
        <f>IF(B492="","","Rien")</f>
        <v>Rien</v>
      </c>
      <c r="J492" s="146">
        <v>0</v>
      </c>
      <c r="K492" s="147">
        <v>0</v>
      </c>
      <c r="L492" s="148">
        <v>0</v>
      </c>
      <c r="M492" s="149">
        <v>0</v>
      </c>
      <c r="N492" s="150">
        <v>0</v>
      </c>
      <c r="O492" s="130">
        <v>0</v>
      </c>
      <c r="P492" s="130">
        <v>0</v>
      </c>
      <c r="Q492" s="130">
        <v>0</v>
      </c>
      <c r="R492" s="130">
        <v>0</v>
      </c>
      <c r="S492" s="130">
        <v>0</v>
      </c>
      <c r="T492" s="130">
        <v>0</v>
      </c>
      <c r="U492" s="130">
        <v>0</v>
      </c>
      <c r="V492" s="524">
        <v>0</v>
      </c>
      <c r="W492" s="130">
        <v>0</v>
      </c>
      <c r="X492" s="130">
        <v>0</v>
      </c>
      <c r="Y492" s="130">
        <v>0</v>
      </c>
      <c r="Z492" s="130">
        <v>0</v>
      </c>
      <c r="AA492" s="158" t="s">
        <v>2078</v>
      </c>
      <c r="AB492" s="158"/>
      <c r="AC492" s="158"/>
      <c r="AD492" s="158"/>
      <c r="AE492" s="158" t="b">
        <f>IF(AB492="",TRUE,IF(IF(AC492="",VLOOKUP(AB492,Calculs!$A$19:$S$425,19,FALSE),VLOOKUP(AC492,Calculs!$A$19:$S$425,19,FALSE))&gt;=AD492,TRUE,FALSE))</f>
        <v>1</v>
      </c>
      <c r="AF492" s="158"/>
      <c r="AG492" s="158"/>
      <c r="AH492" s="158"/>
      <c r="AI492" s="158" t="b">
        <f>IF(AF492="",TRUE,IF(IF(AG492="",VLOOKUP(AF492,Calculs!$A$19:$S$425,19,FALSE),VLOOKUP(AG492,Calculs!$A$19:$S$425,19,FALSE))&gt;=AH492,TRUE,FALSE))</f>
        <v>1</v>
      </c>
      <c r="AJ492" s="158"/>
      <c r="AK492" s="158"/>
      <c r="AL492" s="158"/>
      <c r="AM492" s="158" t="b">
        <f>IF(AJ492="",TRUE,IF(IF(AK492="",VLOOKUP(AJ492,Calculs!$A$19:$S$425,19,FALSE),VLOOKUP(AK492,Calculs!$A$19:$S$425,19,FALSE))&gt;=AL492,TRUE,FALSE))</f>
        <v>1</v>
      </c>
      <c r="AN492" s="158"/>
      <c r="AO492" s="158"/>
      <c r="AP492" s="158"/>
      <c r="AQ492" s="158" t="b">
        <f>IF(AN492="",TRUE,IF(IF(AO492="",VLOOKUP(AN492,Calculs!$A$19:$S$425,19,FALSE),VLOOKUP(AO492,Calculs!$A$19:$S$425,19,FALSE))&gt;=AP492,TRUE,FALSE))</f>
        <v>1</v>
      </c>
      <c r="AR492" s="158"/>
      <c r="AS492" s="158" t="b">
        <f>IF(AR492="",TRUE,IF(VLOOKUP(AR492,Calculs!$A$427:$G$738,7,FALSE)&gt;0,TRUE,FALSE))</f>
        <v>1</v>
      </c>
      <c r="AT492" s="158"/>
      <c r="AU492" s="158" t="b">
        <f>IF(AT492="",TRUE,IF(VLOOKUP(AT492,Calculs!$A$740:$G$912,7,FALSE)&gt;0,TRUE,FALSE))</f>
        <v>1</v>
      </c>
      <c r="AV492" s="158" t="b">
        <f t="shared" si="53"/>
        <v>1</v>
      </c>
      <c r="AW492" s="158" t="s">
        <v>2078</v>
      </c>
      <c r="AX492" s="162" t="s">
        <v>143</v>
      </c>
      <c r="AY492" s="15">
        <v>117</v>
      </c>
      <c r="AZ492" s="555" t="s">
        <v>2393</v>
      </c>
      <c r="BA492" s="559">
        <f>IF(Verso!$B$10=Voies!$B492,1,0)</f>
        <v>0</v>
      </c>
      <c r="BB492" s="12">
        <f>IF(Verso!$B$11=Voies!$B492,1,0)</f>
        <v>0</v>
      </c>
      <c r="BC492" s="12">
        <f>IF(Verso!$B$12=Voies!$B492,1,0)</f>
        <v>0</v>
      </c>
      <c r="BD492" s="12">
        <f>IF(Verso!$B$13=Voies!$B492,1,0)</f>
        <v>0</v>
      </c>
      <c r="BE492" s="12">
        <f>IF(Verso!$B$14=Voies!$B492,1,0)</f>
        <v>0</v>
      </c>
      <c r="BF492" s="12">
        <f>IF(Verso!$B$15=Voies!$B492,1,0)</f>
        <v>0</v>
      </c>
      <c r="BG492" s="12">
        <f>IF(Verso!$B$16=Voies!$B492,1,0)</f>
        <v>0</v>
      </c>
      <c r="BH492" s="12">
        <f>IF(Verso!$B$17=Voies!$B492,1,0)</f>
        <v>0</v>
      </c>
      <c r="BI492" s="557">
        <f t="shared" si="54"/>
        <v>0</v>
      </c>
      <c r="BJ492" s="196" t="str">
        <f t="shared" si="55"/>
        <v/>
      </c>
      <c r="BK492" s="196" t="str">
        <f t="shared" si="56"/>
        <v/>
      </c>
      <c r="BL492" s="295" t="str">
        <f t="shared" si="57"/>
        <v/>
      </c>
    </row>
    <row r="493" spans="1:64" ht="47.25" customHeight="1" x14ac:dyDescent="0.25">
      <c r="A493" s="162" t="str">
        <f>IF(AND(Réputation&gt;Voies!E493-1,OR(C493=TRUE,Calculs!$I$8&gt;0),Air&gt;Voies!J493-1,Eau&gt;Voies!K493-1,Feu&gt;Voies!L493-1,Terre&gt;Voies!M493-1,Vide&gt;Voies!N493-1,Constitution&gt;Voies!O493-1,Volonté&gt;Voies!P493-1,Force&gt;Voies!Q493-1,Perception&gt;Voies!R493-1,Reflexes&gt;Voies!S493-1,Agilité&gt;Voies!T493-1,Intuition&gt;Voies!U493-1,Intelligence&gt;Voies!V493-1,Souillure&gt;Voies!W493-1,Honneur&gt;X493-1,Statut&gt;Y493-1,Gloire&gt;Z493-1,AV493=TRUE),Voies!B493,"")</f>
        <v/>
      </c>
      <c r="B493" s="162" t="s">
        <v>3837</v>
      </c>
      <c r="C493" s="162" t="b">
        <f>IF(Clan=Voies!D493,TRUE,FALSE)</f>
        <v>0</v>
      </c>
      <c r="D493" s="387" t="s">
        <v>179</v>
      </c>
      <c r="E493" s="13">
        <v>1</v>
      </c>
      <c r="F493" s="199">
        <v>1</v>
      </c>
      <c r="G493" s="13" t="s">
        <v>2052</v>
      </c>
      <c r="H493" s="219" t="s">
        <v>536</v>
      </c>
      <c r="I493" s="129" t="s">
        <v>3835</v>
      </c>
      <c r="J493" s="146">
        <v>0</v>
      </c>
      <c r="K493" s="147">
        <v>0</v>
      </c>
      <c r="L493" s="148">
        <v>0</v>
      </c>
      <c r="M493" s="149">
        <v>0</v>
      </c>
      <c r="N493" s="150">
        <v>0</v>
      </c>
      <c r="O493" s="130">
        <v>0</v>
      </c>
      <c r="P493" s="130">
        <v>0</v>
      </c>
      <c r="Q493" s="130">
        <v>0</v>
      </c>
      <c r="R493" s="130">
        <v>0</v>
      </c>
      <c r="S493" s="130">
        <v>0</v>
      </c>
      <c r="T493" s="130">
        <v>0</v>
      </c>
      <c r="U493" s="130">
        <v>0</v>
      </c>
      <c r="V493" s="524">
        <v>0</v>
      </c>
      <c r="W493" s="130">
        <v>0</v>
      </c>
      <c r="X493" s="130">
        <v>0</v>
      </c>
      <c r="Y493" s="130">
        <v>0</v>
      </c>
      <c r="Z493" s="130">
        <v>0</v>
      </c>
      <c r="AA493" s="159" t="s">
        <v>3836</v>
      </c>
      <c r="AB493" s="159" t="s">
        <v>311</v>
      </c>
      <c r="AD493" s="159">
        <v>2</v>
      </c>
      <c r="AE493" s="158" t="b">
        <f>IF(AB493="",TRUE,IF(IF(AC493="",VLOOKUP(AB493,Calculs!$A$19:$S$425,19,FALSE),VLOOKUP(AC493,Calculs!$A$19:$S$425,19,FALSE))&gt;=AD493,TRUE,FALSE))</f>
        <v>0</v>
      </c>
      <c r="AI493" s="158" t="b">
        <f>IF(AF493="",TRUE,IF(IF(AG493="",VLOOKUP(AF493,Calculs!$A$19:$S$425,19,FALSE),VLOOKUP(AG493,Calculs!$A$19:$S$425,19,FALSE))&gt;=AH493,TRUE,FALSE))</f>
        <v>1</v>
      </c>
      <c r="AM493" s="158" t="b">
        <f>IF(AJ493="",TRUE,IF(IF(AK493="",VLOOKUP(AJ493,Calculs!$A$19:$S$425,19,FALSE),VLOOKUP(AK493,Calculs!$A$19:$S$425,19,FALSE))&gt;=AL493,TRUE,FALSE))</f>
        <v>1</v>
      </c>
      <c r="AQ493" s="158" t="b">
        <f>IF(AN493="",TRUE,IF(IF(AO493="",VLOOKUP(AN493,Calculs!$A$19:$S$425,19,FALSE),VLOOKUP(AO493,Calculs!$A$19:$S$425,19,FALSE))&gt;=AP493,TRUE,FALSE))</f>
        <v>1</v>
      </c>
      <c r="AR493" s="158"/>
      <c r="AS493" s="158" t="b">
        <f>IF(AR493="",TRUE,IF(VLOOKUP(AR493,Calculs!$A$427:$G$738,7,FALSE)&gt;0,TRUE,FALSE))</f>
        <v>1</v>
      </c>
      <c r="AT493" s="158"/>
      <c r="AU493" s="158" t="b">
        <f>IF(AT493="",TRUE,IF(VLOOKUP(AT493,Calculs!$A$740:$G$912,7,FALSE)&gt;0,TRUE,FALSE))</f>
        <v>1</v>
      </c>
      <c r="AV493" s="158" t="b">
        <f t="shared" si="53"/>
        <v>0</v>
      </c>
      <c r="AW493" s="158" t="s">
        <v>2078</v>
      </c>
      <c r="AX493" s="162" t="s">
        <v>2087</v>
      </c>
      <c r="AY493" s="15">
        <v>61</v>
      </c>
      <c r="AZ493" s="555" t="s">
        <v>8586</v>
      </c>
      <c r="BA493" s="559">
        <f>IF(Verso!$B$10=Voies!$B493,1,0)</f>
        <v>0</v>
      </c>
      <c r="BB493" s="12">
        <f>IF(Verso!$B$11=Voies!$B493,1,0)</f>
        <v>0</v>
      </c>
      <c r="BC493" s="12">
        <f>IF(Verso!$B$12=Voies!$B493,1,0)</f>
        <v>0</v>
      </c>
      <c r="BD493" s="12">
        <f>IF(Verso!$B$13=Voies!$B493,1,0)</f>
        <v>0</v>
      </c>
      <c r="BE493" s="12">
        <f>IF(Verso!$B$14=Voies!$B493,1,0)</f>
        <v>0</v>
      </c>
      <c r="BF493" s="12">
        <f>IF(Verso!$B$15=Voies!$B493,1,0)</f>
        <v>0</v>
      </c>
      <c r="BG493" s="12">
        <f>IF(Verso!$B$16=Voies!$B493,1,0)</f>
        <v>0</v>
      </c>
      <c r="BH493" s="12">
        <f>IF(Verso!$B$17=Voies!$B493,1,0)</f>
        <v>0</v>
      </c>
      <c r="BI493" s="557">
        <f t="shared" si="54"/>
        <v>0</v>
      </c>
      <c r="BJ493" s="196" t="str">
        <f t="shared" si="55"/>
        <v/>
      </c>
      <c r="BK493" s="196" t="str">
        <f t="shared" si="56"/>
        <v/>
      </c>
      <c r="BL493" s="295" t="str">
        <f t="shared" si="57"/>
        <v/>
      </c>
    </row>
    <row r="494" spans="1:64" ht="47.25" customHeight="1" x14ac:dyDescent="0.25">
      <c r="A494" s="162" t="str">
        <f>IF(AND(Réputation&gt;Voies!E494-1,OR(C494=TRUE,Calculs!$I$8&gt;0),Air&gt;Voies!J494-1,Eau&gt;Voies!K494-1,Feu&gt;Voies!L494-1,Terre&gt;Voies!M494-1,Vide&gt;Voies!N494-1,Constitution&gt;Voies!O494-1,Volonté&gt;Voies!P494-1,Force&gt;Voies!Q494-1,Perception&gt;Voies!R494-1,Reflexes&gt;Voies!S494-1,Agilité&gt;Voies!T494-1,Intuition&gt;Voies!U494-1,Intelligence&gt;Voies!V494-1,Souillure&gt;Voies!W494-1,Honneur&gt;X494-1,Statut&gt;Y494-1,Gloire&gt;Z494-1,AV494=TRUE),Voies!B494,"")</f>
        <v/>
      </c>
      <c r="B494" s="162" t="s">
        <v>2991</v>
      </c>
      <c r="C494" s="162" t="b">
        <f>IF(Clan=Voies!D494,TRUE,FALSE)</f>
        <v>0</v>
      </c>
      <c r="D494" s="387" t="s">
        <v>179</v>
      </c>
      <c r="E494" s="13">
        <v>1</v>
      </c>
      <c r="F494" s="199">
        <v>1</v>
      </c>
      <c r="G494" s="13" t="s">
        <v>2048</v>
      </c>
      <c r="H494" s="386" t="s">
        <v>2598</v>
      </c>
      <c r="I494" s="129" t="str">
        <f>IF(B494="","","Rien")</f>
        <v>Rien</v>
      </c>
      <c r="J494" s="146">
        <v>0</v>
      </c>
      <c r="K494" s="147">
        <v>0</v>
      </c>
      <c r="L494" s="148">
        <v>0</v>
      </c>
      <c r="M494" s="149">
        <v>0</v>
      </c>
      <c r="N494" s="150">
        <v>0</v>
      </c>
      <c r="O494" s="130">
        <v>0</v>
      </c>
      <c r="P494" s="130">
        <v>0</v>
      </c>
      <c r="Q494" s="130">
        <v>0</v>
      </c>
      <c r="R494" s="130">
        <v>0</v>
      </c>
      <c r="S494" s="130">
        <v>0</v>
      </c>
      <c r="T494" s="130">
        <v>0</v>
      </c>
      <c r="U494" s="130">
        <v>0</v>
      </c>
      <c r="V494" s="524">
        <v>0</v>
      </c>
      <c r="W494" s="130">
        <v>0</v>
      </c>
      <c r="X494" s="130">
        <v>0</v>
      </c>
      <c r="Y494" s="130">
        <v>0</v>
      </c>
      <c r="Z494" s="130">
        <v>0</v>
      </c>
      <c r="AA494" s="158" t="s">
        <v>2078</v>
      </c>
      <c r="AB494" s="158"/>
      <c r="AC494" s="158"/>
      <c r="AD494" s="158"/>
      <c r="AE494" s="158" t="b">
        <f>IF(AB494="",TRUE,IF(IF(AC494="",VLOOKUP(AB494,Calculs!$A$19:$S$425,19,FALSE),VLOOKUP(AC494,Calculs!$A$19:$S$425,19,FALSE))&gt;=AD494,TRUE,FALSE))</f>
        <v>1</v>
      </c>
      <c r="AF494" s="158"/>
      <c r="AG494" s="158"/>
      <c r="AH494" s="158"/>
      <c r="AI494" s="158" t="b">
        <f>IF(AF494="",TRUE,IF(IF(AG494="",VLOOKUP(AF494,Calculs!$A$19:$S$425,19,FALSE),VLOOKUP(AG494,Calculs!$A$19:$S$425,19,FALSE))&gt;=AH494,TRUE,FALSE))</f>
        <v>1</v>
      </c>
      <c r="AJ494" s="158"/>
      <c r="AK494" s="158"/>
      <c r="AL494" s="158"/>
      <c r="AM494" s="158" t="b">
        <f>IF(AJ494="",TRUE,IF(IF(AK494="",VLOOKUP(AJ494,Calculs!$A$19:$S$425,19,FALSE),VLOOKUP(AK494,Calculs!$A$19:$S$425,19,FALSE))&gt;=AL494,TRUE,FALSE))</f>
        <v>1</v>
      </c>
      <c r="AN494" s="158"/>
      <c r="AO494" s="158"/>
      <c r="AP494" s="158"/>
      <c r="AQ494" s="158" t="b">
        <f>IF(AN494="",TRUE,IF(IF(AO494="",VLOOKUP(AN494,Calculs!$A$19:$S$425,19,FALSE),VLOOKUP(AO494,Calculs!$A$19:$S$425,19,FALSE))&gt;=AP494,TRUE,FALSE))</f>
        <v>1</v>
      </c>
      <c r="AR494" s="158"/>
      <c r="AS494" s="158" t="b">
        <f>IF(AR494="",TRUE,IF(VLOOKUP(AR494,Calculs!$A$427:$G$738,7,FALSE)&gt;0,TRUE,FALSE))</f>
        <v>1</v>
      </c>
      <c r="AT494" s="158"/>
      <c r="AU494" s="158" t="b">
        <f>IF(AT494="",TRUE,IF(VLOOKUP(AT494,Calculs!$A$740:$G$912,7,FALSE)&gt;0,TRUE,FALSE))</f>
        <v>1</v>
      </c>
      <c r="AV494" s="158" t="b">
        <f t="shared" si="53"/>
        <v>1</v>
      </c>
      <c r="AW494" s="158" t="s">
        <v>2078</v>
      </c>
      <c r="AX494" s="162" t="s">
        <v>2077</v>
      </c>
      <c r="AY494" s="15">
        <v>242</v>
      </c>
      <c r="AZ494" s="555" t="s">
        <v>8587</v>
      </c>
      <c r="BA494" s="559">
        <f>IF(Verso!$B$10=Voies!$B494,1,0)</f>
        <v>0</v>
      </c>
      <c r="BB494" s="12">
        <f>IF(Verso!$B$11=Voies!$B494,1,0)</f>
        <v>0</v>
      </c>
      <c r="BC494" s="12">
        <f>IF(Verso!$B$12=Voies!$B494,1,0)</f>
        <v>0</v>
      </c>
      <c r="BD494" s="12">
        <f>IF(Verso!$B$13=Voies!$B494,1,0)</f>
        <v>0</v>
      </c>
      <c r="BE494" s="12">
        <f>IF(Verso!$B$14=Voies!$B494,1,0)</f>
        <v>0</v>
      </c>
      <c r="BF494" s="12">
        <f>IF(Verso!$B$15=Voies!$B494,1,0)</f>
        <v>0</v>
      </c>
      <c r="BG494" s="12">
        <f>IF(Verso!$B$16=Voies!$B494,1,0)</f>
        <v>0</v>
      </c>
      <c r="BH494" s="12">
        <f>IF(Verso!$B$17=Voies!$B494,1,0)</f>
        <v>0</v>
      </c>
      <c r="BI494" s="557">
        <f t="shared" si="54"/>
        <v>0</v>
      </c>
      <c r="BJ494" s="196" t="str">
        <f t="shared" si="55"/>
        <v/>
      </c>
      <c r="BK494" s="196" t="str">
        <f t="shared" si="56"/>
        <v/>
      </c>
      <c r="BL494" s="295" t="str">
        <f t="shared" si="57"/>
        <v/>
      </c>
    </row>
    <row r="495" spans="1:64" ht="47.25" customHeight="1" x14ac:dyDescent="0.25">
      <c r="A495" s="162" t="str">
        <f>IF(AND(Réputation&gt;Voies!E495-1,OR(C495=TRUE,Calculs!$I$8&gt;0),Air&gt;Voies!J495-1,Eau&gt;Voies!K495-1,Feu&gt;Voies!L495-1,Terre&gt;Voies!M495-1,Vide&gt;Voies!N495-1,Constitution&gt;Voies!O495-1,Volonté&gt;Voies!P495-1,Force&gt;Voies!Q495-1,Perception&gt;Voies!R495-1,Reflexes&gt;Voies!S495-1,Agilité&gt;Voies!T495-1,Intuition&gt;Voies!U495-1,Intelligence&gt;Voies!V495-1,Souillure&gt;Voies!W495-1,Honneur&gt;X495-1,Statut&gt;Y495-1,Gloire&gt;Z495-1,AV495=TRUE),Voies!B495,"")</f>
        <v/>
      </c>
      <c r="B495" s="162" t="s">
        <v>2388</v>
      </c>
      <c r="C495" s="162" t="b">
        <f>IF(Clan=Voies!D495,TRUE,FALSE)</f>
        <v>0</v>
      </c>
      <c r="D495" s="387" t="s">
        <v>179</v>
      </c>
      <c r="E495" s="13">
        <v>1</v>
      </c>
      <c r="F495" s="199">
        <v>1</v>
      </c>
      <c r="G495" s="13" t="s">
        <v>2048</v>
      </c>
      <c r="H495" s="219" t="s">
        <v>240</v>
      </c>
      <c r="I495" s="129" t="str">
        <f>IF(B495="","","Rien")</f>
        <v>Rien</v>
      </c>
      <c r="J495" s="146">
        <v>0</v>
      </c>
      <c r="K495" s="147">
        <v>0</v>
      </c>
      <c r="L495" s="148">
        <v>0</v>
      </c>
      <c r="M495" s="149">
        <v>0</v>
      </c>
      <c r="N495" s="150">
        <v>0</v>
      </c>
      <c r="O495" s="130">
        <v>0</v>
      </c>
      <c r="P495" s="130">
        <v>0</v>
      </c>
      <c r="Q495" s="130">
        <v>0</v>
      </c>
      <c r="R495" s="130">
        <v>0</v>
      </c>
      <c r="S495" s="130">
        <v>0</v>
      </c>
      <c r="T495" s="130">
        <v>0</v>
      </c>
      <c r="U495" s="130">
        <v>0</v>
      </c>
      <c r="V495" s="524">
        <v>0</v>
      </c>
      <c r="W495" s="130">
        <v>0</v>
      </c>
      <c r="X495" s="130">
        <v>0</v>
      </c>
      <c r="Y495" s="130">
        <v>0</v>
      </c>
      <c r="Z495" s="130">
        <v>0</v>
      </c>
      <c r="AA495" s="158" t="s">
        <v>2078</v>
      </c>
      <c r="AB495" s="158"/>
      <c r="AC495" s="158"/>
      <c r="AD495" s="158"/>
      <c r="AE495" s="158" t="b">
        <f>IF(AB495="",TRUE,IF(IF(AC495="",VLOOKUP(AB495,Calculs!$A$19:$S$425,19,FALSE),VLOOKUP(AC495,Calculs!$A$19:$S$425,19,FALSE))&gt;=AD495,TRUE,FALSE))</f>
        <v>1</v>
      </c>
      <c r="AF495" s="158"/>
      <c r="AG495" s="158"/>
      <c r="AH495" s="158"/>
      <c r="AI495" s="158" t="b">
        <f>IF(AF495="",TRUE,IF(IF(AG495="",VLOOKUP(AF495,Calculs!$A$19:$S$425,19,FALSE),VLOOKUP(AG495,Calculs!$A$19:$S$425,19,FALSE))&gt;=AH495,TRUE,FALSE))</f>
        <v>1</v>
      </c>
      <c r="AJ495" s="158"/>
      <c r="AK495" s="158"/>
      <c r="AL495" s="158"/>
      <c r="AM495" s="158" t="b">
        <f>IF(AJ495="",TRUE,IF(IF(AK495="",VLOOKUP(AJ495,Calculs!$A$19:$S$425,19,FALSE),VLOOKUP(AK495,Calculs!$A$19:$S$425,19,FALSE))&gt;=AL495,TRUE,FALSE))</f>
        <v>1</v>
      </c>
      <c r="AN495" s="158"/>
      <c r="AO495" s="158"/>
      <c r="AP495" s="158"/>
      <c r="AQ495" s="158" t="b">
        <f>IF(AN495="",TRUE,IF(IF(AO495="",VLOOKUP(AN495,Calculs!$A$19:$S$425,19,FALSE),VLOOKUP(AO495,Calculs!$A$19:$S$425,19,FALSE))&gt;=AP495,TRUE,FALSE))</f>
        <v>1</v>
      </c>
      <c r="AR495" s="158"/>
      <c r="AS495" s="158" t="b">
        <f>IF(AR495="",TRUE,IF(VLOOKUP(AR495,Calculs!$A$427:$G$738,7,FALSE)&gt;0,TRUE,FALSE))</f>
        <v>1</v>
      </c>
      <c r="AT495" s="158"/>
      <c r="AU495" s="158" t="b">
        <f>IF(AT495="",TRUE,IF(VLOOKUP(AT495,Calculs!$A$740:$G$912,7,FALSE)&gt;0,TRUE,FALSE))</f>
        <v>1</v>
      </c>
      <c r="AV495" s="158" t="b">
        <f t="shared" si="53"/>
        <v>1</v>
      </c>
      <c r="AW495" s="158" t="s">
        <v>2078</v>
      </c>
      <c r="AX495" s="162" t="s">
        <v>143</v>
      </c>
      <c r="AY495" s="15">
        <v>117</v>
      </c>
      <c r="AZ495" s="555" t="s">
        <v>2389</v>
      </c>
      <c r="BA495" s="559">
        <f>IF(Verso!$B$10=Voies!$B495,1,0)</f>
        <v>0</v>
      </c>
      <c r="BB495" s="12">
        <f>IF(Verso!$B$11=Voies!$B495,1,0)</f>
        <v>0</v>
      </c>
      <c r="BC495" s="12">
        <f>IF(Verso!$B$12=Voies!$B495,1,0)</f>
        <v>0</v>
      </c>
      <c r="BD495" s="12">
        <f>IF(Verso!$B$13=Voies!$B495,1,0)</f>
        <v>0</v>
      </c>
      <c r="BE495" s="12">
        <f>IF(Verso!$B$14=Voies!$B495,1,0)</f>
        <v>0</v>
      </c>
      <c r="BF495" s="12">
        <f>IF(Verso!$B$15=Voies!$B495,1,0)</f>
        <v>0</v>
      </c>
      <c r="BG495" s="12">
        <f>IF(Verso!$B$16=Voies!$B495,1,0)</f>
        <v>0</v>
      </c>
      <c r="BH495" s="12">
        <f>IF(Verso!$B$17=Voies!$B495,1,0)</f>
        <v>0</v>
      </c>
      <c r="BI495" s="557">
        <f t="shared" si="54"/>
        <v>0</v>
      </c>
      <c r="BJ495" s="196" t="str">
        <f t="shared" si="55"/>
        <v/>
      </c>
      <c r="BK495" s="196" t="str">
        <f t="shared" si="56"/>
        <v/>
      </c>
      <c r="BL495" s="295" t="str">
        <f t="shared" si="57"/>
        <v/>
      </c>
    </row>
    <row r="496" spans="1:64" ht="47.25" customHeight="1" x14ac:dyDescent="0.25">
      <c r="A496" s="162" t="str">
        <f>IF(AND(Réputation&gt;Voies!E496-1,OR(C496=TRUE,Calculs!$I$8&gt;0),Air&gt;Voies!J496-1,Eau&gt;Voies!K496-1,Feu&gt;Voies!L496-1,Terre&gt;Voies!M496-1,Vide&gt;Voies!N496-1,Constitution&gt;Voies!O496-1,Volonté&gt;Voies!P496-1,Force&gt;Voies!Q496-1,Perception&gt;Voies!R496-1,Reflexes&gt;Voies!S496-1,Agilité&gt;Voies!T496-1,Intuition&gt;Voies!U496-1,Intelligence&gt;Voies!V496-1,Souillure&gt;Voies!W496-1,Honneur&gt;X496-1,Statut&gt;Y496-1,Gloire&gt;Z496-1,AV496=TRUE),Voies!B496,"")</f>
        <v/>
      </c>
      <c r="B496" s="162" t="s">
        <v>6071</v>
      </c>
      <c r="C496" s="162" t="b">
        <f>IF(Clan=Voies!D496,TRUE,FALSE)</f>
        <v>0</v>
      </c>
      <c r="D496" s="387" t="s">
        <v>179</v>
      </c>
      <c r="E496" s="13">
        <v>1</v>
      </c>
      <c r="F496" s="199">
        <v>1</v>
      </c>
      <c r="G496" s="13" t="s">
        <v>2048</v>
      </c>
      <c r="H496" s="219" t="s">
        <v>3377</v>
      </c>
      <c r="I496" s="129" t="s">
        <v>3370</v>
      </c>
      <c r="J496" s="146">
        <v>0</v>
      </c>
      <c r="K496" s="147">
        <v>0</v>
      </c>
      <c r="L496" s="148">
        <v>0</v>
      </c>
      <c r="M496" s="149">
        <v>0</v>
      </c>
      <c r="N496" s="150">
        <v>0</v>
      </c>
      <c r="O496" s="130">
        <v>0</v>
      </c>
      <c r="P496" s="130">
        <v>0</v>
      </c>
      <c r="Q496" s="130">
        <v>0</v>
      </c>
      <c r="R496" s="130">
        <v>0</v>
      </c>
      <c r="S496" s="130">
        <v>0</v>
      </c>
      <c r="T496" s="130">
        <v>0</v>
      </c>
      <c r="U496" s="130">
        <v>0</v>
      </c>
      <c r="V496" s="524">
        <v>0</v>
      </c>
      <c r="W496" s="130">
        <v>0</v>
      </c>
      <c r="X496" s="130">
        <v>0</v>
      </c>
      <c r="Y496" s="130">
        <v>0</v>
      </c>
      <c r="Z496" s="130">
        <v>0</v>
      </c>
      <c r="AA496" s="158" t="s">
        <v>2078</v>
      </c>
      <c r="AB496" s="158"/>
      <c r="AC496" s="158"/>
      <c r="AD496" s="158"/>
      <c r="AE496" s="158" t="b">
        <f>IF(AB496="",TRUE,IF(IF(AC496="",VLOOKUP(AB496,Calculs!$A$19:$S$425,19,FALSE),VLOOKUP(AC496,Calculs!$A$19:$S$425,19,FALSE))&gt;=AD496,TRUE,FALSE))</f>
        <v>1</v>
      </c>
      <c r="AF496" s="158"/>
      <c r="AG496" s="158"/>
      <c r="AH496" s="158"/>
      <c r="AI496" s="158" t="b">
        <f>IF(AF496="",TRUE,IF(IF(AG496="",VLOOKUP(AF496,Calculs!$A$19:$S$425,19,FALSE),VLOOKUP(AG496,Calculs!$A$19:$S$425,19,FALSE))&gt;=AH496,TRUE,FALSE))</f>
        <v>1</v>
      </c>
      <c r="AJ496" s="158"/>
      <c r="AK496" s="158"/>
      <c r="AL496" s="158"/>
      <c r="AM496" s="158" t="b">
        <f>IF(AJ496="",TRUE,IF(IF(AK496="",VLOOKUP(AJ496,Calculs!$A$19:$S$425,19,FALSE),VLOOKUP(AK496,Calculs!$A$19:$S$425,19,FALSE))&gt;=AL496,TRUE,FALSE))</f>
        <v>1</v>
      </c>
      <c r="AN496" s="158"/>
      <c r="AO496" s="158"/>
      <c r="AP496" s="158"/>
      <c r="AQ496" s="158" t="b">
        <f>IF(AN496="",TRUE,IF(IF(AO496="",VLOOKUP(AN496,Calculs!$A$19:$S$425,19,FALSE),VLOOKUP(AO496,Calculs!$A$19:$S$425,19,FALSE))&gt;=AP496,TRUE,FALSE))</f>
        <v>1</v>
      </c>
      <c r="AR496" s="158"/>
      <c r="AS496" s="158" t="b">
        <f>IF(AR496="",TRUE,IF(VLOOKUP(AR496,Calculs!$A$427:$G$738,7,FALSE)&gt;0,TRUE,FALSE))</f>
        <v>1</v>
      </c>
      <c r="AT496" s="158"/>
      <c r="AU496" s="158" t="b">
        <f>IF(AT496="",TRUE,IF(VLOOKUP(AT496,Calculs!$A$740:$G$912,7,FALSE)&gt;0,TRUE,FALSE))</f>
        <v>1</v>
      </c>
      <c r="AV496" s="158" t="b">
        <f t="shared" si="53"/>
        <v>1</v>
      </c>
      <c r="AW496" s="158" t="s">
        <v>2078</v>
      </c>
      <c r="AX496" s="162" t="s">
        <v>6061</v>
      </c>
      <c r="AY496" s="15">
        <v>130</v>
      </c>
      <c r="AZ496" s="555" t="s">
        <v>3380</v>
      </c>
      <c r="BA496" s="559">
        <f>IF(Verso!$B$10=Voies!$B496,1,0)</f>
        <v>0</v>
      </c>
      <c r="BB496" s="12">
        <f>IF(Verso!$B$11=Voies!$B496,1,0)</f>
        <v>0</v>
      </c>
      <c r="BC496" s="12">
        <f>IF(Verso!$B$12=Voies!$B496,1,0)</f>
        <v>0</v>
      </c>
      <c r="BD496" s="12">
        <f>IF(Verso!$B$13=Voies!$B496,1,0)</f>
        <v>0</v>
      </c>
      <c r="BE496" s="12">
        <f>IF(Verso!$B$14=Voies!$B496,1,0)</f>
        <v>0</v>
      </c>
      <c r="BF496" s="12">
        <f>IF(Verso!$B$15=Voies!$B496,1,0)</f>
        <v>0</v>
      </c>
      <c r="BG496" s="12">
        <f>IF(Verso!$B$16=Voies!$B496,1,0)</f>
        <v>0</v>
      </c>
      <c r="BH496" s="12">
        <f>IF(Verso!$B$17=Voies!$B496,1,0)</f>
        <v>0</v>
      </c>
      <c r="BI496" s="557">
        <f t="shared" si="54"/>
        <v>0</v>
      </c>
      <c r="BJ496" s="196" t="str">
        <f t="shared" si="55"/>
        <v/>
      </c>
      <c r="BK496" s="196" t="str">
        <f t="shared" si="56"/>
        <v/>
      </c>
      <c r="BL496" s="295" t="str">
        <f t="shared" si="57"/>
        <v/>
      </c>
    </row>
    <row r="497" spans="1:65" ht="47.25" customHeight="1" x14ac:dyDescent="0.25">
      <c r="A497" s="162" t="str">
        <f>IF(AND(Réputation&gt;Voies!E497-1,OR(C497=TRUE,Calculs!$I$8&gt;0),Air&gt;Voies!J497-1,Eau&gt;Voies!K497-1,Feu&gt;Voies!L497-1,Terre&gt;Voies!M497-1,Vide&gt;Voies!N497-1,Constitution&gt;Voies!O497-1,Volonté&gt;Voies!P497-1,Force&gt;Voies!Q497-1,Perception&gt;Voies!R497-1,Reflexes&gt;Voies!S497-1,Agilité&gt;Voies!T497-1,Intuition&gt;Voies!U497-1,Intelligence&gt;Voies!V497-1,Souillure&gt;Voies!W497-1,Honneur&gt;X497-1,Statut&gt;Y497-1,Gloire&gt;Z497-1,AV497=TRUE),Voies!B497,"")</f>
        <v/>
      </c>
      <c r="B497" s="162" t="s">
        <v>2380</v>
      </c>
      <c r="C497" s="162" t="b">
        <f>IF(Clan=Voies!D497,TRUE,FALSE)</f>
        <v>0</v>
      </c>
      <c r="D497" s="387" t="s">
        <v>179</v>
      </c>
      <c r="E497" s="13">
        <v>2</v>
      </c>
      <c r="F497" s="199">
        <v>2</v>
      </c>
      <c r="G497" s="13" t="s">
        <v>2049</v>
      </c>
      <c r="H497" s="219" t="s">
        <v>242</v>
      </c>
      <c r="I497" s="129" t="str">
        <f>IF(B497="","","Rien")</f>
        <v>Rien</v>
      </c>
      <c r="J497" s="146">
        <v>0</v>
      </c>
      <c r="K497" s="147">
        <v>0</v>
      </c>
      <c r="L497" s="148">
        <v>0</v>
      </c>
      <c r="M497" s="149">
        <v>0</v>
      </c>
      <c r="N497" s="150">
        <v>0</v>
      </c>
      <c r="O497" s="130">
        <v>0</v>
      </c>
      <c r="P497" s="130">
        <v>0</v>
      </c>
      <c r="Q497" s="130">
        <v>0</v>
      </c>
      <c r="R497" s="130">
        <v>0</v>
      </c>
      <c r="S497" s="130">
        <v>0</v>
      </c>
      <c r="T497" s="130">
        <v>0</v>
      </c>
      <c r="U497" s="130">
        <v>0</v>
      </c>
      <c r="V497" s="524">
        <v>0</v>
      </c>
      <c r="W497" s="130">
        <v>0</v>
      </c>
      <c r="X497" s="130">
        <v>0</v>
      </c>
      <c r="Y497" s="130">
        <v>0</v>
      </c>
      <c r="Z497" s="130">
        <v>0</v>
      </c>
      <c r="AA497" s="158" t="s">
        <v>2078</v>
      </c>
      <c r="AB497" s="158"/>
      <c r="AC497" s="158"/>
      <c r="AD497" s="158"/>
      <c r="AE497" s="158" t="b">
        <f>IF(AB497="",TRUE,IF(IF(AC497="",VLOOKUP(AB497,Calculs!$A$19:$S$425,19,FALSE),VLOOKUP(AC497,Calculs!$A$19:$S$425,19,FALSE))&gt;=AD497,TRUE,FALSE))</f>
        <v>1</v>
      </c>
      <c r="AF497" s="158"/>
      <c r="AG497" s="158"/>
      <c r="AH497" s="158"/>
      <c r="AI497" s="158" t="b">
        <f>IF(AF497="",TRUE,IF(IF(AG497="",VLOOKUP(AF497,Calculs!$A$19:$S$425,19,FALSE),VLOOKUP(AG497,Calculs!$A$19:$S$425,19,FALSE))&gt;=AH497,TRUE,FALSE))</f>
        <v>1</v>
      </c>
      <c r="AJ497" s="158"/>
      <c r="AK497" s="158"/>
      <c r="AL497" s="158"/>
      <c r="AM497" s="158" t="b">
        <f>IF(AJ497="",TRUE,IF(IF(AK497="",VLOOKUP(AJ497,Calculs!$A$19:$S$425,19,FALSE),VLOOKUP(AK497,Calculs!$A$19:$S$425,19,FALSE))&gt;=AL497,TRUE,FALSE))</f>
        <v>1</v>
      </c>
      <c r="AN497" s="158"/>
      <c r="AO497" s="158"/>
      <c r="AP497" s="158"/>
      <c r="AQ497" s="158" t="b">
        <f>IF(AN497="",TRUE,IF(IF(AO497="",VLOOKUP(AN497,Calculs!$A$19:$S$425,19,FALSE),VLOOKUP(AO497,Calculs!$A$19:$S$425,19,FALSE))&gt;=AP497,TRUE,FALSE))</f>
        <v>1</v>
      </c>
      <c r="AR497" s="158"/>
      <c r="AS497" s="158" t="b">
        <f>IF(AR497="",TRUE,IF(VLOOKUP(AR497,Calculs!$A$427:$G$738,7,FALSE)&gt;0,TRUE,FALSE))</f>
        <v>1</v>
      </c>
      <c r="AT497" s="158"/>
      <c r="AU497" s="158" t="b">
        <f>IF(AT497="",TRUE,IF(VLOOKUP(AT497,Calculs!$A$740:$G$912,7,FALSE)&gt;0,TRUE,FALSE))</f>
        <v>1</v>
      </c>
      <c r="AV497" s="158" t="b">
        <f t="shared" si="53"/>
        <v>1</v>
      </c>
      <c r="AW497" s="158" t="s">
        <v>2078</v>
      </c>
      <c r="AX497" s="162" t="s">
        <v>143</v>
      </c>
      <c r="AY497" s="15">
        <v>117</v>
      </c>
      <c r="AZ497" s="555" t="s">
        <v>2385</v>
      </c>
      <c r="BA497" s="559">
        <f>IF(Verso!$B$10=Voies!$B497,1,0)</f>
        <v>0</v>
      </c>
      <c r="BB497" s="12">
        <f>IF(Verso!$B$11=Voies!$B497,1,0)</f>
        <v>0</v>
      </c>
      <c r="BC497" s="12">
        <f>IF(Verso!$B$12=Voies!$B497,1,0)</f>
        <v>0</v>
      </c>
      <c r="BD497" s="12">
        <f>IF(Verso!$B$13=Voies!$B497,1,0)</f>
        <v>0</v>
      </c>
      <c r="BE497" s="12">
        <f>IF(Verso!$B$14=Voies!$B497,1,0)</f>
        <v>0</v>
      </c>
      <c r="BF497" s="12">
        <f>IF(Verso!$B$15=Voies!$B497,1,0)</f>
        <v>0</v>
      </c>
      <c r="BG497" s="12">
        <f>IF(Verso!$B$16=Voies!$B497,1,0)</f>
        <v>0</v>
      </c>
      <c r="BH497" s="12">
        <f>IF(Verso!$B$17=Voies!$B497,1,0)</f>
        <v>0</v>
      </c>
      <c r="BI497" s="557">
        <f t="shared" si="54"/>
        <v>0</v>
      </c>
      <c r="BJ497" s="196" t="str">
        <f t="shared" si="55"/>
        <v/>
      </c>
      <c r="BK497" s="196" t="str">
        <f t="shared" si="56"/>
        <v/>
      </c>
      <c r="BL497" s="295" t="str">
        <f t="shared" si="57"/>
        <v/>
      </c>
    </row>
    <row r="498" spans="1:65" ht="47.25" customHeight="1" x14ac:dyDescent="0.25">
      <c r="A498" s="162" t="str">
        <f>IF(AND(Réputation&gt;Voies!E498-1,OR(C498=TRUE,Calculs!$I$8&gt;0),Air&gt;Voies!J498-1,Eau&gt;Voies!K498-1,Feu&gt;Voies!L498-1,Terre&gt;Voies!M498-1,Vide&gt;Voies!N498-1,Constitution&gt;Voies!O498-1,Volonté&gt;Voies!P498-1,Force&gt;Voies!Q498-1,Perception&gt;Voies!R498-1,Reflexes&gt;Voies!S498-1,Agilité&gt;Voies!T498-1,Intuition&gt;Voies!U498-1,Intelligence&gt;Voies!V498-1,Souillure&gt;Voies!W498-1,Honneur&gt;X498-1,Statut&gt;Y498-1,Gloire&gt;Z498-1,AV498=TRUE),Voies!B498,"")</f>
        <v/>
      </c>
      <c r="B498" s="162" t="s">
        <v>2675</v>
      </c>
      <c r="C498" s="162" t="b">
        <f>IF(Clan=Voies!D498,TRUE,FALSE)</f>
        <v>0</v>
      </c>
      <c r="D498" s="387" t="s">
        <v>179</v>
      </c>
      <c r="E498" s="13">
        <v>2</v>
      </c>
      <c r="F498" s="199">
        <v>2</v>
      </c>
      <c r="G498" s="13" t="s">
        <v>2049</v>
      </c>
      <c r="H498" s="219" t="s">
        <v>243</v>
      </c>
      <c r="I498" s="129" t="str">
        <f>IF(B498="","","Rien")</f>
        <v>Rien</v>
      </c>
      <c r="J498" s="146">
        <v>0</v>
      </c>
      <c r="K498" s="147">
        <v>0</v>
      </c>
      <c r="L498" s="148">
        <v>0</v>
      </c>
      <c r="M498" s="149">
        <v>0</v>
      </c>
      <c r="N498" s="150">
        <v>0</v>
      </c>
      <c r="O498" s="130">
        <v>0</v>
      </c>
      <c r="P498" s="130">
        <v>0</v>
      </c>
      <c r="Q498" s="130">
        <v>0</v>
      </c>
      <c r="R498" s="130">
        <v>0</v>
      </c>
      <c r="S498" s="130">
        <v>0</v>
      </c>
      <c r="T498" s="130">
        <v>0</v>
      </c>
      <c r="U498" s="130">
        <v>0</v>
      </c>
      <c r="V498" s="524">
        <v>0</v>
      </c>
      <c r="W498" s="130">
        <v>0</v>
      </c>
      <c r="X498" s="130">
        <v>0</v>
      </c>
      <c r="Y498" s="130">
        <v>0</v>
      </c>
      <c r="Z498" s="130">
        <v>0</v>
      </c>
      <c r="AA498" s="158" t="s">
        <v>2078</v>
      </c>
      <c r="AB498" s="158"/>
      <c r="AC498" s="158"/>
      <c r="AD498" s="158"/>
      <c r="AE498" s="158" t="b">
        <f>IF(AB498="",TRUE,IF(IF(AC498="",VLOOKUP(AB498,Calculs!$A$19:$S$425,19,FALSE),VLOOKUP(AC498,Calculs!$A$19:$S$425,19,FALSE))&gt;=AD498,TRUE,FALSE))</f>
        <v>1</v>
      </c>
      <c r="AF498" s="158"/>
      <c r="AG498" s="158"/>
      <c r="AH498" s="158"/>
      <c r="AI498" s="158" t="b">
        <f>IF(AF498="",TRUE,IF(IF(AG498="",VLOOKUP(AF498,Calculs!$A$19:$S$425,19,FALSE),VLOOKUP(AG498,Calculs!$A$19:$S$425,19,FALSE))&gt;=AH498,TRUE,FALSE))</f>
        <v>1</v>
      </c>
      <c r="AJ498" s="158"/>
      <c r="AK498" s="158"/>
      <c r="AL498" s="158"/>
      <c r="AM498" s="158" t="b">
        <f>IF(AJ498="",TRUE,IF(IF(AK498="",VLOOKUP(AJ498,Calculs!$A$19:$S$425,19,FALSE),VLOOKUP(AK498,Calculs!$A$19:$S$425,19,FALSE))&gt;=AL498,TRUE,FALSE))</f>
        <v>1</v>
      </c>
      <c r="AN498" s="158"/>
      <c r="AO498" s="158"/>
      <c r="AP498" s="158"/>
      <c r="AQ498" s="158" t="b">
        <f>IF(AN498="",TRUE,IF(IF(AO498="",VLOOKUP(AN498,Calculs!$A$19:$S$425,19,FALSE),VLOOKUP(AO498,Calculs!$A$19:$S$425,19,FALSE))&gt;=AP498,TRUE,FALSE))</f>
        <v>1</v>
      </c>
      <c r="AR498" s="158"/>
      <c r="AS498" s="158" t="b">
        <f>IF(AR498="",TRUE,IF(VLOOKUP(AR498,Calculs!$A$427:$G$738,7,FALSE)&gt;0,TRUE,FALSE))</f>
        <v>1</v>
      </c>
      <c r="AT498" s="158"/>
      <c r="AU498" s="158" t="b">
        <f>IF(AT498="",TRUE,IF(VLOOKUP(AT498,Calculs!$A$740:$G$912,7,FALSE)&gt;0,TRUE,FALSE))</f>
        <v>1</v>
      </c>
      <c r="AV498" s="158" t="b">
        <f t="shared" si="53"/>
        <v>1</v>
      </c>
      <c r="AW498" s="158" t="s">
        <v>2078</v>
      </c>
      <c r="AX498" s="162" t="s">
        <v>5202</v>
      </c>
      <c r="AY498" s="15">
        <v>31</v>
      </c>
      <c r="AZ498" s="555" t="s">
        <v>8588</v>
      </c>
      <c r="BA498" s="559">
        <f>IF(Verso!$B$10=Voies!$B498,1,0)</f>
        <v>0</v>
      </c>
      <c r="BB498" s="12">
        <f>IF(Verso!$B$11=Voies!$B498,1,0)</f>
        <v>0</v>
      </c>
      <c r="BC498" s="12">
        <f>IF(Verso!$B$12=Voies!$B498,1,0)</f>
        <v>0</v>
      </c>
      <c r="BD498" s="12">
        <f>IF(Verso!$B$13=Voies!$B498,1,0)</f>
        <v>0</v>
      </c>
      <c r="BE498" s="12">
        <f>IF(Verso!$B$14=Voies!$B498,1,0)</f>
        <v>0</v>
      </c>
      <c r="BF498" s="12">
        <f>IF(Verso!$B$15=Voies!$B498,1,0)</f>
        <v>0</v>
      </c>
      <c r="BG498" s="12">
        <f>IF(Verso!$B$16=Voies!$B498,1,0)</f>
        <v>0</v>
      </c>
      <c r="BH498" s="12">
        <f>IF(Verso!$B$17=Voies!$B498,1,0)</f>
        <v>0</v>
      </c>
      <c r="BI498" s="557">
        <f t="shared" si="54"/>
        <v>0</v>
      </c>
      <c r="BJ498" s="196" t="str">
        <f t="shared" si="55"/>
        <v/>
      </c>
      <c r="BK498" s="196" t="str">
        <f t="shared" si="56"/>
        <v/>
      </c>
      <c r="BL498" s="295" t="str">
        <f t="shared" si="57"/>
        <v/>
      </c>
    </row>
    <row r="499" spans="1:65" ht="47.25" customHeight="1" x14ac:dyDescent="0.25">
      <c r="A499" s="162" t="str">
        <f>IF(AND(Réputation&gt;Voies!E499-1,OR(C499=TRUE,Calculs!$I$8&gt;0),Air&gt;Voies!J499-1,Eau&gt;Voies!K499-1,Feu&gt;Voies!L499-1,Terre&gt;Voies!M499-1,Vide&gt;Voies!N499-1,Constitution&gt;Voies!O499-1,Volonté&gt;Voies!P499-1,Force&gt;Voies!Q499-1,Perception&gt;Voies!R499-1,Reflexes&gt;Voies!S499-1,Agilité&gt;Voies!T499-1,Intuition&gt;Voies!U499-1,Intelligence&gt;Voies!V499-1,Souillure&gt;Voies!W499-1,Honneur&gt;X499-1,Statut&gt;Y499-1,Gloire&gt;Z499-1,AV499=TRUE),Voies!B499,"")</f>
        <v/>
      </c>
      <c r="B499" s="162" t="s">
        <v>3150</v>
      </c>
      <c r="C499" s="162" t="b">
        <f>IF(Clan=Voies!D499,TRUE,FALSE)</f>
        <v>0</v>
      </c>
      <c r="D499" s="387" t="s">
        <v>179</v>
      </c>
      <c r="E499" s="13">
        <v>2</v>
      </c>
      <c r="F499" s="199">
        <v>2</v>
      </c>
      <c r="G499" s="13" t="s">
        <v>2049</v>
      </c>
      <c r="H499" s="219" t="s">
        <v>540</v>
      </c>
      <c r="I499" s="129" t="s">
        <v>3870</v>
      </c>
      <c r="J499" s="146">
        <v>0</v>
      </c>
      <c r="K499" s="147">
        <v>0</v>
      </c>
      <c r="L499" s="148">
        <v>0</v>
      </c>
      <c r="M499" s="149">
        <v>0</v>
      </c>
      <c r="N499" s="150">
        <v>0</v>
      </c>
      <c r="O499" s="130">
        <v>0</v>
      </c>
      <c r="P499" s="130">
        <v>0</v>
      </c>
      <c r="Q499" s="130">
        <v>0</v>
      </c>
      <c r="R499" s="130">
        <v>0</v>
      </c>
      <c r="S499" s="130">
        <v>0</v>
      </c>
      <c r="T499" s="130">
        <v>0</v>
      </c>
      <c r="U499" s="130">
        <v>0</v>
      </c>
      <c r="V499" s="524">
        <v>0</v>
      </c>
      <c r="W499" s="130">
        <v>0</v>
      </c>
      <c r="X499" s="130">
        <v>0</v>
      </c>
      <c r="Y499" s="130">
        <v>0</v>
      </c>
      <c r="Z499" s="130">
        <v>0</v>
      </c>
      <c r="AA499" s="159" t="s">
        <v>3151</v>
      </c>
      <c r="AB499" s="159" t="s">
        <v>1282</v>
      </c>
      <c r="AD499" s="159">
        <v>3</v>
      </c>
      <c r="AE499" s="158" t="b">
        <f>IF(AB499="",TRUE,IF(IF(AC499="",VLOOKUP(AB499,Calculs!$A$19:$S$425,19,FALSE),VLOOKUP(AC499,Calculs!$A$19:$S$425,19,FALSE))&gt;=AD499,TRUE,FALSE))</f>
        <v>0</v>
      </c>
      <c r="AI499" s="158" t="b">
        <f>IF(AF499="",TRUE,IF(IF(AG499="",VLOOKUP(AF499,Calculs!$A$19:$S$425,19,FALSE),VLOOKUP(AG499,Calculs!$A$19:$S$425,19,FALSE))&gt;=AH499,TRUE,FALSE))</f>
        <v>1</v>
      </c>
      <c r="AM499" s="158" t="b">
        <f>IF(AJ499="",TRUE,IF(IF(AK499="",VLOOKUP(AJ499,Calculs!$A$19:$S$425,19,FALSE),VLOOKUP(AK499,Calculs!$A$19:$S$425,19,FALSE))&gt;=AL499,TRUE,FALSE))</f>
        <v>1</v>
      </c>
      <c r="AQ499" s="158" t="b">
        <f>IF(AN499="",TRUE,IF(IF(AO499="",VLOOKUP(AN499,Calculs!$A$19:$S$425,19,FALSE),VLOOKUP(AO499,Calculs!$A$19:$S$425,19,FALSE))&gt;=AP499,TRUE,FALSE))</f>
        <v>1</v>
      </c>
      <c r="AR499" s="158"/>
      <c r="AS499" s="158" t="b">
        <f>IF(AR499="",TRUE,IF(VLOOKUP(AR499,Calculs!$A$427:$G$738,7,FALSE)&gt;0,TRUE,FALSE))</f>
        <v>1</v>
      </c>
      <c r="AT499" s="158"/>
      <c r="AU499" s="158" t="b">
        <f>IF(AT499="",TRUE,IF(VLOOKUP(AT499,Calculs!$A$740:$G$912,7,FALSE)&gt;0,TRUE,FALSE))</f>
        <v>1</v>
      </c>
      <c r="AV499" s="158" t="b">
        <f t="shared" si="53"/>
        <v>0</v>
      </c>
      <c r="AW499" s="158" t="s">
        <v>2078</v>
      </c>
      <c r="AX499" s="162" t="s">
        <v>3</v>
      </c>
      <c r="AY499" s="15">
        <v>255</v>
      </c>
      <c r="AZ499" s="555" t="s">
        <v>3152</v>
      </c>
      <c r="BA499" s="559">
        <f>IF(Verso!$B$10=Voies!$B499,1,0)</f>
        <v>0</v>
      </c>
      <c r="BB499" s="12">
        <f>IF(Verso!$B$11=Voies!$B499,1,0)</f>
        <v>0</v>
      </c>
      <c r="BC499" s="12">
        <f>IF(Verso!$B$12=Voies!$B499,1,0)</f>
        <v>0</v>
      </c>
      <c r="BD499" s="12">
        <f>IF(Verso!$B$13=Voies!$B499,1,0)</f>
        <v>0</v>
      </c>
      <c r="BE499" s="12">
        <f>IF(Verso!$B$14=Voies!$B499,1,0)</f>
        <v>0</v>
      </c>
      <c r="BF499" s="12">
        <f>IF(Verso!$B$15=Voies!$B499,1,0)</f>
        <v>0</v>
      </c>
      <c r="BG499" s="12">
        <f>IF(Verso!$B$16=Voies!$B499,1,0)</f>
        <v>0</v>
      </c>
      <c r="BH499" s="12">
        <f>IF(Verso!$B$17=Voies!$B499,1,0)</f>
        <v>0</v>
      </c>
      <c r="BI499" s="557">
        <f t="shared" si="54"/>
        <v>0</v>
      </c>
      <c r="BJ499" s="196" t="str">
        <f t="shared" si="55"/>
        <v/>
      </c>
      <c r="BK499" s="196" t="str">
        <f t="shared" si="56"/>
        <v/>
      </c>
      <c r="BL499" s="295" t="str">
        <f t="shared" si="57"/>
        <v/>
      </c>
    </row>
    <row r="500" spans="1:65" ht="47.25" customHeight="1" x14ac:dyDescent="0.25">
      <c r="A500" s="162" t="str">
        <f>IF(AND(Réputation&gt;Voies!E500-1,OR(C500=TRUE,Calculs!$I$8&gt;0),Air&gt;Voies!J500-1,Eau&gt;Voies!K500-1,Feu&gt;Voies!L500-1,Terre&gt;Voies!M500-1,Vide&gt;Voies!N500-1,Constitution&gt;Voies!O500-1,Volonté&gt;Voies!P500-1,Force&gt;Voies!Q500-1,Perception&gt;Voies!R500-1,Reflexes&gt;Voies!S500-1,Agilité&gt;Voies!T500-1,Intuition&gt;Voies!U500-1,Intelligence&gt;Voies!V500-1,Souillure&gt;Voies!W500-1,Honneur&gt;X500-1,Statut&gt;Y500-1,Gloire&gt;Z500-1,AV500=TRUE),Voies!B500,"")</f>
        <v/>
      </c>
      <c r="B500" s="162" t="s">
        <v>2751</v>
      </c>
      <c r="C500" s="162" t="b">
        <f>IF(Clan=Voies!D500,TRUE,FALSE)</f>
        <v>0</v>
      </c>
      <c r="D500" s="387" t="s">
        <v>179</v>
      </c>
      <c r="E500" s="13">
        <v>2</v>
      </c>
      <c r="F500" s="199">
        <v>2</v>
      </c>
      <c r="G500" s="13" t="s">
        <v>2049</v>
      </c>
      <c r="H500" s="219" t="s">
        <v>244</v>
      </c>
      <c r="I500" s="129" t="str">
        <f>IF(B500="","","Rien")</f>
        <v>Rien</v>
      </c>
      <c r="J500" s="146">
        <v>0</v>
      </c>
      <c r="K500" s="147">
        <v>0</v>
      </c>
      <c r="L500" s="148">
        <v>0</v>
      </c>
      <c r="M500" s="149">
        <v>0</v>
      </c>
      <c r="N500" s="150">
        <v>0</v>
      </c>
      <c r="O500" s="130">
        <v>0</v>
      </c>
      <c r="P500" s="130">
        <v>0</v>
      </c>
      <c r="Q500" s="130">
        <v>0</v>
      </c>
      <c r="R500" s="130">
        <v>0</v>
      </c>
      <c r="S500" s="130">
        <v>0</v>
      </c>
      <c r="T500" s="130">
        <v>0</v>
      </c>
      <c r="U500" s="130">
        <v>0</v>
      </c>
      <c r="V500" s="524">
        <v>0</v>
      </c>
      <c r="W500" s="130">
        <v>0</v>
      </c>
      <c r="X500" s="130">
        <v>0</v>
      </c>
      <c r="Y500" s="130">
        <v>0</v>
      </c>
      <c r="Z500" s="130">
        <v>0</v>
      </c>
      <c r="AA500" s="158" t="s">
        <v>2078</v>
      </c>
      <c r="AB500" s="158"/>
      <c r="AC500" s="158"/>
      <c r="AD500" s="158"/>
      <c r="AE500" s="158" t="b">
        <f>IF(AB500="",TRUE,IF(IF(AC500="",VLOOKUP(AB500,Calculs!$A$19:$S$425,19,FALSE),VLOOKUP(AC500,Calculs!$A$19:$S$425,19,FALSE))&gt;=AD500,TRUE,FALSE))</f>
        <v>1</v>
      </c>
      <c r="AF500" s="158"/>
      <c r="AG500" s="158"/>
      <c r="AH500" s="158"/>
      <c r="AI500" s="158" t="b">
        <f>IF(AF500="",TRUE,IF(IF(AG500="",VLOOKUP(AF500,Calculs!$A$19:$S$425,19,FALSE),VLOOKUP(AG500,Calculs!$A$19:$S$425,19,FALSE))&gt;=AH500,TRUE,FALSE))</f>
        <v>1</v>
      </c>
      <c r="AJ500" s="158"/>
      <c r="AK500" s="158"/>
      <c r="AL500" s="158"/>
      <c r="AM500" s="158" t="b">
        <f>IF(AJ500="",TRUE,IF(IF(AK500="",VLOOKUP(AJ500,Calculs!$A$19:$S$425,19,FALSE),VLOOKUP(AK500,Calculs!$A$19:$S$425,19,FALSE))&gt;=AL500,TRUE,FALSE))</f>
        <v>1</v>
      </c>
      <c r="AN500" s="158"/>
      <c r="AO500" s="158"/>
      <c r="AP500" s="158"/>
      <c r="AQ500" s="158" t="b">
        <f>IF(AN500="",TRUE,IF(IF(AO500="",VLOOKUP(AN500,Calculs!$A$19:$S$425,19,FALSE),VLOOKUP(AO500,Calculs!$A$19:$S$425,19,FALSE))&gt;=AP500,TRUE,FALSE))</f>
        <v>1</v>
      </c>
      <c r="AR500" s="158"/>
      <c r="AS500" s="158" t="b">
        <f>IF(AR500="",TRUE,IF(VLOOKUP(AR500,Calculs!$A$427:$G$738,7,FALSE)&gt;0,TRUE,FALSE))</f>
        <v>1</v>
      </c>
      <c r="AT500" s="158"/>
      <c r="AU500" s="158" t="b">
        <f>IF(AT500="",TRUE,IF(VLOOKUP(AT500,Calculs!$A$740:$G$912,7,FALSE)&gt;0,TRUE,FALSE))</f>
        <v>1</v>
      </c>
      <c r="AV500" s="158" t="b">
        <f t="shared" si="53"/>
        <v>1</v>
      </c>
      <c r="AW500" s="158" t="s">
        <v>2078</v>
      </c>
      <c r="AX500" s="162" t="s">
        <v>2076</v>
      </c>
      <c r="AY500" s="15">
        <v>169</v>
      </c>
      <c r="AZ500" s="555" t="s">
        <v>2755</v>
      </c>
      <c r="BA500" s="559">
        <f>IF(Verso!$B$10=Voies!$B500,1,0)</f>
        <v>0</v>
      </c>
      <c r="BB500" s="12">
        <f>IF(Verso!$B$11=Voies!$B500,1,0)</f>
        <v>0</v>
      </c>
      <c r="BC500" s="12">
        <f>IF(Verso!$B$12=Voies!$B500,1,0)</f>
        <v>0</v>
      </c>
      <c r="BD500" s="12">
        <f>IF(Verso!$B$13=Voies!$B500,1,0)</f>
        <v>0</v>
      </c>
      <c r="BE500" s="12">
        <f>IF(Verso!$B$14=Voies!$B500,1,0)</f>
        <v>0</v>
      </c>
      <c r="BF500" s="12">
        <f>IF(Verso!$B$15=Voies!$B500,1,0)</f>
        <v>0</v>
      </c>
      <c r="BG500" s="12">
        <f>IF(Verso!$B$16=Voies!$B500,1,0)</f>
        <v>0</v>
      </c>
      <c r="BH500" s="12">
        <f>IF(Verso!$B$17=Voies!$B500,1,0)</f>
        <v>0</v>
      </c>
      <c r="BI500" s="557">
        <f t="shared" si="54"/>
        <v>0</v>
      </c>
      <c r="BJ500" s="196" t="str">
        <f t="shared" si="55"/>
        <v/>
      </c>
      <c r="BK500" s="196" t="str">
        <f t="shared" si="56"/>
        <v/>
      </c>
      <c r="BL500" s="295" t="str">
        <f t="shared" si="57"/>
        <v/>
      </c>
    </row>
    <row r="501" spans="1:65" ht="47.25" customHeight="1" x14ac:dyDescent="0.25">
      <c r="A501" s="162" t="str">
        <f>IF(AND(Réputation&gt;Voies!E501-1,OR(C501=TRUE,Calculs!$I$8&gt;0),Air&gt;Voies!J501-1,Eau&gt;Voies!K501-1,Feu&gt;Voies!L501-1,Terre&gt;Voies!M501-1,Vide&gt;Voies!N501-1,Constitution&gt;Voies!O501-1,Volonté&gt;Voies!P501-1,Force&gt;Voies!Q501-1,Perception&gt;Voies!R501-1,Reflexes&gt;Voies!S501-1,Agilité&gt;Voies!T501-1,Intuition&gt;Voies!U501-1,Intelligence&gt;Voies!V501-1,Souillure&gt;Voies!W501-1,Honneur&gt;X501-1,Statut&gt;Y501-1,Gloire&gt;Z501-1,AV501=TRUE),Voies!B501,"")</f>
        <v/>
      </c>
      <c r="B501" s="162" t="s">
        <v>3437</v>
      </c>
      <c r="C501" s="162" t="b">
        <f>IF(Clan=Voies!D501,TRUE,FALSE)</f>
        <v>0</v>
      </c>
      <c r="D501" s="387" t="s">
        <v>179</v>
      </c>
      <c r="E501" s="13">
        <v>2</v>
      </c>
      <c r="F501" s="199">
        <v>2</v>
      </c>
      <c r="G501" s="13" t="s">
        <v>2049</v>
      </c>
      <c r="H501" s="219" t="s">
        <v>611</v>
      </c>
      <c r="I501" s="129" t="s">
        <v>3434</v>
      </c>
      <c r="J501" s="146">
        <v>0</v>
      </c>
      <c r="K501" s="147">
        <v>0</v>
      </c>
      <c r="L501" s="148">
        <v>0</v>
      </c>
      <c r="M501" s="149">
        <v>0</v>
      </c>
      <c r="N501" s="150">
        <v>0</v>
      </c>
      <c r="O501" s="130">
        <v>0</v>
      </c>
      <c r="P501" s="130">
        <v>0</v>
      </c>
      <c r="Q501" s="130">
        <v>0</v>
      </c>
      <c r="R501" s="130">
        <v>0</v>
      </c>
      <c r="S501" s="130">
        <v>0</v>
      </c>
      <c r="T501" s="130">
        <v>0</v>
      </c>
      <c r="U501" s="130">
        <v>0</v>
      </c>
      <c r="V501" s="524">
        <v>0</v>
      </c>
      <c r="W501" s="130">
        <v>0</v>
      </c>
      <c r="X501" s="130">
        <v>0</v>
      </c>
      <c r="Y501" s="130">
        <v>0</v>
      </c>
      <c r="Z501" s="130">
        <v>0</v>
      </c>
      <c r="AA501" s="159" t="s">
        <v>3435</v>
      </c>
      <c r="AB501" s="159" t="s">
        <v>1223</v>
      </c>
      <c r="AC501" s="159" t="s">
        <v>3436</v>
      </c>
      <c r="AD501" s="159">
        <v>3</v>
      </c>
      <c r="AE501" s="158" t="b">
        <f>IF(AB501="",TRUE,IF(IF(AC501="",VLOOKUP(AB501,Calculs!$A$19:$S$425,19,FALSE),VLOOKUP(AC501,Calculs!$A$19:$S$425,19,FALSE))&gt;=AD501,TRUE,FALSE))</f>
        <v>0</v>
      </c>
      <c r="AI501" s="158" t="b">
        <f>IF(AF501="",TRUE,IF(IF(AG501="",VLOOKUP(AF501,Calculs!$A$19:$S$425,19,FALSE),VLOOKUP(AG501,Calculs!$A$19:$S$425,19,FALSE))&gt;=AH501,TRUE,FALSE))</f>
        <v>1</v>
      </c>
      <c r="AM501" s="158" t="b">
        <f>IF(AJ501="",TRUE,IF(IF(AK501="",VLOOKUP(AJ501,Calculs!$A$19:$S$425,19,FALSE),VLOOKUP(AK501,Calculs!$A$19:$S$425,19,FALSE))&gt;=AL501,TRUE,FALSE))</f>
        <v>1</v>
      </c>
      <c r="AQ501" s="158" t="b">
        <f>IF(AN501="",TRUE,IF(IF(AO501="",VLOOKUP(AN501,Calculs!$A$19:$S$425,19,FALSE),VLOOKUP(AO501,Calculs!$A$19:$S$425,19,FALSE))&gt;=AP501,TRUE,FALSE))</f>
        <v>1</v>
      </c>
      <c r="AR501" s="158"/>
      <c r="AS501" s="158" t="b">
        <f>IF(AR501="",TRUE,IF(VLOOKUP(AR501,Calculs!$A$427:$G$738,7,FALSE)&gt;0,TRUE,FALSE))</f>
        <v>1</v>
      </c>
      <c r="AT501" s="158"/>
      <c r="AU501" s="158" t="b">
        <f>IF(AT501="",TRUE,IF(VLOOKUP(AT501,Calculs!$A$740:$G$912,7,FALSE)&gt;0,TRUE,FALSE))</f>
        <v>1</v>
      </c>
      <c r="AV501" s="158" t="b">
        <f t="shared" si="53"/>
        <v>0</v>
      </c>
      <c r="AW501" s="158" t="s">
        <v>2078</v>
      </c>
      <c r="AX501" s="162" t="s">
        <v>158</v>
      </c>
      <c r="AY501" s="15">
        <v>193</v>
      </c>
      <c r="AZ501" s="555" t="s">
        <v>8589</v>
      </c>
      <c r="BA501" s="559">
        <f>IF(Verso!$B$10=Voies!$B501,1,0)</f>
        <v>0</v>
      </c>
      <c r="BB501" s="12">
        <f>IF(Verso!$B$11=Voies!$B501,1,0)</f>
        <v>0</v>
      </c>
      <c r="BC501" s="12">
        <f>IF(Verso!$B$12=Voies!$B501,1,0)</f>
        <v>0</v>
      </c>
      <c r="BD501" s="12">
        <f>IF(Verso!$B$13=Voies!$B501,1,0)</f>
        <v>0</v>
      </c>
      <c r="BE501" s="12">
        <f>IF(Verso!$B$14=Voies!$B501,1,0)</f>
        <v>0</v>
      </c>
      <c r="BF501" s="12">
        <f>IF(Verso!$B$15=Voies!$B501,1,0)</f>
        <v>0</v>
      </c>
      <c r="BG501" s="12">
        <f>IF(Verso!$B$16=Voies!$B501,1,0)</f>
        <v>0</v>
      </c>
      <c r="BH501" s="12">
        <f>IF(Verso!$B$17=Voies!$B501,1,0)</f>
        <v>0</v>
      </c>
      <c r="BI501" s="557">
        <f t="shared" si="54"/>
        <v>0</v>
      </c>
      <c r="BJ501" s="196" t="str">
        <f t="shared" si="55"/>
        <v/>
      </c>
      <c r="BK501" s="196" t="str">
        <f t="shared" si="56"/>
        <v/>
      </c>
      <c r="BL501" s="295" t="str">
        <f t="shared" si="57"/>
        <v/>
      </c>
    </row>
    <row r="502" spans="1:65" ht="47.25" customHeight="1" x14ac:dyDescent="0.25">
      <c r="A502" s="162" t="str">
        <f>IF(AND(Réputation&gt;Voies!E502-1,OR(C502=TRUE,Calculs!$I$8&gt;0),Air&gt;Voies!J502-1,Eau&gt;Voies!K502-1,Feu&gt;Voies!L502-1,Terre&gt;Voies!M502-1,Vide&gt;Voies!N502-1,Constitution&gt;Voies!O502-1,Volonté&gt;Voies!P502-1,Force&gt;Voies!Q502-1,Perception&gt;Voies!R502-1,Reflexes&gt;Voies!S502-1,Agilité&gt;Voies!T502-1,Intuition&gt;Voies!U502-1,Intelligence&gt;Voies!V502-1,Souillure&gt;Voies!W502-1,Honneur&gt;X502-1,Statut&gt;Y502-1,Gloire&gt;Z502-1,AV502=TRUE),Voies!B502,"")</f>
        <v/>
      </c>
      <c r="B502" s="162" t="s">
        <v>2405</v>
      </c>
      <c r="C502" s="162" t="b">
        <f>IF(Clan=Voies!D502,TRUE,FALSE)</f>
        <v>0</v>
      </c>
      <c r="D502" s="387" t="s">
        <v>179</v>
      </c>
      <c r="E502" s="13">
        <v>2</v>
      </c>
      <c r="F502" s="199">
        <v>2</v>
      </c>
      <c r="G502" s="13" t="s">
        <v>2049</v>
      </c>
      <c r="H502" s="219" t="s">
        <v>349</v>
      </c>
      <c r="I502" s="129" t="str">
        <f>IF(B502="","","Rien")</f>
        <v>Rien</v>
      </c>
      <c r="J502" s="146">
        <v>0</v>
      </c>
      <c r="K502" s="147">
        <v>0</v>
      </c>
      <c r="L502" s="148">
        <v>0</v>
      </c>
      <c r="M502" s="149">
        <v>0</v>
      </c>
      <c r="N502" s="150">
        <v>0</v>
      </c>
      <c r="O502" s="130">
        <v>0</v>
      </c>
      <c r="P502" s="130">
        <v>0</v>
      </c>
      <c r="Q502" s="130">
        <v>0</v>
      </c>
      <c r="R502" s="130">
        <v>0</v>
      </c>
      <c r="S502" s="130">
        <v>0</v>
      </c>
      <c r="T502" s="130">
        <v>0</v>
      </c>
      <c r="U502" s="130">
        <v>0</v>
      </c>
      <c r="V502" s="524">
        <v>0</v>
      </c>
      <c r="W502" s="130">
        <v>0</v>
      </c>
      <c r="X502" s="130">
        <v>0</v>
      </c>
      <c r="Y502" s="130">
        <v>0</v>
      </c>
      <c r="Z502" s="130">
        <v>0</v>
      </c>
      <c r="AA502" s="158" t="s">
        <v>2078</v>
      </c>
      <c r="AB502" s="158"/>
      <c r="AC502" s="158"/>
      <c r="AD502" s="158"/>
      <c r="AE502" s="158" t="b">
        <f>IF(AB502="",TRUE,IF(IF(AC502="",VLOOKUP(AB502,Calculs!$A$19:$S$425,19,FALSE),VLOOKUP(AC502,Calculs!$A$19:$S$425,19,FALSE))&gt;=AD502,TRUE,FALSE))</f>
        <v>1</v>
      </c>
      <c r="AF502" s="158"/>
      <c r="AG502" s="158"/>
      <c r="AH502" s="158"/>
      <c r="AI502" s="158" t="b">
        <f>IF(AF502="",TRUE,IF(IF(AG502="",VLOOKUP(AF502,Calculs!$A$19:$S$425,19,FALSE),VLOOKUP(AG502,Calculs!$A$19:$S$425,19,FALSE))&gt;=AH502,TRUE,FALSE))</f>
        <v>1</v>
      </c>
      <c r="AJ502" s="158"/>
      <c r="AK502" s="158"/>
      <c r="AL502" s="158"/>
      <c r="AM502" s="158" t="b">
        <f>IF(AJ502="",TRUE,IF(IF(AK502="",VLOOKUP(AJ502,Calculs!$A$19:$S$425,19,FALSE),VLOOKUP(AK502,Calculs!$A$19:$S$425,19,FALSE))&gt;=AL502,TRUE,FALSE))</f>
        <v>1</v>
      </c>
      <c r="AN502" s="158"/>
      <c r="AO502" s="158"/>
      <c r="AP502" s="158"/>
      <c r="AQ502" s="158" t="b">
        <f>IF(AN502="",TRUE,IF(IF(AO502="",VLOOKUP(AN502,Calculs!$A$19:$S$425,19,FALSE),VLOOKUP(AO502,Calculs!$A$19:$S$425,19,FALSE))&gt;=AP502,TRUE,FALSE))</f>
        <v>1</v>
      </c>
      <c r="AR502" s="158"/>
      <c r="AS502" s="158" t="b">
        <f>IF(AR502="",TRUE,IF(VLOOKUP(AR502,Calculs!$A$427:$G$738,7,FALSE)&gt;0,TRUE,FALSE))</f>
        <v>1</v>
      </c>
      <c r="AT502" s="158"/>
      <c r="AU502" s="158" t="b">
        <f>IF(AT502="",TRUE,IF(VLOOKUP(AT502,Calculs!$A$740:$G$912,7,FALSE)&gt;0,TRUE,FALSE))</f>
        <v>1</v>
      </c>
      <c r="AV502" s="158" t="b">
        <f t="shared" si="53"/>
        <v>1</v>
      </c>
      <c r="AW502" s="158" t="s">
        <v>2078</v>
      </c>
      <c r="AX502" s="162" t="s">
        <v>143</v>
      </c>
      <c r="AY502" s="15">
        <v>119</v>
      </c>
      <c r="AZ502" s="555" t="s">
        <v>2409</v>
      </c>
      <c r="BA502" s="559">
        <f>IF(Verso!$B$10=Voies!$B502,1,0)</f>
        <v>0</v>
      </c>
      <c r="BB502" s="12">
        <f>IF(Verso!$B$11=Voies!$B502,1,0)</f>
        <v>0</v>
      </c>
      <c r="BC502" s="12">
        <f>IF(Verso!$B$12=Voies!$B502,1,0)</f>
        <v>0</v>
      </c>
      <c r="BD502" s="12">
        <f>IF(Verso!$B$13=Voies!$B502,1,0)</f>
        <v>0</v>
      </c>
      <c r="BE502" s="12">
        <f>IF(Verso!$B$14=Voies!$B502,1,0)</f>
        <v>0</v>
      </c>
      <c r="BF502" s="12">
        <f>IF(Verso!$B$15=Voies!$B502,1,0)</f>
        <v>0</v>
      </c>
      <c r="BG502" s="12">
        <f>IF(Verso!$B$16=Voies!$B502,1,0)</f>
        <v>0</v>
      </c>
      <c r="BH502" s="12">
        <f>IF(Verso!$B$17=Voies!$B502,1,0)</f>
        <v>0</v>
      </c>
      <c r="BI502" s="557">
        <f t="shared" si="54"/>
        <v>0</v>
      </c>
      <c r="BJ502" s="196" t="str">
        <f t="shared" si="55"/>
        <v/>
      </c>
      <c r="BK502" s="196" t="str">
        <f t="shared" si="56"/>
        <v/>
      </c>
      <c r="BL502" s="295" t="str">
        <f t="shared" si="57"/>
        <v/>
      </c>
    </row>
    <row r="503" spans="1:65" ht="47.25" customHeight="1" x14ac:dyDescent="0.25">
      <c r="A503" s="162" t="str">
        <f>IF(AND(Réputation&gt;Voies!E503-1,OR(C503=TRUE,Calculs!$I$8&gt;0),Air&gt;Voies!J503-1,Eau&gt;Voies!K503-1,Feu&gt;Voies!L503-1,Terre&gt;Voies!M503-1,Vide&gt;Voies!N503-1,Constitution&gt;Voies!O503-1,Volonté&gt;Voies!P503-1,Force&gt;Voies!Q503-1,Perception&gt;Voies!R503-1,Reflexes&gt;Voies!S503-1,Agilité&gt;Voies!T503-1,Intuition&gt;Voies!U503-1,Intelligence&gt;Voies!V503-1,Souillure&gt;Voies!W503-1,Honneur&gt;X503-1,Statut&gt;Y503-1,Gloire&gt;Z503-1,AV503=TRUE),Voies!B503,"")</f>
        <v/>
      </c>
      <c r="B503" s="162" t="s">
        <v>6074</v>
      </c>
      <c r="C503" s="162" t="b">
        <f>IF(Clan=Voies!D503,TRUE,FALSE)</f>
        <v>0</v>
      </c>
      <c r="D503" s="387" t="s">
        <v>179</v>
      </c>
      <c r="E503" s="13">
        <v>2</v>
      </c>
      <c r="F503" s="199">
        <v>2</v>
      </c>
      <c r="G503" s="13" t="s">
        <v>2049</v>
      </c>
      <c r="H503" s="219" t="s">
        <v>6072</v>
      </c>
      <c r="I503" s="129" t="s">
        <v>3370</v>
      </c>
      <c r="J503" s="146">
        <v>0</v>
      </c>
      <c r="K503" s="147">
        <v>0</v>
      </c>
      <c r="L503" s="148">
        <v>0</v>
      </c>
      <c r="M503" s="149">
        <v>0</v>
      </c>
      <c r="N503" s="150">
        <v>0</v>
      </c>
      <c r="O503" s="130">
        <v>0</v>
      </c>
      <c r="P503" s="130">
        <v>0</v>
      </c>
      <c r="Q503" s="130">
        <v>0</v>
      </c>
      <c r="R503" s="130">
        <v>0</v>
      </c>
      <c r="S503" s="130">
        <v>0</v>
      </c>
      <c r="T503" s="130">
        <v>0</v>
      </c>
      <c r="U503" s="130">
        <v>0</v>
      </c>
      <c r="V503" s="524">
        <v>0</v>
      </c>
      <c r="W503" s="130">
        <v>0</v>
      </c>
      <c r="X503" s="130">
        <v>0</v>
      </c>
      <c r="Y503" s="130">
        <v>0</v>
      </c>
      <c r="Z503" s="130">
        <v>0</v>
      </c>
      <c r="AA503" s="158" t="s">
        <v>2078</v>
      </c>
      <c r="AB503" s="158"/>
      <c r="AC503" s="158"/>
      <c r="AD503" s="158"/>
      <c r="AE503" s="158" t="b">
        <f>IF(AB503="",TRUE,IF(IF(AC503="",VLOOKUP(AB503,Calculs!$A$19:$S$425,19,FALSE),VLOOKUP(AC503,Calculs!$A$19:$S$425,19,FALSE))&gt;=AD503,TRUE,FALSE))</f>
        <v>1</v>
      </c>
      <c r="AF503" s="158"/>
      <c r="AG503" s="158"/>
      <c r="AH503" s="158"/>
      <c r="AI503" s="158" t="b">
        <f>IF(AF503="",TRUE,IF(IF(AG503="",VLOOKUP(AF503,Calculs!$A$19:$S$425,19,FALSE),VLOOKUP(AG503,Calculs!$A$19:$S$425,19,FALSE))&gt;=AH503,TRUE,FALSE))</f>
        <v>1</v>
      </c>
      <c r="AJ503" s="158"/>
      <c r="AK503" s="158"/>
      <c r="AL503" s="158"/>
      <c r="AM503" s="158" t="b">
        <f>IF(AJ503="",TRUE,IF(IF(AK503="",VLOOKUP(AJ503,Calculs!$A$19:$S$425,19,FALSE),VLOOKUP(AK503,Calculs!$A$19:$S$425,19,FALSE))&gt;=AL503,TRUE,FALSE))</f>
        <v>1</v>
      </c>
      <c r="AN503" s="158"/>
      <c r="AO503" s="158"/>
      <c r="AP503" s="158"/>
      <c r="AQ503" s="158" t="b">
        <f>IF(AN503="",TRUE,IF(IF(AO503="",VLOOKUP(AN503,Calculs!$A$19:$S$425,19,FALSE),VLOOKUP(AO503,Calculs!$A$19:$S$425,19,FALSE))&gt;=AP503,TRUE,FALSE))</f>
        <v>1</v>
      </c>
      <c r="AR503" s="158"/>
      <c r="AS503" s="158" t="b">
        <f>IF(AR503="",TRUE,IF(VLOOKUP(AR503,Calculs!$A$427:$G$738,7,FALSE)&gt;0,TRUE,FALSE))</f>
        <v>1</v>
      </c>
      <c r="AT503" s="158"/>
      <c r="AU503" s="158" t="b">
        <f>IF(AT503="",TRUE,IF(VLOOKUP(AT503,Calculs!$A$740:$G$912,7,FALSE)&gt;0,TRUE,FALSE))</f>
        <v>1</v>
      </c>
      <c r="AV503" s="158" t="b">
        <f t="shared" si="53"/>
        <v>1</v>
      </c>
      <c r="AW503" s="159" t="s">
        <v>3383</v>
      </c>
      <c r="AX503" s="162" t="s">
        <v>6061</v>
      </c>
      <c r="AY503" s="15">
        <v>131</v>
      </c>
      <c r="AZ503" s="566" t="s">
        <v>3385</v>
      </c>
      <c r="BA503" s="559">
        <f>IF(Verso!$B$10=Voies!$B503,1,0)</f>
        <v>0</v>
      </c>
      <c r="BB503" s="12">
        <f>IF(Verso!$B$11=Voies!$B503,1,0)</f>
        <v>0</v>
      </c>
      <c r="BC503" s="12">
        <f>IF(Verso!$B$12=Voies!$B503,1,0)</f>
        <v>0</v>
      </c>
      <c r="BD503" s="12">
        <f>IF(Verso!$B$13=Voies!$B503,1,0)</f>
        <v>0</v>
      </c>
      <c r="BE503" s="12">
        <f>IF(Verso!$B$14=Voies!$B503,1,0)</f>
        <v>0</v>
      </c>
      <c r="BF503" s="12">
        <f>IF(Verso!$B$15=Voies!$B503,1,0)</f>
        <v>0</v>
      </c>
      <c r="BG503" s="12">
        <f>IF(Verso!$B$16=Voies!$B503,1,0)</f>
        <v>0</v>
      </c>
      <c r="BH503" s="12">
        <f>IF(Verso!$B$17=Voies!$B503,1,0)</f>
        <v>0</v>
      </c>
      <c r="BI503" s="557">
        <f t="shared" si="54"/>
        <v>0</v>
      </c>
      <c r="BJ503" s="196" t="str">
        <f t="shared" si="55"/>
        <v/>
      </c>
      <c r="BK503" s="196" t="str">
        <f t="shared" si="56"/>
        <v/>
      </c>
      <c r="BL503" s="295" t="str">
        <f t="shared" si="57"/>
        <v/>
      </c>
    </row>
    <row r="504" spans="1:65" ht="47.25" customHeight="1" x14ac:dyDescent="0.25">
      <c r="A504" s="162" t="str">
        <f>IF(AND(Réputation&gt;Voies!E504-1,OR(C504=TRUE,Calculs!$I$8&gt;0),Air&gt;Voies!J504-1,Eau&gt;Voies!K504-1,Feu&gt;Voies!L504-1,Terre&gt;Voies!M504-1,Vide&gt;Voies!N504-1,Constitution&gt;Voies!O504-1,Volonté&gt;Voies!P504-1,Force&gt;Voies!Q504-1,Perception&gt;Voies!R504-1,Reflexes&gt;Voies!S504-1,Agilité&gt;Voies!T504-1,Intuition&gt;Voies!U504-1,Intelligence&gt;Voies!V504-1,Souillure&gt;Voies!W504-1,Honneur&gt;X504-1,Statut&gt;Y504-1,Gloire&gt;Z504-1,AV504=TRUE),Voies!B504,"")</f>
        <v/>
      </c>
      <c r="B504" s="162" t="s">
        <v>2397</v>
      </c>
      <c r="C504" s="162" t="b">
        <f>IF(Clan=Voies!D504,TRUE,FALSE)</f>
        <v>0</v>
      </c>
      <c r="D504" s="387" t="s">
        <v>179</v>
      </c>
      <c r="E504" s="13">
        <v>2</v>
      </c>
      <c r="F504" s="199">
        <v>2</v>
      </c>
      <c r="G504" s="13" t="s">
        <v>2052</v>
      </c>
      <c r="H504" s="219" t="s">
        <v>241</v>
      </c>
      <c r="I504" s="129" t="str">
        <f>IF(B504="","","Rien")</f>
        <v>Rien</v>
      </c>
      <c r="J504" s="146">
        <v>0</v>
      </c>
      <c r="K504" s="147">
        <v>0</v>
      </c>
      <c r="L504" s="148">
        <v>0</v>
      </c>
      <c r="M504" s="149">
        <v>0</v>
      </c>
      <c r="N504" s="150">
        <v>0</v>
      </c>
      <c r="O504" s="130">
        <v>0</v>
      </c>
      <c r="P504" s="130">
        <v>0</v>
      </c>
      <c r="Q504" s="130">
        <v>0</v>
      </c>
      <c r="R504" s="130">
        <v>0</v>
      </c>
      <c r="S504" s="130">
        <v>0</v>
      </c>
      <c r="T504" s="130">
        <v>0</v>
      </c>
      <c r="U504" s="130">
        <v>0</v>
      </c>
      <c r="V504" s="524">
        <v>0</v>
      </c>
      <c r="W504" s="130">
        <v>0</v>
      </c>
      <c r="X504" s="130">
        <v>0</v>
      </c>
      <c r="Y504" s="130">
        <v>0</v>
      </c>
      <c r="Z504" s="130">
        <v>0</v>
      </c>
      <c r="AA504" s="158" t="s">
        <v>2078</v>
      </c>
      <c r="AB504" s="158"/>
      <c r="AC504" s="158"/>
      <c r="AD504" s="158"/>
      <c r="AE504" s="158" t="b">
        <f>IF(AB504="",TRUE,IF(IF(AC504="",VLOOKUP(AB504,Calculs!$A$19:$S$425,19,FALSE),VLOOKUP(AC504,Calculs!$A$19:$S$425,19,FALSE))&gt;=AD504,TRUE,FALSE))</f>
        <v>1</v>
      </c>
      <c r="AF504" s="158"/>
      <c r="AG504" s="158"/>
      <c r="AH504" s="158"/>
      <c r="AI504" s="158" t="b">
        <f>IF(AF504="",TRUE,IF(IF(AG504="",VLOOKUP(AF504,Calculs!$A$19:$S$425,19,FALSE),VLOOKUP(AG504,Calculs!$A$19:$S$425,19,FALSE))&gt;=AH504,TRUE,FALSE))</f>
        <v>1</v>
      </c>
      <c r="AJ504" s="158"/>
      <c r="AK504" s="158"/>
      <c r="AL504" s="158"/>
      <c r="AM504" s="158" t="b">
        <f>IF(AJ504="",TRUE,IF(IF(AK504="",VLOOKUP(AJ504,Calculs!$A$19:$S$425,19,FALSE),VLOOKUP(AK504,Calculs!$A$19:$S$425,19,FALSE))&gt;=AL504,TRUE,FALSE))</f>
        <v>1</v>
      </c>
      <c r="AN504" s="158"/>
      <c r="AO504" s="158"/>
      <c r="AP504" s="158"/>
      <c r="AQ504" s="158" t="b">
        <f>IF(AN504="",TRUE,IF(IF(AO504="",VLOOKUP(AN504,Calculs!$A$19:$S$425,19,FALSE),VLOOKUP(AO504,Calculs!$A$19:$S$425,19,FALSE))&gt;=AP504,TRUE,FALSE))</f>
        <v>1</v>
      </c>
      <c r="AR504" s="158"/>
      <c r="AS504" s="158" t="b">
        <f>IF(AR504="",TRUE,IF(VLOOKUP(AR504,Calculs!$A$427:$G$738,7,FALSE)&gt;0,TRUE,FALSE))</f>
        <v>1</v>
      </c>
      <c r="AT504" s="158"/>
      <c r="AU504" s="158" t="b">
        <f>IF(AT504="",TRUE,IF(VLOOKUP(AT504,Calculs!$A$740:$G$912,7,FALSE)&gt;0,TRUE,FALSE))</f>
        <v>1</v>
      </c>
      <c r="AV504" s="158" t="b">
        <f t="shared" si="53"/>
        <v>1</v>
      </c>
      <c r="AW504" s="158" t="s">
        <v>2078</v>
      </c>
      <c r="AX504" s="162" t="s">
        <v>143</v>
      </c>
      <c r="AY504" s="15">
        <v>118</v>
      </c>
      <c r="AZ504" s="555" t="s">
        <v>2396</v>
      </c>
      <c r="BA504" s="559">
        <f>IF(Verso!$B$10=Voies!$B504,1,0)</f>
        <v>0</v>
      </c>
      <c r="BB504" s="12">
        <f>IF(Verso!$B$11=Voies!$B504,1,0)</f>
        <v>0</v>
      </c>
      <c r="BC504" s="12">
        <f>IF(Verso!$B$12=Voies!$B504,1,0)</f>
        <v>0</v>
      </c>
      <c r="BD504" s="12">
        <f>IF(Verso!$B$13=Voies!$B504,1,0)</f>
        <v>0</v>
      </c>
      <c r="BE504" s="12">
        <f>IF(Verso!$B$14=Voies!$B504,1,0)</f>
        <v>0</v>
      </c>
      <c r="BF504" s="12">
        <f>IF(Verso!$B$15=Voies!$B504,1,0)</f>
        <v>0</v>
      </c>
      <c r="BG504" s="12">
        <f>IF(Verso!$B$16=Voies!$B504,1,0)</f>
        <v>0</v>
      </c>
      <c r="BH504" s="12">
        <f>IF(Verso!$B$17=Voies!$B504,1,0)</f>
        <v>0</v>
      </c>
      <c r="BI504" s="557">
        <f t="shared" si="54"/>
        <v>0</v>
      </c>
      <c r="BJ504" s="196" t="str">
        <f t="shared" si="55"/>
        <v/>
      </c>
      <c r="BK504" s="196" t="str">
        <f t="shared" si="56"/>
        <v/>
      </c>
      <c r="BL504" s="295" t="str">
        <f t="shared" si="57"/>
        <v/>
      </c>
    </row>
    <row r="505" spans="1:65" s="196" customFormat="1" ht="47.25" customHeight="1" x14ac:dyDescent="0.25">
      <c r="A505" s="162" t="str">
        <f>IF(AND(Réputation&gt;Voies!E505-1,OR(C505=TRUE,Calculs!$I$8&gt;0),Air&gt;Voies!J505-1,Eau&gt;Voies!K505-1,Feu&gt;Voies!L505-1,Terre&gt;Voies!M505-1,Vide&gt;Voies!N505-1,Constitution&gt;Voies!O505-1,Volonté&gt;Voies!P505-1,Force&gt;Voies!Q505-1,Perception&gt;Voies!R505-1,Reflexes&gt;Voies!S505-1,Agilité&gt;Voies!T505-1,Intuition&gt;Voies!U505-1,Intelligence&gt;Voies!V505-1,Souillure&gt;Voies!W505-1,Honneur&gt;X505-1,Statut&gt;Y505-1,Gloire&gt;Z505-1,AV505=TRUE),Voies!B505,"")</f>
        <v/>
      </c>
      <c r="B505" s="162" t="s">
        <v>6128</v>
      </c>
      <c r="C505" s="162" t="b">
        <f>IF(Clan=Voies!D505,TRUE,FALSE)</f>
        <v>0</v>
      </c>
      <c r="D505" s="387" t="s">
        <v>179</v>
      </c>
      <c r="E505" s="199">
        <v>2</v>
      </c>
      <c r="F505" s="199">
        <v>2</v>
      </c>
      <c r="G505" s="199" t="s">
        <v>2052</v>
      </c>
      <c r="H505" s="219" t="s">
        <v>6129</v>
      </c>
      <c r="I505" s="129" t="s">
        <v>6130</v>
      </c>
      <c r="J505" s="146">
        <v>0</v>
      </c>
      <c r="K505" s="147">
        <v>0</v>
      </c>
      <c r="L505" s="148">
        <v>0</v>
      </c>
      <c r="M505" s="149">
        <v>0</v>
      </c>
      <c r="N505" s="150">
        <v>0</v>
      </c>
      <c r="O505" s="130">
        <v>0</v>
      </c>
      <c r="P505" s="130">
        <v>0</v>
      </c>
      <c r="Q505" s="130">
        <v>0</v>
      </c>
      <c r="R505" s="130">
        <v>0</v>
      </c>
      <c r="S505" s="130">
        <v>0</v>
      </c>
      <c r="T505" s="130">
        <v>0</v>
      </c>
      <c r="U505" s="130">
        <v>0</v>
      </c>
      <c r="V505" s="524">
        <v>0</v>
      </c>
      <c r="W505" s="130">
        <v>0</v>
      </c>
      <c r="X505" s="130">
        <v>0</v>
      </c>
      <c r="Y505" s="130">
        <v>0</v>
      </c>
      <c r="Z505" s="130">
        <v>0</v>
      </c>
      <c r="AA505" s="158" t="s">
        <v>6340</v>
      </c>
      <c r="AB505" s="158" t="s">
        <v>1263</v>
      </c>
      <c r="AC505" s="158"/>
      <c r="AD505" s="158">
        <v>3</v>
      </c>
      <c r="AE505" s="158" t="b">
        <f>IF(AB505="",TRUE,IF(IF(AC505="",VLOOKUP(AB505,Calculs!$A$19:$S$425,19,FALSE),VLOOKUP(AC505,Calculs!$A$19:$S$425,19,FALSE))&gt;=AD505,TRUE,FALSE))</f>
        <v>0</v>
      </c>
      <c r="AF505" s="158" t="s">
        <v>3325</v>
      </c>
      <c r="AG505" s="158" t="s">
        <v>3189</v>
      </c>
      <c r="AH505" s="158">
        <v>3</v>
      </c>
      <c r="AI505" s="158" t="b">
        <f>IF(AF505="",TRUE,IF(IF(AG505="",VLOOKUP(AF505,Calculs!$A$19:$S$425,19,FALSE),VLOOKUP(AG505,Calculs!$A$19:$S$425,19,FALSE))&gt;=AH505,TRUE,FALSE))</f>
        <v>0</v>
      </c>
      <c r="AJ505" s="158"/>
      <c r="AK505" s="158"/>
      <c r="AL505" s="158"/>
      <c r="AM505" s="158" t="b">
        <f>IF(AJ505="",TRUE,IF(IF(AK505="",VLOOKUP(AJ505,Calculs!$A$19:$S$425,19,FALSE),VLOOKUP(AK505,Calculs!$A$19:$S$425,19,FALSE))&gt;=AL505,TRUE,FALSE))</f>
        <v>1</v>
      </c>
      <c r="AN505" s="158"/>
      <c r="AO505" s="158"/>
      <c r="AP505" s="158"/>
      <c r="AQ505" s="158" t="b">
        <f>IF(AN505="",TRUE,IF(IF(AO505="",VLOOKUP(AN505,Calculs!$A$19:$S$425,19,FALSE),VLOOKUP(AO505,Calculs!$A$19:$S$425,19,FALSE))&gt;=AP505,TRUE,FALSE))</f>
        <v>1</v>
      </c>
      <c r="AR505" s="158"/>
      <c r="AS505" s="158" t="b">
        <f>IF(AR505="",TRUE,IF(VLOOKUP(AR505,Calculs!$A$427:$G$738,7,FALSE)&gt;0,TRUE,FALSE))</f>
        <v>1</v>
      </c>
      <c r="AT505" s="158"/>
      <c r="AU505" s="158" t="b">
        <f>IF(AT505="",TRUE,IF(VLOOKUP(AT505,Calculs!$A$740:$G$912,7,FALSE)&gt;0,TRUE,FALSE))</f>
        <v>1</v>
      </c>
      <c r="AV505" s="158" t="b">
        <f t="shared" si="53"/>
        <v>0</v>
      </c>
      <c r="AW505" s="158" t="s">
        <v>2078</v>
      </c>
      <c r="AX505" s="162" t="s">
        <v>6010</v>
      </c>
      <c r="AY505" s="15">
        <v>209</v>
      </c>
      <c r="AZ505" s="566" t="s">
        <v>6131</v>
      </c>
      <c r="BA505" s="559">
        <f>IF(Verso!$B$10=Voies!$B505,1,0)</f>
        <v>0</v>
      </c>
      <c r="BB505" s="12">
        <f>IF(Verso!$B$11=Voies!$B505,1,0)</f>
        <v>0</v>
      </c>
      <c r="BC505" s="12">
        <f>IF(Verso!$B$12=Voies!$B505,1,0)</f>
        <v>0</v>
      </c>
      <c r="BD505" s="12">
        <f>IF(Verso!$B$13=Voies!$B505,1,0)</f>
        <v>0</v>
      </c>
      <c r="BE505" s="12">
        <f>IF(Verso!$B$14=Voies!$B505,1,0)</f>
        <v>0</v>
      </c>
      <c r="BF505" s="12">
        <f>IF(Verso!$B$15=Voies!$B505,1,0)</f>
        <v>0</v>
      </c>
      <c r="BG505" s="12">
        <f>IF(Verso!$B$16=Voies!$B505,1,0)</f>
        <v>0</v>
      </c>
      <c r="BH505" s="12">
        <f>IF(Verso!$B$17=Voies!$B505,1,0)</f>
        <v>0</v>
      </c>
      <c r="BI505" s="557">
        <f t="shared" si="54"/>
        <v>0</v>
      </c>
      <c r="BJ505" s="196" t="str">
        <f t="shared" si="55"/>
        <v/>
      </c>
      <c r="BK505" s="196" t="str">
        <f t="shared" si="56"/>
        <v/>
      </c>
      <c r="BL505" s="295" t="str">
        <f t="shared" si="57"/>
        <v/>
      </c>
      <c r="BM505" s="91"/>
    </row>
    <row r="506" spans="1:65" ht="47.25" customHeight="1" x14ac:dyDescent="0.25">
      <c r="A506" s="162" t="str">
        <f>IF(AND(Réputation&gt;Voies!E506-1,OR(C506=TRUE,Calculs!$I$8&gt;0),Air&gt;Voies!J506-1,Eau&gt;Voies!K506-1,Feu&gt;Voies!L506-1,Terre&gt;Voies!M506-1,Vide&gt;Voies!N506-1,Constitution&gt;Voies!O506-1,Volonté&gt;Voies!P506-1,Force&gt;Voies!Q506-1,Perception&gt;Voies!R506-1,Reflexes&gt;Voies!S506-1,Agilité&gt;Voies!T506-1,Intuition&gt;Voies!U506-1,Intelligence&gt;Voies!V506-1,Souillure&gt;Voies!W506-1,Honneur&gt;X506-1,Statut&gt;Y506-1,Gloire&gt;Z506-1,AV506=TRUE),Voies!B506,"")</f>
        <v/>
      </c>
      <c r="B506" s="162" t="s">
        <v>6079</v>
      </c>
      <c r="C506" s="162" t="b">
        <f>IF(Clan=Voies!D506,TRUE,FALSE)</f>
        <v>0</v>
      </c>
      <c r="D506" s="387" t="s">
        <v>179</v>
      </c>
      <c r="E506" s="13">
        <v>2</v>
      </c>
      <c r="F506" s="199">
        <v>2</v>
      </c>
      <c r="G506" s="13" t="s">
        <v>2052</v>
      </c>
      <c r="H506" s="219" t="s">
        <v>6078</v>
      </c>
      <c r="I506" s="129" t="s">
        <v>3619</v>
      </c>
      <c r="J506" s="146">
        <v>0</v>
      </c>
      <c r="K506" s="147">
        <v>0</v>
      </c>
      <c r="L506" s="148">
        <v>0</v>
      </c>
      <c r="M506" s="149">
        <v>0</v>
      </c>
      <c r="N506" s="150">
        <v>0</v>
      </c>
      <c r="O506" s="130">
        <v>0</v>
      </c>
      <c r="P506" s="130">
        <v>0</v>
      </c>
      <c r="Q506" s="130">
        <v>0</v>
      </c>
      <c r="R506" s="130">
        <v>0</v>
      </c>
      <c r="S506" s="130">
        <v>0</v>
      </c>
      <c r="T506" s="130">
        <v>0</v>
      </c>
      <c r="U506" s="130">
        <v>0</v>
      </c>
      <c r="V506" s="524">
        <v>0</v>
      </c>
      <c r="W506" s="130">
        <v>0</v>
      </c>
      <c r="X506" s="130">
        <v>0</v>
      </c>
      <c r="Y506" s="130">
        <v>0</v>
      </c>
      <c r="Z506" s="130">
        <v>0</v>
      </c>
      <c r="AA506" s="158" t="s">
        <v>2078</v>
      </c>
      <c r="AB506" s="158"/>
      <c r="AC506" s="158"/>
      <c r="AD506" s="158"/>
      <c r="AE506" s="158" t="b">
        <f>IF(AB506="",TRUE,IF(IF(AC506="",VLOOKUP(AB506,Calculs!$A$19:$S$425,19,FALSE),VLOOKUP(AC506,Calculs!$A$19:$S$425,19,FALSE))&gt;=AD506,TRUE,FALSE))</f>
        <v>1</v>
      </c>
      <c r="AF506" s="158"/>
      <c r="AG506" s="158"/>
      <c r="AH506" s="158"/>
      <c r="AI506" s="158" t="b">
        <f>IF(AF506="",TRUE,IF(IF(AG506="",VLOOKUP(AF506,Calculs!$A$19:$S$425,19,FALSE),VLOOKUP(AG506,Calculs!$A$19:$S$425,19,FALSE))&gt;=AH506,TRUE,FALSE))</f>
        <v>1</v>
      </c>
      <c r="AJ506" s="158"/>
      <c r="AK506" s="158"/>
      <c r="AL506" s="158"/>
      <c r="AM506" s="158" t="b">
        <f>IF(AJ506="",TRUE,IF(IF(AK506="",VLOOKUP(AJ506,Calculs!$A$19:$S$425,19,FALSE),VLOOKUP(AK506,Calculs!$A$19:$S$425,19,FALSE))&gt;=AL506,TRUE,FALSE))</f>
        <v>1</v>
      </c>
      <c r="AN506" s="158"/>
      <c r="AO506" s="158"/>
      <c r="AP506" s="158"/>
      <c r="AQ506" s="158" t="b">
        <f>IF(AN506="",TRUE,IF(IF(AO506="",VLOOKUP(AN506,Calculs!$A$19:$S$425,19,FALSE),VLOOKUP(AO506,Calculs!$A$19:$S$425,19,FALSE))&gt;=AP506,TRUE,FALSE))</f>
        <v>1</v>
      </c>
      <c r="AR506" s="158"/>
      <c r="AS506" s="158" t="b">
        <f>IF(AR506="",TRUE,IF(VLOOKUP(AR506,Calculs!$A$427:$G$738,7,FALSE)&gt;0,TRUE,FALSE))</f>
        <v>1</v>
      </c>
      <c r="AT506" s="158"/>
      <c r="AU506" s="158" t="b">
        <f>IF(AT506="",TRUE,IF(VLOOKUP(AT506,Calculs!$A$740:$G$912,7,FALSE)&gt;0,TRUE,FALSE))</f>
        <v>1</v>
      </c>
      <c r="AV506" s="158" t="b">
        <f t="shared" si="53"/>
        <v>1</v>
      </c>
      <c r="AW506" s="159" t="s">
        <v>3620</v>
      </c>
      <c r="AX506" s="162" t="s">
        <v>6061</v>
      </c>
      <c r="AY506" s="15">
        <v>133</v>
      </c>
      <c r="AZ506" s="566" t="s">
        <v>3621</v>
      </c>
      <c r="BA506" s="559">
        <f>IF(Verso!$B$10=Voies!$B506,1,0)</f>
        <v>0</v>
      </c>
      <c r="BB506" s="12">
        <f>IF(Verso!$B$11=Voies!$B506,1,0)</f>
        <v>0</v>
      </c>
      <c r="BC506" s="12">
        <f>IF(Verso!$B$12=Voies!$B506,1,0)</f>
        <v>0</v>
      </c>
      <c r="BD506" s="12">
        <f>IF(Verso!$B$13=Voies!$B506,1,0)</f>
        <v>0</v>
      </c>
      <c r="BE506" s="12">
        <f>IF(Verso!$B$14=Voies!$B506,1,0)</f>
        <v>0</v>
      </c>
      <c r="BF506" s="12">
        <f>IF(Verso!$B$15=Voies!$B506,1,0)</f>
        <v>0</v>
      </c>
      <c r="BG506" s="12">
        <f>IF(Verso!$B$16=Voies!$B506,1,0)</f>
        <v>0</v>
      </c>
      <c r="BH506" s="12">
        <f>IF(Verso!$B$17=Voies!$B506,1,0)</f>
        <v>0</v>
      </c>
      <c r="BI506" s="557">
        <f t="shared" si="54"/>
        <v>0</v>
      </c>
      <c r="BJ506" s="196" t="str">
        <f t="shared" si="55"/>
        <v/>
      </c>
      <c r="BK506" s="196" t="str">
        <f t="shared" si="56"/>
        <v/>
      </c>
      <c r="BL506" s="295" t="str">
        <f t="shared" si="57"/>
        <v/>
      </c>
    </row>
    <row r="507" spans="1:65" ht="47.25" customHeight="1" x14ac:dyDescent="0.25">
      <c r="A507" s="162" t="str">
        <f>IF(AND(Réputation&gt;Voies!E507-1,OR(C507=TRUE,Calculs!$I$8&gt;0),Air&gt;Voies!J507-1,Eau&gt;Voies!K507-1,Feu&gt;Voies!L507-1,Terre&gt;Voies!M507-1,Vide&gt;Voies!N507-1,Constitution&gt;Voies!O507-1,Volonté&gt;Voies!P507-1,Force&gt;Voies!Q507-1,Perception&gt;Voies!R507-1,Reflexes&gt;Voies!S507-1,Agilité&gt;Voies!T507-1,Intuition&gt;Voies!U507-1,Intelligence&gt;Voies!V507-1,Souillure&gt;Voies!W507-1,Honneur&gt;X507-1,Statut&gt;Y507-1,Gloire&gt;Z507-1,AV507=TRUE),Voies!B507,"")</f>
        <v/>
      </c>
      <c r="B507" s="162" t="s">
        <v>3388</v>
      </c>
      <c r="C507" s="162" t="b">
        <f>IF(Clan=Voies!D507,TRUE,FALSE)</f>
        <v>0</v>
      </c>
      <c r="D507" s="387" t="s">
        <v>179</v>
      </c>
      <c r="E507" s="13">
        <v>2</v>
      </c>
      <c r="F507" s="199">
        <v>2</v>
      </c>
      <c r="G507" s="13" t="s">
        <v>2052</v>
      </c>
      <c r="H507" s="219" t="s">
        <v>537</v>
      </c>
      <c r="I507" s="129" t="s">
        <v>3389</v>
      </c>
      <c r="J507" s="146">
        <v>0</v>
      </c>
      <c r="K507" s="147">
        <v>0</v>
      </c>
      <c r="L507" s="148">
        <v>0</v>
      </c>
      <c r="M507" s="149">
        <v>0</v>
      </c>
      <c r="N507" s="150">
        <v>0</v>
      </c>
      <c r="O507" s="130">
        <v>0</v>
      </c>
      <c r="P507" s="130">
        <v>0</v>
      </c>
      <c r="Q507" s="130">
        <v>0</v>
      </c>
      <c r="R507" s="130">
        <v>0</v>
      </c>
      <c r="S507" s="130">
        <v>0</v>
      </c>
      <c r="T507" s="130">
        <v>0</v>
      </c>
      <c r="U507" s="130">
        <v>0</v>
      </c>
      <c r="V507" s="524">
        <v>0</v>
      </c>
      <c r="W507" s="130">
        <v>0</v>
      </c>
      <c r="X507" s="130">
        <v>0</v>
      </c>
      <c r="Y507" s="130">
        <v>0</v>
      </c>
      <c r="Z507" s="130">
        <v>0</v>
      </c>
      <c r="AA507" s="159" t="s">
        <v>3390</v>
      </c>
      <c r="AB507" s="159" t="s">
        <v>311</v>
      </c>
      <c r="AD507" s="159">
        <v>3</v>
      </c>
      <c r="AE507" s="158" t="b">
        <f>IF(AB507="",TRUE,IF(IF(AC507="",VLOOKUP(AB507,Calculs!$A$19:$S$425,19,FALSE),VLOOKUP(AC507,Calculs!$A$19:$S$425,19,FALSE))&gt;=AD507,TRUE,FALSE))</f>
        <v>0</v>
      </c>
      <c r="AI507" s="158" t="b">
        <f>IF(AF507="",TRUE,IF(IF(AG507="",VLOOKUP(AF507,Calculs!$A$19:$S$425,19,FALSE),VLOOKUP(AG507,Calculs!$A$19:$S$425,19,FALSE))&gt;=AH507,TRUE,FALSE))</f>
        <v>1</v>
      </c>
      <c r="AM507" s="158" t="b">
        <f>IF(AJ507="",TRUE,IF(IF(AK507="",VLOOKUP(AJ507,Calculs!$A$19:$S$425,19,FALSE),VLOOKUP(AK507,Calculs!$A$19:$S$425,19,FALSE))&gt;=AL507,TRUE,FALSE))</f>
        <v>1</v>
      </c>
      <c r="AQ507" s="158" t="b">
        <f>IF(AN507="",TRUE,IF(IF(AO507="",VLOOKUP(AN507,Calculs!$A$19:$S$425,19,FALSE),VLOOKUP(AO507,Calculs!$A$19:$S$425,19,FALSE))&gt;=AP507,TRUE,FALSE))</f>
        <v>1</v>
      </c>
      <c r="AR507" s="158"/>
      <c r="AS507" s="158" t="b">
        <f>IF(AR507="",TRUE,IF(VLOOKUP(AR507,Calculs!$A$427:$G$738,7,FALSE)&gt;0,TRUE,FALSE))</f>
        <v>1</v>
      </c>
      <c r="AT507" s="158"/>
      <c r="AU507" s="158" t="b">
        <f>IF(AT507="",TRUE,IF(VLOOKUP(AT507,Calculs!$A$740:$G$912,7,FALSE)&gt;0,TRUE,FALSE))</f>
        <v>1</v>
      </c>
      <c r="AV507" s="158" t="b">
        <f t="shared" si="53"/>
        <v>0</v>
      </c>
      <c r="AW507" s="159" t="s">
        <v>3391</v>
      </c>
      <c r="AX507" s="162" t="s">
        <v>6061</v>
      </c>
      <c r="AY507" s="15">
        <v>259</v>
      </c>
      <c r="AZ507" s="555" t="s">
        <v>8590</v>
      </c>
      <c r="BA507" s="559">
        <f>IF(Verso!$B$10=Voies!$B507,1,0)</f>
        <v>0</v>
      </c>
      <c r="BB507" s="12">
        <f>IF(Verso!$B$11=Voies!$B507,1,0)</f>
        <v>0</v>
      </c>
      <c r="BC507" s="12">
        <f>IF(Verso!$B$12=Voies!$B507,1,0)</f>
        <v>0</v>
      </c>
      <c r="BD507" s="12">
        <f>IF(Verso!$B$13=Voies!$B507,1,0)</f>
        <v>0</v>
      </c>
      <c r="BE507" s="12">
        <f>IF(Verso!$B$14=Voies!$B507,1,0)</f>
        <v>0</v>
      </c>
      <c r="BF507" s="12">
        <f>IF(Verso!$B$15=Voies!$B507,1,0)</f>
        <v>0</v>
      </c>
      <c r="BG507" s="12">
        <f>IF(Verso!$B$16=Voies!$B507,1,0)</f>
        <v>0</v>
      </c>
      <c r="BH507" s="12">
        <f>IF(Verso!$B$17=Voies!$B507,1,0)</f>
        <v>0</v>
      </c>
      <c r="BI507" s="557">
        <f t="shared" si="54"/>
        <v>0</v>
      </c>
      <c r="BJ507" s="196" t="str">
        <f t="shared" si="55"/>
        <v/>
      </c>
      <c r="BK507" s="196" t="str">
        <f t="shared" si="56"/>
        <v/>
      </c>
      <c r="BL507" s="295" t="str">
        <f t="shared" si="57"/>
        <v/>
      </c>
    </row>
    <row r="508" spans="1:65" ht="47.25" customHeight="1" x14ac:dyDescent="0.25">
      <c r="A508" s="162" t="str">
        <f>IF(AND(Réputation&gt;Voies!E508-1,OR(C508=TRUE,Calculs!$I$8&gt;0),Air&gt;Voies!J508-1,Eau&gt;Voies!K508-1,Feu&gt;Voies!L508-1,Terre&gt;Voies!M508-1,Vide&gt;Voies!N508-1,Constitution&gt;Voies!O508-1,Volonté&gt;Voies!P508-1,Force&gt;Voies!Q508-1,Perception&gt;Voies!R508-1,Reflexes&gt;Voies!S508-1,Agilité&gt;Voies!T508-1,Intuition&gt;Voies!U508-1,Intelligence&gt;Voies!V508-1,Souillure&gt;Voies!W508-1,Honneur&gt;X508-1,Statut&gt;Y508-1,Gloire&gt;Z508-1,AV508=TRUE),Voies!B508,"")</f>
        <v/>
      </c>
      <c r="B508" s="162" t="s">
        <v>3450</v>
      </c>
      <c r="C508" s="162" t="b">
        <f>IF(Clan=Voies!D508,TRUE,FALSE)</f>
        <v>0</v>
      </c>
      <c r="D508" s="387" t="s">
        <v>179</v>
      </c>
      <c r="E508" s="13">
        <v>2</v>
      </c>
      <c r="F508" s="199">
        <v>2</v>
      </c>
      <c r="G508" s="13" t="s">
        <v>2048</v>
      </c>
      <c r="H508" s="219" t="s">
        <v>617</v>
      </c>
      <c r="I508" s="129" t="s">
        <v>3449</v>
      </c>
      <c r="J508" s="146">
        <v>0</v>
      </c>
      <c r="K508" s="147">
        <v>0</v>
      </c>
      <c r="L508" s="148">
        <v>0</v>
      </c>
      <c r="M508" s="149">
        <v>0</v>
      </c>
      <c r="N508" s="150">
        <v>0</v>
      </c>
      <c r="O508" s="130">
        <v>0</v>
      </c>
      <c r="P508" s="130">
        <v>0</v>
      </c>
      <c r="Q508" s="130">
        <v>0</v>
      </c>
      <c r="R508" s="130">
        <v>0</v>
      </c>
      <c r="S508" s="130">
        <v>0</v>
      </c>
      <c r="T508" s="130">
        <v>0</v>
      </c>
      <c r="U508" s="130">
        <v>0</v>
      </c>
      <c r="V508" s="524">
        <v>0</v>
      </c>
      <c r="W508" s="130">
        <v>0</v>
      </c>
      <c r="X508" s="130">
        <v>0</v>
      </c>
      <c r="Y508" s="130">
        <v>0</v>
      </c>
      <c r="Z508" s="130">
        <v>0</v>
      </c>
      <c r="AA508" s="159" t="s">
        <v>3452</v>
      </c>
      <c r="AB508" s="159" t="s">
        <v>1268</v>
      </c>
      <c r="AD508" s="159">
        <v>3</v>
      </c>
      <c r="AE508" s="158" t="b">
        <f>IF(AB508="",TRUE,IF(IF(AC508="",VLOOKUP(AB508,Calculs!$A$19:$S$425,19,FALSE),VLOOKUP(AC508,Calculs!$A$19:$S$425,19,FALSE))&gt;=AD508,TRUE,FALSE))</f>
        <v>0</v>
      </c>
      <c r="AI508" s="158" t="b">
        <f>IF(AF508="",TRUE,IF(IF(AG508="",VLOOKUP(AF508,Calculs!$A$19:$S$425,19,FALSE),VLOOKUP(AG508,Calculs!$A$19:$S$425,19,FALSE))&gt;=AH508,TRUE,FALSE))</f>
        <v>1</v>
      </c>
      <c r="AM508" s="158" t="b">
        <f>IF(AJ508="",TRUE,IF(IF(AK508="",VLOOKUP(AJ508,Calculs!$A$19:$S$425,19,FALSE),VLOOKUP(AK508,Calculs!$A$19:$S$425,19,FALSE))&gt;=AL508,TRUE,FALSE))</f>
        <v>1</v>
      </c>
      <c r="AQ508" s="158" t="b">
        <f>IF(AN508="",TRUE,IF(IF(AO508="",VLOOKUP(AN508,Calculs!$A$19:$S$425,19,FALSE),VLOOKUP(AO508,Calculs!$A$19:$S$425,19,FALSE))&gt;=AP508,TRUE,FALSE))</f>
        <v>1</v>
      </c>
      <c r="AR508" s="158" t="s">
        <v>699</v>
      </c>
      <c r="AS508" s="158" t="b">
        <f>IF(AR508="",TRUE,IF(VLOOKUP(AR508,Calculs!$A$427:$G$738,7,FALSE)&gt;0,TRUE,FALSE))</f>
        <v>0</v>
      </c>
      <c r="AT508" s="158"/>
      <c r="AU508" s="158" t="b">
        <f>IF(AT508="",TRUE,IF(VLOOKUP(AT508,Calculs!$A$740:$G$912,7,FALSE)&gt;0,TRUE,FALSE))</f>
        <v>1</v>
      </c>
      <c r="AV508" s="158" t="b">
        <f t="shared" si="53"/>
        <v>0</v>
      </c>
      <c r="AW508" s="159" t="s">
        <v>3451</v>
      </c>
      <c r="AX508" s="162" t="s">
        <v>158</v>
      </c>
      <c r="AY508" s="15">
        <v>197</v>
      </c>
      <c r="AZ508" s="555" t="str">
        <f>CONCATENATE("Test de Méditation ND 15 pr. bénir votre cheval ou celui d'un autre coureur. Tout cheval béni de cette façon ne souffre jamais des pénalités de mouvement en fonction du terrain, ni ne subit la fatigue pendant ",Terre," heures. Un maximum de ",Terre," chevaux peuvent être bénis par vous de cette manière")</f>
        <v>Test de Méditation ND 15 pr. bénir votre cheval ou celui d'un autre coureur. Tout cheval béni de cette façon ne souffre jamais des pénalités de mouvement en fonction du terrain, ni ne subit la fatigue pendant 2 heures. Un maximum de 2 chevaux peuvent être bénis par vous de cette manière</v>
      </c>
      <c r="BA508" s="559">
        <f>IF(Verso!$B$10=Voies!$B508,1,0)</f>
        <v>0</v>
      </c>
      <c r="BB508" s="12">
        <f>IF(Verso!$B$11=Voies!$B508,1,0)</f>
        <v>0</v>
      </c>
      <c r="BC508" s="12">
        <f>IF(Verso!$B$12=Voies!$B508,1,0)</f>
        <v>0</v>
      </c>
      <c r="BD508" s="12">
        <f>IF(Verso!$B$13=Voies!$B508,1,0)</f>
        <v>0</v>
      </c>
      <c r="BE508" s="12">
        <f>IF(Verso!$B$14=Voies!$B508,1,0)</f>
        <v>0</v>
      </c>
      <c r="BF508" s="12">
        <f>IF(Verso!$B$15=Voies!$B508,1,0)</f>
        <v>0</v>
      </c>
      <c r="BG508" s="12">
        <f>IF(Verso!$B$16=Voies!$B508,1,0)</f>
        <v>0</v>
      </c>
      <c r="BH508" s="12">
        <f>IF(Verso!$B$17=Voies!$B508,1,0)</f>
        <v>0</v>
      </c>
      <c r="BI508" s="557">
        <f t="shared" si="54"/>
        <v>0</v>
      </c>
      <c r="BJ508" s="196" t="str">
        <f t="shared" si="55"/>
        <v/>
      </c>
      <c r="BK508" s="196" t="str">
        <f t="shared" si="56"/>
        <v/>
      </c>
      <c r="BL508" s="295" t="str">
        <f t="shared" si="57"/>
        <v/>
      </c>
    </row>
    <row r="509" spans="1:65" ht="47.25" customHeight="1" x14ac:dyDescent="0.25">
      <c r="A509" s="162" t="str">
        <f>IF(AND(Réputation&gt;Voies!E509-1,OR(C509=TRUE,Calculs!$I$8&gt;0),Air&gt;Voies!J509-1,Eau&gt;Voies!K509-1,Feu&gt;Voies!L509-1,Terre&gt;Voies!M509-1,Vide&gt;Voies!N509-1,Constitution&gt;Voies!O509-1,Volonté&gt;Voies!P509-1,Force&gt;Voies!Q509-1,Perception&gt;Voies!R509-1,Reflexes&gt;Voies!S509-1,Agilité&gt;Voies!T509-1,Intuition&gt;Voies!U509-1,Intelligence&gt;Voies!V509-1,Souillure&gt;Voies!W509-1,Honneur&gt;X509-1,Statut&gt;Y509-1,Gloire&gt;Z509-1,AV509=TRUE),Voies!B509,"")</f>
        <v/>
      </c>
      <c r="B509" s="162" t="s">
        <v>2381</v>
      </c>
      <c r="C509" s="162" t="b">
        <f>IF(Clan=Voies!D509,TRUE,FALSE)</f>
        <v>0</v>
      </c>
      <c r="D509" s="387" t="s">
        <v>179</v>
      </c>
      <c r="E509" s="13">
        <v>3</v>
      </c>
      <c r="F509" s="199">
        <v>3</v>
      </c>
      <c r="G509" s="13" t="s">
        <v>2049</v>
      </c>
      <c r="H509" s="219" t="s">
        <v>242</v>
      </c>
      <c r="I509" s="129" t="str">
        <f>IF(B509="","","Rien")</f>
        <v>Rien</v>
      </c>
      <c r="J509" s="146">
        <v>0</v>
      </c>
      <c r="K509" s="147">
        <v>0</v>
      </c>
      <c r="L509" s="148">
        <v>0</v>
      </c>
      <c r="M509" s="149">
        <v>0</v>
      </c>
      <c r="N509" s="150">
        <v>0</v>
      </c>
      <c r="O509" s="130">
        <v>0</v>
      </c>
      <c r="P509" s="130">
        <v>0</v>
      </c>
      <c r="Q509" s="130">
        <v>0</v>
      </c>
      <c r="R509" s="130">
        <v>0</v>
      </c>
      <c r="S509" s="130">
        <v>0</v>
      </c>
      <c r="T509" s="130">
        <v>0</v>
      </c>
      <c r="U509" s="130">
        <v>0</v>
      </c>
      <c r="V509" s="524">
        <v>0</v>
      </c>
      <c r="W509" s="130">
        <v>0</v>
      </c>
      <c r="X509" s="130">
        <v>0</v>
      </c>
      <c r="Y509" s="130">
        <v>0</v>
      </c>
      <c r="Z509" s="130">
        <v>0</v>
      </c>
      <c r="AA509" s="158" t="s">
        <v>2078</v>
      </c>
      <c r="AB509" s="158"/>
      <c r="AC509" s="158"/>
      <c r="AD509" s="158"/>
      <c r="AE509" s="158" t="b">
        <f>IF(AB509="",TRUE,IF(IF(AC509="",VLOOKUP(AB509,Calculs!$A$19:$S$425,19,FALSE),VLOOKUP(AC509,Calculs!$A$19:$S$425,19,FALSE))&gt;=AD509,TRUE,FALSE))</f>
        <v>1</v>
      </c>
      <c r="AF509" s="158"/>
      <c r="AG509" s="158"/>
      <c r="AH509" s="158"/>
      <c r="AI509" s="158" t="b">
        <f>IF(AF509="",TRUE,IF(IF(AG509="",VLOOKUP(AF509,Calculs!$A$19:$S$425,19,FALSE),VLOOKUP(AG509,Calculs!$A$19:$S$425,19,FALSE))&gt;=AH509,TRUE,FALSE))</f>
        <v>1</v>
      </c>
      <c r="AJ509" s="158"/>
      <c r="AK509" s="158"/>
      <c r="AL509" s="158"/>
      <c r="AM509" s="158" t="b">
        <f>IF(AJ509="",TRUE,IF(IF(AK509="",VLOOKUP(AJ509,Calculs!$A$19:$S$425,19,FALSE),VLOOKUP(AK509,Calculs!$A$19:$S$425,19,FALSE))&gt;=AL509,TRUE,FALSE))</f>
        <v>1</v>
      </c>
      <c r="AN509" s="158"/>
      <c r="AO509" s="158"/>
      <c r="AP509" s="158"/>
      <c r="AQ509" s="158" t="b">
        <f>IF(AN509="",TRUE,IF(IF(AO509="",VLOOKUP(AN509,Calculs!$A$19:$S$425,19,FALSE),VLOOKUP(AO509,Calculs!$A$19:$S$425,19,FALSE))&gt;=AP509,TRUE,FALSE))</f>
        <v>1</v>
      </c>
      <c r="AR509" s="158"/>
      <c r="AS509" s="158" t="b">
        <f>IF(AR509="",TRUE,IF(VLOOKUP(AR509,Calculs!$A$427:$G$738,7,FALSE)&gt;0,TRUE,FALSE))</f>
        <v>1</v>
      </c>
      <c r="AT509" s="158"/>
      <c r="AU509" s="158" t="b">
        <f>IF(AT509="",TRUE,IF(VLOOKUP(AT509,Calculs!$A$740:$G$912,7,FALSE)&gt;0,TRUE,FALSE))</f>
        <v>1</v>
      </c>
      <c r="AV509" s="158" t="b">
        <f t="shared" si="53"/>
        <v>1</v>
      </c>
      <c r="AW509" s="158" t="s">
        <v>2078</v>
      </c>
      <c r="AX509" s="162" t="s">
        <v>143</v>
      </c>
      <c r="AY509" s="15">
        <v>117</v>
      </c>
      <c r="AZ509" s="555" t="s">
        <v>2386</v>
      </c>
      <c r="BA509" s="559">
        <f>IF(Verso!$B$10=Voies!$B509,1,0)</f>
        <v>0</v>
      </c>
      <c r="BB509" s="12">
        <f>IF(Verso!$B$11=Voies!$B509,1,0)</f>
        <v>0</v>
      </c>
      <c r="BC509" s="12">
        <f>IF(Verso!$B$12=Voies!$B509,1,0)</f>
        <v>0</v>
      </c>
      <c r="BD509" s="12">
        <f>IF(Verso!$B$13=Voies!$B509,1,0)</f>
        <v>0</v>
      </c>
      <c r="BE509" s="12">
        <f>IF(Verso!$B$14=Voies!$B509,1,0)</f>
        <v>0</v>
      </c>
      <c r="BF509" s="12">
        <f>IF(Verso!$B$15=Voies!$B509,1,0)</f>
        <v>0</v>
      </c>
      <c r="BG509" s="12">
        <f>IF(Verso!$B$16=Voies!$B509,1,0)</f>
        <v>0</v>
      </c>
      <c r="BH509" s="12">
        <f>IF(Verso!$B$17=Voies!$B509,1,0)</f>
        <v>0</v>
      </c>
      <c r="BI509" s="557">
        <f t="shared" si="54"/>
        <v>0</v>
      </c>
      <c r="BJ509" s="196" t="str">
        <f t="shared" si="55"/>
        <v/>
      </c>
      <c r="BK509" s="196" t="str">
        <f t="shared" si="56"/>
        <v/>
      </c>
      <c r="BL509" s="295" t="str">
        <f t="shared" si="57"/>
        <v/>
      </c>
    </row>
    <row r="510" spans="1:65" ht="47.25" customHeight="1" x14ac:dyDescent="0.25">
      <c r="A510" s="162" t="str">
        <f>IF(AND(Réputation&gt;Voies!E510-1,OR(C510=TRUE,Calculs!$I$8&gt;0),Air&gt;Voies!J510-1,Eau&gt;Voies!K510-1,Feu&gt;Voies!L510-1,Terre&gt;Voies!M510-1,Vide&gt;Voies!N510-1,Constitution&gt;Voies!O510-1,Volonté&gt;Voies!P510-1,Force&gt;Voies!Q510-1,Perception&gt;Voies!R510-1,Reflexes&gt;Voies!S510-1,Agilité&gt;Voies!T510-1,Intuition&gt;Voies!U510-1,Intelligence&gt;Voies!V510-1,Souillure&gt;Voies!W510-1,Honneur&gt;X510-1,Statut&gt;Y510-1,Gloire&gt;Z510-1,AV510=TRUE),Voies!B510,"")</f>
        <v/>
      </c>
      <c r="B510" s="162" t="s">
        <v>4828</v>
      </c>
      <c r="C510" s="162" t="b">
        <f>IF(Clan=Voies!D510,TRUE,FALSE)</f>
        <v>0</v>
      </c>
      <c r="D510" s="387" t="s">
        <v>179</v>
      </c>
      <c r="E510" s="13">
        <v>3</v>
      </c>
      <c r="F510" s="199">
        <v>3</v>
      </c>
      <c r="G510" s="13" t="s">
        <v>2049</v>
      </c>
      <c r="H510" s="219" t="s">
        <v>243</v>
      </c>
      <c r="I510" s="129" t="str">
        <f>IF(B510="","","Rien")</f>
        <v>Rien</v>
      </c>
      <c r="J510" s="146">
        <v>0</v>
      </c>
      <c r="K510" s="147">
        <v>0</v>
      </c>
      <c r="L510" s="148">
        <v>0</v>
      </c>
      <c r="M510" s="149">
        <v>0</v>
      </c>
      <c r="N510" s="150">
        <v>0</v>
      </c>
      <c r="O510" s="130">
        <v>0</v>
      </c>
      <c r="P510" s="130">
        <v>0</v>
      </c>
      <c r="Q510" s="130">
        <v>0</v>
      </c>
      <c r="R510" s="130">
        <v>0</v>
      </c>
      <c r="S510" s="130">
        <v>0</v>
      </c>
      <c r="T510" s="130">
        <v>0</v>
      </c>
      <c r="U510" s="130">
        <v>0</v>
      </c>
      <c r="V510" s="524">
        <v>0</v>
      </c>
      <c r="W510" s="130">
        <v>0</v>
      </c>
      <c r="X510" s="130">
        <v>0</v>
      </c>
      <c r="Y510" s="130">
        <v>0</v>
      </c>
      <c r="Z510" s="130">
        <v>0</v>
      </c>
      <c r="AA510" s="158" t="s">
        <v>2078</v>
      </c>
      <c r="AB510" s="158"/>
      <c r="AC510" s="158"/>
      <c r="AD510" s="158"/>
      <c r="AE510" s="158" t="b">
        <f>IF(AB510="",TRUE,IF(IF(AC510="",VLOOKUP(AB510,Calculs!$A$19:$S$425,19,FALSE),VLOOKUP(AC510,Calculs!$A$19:$S$425,19,FALSE))&gt;=AD510,TRUE,FALSE))</f>
        <v>1</v>
      </c>
      <c r="AF510" s="158"/>
      <c r="AG510" s="158"/>
      <c r="AH510" s="158"/>
      <c r="AI510" s="158" t="b">
        <f>IF(AF510="",TRUE,IF(IF(AG510="",VLOOKUP(AF510,Calculs!$A$19:$S$425,19,FALSE),VLOOKUP(AG510,Calculs!$A$19:$S$425,19,FALSE))&gt;=AH510,TRUE,FALSE))</f>
        <v>1</v>
      </c>
      <c r="AJ510" s="158"/>
      <c r="AK510" s="158"/>
      <c r="AL510" s="158"/>
      <c r="AM510" s="158" t="b">
        <f>IF(AJ510="",TRUE,IF(IF(AK510="",VLOOKUP(AJ510,Calculs!$A$19:$S$425,19,FALSE),VLOOKUP(AK510,Calculs!$A$19:$S$425,19,FALSE))&gt;=AL510,TRUE,FALSE))</f>
        <v>1</v>
      </c>
      <c r="AN510" s="158"/>
      <c r="AO510" s="158"/>
      <c r="AP510" s="158"/>
      <c r="AQ510" s="158" t="b">
        <f>IF(AN510="",TRUE,IF(IF(AO510="",VLOOKUP(AN510,Calculs!$A$19:$S$425,19,FALSE),VLOOKUP(AO510,Calculs!$A$19:$S$425,19,FALSE))&gt;=AP510,TRUE,FALSE))</f>
        <v>1</v>
      </c>
      <c r="AR510" s="158"/>
      <c r="AS510" s="158" t="b">
        <f>IF(AR510="",TRUE,IF(VLOOKUP(AR510,Calculs!$A$427:$G$738,7,FALSE)&gt;0,TRUE,FALSE))</f>
        <v>1</v>
      </c>
      <c r="AT510" s="158"/>
      <c r="AU510" s="158" t="b">
        <f>IF(AT510="",TRUE,IF(VLOOKUP(AT510,Calculs!$A$740:$G$912,7,FALSE)&gt;0,TRUE,FALSE))</f>
        <v>1</v>
      </c>
      <c r="AV510" s="158" t="b">
        <f t="shared" si="53"/>
        <v>1</v>
      </c>
      <c r="AW510" s="158" t="s">
        <v>2078</v>
      </c>
      <c r="AX510" s="162" t="s">
        <v>5202</v>
      </c>
      <c r="AY510" s="15">
        <v>31</v>
      </c>
      <c r="AZ510" s="555" t="s">
        <v>8591</v>
      </c>
      <c r="BA510" s="559">
        <f>IF(Verso!$B$10=Voies!$B510,1,0)</f>
        <v>0</v>
      </c>
      <c r="BB510" s="12">
        <f>IF(Verso!$B$11=Voies!$B510,1,0)</f>
        <v>0</v>
      </c>
      <c r="BC510" s="12">
        <f>IF(Verso!$B$12=Voies!$B510,1,0)</f>
        <v>0</v>
      </c>
      <c r="BD510" s="12">
        <f>IF(Verso!$B$13=Voies!$B510,1,0)</f>
        <v>0</v>
      </c>
      <c r="BE510" s="12">
        <f>IF(Verso!$B$14=Voies!$B510,1,0)</f>
        <v>0</v>
      </c>
      <c r="BF510" s="12">
        <f>IF(Verso!$B$15=Voies!$B510,1,0)</f>
        <v>0</v>
      </c>
      <c r="BG510" s="12">
        <f>IF(Verso!$B$16=Voies!$B510,1,0)</f>
        <v>0</v>
      </c>
      <c r="BH510" s="12">
        <f>IF(Verso!$B$17=Voies!$B510,1,0)</f>
        <v>0</v>
      </c>
      <c r="BI510" s="557">
        <f t="shared" si="54"/>
        <v>0</v>
      </c>
      <c r="BJ510" s="196" t="str">
        <f t="shared" si="55"/>
        <v/>
      </c>
      <c r="BK510" s="196" t="str">
        <f t="shared" si="56"/>
        <v/>
      </c>
      <c r="BL510" s="295" t="str">
        <f t="shared" si="57"/>
        <v/>
      </c>
    </row>
    <row r="511" spans="1:65" ht="47.25" customHeight="1" x14ac:dyDescent="0.25">
      <c r="A511" s="162" t="str">
        <f>IF(AND(Réputation&gt;Voies!E511-1,OR(C511=TRUE,Calculs!$I$8&gt;0),Air&gt;Voies!J511-1,Eau&gt;Voies!K511-1,Feu&gt;Voies!L511-1,Terre&gt;Voies!M511-1,Vide&gt;Voies!N511-1,Constitution&gt;Voies!O511-1,Volonté&gt;Voies!P511-1,Force&gt;Voies!Q511-1,Perception&gt;Voies!R511-1,Reflexes&gt;Voies!S511-1,Agilité&gt;Voies!T511-1,Intuition&gt;Voies!U511-1,Intelligence&gt;Voies!V511-1,Souillure&gt;Voies!W511-1,Honneur&gt;X511-1,Statut&gt;Y511-1,Gloire&gt;Z511-1,AV511=TRUE),Voies!B511,"")</f>
        <v/>
      </c>
      <c r="B511" s="162" t="s">
        <v>3833</v>
      </c>
      <c r="C511" s="162" t="b">
        <f>IF(Clan=Voies!D511,TRUE,FALSE)</f>
        <v>0</v>
      </c>
      <c r="D511" s="387" t="s">
        <v>179</v>
      </c>
      <c r="E511" s="13">
        <v>3</v>
      </c>
      <c r="F511" s="199">
        <v>3</v>
      </c>
      <c r="G511" s="13" t="s">
        <v>2049</v>
      </c>
      <c r="H511" s="219" t="s">
        <v>534</v>
      </c>
      <c r="I511" s="129" t="s">
        <v>3832</v>
      </c>
      <c r="J511" s="146">
        <v>0</v>
      </c>
      <c r="K511" s="147">
        <v>0</v>
      </c>
      <c r="L511" s="148">
        <v>0</v>
      </c>
      <c r="M511" s="149">
        <v>0</v>
      </c>
      <c r="N511" s="150">
        <v>0</v>
      </c>
      <c r="O511" s="130">
        <v>0</v>
      </c>
      <c r="P511" s="130">
        <v>0</v>
      </c>
      <c r="Q511" s="130">
        <v>0</v>
      </c>
      <c r="R511" s="130">
        <v>0</v>
      </c>
      <c r="S511" s="130">
        <v>0</v>
      </c>
      <c r="T511" s="130">
        <v>0</v>
      </c>
      <c r="U511" s="130">
        <v>0</v>
      </c>
      <c r="V511" s="524">
        <v>0</v>
      </c>
      <c r="W511" s="130">
        <v>0</v>
      </c>
      <c r="X511" s="130">
        <v>0</v>
      </c>
      <c r="Y511" s="130">
        <v>0</v>
      </c>
      <c r="Z511" s="130">
        <v>0</v>
      </c>
      <c r="AA511" s="159" t="s">
        <v>6379</v>
      </c>
      <c r="AB511" s="159" t="s">
        <v>3325</v>
      </c>
      <c r="AC511" s="159" t="s">
        <v>3189</v>
      </c>
      <c r="AD511" s="159">
        <v>1</v>
      </c>
      <c r="AE511" s="158" t="b">
        <f>IF(AB511="",TRUE,IF(IF(AC511="",VLOOKUP(AB511,Calculs!$A$19:$S$425,19,FALSE),VLOOKUP(AC511,Calculs!$A$19:$S$425,19,FALSE))&gt;=AD511,TRUE,FALSE))</f>
        <v>0</v>
      </c>
      <c r="AF511" s="159" t="s">
        <v>1221</v>
      </c>
      <c r="AH511" s="159">
        <v>3</v>
      </c>
      <c r="AI511" s="158" t="b">
        <f>IF(AF511="",TRUE,IF(IF(AG511="",VLOOKUP(AF511,Calculs!$A$19:$S$425,19,FALSE),VLOOKUP(AG511,Calculs!$A$19:$S$425,19,FALSE))&gt;=AH511,TRUE,FALSE))</f>
        <v>0</v>
      </c>
      <c r="AM511" s="158" t="b">
        <f>IF(AJ511="",TRUE,IF(IF(AK511="",VLOOKUP(AJ511,Calculs!$A$19:$S$425,19,FALSE),VLOOKUP(AK511,Calculs!$A$19:$S$425,19,FALSE))&gt;=AL511,TRUE,FALSE))</f>
        <v>1</v>
      </c>
      <c r="AQ511" s="158" t="b">
        <f>IF(AN511="",TRUE,IF(IF(AO511="",VLOOKUP(AN511,Calculs!$A$19:$S$425,19,FALSE),VLOOKUP(AO511,Calculs!$A$19:$S$425,19,FALSE))&gt;=AP511,TRUE,FALSE))</f>
        <v>1</v>
      </c>
      <c r="AR511" s="158"/>
      <c r="AS511" s="158" t="b">
        <f>IF(AR511="",TRUE,IF(VLOOKUP(AR511,Calculs!$A$427:$G$738,7,FALSE)&gt;0,TRUE,FALSE))</f>
        <v>1</v>
      </c>
      <c r="AT511" s="158"/>
      <c r="AU511" s="158" t="b">
        <f>IF(AT511="",TRUE,IF(VLOOKUP(AT511,Calculs!$A$740:$G$912,7,FALSE)&gt;0,TRUE,FALSE))</f>
        <v>1</v>
      </c>
      <c r="AV511" s="158" t="b">
        <f t="shared" si="53"/>
        <v>0</v>
      </c>
      <c r="AW511" s="158" t="s">
        <v>2078</v>
      </c>
      <c r="AX511" s="162" t="s">
        <v>2087</v>
      </c>
      <c r="AY511" s="15">
        <v>61</v>
      </c>
      <c r="AZ511" s="566" t="s">
        <v>3834</v>
      </c>
      <c r="BA511" s="559">
        <f>IF(Verso!$B$10=Voies!$B511,1,0)</f>
        <v>0</v>
      </c>
      <c r="BB511" s="12">
        <f>IF(Verso!$B$11=Voies!$B511,1,0)</f>
        <v>0</v>
      </c>
      <c r="BC511" s="12">
        <f>IF(Verso!$B$12=Voies!$B511,1,0)</f>
        <v>0</v>
      </c>
      <c r="BD511" s="12">
        <f>IF(Verso!$B$13=Voies!$B511,1,0)</f>
        <v>0</v>
      </c>
      <c r="BE511" s="12">
        <f>IF(Verso!$B$14=Voies!$B511,1,0)</f>
        <v>0</v>
      </c>
      <c r="BF511" s="12">
        <f>IF(Verso!$B$15=Voies!$B511,1,0)</f>
        <v>0</v>
      </c>
      <c r="BG511" s="12">
        <f>IF(Verso!$B$16=Voies!$B511,1,0)</f>
        <v>0</v>
      </c>
      <c r="BH511" s="12">
        <f>IF(Verso!$B$17=Voies!$B511,1,0)</f>
        <v>0</v>
      </c>
      <c r="BI511" s="557">
        <f t="shared" si="54"/>
        <v>0</v>
      </c>
      <c r="BJ511" s="196" t="str">
        <f t="shared" si="55"/>
        <v/>
      </c>
      <c r="BK511" s="196" t="str">
        <f t="shared" si="56"/>
        <v/>
      </c>
      <c r="BL511" s="295" t="str">
        <f t="shared" si="57"/>
        <v/>
      </c>
    </row>
    <row r="512" spans="1:65" ht="47.25" customHeight="1" x14ac:dyDescent="0.25">
      <c r="A512" s="162" t="str">
        <f>IF(AND(Réputation&gt;Voies!E512-1,OR(C512=TRUE,Calculs!$I$8&gt;0),Air&gt;Voies!J512-1,Eau&gt;Voies!K512-1,Feu&gt;Voies!L512-1,Terre&gt;Voies!M512-1,Vide&gt;Voies!N512-1,Constitution&gt;Voies!O512-1,Volonté&gt;Voies!P512-1,Force&gt;Voies!Q512-1,Perception&gt;Voies!R512-1,Reflexes&gt;Voies!S512-1,Agilité&gt;Voies!T512-1,Intuition&gt;Voies!U512-1,Intelligence&gt;Voies!V512-1,Souillure&gt;Voies!W512-1,Honneur&gt;X512-1,Statut&gt;Y512-1,Gloire&gt;Z512-1,AV512=TRUE),Voies!B512,"")</f>
        <v/>
      </c>
      <c r="B512" s="162" t="s">
        <v>2752</v>
      </c>
      <c r="C512" s="162" t="b">
        <f>IF(Clan=Voies!D512,TRUE,FALSE)</f>
        <v>0</v>
      </c>
      <c r="D512" s="387" t="s">
        <v>179</v>
      </c>
      <c r="E512" s="13">
        <v>3</v>
      </c>
      <c r="F512" s="199">
        <v>3</v>
      </c>
      <c r="G512" s="13" t="s">
        <v>2049</v>
      </c>
      <c r="H512" s="219" t="s">
        <v>244</v>
      </c>
      <c r="I512" s="129" t="str">
        <f>IF(B512="","","Rien")</f>
        <v>Rien</v>
      </c>
      <c r="J512" s="146">
        <v>0</v>
      </c>
      <c r="K512" s="147">
        <v>0</v>
      </c>
      <c r="L512" s="148">
        <v>0</v>
      </c>
      <c r="M512" s="149">
        <v>0</v>
      </c>
      <c r="N512" s="150">
        <v>0</v>
      </c>
      <c r="O512" s="130">
        <v>0</v>
      </c>
      <c r="P512" s="130">
        <v>0</v>
      </c>
      <c r="Q512" s="130">
        <v>0</v>
      </c>
      <c r="R512" s="130">
        <v>0</v>
      </c>
      <c r="S512" s="130">
        <v>0</v>
      </c>
      <c r="T512" s="130">
        <v>0</v>
      </c>
      <c r="U512" s="130">
        <v>0</v>
      </c>
      <c r="V512" s="524">
        <v>0</v>
      </c>
      <c r="W512" s="130">
        <v>0</v>
      </c>
      <c r="X512" s="130">
        <v>0</v>
      </c>
      <c r="Y512" s="130">
        <v>0</v>
      </c>
      <c r="Z512" s="130">
        <v>0</v>
      </c>
      <c r="AA512" s="158" t="s">
        <v>2078</v>
      </c>
      <c r="AB512" s="158"/>
      <c r="AC512" s="158"/>
      <c r="AD512" s="158"/>
      <c r="AE512" s="158" t="b">
        <f>IF(AB512="",TRUE,IF(IF(AC512="",VLOOKUP(AB512,Calculs!$A$19:$S$425,19,FALSE),VLOOKUP(AC512,Calculs!$A$19:$S$425,19,FALSE))&gt;=AD512,TRUE,FALSE))</f>
        <v>1</v>
      </c>
      <c r="AF512" s="158"/>
      <c r="AG512" s="158"/>
      <c r="AH512" s="158"/>
      <c r="AI512" s="158" t="b">
        <f>IF(AF512="",TRUE,IF(IF(AG512="",VLOOKUP(AF512,Calculs!$A$19:$S$425,19,FALSE),VLOOKUP(AG512,Calculs!$A$19:$S$425,19,FALSE))&gt;=AH512,TRUE,FALSE))</f>
        <v>1</v>
      </c>
      <c r="AJ512" s="158"/>
      <c r="AK512" s="158"/>
      <c r="AL512" s="158"/>
      <c r="AM512" s="158" t="b">
        <f>IF(AJ512="",TRUE,IF(IF(AK512="",VLOOKUP(AJ512,Calculs!$A$19:$S$425,19,FALSE),VLOOKUP(AK512,Calculs!$A$19:$S$425,19,FALSE))&gt;=AL512,TRUE,FALSE))</f>
        <v>1</v>
      </c>
      <c r="AN512" s="158"/>
      <c r="AO512" s="158"/>
      <c r="AP512" s="158"/>
      <c r="AQ512" s="158" t="b">
        <f>IF(AN512="",TRUE,IF(IF(AO512="",VLOOKUP(AN512,Calculs!$A$19:$S$425,19,FALSE),VLOOKUP(AO512,Calculs!$A$19:$S$425,19,FALSE))&gt;=AP512,TRUE,FALSE))</f>
        <v>1</v>
      </c>
      <c r="AR512" s="158"/>
      <c r="AS512" s="158" t="b">
        <f>IF(AR512="",TRUE,IF(VLOOKUP(AR512,Calculs!$A$427:$G$738,7,FALSE)&gt;0,TRUE,FALSE))</f>
        <v>1</v>
      </c>
      <c r="AT512" s="158"/>
      <c r="AU512" s="158" t="b">
        <f>IF(AT512="",TRUE,IF(VLOOKUP(AT512,Calculs!$A$740:$G$912,7,FALSE)&gt;0,TRUE,FALSE))</f>
        <v>1</v>
      </c>
      <c r="AV512" s="158" t="b">
        <f t="shared" si="53"/>
        <v>1</v>
      </c>
      <c r="AW512" s="158" t="s">
        <v>2078</v>
      </c>
      <c r="AX512" s="162" t="s">
        <v>2076</v>
      </c>
      <c r="AY512" s="15">
        <v>169</v>
      </c>
      <c r="AZ512" s="555" t="s">
        <v>2756</v>
      </c>
      <c r="BA512" s="559">
        <f>IF(Verso!$B$10=Voies!$B512,1,0)</f>
        <v>0</v>
      </c>
      <c r="BB512" s="12">
        <f>IF(Verso!$B$11=Voies!$B512,1,0)</f>
        <v>0</v>
      </c>
      <c r="BC512" s="12">
        <f>IF(Verso!$B$12=Voies!$B512,1,0)</f>
        <v>0</v>
      </c>
      <c r="BD512" s="12">
        <f>IF(Verso!$B$13=Voies!$B512,1,0)</f>
        <v>0</v>
      </c>
      <c r="BE512" s="12">
        <f>IF(Verso!$B$14=Voies!$B512,1,0)</f>
        <v>0</v>
      </c>
      <c r="BF512" s="12">
        <f>IF(Verso!$B$15=Voies!$B512,1,0)</f>
        <v>0</v>
      </c>
      <c r="BG512" s="12">
        <f>IF(Verso!$B$16=Voies!$B512,1,0)</f>
        <v>0</v>
      </c>
      <c r="BH512" s="12">
        <f>IF(Verso!$B$17=Voies!$B512,1,0)</f>
        <v>0</v>
      </c>
      <c r="BI512" s="557">
        <f t="shared" si="54"/>
        <v>0</v>
      </c>
      <c r="BJ512" s="196" t="str">
        <f t="shared" si="55"/>
        <v/>
      </c>
      <c r="BK512" s="196" t="str">
        <f t="shared" si="56"/>
        <v/>
      </c>
      <c r="BL512" s="295" t="str">
        <f t="shared" si="57"/>
        <v/>
      </c>
    </row>
    <row r="513" spans="1:65" ht="47.25" customHeight="1" x14ac:dyDescent="0.25">
      <c r="A513" s="162" t="str">
        <f>IF(AND(Réputation&gt;Voies!E513-1,OR(C513=TRUE,Calculs!$I$8&gt;0),Air&gt;Voies!J513-1,Eau&gt;Voies!K513-1,Feu&gt;Voies!L513-1,Terre&gt;Voies!M513-1,Vide&gt;Voies!N513-1,Constitution&gt;Voies!O513-1,Volonté&gt;Voies!P513-1,Force&gt;Voies!Q513-1,Perception&gt;Voies!R513-1,Reflexes&gt;Voies!S513-1,Agilité&gt;Voies!T513-1,Intuition&gt;Voies!U513-1,Intelligence&gt;Voies!V513-1,Souillure&gt;Voies!W513-1,Honneur&gt;X513-1,Statut&gt;Y513-1,Gloire&gt;Z513-1,AV513=TRUE),Voies!B513,"")</f>
        <v/>
      </c>
      <c r="B513" s="162" t="s">
        <v>2406</v>
      </c>
      <c r="C513" s="162" t="b">
        <f>IF(Clan=Voies!D513,TRUE,FALSE)</f>
        <v>0</v>
      </c>
      <c r="D513" s="387" t="s">
        <v>179</v>
      </c>
      <c r="E513" s="13">
        <v>3</v>
      </c>
      <c r="F513" s="199">
        <v>3</v>
      </c>
      <c r="G513" s="13" t="s">
        <v>2049</v>
      </c>
      <c r="H513" s="219" t="s">
        <v>349</v>
      </c>
      <c r="I513" s="129" t="str">
        <f>IF(B513="","","Rien")</f>
        <v>Rien</v>
      </c>
      <c r="J513" s="146">
        <v>0</v>
      </c>
      <c r="K513" s="147">
        <v>0</v>
      </c>
      <c r="L513" s="148">
        <v>0</v>
      </c>
      <c r="M513" s="149">
        <v>0</v>
      </c>
      <c r="N513" s="150">
        <v>0</v>
      </c>
      <c r="O513" s="130">
        <v>0</v>
      </c>
      <c r="P513" s="130">
        <v>0</v>
      </c>
      <c r="Q513" s="130">
        <v>0</v>
      </c>
      <c r="R513" s="130">
        <v>0</v>
      </c>
      <c r="S513" s="130">
        <v>0</v>
      </c>
      <c r="T513" s="130">
        <v>0</v>
      </c>
      <c r="U513" s="130">
        <v>0</v>
      </c>
      <c r="V513" s="524">
        <v>0</v>
      </c>
      <c r="W513" s="130">
        <v>0</v>
      </c>
      <c r="X513" s="130">
        <v>0</v>
      </c>
      <c r="Y513" s="130">
        <v>0</v>
      </c>
      <c r="Z513" s="130">
        <v>0</v>
      </c>
      <c r="AA513" s="158" t="s">
        <v>2078</v>
      </c>
      <c r="AB513" s="158"/>
      <c r="AC513" s="158"/>
      <c r="AD513" s="158"/>
      <c r="AE513" s="158" t="b">
        <f>IF(AB513="",TRUE,IF(IF(AC513="",VLOOKUP(AB513,Calculs!$A$19:$S$425,19,FALSE),VLOOKUP(AC513,Calculs!$A$19:$S$425,19,FALSE))&gt;=AD513,TRUE,FALSE))</f>
        <v>1</v>
      </c>
      <c r="AF513" s="158"/>
      <c r="AG513" s="158"/>
      <c r="AH513" s="158"/>
      <c r="AI513" s="158" t="b">
        <f>IF(AF513="",TRUE,IF(IF(AG513="",VLOOKUP(AF513,Calculs!$A$19:$S$425,19,FALSE),VLOOKUP(AG513,Calculs!$A$19:$S$425,19,FALSE))&gt;=AH513,TRUE,FALSE))</f>
        <v>1</v>
      </c>
      <c r="AJ513" s="158"/>
      <c r="AK513" s="158"/>
      <c r="AL513" s="158"/>
      <c r="AM513" s="158" t="b">
        <f>IF(AJ513="",TRUE,IF(IF(AK513="",VLOOKUP(AJ513,Calculs!$A$19:$S$425,19,FALSE),VLOOKUP(AK513,Calculs!$A$19:$S$425,19,FALSE))&gt;=AL513,TRUE,FALSE))</f>
        <v>1</v>
      </c>
      <c r="AN513" s="158"/>
      <c r="AO513" s="158"/>
      <c r="AP513" s="158"/>
      <c r="AQ513" s="158" t="b">
        <f>IF(AN513="",TRUE,IF(IF(AO513="",VLOOKUP(AN513,Calculs!$A$19:$S$425,19,FALSE),VLOOKUP(AO513,Calculs!$A$19:$S$425,19,FALSE))&gt;=AP513,TRUE,FALSE))</f>
        <v>1</v>
      </c>
      <c r="AR513" s="158"/>
      <c r="AS513" s="158" t="b">
        <f>IF(AR513="",TRUE,IF(VLOOKUP(AR513,Calculs!$A$427:$G$738,7,FALSE)&gt;0,TRUE,FALSE))</f>
        <v>1</v>
      </c>
      <c r="AT513" s="158"/>
      <c r="AU513" s="158" t="b">
        <f>IF(AT513="",TRUE,IF(VLOOKUP(AT513,Calculs!$A$740:$G$912,7,FALSE)&gt;0,TRUE,FALSE))</f>
        <v>1</v>
      </c>
      <c r="AV513" s="158" t="b">
        <f t="shared" si="53"/>
        <v>1</v>
      </c>
      <c r="AW513" s="158" t="s">
        <v>2078</v>
      </c>
      <c r="AX513" s="162" t="s">
        <v>143</v>
      </c>
      <c r="AY513" s="15">
        <v>119</v>
      </c>
      <c r="AZ513" s="555" t="s">
        <v>2493</v>
      </c>
      <c r="BA513" s="559">
        <f>IF(Verso!$B$10=Voies!$B513,1,0)</f>
        <v>0</v>
      </c>
      <c r="BB513" s="12">
        <f>IF(Verso!$B$11=Voies!$B513,1,0)</f>
        <v>0</v>
      </c>
      <c r="BC513" s="12">
        <f>IF(Verso!$B$12=Voies!$B513,1,0)</f>
        <v>0</v>
      </c>
      <c r="BD513" s="12">
        <f>IF(Verso!$B$13=Voies!$B513,1,0)</f>
        <v>0</v>
      </c>
      <c r="BE513" s="12">
        <f>IF(Verso!$B$14=Voies!$B513,1,0)</f>
        <v>0</v>
      </c>
      <c r="BF513" s="12">
        <f>IF(Verso!$B$15=Voies!$B513,1,0)</f>
        <v>0</v>
      </c>
      <c r="BG513" s="12">
        <f>IF(Verso!$B$16=Voies!$B513,1,0)</f>
        <v>0</v>
      </c>
      <c r="BH513" s="12">
        <f>IF(Verso!$B$17=Voies!$B513,1,0)</f>
        <v>0</v>
      </c>
      <c r="BI513" s="557">
        <f t="shared" si="54"/>
        <v>0</v>
      </c>
      <c r="BJ513" s="196" t="str">
        <f t="shared" si="55"/>
        <v/>
      </c>
      <c r="BK513" s="196" t="str">
        <f t="shared" si="56"/>
        <v/>
      </c>
      <c r="BL513" s="295" t="str">
        <f t="shared" si="57"/>
        <v/>
      </c>
    </row>
    <row r="514" spans="1:65" ht="47.25" customHeight="1" x14ac:dyDescent="0.25">
      <c r="A514" s="162" t="str">
        <f>IF(AND(Réputation&gt;Voies!E514-1,OR(C514=TRUE,Calculs!$I$8&gt;0),Air&gt;Voies!J514-1,Eau&gt;Voies!K514-1,Feu&gt;Voies!L514-1,Terre&gt;Voies!M514-1,Vide&gt;Voies!N514-1,Constitution&gt;Voies!O514-1,Volonté&gt;Voies!P514-1,Force&gt;Voies!Q514-1,Perception&gt;Voies!R514-1,Reflexes&gt;Voies!S514-1,Agilité&gt;Voies!T514-1,Intuition&gt;Voies!U514-1,Intelligence&gt;Voies!V514-1,Souillure&gt;Voies!W514-1,Honneur&gt;X514-1,Statut&gt;Y514-1,Gloire&gt;Z514-1,AV514=TRUE),Voies!B514,"")</f>
        <v/>
      </c>
      <c r="B514" s="162" t="s">
        <v>6075</v>
      </c>
      <c r="C514" s="162" t="b">
        <f>IF(Clan=Voies!D514,TRUE,FALSE)</f>
        <v>0</v>
      </c>
      <c r="D514" s="387" t="s">
        <v>179</v>
      </c>
      <c r="E514" s="13">
        <v>3</v>
      </c>
      <c r="F514" s="199">
        <v>3</v>
      </c>
      <c r="G514" s="13" t="s">
        <v>2049</v>
      </c>
      <c r="H514" s="219" t="s">
        <v>6072</v>
      </c>
      <c r="I514" s="129" t="s">
        <v>3370</v>
      </c>
      <c r="J514" s="146">
        <v>0</v>
      </c>
      <c r="K514" s="147">
        <v>0</v>
      </c>
      <c r="L514" s="148">
        <v>0</v>
      </c>
      <c r="M514" s="149">
        <v>0</v>
      </c>
      <c r="N514" s="150">
        <v>0</v>
      </c>
      <c r="O514" s="130">
        <v>0</v>
      </c>
      <c r="P514" s="130">
        <v>0</v>
      </c>
      <c r="Q514" s="130">
        <v>0</v>
      </c>
      <c r="R514" s="130">
        <v>0</v>
      </c>
      <c r="S514" s="130">
        <v>0</v>
      </c>
      <c r="T514" s="130">
        <v>0</v>
      </c>
      <c r="U514" s="130">
        <v>0</v>
      </c>
      <c r="V514" s="524">
        <v>0</v>
      </c>
      <c r="W514" s="130">
        <v>0</v>
      </c>
      <c r="X514" s="130">
        <v>0</v>
      </c>
      <c r="Y514" s="130">
        <v>0</v>
      </c>
      <c r="Z514" s="130">
        <v>0</v>
      </c>
      <c r="AA514" s="158" t="s">
        <v>2078</v>
      </c>
      <c r="AB514" s="158"/>
      <c r="AC514" s="158"/>
      <c r="AD514" s="158"/>
      <c r="AE514" s="158" t="b">
        <f>IF(AB514="",TRUE,IF(IF(AC514="",VLOOKUP(AB514,Calculs!$A$19:$S$425,19,FALSE),VLOOKUP(AC514,Calculs!$A$19:$S$425,19,FALSE))&gt;=AD514,TRUE,FALSE))</f>
        <v>1</v>
      </c>
      <c r="AF514" s="158"/>
      <c r="AG514" s="158"/>
      <c r="AH514" s="158"/>
      <c r="AI514" s="158" t="b">
        <f>IF(AF514="",TRUE,IF(IF(AG514="",VLOOKUP(AF514,Calculs!$A$19:$S$425,19,FALSE),VLOOKUP(AG514,Calculs!$A$19:$S$425,19,FALSE))&gt;=AH514,TRUE,FALSE))</f>
        <v>1</v>
      </c>
      <c r="AJ514" s="158"/>
      <c r="AK514" s="158"/>
      <c r="AL514" s="158"/>
      <c r="AM514" s="158" t="b">
        <f>IF(AJ514="",TRUE,IF(IF(AK514="",VLOOKUP(AJ514,Calculs!$A$19:$S$425,19,FALSE),VLOOKUP(AK514,Calculs!$A$19:$S$425,19,FALSE))&gt;=AL514,TRUE,FALSE))</f>
        <v>1</v>
      </c>
      <c r="AN514" s="158"/>
      <c r="AO514" s="158"/>
      <c r="AP514" s="158"/>
      <c r="AQ514" s="158" t="b">
        <f>IF(AN514="",TRUE,IF(IF(AO514="",VLOOKUP(AN514,Calculs!$A$19:$S$425,19,FALSE),VLOOKUP(AO514,Calculs!$A$19:$S$425,19,FALSE))&gt;=AP514,TRUE,FALSE))</f>
        <v>1</v>
      </c>
      <c r="AR514" s="158"/>
      <c r="AS514" s="158" t="b">
        <f>IF(AR514="",TRUE,IF(VLOOKUP(AR514,Calculs!$A$427:$G$738,7,FALSE)&gt;0,TRUE,FALSE))</f>
        <v>1</v>
      </c>
      <c r="AT514" s="158"/>
      <c r="AU514" s="158" t="b">
        <f>IF(AT514="",TRUE,IF(VLOOKUP(AT514,Calculs!$A$740:$G$912,7,FALSE)&gt;0,TRUE,FALSE))</f>
        <v>1</v>
      </c>
      <c r="AV514" s="158" t="b">
        <f t="shared" si="53"/>
        <v>1</v>
      </c>
      <c r="AW514" s="159" t="s">
        <v>3383</v>
      </c>
      <c r="AX514" s="162" t="s">
        <v>6061</v>
      </c>
      <c r="AY514" s="15">
        <v>132</v>
      </c>
      <c r="AZ514" s="555" t="s">
        <v>2682</v>
      </c>
      <c r="BA514" s="559">
        <f>IF(Verso!$B$10=Voies!$B514,1,0)</f>
        <v>0</v>
      </c>
      <c r="BB514" s="12">
        <f>IF(Verso!$B$11=Voies!$B514,1,0)</f>
        <v>0</v>
      </c>
      <c r="BC514" s="12">
        <f>IF(Verso!$B$12=Voies!$B514,1,0)</f>
        <v>0</v>
      </c>
      <c r="BD514" s="12">
        <f>IF(Verso!$B$13=Voies!$B514,1,0)</f>
        <v>0</v>
      </c>
      <c r="BE514" s="12">
        <f>IF(Verso!$B$14=Voies!$B514,1,0)</f>
        <v>0</v>
      </c>
      <c r="BF514" s="12">
        <f>IF(Verso!$B$15=Voies!$B514,1,0)</f>
        <v>0</v>
      </c>
      <c r="BG514" s="12">
        <f>IF(Verso!$B$16=Voies!$B514,1,0)</f>
        <v>0</v>
      </c>
      <c r="BH514" s="12">
        <f>IF(Verso!$B$17=Voies!$B514,1,0)</f>
        <v>0</v>
      </c>
      <c r="BI514" s="557">
        <f t="shared" si="54"/>
        <v>0</v>
      </c>
      <c r="BJ514" s="196" t="str">
        <f t="shared" si="55"/>
        <v/>
      </c>
      <c r="BK514" s="196" t="str">
        <f t="shared" si="56"/>
        <v/>
      </c>
      <c r="BL514" s="295" t="str">
        <f t="shared" si="57"/>
        <v/>
      </c>
    </row>
    <row r="515" spans="1:65" ht="47.25" customHeight="1" x14ac:dyDescent="0.25">
      <c r="A515" s="162" t="str">
        <f>IF(AND(Réputation&gt;Voies!E515-1,OR(C515=TRUE,Calculs!$I$8&gt;0),Air&gt;Voies!J515-1,Eau&gt;Voies!K515-1,Feu&gt;Voies!L515-1,Terre&gt;Voies!M515-1,Vide&gt;Voies!N515-1,Constitution&gt;Voies!O515-1,Volonté&gt;Voies!P515-1,Force&gt;Voies!Q515-1,Perception&gt;Voies!R515-1,Reflexes&gt;Voies!S515-1,Agilité&gt;Voies!T515-1,Intuition&gt;Voies!U515-1,Intelligence&gt;Voies!V515-1,Souillure&gt;Voies!W515-1,Honneur&gt;X515-1,Statut&gt;Y515-1,Gloire&gt;Z515-1,AV515=TRUE),Voies!B515,"")</f>
        <v/>
      </c>
      <c r="B515" s="162" t="s">
        <v>2398</v>
      </c>
      <c r="C515" s="162" t="b">
        <f>IF(Clan=Voies!D515,TRUE,FALSE)</f>
        <v>0</v>
      </c>
      <c r="D515" s="387" t="s">
        <v>179</v>
      </c>
      <c r="E515" s="13">
        <v>3</v>
      </c>
      <c r="F515" s="199">
        <v>3</v>
      </c>
      <c r="G515" s="13" t="s">
        <v>2052</v>
      </c>
      <c r="H515" s="219" t="s">
        <v>241</v>
      </c>
      <c r="I515" s="129" t="str">
        <f>IF(B515="","","Rien")</f>
        <v>Rien</v>
      </c>
      <c r="J515" s="146">
        <v>0</v>
      </c>
      <c r="K515" s="147">
        <v>0</v>
      </c>
      <c r="L515" s="148">
        <v>0</v>
      </c>
      <c r="M515" s="149">
        <v>0</v>
      </c>
      <c r="N515" s="150">
        <v>0</v>
      </c>
      <c r="O515" s="130">
        <v>0</v>
      </c>
      <c r="P515" s="130">
        <v>0</v>
      </c>
      <c r="Q515" s="130">
        <v>0</v>
      </c>
      <c r="R515" s="130">
        <v>0</v>
      </c>
      <c r="S515" s="130">
        <v>0</v>
      </c>
      <c r="T515" s="130">
        <v>0</v>
      </c>
      <c r="U515" s="130">
        <v>0</v>
      </c>
      <c r="V515" s="524">
        <v>0</v>
      </c>
      <c r="W515" s="130">
        <v>0</v>
      </c>
      <c r="X515" s="130">
        <v>0</v>
      </c>
      <c r="Y515" s="130">
        <v>0</v>
      </c>
      <c r="Z515" s="130">
        <v>0</v>
      </c>
      <c r="AA515" s="158" t="s">
        <v>2078</v>
      </c>
      <c r="AB515" s="158"/>
      <c r="AC515" s="158"/>
      <c r="AD515" s="158"/>
      <c r="AE515" s="158" t="b">
        <f>IF(AB515="",TRUE,IF(IF(AC515="",VLOOKUP(AB515,Calculs!$A$19:$S$425,19,FALSE),VLOOKUP(AC515,Calculs!$A$19:$S$425,19,FALSE))&gt;=AD515,TRUE,FALSE))</f>
        <v>1</v>
      </c>
      <c r="AF515" s="158"/>
      <c r="AG515" s="158"/>
      <c r="AH515" s="158"/>
      <c r="AI515" s="158" t="b">
        <f>IF(AF515="",TRUE,IF(IF(AG515="",VLOOKUP(AF515,Calculs!$A$19:$S$425,19,FALSE),VLOOKUP(AG515,Calculs!$A$19:$S$425,19,FALSE))&gt;=AH515,TRUE,FALSE))</f>
        <v>1</v>
      </c>
      <c r="AJ515" s="158"/>
      <c r="AK515" s="158"/>
      <c r="AL515" s="158"/>
      <c r="AM515" s="158" t="b">
        <f>IF(AJ515="",TRUE,IF(IF(AK515="",VLOOKUP(AJ515,Calculs!$A$19:$S$425,19,FALSE),VLOOKUP(AK515,Calculs!$A$19:$S$425,19,FALSE))&gt;=AL515,TRUE,FALSE))</f>
        <v>1</v>
      </c>
      <c r="AN515" s="158"/>
      <c r="AO515" s="158"/>
      <c r="AP515" s="158"/>
      <c r="AQ515" s="158" t="b">
        <f>IF(AN515="",TRUE,IF(IF(AO515="",VLOOKUP(AN515,Calculs!$A$19:$S$425,19,FALSE),VLOOKUP(AO515,Calculs!$A$19:$S$425,19,FALSE))&gt;=AP515,TRUE,FALSE))</f>
        <v>1</v>
      </c>
      <c r="AR515" s="158"/>
      <c r="AS515" s="158" t="b">
        <f>IF(AR515="",TRUE,IF(VLOOKUP(AR515,Calculs!$A$427:$G$738,7,FALSE)&gt;0,TRUE,FALSE))</f>
        <v>1</v>
      </c>
      <c r="AT515" s="158"/>
      <c r="AU515" s="158" t="b">
        <f>IF(AT515="",TRUE,IF(VLOOKUP(AT515,Calculs!$A$740:$G$912,7,FALSE)&gt;0,TRUE,FALSE))</f>
        <v>1</v>
      </c>
      <c r="AV515" s="158" t="b">
        <f t="shared" ref="AV515:AV578" si="59">IF(AND(AE515=TRUE,AI515=TRUE,AM515=TRUE,AQ515=TRUE,AS515=TRUE,AU515=TRUE),TRUE,FALSE)</f>
        <v>1</v>
      </c>
      <c r="AW515" s="158" t="s">
        <v>2078</v>
      </c>
      <c r="AX515" s="162" t="s">
        <v>143</v>
      </c>
      <c r="AY515" s="15">
        <v>118</v>
      </c>
      <c r="AZ515" s="555" t="s">
        <v>8592</v>
      </c>
      <c r="BA515" s="559">
        <f>IF(Verso!$B$10=Voies!$B515,1,0)</f>
        <v>0</v>
      </c>
      <c r="BB515" s="12">
        <f>IF(Verso!$B$11=Voies!$B515,1,0)</f>
        <v>0</v>
      </c>
      <c r="BC515" s="12">
        <f>IF(Verso!$B$12=Voies!$B515,1,0)</f>
        <v>0</v>
      </c>
      <c r="BD515" s="12">
        <f>IF(Verso!$B$13=Voies!$B515,1,0)</f>
        <v>0</v>
      </c>
      <c r="BE515" s="12">
        <f>IF(Verso!$B$14=Voies!$B515,1,0)</f>
        <v>0</v>
      </c>
      <c r="BF515" s="12">
        <f>IF(Verso!$B$15=Voies!$B515,1,0)</f>
        <v>0</v>
      </c>
      <c r="BG515" s="12">
        <f>IF(Verso!$B$16=Voies!$B515,1,0)</f>
        <v>0</v>
      </c>
      <c r="BH515" s="12">
        <f>IF(Verso!$B$17=Voies!$B515,1,0)</f>
        <v>0</v>
      </c>
      <c r="BI515" s="557">
        <f t="shared" ref="BI515:BI578" si="60">SUM(BA515:BH515)</f>
        <v>0</v>
      </c>
      <c r="BJ515" s="196" t="str">
        <f t="shared" si="55"/>
        <v/>
      </c>
      <c r="BK515" s="196" t="str">
        <f t="shared" si="56"/>
        <v/>
      </c>
      <c r="BL515" s="295" t="str">
        <f t="shared" si="57"/>
        <v/>
      </c>
    </row>
    <row r="516" spans="1:65" ht="47.25" customHeight="1" x14ac:dyDescent="0.25">
      <c r="A516" s="162" t="str">
        <f>IF(AND(Réputation&gt;Voies!E516-1,OR(C516=TRUE,Calculs!$I$8&gt;0),Air&gt;Voies!J516-1,Eau&gt;Voies!K516-1,Feu&gt;Voies!L516-1,Terre&gt;Voies!M516-1,Vide&gt;Voies!N516-1,Constitution&gt;Voies!O516-1,Volonté&gt;Voies!P516-1,Force&gt;Voies!Q516-1,Perception&gt;Voies!R516-1,Reflexes&gt;Voies!S516-1,Agilité&gt;Voies!T516-1,Intuition&gt;Voies!U516-1,Intelligence&gt;Voies!V516-1,Souillure&gt;Voies!W516-1,Honneur&gt;X516-1,Statut&gt;Y516-1,Gloire&gt;Z516-1,AV516=TRUE),Voies!B516,"")</f>
        <v/>
      </c>
      <c r="B516" s="162" t="s">
        <v>3154</v>
      </c>
      <c r="C516" s="162" t="b">
        <f>IF(Clan=Voies!D516,TRUE,FALSE)</f>
        <v>0</v>
      </c>
      <c r="D516" s="387" t="s">
        <v>179</v>
      </c>
      <c r="E516" s="13">
        <v>3</v>
      </c>
      <c r="F516" s="199">
        <v>3</v>
      </c>
      <c r="G516" s="13" t="s">
        <v>2048</v>
      </c>
      <c r="H516" s="219" t="s">
        <v>538</v>
      </c>
      <c r="I516" s="129" t="s">
        <v>3153</v>
      </c>
      <c r="J516" s="146">
        <v>0</v>
      </c>
      <c r="K516" s="147">
        <v>0</v>
      </c>
      <c r="L516" s="148">
        <v>0</v>
      </c>
      <c r="M516" s="149">
        <v>5</v>
      </c>
      <c r="N516" s="150">
        <v>0</v>
      </c>
      <c r="O516" s="130">
        <v>0</v>
      </c>
      <c r="P516" s="130">
        <v>0</v>
      </c>
      <c r="Q516" s="130">
        <v>4</v>
      </c>
      <c r="R516" s="130">
        <v>0</v>
      </c>
      <c r="S516" s="130">
        <v>0</v>
      </c>
      <c r="T516" s="130">
        <v>5</v>
      </c>
      <c r="U516" s="130">
        <v>0</v>
      </c>
      <c r="V516" s="524">
        <v>0</v>
      </c>
      <c r="W516" s="130">
        <v>0</v>
      </c>
      <c r="X516" s="130">
        <v>0</v>
      </c>
      <c r="Y516" s="130">
        <v>0</v>
      </c>
      <c r="Z516" s="130">
        <v>0</v>
      </c>
      <c r="AA516" s="159" t="s">
        <v>3155</v>
      </c>
      <c r="AB516" s="159" t="s">
        <v>1267</v>
      </c>
      <c r="AD516" s="159">
        <v>2</v>
      </c>
      <c r="AE516" s="158" t="b">
        <f>IF(AB516="",TRUE,IF(IF(AC516="",VLOOKUP(AB516,Calculs!$A$19:$S$425,19,FALSE),VLOOKUP(AC516,Calculs!$A$19:$S$425,19,FALSE))&gt;=AD516,TRUE,FALSE))</f>
        <v>0</v>
      </c>
      <c r="AF516" s="159" t="s">
        <v>1268</v>
      </c>
      <c r="AH516" s="159">
        <v>2</v>
      </c>
      <c r="AI516" s="158" t="b">
        <f>IF(AF516="",TRUE,IF(IF(AG516="",VLOOKUP(AF516,Calculs!$A$19:$S$425,19,FALSE),VLOOKUP(AG516,Calculs!$A$19:$S$425,19,FALSE))&gt;=AH516,TRUE,FALSE))</f>
        <v>0</v>
      </c>
      <c r="AM516" s="158" t="b">
        <f>IF(AJ516="",TRUE,IF(IF(AK516="",VLOOKUP(AJ516,Calculs!$A$19:$S$425,19,FALSE),VLOOKUP(AK516,Calculs!$A$19:$S$425,19,FALSE))&gt;=AL516,TRUE,FALSE))</f>
        <v>1</v>
      </c>
      <c r="AQ516" s="158" t="b">
        <f>IF(AN516="",TRUE,IF(IF(AO516="",VLOOKUP(AN516,Calculs!$A$19:$S$425,19,FALSE),VLOOKUP(AO516,Calculs!$A$19:$S$425,19,FALSE))&gt;=AP516,TRUE,FALSE))</f>
        <v>1</v>
      </c>
      <c r="AR516" s="158"/>
      <c r="AS516" s="158" t="b">
        <f>IF(AR516="",TRUE,IF(VLOOKUP(AR516,Calculs!$A$427:$G$738,7,FALSE)&gt;0,TRUE,FALSE))</f>
        <v>1</v>
      </c>
      <c r="AT516" s="158"/>
      <c r="AU516" s="158" t="b">
        <f>IF(AT516="",TRUE,IF(VLOOKUP(AT516,Calculs!$A$740:$G$912,7,FALSE)&gt;0,TRUE,FALSE))</f>
        <v>1</v>
      </c>
      <c r="AV516" s="158" t="b">
        <f t="shared" si="59"/>
        <v>0</v>
      </c>
      <c r="AW516" s="158" t="s">
        <v>2078</v>
      </c>
      <c r="AX516" s="162" t="s">
        <v>3</v>
      </c>
      <c r="AY516" s="15">
        <v>255</v>
      </c>
      <c r="AZ516" s="555" t="s">
        <v>3156</v>
      </c>
      <c r="BA516" s="559">
        <f>IF(Verso!$B$10=Voies!$B516,1,0)</f>
        <v>0</v>
      </c>
      <c r="BB516" s="12">
        <f>IF(Verso!$B$11=Voies!$B516,1,0)</f>
        <v>0</v>
      </c>
      <c r="BC516" s="12">
        <f>IF(Verso!$B$12=Voies!$B516,1,0)</f>
        <v>0</v>
      </c>
      <c r="BD516" s="12">
        <f>IF(Verso!$B$13=Voies!$B516,1,0)</f>
        <v>0</v>
      </c>
      <c r="BE516" s="12">
        <f>IF(Verso!$B$14=Voies!$B516,1,0)</f>
        <v>0</v>
      </c>
      <c r="BF516" s="12">
        <f>IF(Verso!$B$15=Voies!$B516,1,0)</f>
        <v>0</v>
      </c>
      <c r="BG516" s="12">
        <f>IF(Verso!$B$16=Voies!$B516,1,0)</f>
        <v>0</v>
      </c>
      <c r="BH516" s="12">
        <f>IF(Verso!$B$17=Voies!$B516,1,0)</f>
        <v>0</v>
      </c>
      <c r="BI516" s="557">
        <f t="shared" si="60"/>
        <v>0</v>
      </c>
      <c r="BJ516" s="196" t="str">
        <f t="shared" ref="BJ516:BJ579" si="61">IF(A516="","",ROW())</f>
        <v/>
      </c>
      <c r="BK516" s="196" t="str">
        <f t="shared" ref="BK516:BK579" si="62">IFERROR(SMALL(BJ:BJ,ROW()-2),"")</f>
        <v/>
      </c>
      <c r="BL516" s="295" t="str">
        <f t="shared" ref="BL516:BL579" si="63">IFERROR(INDEX(A:A,BK516),"")</f>
        <v/>
      </c>
    </row>
    <row r="517" spans="1:65" ht="47.25" customHeight="1" x14ac:dyDescent="0.25">
      <c r="A517" s="162" t="str">
        <f>IF(AND(Réputation&gt;Voies!E517-1,OR(C517=TRUE,Calculs!$I$8&gt;0),Air&gt;Voies!J517-1,Eau&gt;Voies!K517-1,Feu&gt;Voies!L517-1,Terre&gt;Voies!M517-1,Vide&gt;Voies!N517-1,Constitution&gt;Voies!O517-1,Volonté&gt;Voies!P517-1,Force&gt;Voies!Q517-1,Perception&gt;Voies!R517-1,Reflexes&gt;Voies!S517-1,Agilité&gt;Voies!T517-1,Intuition&gt;Voies!U517-1,Intelligence&gt;Voies!V517-1,Souillure&gt;Voies!W517-1,Honneur&gt;X517-1,Statut&gt;Y517-1,Gloire&gt;Z517-1,AV517=TRUE),Voies!B517,"")</f>
        <v/>
      </c>
      <c r="B517" s="162" t="s">
        <v>3392</v>
      </c>
      <c r="C517" s="162" t="b">
        <f>IF(Clan=Voies!D517,TRUE,FALSE)</f>
        <v>0</v>
      </c>
      <c r="D517" s="387" t="s">
        <v>179</v>
      </c>
      <c r="E517" s="13">
        <v>4</v>
      </c>
      <c r="F517" s="199">
        <v>4</v>
      </c>
      <c r="G517" s="13" t="s">
        <v>2049</v>
      </c>
      <c r="H517" s="219" t="s">
        <v>541</v>
      </c>
      <c r="I517" s="129" t="s">
        <v>6073</v>
      </c>
      <c r="J517" s="146">
        <v>0</v>
      </c>
      <c r="K517" s="147">
        <v>0</v>
      </c>
      <c r="L517" s="148">
        <v>0</v>
      </c>
      <c r="M517" s="149">
        <v>0</v>
      </c>
      <c r="N517" s="150">
        <v>0</v>
      </c>
      <c r="O517" s="130">
        <v>0</v>
      </c>
      <c r="P517" s="130">
        <v>0</v>
      </c>
      <c r="Q517" s="130">
        <v>0</v>
      </c>
      <c r="R517" s="130">
        <v>0</v>
      </c>
      <c r="S517" s="130">
        <v>0</v>
      </c>
      <c r="T517" s="130">
        <v>4</v>
      </c>
      <c r="U517" s="130">
        <v>0</v>
      </c>
      <c r="V517" s="524">
        <v>0</v>
      </c>
      <c r="W517" s="130">
        <v>0</v>
      </c>
      <c r="X517" s="130">
        <v>0</v>
      </c>
      <c r="Y517" s="130">
        <v>0</v>
      </c>
      <c r="Z517" s="130">
        <v>0</v>
      </c>
      <c r="AA517" s="159" t="s">
        <v>3361</v>
      </c>
      <c r="AB517" s="159" t="s">
        <v>1228</v>
      </c>
      <c r="AD517" s="159">
        <v>5</v>
      </c>
      <c r="AE517" s="158" t="b">
        <f>IF(AB517="",TRUE,IF(IF(AC517="",VLOOKUP(AB517,Calculs!$A$19:$S$425,19,FALSE),VLOOKUP(AC517,Calculs!$A$19:$S$425,19,FALSE))&gt;=AD517,TRUE,FALSE))</f>
        <v>0</v>
      </c>
      <c r="AI517" s="158" t="b">
        <f>IF(AF517="",TRUE,IF(IF(AG517="",VLOOKUP(AF517,Calculs!$A$19:$S$425,19,FALSE),VLOOKUP(AG517,Calculs!$A$19:$S$425,19,FALSE))&gt;=AH517,TRUE,FALSE))</f>
        <v>1</v>
      </c>
      <c r="AM517" s="158" t="b">
        <f>IF(AJ517="",TRUE,IF(IF(AK517="",VLOOKUP(AJ517,Calculs!$A$19:$S$425,19,FALSE),VLOOKUP(AK517,Calculs!$A$19:$S$425,19,FALSE))&gt;=AL517,TRUE,FALSE))</f>
        <v>1</v>
      </c>
      <c r="AQ517" s="158" t="b">
        <f>IF(AN517="",TRUE,IF(IF(AO517="",VLOOKUP(AN517,Calculs!$A$19:$S$425,19,FALSE),VLOOKUP(AO517,Calculs!$A$19:$S$425,19,FALSE))&gt;=AP517,TRUE,FALSE))</f>
        <v>1</v>
      </c>
      <c r="AR517" s="158"/>
      <c r="AS517" s="158" t="b">
        <f>IF(AR517="",TRUE,IF(VLOOKUP(AR517,Calculs!$A$427:$G$738,7,FALSE)&gt;0,TRUE,FALSE))</f>
        <v>1</v>
      </c>
      <c r="AT517" s="158"/>
      <c r="AU517" s="158" t="b">
        <f>IF(AT517="",TRUE,IF(VLOOKUP(AT517,Calculs!$A$740:$G$912,7,FALSE)&gt;0,TRUE,FALSE))</f>
        <v>1</v>
      </c>
      <c r="AV517" s="158" t="b">
        <f t="shared" si="59"/>
        <v>0</v>
      </c>
      <c r="AW517" s="158" t="s">
        <v>2078</v>
      </c>
      <c r="AX517" s="162" t="s">
        <v>118</v>
      </c>
      <c r="AY517" s="15">
        <v>173</v>
      </c>
      <c r="AZ517" s="555" t="str">
        <f>CONCATENATE("Lorsque vous utilisez un yumi ou dai-kyu, passez une ou plusieurs AS consécutives avant de tirer: Pour chaque AS +1g1 à votre jet d'attaque OU +1g0 à vos Dégâts. (maximum ",Agilité," AS). Si interrompu, les bonus sont perdus. Ne peut pas être utilisé en Posture du Centre.")</f>
        <v>Lorsque vous utilisez un yumi ou dai-kyu, passez une ou plusieurs AS consécutives avant de tirer: Pour chaque AS +1g1 à votre jet d'attaque OU +1g0 à vos Dégâts. (maximum 2 AS). Si interrompu, les bonus sont perdus. Ne peut pas être utilisé en Posture du Centre.</v>
      </c>
      <c r="BA517" s="559">
        <f>IF(Verso!$B$10=Voies!$B517,1,0)</f>
        <v>0</v>
      </c>
      <c r="BB517" s="12">
        <f>IF(Verso!$B$11=Voies!$B517,1,0)</f>
        <v>0</v>
      </c>
      <c r="BC517" s="12">
        <f>IF(Verso!$B$12=Voies!$B517,1,0)</f>
        <v>0</v>
      </c>
      <c r="BD517" s="12">
        <f>IF(Verso!$B$13=Voies!$B517,1,0)</f>
        <v>0</v>
      </c>
      <c r="BE517" s="12">
        <f>IF(Verso!$B$14=Voies!$B517,1,0)</f>
        <v>0</v>
      </c>
      <c r="BF517" s="12">
        <f>IF(Verso!$B$15=Voies!$B517,1,0)</f>
        <v>0</v>
      </c>
      <c r="BG517" s="12">
        <f>IF(Verso!$B$16=Voies!$B517,1,0)</f>
        <v>0</v>
      </c>
      <c r="BH517" s="12">
        <f>IF(Verso!$B$17=Voies!$B517,1,0)</f>
        <v>0</v>
      </c>
      <c r="BI517" s="557">
        <f t="shared" si="60"/>
        <v>0</v>
      </c>
      <c r="BJ517" s="196" t="str">
        <f t="shared" si="61"/>
        <v/>
      </c>
      <c r="BK517" s="196" t="str">
        <f t="shared" si="62"/>
        <v/>
      </c>
      <c r="BL517" s="295" t="str">
        <f t="shared" si="63"/>
        <v/>
      </c>
    </row>
    <row r="518" spans="1:65" ht="47.25" customHeight="1" x14ac:dyDescent="0.25">
      <c r="A518" s="162" t="str">
        <f>IF(AND(Réputation&gt;Voies!E518-1,OR(C518=TRUE,Calculs!$I$8&gt;0),Air&gt;Voies!J518-1,Eau&gt;Voies!K518-1,Feu&gt;Voies!L518-1,Terre&gt;Voies!M518-1,Vide&gt;Voies!N518-1,Constitution&gt;Voies!O518-1,Volonté&gt;Voies!P518-1,Force&gt;Voies!Q518-1,Perception&gt;Voies!R518-1,Reflexes&gt;Voies!S518-1,Agilité&gt;Voies!T518-1,Intuition&gt;Voies!U518-1,Intelligence&gt;Voies!V518-1,Souillure&gt;Voies!W518-1,Honneur&gt;X518-1,Statut&gt;Y518-1,Gloire&gt;Z518-1,AV518=TRUE),Voies!B518,"")</f>
        <v/>
      </c>
      <c r="B518" s="162" t="s">
        <v>2382</v>
      </c>
      <c r="C518" s="162" t="b">
        <f>IF(Clan=Voies!D518,TRUE,FALSE)</f>
        <v>0</v>
      </c>
      <c r="D518" s="387" t="s">
        <v>179</v>
      </c>
      <c r="E518" s="13">
        <v>4</v>
      </c>
      <c r="F518" s="199">
        <v>4</v>
      </c>
      <c r="G518" s="13" t="s">
        <v>2049</v>
      </c>
      <c r="H518" s="219" t="s">
        <v>242</v>
      </c>
      <c r="I518" s="129" t="str">
        <f>IF(B518="","","Rien")</f>
        <v>Rien</v>
      </c>
      <c r="J518" s="146">
        <v>0</v>
      </c>
      <c r="K518" s="147">
        <v>0</v>
      </c>
      <c r="L518" s="148">
        <v>0</v>
      </c>
      <c r="M518" s="149">
        <v>0</v>
      </c>
      <c r="N518" s="150">
        <v>0</v>
      </c>
      <c r="O518" s="130">
        <v>0</v>
      </c>
      <c r="P518" s="130">
        <v>0</v>
      </c>
      <c r="Q518" s="130">
        <v>0</v>
      </c>
      <c r="R518" s="130">
        <v>0</v>
      </c>
      <c r="S518" s="130">
        <v>0</v>
      </c>
      <c r="T518" s="130">
        <v>0</v>
      </c>
      <c r="U518" s="130">
        <v>0</v>
      </c>
      <c r="V518" s="524">
        <v>0</v>
      </c>
      <c r="W518" s="130">
        <v>0</v>
      </c>
      <c r="X518" s="130">
        <v>0</v>
      </c>
      <c r="Y518" s="130">
        <v>0</v>
      </c>
      <c r="Z518" s="130">
        <v>0</v>
      </c>
      <c r="AA518" s="158" t="s">
        <v>2078</v>
      </c>
      <c r="AB518" s="158"/>
      <c r="AC518" s="158"/>
      <c r="AD518" s="158"/>
      <c r="AE518" s="158" t="b">
        <f>IF(AB518="",TRUE,IF(IF(AC518="",VLOOKUP(AB518,Calculs!$A$19:$S$425,19,FALSE),VLOOKUP(AC518,Calculs!$A$19:$S$425,19,FALSE))&gt;=AD518,TRUE,FALSE))</f>
        <v>1</v>
      </c>
      <c r="AF518" s="158"/>
      <c r="AG518" s="158"/>
      <c r="AH518" s="158"/>
      <c r="AI518" s="158" t="b">
        <f>IF(AF518="",TRUE,IF(IF(AG518="",VLOOKUP(AF518,Calculs!$A$19:$S$425,19,FALSE),VLOOKUP(AG518,Calculs!$A$19:$S$425,19,FALSE))&gt;=AH518,TRUE,FALSE))</f>
        <v>1</v>
      </c>
      <c r="AJ518" s="158"/>
      <c r="AK518" s="158"/>
      <c r="AL518" s="158"/>
      <c r="AM518" s="158" t="b">
        <f>IF(AJ518="",TRUE,IF(IF(AK518="",VLOOKUP(AJ518,Calculs!$A$19:$S$425,19,FALSE),VLOOKUP(AK518,Calculs!$A$19:$S$425,19,FALSE))&gt;=AL518,TRUE,FALSE))</f>
        <v>1</v>
      </c>
      <c r="AN518" s="158"/>
      <c r="AO518" s="158"/>
      <c r="AP518" s="158"/>
      <c r="AQ518" s="158" t="b">
        <f>IF(AN518="",TRUE,IF(IF(AO518="",VLOOKUP(AN518,Calculs!$A$19:$S$425,19,FALSE),VLOOKUP(AO518,Calculs!$A$19:$S$425,19,FALSE))&gt;=AP518,TRUE,FALSE))</f>
        <v>1</v>
      </c>
      <c r="AR518" s="158"/>
      <c r="AS518" s="158" t="b">
        <f>IF(AR518="",TRUE,IF(VLOOKUP(AR518,Calculs!$A$427:$G$738,7,FALSE)&gt;0,TRUE,FALSE))</f>
        <v>1</v>
      </c>
      <c r="AT518" s="158"/>
      <c r="AU518" s="158" t="b">
        <f>IF(AT518="",TRUE,IF(VLOOKUP(AT518,Calculs!$A$740:$G$912,7,FALSE)&gt;0,TRUE,FALSE))</f>
        <v>1</v>
      </c>
      <c r="AV518" s="158" t="b">
        <f t="shared" si="59"/>
        <v>1</v>
      </c>
      <c r="AW518" s="158" t="s">
        <v>2078</v>
      </c>
      <c r="AX518" s="162" t="s">
        <v>143</v>
      </c>
      <c r="AY518" s="15">
        <v>117</v>
      </c>
      <c r="AZ518" s="555" t="s">
        <v>2387</v>
      </c>
      <c r="BA518" s="559">
        <f>IF(Verso!$B$10=Voies!$B518,1,0)</f>
        <v>0</v>
      </c>
      <c r="BB518" s="12">
        <f>IF(Verso!$B$11=Voies!$B518,1,0)</f>
        <v>0</v>
      </c>
      <c r="BC518" s="12">
        <f>IF(Verso!$B$12=Voies!$B518,1,0)</f>
        <v>0</v>
      </c>
      <c r="BD518" s="12">
        <f>IF(Verso!$B$13=Voies!$B518,1,0)</f>
        <v>0</v>
      </c>
      <c r="BE518" s="12">
        <f>IF(Verso!$B$14=Voies!$B518,1,0)</f>
        <v>0</v>
      </c>
      <c r="BF518" s="12">
        <f>IF(Verso!$B$15=Voies!$B518,1,0)</f>
        <v>0</v>
      </c>
      <c r="BG518" s="12">
        <f>IF(Verso!$B$16=Voies!$B518,1,0)</f>
        <v>0</v>
      </c>
      <c r="BH518" s="12">
        <f>IF(Verso!$B$17=Voies!$B518,1,0)</f>
        <v>0</v>
      </c>
      <c r="BI518" s="557">
        <f t="shared" si="60"/>
        <v>0</v>
      </c>
      <c r="BJ518" s="196" t="str">
        <f t="shared" si="61"/>
        <v/>
      </c>
      <c r="BK518" s="196" t="str">
        <f t="shared" si="62"/>
        <v/>
      </c>
      <c r="BL518" s="295" t="str">
        <f t="shared" si="63"/>
        <v/>
      </c>
    </row>
    <row r="519" spans="1:65" ht="47.25" customHeight="1" x14ac:dyDescent="0.25">
      <c r="A519" s="162" t="str">
        <f>IF(AND(Réputation&gt;Voies!E519-1,OR(C519=TRUE,Calculs!$I$8&gt;0),Air&gt;Voies!J519-1,Eau&gt;Voies!K519-1,Feu&gt;Voies!L519-1,Terre&gt;Voies!M519-1,Vide&gt;Voies!N519-1,Constitution&gt;Voies!O519-1,Volonté&gt;Voies!P519-1,Force&gt;Voies!Q519-1,Perception&gt;Voies!R519-1,Reflexes&gt;Voies!S519-1,Agilité&gt;Voies!T519-1,Intuition&gt;Voies!U519-1,Intelligence&gt;Voies!V519-1,Souillure&gt;Voies!W519-1,Honneur&gt;X519-1,Statut&gt;Y519-1,Gloire&gt;Z519-1,AV519=TRUE),Voies!B519,"")</f>
        <v/>
      </c>
      <c r="B519" s="162" t="s">
        <v>4829</v>
      </c>
      <c r="C519" s="162" t="b">
        <f>IF(Clan=Voies!D519,TRUE,FALSE)</f>
        <v>0</v>
      </c>
      <c r="D519" s="387" t="s">
        <v>179</v>
      </c>
      <c r="E519" s="13">
        <v>4</v>
      </c>
      <c r="F519" s="199">
        <v>4</v>
      </c>
      <c r="G519" s="13" t="s">
        <v>2049</v>
      </c>
      <c r="H519" s="219" t="s">
        <v>243</v>
      </c>
      <c r="I519" s="129" t="str">
        <f>IF(B519="","","Rien")</f>
        <v>Rien</v>
      </c>
      <c r="J519" s="146">
        <v>0</v>
      </c>
      <c r="K519" s="147">
        <v>0</v>
      </c>
      <c r="L519" s="148">
        <v>0</v>
      </c>
      <c r="M519" s="149">
        <v>0</v>
      </c>
      <c r="N519" s="150">
        <v>0</v>
      </c>
      <c r="O519" s="130">
        <v>0</v>
      </c>
      <c r="P519" s="130">
        <v>0</v>
      </c>
      <c r="Q519" s="130">
        <v>0</v>
      </c>
      <c r="R519" s="130">
        <v>0</v>
      </c>
      <c r="S519" s="130">
        <v>0</v>
      </c>
      <c r="T519" s="130">
        <v>0</v>
      </c>
      <c r="U519" s="130">
        <v>0</v>
      </c>
      <c r="V519" s="524">
        <v>0</v>
      </c>
      <c r="W519" s="130">
        <v>0</v>
      </c>
      <c r="X519" s="130">
        <v>0</v>
      </c>
      <c r="Y519" s="130">
        <v>0</v>
      </c>
      <c r="Z519" s="130">
        <v>0</v>
      </c>
      <c r="AA519" s="158" t="s">
        <v>2078</v>
      </c>
      <c r="AB519" s="158"/>
      <c r="AC519" s="158"/>
      <c r="AD519" s="158"/>
      <c r="AE519" s="158" t="b">
        <f>IF(AB519="",TRUE,IF(IF(AC519="",VLOOKUP(AB519,Calculs!$A$19:$S$425,19,FALSE),VLOOKUP(AC519,Calculs!$A$19:$S$425,19,FALSE))&gt;=AD519,TRUE,FALSE))</f>
        <v>1</v>
      </c>
      <c r="AF519" s="158"/>
      <c r="AG519" s="158"/>
      <c r="AH519" s="158"/>
      <c r="AI519" s="158" t="b">
        <f>IF(AF519="",TRUE,IF(IF(AG519="",VLOOKUP(AF519,Calculs!$A$19:$S$425,19,FALSE),VLOOKUP(AG519,Calculs!$A$19:$S$425,19,FALSE))&gt;=AH519,TRUE,FALSE))</f>
        <v>1</v>
      </c>
      <c r="AJ519" s="158"/>
      <c r="AK519" s="158"/>
      <c r="AL519" s="158"/>
      <c r="AM519" s="158" t="b">
        <f>IF(AJ519="",TRUE,IF(IF(AK519="",VLOOKUP(AJ519,Calculs!$A$19:$S$425,19,FALSE),VLOOKUP(AK519,Calculs!$A$19:$S$425,19,FALSE))&gt;=AL519,TRUE,FALSE))</f>
        <v>1</v>
      </c>
      <c r="AN519" s="158"/>
      <c r="AO519" s="158"/>
      <c r="AP519" s="158"/>
      <c r="AQ519" s="158" t="b">
        <f>IF(AN519="",TRUE,IF(IF(AO519="",VLOOKUP(AN519,Calculs!$A$19:$S$425,19,FALSE),VLOOKUP(AO519,Calculs!$A$19:$S$425,19,FALSE))&gt;=AP519,TRUE,FALSE))</f>
        <v>1</v>
      </c>
      <c r="AR519" s="158"/>
      <c r="AS519" s="158" t="b">
        <f>IF(AR519="",TRUE,IF(VLOOKUP(AR519,Calculs!$A$427:$G$738,7,FALSE)&gt;0,TRUE,FALSE))</f>
        <v>1</v>
      </c>
      <c r="AT519" s="158"/>
      <c r="AU519" s="158" t="b">
        <f>IF(AT519="",TRUE,IF(VLOOKUP(AT519,Calculs!$A$740:$G$912,7,FALSE)&gt;0,TRUE,FALSE))</f>
        <v>1</v>
      </c>
      <c r="AV519" s="158" t="b">
        <f t="shared" si="59"/>
        <v>1</v>
      </c>
      <c r="AW519" s="158" t="s">
        <v>2078</v>
      </c>
      <c r="AX519" s="162" t="s">
        <v>5202</v>
      </c>
      <c r="AY519" s="15">
        <v>31</v>
      </c>
      <c r="AZ519" s="555" t="s">
        <v>8593</v>
      </c>
      <c r="BA519" s="559">
        <f>IF(Verso!$B$10=Voies!$B519,1,0)</f>
        <v>0</v>
      </c>
      <c r="BB519" s="12">
        <f>IF(Verso!$B$11=Voies!$B519,1,0)</f>
        <v>0</v>
      </c>
      <c r="BC519" s="12">
        <f>IF(Verso!$B$12=Voies!$B519,1,0)</f>
        <v>0</v>
      </c>
      <c r="BD519" s="12">
        <f>IF(Verso!$B$13=Voies!$B519,1,0)</f>
        <v>0</v>
      </c>
      <c r="BE519" s="12">
        <f>IF(Verso!$B$14=Voies!$B519,1,0)</f>
        <v>0</v>
      </c>
      <c r="BF519" s="12">
        <f>IF(Verso!$B$15=Voies!$B519,1,0)</f>
        <v>0</v>
      </c>
      <c r="BG519" s="12">
        <f>IF(Verso!$B$16=Voies!$B519,1,0)</f>
        <v>0</v>
      </c>
      <c r="BH519" s="12">
        <f>IF(Verso!$B$17=Voies!$B519,1,0)</f>
        <v>0</v>
      </c>
      <c r="BI519" s="557">
        <f t="shared" si="60"/>
        <v>0</v>
      </c>
      <c r="BJ519" s="196" t="str">
        <f t="shared" si="61"/>
        <v/>
      </c>
      <c r="BK519" s="196" t="str">
        <f t="shared" si="62"/>
        <v/>
      </c>
      <c r="BL519" s="295" t="str">
        <f t="shared" si="63"/>
        <v/>
      </c>
    </row>
    <row r="520" spans="1:65" ht="47.25" customHeight="1" x14ac:dyDescent="0.25">
      <c r="A520" s="162" t="str">
        <f>IF(AND(Réputation&gt;Voies!E520-1,OR(C520=TRUE,Calculs!$I$8&gt;0),Air&gt;Voies!J520-1,Eau&gt;Voies!K520-1,Feu&gt;Voies!L520-1,Terre&gt;Voies!M520-1,Vide&gt;Voies!N520-1,Constitution&gt;Voies!O520-1,Volonté&gt;Voies!P520-1,Force&gt;Voies!Q520-1,Perception&gt;Voies!R520-1,Reflexes&gt;Voies!S520-1,Agilité&gt;Voies!T520-1,Intuition&gt;Voies!U520-1,Intelligence&gt;Voies!V520-1,Souillure&gt;Voies!W520-1,Honneur&gt;X520-1,Statut&gt;Y520-1,Gloire&gt;Z520-1,AV520=TRUE),Voies!B520,"")</f>
        <v/>
      </c>
      <c r="B520" s="162" t="s">
        <v>6077</v>
      </c>
      <c r="C520" s="162" t="b">
        <f>IF(Clan=Voies!D520,TRUE,FALSE)</f>
        <v>0</v>
      </c>
      <c r="D520" s="387" t="s">
        <v>179</v>
      </c>
      <c r="E520" s="13">
        <v>4</v>
      </c>
      <c r="F520" s="199">
        <v>4</v>
      </c>
      <c r="G520" s="13" t="s">
        <v>2049</v>
      </c>
      <c r="H520" s="219" t="s">
        <v>539</v>
      </c>
      <c r="I520" s="129" t="s">
        <v>3617</v>
      </c>
      <c r="J520" s="146">
        <v>0</v>
      </c>
      <c r="K520" s="147">
        <v>0</v>
      </c>
      <c r="L520" s="148">
        <v>0</v>
      </c>
      <c r="M520" s="149">
        <v>0</v>
      </c>
      <c r="N520" s="150">
        <v>0</v>
      </c>
      <c r="O520" s="130">
        <v>0</v>
      </c>
      <c r="P520" s="130">
        <v>0</v>
      </c>
      <c r="Q520" s="130">
        <v>0</v>
      </c>
      <c r="R520" s="130">
        <v>0</v>
      </c>
      <c r="S520" s="130">
        <v>0</v>
      </c>
      <c r="T520" s="130">
        <v>0</v>
      </c>
      <c r="U520" s="130">
        <v>0</v>
      </c>
      <c r="V520" s="524">
        <v>0</v>
      </c>
      <c r="W520" s="130">
        <v>0</v>
      </c>
      <c r="X520" s="130">
        <v>0</v>
      </c>
      <c r="Y520" s="130">
        <v>0</v>
      </c>
      <c r="Z520" s="130">
        <v>0</v>
      </c>
      <c r="AA520" s="158" t="s">
        <v>2078</v>
      </c>
      <c r="AB520" s="158"/>
      <c r="AC520" s="158"/>
      <c r="AD520" s="158"/>
      <c r="AE520" s="158" t="b">
        <f>IF(AB520="",TRUE,IF(IF(AC520="",VLOOKUP(AB520,Calculs!$A$19:$S$425,19,FALSE),VLOOKUP(AC520,Calculs!$A$19:$S$425,19,FALSE))&gt;=AD520,TRUE,FALSE))</f>
        <v>1</v>
      </c>
      <c r="AF520" s="158"/>
      <c r="AG520" s="158"/>
      <c r="AH520" s="158"/>
      <c r="AI520" s="158" t="b">
        <f>IF(AF520="",TRUE,IF(IF(AG520="",VLOOKUP(AF520,Calculs!$A$19:$S$425,19,FALSE),VLOOKUP(AG520,Calculs!$A$19:$S$425,19,FALSE))&gt;=AH520,TRUE,FALSE))</f>
        <v>1</v>
      </c>
      <c r="AJ520" s="158"/>
      <c r="AK520" s="158"/>
      <c r="AL520" s="158"/>
      <c r="AM520" s="158" t="b">
        <f>IF(AJ520="",TRUE,IF(IF(AK520="",VLOOKUP(AJ520,Calculs!$A$19:$S$425,19,FALSE),VLOOKUP(AK520,Calculs!$A$19:$S$425,19,FALSE))&gt;=AL520,TRUE,FALSE))</f>
        <v>1</v>
      </c>
      <c r="AN520" s="158"/>
      <c r="AO520" s="158"/>
      <c r="AP520" s="158"/>
      <c r="AQ520" s="158" t="b">
        <f>IF(AN520="",TRUE,IF(IF(AO520="",VLOOKUP(AN520,Calculs!$A$19:$S$425,19,FALSE),VLOOKUP(AO520,Calculs!$A$19:$S$425,19,FALSE))&gt;=AP520,TRUE,FALSE))</f>
        <v>1</v>
      </c>
      <c r="AR520" s="158"/>
      <c r="AS520" s="158" t="b">
        <f>IF(AR520="",TRUE,IF(VLOOKUP(AR520,Calculs!$A$427:$G$738,7,FALSE)&gt;0,TRUE,FALSE))</f>
        <v>1</v>
      </c>
      <c r="AT520" s="158"/>
      <c r="AU520" s="158" t="b">
        <f>IF(AT520="",TRUE,IF(VLOOKUP(AT520,Calculs!$A$740:$G$912,7,FALSE)&gt;0,TRUE,FALSE))</f>
        <v>1</v>
      </c>
      <c r="AV520" s="158" t="b">
        <f t="shared" si="59"/>
        <v>1</v>
      </c>
      <c r="AW520" s="158" t="s">
        <v>2078</v>
      </c>
      <c r="AX520" s="162" t="s">
        <v>6061</v>
      </c>
      <c r="AY520" s="15">
        <v>132</v>
      </c>
      <c r="AZ520" s="555" t="s">
        <v>3618</v>
      </c>
      <c r="BA520" s="559">
        <f>IF(Verso!$B$10=Voies!$B520,1,0)</f>
        <v>0</v>
      </c>
      <c r="BB520" s="12">
        <f>IF(Verso!$B$11=Voies!$B520,1,0)</f>
        <v>0</v>
      </c>
      <c r="BC520" s="12">
        <f>IF(Verso!$B$12=Voies!$B520,1,0)</f>
        <v>0</v>
      </c>
      <c r="BD520" s="12">
        <f>IF(Verso!$B$13=Voies!$B520,1,0)</f>
        <v>0</v>
      </c>
      <c r="BE520" s="12">
        <f>IF(Verso!$B$14=Voies!$B520,1,0)</f>
        <v>0</v>
      </c>
      <c r="BF520" s="12">
        <f>IF(Verso!$B$15=Voies!$B520,1,0)</f>
        <v>0</v>
      </c>
      <c r="BG520" s="12">
        <f>IF(Verso!$B$16=Voies!$B520,1,0)</f>
        <v>0</v>
      </c>
      <c r="BH520" s="12">
        <f>IF(Verso!$B$17=Voies!$B520,1,0)</f>
        <v>0</v>
      </c>
      <c r="BI520" s="557">
        <f t="shared" si="60"/>
        <v>0</v>
      </c>
      <c r="BJ520" s="196" t="str">
        <f t="shared" si="61"/>
        <v/>
      </c>
      <c r="BK520" s="196" t="str">
        <f t="shared" si="62"/>
        <v/>
      </c>
      <c r="BL520" s="295" t="str">
        <f t="shared" si="63"/>
        <v/>
      </c>
    </row>
    <row r="521" spans="1:65" s="196" customFormat="1" ht="47.25" customHeight="1" x14ac:dyDescent="0.25">
      <c r="A521" s="162" t="str">
        <f>IF(AND(Réputation&gt;Voies!E521-1,OR(C521=TRUE,Calculs!$I$8&gt;0),Air&gt;Voies!J521-1,Eau&gt;Voies!K521-1,Feu&gt;Voies!L521-1,Terre&gt;Voies!M521-1,Vide&gt;Voies!N521-1,Constitution&gt;Voies!O521-1,Volonté&gt;Voies!P521-1,Force&gt;Voies!Q521-1,Perception&gt;Voies!R521-1,Reflexes&gt;Voies!S521-1,Agilité&gt;Voies!T521-1,Intuition&gt;Voies!U521-1,Intelligence&gt;Voies!V521-1,Souillure&gt;Voies!W521-1,Honneur&gt;X521-1,Statut&gt;Y521-1,Gloire&gt;Z521-1,AV521=TRUE),Voies!B521,"")</f>
        <v/>
      </c>
      <c r="B521" s="162" t="s">
        <v>8039</v>
      </c>
      <c r="C521" s="162" t="b">
        <f>IF(Clan=Voies!D521,TRUE,FALSE)</f>
        <v>0</v>
      </c>
      <c r="D521" s="387" t="s">
        <v>179</v>
      </c>
      <c r="E521" s="199">
        <v>4</v>
      </c>
      <c r="F521" s="199">
        <v>4</v>
      </c>
      <c r="G521" s="199" t="s">
        <v>2049</v>
      </c>
      <c r="H521" s="219" t="s">
        <v>8037</v>
      </c>
      <c r="I521" s="129" t="s">
        <v>8038</v>
      </c>
      <c r="J521" s="146">
        <v>0</v>
      </c>
      <c r="K521" s="147">
        <v>0</v>
      </c>
      <c r="L521" s="148">
        <v>0</v>
      </c>
      <c r="M521" s="149">
        <v>0</v>
      </c>
      <c r="N521" s="150">
        <v>0</v>
      </c>
      <c r="O521" s="130">
        <v>0</v>
      </c>
      <c r="P521" s="130">
        <v>0</v>
      </c>
      <c r="Q521" s="130">
        <v>0</v>
      </c>
      <c r="R521" s="130">
        <v>0</v>
      </c>
      <c r="S521" s="130">
        <v>0</v>
      </c>
      <c r="T521" s="130">
        <v>0</v>
      </c>
      <c r="U521" s="130">
        <v>0</v>
      </c>
      <c r="V521" s="524">
        <v>0</v>
      </c>
      <c r="W521" s="130">
        <v>0</v>
      </c>
      <c r="X521" s="130">
        <v>0</v>
      </c>
      <c r="Y521" s="130">
        <v>0</v>
      </c>
      <c r="Z521" s="130">
        <v>0</v>
      </c>
      <c r="AA521" s="158" t="s">
        <v>2078</v>
      </c>
      <c r="AB521" s="158"/>
      <c r="AC521" s="158"/>
      <c r="AD521" s="158"/>
      <c r="AE521" s="158" t="b">
        <f>IF(AB521="",TRUE,IF(IF(AC521="",VLOOKUP(AB521,Calculs!$A$19:$S$425,19,FALSE),VLOOKUP(AC521,Calculs!$A$19:$S$425,19,FALSE))&gt;=AD521,TRUE,FALSE))</f>
        <v>1</v>
      </c>
      <c r="AF521" s="158"/>
      <c r="AG521" s="158"/>
      <c r="AH521" s="158"/>
      <c r="AI521" s="158" t="b">
        <f>IF(AF521="",TRUE,IF(IF(AG521="",VLOOKUP(AF521,Calculs!$A$19:$S$425,19,FALSE),VLOOKUP(AG521,Calculs!$A$19:$S$425,19,FALSE))&gt;=AH521,TRUE,FALSE))</f>
        <v>1</v>
      </c>
      <c r="AJ521" s="158"/>
      <c r="AK521" s="158"/>
      <c r="AL521" s="158"/>
      <c r="AM521" s="158" t="b">
        <f>IF(AJ521="",TRUE,IF(IF(AK521="",VLOOKUP(AJ521,Calculs!$A$19:$S$425,19,FALSE),VLOOKUP(AK521,Calculs!$A$19:$S$425,19,FALSE))&gt;=AL521,TRUE,FALSE))</f>
        <v>1</v>
      </c>
      <c r="AN521" s="158"/>
      <c r="AO521" s="158"/>
      <c r="AP521" s="158"/>
      <c r="AQ521" s="158" t="b">
        <f>IF(AN521="",TRUE,IF(IF(AO521="",VLOOKUP(AN521,Calculs!$A$19:$S$425,19,FALSE),VLOOKUP(AO521,Calculs!$A$19:$S$425,19,FALSE))&gt;=AP521,TRUE,FALSE))</f>
        <v>1</v>
      </c>
      <c r="AR521" s="158"/>
      <c r="AS521" s="158" t="b">
        <f>IF(AR521="",TRUE,IF(VLOOKUP(AR521,Calculs!$A$427:$G$738,7,FALSE)&gt;0,TRUE,FALSE))</f>
        <v>1</v>
      </c>
      <c r="AT521" s="158"/>
      <c r="AU521" s="158" t="b">
        <f>IF(AT521="",TRUE,IF(VLOOKUP(AT521,Calculs!$A$740:$G$912,7,FALSE)&gt;0,TRUE,FALSE))</f>
        <v>1</v>
      </c>
      <c r="AV521" s="158" t="b">
        <f t="shared" si="59"/>
        <v>1</v>
      </c>
      <c r="AW521" s="158" t="s">
        <v>2078</v>
      </c>
      <c r="AX521" s="162" t="s">
        <v>8021</v>
      </c>
      <c r="AY521" s="15">
        <v>30</v>
      </c>
      <c r="AZ521" s="566" t="s">
        <v>8040</v>
      </c>
      <c r="BA521" s="559">
        <f>IF(Verso!$B$10=Voies!$B521,1,0)</f>
        <v>0</v>
      </c>
      <c r="BB521" s="12">
        <f>IF(Verso!$B$11=Voies!$B521,1,0)</f>
        <v>0</v>
      </c>
      <c r="BC521" s="12">
        <f>IF(Verso!$B$12=Voies!$B521,1,0)</f>
        <v>0</v>
      </c>
      <c r="BD521" s="12">
        <f>IF(Verso!$B$13=Voies!$B521,1,0)</f>
        <v>0</v>
      </c>
      <c r="BE521" s="12">
        <f>IF(Verso!$B$14=Voies!$B521,1,0)</f>
        <v>0</v>
      </c>
      <c r="BF521" s="12">
        <f>IF(Verso!$B$15=Voies!$B521,1,0)</f>
        <v>0</v>
      </c>
      <c r="BG521" s="12">
        <f>IF(Verso!$B$16=Voies!$B521,1,0)</f>
        <v>0</v>
      </c>
      <c r="BH521" s="12">
        <f>IF(Verso!$B$17=Voies!$B521,1,0)</f>
        <v>0</v>
      </c>
      <c r="BI521" s="557">
        <f t="shared" si="60"/>
        <v>0</v>
      </c>
      <c r="BJ521" s="196" t="str">
        <f t="shared" si="61"/>
        <v/>
      </c>
      <c r="BK521" s="196" t="str">
        <f t="shared" si="62"/>
        <v/>
      </c>
      <c r="BL521" s="295" t="str">
        <f t="shared" si="63"/>
        <v/>
      </c>
      <c r="BM521" s="91"/>
    </row>
    <row r="522" spans="1:65" ht="47.25" customHeight="1" x14ac:dyDescent="0.25">
      <c r="A522" s="162" t="str">
        <f>IF(AND(Réputation&gt;Voies!E522-1,OR(C522=TRUE,Calculs!$I$8&gt;0),Air&gt;Voies!J522-1,Eau&gt;Voies!K522-1,Feu&gt;Voies!L522-1,Terre&gt;Voies!M522-1,Vide&gt;Voies!N522-1,Constitution&gt;Voies!O522-1,Volonté&gt;Voies!P522-1,Force&gt;Voies!Q522-1,Perception&gt;Voies!R522-1,Reflexes&gt;Voies!S522-1,Agilité&gt;Voies!T522-1,Intuition&gt;Voies!U522-1,Intelligence&gt;Voies!V522-1,Souillure&gt;Voies!W522-1,Honneur&gt;X522-1,Statut&gt;Y522-1,Gloire&gt;Z522-1,AV522=TRUE),Voies!B522,"")</f>
        <v/>
      </c>
      <c r="B522" s="162" t="s">
        <v>2753</v>
      </c>
      <c r="C522" s="162" t="b">
        <f>IF(Clan=Voies!D522,TRUE,FALSE)</f>
        <v>0</v>
      </c>
      <c r="D522" s="387" t="s">
        <v>179</v>
      </c>
      <c r="E522" s="13">
        <v>4</v>
      </c>
      <c r="F522" s="199">
        <v>4</v>
      </c>
      <c r="G522" s="13" t="s">
        <v>2049</v>
      </c>
      <c r="H522" s="219" t="s">
        <v>244</v>
      </c>
      <c r="I522" s="129" t="str">
        <f>IF(B522="","","Rien")</f>
        <v>Rien</v>
      </c>
      <c r="J522" s="146">
        <v>0</v>
      </c>
      <c r="K522" s="147">
        <v>0</v>
      </c>
      <c r="L522" s="148">
        <v>0</v>
      </c>
      <c r="M522" s="149">
        <v>0</v>
      </c>
      <c r="N522" s="150">
        <v>0</v>
      </c>
      <c r="O522" s="130">
        <v>0</v>
      </c>
      <c r="P522" s="130">
        <v>0</v>
      </c>
      <c r="Q522" s="130">
        <v>0</v>
      </c>
      <c r="R522" s="130">
        <v>0</v>
      </c>
      <c r="S522" s="130">
        <v>0</v>
      </c>
      <c r="T522" s="130">
        <v>0</v>
      </c>
      <c r="U522" s="130">
        <v>0</v>
      </c>
      <c r="V522" s="524">
        <v>0</v>
      </c>
      <c r="W522" s="130">
        <v>0</v>
      </c>
      <c r="X522" s="130">
        <v>0</v>
      </c>
      <c r="Y522" s="130">
        <v>0</v>
      </c>
      <c r="Z522" s="130">
        <v>0</v>
      </c>
      <c r="AA522" s="158" t="s">
        <v>2078</v>
      </c>
      <c r="AB522" s="158"/>
      <c r="AC522" s="158"/>
      <c r="AD522" s="158"/>
      <c r="AE522" s="158" t="b">
        <f>IF(AB522="",TRUE,IF(IF(AC522="",VLOOKUP(AB522,Calculs!$A$19:$S$425,19,FALSE),VLOOKUP(AC522,Calculs!$A$19:$S$425,19,FALSE))&gt;=AD522,TRUE,FALSE))</f>
        <v>1</v>
      </c>
      <c r="AF522" s="158"/>
      <c r="AG522" s="158"/>
      <c r="AH522" s="158"/>
      <c r="AI522" s="158" t="b">
        <f>IF(AF522="",TRUE,IF(IF(AG522="",VLOOKUP(AF522,Calculs!$A$19:$S$425,19,FALSE),VLOOKUP(AG522,Calculs!$A$19:$S$425,19,FALSE))&gt;=AH522,TRUE,FALSE))</f>
        <v>1</v>
      </c>
      <c r="AJ522" s="158"/>
      <c r="AK522" s="158"/>
      <c r="AL522" s="158"/>
      <c r="AM522" s="158" t="b">
        <f>IF(AJ522="",TRUE,IF(IF(AK522="",VLOOKUP(AJ522,Calculs!$A$19:$S$425,19,FALSE),VLOOKUP(AK522,Calculs!$A$19:$S$425,19,FALSE))&gt;=AL522,TRUE,FALSE))</f>
        <v>1</v>
      </c>
      <c r="AN522" s="158"/>
      <c r="AO522" s="158"/>
      <c r="AP522" s="158"/>
      <c r="AQ522" s="158" t="b">
        <f>IF(AN522="",TRUE,IF(IF(AO522="",VLOOKUP(AN522,Calculs!$A$19:$S$425,19,FALSE),VLOOKUP(AO522,Calculs!$A$19:$S$425,19,FALSE))&gt;=AP522,TRUE,FALSE))</f>
        <v>1</v>
      </c>
      <c r="AR522" s="158"/>
      <c r="AS522" s="158" t="b">
        <f>IF(AR522="",TRUE,IF(VLOOKUP(AR522,Calculs!$A$427:$G$738,7,FALSE)&gt;0,TRUE,FALSE))</f>
        <v>1</v>
      </c>
      <c r="AT522" s="158"/>
      <c r="AU522" s="158" t="b">
        <f>IF(AT522="",TRUE,IF(VLOOKUP(AT522,Calculs!$A$740:$G$912,7,FALSE)&gt;0,TRUE,FALSE))</f>
        <v>1</v>
      </c>
      <c r="AV522" s="158" t="b">
        <f t="shared" si="59"/>
        <v>1</v>
      </c>
      <c r="AW522" s="158" t="s">
        <v>2078</v>
      </c>
      <c r="AX522" s="162" t="s">
        <v>2076</v>
      </c>
      <c r="AY522" s="15">
        <v>169</v>
      </c>
      <c r="AZ522" s="555" t="str">
        <f>CONCATENATE("1X/Combat av. arme choisie, dépensez un Pvide: ajoutez ",Honneur,"g0 à l'attaque. Le bonus de mouvement de votre technique de Rang 2 est désormais comme si votre Eau était supérieure de 2 Rangs (au lieu de 1).")</f>
        <v>1X/Combat av. arme choisie, dépensez un Pvide: ajoutez 0g0 à l'attaque. Le bonus de mouvement de votre technique de Rang 2 est désormais comme si votre Eau était supérieure de 2 Rangs (au lieu de 1).</v>
      </c>
      <c r="BA522" s="559">
        <f>IF(Verso!$B$10=Voies!$B522,1,0)</f>
        <v>0</v>
      </c>
      <c r="BB522" s="12">
        <f>IF(Verso!$B$11=Voies!$B522,1,0)</f>
        <v>0</v>
      </c>
      <c r="BC522" s="12">
        <f>IF(Verso!$B$12=Voies!$B522,1,0)</f>
        <v>0</v>
      </c>
      <c r="BD522" s="12">
        <f>IF(Verso!$B$13=Voies!$B522,1,0)</f>
        <v>0</v>
      </c>
      <c r="BE522" s="12">
        <f>IF(Verso!$B$14=Voies!$B522,1,0)</f>
        <v>0</v>
      </c>
      <c r="BF522" s="12">
        <f>IF(Verso!$B$15=Voies!$B522,1,0)</f>
        <v>0</v>
      </c>
      <c r="BG522" s="12">
        <f>IF(Verso!$B$16=Voies!$B522,1,0)</f>
        <v>0</v>
      </c>
      <c r="BH522" s="12">
        <f>IF(Verso!$B$17=Voies!$B522,1,0)</f>
        <v>0</v>
      </c>
      <c r="BI522" s="557">
        <f t="shared" si="60"/>
        <v>0</v>
      </c>
      <c r="BJ522" s="196" t="str">
        <f t="shared" si="61"/>
        <v/>
      </c>
      <c r="BK522" s="196" t="str">
        <f t="shared" si="62"/>
        <v/>
      </c>
      <c r="BL522" s="295" t="str">
        <f t="shared" si="63"/>
        <v/>
      </c>
    </row>
    <row r="523" spans="1:65" ht="47.25" customHeight="1" x14ac:dyDescent="0.25">
      <c r="A523" s="162" t="str">
        <f>IF(AND(Réputation&gt;Voies!E523-1,OR(C523=TRUE,Calculs!$I$8&gt;0),Air&gt;Voies!J523-1,Eau&gt;Voies!K523-1,Feu&gt;Voies!L523-1,Terre&gt;Voies!M523-1,Vide&gt;Voies!N523-1,Constitution&gt;Voies!O523-1,Volonté&gt;Voies!P523-1,Force&gt;Voies!Q523-1,Perception&gt;Voies!R523-1,Reflexes&gt;Voies!S523-1,Agilité&gt;Voies!T523-1,Intuition&gt;Voies!U523-1,Intelligence&gt;Voies!V523-1,Souillure&gt;Voies!W523-1,Honneur&gt;X523-1,Statut&gt;Y523-1,Gloire&gt;Z523-1,AV523=TRUE),Voies!B523,"")</f>
        <v/>
      </c>
      <c r="B523" s="162" t="s">
        <v>2407</v>
      </c>
      <c r="C523" s="162" t="b">
        <f>IF(Clan=Voies!D523,TRUE,FALSE)</f>
        <v>0</v>
      </c>
      <c r="D523" s="387" t="s">
        <v>179</v>
      </c>
      <c r="E523" s="13">
        <v>4</v>
      </c>
      <c r="F523" s="199">
        <v>4</v>
      </c>
      <c r="G523" s="13" t="s">
        <v>2049</v>
      </c>
      <c r="H523" s="219" t="s">
        <v>349</v>
      </c>
      <c r="I523" s="129" t="str">
        <f>IF(B523="","","Rien")</f>
        <v>Rien</v>
      </c>
      <c r="J523" s="146">
        <v>0</v>
      </c>
      <c r="K523" s="147">
        <v>0</v>
      </c>
      <c r="L523" s="148">
        <v>0</v>
      </c>
      <c r="M523" s="149">
        <v>0</v>
      </c>
      <c r="N523" s="150">
        <v>0</v>
      </c>
      <c r="O523" s="130">
        <v>0</v>
      </c>
      <c r="P523" s="130">
        <v>0</v>
      </c>
      <c r="Q523" s="130">
        <v>0</v>
      </c>
      <c r="R523" s="130">
        <v>0</v>
      </c>
      <c r="S523" s="130">
        <v>0</v>
      </c>
      <c r="T523" s="130">
        <v>0</v>
      </c>
      <c r="U523" s="130">
        <v>0</v>
      </c>
      <c r="V523" s="524">
        <v>0</v>
      </c>
      <c r="W523" s="130">
        <v>0</v>
      </c>
      <c r="X523" s="130">
        <v>0</v>
      </c>
      <c r="Y523" s="130">
        <v>0</v>
      </c>
      <c r="Z523" s="130">
        <v>0</v>
      </c>
      <c r="AA523" s="158" t="s">
        <v>2078</v>
      </c>
      <c r="AB523" s="158"/>
      <c r="AC523" s="158"/>
      <c r="AD523" s="158"/>
      <c r="AE523" s="158" t="b">
        <f>IF(AB523="",TRUE,IF(IF(AC523="",VLOOKUP(AB523,Calculs!$A$19:$S$425,19,FALSE),VLOOKUP(AC523,Calculs!$A$19:$S$425,19,FALSE))&gt;=AD523,TRUE,FALSE))</f>
        <v>1</v>
      </c>
      <c r="AF523" s="158"/>
      <c r="AG523" s="158"/>
      <c r="AH523" s="158"/>
      <c r="AI523" s="158" t="b">
        <f>IF(AF523="",TRUE,IF(IF(AG523="",VLOOKUP(AF523,Calculs!$A$19:$S$425,19,FALSE),VLOOKUP(AG523,Calculs!$A$19:$S$425,19,FALSE))&gt;=AH523,TRUE,FALSE))</f>
        <v>1</v>
      </c>
      <c r="AJ523" s="158"/>
      <c r="AK523" s="158"/>
      <c r="AL523" s="158"/>
      <c r="AM523" s="158" t="b">
        <f>IF(AJ523="",TRUE,IF(IF(AK523="",VLOOKUP(AJ523,Calculs!$A$19:$S$425,19,FALSE),VLOOKUP(AK523,Calculs!$A$19:$S$425,19,FALSE))&gt;=AL523,TRUE,FALSE))</f>
        <v>1</v>
      </c>
      <c r="AN523" s="158"/>
      <c r="AO523" s="158"/>
      <c r="AP523" s="158"/>
      <c r="AQ523" s="158" t="b">
        <f>IF(AN523="",TRUE,IF(IF(AO523="",VLOOKUP(AN523,Calculs!$A$19:$S$425,19,FALSE),VLOOKUP(AO523,Calculs!$A$19:$S$425,19,FALSE))&gt;=AP523,TRUE,FALSE))</f>
        <v>1</v>
      </c>
      <c r="AR523" s="158"/>
      <c r="AS523" s="158" t="b">
        <f>IF(AR523="",TRUE,IF(VLOOKUP(AR523,Calculs!$A$427:$G$738,7,FALSE)&gt;0,TRUE,FALSE))</f>
        <v>1</v>
      </c>
      <c r="AT523" s="158"/>
      <c r="AU523" s="158" t="b">
        <f>IF(AT523="",TRUE,IF(VLOOKUP(AT523,Calculs!$A$740:$G$912,7,FALSE)&gt;0,TRUE,FALSE))</f>
        <v>1</v>
      </c>
      <c r="AV523" s="158" t="b">
        <f t="shared" si="59"/>
        <v>1</v>
      </c>
      <c r="AW523" s="158" t="s">
        <v>2078</v>
      </c>
      <c r="AX523" s="162" t="s">
        <v>143</v>
      </c>
      <c r="AY523" s="15">
        <v>119</v>
      </c>
      <c r="AZ523" s="555" t="s">
        <v>8594</v>
      </c>
      <c r="BA523" s="559">
        <f>IF(Verso!$B$10=Voies!$B523,1,0)</f>
        <v>0</v>
      </c>
      <c r="BB523" s="12">
        <f>IF(Verso!$B$11=Voies!$B523,1,0)</f>
        <v>0</v>
      </c>
      <c r="BC523" s="12">
        <f>IF(Verso!$B$12=Voies!$B523,1,0)</f>
        <v>0</v>
      </c>
      <c r="BD523" s="12">
        <f>IF(Verso!$B$13=Voies!$B523,1,0)</f>
        <v>0</v>
      </c>
      <c r="BE523" s="12">
        <f>IF(Verso!$B$14=Voies!$B523,1,0)</f>
        <v>0</v>
      </c>
      <c r="BF523" s="12">
        <f>IF(Verso!$B$15=Voies!$B523,1,0)</f>
        <v>0</v>
      </c>
      <c r="BG523" s="12">
        <f>IF(Verso!$B$16=Voies!$B523,1,0)</f>
        <v>0</v>
      </c>
      <c r="BH523" s="12">
        <f>IF(Verso!$B$17=Voies!$B523,1,0)</f>
        <v>0</v>
      </c>
      <c r="BI523" s="557">
        <f t="shared" si="60"/>
        <v>0</v>
      </c>
      <c r="BJ523" s="196" t="str">
        <f t="shared" si="61"/>
        <v/>
      </c>
      <c r="BK523" s="196" t="str">
        <f t="shared" si="62"/>
        <v/>
      </c>
      <c r="BL523" s="295" t="str">
        <f t="shared" si="63"/>
        <v/>
      </c>
    </row>
    <row r="524" spans="1:65" ht="47.25" customHeight="1" x14ac:dyDescent="0.25">
      <c r="A524" s="162" t="str">
        <f>IF(AND(Réputation&gt;Voies!E524-1,OR(C524=TRUE,Calculs!$I$8&gt;0),Air&gt;Voies!J524-1,Eau&gt;Voies!K524-1,Feu&gt;Voies!L524-1,Terre&gt;Voies!M524-1,Vide&gt;Voies!N524-1,Constitution&gt;Voies!O524-1,Volonté&gt;Voies!P524-1,Force&gt;Voies!Q524-1,Perception&gt;Voies!R524-1,Reflexes&gt;Voies!S524-1,Agilité&gt;Voies!T524-1,Intuition&gt;Voies!U524-1,Intelligence&gt;Voies!V524-1,Souillure&gt;Voies!W524-1,Honneur&gt;X524-1,Statut&gt;Y524-1,Gloire&gt;Z524-1,AV524=TRUE),Voies!B524,"")</f>
        <v/>
      </c>
      <c r="B524" s="162" t="s">
        <v>3386</v>
      </c>
      <c r="C524" s="162" t="b">
        <f>IF(Clan=Voies!D524,TRUE,FALSE)</f>
        <v>0</v>
      </c>
      <c r="D524" s="387" t="s">
        <v>179</v>
      </c>
      <c r="E524" s="13">
        <v>4</v>
      </c>
      <c r="F524" s="199">
        <v>4</v>
      </c>
      <c r="G524" s="13" t="s">
        <v>2049</v>
      </c>
      <c r="H524" s="219" t="s">
        <v>6072</v>
      </c>
      <c r="I524" s="129" t="s">
        <v>3370</v>
      </c>
      <c r="J524" s="146">
        <v>0</v>
      </c>
      <c r="K524" s="147">
        <v>0</v>
      </c>
      <c r="L524" s="148">
        <v>0</v>
      </c>
      <c r="M524" s="149">
        <v>0</v>
      </c>
      <c r="N524" s="150">
        <v>0</v>
      </c>
      <c r="O524" s="130">
        <v>0</v>
      </c>
      <c r="P524" s="130">
        <v>0</v>
      </c>
      <c r="Q524" s="130">
        <v>0</v>
      </c>
      <c r="R524" s="130">
        <v>0</v>
      </c>
      <c r="S524" s="130">
        <v>0</v>
      </c>
      <c r="T524" s="130">
        <v>0</v>
      </c>
      <c r="U524" s="130">
        <v>0</v>
      </c>
      <c r="V524" s="524">
        <v>0</v>
      </c>
      <c r="W524" s="130">
        <v>0</v>
      </c>
      <c r="X524" s="130">
        <v>0</v>
      </c>
      <c r="Y524" s="130">
        <v>0</v>
      </c>
      <c r="Z524" s="130">
        <v>0</v>
      </c>
      <c r="AA524" s="158" t="s">
        <v>2078</v>
      </c>
      <c r="AB524" s="158"/>
      <c r="AC524" s="158"/>
      <c r="AD524" s="158"/>
      <c r="AE524" s="158" t="b">
        <f>IF(AB524="",TRUE,IF(IF(AC524="",VLOOKUP(AB524,Calculs!$A$19:$S$425,19,FALSE),VLOOKUP(AC524,Calculs!$A$19:$S$425,19,FALSE))&gt;=AD524,TRUE,FALSE))</f>
        <v>1</v>
      </c>
      <c r="AF524" s="158"/>
      <c r="AG524" s="158"/>
      <c r="AH524" s="158"/>
      <c r="AI524" s="158" t="b">
        <f>IF(AF524="",TRUE,IF(IF(AG524="",VLOOKUP(AF524,Calculs!$A$19:$S$425,19,FALSE),VLOOKUP(AG524,Calculs!$A$19:$S$425,19,FALSE))&gt;=AH524,TRUE,FALSE))</f>
        <v>1</v>
      </c>
      <c r="AJ524" s="158"/>
      <c r="AK524" s="158"/>
      <c r="AL524" s="158"/>
      <c r="AM524" s="158" t="b">
        <f>IF(AJ524="",TRUE,IF(IF(AK524="",VLOOKUP(AJ524,Calculs!$A$19:$S$425,19,FALSE),VLOOKUP(AK524,Calculs!$A$19:$S$425,19,FALSE))&gt;=AL524,TRUE,FALSE))</f>
        <v>1</v>
      </c>
      <c r="AN524" s="158"/>
      <c r="AO524" s="158"/>
      <c r="AP524" s="158"/>
      <c r="AQ524" s="158" t="b">
        <f>IF(AN524="",TRUE,IF(IF(AO524="",VLOOKUP(AN524,Calculs!$A$19:$S$425,19,FALSE),VLOOKUP(AO524,Calculs!$A$19:$S$425,19,FALSE))&gt;=AP524,TRUE,FALSE))</f>
        <v>1</v>
      </c>
      <c r="AR524" s="158"/>
      <c r="AS524" s="158" t="b">
        <f>IF(AR524="",TRUE,IF(VLOOKUP(AR524,Calculs!$A$427:$G$738,7,FALSE)&gt;0,TRUE,FALSE))</f>
        <v>1</v>
      </c>
      <c r="AT524" s="158"/>
      <c r="AU524" s="158" t="b">
        <f>IF(AT524="",TRUE,IF(VLOOKUP(AT524,Calculs!$A$740:$G$912,7,FALSE)&gt;0,TRUE,FALSE))</f>
        <v>1</v>
      </c>
      <c r="AV524" s="158" t="b">
        <f t="shared" si="59"/>
        <v>1</v>
      </c>
      <c r="AW524" s="159" t="s">
        <v>3383</v>
      </c>
      <c r="AX524" s="162" t="s">
        <v>6061</v>
      </c>
      <c r="AY524" s="15">
        <v>132</v>
      </c>
      <c r="AZ524" s="566" t="s">
        <v>3387</v>
      </c>
      <c r="BA524" s="559">
        <f>IF(Verso!$B$10=Voies!$B524,1,0)</f>
        <v>0</v>
      </c>
      <c r="BB524" s="12">
        <f>IF(Verso!$B$11=Voies!$B524,1,0)</f>
        <v>0</v>
      </c>
      <c r="BC524" s="12">
        <f>IF(Verso!$B$12=Voies!$B524,1,0)</f>
        <v>0</v>
      </c>
      <c r="BD524" s="12">
        <f>IF(Verso!$B$13=Voies!$B524,1,0)</f>
        <v>0</v>
      </c>
      <c r="BE524" s="12">
        <f>IF(Verso!$B$14=Voies!$B524,1,0)</f>
        <v>0</v>
      </c>
      <c r="BF524" s="12">
        <f>IF(Verso!$B$15=Voies!$B524,1,0)</f>
        <v>0</v>
      </c>
      <c r="BG524" s="12">
        <f>IF(Verso!$B$16=Voies!$B524,1,0)</f>
        <v>0</v>
      </c>
      <c r="BH524" s="12">
        <f>IF(Verso!$B$17=Voies!$B524,1,0)</f>
        <v>0</v>
      </c>
      <c r="BI524" s="557">
        <f t="shared" si="60"/>
        <v>0</v>
      </c>
      <c r="BJ524" s="196" t="str">
        <f t="shared" si="61"/>
        <v/>
      </c>
      <c r="BK524" s="196" t="str">
        <f t="shared" si="62"/>
        <v/>
      </c>
      <c r="BL524" s="295" t="str">
        <f t="shared" si="63"/>
        <v/>
      </c>
    </row>
    <row r="525" spans="1:65" ht="47.25" customHeight="1" x14ac:dyDescent="0.25">
      <c r="A525" s="162" t="str">
        <f>IF(AND(Réputation&gt;Voies!E525-1,OR(C525=TRUE,Calculs!$I$8&gt;0),Air&gt;Voies!J525-1,Eau&gt;Voies!K525-1,Feu&gt;Voies!L525-1,Terre&gt;Voies!M525-1,Vide&gt;Voies!N525-1,Constitution&gt;Voies!O525-1,Volonté&gt;Voies!P525-1,Force&gt;Voies!Q525-1,Perception&gt;Voies!R525-1,Reflexes&gt;Voies!S525-1,Agilité&gt;Voies!T525-1,Intuition&gt;Voies!U525-1,Intelligence&gt;Voies!V525-1,Souillure&gt;Voies!W525-1,Honneur&gt;X525-1,Statut&gt;Y525-1,Gloire&gt;Z525-1,AV525=TRUE),Voies!B525,"")</f>
        <v/>
      </c>
      <c r="B525" s="162" t="s">
        <v>6187</v>
      </c>
      <c r="C525" s="162" t="b">
        <f>IF(Clan=Voies!D525,TRUE,FALSE)</f>
        <v>0</v>
      </c>
      <c r="D525" s="387" t="s">
        <v>179</v>
      </c>
      <c r="E525" s="13">
        <v>4</v>
      </c>
      <c r="F525" s="199">
        <v>4</v>
      </c>
      <c r="G525" s="13" t="s">
        <v>2049</v>
      </c>
      <c r="H525" s="162" t="s">
        <v>6026</v>
      </c>
      <c r="I525" s="129" t="s">
        <v>6027</v>
      </c>
      <c r="J525" s="146">
        <v>0</v>
      </c>
      <c r="K525" s="147">
        <v>0</v>
      </c>
      <c r="L525" s="148">
        <v>0</v>
      </c>
      <c r="M525" s="149">
        <v>0</v>
      </c>
      <c r="N525" s="150">
        <v>0</v>
      </c>
      <c r="O525" s="130">
        <v>0</v>
      </c>
      <c r="P525" s="130">
        <v>4</v>
      </c>
      <c r="Q525" s="130">
        <v>0</v>
      </c>
      <c r="R525" s="130">
        <v>0</v>
      </c>
      <c r="S525" s="130">
        <v>0</v>
      </c>
      <c r="T525" s="130">
        <v>0</v>
      </c>
      <c r="U525" s="130">
        <v>3</v>
      </c>
      <c r="V525" s="524">
        <v>0</v>
      </c>
      <c r="W525" s="130">
        <v>0</v>
      </c>
      <c r="X525" s="130">
        <v>0</v>
      </c>
      <c r="Y525" s="130">
        <v>0</v>
      </c>
      <c r="Z525" s="130">
        <v>0</v>
      </c>
      <c r="AA525" s="159" t="s">
        <v>6028</v>
      </c>
      <c r="AB525" s="159" t="s">
        <v>1278</v>
      </c>
      <c r="AC525" s="159" t="s">
        <v>1328</v>
      </c>
      <c r="AD525" s="159">
        <v>5</v>
      </c>
      <c r="AE525" s="158" t="b">
        <f>IF(AB525="",TRUE,IF(IF(AC525="",VLOOKUP(AB525,Calculs!$A$19:$S$425,19,FALSE),VLOOKUP(AC525,Calculs!$A$19:$S$425,19,FALSE))&gt;=AD525,TRUE,FALSE))</f>
        <v>0</v>
      </c>
      <c r="AI525" s="158" t="b">
        <f>IF(AF525="",TRUE,IF(IF(AG525="",VLOOKUP(AF525,Calculs!$A$19:$S$425,19,FALSE),VLOOKUP(AG525,Calculs!$A$19:$S$425,19,FALSE))&gt;=AH525,TRUE,FALSE))</f>
        <v>1</v>
      </c>
      <c r="AM525" s="158" t="b">
        <f>IF(AJ525="",TRUE,IF(IF(AK525="",VLOOKUP(AJ525,Calculs!$A$19:$S$425,19,FALSE),VLOOKUP(AK525,Calculs!$A$19:$S$425,19,FALSE))&gt;=AL525,TRUE,FALSE))</f>
        <v>1</v>
      </c>
      <c r="AQ525" s="158" t="b">
        <f>IF(AN525="",TRUE,IF(IF(AO525="",VLOOKUP(AN525,Calculs!$A$19:$S$425,19,FALSE),VLOOKUP(AO525,Calculs!$A$19:$S$425,19,FALSE))&gt;=AP525,TRUE,FALSE))</f>
        <v>1</v>
      </c>
      <c r="AR525" s="158"/>
      <c r="AS525" s="158" t="b">
        <f>IF(AR525="",TRUE,IF(VLOOKUP(AR525,Calculs!$A$427:$G$738,7,FALSE)&gt;0,TRUE,FALSE))</f>
        <v>1</v>
      </c>
      <c r="AT525" s="158"/>
      <c r="AU525" s="158" t="b">
        <f>IF(AT525="",TRUE,IF(VLOOKUP(AT525,Calculs!$A$740:$G$912,7,FALSE)&gt;0,TRUE,FALSE))</f>
        <v>1</v>
      </c>
      <c r="AV525" s="158" t="b">
        <f t="shared" si="59"/>
        <v>0</v>
      </c>
      <c r="AW525" s="158" t="s">
        <v>2078</v>
      </c>
      <c r="AX525" s="162" t="s">
        <v>6010</v>
      </c>
      <c r="AZ525" s="555" t="s">
        <v>6029</v>
      </c>
      <c r="BA525" s="559">
        <f>IF(Verso!$B$10=Voies!$B525,1,0)</f>
        <v>0</v>
      </c>
      <c r="BB525" s="12">
        <f>IF(Verso!$B$11=Voies!$B525,1,0)</f>
        <v>0</v>
      </c>
      <c r="BC525" s="12">
        <f>IF(Verso!$B$12=Voies!$B525,1,0)</f>
        <v>0</v>
      </c>
      <c r="BD525" s="12">
        <f>IF(Verso!$B$13=Voies!$B525,1,0)</f>
        <v>0</v>
      </c>
      <c r="BE525" s="12">
        <f>IF(Verso!$B$14=Voies!$B525,1,0)</f>
        <v>0</v>
      </c>
      <c r="BF525" s="12">
        <f>IF(Verso!$B$15=Voies!$B525,1,0)</f>
        <v>0</v>
      </c>
      <c r="BG525" s="12">
        <f>IF(Verso!$B$16=Voies!$B525,1,0)</f>
        <v>0</v>
      </c>
      <c r="BH525" s="12">
        <f>IF(Verso!$B$17=Voies!$B525,1,0)</f>
        <v>0</v>
      </c>
      <c r="BI525" s="557">
        <f t="shared" si="60"/>
        <v>0</v>
      </c>
      <c r="BJ525" s="196" t="str">
        <f t="shared" si="61"/>
        <v/>
      </c>
      <c r="BK525" s="196" t="str">
        <f t="shared" si="62"/>
        <v/>
      </c>
      <c r="BL525" s="295" t="str">
        <f t="shared" si="63"/>
        <v/>
      </c>
    </row>
    <row r="526" spans="1:65" ht="47.25" customHeight="1" x14ac:dyDescent="0.25">
      <c r="A526" s="162" t="str">
        <f>IF(AND(Réputation&gt;Voies!E526-1,OR(C526=TRUE,Calculs!$I$8&gt;0),Air&gt;Voies!J526-1,Eau&gt;Voies!K526-1,Feu&gt;Voies!L526-1,Terre&gt;Voies!M526-1,Vide&gt;Voies!N526-1,Constitution&gt;Voies!O526-1,Volonté&gt;Voies!P526-1,Force&gt;Voies!Q526-1,Perception&gt;Voies!R526-1,Reflexes&gt;Voies!S526-1,Agilité&gt;Voies!T526-1,Intuition&gt;Voies!U526-1,Intelligence&gt;Voies!V526-1,Souillure&gt;Voies!W526-1,Honneur&gt;X526-1,Statut&gt;Y526-1,Gloire&gt;Z526-1,AV526=TRUE),Voies!B526,"")</f>
        <v/>
      </c>
      <c r="B526" s="162" t="s">
        <v>2399</v>
      </c>
      <c r="C526" s="162" t="b">
        <f>IF(Clan=Voies!D526,TRUE,FALSE)</f>
        <v>0</v>
      </c>
      <c r="D526" s="387" t="s">
        <v>179</v>
      </c>
      <c r="E526" s="13">
        <v>4</v>
      </c>
      <c r="F526" s="199">
        <v>4</v>
      </c>
      <c r="G526" s="13" t="s">
        <v>2052</v>
      </c>
      <c r="H526" s="219" t="s">
        <v>241</v>
      </c>
      <c r="I526" s="129" t="str">
        <f>IF(B526="","","Rien")</f>
        <v>Rien</v>
      </c>
      <c r="J526" s="146">
        <v>0</v>
      </c>
      <c r="K526" s="147">
        <v>0</v>
      </c>
      <c r="L526" s="148">
        <v>0</v>
      </c>
      <c r="M526" s="149">
        <v>0</v>
      </c>
      <c r="N526" s="150">
        <v>0</v>
      </c>
      <c r="O526" s="130">
        <v>0</v>
      </c>
      <c r="P526" s="130">
        <v>0</v>
      </c>
      <c r="Q526" s="130">
        <v>0</v>
      </c>
      <c r="R526" s="130">
        <v>0</v>
      </c>
      <c r="S526" s="130">
        <v>0</v>
      </c>
      <c r="T526" s="130">
        <v>0</v>
      </c>
      <c r="U526" s="130">
        <v>0</v>
      </c>
      <c r="V526" s="524">
        <v>0</v>
      </c>
      <c r="W526" s="130">
        <v>0</v>
      </c>
      <c r="X526" s="130">
        <v>0</v>
      </c>
      <c r="Y526" s="130">
        <v>0</v>
      </c>
      <c r="Z526" s="130">
        <v>0</v>
      </c>
      <c r="AA526" s="158" t="s">
        <v>2078</v>
      </c>
      <c r="AB526" s="158"/>
      <c r="AC526" s="158"/>
      <c r="AD526" s="158"/>
      <c r="AE526" s="158" t="b">
        <f>IF(AB526="",TRUE,IF(IF(AC526="",VLOOKUP(AB526,Calculs!$A$19:$S$425,19,FALSE),VLOOKUP(AC526,Calculs!$A$19:$S$425,19,FALSE))&gt;=AD526,TRUE,FALSE))</f>
        <v>1</v>
      </c>
      <c r="AF526" s="158"/>
      <c r="AG526" s="158"/>
      <c r="AH526" s="158"/>
      <c r="AI526" s="158" t="b">
        <f>IF(AF526="",TRUE,IF(IF(AG526="",VLOOKUP(AF526,Calculs!$A$19:$S$425,19,FALSE),VLOOKUP(AG526,Calculs!$A$19:$S$425,19,FALSE))&gt;=AH526,TRUE,FALSE))</f>
        <v>1</v>
      </c>
      <c r="AJ526" s="158"/>
      <c r="AK526" s="158"/>
      <c r="AL526" s="158"/>
      <c r="AM526" s="158" t="b">
        <f>IF(AJ526="",TRUE,IF(IF(AK526="",VLOOKUP(AJ526,Calculs!$A$19:$S$425,19,FALSE),VLOOKUP(AK526,Calculs!$A$19:$S$425,19,FALSE))&gt;=AL526,TRUE,FALSE))</f>
        <v>1</v>
      </c>
      <c r="AN526" s="158"/>
      <c r="AO526" s="158"/>
      <c r="AP526" s="158"/>
      <c r="AQ526" s="158" t="b">
        <f>IF(AN526="",TRUE,IF(IF(AO526="",VLOOKUP(AN526,Calculs!$A$19:$S$425,19,FALSE),VLOOKUP(AO526,Calculs!$A$19:$S$425,19,FALSE))&gt;=AP526,TRUE,FALSE))</f>
        <v>1</v>
      </c>
      <c r="AR526" s="158"/>
      <c r="AS526" s="158" t="b">
        <f>IF(AR526="",TRUE,IF(VLOOKUP(AR526,Calculs!$A$427:$G$738,7,FALSE)&gt;0,TRUE,FALSE))</f>
        <v>1</v>
      </c>
      <c r="AT526" s="158"/>
      <c r="AU526" s="158" t="b">
        <f>IF(AT526="",TRUE,IF(VLOOKUP(AT526,Calculs!$A$740:$G$912,7,FALSE)&gt;0,TRUE,FALSE))</f>
        <v>1</v>
      </c>
      <c r="AV526" s="158" t="b">
        <f t="shared" si="59"/>
        <v>1</v>
      </c>
      <c r="AW526" s="158" t="s">
        <v>2078</v>
      </c>
      <c r="AX526" s="162" t="s">
        <v>143</v>
      </c>
      <c r="AY526" s="15">
        <v>118</v>
      </c>
      <c r="AZ526" s="555" t="s">
        <v>2401</v>
      </c>
      <c r="BA526" s="559">
        <f>IF(Verso!$B$10=Voies!$B526,1,0)</f>
        <v>0</v>
      </c>
      <c r="BB526" s="12">
        <f>IF(Verso!$B$11=Voies!$B526,1,0)</f>
        <v>0</v>
      </c>
      <c r="BC526" s="12">
        <f>IF(Verso!$B$12=Voies!$B526,1,0)</f>
        <v>0</v>
      </c>
      <c r="BD526" s="12">
        <f>IF(Verso!$B$13=Voies!$B526,1,0)</f>
        <v>0</v>
      </c>
      <c r="BE526" s="12">
        <f>IF(Verso!$B$14=Voies!$B526,1,0)</f>
        <v>0</v>
      </c>
      <c r="BF526" s="12">
        <f>IF(Verso!$B$15=Voies!$B526,1,0)</f>
        <v>0</v>
      </c>
      <c r="BG526" s="12">
        <f>IF(Verso!$B$16=Voies!$B526,1,0)</f>
        <v>0</v>
      </c>
      <c r="BH526" s="12">
        <f>IF(Verso!$B$17=Voies!$B526,1,0)</f>
        <v>0</v>
      </c>
      <c r="BI526" s="557">
        <f t="shared" si="60"/>
        <v>0</v>
      </c>
      <c r="BJ526" s="196" t="str">
        <f t="shared" si="61"/>
        <v/>
      </c>
      <c r="BK526" s="196" t="str">
        <f t="shared" si="62"/>
        <v/>
      </c>
      <c r="BL526" s="295" t="str">
        <f t="shared" si="63"/>
        <v/>
      </c>
    </row>
    <row r="527" spans="1:65" ht="47.25" customHeight="1" x14ac:dyDescent="0.25">
      <c r="A527" s="162" t="str">
        <f>IF(AND(Réputation&gt;Voies!E527-1,OR(C527=TRUE,Calculs!$I$8&gt;0),Air&gt;Voies!J527-1,Eau&gt;Voies!K527-1,Feu&gt;Voies!L527-1,Terre&gt;Voies!M527-1,Vide&gt;Voies!N527-1,Constitution&gt;Voies!O527-1,Volonté&gt;Voies!P527-1,Force&gt;Voies!Q527-1,Perception&gt;Voies!R527-1,Reflexes&gt;Voies!S527-1,Agilité&gt;Voies!T527-1,Intuition&gt;Voies!U527-1,Intelligence&gt;Voies!V527-1,Souillure&gt;Voies!W527-1,Honneur&gt;X527-1,Statut&gt;Y527-1,Gloire&gt;Z527-1,AV527=TRUE),Voies!B527,"")</f>
        <v/>
      </c>
      <c r="B527" s="162" t="s">
        <v>3330</v>
      </c>
      <c r="C527" s="162" t="b">
        <f>IF(Clan=Voies!D527,TRUE,FALSE)</f>
        <v>0</v>
      </c>
      <c r="D527" s="387" t="s">
        <v>179</v>
      </c>
      <c r="E527" s="13">
        <v>4</v>
      </c>
      <c r="F527" s="199">
        <v>4</v>
      </c>
      <c r="G527" s="13" t="s">
        <v>2052</v>
      </c>
      <c r="H527" s="219" t="s">
        <v>535</v>
      </c>
      <c r="I527" s="129" t="s">
        <v>3329</v>
      </c>
      <c r="J527" s="146">
        <v>0</v>
      </c>
      <c r="K527" s="147">
        <v>0</v>
      </c>
      <c r="L527" s="148">
        <v>0</v>
      </c>
      <c r="M527" s="149">
        <v>0</v>
      </c>
      <c r="N527" s="150">
        <v>0</v>
      </c>
      <c r="O527" s="130">
        <v>0</v>
      </c>
      <c r="P527" s="130">
        <v>0</v>
      </c>
      <c r="Q527" s="130">
        <v>0</v>
      </c>
      <c r="R527" s="130">
        <v>0</v>
      </c>
      <c r="S527" s="130">
        <v>0</v>
      </c>
      <c r="T527" s="130">
        <v>4</v>
      </c>
      <c r="U527" s="130">
        <v>0</v>
      </c>
      <c r="V527" s="524">
        <v>0</v>
      </c>
      <c r="W527" s="130">
        <v>0</v>
      </c>
      <c r="X527" s="130">
        <v>5</v>
      </c>
      <c r="Y527" s="130">
        <v>0</v>
      </c>
      <c r="Z527" s="130">
        <v>0</v>
      </c>
      <c r="AA527" s="158" t="s">
        <v>2078</v>
      </c>
      <c r="AB527" s="158"/>
      <c r="AC527" s="158"/>
      <c r="AD527" s="158"/>
      <c r="AE527" s="158" t="b">
        <f>IF(AB527="",TRUE,IF(IF(AC527="",VLOOKUP(AB527,Calculs!$A$19:$S$425,19,FALSE),VLOOKUP(AC527,Calculs!$A$19:$S$425,19,FALSE))&gt;=AD527,TRUE,FALSE))</f>
        <v>1</v>
      </c>
      <c r="AF527" s="158"/>
      <c r="AG527" s="158"/>
      <c r="AH527" s="158"/>
      <c r="AI527" s="158" t="b">
        <f>IF(AF527="",TRUE,IF(IF(AG527="",VLOOKUP(AF527,Calculs!$A$19:$S$425,19,FALSE),VLOOKUP(AG527,Calculs!$A$19:$S$425,19,FALSE))&gt;=AH527,TRUE,FALSE))</f>
        <v>1</v>
      </c>
      <c r="AJ527" s="158"/>
      <c r="AK527" s="158"/>
      <c r="AL527" s="158"/>
      <c r="AM527" s="158" t="b">
        <f>IF(AJ527="",TRUE,IF(IF(AK527="",VLOOKUP(AJ527,Calculs!$A$19:$S$425,19,FALSE),VLOOKUP(AK527,Calculs!$A$19:$S$425,19,FALSE))&gt;=AL527,TRUE,FALSE))</f>
        <v>1</v>
      </c>
      <c r="AN527" s="158"/>
      <c r="AO527" s="158"/>
      <c r="AP527" s="158"/>
      <c r="AQ527" s="158" t="b">
        <f>IF(AN527="",TRUE,IF(IF(AO527="",VLOOKUP(AN527,Calculs!$A$19:$S$425,19,FALSE),VLOOKUP(AO527,Calculs!$A$19:$S$425,19,FALSE))&gt;=AP527,TRUE,FALSE))</f>
        <v>1</v>
      </c>
      <c r="AR527" s="158"/>
      <c r="AS527" s="158" t="b">
        <f>IF(AR527="",TRUE,IF(VLOOKUP(AR527,Calculs!$A$427:$G$738,7,FALSE)&gt;0,TRUE,FALSE))</f>
        <v>1</v>
      </c>
      <c r="AT527" s="158"/>
      <c r="AU527" s="158" t="b">
        <f>IF(AT527="",TRUE,IF(VLOOKUP(AT527,Calculs!$A$740:$G$912,7,FALSE)&gt;0,TRUE,FALSE))</f>
        <v>1</v>
      </c>
      <c r="AV527" s="158" t="b">
        <f t="shared" si="59"/>
        <v>1</v>
      </c>
      <c r="AW527" s="158" t="s">
        <v>2078</v>
      </c>
      <c r="AX527" s="162" t="s">
        <v>118</v>
      </c>
      <c r="AY527" s="15">
        <v>178</v>
      </c>
      <c r="AZ527" s="555" t="s">
        <v>3331</v>
      </c>
      <c r="BA527" s="559">
        <f>IF(Verso!$B$10=Voies!$B527,1,0)</f>
        <v>0</v>
      </c>
      <c r="BB527" s="12">
        <f>IF(Verso!$B$11=Voies!$B527,1,0)</f>
        <v>0</v>
      </c>
      <c r="BC527" s="12">
        <f>IF(Verso!$B$12=Voies!$B527,1,0)</f>
        <v>0</v>
      </c>
      <c r="BD527" s="12">
        <f>IF(Verso!$B$13=Voies!$B527,1,0)</f>
        <v>0</v>
      </c>
      <c r="BE527" s="12">
        <f>IF(Verso!$B$14=Voies!$B527,1,0)</f>
        <v>0</v>
      </c>
      <c r="BF527" s="12">
        <f>IF(Verso!$B$15=Voies!$B527,1,0)</f>
        <v>0</v>
      </c>
      <c r="BG527" s="12">
        <f>IF(Verso!$B$16=Voies!$B527,1,0)</f>
        <v>0</v>
      </c>
      <c r="BH527" s="12">
        <f>IF(Verso!$B$17=Voies!$B527,1,0)</f>
        <v>0</v>
      </c>
      <c r="BI527" s="557">
        <f t="shared" si="60"/>
        <v>0</v>
      </c>
      <c r="BJ527" s="196" t="str">
        <f t="shared" si="61"/>
        <v/>
      </c>
      <c r="BK527" s="196" t="str">
        <f t="shared" si="62"/>
        <v/>
      </c>
      <c r="BL527" s="295" t="str">
        <f t="shared" si="63"/>
        <v/>
      </c>
    </row>
    <row r="528" spans="1:65" ht="47.25" customHeight="1" x14ac:dyDescent="0.25">
      <c r="A528" s="162" t="str">
        <f>IF(AND(Réputation&gt;Voies!E528-1,OR(C528=TRUE,Calculs!$I$8&gt;0),Air&gt;Voies!J528-1,Eau&gt;Voies!K528-1,Feu&gt;Voies!L528-1,Terre&gt;Voies!M528-1,Vide&gt;Voies!N528-1,Constitution&gt;Voies!O528-1,Volonté&gt;Voies!P528-1,Force&gt;Voies!Q528-1,Perception&gt;Voies!R528-1,Reflexes&gt;Voies!S528-1,Agilité&gt;Voies!T528-1,Intuition&gt;Voies!U528-1,Intelligence&gt;Voies!V528-1,Souillure&gt;Voies!W528-1,Honneur&gt;X528-1,Statut&gt;Y528-1,Gloire&gt;Z528-1,AV528=TRUE),Voies!B528,"")</f>
        <v/>
      </c>
      <c r="B528" s="162" t="s">
        <v>3743</v>
      </c>
      <c r="C528" s="162" t="b">
        <f>IF(Clan=Voies!D528,TRUE,FALSE)</f>
        <v>0</v>
      </c>
      <c r="D528" s="387" t="s">
        <v>179</v>
      </c>
      <c r="E528" s="13">
        <v>4</v>
      </c>
      <c r="F528" s="199">
        <v>4</v>
      </c>
      <c r="G528" s="13" t="s">
        <v>2048</v>
      </c>
      <c r="H528" s="219" t="s">
        <v>608</v>
      </c>
      <c r="I528" s="129" t="s">
        <v>3741</v>
      </c>
      <c r="J528" s="146">
        <v>0</v>
      </c>
      <c r="K528" s="147">
        <v>0</v>
      </c>
      <c r="L528" s="148">
        <v>0</v>
      </c>
      <c r="M528" s="149">
        <v>0</v>
      </c>
      <c r="N528" s="150">
        <v>0</v>
      </c>
      <c r="O528" s="130">
        <v>0</v>
      </c>
      <c r="P528" s="130">
        <v>5</v>
      </c>
      <c r="Q528" s="130">
        <v>0</v>
      </c>
      <c r="R528" s="130">
        <v>0</v>
      </c>
      <c r="S528" s="130">
        <v>0</v>
      </c>
      <c r="T528" s="130">
        <v>0</v>
      </c>
      <c r="U528" s="130">
        <v>0</v>
      </c>
      <c r="V528" s="524">
        <v>0</v>
      </c>
      <c r="W528" s="130">
        <v>0</v>
      </c>
      <c r="X528" s="130">
        <v>0</v>
      </c>
      <c r="Y528" s="130">
        <v>0</v>
      </c>
      <c r="Z528" s="130">
        <v>0</v>
      </c>
      <c r="AA528" s="158" t="s">
        <v>2078</v>
      </c>
      <c r="AB528" s="158"/>
      <c r="AC528" s="158"/>
      <c r="AD528" s="158"/>
      <c r="AE528" s="158" t="b">
        <f>IF(AB528="",TRUE,IF(IF(AC528="",VLOOKUP(AB528,Calculs!$A$19:$S$425,19,FALSE),VLOOKUP(AC528,Calculs!$A$19:$S$425,19,FALSE))&gt;=AD528,TRUE,FALSE))</f>
        <v>1</v>
      </c>
      <c r="AF528" s="158"/>
      <c r="AG528" s="158"/>
      <c r="AH528" s="158"/>
      <c r="AI528" s="158" t="b">
        <f>IF(AF528="",TRUE,IF(IF(AG528="",VLOOKUP(AF528,Calculs!$A$19:$S$425,19,FALSE),VLOOKUP(AG528,Calculs!$A$19:$S$425,19,FALSE))&gt;=AH528,TRUE,FALSE))</f>
        <v>1</v>
      </c>
      <c r="AJ528" s="158"/>
      <c r="AK528" s="158"/>
      <c r="AL528" s="158"/>
      <c r="AM528" s="158" t="b">
        <f>IF(AJ528="",TRUE,IF(IF(AK528="",VLOOKUP(AJ528,Calculs!$A$19:$S$425,19,FALSE),VLOOKUP(AK528,Calculs!$A$19:$S$425,19,FALSE))&gt;=AL528,TRUE,FALSE))</f>
        <v>1</v>
      </c>
      <c r="AN528" s="158"/>
      <c r="AO528" s="158"/>
      <c r="AP528" s="158"/>
      <c r="AQ528" s="158" t="b">
        <f>IF(AN528="",TRUE,IF(IF(AO528="",VLOOKUP(AN528,Calculs!$A$19:$S$425,19,FALSE),VLOOKUP(AO528,Calculs!$A$19:$S$425,19,FALSE))&gt;=AP528,TRUE,FALSE))</f>
        <v>1</v>
      </c>
      <c r="AR528" s="158"/>
      <c r="AS528" s="158" t="b">
        <f>IF(AR528="",TRUE,IF(VLOOKUP(AR528,Calculs!$A$427:$G$738,7,FALSE)&gt;0,TRUE,FALSE))</f>
        <v>1</v>
      </c>
      <c r="AT528" s="158"/>
      <c r="AU528" s="158" t="b">
        <f>IF(AT528="",TRUE,IF(VLOOKUP(AT528,Calculs!$A$740:$G$912,7,FALSE)&gt;0,TRUE,FALSE))</f>
        <v>1</v>
      </c>
      <c r="AV528" s="158" t="b">
        <f t="shared" si="59"/>
        <v>1</v>
      </c>
      <c r="AW528" s="159" t="s">
        <v>3742</v>
      </c>
      <c r="AX528" s="162" t="s">
        <v>2921</v>
      </c>
      <c r="AY528" s="15">
        <v>101</v>
      </c>
      <c r="AZ528" s="555" t="s">
        <v>8595</v>
      </c>
      <c r="BA528" s="559">
        <f>IF(Verso!$B$10=Voies!$B528,1,0)</f>
        <v>0</v>
      </c>
      <c r="BB528" s="12">
        <f>IF(Verso!$B$11=Voies!$B528,1,0)</f>
        <v>0</v>
      </c>
      <c r="BC528" s="12">
        <f>IF(Verso!$B$12=Voies!$B528,1,0)</f>
        <v>0</v>
      </c>
      <c r="BD528" s="12">
        <f>IF(Verso!$B$13=Voies!$B528,1,0)</f>
        <v>0</v>
      </c>
      <c r="BE528" s="12">
        <f>IF(Verso!$B$14=Voies!$B528,1,0)</f>
        <v>0</v>
      </c>
      <c r="BF528" s="12">
        <f>IF(Verso!$B$15=Voies!$B528,1,0)</f>
        <v>0</v>
      </c>
      <c r="BG528" s="12">
        <f>IF(Verso!$B$16=Voies!$B528,1,0)</f>
        <v>0</v>
      </c>
      <c r="BH528" s="12">
        <f>IF(Verso!$B$17=Voies!$B528,1,0)</f>
        <v>0</v>
      </c>
      <c r="BI528" s="557">
        <f t="shared" si="60"/>
        <v>0</v>
      </c>
      <c r="BJ528" s="196" t="str">
        <f t="shared" si="61"/>
        <v/>
      </c>
      <c r="BK528" s="196" t="str">
        <f t="shared" si="62"/>
        <v/>
      </c>
      <c r="BL528" s="295" t="str">
        <f t="shared" si="63"/>
        <v/>
      </c>
    </row>
    <row r="529" spans="1:65" ht="47.25" customHeight="1" x14ac:dyDescent="0.25">
      <c r="A529" s="162" t="str">
        <f>IF(AND(Réputation&gt;Voies!E529-1,OR(C529=TRUE,Calculs!$I$8&gt;0),Air&gt;Voies!J529-1,Eau&gt;Voies!K529-1,Feu&gt;Voies!L529-1,Terre&gt;Voies!M529-1,Vide&gt;Voies!N529-1,Constitution&gt;Voies!O529-1,Volonté&gt;Voies!P529-1,Force&gt;Voies!Q529-1,Perception&gt;Voies!R529-1,Reflexes&gt;Voies!S529-1,Agilité&gt;Voies!T529-1,Intuition&gt;Voies!U529-1,Intelligence&gt;Voies!V529-1,Souillure&gt;Voies!W529-1,Honneur&gt;X529-1,Statut&gt;Y529-1,Gloire&gt;Z529-1,AV529=TRUE),Voies!B529,"")</f>
        <v/>
      </c>
      <c r="B529" s="162" t="s">
        <v>2383</v>
      </c>
      <c r="C529" s="162" t="b">
        <f>IF(Clan=Voies!D529,TRUE,FALSE)</f>
        <v>0</v>
      </c>
      <c r="D529" s="387" t="s">
        <v>179</v>
      </c>
      <c r="E529" s="13">
        <v>5</v>
      </c>
      <c r="F529" s="199">
        <v>5</v>
      </c>
      <c r="G529" s="13" t="s">
        <v>2049</v>
      </c>
      <c r="H529" s="219" t="s">
        <v>242</v>
      </c>
      <c r="I529" s="129" t="str">
        <f>IF(B529="","","Rien")</f>
        <v>Rien</v>
      </c>
      <c r="J529" s="146">
        <v>0</v>
      </c>
      <c r="K529" s="147">
        <v>0</v>
      </c>
      <c r="L529" s="148">
        <v>0</v>
      </c>
      <c r="M529" s="149">
        <v>0</v>
      </c>
      <c r="N529" s="150">
        <v>0</v>
      </c>
      <c r="O529" s="130">
        <v>0</v>
      </c>
      <c r="P529" s="130">
        <v>0</v>
      </c>
      <c r="Q529" s="130">
        <v>0</v>
      </c>
      <c r="R529" s="130">
        <v>0</v>
      </c>
      <c r="S529" s="130">
        <v>0</v>
      </c>
      <c r="T529" s="130">
        <v>0</v>
      </c>
      <c r="U529" s="130">
        <v>0</v>
      </c>
      <c r="V529" s="524">
        <v>0</v>
      </c>
      <c r="W529" s="130">
        <v>0</v>
      </c>
      <c r="X529" s="130">
        <v>0</v>
      </c>
      <c r="Y529" s="130">
        <v>0</v>
      </c>
      <c r="Z529" s="130">
        <v>0</v>
      </c>
      <c r="AA529" s="158" t="s">
        <v>2078</v>
      </c>
      <c r="AB529" s="158"/>
      <c r="AC529" s="158"/>
      <c r="AD529" s="158"/>
      <c r="AE529" s="158" t="b">
        <f>IF(AB529="",TRUE,IF(IF(AC529="",VLOOKUP(AB529,Calculs!$A$19:$S$425,19,FALSE),VLOOKUP(AC529,Calculs!$A$19:$S$425,19,FALSE))&gt;=AD529,TRUE,FALSE))</f>
        <v>1</v>
      </c>
      <c r="AF529" s="158"/>
      <c r="AG529" s="158"/>
      <c r="AH529" s="158"/>
      <c r="AI529" s="158" t="b">
        <f>IF(AF529="",TRUE,IF(IF(AG529="",VLOOKUP(AF529,Calculs!$A$19:$S$425,19,FALSE),VLOOKUP(AG529,Calculs!$A$19:$S$425,19,FALSE))&gt;=AH529,TRUE,FALSE))</f>
        <v>1</v>
      </c>
      <c r="AJ529" s="158"/>
      <c r="AK529" s="158"/>
      <c r="AL529" s="158"/>
      <c r="AM529" s="158" t="b">
        <f>IF(AJ529="",TRUE,IF(IF(AK529="",VLOOKUP(AJ529,Calculs!$A$19:$S$425,19,FALSE),VLOOKUP(AK529,Calculs!$A$19:$S$425,19,FALSE))&gt;=AL529,TRUE,FALSE))</f>
        <v>1</v>
      </c>
      <c r="AN529" s="158"/>
      <c r="AO529" s="158"/>
      <c r="AP529" s="158"/>
      <c r="AQ529" s="158" t="b">
        <f>IF(AN529="",TRUE,IF(IF(AO529="",VLOOKUP(AN529,Calculs!$A$19:$S$425,19,FALSE),VLOOKUP(AO529,Calculs!$A$19:$S$425,19,FALSE))&gt;=AP529,TRUE,FALSE))</f>
        <v>1</v>
      </c>
      <c r="AR529" s="158"/>
      <c r="AS529" s="158" t="b">
        <f>IF(AR529="",TRUE,IF(VLOOKUP(AR529,Calculs!$A$427:$G$738,7,FALSE)&gt;0,TRUE,FALSE))</f>
        <v>1</v>
      </c>
      <c r="AT529" s="158"/>
      <c r="AU529" s="158" t="b">
        <f>IF(AT529="",TRUE,IF(VLOOKUP(AT529,Calculs!$A$740:$G$912,7,FALSE)&gt;0,TRUE,FALSE))</f>
        <v>1</v>
      </c>
      <c r="AV529" s="158" t="b">
        <f t="shared" si="59"/>
        <v>1</v>
      </c>
      <c r="AW529" s="158" t="s">
        <v>2078</v>
      </c>
      <c r="AX529" s="162" t="s">
        <v>143</v>
      </c>
      <c r="AY529" s="15">
        <v>117</v>
      </c>
      <c r="AZ529" s="555" t="str">
        <f>CONCATENATE("1 fois par combat en Posture d'Assaut, si vous maniez une arme Samurai ou à 2 Mains dépensez un Pvide et une Act.G: pour le reste du Round +0g",ROUNDUP(Force/2,0)," aux dégâts.")</f>
        <v>1 fois par combat en Posture d'Assaut, si vous maniez une arme Samurai ou à 2 Mains dépensez un Pvide et une Act.G: pour le reste du Round +0g1 aux dégâts.</v>
      </c>
      <c r="BA529" s="559">
        <f>IF(Verso!$B$10=Voies!$B529,1,0)</f>
        <v>0</v>
      </c>
      <c r="BB529" s="12">
        <f>IF(Verso!$B$11=Voies!$B529,1,0)</f>
        <v>0</v>
      </c>
      <c r="BC529" s="12">
        <f>IF(Verso!$B$12=Voies!$B529,1,0)</f>
        <v>0</v>
      </c>
      <c r="BD529" s="12">
        <f>IF(Verso!$B$13=Voies!$B529,1,0)</f>
        <v>0</v>
      </c>
      <c r="BE529" s="12">
        <f>IF(Verso!$B$14=Voies!$B529,1,0)</f>
        <v>0</v>
      </c>
      <c r="BF529" s="12">
        <f>IF(Verso!$B$15=Voies!$B529,1,0)</f>
        <v>0</v>
      </c>
      <c r="BG529" s="12">
        <f>IF(Verso!$B$16=Voies!$B529,1,0)</f>
        <v>0</v>
      </c>
      <c r="BH529" s="12">
        <f>IF(Verso!$B$17=Voies!$B529,1,0)</f>
        <v>0</v>
      </c>
      <c r="BI529" s="557">
        <f t="shared" si="60"/>
        <v>0</v>
      </c>
      <c r="BJ529" s="196" t="str">
        <f t="shared" si="61"/>
        <v/>
      </c>
      <c r="BK529" s="196" t="str">
        <f t="shared" si="62"/>
        <v/>
      </c>
      <c r="BL529" s="295" t="str">
        <f t="shared" si="63"/>
        <v/>
      </c>
    </row>
    <row r="530" spans="1:65" ht="47.25" customHeight="1" x14ac:dyDescent="0.25">
      <c r="A530" s="162" t="str">
        <f>IF(AND(Réputation&gt;Voies!E530-1,OR(C530=TRUE,Calculs!$I$8&gt;0),Air&gt;Voies!J530-1,Eau&gt;Voies!K530-1,Feu&gt;Voies!L530-1,Terre&gt;Voies!M530-1,Vide&gt;Voies!N530-1,Constitution&gt;Voies!O530-1,Volonté&gt;Voies!P530-1,Force&gt;Voies!Q530-1,Perception&gt;Voies!R530-1,Reflexes&gt;Voies!S530-1,Agilité&gt;Voies!T530-1,Intuition&gt;Voies!U530-1,Intelligence&gt;Voies!V530-1,Souillure&gt;Voies!W530-1,Honneur&gt;X530-1,Statut&gt;Y530-1,Gloire&gt;Z530-1,AV530=TRUE),Voies!B530,"")</f>
        <v/>
      </c>
      <c r="B530" s="162" t="s">
        <v>4830</v>
      </c>
      <c r="C530" s="162" t="b">
        <f>IF(Clan=Voies!D530,TRUE,FALSE)</f>
        <v>0</v>
      </c>
      <c r="D530" s="387" t="s">
        <v>179</v>
      </c>
      <c r="E530" s="13">
        <v>5</v>
      </c>
      <c r="F530" s="199">
        <v>5</v>
      </c>
      <c r="G530" s="13" t="s">
        <v>2049</v>
      </c>
      <c r="H530" s="219" t="s">
        <v>243</v>
      </c>
      <c r="I530" s="129" t="str">
        <f>IF(B530="","","Rien")</f>
        <v>Rien</v>
      </c>
      <c r="J530" s="146">
        <v>0</v>
      </c>
      <c r="K530" s="147">
        <v>0</v>
      </c>
      <c r="L530" s="148">
        <v>0</v>
      </c>
      <c r="M530" s="149">
        <v>0</v>
      </c>
      <c r="N530" s="150">
        <v>0</v>
      </c>
      <c r="O530" s="130">
        <v>0</v>
      </c>
      <c r="P530" s="130">
        <v>0</v>
      </c>
      <c r="Q530" s="130">
        <v>0</v>
      </c>
      <c r="R530" s="130">
        <v>0</v>
      </c>
      <c r="S530" s="130">
        <v>0</v>
      </c>
      <c r="T530" s="130">
        <v>0</v>
      </c>
      <c r="U530" s="130">
        <v>0</v>
      </c>
      <c r="V530" s="524">
        <v>0</v>
      </c>
      <c r="W530" s="130">
        <v>0</v>
      </c>
      <c r="X530" s="130">
        <v>0</v>
      </c>
      <c r="Y530" s="130">
        <v>0</v>
      </c>
      <c r="Z530" s="130">
        <v>0</v>
      </c>
      <c r="AA530" s="158" t="s">
        <v>2078</v>
      </c>
      <c r="AB530" s="158"/>
      <c r="AC530" s="158"/>
      <c r="AD530" s="158"/>
      <c r="AE530" s="158" t="b">
        <f>IF(AB530="",TRUE,IF(IF(AC530="",VLOOKUP(AB530,Calculs!$A$19:$S$425,19,FALSE),VLOOKUP(AC530,Calculs!$A$19:$S$425,19,FALSE))&gt;=AD530,TRUE,FALSE))</f>
        <v>1</v>
      </c>
      <c r="AF530" s="158"/>
      <c r="AG530" s="158"/>
      <c r="AH530" s="158"/>
      <c r="AI530" s="158" t="b">
        <f>IF(AF530="",TRUE,IF(IF(AG530="",VLOOKUP(AF530,Calculs!$A$19:$S$425,19,FALSE),VLOOKUP(AG530,Calculs!$A$19:$S$425,19,FALSE))&gt;=AH530,TRUE,FALSE))</f>
        <v>1</v>
      </c>
      <c r="AJ530" s="158"/>
      <c r="AK530" s="158"/>
      <c r="AL530" s="158"/>
      <c r="AM530" s="158" t="b">
        <f>IF(AJ530="",TRUE,IF(IF(AK530="",VLOOKUP(AJ530,Calculs!$A$19:$S$425,19,FALSE),VLOOKUP(AK530,Calculs!$A$19:$S$425,19,FALSE))&gt;=AL530,TRUE,FALSE))</f>
        <v>1</v>
      </c>
      <c r="AN530" s="158"/>
      <c r="AO530" s="158"/>
      <c r="AP530" s="158"/>
      <c r="AQ530" s="158" t="b">
        <f>IF(AN530="",TRUE,IF(IF(AO530="",VLOOKUP(AN530,Calculs!$A$19:$S$425,19,FALSE),VLOOKUP(AO530,Calculs!$A$19:$S$425,19,FALSE))&gt;=AP530,TRUE,FALSE))</f>
        <v>1</v>
      </c>
      <c r="AR530" s="158"/>
      <c r="AS530" s="158" t="b">
        <f>IF(AR530="",TRUE,IF(VLOOKUP(AR530,Calculs!$A$427:$G$738,7,FALSE)&gt;0,TRUE,FALSE))</f>
        <v>1</v>
      </c>
      <c r="AT530" s="158"/>
      <c r="AU530" s="158" t="b">
        <f>IF(AT530="",TRUE,IF(VLOOKUP(AT530,Calculs!$A$740:$G$912,7,FALSE)&gt;0,TRUE,FALSE))</f>
        <v>1</v>
      </c>
      <c r="AV530" s="158" t="b">
        <f t="shared" si="59"/>
        <v>1</v>
      </c>
      <c r="AW530" s="158" t="s">
        <v>2078</v>
      </c>
      <c r="AX530" s="162" t="s">
        <v>5202</v>
      </c>
      <c r="AY530" s="15">
        <v>31</v>
      </c>
      <c r="AZ530" s="555" t="str">
        <f>CONCATENATE("Dépensez un Pvide et une AG: Test de Vide ND 20 si Monté, ND 30 à pied. En cas de réussite, vous ne devez pas dépenser ce Pvide mais bénéficiez tout de même de son effet. Maximum ",Vide," fois par combat.")</f>
        <v>Dépensez un Pvide et une AG: Test de Vide ND 20 si Monté, ND 30 à pied. En cas de réussite, vous ne devez pas dépenser ce Pvide mais bénéficiez tout de même de son effet. Maximum 2 fois par combat.</v>
      </c>
      <c r="BA530" s="559">
        <f>IF(Verso!$B$10=Voies!$B530,1,0)</f>
        <v>0</v>
      </c>
      <c r="BB530" s="12">
        <f>IF(Verso!$B$11=Voies!$B530,1,0)</f>
        <v>0</v>
      </c>
      <c r="BC530" s="12">
        <f>IF(Verso!$B$12=Voies!$B530,1,0)</f>
        <v>0</v>
      </c>
      <c r="BD530" s="12">
        <f>IF(Verso!$B$13=Voies!$B530,1,0)</f>
        <v>0</v>
      </c>
      <c r="BE530" s="12">
        <f>IF(Verso!$B$14=Voies!$B530,1,0)</f>
        <v>0</v>
      </c>
      <c r="BF530" s="12">
        <f>IF(Verso!$B$15=Voies!$B530,1,0)</f>
        <v>0</v>
      </c>
      <c r="BG530" s="12">
        <f>IF(Verso!$B$16=Voies!$B530,1,0)</f>
        <v>0</v>
      </c>
      <c r="BH530" s="12">
        <f>IF(Verso!$B$17=Voies!$B530,1,0)</f>
        <v>0</v>
      </c>
      <c r="BI530" s="557">
        <f t="shared" si="60"/>
        <v>0</v>
      </c>
      <c r="BJ530" s="196" t="str">
        <f t="shared" si="61"/>
        <v/>
      </c>
      <c r="BK530" s="196" t="str">
        <f t="shared" si="62"/>
        <v/>
      </c>
      <c r="BL530" s="295" t="str">
        <f t="shared" si="63"/>
        <v/>
      </c>
    </row>
    <row r="531" spans="1:65" ht="47.25" customHeight="1" x14ac:dyDescent="0.25">
      <c r="A531" s="162" t="str">
        <f>IF(AND(Réputation&gt;Voies!E531-1,OR(C531=TRUE,Calculs!$I$8&gt;0),Air&gt;Voies!J531-1,Eau&gt;Voies!K531-1,Feu&gt;Voies!L531-1,Terre&gt;Voies!M531-1,Vide&gt;Voies!N531-1,Constitution&gt;Voies!O531-1,Volonté&gt;Voies!P531-1,Force&gt;Voies!Q531-1,Perception&gt;Voies!R531-1,Reflexes&gt;Voies!S531-1,Agilité&gt;Voies!T531-1,Intuition&gt;Voies!U531-1,Intelligence&gt;Voies!V531-1,Souillure&gt;Voies!W531-1,Honneur&gt;X531-1,Statut&gt;Y531-1,Gloire&gt;Z531-1,AV531=TRUE),Voies!B531,"")</f>
        <v/>
      </c>
      <c r="B531" s="162" t="s">
        <v>2754</v>
      </c>
      <c r="C531" s="162" t="b">
        <f>IF(Clan=Voies!D531,TRUE,FALSE)</f>
        <v>0</v>
      </c>
      <c r="D531" s="387" t="s">
        <v>179</v>
      </c>
      <c r="E531" s="13">
        <v>5</v>
      </c>
      <c r="F531" s="199">
        <v>5</v>
      </c>
      <c r="G531" s="13" t="s">
        <v>2049</v>
      </c>
      <c r="H531" s="219" t="s">
        <v>244</v>
      </c>
      <c r="I531" s="129" t="str">
        <f>IF(B531="","","Rien")</f>
        <v>Rien</v>
      </c>
      <c r="J531" s="146">
        <v>0</v>
      </c>
      <c r="K531" s="147">
        <v>0</v>
      </c>
      <c r="L531" s="148">
        <v>0</v>
      </c>
      <c r="M531" s="149">
        <v>0</v>
      </c>
      <c r="N531" s="150">
        <v>0</v>
      </c>
      <c r="O531" s="130">
        <v>0</v>
      </c>
      <c r="P531" s="130">
        <v>0</v>
      </c>
      <c r="Q531" s="130">
        <v>0</v>
      </c>
      <c r="R531" s="130">
        <v>0</v>
      </c>
      <c r="S531" s="130">
        <v>0</v>
      </c>
      <c r="T531" s="130">
        <v>0</v>
      </c>
      <c r="U531" s="130">
        <v>0</v>
      </c>
      <c r="V531" s="524">
        <v>0</v>
      </c>
      <c r="W531" s="130">
        <v>0</v>
      </c>
      <c r="X531" s="130">
        <v>0</v>
      </c>
      <c r="Y531" s="130">
        <v>0</v>
      </c>
      <c r="Z531" s="130">
        <v>0</v>
      </c>
      <c r="AA531" s="158" t="s">
        <v>2078</v>
      </c>
      <c r="AB531" s="158"/>
      <c r="AC531" s="158"/>
      <c r="AD531" s="158"/>
      <c r="AE531" s="158" t="b">
        <f>IF(AB531="",TRUE,IF(IF(AC531="",VLOOKUP(AB531,Calculs!$A$19:$S$425,19,FALSE),VLOOKUP(AC531,Calculs!$A$19:$S$425,19,FALSE))&gt;=AD531,TRUE,FALSE))</f>
        <v>1</v>
      </c>
      <c r="AF531" s="158"/>
      <c r="AG531" s="158"/>
      <c r="AH531" s="158"/>
      <c r="AI531" s="158" t="b">
        <f>IF(AF531="",TRUE,IF(IF(AG531="",VLOOKUP(AF531,Calculs!$A$19:$S$425,19,FALSE),VLOOKUP(AG531,Calculs!$A$19:$S$425,19,FALSE))&gt;=AH531,TRUE,FALSE))</f>
        <v>1</v>
      </c>
      <c r="AJ531" s="158"/>
      <c r="AK531" s="158"/>
      <c r="AL531" s="158"/>
      <c r="AM531" s="158" t="b">
        <f>IF(AJ531="",TRUE,IF(IF(AK531="",VLOOKUP(AJ531,Calculs!$A$19:$S$425,19,FALSE),VLOOKUP(AK531,Calculs!$A$19:$S$425,19,FALSE))&gt;=AL531,TRUE,FALSE))</f>
        <v>1</v>
      </c>
      <c r="AN531" s="158"/>
      <c r="AO531" s="158"/>
      <c r="AP531" s="158"/>
      <c r="AQ531" s="158" t="b">
        <f>IF(AN531="",TRUE,IF(IF(AO531="",VLOOKUP(AN531,Calculs!$A$19:$S$425,19,FALSE),VLOOKUP(AO531,Calculs!$A$19:$S$425,19,FALSE))&gt;=AP531,TRUE,FALSE))</f>
        <v>1</v>
      </c>
      <c r="AR531" s="158"/>
      <c r="AS531" s="158" t="b">
        <f>IF(AR531="",TRUE,IF(VLOOKUP(AR531,Calculs!$A$427:$G$738,7,FALSE)&gt;0,TRUE,FALSE))</f>
        <v>1</v>
      </c>
      <c r="AT531" s="158"/>
      <c r="AU531" s="158" t="b">
        <f>IF(AT531="",TRUE,IF(VLOOKUP(AT531,Calculs!$A$740:$G$912,7,FALSE)&gt;0,TRUE,FALSE))</f>
        <v>1</v>
      </c>
      <c r="AV531" s="158" t="b">
        <f t="shared" si="59"/>
        <v>1</v>
      </c>
      <c r="AW531" s="158" t="s">
        <v>2078</v>
      </c>
      <c r="AX531" s="162" t="s">
        <v>2076</v>
      </c>
      <c r="AY531" s="15">
        <v>169</v>
      </c>
      <c r="AZ531" s="555" t="s">
        <v>8596</v>
      </c>
      <c r="BA531" s="559">
        <f>IF(Verso!$B$10=Voies!$B531,1,0)</f>
        <v>0</v>
      </c>
      <c r="BB531" s="12">
        <f>IF(Verso!$B$11=Voies!$B531,1,0)</f>
        <v>0</v>
      </c>
      <c r="BC531" s="12">
        <f>IF(Verso!$B$12=Voies!$B531,1,0)</f>
        <v>0</v>
      </c>
      <c r="BD531" s="12">
        <f>IF(Verso!$B$13=Voies!$B531,1,0)</f>
        <v>0</v>
      </c>
      <c r="BE531" s="12">
        <f>IF(Verso!$B$14=Voies!$B531,1,0)</f>
        <v>0</v>
      </c>
      <c r="BF531" s="12">
        <f>IF(Verso!$B$15=Voies!$B531,1,0)</f>
        <v>0</v>
      </c>
      <c r="BG531" s="12">
        <f>IF(Verso!$B$16=Voies!$B531,1,0)</f>
        <v>0</v>
      </c>
      <c r="BH531" s="12">
        <f>IF(Verso!$B$17=Voies!$B531,1,0)</f>
        <v>0</v>
      </c>
      <c r="BI531" s="557">
        <f t="shared" si="60"/>
        <v>0</v>
      </c>
      <c r="BJ531" s="196" t="str">
        <f t="shared" si="61"/>
        <v/>
      </c>
      <c r="BK531" s="196" t="str">
        <f t="shared" si="62"/>
        <v/>
      </c>
      <c r="BL531" s="295" t="str">
        <f t="shared" si="63"/>
        <v/>
      </c>
    </row>
    <row r="532" spans="1:65" ht="47.25" customHeight="1" x14ac:dyDescent="0.25">
      <c r="A532" s="162" t="str">
        <f>IF(AND(Réputation&gt;Voies!E532-1,OR(C532=TRUE,Calculs!$I$8&gt;0),Air&gt;Voies!J532-1,Eau&gt;Voies!K532-1,Feu&gt;Voies!L532-1,Terre&gt;Voies!M532-1,Vide&gt;Voies!N532-1,Constitution&gt;Voies!O532-1,Volonté&gt;Voies!P532-1,Force&gt;Voies!Q532-1,Perception&gt;Voies!R532-1,Reflexes&gt;Voies!S532-1,Agilité&gt;Voies!T532-1,Intuition&gt;Voies!U532-1,Intelligence&gt;Voies!V532-1,Souillure&gt;Voies!W532-1,Honneur&gt;X532-1,Statut&gt;Y532-1,Gloire&gt;Z532-1,AV532=TRUE),Voies!B532,"")</f>
        <v/>
      </c>
      <c r="B532" s="162" t="s">
        <v>2408</v>
      </c>
      <c r="C532" s="162" t="b">
        <f>IF(Clan=Voies!D532,TRUE,FALSE)</f>
        <v>0</v>
      </c>
      <c r="D532" s="387" t="s">
        <v>179</v>
      </c>
      <c r="E532" s="13">
        <v>5</v>
      </c>
      <c r="F532" s="199">
        <v>5</v>
      </c>
      <c r="G532" s="13" t="s">
        <v>2049</v>
      </c>
      <c r="H532" s="219" t="s">
        <v>349</v>
      </c>
      <c r="I532" s="129" t="str">
        <f>IF(B532="","","Rien")</f>
        <v>Rien</v>
      </c>
      <c r="J532" s="146">
        <v>0</v>
      </c>
      <c r="K532" s="147">
        <v>0</v>
      </c>
      <c r="L532" s="148">
        <v>0</v>
      </c>
      <c r="M532" s="149">
        <v>0</v>
      </c>
      <c r="N532" s="150">
        <v>0</v>
      </c>
      <c r="O532" s="130">
        <v>0</v>
      </c>
      <c r="P532" s="130">
        <v>0</v>
      </c>
      <c r="Q532" s="130">
        <v>0</v>
      </c>
      <c r="R532" s="130">
        <v>0</v>
      </c>
      <c r="S532" s="130">
        <v>0</v>
      </c>
      <c r="T532" s="130">
        <v>0</v>
      </c>
      <c r="U532" s="130">
        <v>0</v>
      </c>
      <c r="V532" s="524">
        <v>0</v>
      </c>
      <c r="W532" s="130">
        <v>0</v>
      </c>
      <c r="X532" s="130">
        <v>0</v>
      </c>
      <c r="Y532" s="130">
        <v>0</v>
      </c>
      <c r="Z532" s="130">
        <v>0</v>
      </c>
      <c r="AA532" s="158" t="s">
        <v>2078</v>
      </c>
      <c r="AB532" s="158"/>
      <c r="AC532" s="158"/>
      <c r="AD532" s="158"/>
      <c r="AE532" s="158" t="b">
        <f>IF(AB532="",TRUE,IF(IF(AC532="",VLOOKUP(AB532,Calculs!$A$19:$S$425,19,FALSE),VLOOKUP(AC532,Calculs!$A$19:$S$425,19,FALSE))&gt;=AD532,TRUE,FALSE))</f>
        <v>1</v>
      </c>
      <c r="AF532" s="158"/>
      <c r="AG532" s="158"/>
      <c r="AH532" s="158"/>
      <c r="AI532" s="158" t="b">
        <f>IF(AF532="",TRUE,IF(IF(AG532="",VLOOKUP(AF532,Calculs!$A$19:$S$425,19,FALSE),VLOOKUP(AG532,Calculs!$A$19:$S$425,19,FALSE))&gt;=AH532,TRUE,FALSE))</f>
        <v>1</v>
      </c>
      <c r="AJ532" s="158"/>
      <c r="AK532" s="158"/>
      <c r="AL532" s="158"/>
      <c r="AM532" s="158" t="b">
        <f>IF(AJ532="",TRUE,IF(IF(AK532="",VLOOKUP(AJ532,Calculs!$A$19:$S$425,19,FALSE),VLOOKUP(AK532,Calculs!$A$19:$S$425,19,FALSE))&gt;=AL532,TRUE,FALSE))</f>
        <v>1</v>
      </c>
      <c r="AN532" s="158"/>
      <c r="AO532" s="158"/>
      <c r="AP532" s="158"/>
      <c r="AQ532" s="158" t="b">
        <f>IF(AN532="",TRUE,IF(IF(AO532="",VLOOKUP(AN532,Calculs!$A$19:$S$425,19,FALSE),VLOOKUP(AO532,Calculs!$A$19:$S$425,19,FALSE))&gt;=AP532,TRUE,FALSE))</f>
        <v>1</v>
      </c>
      <c r="AR532" s="158"/>
      <c r="AS532" s="158" t="b">
        <f>IF(AR532="",TRUE,IF(VLOOKUP(AR532,Calculs!$A$427:$G$738,7,FALSE)&gt;0,TRUE,FALSE))</f>
        <v>1</v>
      </c>
      <c r="AT532" s="158"/>
      <c r="AU532" s="158" t="b">
        <f>IF(AT532="",TRUE,IF(VLOOKUP(AT532,Calculs!$A$740:$G$912,7,FALSE)&gt;0,TRUE,FALSE))</f>
        <v>1</v>
      </c>
      <c r="AV532" s="158" t="b">
        <f t="shared" si="59"/>
        <v>1</v>
      </c>
      <c r="AW532" s="158" t="s">
        <v>2078</v>
      </c>
      <c r="AX532" s="162" t="s">
        <v>143</v>
      </c>
      <c r="AY532" s="15">
        <v>119</v>
      </c>
      <c r="AZ532" s="555" t="str">
        <f>CONCATENATE("Dépensez un Pvide et une AS au début de votre Tour: Ajoutez +",Honneur," au total de vos jets de Dommages et jets de Compétence Bugei pour ce tour. Se cumule avec la technique de Rang 1.")</f>
        <v>Dépensez un Pvide et une AS au début de votre Tour: Ajoutez +0 au total de vos jets de Dommages et jets de Compétence Bugei pour ce tour. Se cumule avec la technique de Rang 1.</v>
      </c>
      <c r="BA532" s="559">
        <f>IF(Verso!$B$10=Voies!$B532,1,0)</f>
        <v>0</v>
      </c>
      <c r="BB532" s="12">
        <f>IF(Verso!$B$11=Voies!$B532,1,0)</f>
        <v>0</v>
      </c>
      <c r="BC532" s="12">
        <f>IF(Verso!$B$12=Voies!$B532,1,0)</f>
        <v>0</v>
      </c>
      <c r="BD532" s="12">
        <f>IF(Verso!$B$13=Voies!$B532,1,0)</f>
        <v>0</v>
      </c>
      <c r="BE532" s="12">
        <f>IF(Verso!$B$14=Voies!$B532,1,0)</f>
        <v>0</v>
      </c>
      <c r="BF532" s="12">
        <f>IF(Verso!$B$15=Voies!$B532,1,0)</f>
        <v>0</v>
      </c>
      <c r="BG532" s="12">
        <f>IF(Verso!$B$16=Voies!$B532,1,0)</f>
        <v>0</v>
      </c>
      <c r="BH532" s="12">
        <f>IF(Verso!$B$17=Voies!$B532,1,0)</f>
        <v>0</v>
      </c>
      <c r="BI532" s="557">
        <f t="shared" si="60"/>
        <v>0</v>
      </c>
      <c r="BJ532" s="196" t="str">
        <f t="shared" si="61"/>
        <v/>
      </c>
      <c r="BK532" s="196" t="str">
        <f t="shared" si="62"/>
        <v/>
      </c>
      <c r="BL532" s="295" t="str">
        <f t="shared" si="63"/>
        <v/>
      </c>
    </row>
    <row r="533" spans="1:65" ht="47.25" customHeight="1" x14ac:dyDescent="0.25">
      <c r="A533" s="162" t="str">
        <f>IF(AND(Réputation&gt;Voies!E533-1,OR(C533=TRUE,Calculs!$I$8&gt;0),Air&gt;Voies!J533-1,Eau&gt;Voies!K533-1,Feu&gt;Voies!L533-1,Terre&gt;Voies!M533-1,Vide&gt;Voies!N533-1,Constitution&gt;Voies!O533-1,Volonté&gt;Voies!P533-1,Force&gt;Voies!Q533-1,Perception&gt;Voies!R533-1,Reflexes&gt;Voies!S533-1,Agilité&gt;Voies!T533-1,Intuition&gt;Voies!U533-1,Intelligence&gt;Voies!V533-1,Souillure&gt;Voies!W533-1,Honneur&gt;X533-1,Statut&gt;Y533-1,Gloire&gt;Z533-1,AV533=TRUE),Voies!B533,"")</f>
        <v/>
      </c>
      <c r="B533" s="162" t="s">
        <v>6076</v>
      </c>
      <c r="C533" s="162" t="b">
        <f>IF(Clan=Voies!D533,TRUE,FALSE)</f>
        <v>0</v>
      </c>
      <c r="D533" s="387" t="s">
        <v>179</v>
      </c>
      <c r="E533" s="13">
        <v>5</v>
      </c>
      <c r="F533" s="199">
        <v>5</v>
      </c>
      <c r="G533" s="13" t="s">
        <v>2049</v>
      </c>
      <c r="H533" s="219" t="s">
        <v>6072</v>
      </c>
      <c r="I533" s="129" t="s">
        <v>3370</v>
      </c>
      <c r="J533" s="146">
        <v>0</v>
      </c>
      <c r="K533" s="147">
        <v>0</v>
      </c>
      <c r="L533" s="148">
        <v>0</v>
      </c>
      <c r="M533" s="149">
        <v>0</v>
      </c>
      <c r="N533" s="150">
        <v>0</v>
      </c>
      <c r="O533" s="130">
        <v>0</v>
      </c>
      <c r="P533" s="130">
        <v>0</v>
      </c>
      <c r="Q533" s="130">
        <v>0</v>
      </c>
      <c r="R533" s="130">
        <v>0</v>
      </c>
      <c r="S533" s="130">
        <v>0</v>
      </c>
      <c r="T533" s="130">
        <v>0</v>
      </c>
      <c r="U533" s="130">
        <v>0</v>
      </c>
      <c r="V533" s="524">
        <v>0</v>
      </c>
      <c r="W533" s="130">
        <v>0</v>
      </c>
      <c r="X533" s="130">
        <v>0</v>
      </c>
      <c r="Y533" s="130">
        <v>0</v>
      </c>
      <c r="Z533" s="130">
        <v>0</v>
      </c>
      <c r="AA533" s="158" t="s">
        <v>2078</v>
      </c>
      <c r="AB533" s="158"/>
      <c r="AC533" s="158"/>
      <c r="AD533" s="158"/>
      <c r="AE533" s="158" t="b">
        <f>IF(AB533="",TRUE,IF(IF(AC533="",VLOOKUP(AB533,Calculs!$A$19:$S$425,19,FALSE),VLOOKUP(AC533,Calculs!$A$19:$S$425,19,FALSE))&gt;=AD533,TRUE,FALSE))</f>
        <v>1</v>
      </c>
      <c r="AF533" s="158"/>
      <c r="AG533" s="158"/>
      <c r="AH533" s="158"/>
      <c r="AI533" s="158" t="b">
        <f>IF(AF533="",TRUE,IF(IF(AG533="",VLOOKUP(AF533,Calculs!$A$19:$S$425,19,FALSE),VLOOKUP(AG533,Calculs!$A$19:$S$425,19,FALSE))&gt;=AH533,TRUE,FALSE))</f>
        <v>1</v>
      </c>
      <c r="AJ533" s="158"/>
      <c r="AK533" s="158"/>
      <c r="AL533" s="158"/>
      <c r="AM533" s="158" t="b">
        <f>IF(AJ533="",TRUE,IF(IF(AK533="",VLOOKUP(AJ533,Calculs!$A$19:$S$425,19,FALSE),VLOOKUP(AK533,Calculs!$A$19:$S$425,19,FALSE))&gt;=AL533,TRUE,FALSE))</f>
        <v>1</v>
      </c>
      <c r="AN533" s="158"/>
      <c r="AO533" s="158"/>
      <c r="AP533" s="158"/>
      <c r="AQ533" s="158" t="b">
        <f>IF(AN533="",TRUE,IF(IF(AO533="",VLOOKUP(AN533,Calculs!$A$19:$S$425,19,FALSE),VLOOKUP(AO533,Calculs!$A$19:$S$425,19,FALSE))&gt;=AP533,TRUE,FALSE))</f>
        <v>1</v>
      </c>
      <c r="AR533" s="158"/>
      <c r="AS533" s="158" t="b">
        <f>IF(AR533="",TRUE,IF(VLOOKUP(AR533,Calculs!$A$427:$G$738,7,FALSE)&gt;0,TRUE,FALSE))</f>
        <v>1</v>
      </c>
      <c r="AT533" s="158"/>
      <c r="AU533" s="158" t="b">
        <f>IF(AT533="",TRUE,IF(VLOOKUP(AT533,Calculs!$A$740:$G$912,7,FALSE)&gt;0,TRUE,FALSE))</f>
        <v>1</v>
      </c>
      <c r="AV533" s="158" t="b">
        <f t="shared" si="59"/>
        <v>1</v>
      </c>
      <c r="AW533" s="159" t="s">
        <v>3383</v>
      </c>
      <c r="AX533" s="162" t="s">
        <v>6061</v>
      </c>
      <c r="AY533" s="15">
        <v>132</v>
      </c>
      <c r="AZ533" s="555" t="s">
        <v>8597</v>
      </c>
      <c r="BA533" s="559">
        <f>IF(Verso!$B$10=Voies!$B533,1,0)</f>
        <v>0</v>
      </c>
      <c r="BB533" s="12">
        <f>IF(Verso!$B$11=Voies!$B533,1,0)</f>
        <v>0</v>
      </c>
      <c r="BC533" s="12">
        <f>IF(Verso!$B$12=Voies!$B533,1,0)</f>
        <v>0</v>
      </c>
      <c r="BD533" s="12">
        <f>IF(Verso!$B$13=Voies!$B533,1,0)</f>
        <v>0</v>
      </c>
      <c r="BE533" s="12">
        <f>IF(Verso!$B$14=Voies!$B533,1,0)</f>
        <v>0</v>
      </c>
      <c r="BF533" s="12">
        <f>IF(Verso!$B$15=Voies!$B533,1,0)</f>
        <v>0</v>
      </c>
      <c r="BG533" s="12">
        <f>IF(Verso!$B$16=Voies!$B533,1,0)</f>
        <v>0</v>
      </c>
      <c r="BH533" s="12">
        <f>IF(Verso!$B$17=Voies!$B533,1,0)</f>
        <v>0</v>
      </c>
      <c r="BI533" s="557">
        <f t="shared" si="60"/>
        <v>0</v>
      </c>
      <c r="BJ533" s="196" t="str">
        <f t="shared" si="61"/>
        <v/>
      </c>
      <c r="BK533" s="196" t="str">
        <f t="shared" si="62"/>
        <v/>
      </c>
      <c r="BL533" s="295" t="str">
        <f t="shared" si="63"/>
        <v/>
      </c>
    </row>
    <row r="534" spans="1:65" ht="47.25" customHeight="1" x14ac:dyDescent="0.25">
      <c r="A534" s="162" t="str">
        <f>IF(AND(Réputation&gt;Voies!E534-1,OR(C534=TRUE,Calculs!$I$8&gt;0),Air&gt;Voies!J534-1,Eau&gt;Voies!K534-1,Feu&gt;Voies!L534-1,Terre&gt;Voies!M534-1,Vide&gt;Voies!N534-1,Constitution&gt;Voies!O534-1,Volonté&gt;Voies!P534-1,Force&gt;Voies!Q534-1,Perception&gt;Voies!R534-1,Reflexes&gt;Voies!S534-1,Agilité&gt;Voies!T534-1,Intuition&gt;Voies!U534-1,Intelligence&gt;Voies!V534-1,Souillure&gt;Voies!W534-1,Honneur&gt;X534-1,Statut&gt;Y534-1,Gloire&gt;Z534-1,AV534=TRUE),Voies!B534,"")</f>
        <v/>
      </c>
      <c r="B534" s="162" t="s">
        <v>2400</v>
      </c>
      <c r="C534" s="162" t="b">
        <f>IF(Clan=Voies!D534,TRUE,FALSE)</f>
        <v>0</v>
      </c>
      <c r="D534" s="387" t="s">
        <v>179</v>
      </c>
      <c r="E534" s="13">
        <v>5</v>
      </c>
      <c r="F534" s="199">
        <v>5</v>
      </c>
      <c r="G534" s="13" t="s">
        <v>2052</v>
      </c>
      <c r="H534" s="219" t="s">
        <v>241</v>
      </c>
      <c r="I534" s="129" t="str">
        <f>IF(B534="","","Rien")</f>
        <v>Rien</v>
      </c>
      <c r="J534" s="146">
        <v>0</v>
      </c>
      <c r="K534" s="147">
        <v>0</v>
      </c>
      <c r="L534" s="148">
        <v>0</v>
      </c>
      <c r="M534" s="149">
        <v>0</v>
      </c>
      <c r="N534" s="150">
        <v>0</v>
      </c>
      <c r="O534" s="130">
        <v>0</v>
      </c>
      <c r="P534" s="130">
        <v>0</v>
      </c>
      <c r="Q534" s="130">
        <v>0</v>
      </c>
      <c r="R534" s="130">
        <v>0</v>
      </c>
      <c r="S534" s="130">
        <v>0</v>
      </c>
      <c r="T534" s="130">
        <v>0</v>
      </c>
      <c r="U534" s="130">
        <v>0</v>
      </c>
      <c r="V534" s="524">
        <v>0</v>
      </c>
      <c r="W534" s="130">
        <v>0</v>
      </c>
      <c r="X534" s="130">
        <v>0</v>
      </c>
      <c r="Y534" s="130">
        <v>0</v>
      </c>
      <c r="Z534" s="130">
        <v>0</v>
      </c>
      <c r="AA534" s="158" t="s">
        <v>2078</v>
      </c>
      <c r="AB534" s="158"/>
      <c r="AC534" s="158"/>
      <c r="AD534" s="158"/>
      <c r="AE534" s="158" t="b">
        <f>IF(AB534="",TRUE,IF(IF(AC534="",VLOOKUP(AB534,Calculs!$A$19:$S$425,19,FALSE),VLOOKUP(AC534,Calculs!$A$19:$S$425,19,FALSE))&gt;=AD534,TRUE,FALSE))</f>
        <v>1</v>
      </c>
      <c r="AF534" s="158"/>
      <c r="AG534" s="158"/>
      <c r="AH534" s="158"/>
      <c r="AI534" s="158" t="b">
        <f>IF(AF534="",TRUE,IF(IF(AG534="",VLOOKUP(AF534,Calculs!$A$19:$S$425,19,FALSE),VLOOKUP(AG534,Calculs!$A$19:$S$425,19,FALSE))&gt;=AH534,TRUE,FALSE))</f>
        <v>1</v>
      </c>
      <c r="AJ534" s="158"/>
      <c r="AK534" s="158"/>
      <c r="AL534" s="158"/>
      <c r="AM534" s="158" t="b">
        <f>IF(AJ534="",TRUE,IF(IF(AK534="",VLOOKUP(AJ534,Calculs!$A$19:$S$425,19,FALSE),VLOOKUP(AK534,Calculs!$A$19:$S$425,19,FALSE))&gt;=AL534,TRUE,FALSE))</f>
        <v>1</v>
      </c>
      <c r="AN534" s="158"/>
      <c r="AO534" s="158"/>
      <c r="AP534" s="158"/>
      <c r="AQ534" s="158" t="b">
        <f>IF(AN534="",TRUE,IF(IF(AO534="",VLOOKUP(AN534,Calculs!$A$19:$S$425,19,FALSE),VLOOKUP(AO534,Calculs!$A$19:$S$425,19,FALSE))&gt;=AP534,TRUE,FALSE))</f>
        <v>1</v>
      </c>
      <c r="AR534" s="158"/>
      <c r="AS534" s="158" t="b">
        <f>IF(AR534="",TRUE,IF(VLOOKUP(AR534,Calculs!$A$427:$G$738,7,FALSE)&gt;0,TRUE,FALSE))</f>
        <v>1</v>
      </c>
      <c r="AT534" s="158"/>
      <c r="AU534" s="158" t="b">
        <f>IF(AT534="",TRUE,IF(VLOOKUP(AT534,Calculs!$A$740:$G$912,7,FALSE)&gt;0,TRUE,FALSE))</f>
        <v>1</v>
      </c>
      <c r="AV534" s="158" t="b">
        <f t="shared" si="59"/>
        <v>1</v>
      </c>
      <c r="AW534" s="158" t="s">
        <v>2078</v>
      </c>
      <c r="AX534" s="162" t="s">
        <v>143</v>
      </c>
      <c r="AY534" s="15">
        <v>118</v>
      </c>
      <c r="AZ534" s="555" t="s">
        <v>8598</v>
      </c>
      <c r="BA534" s="559">
        <f>IF(Verso!$B$10=Voies!$B534,1,0)</f>
        <v>0</v>
      </c>
      <c r="BB534" s="12">
        <f>IF(Verso!$B$11=Voies!$B534,1,0)</f>
        <v>0</v>
      </c>
      <c r="BC534" s="12">
        <f>IF(Verso!$B$12=Voies!$B534,1,0)</f>
        <v>0</v>
      </c>
      <c r="BD534" s="12">
        <f>IF(Verso!$B$13=Voies!$B534,1,0)</f>
        <v>0</v>
      </c>
      <c r="BE534" s="12">
        <f>IF(Verso!$B$14=Voies!$B534,1,0)</f>
        <v>0</v>
      </c>
      <c r="BF534" s="12">
        <f>IF(Verso!$B$15=Voies!$B534,1,0)</f>
        <v>0</v>
      </c>
      <c r="BG534" s="12">
        <f>IF(Verso!$B$16=Voies!$B534,1,0)</f>
        <v>0</v>
      </c>
      <c r="BH534" s="12">
        <f>IF(Verso!$B$17=Voies!$B534,1,0)</f>
        <v>0</v>
      </c>
      <c r="BI534" s="557">
        <f t="shared" si="60"/>
        <v>0</v>
      </c>
      <c r="BJ534" s="196" t="str">
        <f t="shared" si="61"/>
        <v/>
      </c>
      <c r="BK534" s="196" t="str">
        <f t="shared" si="62"/>
        <v/>
      </c>
      <c r="BL534" s="295" t="str">
        <f t="shared" si="63"/>
        <v/>
      </c>
    </row>
    <row r="535" spans="1:65" ht="47.25" customHeight="1" x14ac:dyDescent="0.25">
      <c r="A535" s="162" t="str">
        <f>IF(AND(Réputation&gt;Voies!E535-1,OR(C535=TRUE,Calculs!$I$8&gt;0),Air&gt;Voies!J535-1,Eau&gt;Voies!K535-1,Feu&gt;Voies!L535-1,Terre&gt;Voies!M535-1,Vide&gt;Voies!N535-1,Constitution&gt;Voies!O535-1,Volonté&gt;Voies!P535-1,Force&gt;Voies!Q535-1,Perception&gt;Voies!R535-1,Reflexes&gt;Voies!S535-1,Agilité&gt;Voies!T535-1,Intuition&gt;Voies!U535-1,Intelligence&gt;Voies!V535-1,Souillure&gt;Voies!W535-1,Honneur&gt;X535-1,Statut&gt;Y535-1,Gloire&gt;Z535-1,AV535=TRUE),Voies!B535,"")</f>
        <v/>
      </c>
      <c r="B535" s="162" t="s">
        <v>2160</v>
      </c>
      <c r="C535" s="162" t="b">
        <f>IF(Clan=Voies!D535,TRUE,FALSE)</f>
        <v>0</v>
      </c>
      <c r="D535" s="388" t="s">
        <v>184</v>
      </c>
      <c r="E535" s="13">
        <v>1</v>
      </c>
      <c r="F535" s="199">
        <v>1</v>
      </c>
      <c r="G535" s="13" t="s">
        <v>2049</v>
      </c>
      <c r="H535" s="219" t="s">
        <v>408</v>
      </c>
      <c r="I535" s="129" t="str">
        <f>IF(B535="","","Rien")</f>
        <v>Rien</v>
      </c>
      <c r="J535" s="146">
        <v>0</v>
      </c>
      <c r="K535" s="147">
        <v>0</v>
      </c>
      <c r="L535" s="148">
        <v>0</v>
      </c>
      <c r="M535" s="149">
        <v>0</v>
      </c>
      <c r="N535" s="150">
        <v>0</v>
      </c>
      <c r="O535" s="130">
        <v>0</v>
      </c>
      <c r="P535" s="130">
        <v>0</v>
      </c>
      <c r="Q535" s="130">
        <v>0</v>
      </c>
      <c r="R535" s="130">
        <v>0</v>
      </c>
      <c r="S535" s="130">
        <v>0</v>
      </c>
      <c r="T535" s="130">
        <v>0</v>
      </c>
      <c r="U535" s="130">
        <v>0</v>
      </c>
      <c r="V535" s="524">
        <v>0</v>
      </c>
      <c r="W535" s="130">
        <v>0</v>
      </c>
      <c r="X535" s="130">
        <v>0</v>
      </c>
      <c r="Y535" s="130">
        <v>0</v>
      </c>
      <c r="Z535" s="130">
        <v>0</v>
      </c>
      <c r="AA535" s="158" t="s">
        <v>2078</v>
      </c>
      <c r="AB535" s="158"/>
      <c r="AC535" s="158"/>
      <c r="AD535" s="158"/>
      <c r="AE535" s="158" t="b">
        <f>IF(AB535="",TRUE,IF(IF(AC535="",VLOOKUP(AB535,Calculs!$A$19:$S$425,19,FALSE),VLOOKUP(AC535,Calculs!$A$19:$S$425,19,FALSE))&gt;=AD535,TRUE,FALSE))</f>
        <v>1</v>
      </c>
      <c r="AF535" s="158"/>
      <c r="AG535" s="158"/>
      <c r="AH535" s="158"/>
      <c r="AI535" s="158" t="b">
        <f>IF(AF535="",TRUE,IF(IF(AG535="",VLOOKUP(AF535,Calculs!$A$19:$S$425,19,FALSE),VLOOKUP(AG535,Calculs!$A$19:$S$425,19,FALSE))&gt;=AH535,TRUE,FALSE))</f>
        <v>1</v>
      </c>
      <c r="AJ535" s="158"/>
      <c r="AK535" s="158"/>
      <c r="AL535" s="158"/>
      <c r="AM535" s="158" t="b">
        <f>IF(AJ535="",TRUE,IF(IF(AK535="",VLOOKUP(AJ535,Calculs!$A$19:$S$425,19,FALSE),VLOOKUP(AK535,Calculs!$A$19:$S$425,19,FALSE))&gt;=AL535,TRUE,FALSE))</f>
        <v>1</v>
      </c>
      <c r="AN535" s="158"/>
      <c r="AO535" s="158"/>
      <c r="AP535" s="158"/>
      <c r="AQ535" s="158" t="b">
        <f>IF(AN535="",TRUE,IF(IF(AO535="",VLOOKUP(AN535,Calculs!$A$19:$S$425,19,FALSE),VLOOKUP(AO535,Calculs!$A$19:$S$425,19,FALSE))&gt;=AP535,TRUE,FALSE))</f>
        <v>1</v>
      </c>
      <c r="AR535" s="158"/>
      <c r="AS535" s="158" t="b">
        <f>IF(AR535="",TRUE,IF(VLOOKUP(AR535,Calculs!$A$427:$G$738,7,FALSE)&gt;0,TRUE,FALSE))</f>
        <v>1</v>
      </c>
      <c r="AT535" s="158"/>
      <c r="AU535" s="158" t="b">
        <f>IF(AT535="",TRUE,IF(VLOOKUP(AT535,Calculs!$A$740:$G$912,7,FALSE)&gt;0,TRUE,FALSE))</f>
        <v>1</v>
      </c>
      <c r="AV535" s="158" t="b">
        <f t="shared" si="59"/>
        <v>1</v>
      </c>
      <c r="AW535" s="158" t="s">
        <v>2078</v>
      </c>
      <c r="AX535" s="162" t="s">
        <v>3</v>
      </c>
      <c r="AY535" s="15">
        <v>220</v>
      </c>
      <c r="AZ535" s="555" t="s">
        <v>8599</v>
      </c>
      <c r="BA535" s="559">
        <f>IF(Verso!$B$10=Voies!$B535,1,0)</f>
        <v>0</v>
      </c>
      <c r="BB535" s="12">
        <f>IF(Verso!$B$11=Voies!$B535,1,0)</f>
        <v>0</v>
      </c>
      <c r="BC535" s="12">
        <f>IF(Verso!$B$12=Voies!$B535,1,0)</f>
        <v>0</v>
      </c>
      <c r="BD535" s="12">
        <f>IF(Verso!$B$13=Voies!$B535,1,0)</f>
        <v>0</v>
      </c>
      <c r="BE535" s="12">
        <f>IF(Verso!$B$14=Voies!$B535,1,0)</f>
        <v>0</v>
      </c>
      <c r="BF535" s="12">
        <f>IF(Verso!$B$15=Voies!$B535,1,0)</f>
        <v>0</v>
      </c>
      <c r="BG535" s="12">
        <f>IF(Verso!$B$16=Voies!$B535,1,0)</f>
        <v>0</v>
      </c>
      <c r="BH535" s="12">
        <f>IF(Verso!$B$17=Voies!$B535,1,0)</f>
        <v>0</v>
      </c>
      <c r="BI535" s="557">
        <f t="shared" si="60"/>
        <v>0</v>
      </c>
      <c r="BJ535" s="196" t="str">
        <f t="shared" si="61"/>
        <v/>
      </c>
      <c r="BK535" s="196" t="str">
        <f t="shared" si="62"/>
        <v/>
      </c>
      <c r="BL535" s="295" t="str">
        <f t="shared" si="63"/>
        <v/>
      </c>
    </row>
    <row r="536" spans="1:65" ht="47.25" customHeight="1" x14ac:dyDescent="0.25">
      <c r="A536" s="162" t="str">
        <f>IF(AND(Réputation&gt;Voies!E536-1,OR(C536=TRUE,Calculs!$I$8&gt;0),Air&gt;Voies!J536-1,Eau&gt;Voies!K536-1,Feu&gt;Voies!L536-1,Terre&gt;Voies!M536-1,Vide&gt;Voies!N536-1,Constitution&gt;Voies!O536-1,Volonté&gt;Voies!P536-1,Force&gt;Voies!Q536-1,Perception&gt;Voies!R536-1,Reflexes&gt;Voies!S536-1,Agilité&gt;Voies!T536-1,Intuition&gt;Voies!U536-1,Intelligence&gt;Voies!V536-1,Souillure&gt;Voies!W536-1,Honneur&gt;X536-1,Statut&gt;Y536-1,Gloire&gt;Z536-1,AV536=TRUE),Voies!B536,"")</f>
        <v/>
      </c>
      <c r="B536" s="162" t="s">
        <v>7865</v>
      </c>
      <c r="C536" s="162" t="b">
        <f>IF(Clan=Voies!D536,TRUE,FALSE)</f>
        <v>0</v>
      </c>
      <c r="D536" s="388" t="s">
        <v>184</v>
      </c>
      <c r="E536" s="13">
        <v>1</v>
      </c>
      <c r="F536" s="199">
        <v>1</v>
      </c>
      <c r="G536" s="13" t="s">
        <v>2049</v>
      </c>
      <c r="H536" s="162" t="s">
        <v>7806</v>
      </c>
      <c r="I536" s="129" t="str">
        <f>IF(B536="","","Rien")</f>
        <v>Rien</v>
      </c>
      <c r="J536" s="146">
        <v>0</v>
      </c>
      <c r="K536" s="147">
        <v>0</v>
      </c>
      <c r="L536" s="148">
        <v>0</v>
      </c>
      <c r="M536" s="149">
        <v>0</v>
      </c>
      <c r="N536" s="150">
        <v>0</v>
      </c>
      <c r="O536" s="130">
        <v>0</v>
      </c>
      <c r="P536" s="130">
        <v>0</v>
      </c>
      <c r="Q536" s="130">
        <v>0</v>
      </c>
      <c r="R536" s="130">
        <v>0</v>
      </c>
      <c r="S536" s="130">
        <v>0</v>
      </c>
      <c r="T536" s="130">
        <v>0</v>
      </c>
      <c r="U536" s="130">
        <v>0</v>
      </c>
      <c r="V536" s="524">
        <v>0</v>
      </c>
      <c r="W536" s="130">
        <v>0</v>
      </c>
      <c r="X536" s="130">
        <v>0</v>
      </c>
      <c r="Y536" s="130">
        <v>0</v>
      </c>
      <c r="Z536" s="130">
        <v>0</v>
      </c>
      <c r="AA536" s="158" t="s">
        <v>2078</v>
      </c>
      <c r="AB536" s="158"/>
      <c r="AC536" s="158"/>
      <c r="AD536" s="158"/>
      <c r="AE536" s="158" t="b">
        <f>IF(AB536="",TRUE,IF(IF(AC536="",VLOOKUP(AB536,Calculs!$A$19:$S$425,19,FALSE),VLOOKUP(AC536,Calculs!$A$19:$S$425,19,FALSE))&gt;=AD536,TRUE,FALSE))</f>
        <v>1</v>
      </c>
      <c r="AF536" s="158"/>
      <c r="AG536" s="158"/>
      <c r="AH536" s="158"/>
      <c r="AI536" s="158" t="b">
        <f>IF(AF536="",TRUE,IF(IF(AG536="",VLOOKUP(AF536,Calculs!$A$19:$S$425,19,FALSE),VLOOKUP(AG536,Calculs!$A$19:$S$425,19,FALSE))&gt;=AH536,TRUE,FALSE))</f>
        <v>1</v>
      </c>
      <c r="AJ536" s="158"/>
      <c r="AK536" s="158"/>
      <c r="AL536" s="158"/>
      <c r="AM536" s="158" t="b">
        <f>IF(AJ536="",TRUE,IF(IF(AK536="",VLOOKUP(AJ536,Calculs!$A$19:$S$425,19,FALSE),VLOOKUP(AK536,Calculs!$A$19:$S$425,19,FALSE))&gt;=AL536,TRUE,FALSE))</f>
        <v>1</v>
      </c>
      <c r="AN536" s="158"/>
      <c r="AO536" s="158"/>
      <c r="AP536" s="158"/>
      <c r="AQ536" s="158" t="b">
        <f>IF(AN536="",TRUE,IF(IF(AO536="",VLOOKUP(AN536,Calculs!$A$19:$S$425,19,FALSE),VLOOKUP(AO536,Calculs!$A$19:$S$425,19,FALSE))&gt;=AP536,TRUE,FALSE))</f>
        <v>1</v>
      </c>
      <c r="AR536" s="158"/>
      <c r="AS536" s="158" t="b">
        <f>IF(AR536="",TRUE,IF(VLOOKUP(AR536,Calculs!$A$427:$G$738,7,FALSE)&gt;0,TRUE,FALSE))</f>
        <v>1</v>
      </c>
      <c r="AT536" s="158"/>
      <c r="AU536" s="158" t="b">
        <f>IF(AT536="",TRUE,IF(VLOOKUP(AT536,Calculs!$A$740:$G$912,7,FALSE)&gt;0,TRUE,FALSE))</f>
        <v>1</v>
      </c>
      <c r="AV536" s="158" t="b">
        <f t="shared" si="59"/>
        <v>1</v>
      </c>
      <c r="AW536" s="158" t="s">
        <v>2078</v>
      </c>
      <c r="AX536" s="162" t="s">
        <v>7226</v>
      </c>
      <c r="AY536" s="15">
        <v>71</v>
      </c>
      <c r="AZ536" s="555" t="str">
        <f>CONCATENATE("Ajoutez +",Air," au ND pour vous toucher et à tous vos jets de dégâts avec des Armes à feu.")</f>
        <v>Ajoutez +2 au ND pour vous toucher et à tous vos jets de dégâts avec des Armes à feu.</v>
      </c>
      <c r="BA536" s="559">
        <f>IF(Verso!$B$10=Voies!$B536,1,0)</f>
        <v>0</v>
      </c>
      <c r="BB536" s="12">
        <f>IF(Verso!$B$11=Voies!$B536,1,0)</f>
        <v>0</v>
      </c>
      <c r="BC536" s="12">
        <f>IF(Verso!$B$12=Voies!$B536,1,0)</f>
        <v>0</v>
      </c>
      <c r="BD536" s="12">
        <f>IF(Verso!$B$13=Voies!$B536,1,0)</f>
        <v>0</v>
      </c>
      <c r="BE536" s="12">
        <f>IF(Verso!$B$14=Voies!$B536,1,0)</f>
        <v>0</v>
      </c>
      <c r="BF536" s="12">
        <f>IF(Verso!$B$15=Voies!$B536,1,0)</f>
        <v>0</v>
      </c>
      <c r="BG536" s="12">
        <f>IF(Verso!$B$16=Voies!$B536,1,0)</f>
        <v>0</v>
      </c>
      <c r="BH536" s="12">
        <f>IF(Verso!$B$17=Voies!$B536,1,0)</f>
        <v>0</v>
      </c>
      <c r="BI536" s="557">
        <f t="shared" si="60"/>
        <v>0</v>
      </c>
      <c r="BJ536" s="196" t="str">
        <f t="shared" si="61"/>
        <v/>
      </c>
      <c r="BK536" s="196" t="str">
        <f t="shared" si="62"/>
        <v/>
      </c>
      <c r="BL536" s="295" t="str">
        <f t="shared" si="63"/>
        <v/>
      </c>
    </row>
    <row r="537" spans="1:65" s="196" customFormat="1" ht="47.25" customHeight="1" x14ac:dyDescent="0.25">
      <c r="A537" s="162" t="str">
        <f>IF(AND(Réputation&gt;Voies!E537-1,OR(C537=TRUE,Calculs!$I$8&gt;0),Air&gt;Voies!J537-1,Eau&gt;Voies!K537-1,Feu&gt;Voies!L537-1,Terre&gt;Voies!M537-1,Vide&gt;Voies!N537-1,Constitution&gt;Voies!O537-1,Volonté&gt;Voies!P537-1,Force&gt;Voies!Q537-1,Perception&gt;Voies!R537-1,Reflexes&gt;Voies!S537-1,Agilité&gt;Voies!T537-1,Intuition&gt;Voies!U537-1,Intelligence&gt;Voies!V537-1,Souillure&gt;Voies!W537-1,Honneur&gt;X537-1,Statut&gt;Y537-1,Gloire&gt;Z537-1,AV537=TRUE),Voies!B537,"")</f>
        <v/>
      </c>
      <c r="B537" s="162" t="s">
        <v>2161</v>
      </c>
      <c r="C537" s="162" t="b">
        <f>IF(Clan=Voies!D538,TRUE,FALSE)</f>
        <v>0</v>
      </c>
      <c r="D537" s="388" t="s">
        <v>184</v>
      </c>
      <c r="E537" s="199">
        <v>2</v>
      </c>
      <c r="F537" s="199">
        <v>2</v>
      </c>
      <c r="G537" s="199" t="s">
        <v>2049</v>
      </c>
      <c r="H537" s="219" t="s">
        <v>408</v>
      </c>
      <c r="I537" s="129" t="str">
        <f>IF(B537="","","Rien")</f>
        <v>Rien</v>
      </c>
      <c r="J537" s="146">
        <v>0</v>
      </c>
      <c r="K537" s="147">
        <v>0</v>
      </c>
      <c r="L537" s="148">
        <v>0</v>
      </c>
      <c r="M537" s="149">
        <v>0</v>
      </c>
      <c r="N537" s="150">
        <v>0</v>
      </c>
      <c r="O537" s="130">
        <v>0</v>
      </c>
      <c r="P537" s="130">
        <v>0</v>
      </c>
      <c r="Q537" s="130">
        <v>0</v>
      </c>
      <c r="R537" s="130">
        <v>0</v>
      </c>
      <c r="S537" s="130">
        <v>0</v>
      </c>
      <c r="T537" s="130">
        <v>0</v>
      </c>
      <c r="U537" s="130">
        <v>0</v>
      </c>
      <c r="V537" s="524">
        <v>0</v>
      </c>
      <c r="W537" s="130">
        <v>0</v>
      </c>
      <c r="X537" s="130">
        <v>0</v>
      </c>
      <c r="Y537" s="130">
        <v>0</v>
      </c>
      <c r="Z537" s="130">
        <v>0</v>
      </c>
      <c r="AA537" s="158" t="s">
        <v>2078</v>
      </c>
      <c r="AB537" s="158"/>
      <c r="AC537" s="158"/>
      <c r="AD537" s="158"/>
      <c r="AE537" s="158" t="b">
        <f>IF(AB537="",TRUE,IF(IF(AC537="",VLOOKUP(AB537,Calculs!$A$19:$S$425,19,FALSE),VLOOKUP(AC537,Calculs!$A$19:$S$425,19,FALSE))&gt;=AD537,TRUE,FALSE))</f>
        <v>1</v>
      </c>
      <c r="AF537" s="158"/>
      <c r="AG537" s="158"/>
      <c r="AH537" s="158"/>
      <c r="AI537" s="158" t="b">
        <f>IF(AF537="",TRUE,IF(IF(AG537="",VLOOKUP(AF537,Calculs!$A$19:$S$425,19,FALSE),VLOOKUP(AG537,Calculs!$A$19:$S$425,19,FALSE))&gt;=AH537,TRUE,FALSE))</f>
        <v>1</v>
      </c>
      <c r="AJ537" s="158"/>
      <c r="AK537" s="158"/>
      <c r="AL537" s="158"/>
      <c r="AM537" s="158" t="b">
        <f>IF(AJ537="",TRUE,IF(IF(AK537="",VLOOKUP(AJ537,Calculs!$A$19:$S$425,19,FALSE),VLOOKUP(AK537,Calculs!$A$19:$S$425,19,FALSE))&gt;=AL537,TRUE,FALSE))</f>
        <v>1</v>
      </c>
      <c r="AN537" s="158"/>
      <c r="AO537" s="158"/>
      <c r="AP537" s="158"/>
      <c r="AQ537" s="158" t="b">
        <f>IF(AN537="",TRUE,IF(IF(AO537="",VLOOKUP(AN537,Calculs!$A$19:$S$425,19,FALSE),VLOOKUP(AO537,Calculs!$A$19:$S$425,19,FALSE))&gt;=AP537,TRUE,FALSE))</f>
        <v>1</v>
      </c>
      <c r="AR537" s="158"/>
      <c r="AS537" s="158" t="b">
        <f>IF(AR537="",TRUE,IF(VLOOKUP(AR537,Calculs!$A$427:$G$738,7,FALSE)&gt;0,TRUE,FALSE))</f>
        <v>1</v>
      </c>
      <c r="AT537" s="158"/>
      <c r="AU537" s="158" t="b">
        <f>IF(AT537="",TRUE,IF(VLOOKUP(AT537,Calculs!$A$740:$G$912,7,FALSE)&gt;0,TRUE,FALSE))</f>
        <v>1</v>
      </c>
      <c r="AV537" s="158" t="b">
        <f t="shared" si="59"/>
        <v>1</v>
      </c>
      <c r="AW537" s="158" t="s">
        <v>2078</v>
      </c>
      <c r="AX537" s="162" t="s">
        <v>3</v>
      </c>
      <c r="AY537" s="15">
        <v>220</v>
      </c>
      <c r="AZ537" s="555" t="s">
        <v>8600</v>
      </c>
      <c r="BA537" s="559">
        <f>IF(Verso!$B$10=Voies!$B537,1,0)</f>
        <v>0</v>
      </c>
      <c r="BB537" s="12">
        <f>IF(Verso!$B$11=Voies!$B537,1,0)</f>
        <v>0</v>
      </c>
      <c r="BC537" s="12">
        <f>IF(Verso!$B$12=Voies!$B537,1,0)</f>
        <v>0</v>
      </c>
      <c r="BD537" s="12">
        <f>IF(Verso!$B$13=Voies!$B537,1,0)</f>
        <v>0</v>
      </c>
      <c r="BE537" s="12">
        <f>IF(Verso!$B$14=Voies!$B537,1,0)</f>
        <v>0</v>
      </c>
      <c r="BF537" s="12">
        <f>IF(Verso!$B$15=Voies!$B537,1,0)</f>
        <v>0</v>
      </c>
      <c r="BG537" s="12">
        <f>IF(Verso!$B$16=Voies!$B537,1,0)</f>
        <v>0</v>
      </c>
      <c r="BH537" s="12">
        <f>IF(Verso!$B$17=Voies!$B537,1,0)</f>
        <v>0</v>
      </c>
      <c r="BI537" s="557">
        <f t="shared" si="60"/>
        <v>0</v>
      </c>
      <c r="BJ537" s="196" t="str">
        <f t="shared" si="61"/>
        <v/>
      </c>
      <c r="BK537" s="196" t="str">
        <f t="shared" si="62"/>
        <v/>
      </c>
      <c r="BL537" s="295" t="str">
        <f t="shared" si="63"/>
        <v/>
      </c>
      <c r="BM537" s="91"/>
    </row>
    <row r="538" spans="1:65" ht="47.25" customHeight="1" x14ac:dyDescent="0.25">
      <c r="A538" s="162" t="str">
        <f>IF(AND(Réputation&gt;Voies!E538-1,OR(C538=TRUE,Calculs!$I$8&gt;0),Air&gt;Voies!J538-1,Eau&gt;Voies!K538-1,Feu&gt;Voies!L538-1,Terre&gt;Voies!M538-1,Vide&gt;Voies!N538-1,Constitution&gt;Voies!O538-1,Volonté&gt;Voies!P538-1,Force&gt;Voies!Q538-1,Perception&gt;Voies!R538-1,Reflexes&gt;Voies!S538-1,Agilité&gt;Voies!T538-1,Intuition&gt;Voies!U538-1,Intelligence&gt;Voies!V538-1,Souillure&gt;Voies!W538-1,Honneur&gt;X538-1,Statut&gt;Y538-1,Gloire&gt;Z538-1,AV538=TRUE),Voies!B538,"")</f>
        <v/>
      </c>
      <c r="B538" s="162" t="s">
        <v>3489</v>
      </c>
      <c r="C538" s="162" t="b">
        <f>IF(Clan=Voies!D539,TRUE,FALSE)</f>
        <v>0</v>
      </c>
      <c r="D538" s="388" t="s">
        <v>184</v>
      </c>
      <c r="E538" s="13">
        <v>2</v>
      </c>
      <c r="F538" s="199">
        <v>2</v>
      </c>
      <c r="G538" s="13" t="s">
        <v>2049</v>
      </c>
      <c r="H538" s="219" t="s">
        <v>619</v>
      </c>
      <c r="I538" s="129" t="s">
        <v>3487</v>
      </c>
      <c r="J538" s="146">
        <v>0</v>
      </c>
      <c r="K538" s="147">
        <v>0</v>
      </c>
      <c r="L538" s="148">
        <v>0</v>
      </c>
      <c r="M538" s="149">
        <v>0</v>
      </c>
      <c r="N538" s="150">
        <v>0</v>
      </c>
      <c r="O538" s="130">
        <v>0</v>
      </c>
      <c r="P538" s="130">
        <v>0</v>
      </c>
      <c r="Q538" s="130">
        <v>0</v>
      </c>
      <c r="R538" s="130">
        <v>0</v>
      </c>
      <c r="S538" s="130">
        <v>0</v>
      </c>
      <c r="T538" s="130">
        <v>0</v>
      </c>
      <c r="U538" s="130">
        <v>0</v>
      </c>
      <c r="V538" s="524">
        <v>0</v>
      </c>
      <c r="W538" s="130">
        <v>0</v>
      </c>
      <c r="X538" s="130">
        <v>0</v>
      </c>
      <c r="Y538" s="130">
        <v>0</v>
      </c>
      <c r="Z538" s="130">
        <v>0</v>
      </c>
      <c r="AA538" s="159" t="s">
        <v>3488</v>
      </c>
      <c r="AB538" s="159" t="s">
        <v>1273</v>
      </c>
      <c r="AC538" s="159" t="s">
        <v>3215</v>
      </c>
      <c r="AD538" s="159">
        <v>3</v>
      </c>
      <c r="AE538" s="158" t="b">
        <f>IF(AB538="",TRUE,IF(IF(AC538="",VLOOKUP(AB538,Calculs!$A$19:$S$425,19,FALSE),VLOOKUP(AC538,Calculs!$A$19:$S$425,19,FALSE))&gt;=AD538,TRUE,FALSE))</f>
        <v>0</v>
      </c>
      <c r="AI538" s="158" t="b">
        <f>IF(AF538="",TRUE,IF(IF(AG538="",VLOOKUP(AF538,Calculs!$A$19:$S$425,19,FALSE),VLOOKUP(AG538,Calculs!$A$19:$S$425,19,FALSE))&gt;=AH538,TRUE,FALSE))</f>
        <v>1</v>
      </c>
      <c r="AM538" s="158" t="b">
        <f>IF(AJ538="",TRUE,IF(IF(AK538="",VLOOKUP(AJ538,Calculs!$A$19:$S$425,19,FALSE),VLOOKUP(AK538,Calculs!$A$19:$S$425,19,FALSE))&gt;=AL538,TRUE,FALSE))</f>
        <v>1</v>
      </c>
      <c r="AQ538" s="158" t="b">
        <f>IF(AN538="",TRUE,IF(IF(AO538="",VLOOKUP(AN538,Calculs!$A$19:$S$425,19,FALSE),VLOOKUP(AO538,Calculs!$A$19:$S$425,19,FALSE))&gt;=AP538,TRUE,FALSE))</f>
        <v>1</v>
      </c>
      <c r="AR538" s="158"/>
      <c r="AS538" s="158" t="b">
        <f>IF(AR538="",TRUE,IF(VLOOKUP(AR538,Calculs!$A$427:$G$738,7,FALSE)&gt;0,TRUE,FALSE))</f>
        <v>1</v>
      </c>
      <c r="AT538" s="158"/>
      <c r="AU538" s="158" t="b">
        <f>IF(AT538="",TRUE,IF(VLOOKUP(AT538,Calculs!$A$740:$G$912,7,FALSE)&gt;0,TRUE,FALSE))</f>
        <v>1</v>
      </c>
      <c r="AV538" s="158" t="b">
        <f t="shared" si="59"/>
        <v>0</v>
      </c>
      <c r="AW538" s="158" t="s">
        <v>2078</v>
      </c>
      <c r="AX538" s="162" t="s">
        <v>160</v>
      </c>
      <c r="AY538" s="15">
        <v>178</v>
      </c>
      <c r="AZ538" s="555" t="s">
        <v>8601</v>
      </c>
      <c r="BA538" s="559">
        <f>IF(Verso!$B$10=Voies!$B538,1,0)</f>
        <v>0</v>
      </c>
      <c r="BB538" s="12">
        <f>IF(Verso!$B$11=Voies!$B538,1,0)</f>
        <v>0</v>
      </c>
      <c r="BC538" s="12">
        <f>IF(Verso!$B$12=Voies!$B538,1,0)</f>
        <v>0</v>
      </c>
      <c r="BD538" s="12">
        <f>IF(Verso!$B$13=Voies!$B538,1,0)</f>
        <v>0</v>
      </c>
      <c r="BE538" s="12">
        <f>IF(Verso!$B$14=Voies!$B538,1,0)</f>
        <v>0</v>
      </c>
      <c r="BF538" s="12">
        <f>IF(Verso!$B$15=Voies!$B538,1,0)</f>
        <v>0</v>
      </c>
      <c r="BG538" s="12">
        <f>IF(Verso!$B$16=Voies!$B538,1,0)</f>
        <v>0</v>
      </c>
      <c r="BH538" s="12">
        <f>IF(Verso!$B$17=Voies!$B538,1,0)</f>
        <v>0</v>
      </c>
      <c r="BI538" s="557">
        <f t="shared" si="60"/>
        <v>0</v>
      </c>
      <c r="BJ538" s="196" t="str">
        <f t="shared" si="61"/>
        <v/>
      </c>
      <c r="BK538" s="196" t="str">
        <f t="shared" si="62"/>
        <v/>
      </c>
      <c r="BL538" s="295" t="str">
        <f t="shared" si="63"/>
        <v/>
      </c>
    </row>
    <row r="539" spans="1:65" ht="47.25" customHeight="1" x14ac:dyDescent="0.25">
      <c r="A539" s="162" t="str">
        <f>IF(AND(Réputation&gt;Voies!E539-1,OR(C539=TRUE,Calculs!$I$8&gt;0),Air&gt;Voies!J539-1,Eau&gt;Voies!K539-1,Feu&gt;Voies!L539-1,Terre&gt;Voies!M539-1,Vide&gt;Voies!N539-1,Constitution&gt;Voies!O539-1,Volonté&gt;Voies!P539-1,Force&gt;Voies!Q539-1,Perception&gt;Voies!R539-1,Reflexes&gt;Voies!S539-1,Agilité&gt;Voies!T539-1,Intuition&gt;Voies!U539-1,Intelligence&gt;Voies!V539-1,Souillure&gt;Voies!W539-1,Honneur&gt;X539-1,Statut&gt;Y539-1,Gloire&gt;Z539-1,AV539=TRUE),Voies!B539,"")</f>
        <v/>
      </c>
      <c r="B539" s="162" t="s">
        <v>7869</v>
      </c>
      <c r="C539" s="162" t="b">
        <f>IF(Clan=Voies!D540,TRUE,FALSE)</f>
        <v>0</v>
      </c>
      <c r="D539" s="388" t="s">
        <v>184</v>
      </c>
      <c r="E539" s="199">
        <v>2</v>
      </c>
      <c r="F539" s="199">
        <v>2</v>
      </c>
      <c r="G539" s="199" t="s">
        <v>2049</v>
      </c>
      <c r="H539" s="162" t="s">
        <v>7806</v>
      </c>
      <c r="I539" s="129" t="str">
        <f t="shared" ref="I539:I562" si="64">IF(B539="","","Rien")</f>
        <v>Rien</v>
      </c>
      <c r="J539" s="146">
        <v>0</v>
      </c>
      <c r="K539" s="147">
        <v>0</v>
      </c>
      <c r="L539" s="148">
        <v>0</v>
      </c>
      <c r="M539" s="149">
        <v>0</v>
      </c>
      <c r="N539" s="150">
        <v>0</v>
      </c>
      <c r="O539" s="130">
        <v>0</v>
      </c>
      <c r="P539" s="130">
        <v>0</v>
      </c>
      <c r="Q539" s="130">
        <v>0</v>
      </c>
      <c r="R539" s="130">
        <v>0</v>
      </c>
      <c r="S539" s="130">
        <v>0</v>
      </c>
      <c r="T539" s="130">
        <v>0</v>
      </c>
      <c r="U539" s="130">
        <v>0</v>
      </c>
      <c r="V539" s="524">
        <v>0</v>
      </c>
      <c r="W539" s="130">
        <v>0</v>
      </c>
      <c r="X539" s="130">
        <v>0</v>
      </c>
      <c r="Y539" s="130">
        <v>0</v>
      </c>
      <c r="Z539" s="130">
        <v>0</v>
      </c>
      <c r="AA539" s="158" t="s">
        <v>2078</v>
      </c>
      <c r="AB539" s="158"/>
      <c r="AC539" s="158"/>
      <c r="AD539" s="158"/>
      <c r="AE539" s="158" t="b">
        <f>IF(AB539="",TRUE,IF(IF(AC539="",VLOOKUP(AB539,Calculs!$A$19:$S$425,19,FALSE),VLOOKUP(AC539,Calculs!$A$19:$S$425,19,FALSE))&gt;=AD539,TRUE,FALSE))</f>
        <v>1</v>
      </c>
      <c r="AF539" s="158"/>
      <c r="AG539" s="158"/>
      <c r="AH539" s="158"/>
      <c r="AI539" s="158" t="b">
        <f>IF(AF539="",TRUE,IF(IF(AG539="",VLOOKUP(AF539,Calculs!$A$19:$S$425,19,FALSE),VLOOKUP(AG539,Calculs!$A$19:$S$425,19,FALSE))&gt;=AH539,TRUE,FALSE))</f>
        <v>1</v>
      </c>
      <c r="AJ539" s="158"/>
      <c r="AK539" s="158"/>
      <c r="AL539" s="158"/>
      <c r="AM539" s="158" t="b">
        <f>IF(AJ539="",TRUE,IF(IF(AK539="",VLOOKUP(AJ539,Calculs!$A$19:$S$425,19,FALSE),VLOOKUP(AK539,Calculs!$A$19:$S$425,19,FALSE))&gt;=AL539,TRUE,FALSE))</f>
        <v>1</v>
      </c>
      <c r="AN539" s="158"/>
      <c r="AO539" s="158"/>
      <c r="AP539" s="158"/>
      <c r="AQ539" s="158" t="b">
        <f>IF(AN539="",TRUE,IF(IF(AO539="",VLOOKUP(AN539,Calculs!$A$19:$S$425,19,FALSE),VLOOKUP(AO539,Calculs!$A$19:$S$425,19,FALSE))&gt;=AP539,TRUE,FALSE))</f>
        <v>1</v>
      </c>
      <c r="AR539" s="158"/>
      <c r="AS539" s="158" t="b">
        <f>IF(AR539="",TRUE,IF(VLOOKUP(AR539,Calculs!$A$427:$G$738,7,FALSE)&gt;0,TRUE,FALSE))</f>
        <v>1</v>
      </c>
      <c r="AT539" s="158"/>
      <c r="AU539" s="158" t="b">
        <f>IF(AT539="",TRUE,IF(VLOOKUP(AT539,Calculs!$A$740:$G$912,7,FALSE)&gt;0,TRUE,FALSE))</f>
        <v>1</v>
      </c>
      <c r="AV539" s="158" t="b">
        <f t="shared" si="59"/>
        <v>1</v>
      </c>
      <c r="AW539" s="158" t="s">
        <v>2078</v>
      </c>
      <c r="AX539" s="162" t="s">
        <v>7226</v>
      </c>
      <c r="AY539" s="15">
        <v>71</v>
      </c>
      <c r="AZ539" s="555" t="s">
        <v>8602</v>
      </c>
      <c r="BA539" s="559">
        <f>IF(Verso!$B$10=Voies!$B539,1,0)</f>
        <v>0</v>
      </c>
      <c r="BB539" s="12">
        <f>IF(Verso!$B$11=Voies!$B539,1,0)</f>
        <v>0</v>
      </c>
      <c r="BC539" s="12">
        <f>IF(Verso!$B$12=Voies!$B539,1,0)</f>
        <v>0</v>
      </c>
      <c r="BD539" s="12">
        <f>IF(Verso!$B$13=Voies!$B539,1,0)</f>
        <v>0</v>
      </c>
      <c r="BE539" s="12">
        <f>IF(Verso!$B$14=Voies!$B539,1,0)</f>
        <v>0</v>
      </c>
      <c r="BF539" s="12">
        <f>IF(Verso!$B$15=Voies!$B539,1,0)</f>
        <v>0</v>
      </c>
      <c r="BG539" s="12">
        <f>IF(Verso!$B$16=Voies!$B539,1,0)</f>
        <v>0</v>
      </c>
      <c r="BH539" s="12">
        <f>IF(Verso!$B$17=Voies!$B539,1,0)</f>
        <v>0</v>
      </c>
      <c r="BI539" s="557">
        <f t="shared" si="60"/>
        <v>0</v>
      </c>
      <c r="BJ539" s="196" t="str">
        <f t="shared" si="61"/>
        <v/>
      </c>
      <c r="BK539" s="196" t="str">
        <f t="shared" si="62"/>
        <v/>
      </c>
      <c r="BL539" s="295" t="str">
        <f t="shared" si="63"/>
        <v/>
      </c>
    </row>
    <row r="540" spans="1:65" ht="47.25" customHeight="1" x14ac:dyDescent="0.25">
      <c r="A540" s="162" t="str">
        <f>IF(AND(Réputation&gt;Voies!E540-1,OR(C540=TRUE,Calculs!$I$8&gt;0),Air&gt;Voies!J540-1,Eau&gt;Voies!K540-1,Feu&gt;Voies!L540-1,Terre&gt;Voies!M540-1,Vide&gt;Voies!N540-1,Constitution&gt;Voies!O540-1,Volonté&gt;Voies!P540-1,Force&gt;Voies!Q540-1,Perception&gt;Voies!R540-1,Reflexes&gt;Voies!S540-1,Agilité&gt;Voies!T540-1,Intuition&gt;Voies!U540-1,Intelligence&gt;Voies!V540-1,Souillure&gt;Voies!W540-1,Honneur&gt;X540-1,Statut&gt;Y540-1,Gloire&gt;Z540-1,AV540=TRUE),Voies!B540,"")</f>
        <v/>
      </c>
      <c r="B540" s="162" t="s">
        <v>2162</v>
      </c>
      <c r="C540" s="162" t="b">
        <f>IF(Clan=Voies!D541,TRUE,FALSE)</f>
        <v>0</v>
      </c>
      <c r="D540" s="388" t="s">
        <v>184</v>
      </c>
      <c r="E540" s="13">
        <v>3</v>
      </c>
      <c r="F540" s="199">
        <v>3</v>
      </c>
      <c r="G540" s="13" t="s">
        <v>2049</v>
      </c>
      <c r="H540" s="219" t="s">
        <v>408</v>
      </c>
      <c r="I540" s="129" t="str">
        <f t="shared" si="64"/>
        <v>Rien</v>
      </c>
      <c r="J540" s="146">
        <v>0</v>
      </c>
      <c r="K540" s="147">
        <v>0</v>
      </c>
      <c r="L540" s="148">
        <v>0</v>
      </c>
      <c r="M540" s="149">
        <v>0</v>
      </c>
      <c r="N540" s="150">
        <v>0</v>
      </c>
      <c r="O540" s="130">
        <v>0</v>
      </c>
      <c r="P540" s="130">
        <v>0</v>
      </c>
      <c r="Q540" s="130">
        <v>0</v>
      </c>
      <c r="R540" s="130">
        <v>0</v>
      </c>
      <c r="S540" s="130">
        <v>0</v>
      </c>
      <c r="T540" s="130">
        <v>0</v>
      </c>
      <c r="U540" s="130">
        <v>0</v>
      </c>
      <c r="V540" s="524">
        <v>0</v>
      </c>
      <c r="W540" s="130">
        <v>0</v>
      </c>
      <c r="X540" s="130">
        <v>0</v>
      </c>
      <c r="Y540" s="130">
        <v>0</v>
      </c>
      <c r="Z540" s="130">
        <v>0</v>
      </c>
      <c r="AA540" s="158" t="s">
        <v>2078</v>
      </c>
      <c r="AB540" s="158"/>
      <c r="AC540" s="158"/>
      <c r="AD540" s="158"/>
      <c r="AE540" s="158" t="b">
        <f>IF(AB540="",TRUE,IF(IF(AC540="",VLOOKUP(AB540,Calculs!$A$19:$S$425,19,FALSE),VLOOKUP(AC540,Calculs!$A$19:$S$425,19,FALSE))&gt;=AD540,TRUE,FALSE))</f>
        <v>1</v>
      </c>
      <c r="AF540" s="158"/>
      <c r="AG540" s="158"/>
      <c r="AH540" s="158"/>
      <c r="AI540" s="158" t="b">
        <f>IF(AF540="",TRUE,IF(IF(AG540="",VLOOKUP(AF540,Calculs!$A$19:$S$425,19,FALSE),VLOOKUP(AG540,Calculs!$A$19:$S$425,19,FALSE))&gt;=AH540,TRUE,FALSE))</f>
        <v>1</v>
      </c>
      <c r="AJ540" s="158"/>
      <c r="AK540" s="158"/>
      <c r="AL540" s="158"/>
      <c r="AM540" s="158" t="b">
        <f>IF(AJ540="",TRUE,IF(IF(AK540="",VLOOKUP(AJ540,Calculs!$A$19:$S$425,19,FALSE),VLOOKUP(AK540,Calculs!$A$19:$S$425,19,FALSE))&gt;=AL540,TRUE,FALSE))</f>
        <v>1</v>
      </c>
      <c r="AN540" s="158"/>
      <c r="AO540" s="158"/>
      <c r="AP540" s="158"/>
      <c r="AQ540" s="158" t="b">
        <f>IF(AN540="",TRUE,IF(IF(AO540="",VLOOKUP(AN540,Calculs!$A$19:$S$425,19,FALSE),VLOOKUP(AO540,Calculs!$A$19:$S$425,19,FALSE))&gt;=AP540,TRUE,FALSE))</f>
        <v>1</v>
      </c>
      <c r="AR540" s="158"/>
      <c r="AS540" s="158" t="b">
        <f>IF(AR540="",TRUE,IF(VLOOKUP(AR540,Calculs!$A$427:$G$738,7,FALSE)&gt;0,TRUE,FALSE))</f>
        <v>1</v>
      </c>
      <c r="AT540" s="158"/>
      <c r="AU540" s="158" t="b">
        <f>IF(AT540="",TRUE,IF(VLOOKUP(AT540,Calculs!$A$740:$G$912,7,FALSE)&gt;0,TRUE,FALSE))</f>
        <v>1</v>
      </c>
      <c r="AV540" s="158" t="b">
        <f t="shared" si="59"/>
        <v>1</v>
      </c>
      <c r="AW540" s="158" t="s">
        <v>2078</v>
      </c>
      <c r="AX540" s="162" t="s">
        <v>3</v>
      </c>
      <c r="AY540" s="15">
        <v>220</v>
      </c>
      <c r="AZ540" s="555" t="s">
        <v>7871</v>
      </c>
      <c r="BA540" s="559">
        <f>IF(Verso!$B$10=Voies!$B540,1,0)</f>
        <v>0</v>
      </c>
      <c r="BB540" s="12">
        <f>IF(Verso!$B$11=Voies!$B540,1,0)</f>
        <v>0</v>
      </c>
      <c r="BC540" s="12">
        <f>IF(Verso!$B$12=Voies!$B540,1,0)</f>
        <v>0</v>
      </c>
      <c r="BD540" s="12">
        <f>IF(Verso!$B$13=Voies!$B540,1,0)</f>
        <v>0</v>
      </c>
      <c r="BE540" s="12">
        <f>IF(Verso!$B$14=Voies!$B540,1,0)</f>
        <v>0</v>
      </c>
      <c r="BF540" s="12">
        <f>IF(Verso!$B$15=Voies!$B540,1,0)</f>
        <v>0</v>
      </c>
      <c r="BG540" s="12">
        <f>IF(Verso!$B$16=Voies!$B540,1,0)</f>
        <v>0</v>
      </c>
      <c r="BH540" s="12">
        <f>IF(Verso!$B$17=Voies!$B540,1,0)</f>
        <v>0</v>
      </c>
      <c r="BI540" s="557">
        <f t="shared" si="60"/>
        <v>0</v>
      </c>
      <c r="BJ540" s="196" t="str">
        <f t="shared" si="61"/>
        <v/>
      </c>
      <c r="BK540" s="196" t="str">
        <f t="shared" si="62"/>
        <v/>
      </c>
      <c r="BL540" s="295" t="str">
        <f t="shared" si="63"/>
        <v/>
      </c>
    </row>
    <row r="541" spans="1:65" ht="47.25" customHeight="1" x14ac:dyDescent="0.25">
      <c r="A541" s="162" t="str">
        <f>IF(AND(Réputation&gt;Voies!E541-1,OR(C541=TRUE,Calculs!$I$8&gt;0),Air&gt;Voies!J541-1,Eau&gt;Voies!K541-1,Feu&gt;Voies!L541-1,Terre&gt;Voies!M541-1,Vide&gt;Voies!N541-1,Constitution&gt;Voies!O541-1,Volonté&gt;Voies!P541-1,Force&gt;Voies!Q541-1,Perception&gt;Voies!R541-1,Reflexes&gt;Voies!S541-1,Agilité&gt;Voies!T541-1,Intuition&gt;Voies!U541-1,Intelligence&gt;Voies!V541-1,Souillure&gt;Voies!W541-1,Honneur&gt;X541-1,Statut&gt;Y541-1,Gloire&gt;Z541-1,AV541=TRUE),Voies!B541,"")</f>
        <v/>
      </c>
      <c r="B541" s="162" t="s">
        <v>7866</v>
      </c>
      <c r="C541" s="162" t="b">
        <f>IF(Clan=Voies!D542,TRUE,FALSE)</f>
        <v>0</v>
      </c>
      <c r="D541" s="388" t="s">
        <v>184</v>
      </c>
      <c r="E541" s="13">
        <v>3</v>
      </c>
      <c r="F541" s="199">
        <v>3</v>
      </c>
      <c r="G541" s="13" t="s">
        <v>2049</v>
      </c>
      <c r="H541" s="162" t="s">
        <v>7806</v>
      </c>
      <c r="I541" s="129" t="str">
        <f t="shared" si="64"/>
        <v>Rien</v>
      </c>
      <c r="J541" s="146">
        <v>0</v>
      </c>
      <c r="K541" s="147">
        <v>0</v>
      </c>
      <c r="L541" s="148">
        <v>0</v>
      </c>
      <c r="M541" s="149">
        <v>0</v>
      </c>
      <c r="N541" s="150">
        <v>0</v>
      </c>
      <c r="O541" s="130">
        <v>0</v>
      </c>
      <c r="P541" s="130">
        <v>0</v>
      </c>
      <c r="Q541" s="130">
        <v>0</v>
      </c>
      <c r="R541" s="130">
        <v>0</v>
      </c>
      <c r="S541" s="130">
        <v>0</v>
      </c>
      <c r="T541" s="130">
        <v>0</v>
      </c>
      <c r="U541" s="130">
        <v>0</v>
      </c>
      <c r="V541" s="524">
        <v>0</v>
      </c>
      <c r="W541" s="130">
        <v>0</v>
      </c>
      <c r="X541" s="130">
        <v>0</v>
      </c>
      <c r="Y541" s="130">
        <v>0</v>
      </c>
      <c r="Z541" s="130">
        <v>0</v>
      </c>
      <c r="AA541" s="158" t="s">
        <v>2078</v>
      </c>
      <c r="AB541" s="158"/>
      <c r="AC541" s="158"/>
      <c r="AD541" s="158"/>
      <c r="AE541" s="158" t="b">
        <f>IF(AB541="",TRUE,IF(IF(AC541="",VLOOKUP(AB541,Calculs!$A$19:$S$425,19,FALSE),VLOOKUP(AC541,Calculs!$A$19:$S$425,19,FALSE))&gt;=AD541,TRUE,FALSE))</f>
        <v>1</v>
      </c>
      <c r="AF541" s="158"/>
      <c r="AG541" s="158"/>
      <c r="AH541" s="158"/>
      <c r="AI541" s="158" t="b">
        <f>IF(AF541="",TRUE,IF(IF(AG541="",VLOOKUP(AF541,Calculs!$A$19:$S$425,19,FALSE),VLOOKUP(AG541,Calculs!$A$19:$S$425,19,FALSE))&gt;=AH541,TRUE,FALSE))</f>
        <v>1</v>
      </c>
      <c r="AJ541" s="158"/>
      <c r="AK541" s="158"/>
      <c r="AL541" s="158"/>
      <c r="AM541" s="158" t="b">
        <f>IF(AJ541="",TRUE,IF(IF(AK541="",VLOOKUP(AJ541,Calculs!$A$19:$S$425,19,FALSE),VLOOKUP(AK541,Calculs!$A$19:$S$425,19,FALSE))&gt;=AL541,TRUE,FALSE))</f>
        <v>1</v>
      </c>
      <c r="AN541" s="158"/>
      <c r="AO541" s="158"/>
      <c r="AP541" s="158"/>
      <c r="AQ541" s="158" t="b">
        <f>IF(AN541="",TRUE,IF(IF(AO541="",VLOOKUP(AN541,Calculs!$A$19:$S$425,19,FALSE),VLOOKUP(AO541,Calculs!$A$19:$S$425,19,FALSE))&gt;=AP541,TRUE,FALSE))</f>
        <v>1</v>
      </c>
      <c r="AR541" s="158"/>
      <c r="AS541" s="158" t="b">
        <f>IF(AR541="",TRUE,IF(VLOOKUP(AR541,Calculs!$A$427:$G$738,7,FALSE)&gt;0,TRUE,FALSE))</f>
        <v>1</v>
      </c>
      <c r="AT541" s="158"/>
      <c r="AU541" s="158" t="b">
        <f>IF(AT541="",TRUE,IF(VLOOKUP(AT541,Calculs!$A$740:$G$912,7,FALSE)&gt;0,TRUE,FALSE))</f>
        <v>1</v>
      </c>
      <c r="AV541" s="158" t="b">
        <f t="shared" si="59"/>
        <v>1</v>
      </c>
      <c r="AW541" s="158" t="s">
        <v>2078</v>
      </c>
      <c r="AX541" s="162" t="s">
        <v>7226</v>
      </c>
      <c r="AY541" s="15">
        <v>71</v>
      </c>
      <c r="AZ541" s="555" t="s">
        <v>7870</v>
      </c>
      <c r="BA541" s="559">
        <f>IF(Verso!$B$10=Voies!$B541,1,0)</f>
        <v>0</v>
      </c>
      <c r="BB541" s="12">
        <f>IF(Verso!$B$11=Voies!$B541,1,0)</f>
        <v>0</v>
      </c>
      <c r="BC541" s="12">
        <f>IF(Verso!$B$12=Voies!$B541,1,0)</f>
        <v>0</v>
      </c>
      <c r="BD541" s="12">
        <f>IF(Verso!$B$13=Voies!$B541,1,0)</f>
        <v>0</v>
      </c>
      <c r="BE541" s="12">
        <f>IF(Verso!$B$14=Voies!$B541,1,0)</f>
        <v>0</v>
      </c>
      <c r="BF541" s="12">
        <f>IF(Verso!$B$15=Voies!$B541,1,0)</f>
        <v>0</v>
      </c>
      <c r="BG541" s="12">
        <f>IF(Verso!$B$16=Voies!$B541,1,0)</f>
        <v>0</v>
      </c>
      <c r="BH541" s="12">
        <f>IF(Verso!$B$17=Voies!$B541,1,0)</f>
        <v>0</v>
      </c>
      <c r="BI541" s="557">
        <f t="shared" si="60"/>
        <v>0</v>
      </c>
      <c r="BJ541" s="196" t="str">
        <f t="shared" si="61"/>
        <v/>
      </c>
      <c r="BK541" s="196" t="str">
        <f t="shared" si="62"/>
        <v/>
      </c>
      <c r="BL541" s="295" t="str">
        <f t="shared" si="63"/>
        <v/>
      </c>
    </row>
    <row r="542" spans="1:65" ht="47.25" customHeight="1" x14ac:dyDescent="0.25">
      <c r="A542" s="162" t="str">
        <f>IF(AND(Réputation&gt;Voies!E542-1,OR(C542=TRUE,Calculs!$I$8&gt;0),Air&gt;Voies!J542-1,Eau&gt;Voies!K542-1,Feu&gt;Voies!L542-1,Terre&gt;Voies!M542-1,Vide&gt;Voies!N542-1,Constitution&gt;Voies!O542-1,Volonté&gt;Voies!P542-1,Force&gt;Voies!Q542-1,Perception&gt;Voies!R542-1,Reflexes&gt;Voies!S542-1,Agilité&gt;Voies!T542-1,Intuition&gt;Voies!U542-1,Intelligence&gt;Voies!V542-1,Souillure&gt;Voies!W542-1,Honneur&gt;X542-1,Statut&gt;Y542-1,Gloire&gt;Z542-1,AV542=TRUE),Voies!B542,"")</f>
        <v/>
      </c>
      <c r="B542" s="162" t="s">
        <v>2163</v>
      </c>
      <c r="C542" s="162" t="b">
        <f>IF(Clan=Voies!D543,TRUE,FALSE)</f>
        <v>0</v>
      </c>
      <c r="D542" s="388" t="s">
        <v>184</v>
      </c>
      <c r="E542" s="199">
        <v>4</v>
      </c>
      <c r="F542" s="199">
        <v>4</v>
      </c>
      <c r="G542" s="199" t="s">
        <v>2049</v>
      </c>
      <c r="H542" s="219" t="s">
        <v>408</v>
      </c>
      <c r="I542" s="129" t="str">
        <f t="shared" si="64"/>
        <v>Rien</v>
      </c>
      <c r="J542" s="146">
        <v>0</v>
      </c>
      <c r="K542" s="147">
        <v>0</v>
      </c>
      <c r="L542" s="148">
        <v>0</v>
      </c>
      <c r="M542" s="149">
        <v>0</v>
      </c>
      <c r="N542" s="150">
        <v>0</v>
      </c>
      <c r="O542" s="130">
        <v>0</v>
      </c>
      <c r="P542" s="130">
        <v>0</v>
      </c>
      <c r="Q542" s="130">
        <v>0</v>
      </c>
      <c r="R542" s="130">
        <v>0</v>
      </c>
      <c r="S542" s="130">
        <v>0</v>
      </c>
      <c r="T542" s="130">
        <v>0</v>
      </c>
      <c r="U542" s="130">
        <v>0</v>
      </c>
      <c r="V542" s="524">
        <v>0</v>
      </c>
      <c r="W542" s="130">
        <v>0</v>
      </c>
      <c r="X542" s="130">
        <v>0</v>
      </c>
      <c r="Y542" s="130">
        <v>0</v>
      </c>
      <c r="Z542" s="130">
        <v>0</v>
      </c>
      <c r="AA542" s="158" t="s">
        <v>2078</v>
      </c>
      <c r="AB542" s="158"/>
      <c r="AC542" s="158"/>
      <c r="AD542" s="158"/>
      <c r="AE542" s="158" t="b">
        <f>IF(AB542="",TRUE,IF(IF(AC542="",VLOOKUP(AB542,Calculs!$A$19:$S$425,19,FALSE),VLOOKUP(AC542,Calculs!$A$19:$S$425,19,FALSE))&gt;=AD542,TRUE,FALSE))</f>
        <v>1</v>
      </c>
      <c r="AF542" s="158"/>
      <c r="AG542" s="158"/>
      <c r="AH542" s="158"/>
      <c r="AI542" s="158" t="b">
        <f>IF(AF542="",TRUE,IF(IF(AG542="",VLOOKUP(AF542,Calculs!$A$19:$S$425,19,FALSE),VLOOKUP(AG542,Calculs!$A$19:$S$425,19,FALSE))&gt;=AH542,TRUE,FALSE))</f>
        <v>1</v>
      </c>
      <c r="AJ542" s="158"/>
      <c r="AK542" s="158"/>
      <c r="AL542" s="158"/>
      <c r="AM542" s="158" t="b">
        <f>IF(AJ542="",TRUE,IF(IF(AK542="",VLOOKUP(AJ542,Calculs!$A$19:$S$425,19,FALSE),VLOOKUP(AK542,Calculs!$A$19:$S$425,19,FALSE))&gt;=AL542,TRUE,FALSE))</f>
        <v>1</v>
      </c>
      <c r="AN542" s="158"/>
      <c r="AO542" s="158"/>
      <c r="AP542" s="158"/>
      <c r="AQ542" s="158" t="b">
        <f>IF(AN542="",TRUE,IF(IF(AO542="",VLOOKUP(AN542,Calculs!$A$19:$S$425,19,FALSE),VLOOKUP(AO542,Calculs!$A$19:$S$425,19,FALSE))&gt;=AP542,TRUE,FALSE))</f>
        <v>1</v>
      </c>
      <c r="AR542" s="158"/>
      <c r="AS542" s="158" t="b">
        <f>IF(AR542="",TRUE,IF(VLOOKUP(AR542,Calculs!$A$427:$G$738,7,FALSE)&gt;0,TRUE,FALSE))</f>
        <v>1</v>
      </c>
      <c r="AT542" s="158"/>
      <c r="AU542" s="158" t="b">
        <f>IF(AT542="",TRUE,IF(VLOOKUP(AT542,Calculs!$A$740:$G$912,7,FALSE)&gt;0,TRUE,FALSE))</f>
        <v>1</v>
      </c>
      <c r="AV542" s="158" t="b">
        <f t="shared" si="59"/>
        <v>1</v>
      </c>
      <c r="AW542" s="158" t="s">
        <v>2078</v>
      </c>
      <c r="AX542" s="162" t="s">
        <v>3</v>
      </c>
      <c r="AY542" s="15">
        <v>220</v>
      </c>
      <c r="AZ542" s="555" t="s">
        <v>8603</v>
      </c>
      <c r="BA542" s="559">
        <f>IF(Verso!$B$10=Voies!$B542,1,0)</f>
        <v>0</v>
      </c>
      <c r="BB542" s="12">
        <f>IF(Verso!$B$11=Voies!$B542,1,0)</f>
        <v>0</v>
      </c>
      <c r="BC542" s="12">
        <f>IF(Verso!$B$12=Voies!$B542,1,0)</f>
        <v>0</v>
      </c>
      <c r="BD542" s="12">
        <f>IF(Verso!$B$13=Voies!$B542,1,0)</f>
        <v>0</v>
      </c>
      <c r="BE542" s="12">
        <f>IF(Verso!$B$14=Voies!$B542,1,0)</f>
        <v>0</v>
      </c>
      <c r="BF542" s="12">
        <f>IF(Verso!$B$15=Voies!$B542,1,0)</f>
        <v>0</v>
      </c>
      <c r="BG542" s="12">
        <f>IF(Verso!$B$16=Voies!$B542,1,0)</f>
        <v>0</v>
      </c>
      <c r="BH542" s="12">
        <f>IF(Verso!$B$17=Voies!$B542,1,0)</f>
        <v>0</v>
      </c>
      <c r="BI542" s="557">
        <f t="shared" si="60"/>
        <v>0</v>
      </c>
      <c r="BJ542" s="196" t="str">
        <f t="shared" si="61"/>
        <v/>
      </c>
      <c r="BK542" s="196" t="str">
        <f t="shared" si="62"/>
        <v/>
      </c>
      <c r="BL542" s="295" t="str">
        <f t="shared" si="63"/>
        <v/>
      </c>
    </row>
    <row r="543" spans="1:65" ht="47.25" customHeight="1" x14ac:dyDescent="0.25">
      <c r="A543" s="162" t="str">
        <f>IF(AND(Réputation&gt;Voies!E543-1,OR(C543=TRUE,Calculs!$I$8&gt;0),Air&gt;Voies!J543-1,Eau&gt;Voies!K543-1,Feu&gt;Voies!L543-1,Terre&gt;Voies!M543-1,Vide&gt;Voies!N543-1,Constitution&gt;Voies!O543-1,Volonté&gt;Voies!P543-1,Force&gt;Voies!Q543-1,Perception&gt;Voies!R543-1,Reflexes&gt;Voies!S543-1,Agilité&gt;Voies!T543-1,Intuition&gt;Voies!U543-1,Intelligence&gt;Voies!V543-1,Souillure&gt;Voies!W543-1,Honneur&gt;X543-1,Statut&gt;Y543-1,Gloire&gt;Z543-1,AV543=TRUE),Voies!B543,"")</f>
        <v/>
      </c>
      <c r="B543" s="162" t="s">
        <v>7867</v>
      </c>
      <c r="C543" s="162" t="b">
        <f>IF(Clan=Voies!D544,TRUE,FALSE)</f>
        <v>0</v>
      </c>
      <c r="D543" s="388" t="s">
        <v>184</v>
      </c>
      <c r="E543" s="199">
        <v>4</v>
      </c>
      <c r="F543" s="199">
        <v>4</v>
      </c>
      <c r="G543" s="199" t="s">
        <v>2049</v>
      </c>
      <c r="H543" s="162" t="s">
        <v>7806</v>
      </c>
      <c r="I543" s="129" t="str">
        <f t="shared" si="64"/>
        <v>Rien</v>
      </c>
      <c r="J543" s="146">
        <v>0</v>
      </c>
      <c r="K543" s="147">
        <v>0</v>
      </c>
      <c r="L543" s="148">
        <v>0</v>
      </c>
      <c r="M543" s="149">
        <v>0</v>
      </c>
      <c r="N543" s="150">
        <v>0</v>
      </c>
      <c r="O543" s="130">
        <v>0</v>
      </c>
      <c r="P543" s="130">
        <v>0</v>
      </c>
      <c r="Q543" s="130">
        <v>0</v>
      </c>
      <c r="R543" s="130">
        <v>0</v>
      </c>
      <c r="S543" s="130">
        <v>0</v>
      </c>
      <c r="T543" s="130">
        <v>0</v>
      </c>
      <c r="U543" s="130">
        <v>0</v>
      </c>
      <c r="V543" s="524">
        <v>0</v>
      </c>
      <c r="W543" s="130">
        <v>0</v>
      </c>
      <c r="X543" s="130">
        <v>0</v>
      </c>
      <c r="Y543" s="130">
        <v>0</v>
      </c>
      <c r="Z543" s="130">
        <v>0</v>
      </c>
      <c r="AA543" s="158" t="s">
        <v>2078</v>
      </c>
      <c r="AB543" s="158"/>
      <c r="AC543" s="158"/>
      <c r="AD543" s="158"/>
      <c r="AE543" s="158" t="b">
        <f>IF(AB543="",TRUE,IF(IF(AC543="",VLOOKUP(AB543,Calculs!$A$19:$S$425,19,FALSE),VLOOKUP(AC543,Calculs!$A$19:$S$425,19,FALSE))&gt;=AD543,TRUE,FALSE))</f>
        <v>1</v>
      </c>
      <c r="AF543" s="158"/>
      <c r="AG543" s="158"/>
      <c r="AH543" s="158"/>
      <c r="AI543" s="158" t="b">
        <f>IF(AF543="",TRUE,IF(IF(AG543="",VLOOKUP(AF543,Calculs!$A$19:$S$425,19,FALSE),VLOOKUP(AG543,Calculs!$A$19:$S$425,19,FALSE))&gt;=AH543,TRUE,FALSE))</f>
        <v>1</v>
      </c>
      <c r="AJ543" s="158"/>
      <c r="AK543" s="158"/>
      <c r="AL543" s="158"/>
      <c r="AM543" s="158" t="b">
        <f>IF(AJ543="",TRUE,IF(IF(AK543="",VLOOKUP(AJ543,Calculs!$A$19:$S$425,19,FALSE),VLOOKUP(AK543,Calculs!$A$19:$S$425,19,FALSE))&gt;=AL543,TRUE,FALSE))</f>
        <v>1</v>
      </c>
      <c r="AN543" s="158"/>
      <c r="AO543" s="158"/>
      <c r="AP543" s="158"/>
      <c r="AQ543" s="158" t="b">
        <f>IF(AN543="",TRUE,IF(IF(AO543="",VLOOKUP(AN543,Calculs!$A$19:$S$425,19,FALSE),VLOOKUP(AO543,Calculs!$A$19:$S$425,19,FALSE))&gt;=AP543,TRUE,FALSE))</f>
        <v>1</v>
      </c>
      <c r="AR543" s="158"/>
      <c r="AS543" s="158" t="b">
        <f>IF(AR543="",TRUE,IF(VLOOKUP(AR543,Calculs!$A$427:$G$738,7,FALSE)&gt;0,TRUE,FALSE))</f>
        <v>1</v>
      </c>
      <c r="AT543" s="158"/>
      <c r="AU543" s="158" t="b">
        <f>IF(AT543="",TRUE,IF(VLOOKUP(AT543,Calculs!$A$740:$G$912,7,FALSE)&gt;0,TRUE,FALSE))</f>
        <v>1</v>
      </c>
      <c r="AV543" s="158" t="b">
        <f t="shared" si="59"/>
        <v>1</v>
      </c>
      <c r="AW543" s="158" t="s">
        <v>2078</v>
      </c>
      <c r="AX543" s="162" t="s">
        <v>7226</v>
      </c>
      <c r="AY543" s="15">
        <v>71</v>
      </c>
      <c r="AZ543" s="555" t="s">
        <v>8604</v>
      </c>
      <c r="BA543" s="559">
        <f>IF(Verso!$B$10=Voies!$B543,1,0)</f>
        <v>0</v>
      </c>
      <c r="BB543" s="12">
        <f>IF(Verso!$B$11=Voies!$B543,1,0)</f>
        <v>0</v>
      </c>
      <c r="BC543" s="12">
        <f>IF(Verso!$B$12=Voies!$B543,1,0)</f>
        <v>0</v>
      </c>
      <c r="BD543" s="12">
        <f>IF(Verso!$B$13=Voies!$B543,1,0)</f>
        <v>0</v>
      </c>
      <c r="BE543" s="12">
        <f>IF(Verso!$B$14=Voies!$B543,1,0)</f>
        <v>0</v>
      </c>
      <c r="BF543" s="12">
        <f>IF(Verso!$B$15=Voies!$B543,1,0)</f>
        <v>0</v>
      </c>
      <c r="BG543" s="12">
        <f>IF(Verso!$B$16=Voies!$B543,1,0)</f>
        <v>0</v>
      </c>
      <c r="BH543" s="12">
        <f>IF(Verso!$B$17=Voies!$B543,1,0)</f>
        <v>0</v>
      </c>
      <c r="BI543" s="557">
        <f t="shared" si="60"/>
        <v>0</v>
      </c>
      <c r="BJ543" s="196" t="str">
        <f t="shared" si="61"/>
        <v/>
      </c>
      <c r="BK543" s="196" t="str">
        <f t="shared" si="62"/>
        <v/>
      </c>
      <c r="BL543" s="295" t="str">
        <f t="shared" si="63"/>
        <v/>
      </c>
    </row>
    <row r="544" spans="1:65" ht="47.25" customHeight="1" x14ac:dyDescent="0.25">
      <c r="A544" s="162" t="str">
        <f>IF(AND(Réputation&gt;Voies!E544-1,OR(C544=TRUE,Calculs!$I$8&gt;0),Air&gt;Voies!J544-1,Eau&gt;Voies!K544-1,Feu&gt;Voies!L544-1,Terre&gt;Voies!M544-1,Vide&gt;Voies!N544-1,Constitution&gt;Voies!O544-1,Volonté&gt;Voies!P544-1,Force&gt;Voies!Q544-1,Perception&gt;Voies!R544-1,Reflexes&gt;Voies!S544-1,Agilité&gt;Voies!T544-1,Intuition&gt;Voies!U544-1,Intelligence&gt;Voies!V544-1,Souillure&gt;Voies!W544-1,Honneur&gt;X544-1,Statut&gt;Y544-1,Gloire&gt;Z544-1,AV544=TRUE),Voies!B544,"")</f>
        <v/>
      </c>
      <c r="B544" s="162" t="s">
        <v>2164</v>
      </c>
      <c r="C544" s="162" t="b">
        <f>IF(Clan=Voies!D545,TRUE,FALSE)</f>
        <v>0</v>
      </c>
      <c r="D544" s="388" t="s">
        <v>184</v>
      </c>
      <c r="E544" s="199">
        <v>5</v>
      </c>
      <c r="F544" s="199">
        <v>5</v>
      </c>
      <c r="G544" s="199" t="s">
        <v>2049</v>
      </c>
      <c r="H544" s="219" t="s">
        <v>408</v>
      </c>
      <c r="I544" s="129" t="str">
        <f t="shared" si="64"/>
        <v>Rien</v>
      </c>
      <c r="J544" s="146">
        <v>0</v>
      </c>
      <c r="K544" s="147">
        <v>0</v>
      </c>
      <c r="L544" s="148">
        <v>0</v>
      </c>
      <c r="M544" s="149">
        <v>0</v>
      </c>
      <c r="N544" s="150">
        <v>0</v>
      </c>
      <c r="O544" s="130">
        <v>0</v>
      </c>
      <c r="P544" s="130">
        <v>0</v>
      </c>
      <c r="Q544" s="130">
        <v>0</v>
      </c>
      <c r="R544" s="130">
        <v>0</v>
      </c>
      <c r="S544" s="130">
        <v>0</v>
      </c>
      <c r="T544" s="130">
        <v>0</v>
      </c>
      <c r="U544" s="130">
        <v>0</v>
      </c>
      <c r="V544" s="524">
        <v>0</v>
      </c>
      <c r="W544" s="130">
        <v>0</v>
      </c>
      <c r="X544" s="130">
        <v>0</v>
      </c>
      <c r="Y544" s="130">
        <v>0</v>
      </c>
      <c r="Z544" s="130">
        <v>0</v>
      </c>
      <c r="AA544" s="158" t="s">
        <v>2078</v>
      </c>
      <c r="AB544" s="158"/>
      <c r="AC544" s="158"/>
      <c r="AD544" s="158"/>
      <c r="AE544" s="158" t="b">
        <f>IF(AB544="",TRUE,IF(IF(AC544="",VLOOKUP(AB544,Calculs!$A$19:$S$425,19,FALSE),VLOOKUP(AC544,Calculs!$A$19:$S$425,19,FALSE))&gt;=AD544,TRUE,FALSE))</f>
        <v>1</v>
      </c>
      <c r="AF544" s="158"/>
      <c r="AG544" s="158"/>
      <c r="AH544" s="158"/>
      <c r="AI544" s="158" t="b">
        <f>IF(AF544="",TRUE,IF(IF(AG544="",VLOOKUP(AF544,Calculs!$A$19:$S$425,19,FALSE),VLOOKUP(AG544,Calculs!$A$19:$S$425,19,FALSE))&gt;=AH544,TRUE,FALSE))</f>
        <v>1</v>
      </c>
      <c r="AJ544" s="158"/>
      <c r="AK544" s="158"/>
      <c r="AL544" s="158"/>
      <c r="AM544" s="158" t="b">
        <f>IF(AJ544="",TRUE,IF(IF(AK544="",VLOOKUP(AJ544,Calculs!$A$19:$S$425,19,FALSE),VLOOKUP(AK544,Calculs!$A$19:$S$425,19,FALSE))&gt;=AL544,TRUE,FALSE))</f>
        <v>1</v>
      </c>
      <c r="AN544" s="158"/>
      <c r="AO544" s="158"/>
      <c r="AP544" s="158"/>
      <c r="AQ544" s="158" t="b">
        <f>IF(AN544="",TRUE,IF(IF(AO544="",VLOOKUP(AN544,Calculs!$A$19:$S$425,19,FALSE),VLOOKUP(AO544,Calculs!$A$19:$S$425,19,FALSE))&gt;=AP544,TRUE,FALSE))</f>
        <v>1</v>
      </c>
      <c r="AR544" s="158"/>
      <c r="AS544" s="158" t="b">
        <f>IF(AR544="",TRUE,IF(VLOOKUP(AR544,Calculs!$A$427:$G$738,7,FALSE)&gt;0,TRUE,FALSE))</f>
        <v>1</v>
      </c>
      <c r="AT544" s="158"/>
      <c r="AU544" s="158" t="b">
        <f>IF(AT544="",TRUE,IF(VLOOKUP(AT544,Calculs!$A$740:$G$912,7,FALSE)&gt;0,TRUE,FALSE))</f>
        <v>1</v>
      </c>
      <c r="AV544" s="158" t="b">
        <f t="shared" si="59"/>
        <v>1</v>
      </c>
      <c r="AW544" s="158" t="s">
        <v>2078</v>
      </c>
      <c r="AX544" s="162" t="s">
        <v>3</v>
      </c>
      <c r="AY544" s="15">
        <v>220</v>
      </c>
      <c r="AZ544" s="555" t="str">
        <f>CONCATENATE("Vous pouvez effectuer la Manœuvre de Feinte pour 1 Augmentation seulement. En cas de réussite, votre bonus aux Dommages n'est plus limité à ",Réputation*5)</f>
        <v>Vous pouvez effectuer la Manœuvre de Feinte pour 1 Augmentation seulement. En cas de réussite, votre bonus aux Dommages n'est plus limité à 5</v>
      </c>
      <c r="BA544" s="559">
        <f>IF(Verso!$B$10=Voies!$B544,1,0)</f>
        <v>0</v>
      </c>
      <c r="BB544" s="12">
        <f>IF(Verso!$B$11=Voies!$B544,1,0)</f>
        <v>0</v>
      </c>
      <c r="BC544" s="12">
        <f>IF(Verso!$B$12=Voies!$B544,1,0)</f>
        <v>0</v>
      </c>
      <c r="BD544" s="12">
        <f>IF(Verso!$B$13=Voies!$B544,1,0)</f>
        <v>0</v>
      </c>
      <c r="BE544" s="12">
        <f>IF(Verso!$B$14=Voies!$B544,1,0)</f>
        <v>0</v>
      </c>
      <c r="BF544" s="12">
        <f>IF(Verso!$B$15=Voies!$B544,1,0)</f>
        <v>0</v>
      </c>
      <c r="BG544" s="12">
        <f>IF(Verso!$B$16=Voies!$B544,1,0)</f>
        <v>0</v>
      </c>
      <c r="BH544" s="12">
        <f>IF(Verso!$B$17=Voies!$B544,1,0)</f>
        <v>0</v>
      </c>
      <c r="BI544" s="557">
        <f t="shared" si="60"/>
        <v>0</v>
      </c>
      <c r="BJ544" s="196" t="str">
        <f t="shared" si="61"/>
        <v/>
      </c>
      <c r="BK544" s="196" t="str">
        <f t="shared" si="62"/>
        <v/>
      </c>
      <c r="BL544" s="295" t="str">
        <f t="shared" si="63"/>
        <v/>
      </c>
    </row>
    <row r="545" spans="1:64" ht="47.25" customHeight="1" x14ac:dyDescent="0.25">
      <c r="A545" s="162" t="str">
        <f>IF(AND(Réputation&gt;Voies!E545-1,OR(C545=TRUE,Calculs!$I$8&gt;0),Air&gt;Voies!J545-1,Eau&gt;Voies!K545-1,Feu&gt;Voies!L545-1,Terre&gt;Voies!M545-1,Vide&gt;Voies!N545-1,Constitution&gt;Voies!O545-1,Volonté&gt;Voies!P545-1,Force&gt;Voies!Q545-1,Perception&gt;Voies!R545-1,Reflexes&gt;Voies!S545-1,Agilité&gt;Voies!T545-1,Intuition&gt;Voies!U545-1,Intelligence&gt;Voies!V545-1,Souillure&gt;Voies!W545-1,Honneur&gt;X545-1,Statut&gt;Y545-1,Gloire&gt;Z545-1,AV545=TRUE),Voies!B545,"")</f>
        <v/>
      </c>
      <c r="B545" s="162" t="s">
        <v>7868</v>
      </c>
      <c r="C545" s="162" t="b">
        <f>IF(Clan=Voies!D546,TRUE,FALSE)</f>
        <v>0</v>
      </c>
      <c r="D545" s="388" t="s">
        <v>184</v>
      </c>
      <c r="E545" s="199">
        <v>5</v>
      </c>
      <c r="F545" s="199">
        <v>5</v>
      </c>
      <c r="G545" s="199" t="s">
        <v>2049</v>
      </c>
      <c r="H545" s="162" t="s">
        <v>7806</v>
      </c>
      <c r="I545" s="129" t="str">
        <f t="shared" si="64"/>
        <v>Rien</v>
      </c>
      <c r="J545" s="146">
        <v>0</v>
      </c>
      <c r="K545" s="147">
        <v>0</v>
      </c>
      <c r="L545" s="148">
        <v>0</v>
      </c>
      <c r="M545" s="149">
        <v>0</v>
      </c>
      <c r="N545" s="150">
        <v>0</v>
      </c>
      <c r="O545" s="130">
        <v>0</v>
      </c>
      <c r="P545" s="130">
        <v>0</v>
      </c>
      <c r="Q545" s="130">
        <v>0</v>
      </c>
      <c r="R545" s="130">
        <v>0</v>
      </c>
      <c r="S545" s="130">
        <v>0</v>
      </c>
      <c r="T545" s="130">
        <v>0</v>
      </c>
      <c r="U545" s="130">
        <v>0</v>
      </c>
      <c r="V545" s="524">
        <v>0</v>
      </c>
      <c r="W545" s="130">
        <v>0</v>
      </c>
      <c r="X545" s="130">
        <v>0</v>
      </c>
      <c r="Y545" s="130">
        <v>0</v>
      </c>
      <c r="Z545" s="130">
        <v>0</v>
      </c>
      <c r="AA545" s="158" t="s">
        <v>2078</v>
      </c>
      <c r="AB545" s="158"/>
      <c r="AC545" s="158"/>
      <c r="AD545" s="158"/>
      <c r="AE545" s="158" t="b">
        <f>IF(AB545="",TRUE,IF(IF(AC545="",VLOOKUP(AB545,Calculs!$A$19:$S$425,19,FALSE),VLOOKUP(AC545,Calculs!$A$19:$S$425,19,FALSE))&gt;=AD545,TRUE,FALSE))</f>
        <v>1</v>
      </c>
      <c r="AF545" s="158"/>
      <c r="AG545" s="158"/>
      <c r="AH545" s="158"/>
      <c r="AI545" s="158" t="b">
        <f>IF(AF545="",TRUE,IF(IF(AG545="",VLOOKUP(AF545,Calculs!$A$19:$S$425,19,FALSE),VLOOKUP(AG545,Calculs!$A$19:$S$425,19,FALSE))&gt;=AH545,TRUE,FALSE))</f>
        <v>1</v>
      </c>
      <c r="AJ545" s="158"/>
      <c r="AK545" s="158"/>
      <c r="AL545" s="158"/>
      <c r="AM545" s="158" t="b">
        <f>IF(AJ545="",TRUE,IF(IF(AK545="",VLOOKUP(AJ545,Calculs!$A$19:$S$425,19,FALSE),VLOOKUP(AK545,Calculs!$A$19:$S$425,19,FALSE))&gt;=AL545,TRUE,FALSE))</f>
        <v>1</v>
      </c>
      <c r="AN545" s="158"/>
      <c r="AO545" s="158"/>
      <c r="AP545" s="158"/>
      <c r="AQ545" s="158" t="b">
        <f>IF(AN545="",TRUE,IF(IF(AO545="",VLOOKUP(AN545,Calculs!$A$19:$S$425,19,FALSE),VLOOKUP(AO545,Calculs!$A$19:$S$425,19,FALSE))&gt;=AP545,TRUE,FALSE))</f>
        <v>1</v>
      </c>
      <c r="AR545" s="158"/>
      <c r="AS545" s="158" t="b">
        <f>IF(AR545="",TRUE,IF(VLOOKUP(AR545,Calculs!$A$427:$G$738,7,FALSE)&gt;0,TRUE,FALSE))</f>
        <v>1</v>
      </c>
      <c r="AT545" s="158"/>
      <c r="AU545" s="158" t="b">
        <f>IF(AT545="",TRUE,IF(VLOOKUP(AT545,Calculs!$A$740:$G$912,7,FALSE)&gt;0,TRUE,FALSE))</f>
        <v>1</v>
      </c>
      <c r="AV545" s="158" t="b">
        <f t="shared" si="59"/>
        <v>1</v>
      </c>
      <c r="AW545" s="158" t="s">
        <v>2078</v>
      </c>
      <c r="AX545" s="162" t="s">
        <v>7226</v>
      </c>
      <c r="AY545" s="15">
        <v>71</v>
      </c>
      <c r="AZ545" s="555" t="s">
        <v>8605</v>
      </c>
      <c r="BA545" s="559">
        <f>IF(Verso!$B$10=Voies!$B545,1,0)</f>
        <v>0</v>
      </c>
      <c r="BB545" s="12">
        <f>IF(Verso!$B$11=Voies!$B545,1,0)</f>
        <v>0</v>
      </c>
      <c r="BC545" s="12">
        <f>IF(Verso!$B$12=Voies!$B545,1,0)</f>
        <v>0</v>
      </c>
      <c r="BD545" s="12">
        <f>IF(Verso!$B$13=Voies!$B545,1,0)</f>
        <v>0</v>
      </c>
      <c r="BE545" s="12">
        <f>IF(Verso!$B$14=Voies!$B545,1,0)</f>
        <v>0</v>
      </c>
      <c r="BF545" s="12">
        <f>IF(Verso!$B$15=Voies!$B545,1,0)</f>
        <v>0</v>
      </c>
      <c r="BG545" s="12">
        <f>IF(Verso!$B$16=Voies!$B545,1,0)</f>
        <v>0</v>
      </c>
      <c r="BH545" s="12">
        <f>IF(Verso!$B$17=Voies!$B545,1,0)</f>
        <v>0</v>
      </c>
      <c r="BI545" s="557">
        <f t="shared" si="60"/>
        <v>0</v>
      </c>
      <c r="BJ545" s="196" t="str">
        <f t="shared" si="61"/>
        <v/>
      </c>
      <c r="BK545" s="196" t="str">
        <f t="shared" si="62"/>
        <v/>
      </c>
      <c r="BL545" s="295" t="str">
        <f t="shared" si="63"/>
        <v/>
      </c>
    </row>
    <row r="546" spans="1:64" ht="47.25" customHeight="1" x14ac:dyDescent="0.25">
      <c r="A546" s="162" t="str">
        <f>IF(AND(Réputation&gt;Voies!E546-1,OR(C546=TRUE,Calculs!$I$8&gt;0),Air&gt;Voies!J546-1,Eau&gt;Voies!K546-1,Feu&gt;Voies!L546-1,Terre&gt;Voies!M546-1,Vide&gt;Voies!N546-1,Constitution&gt;Voies!O546-1,Volonté&gt;Voies!P546-1,Force&gt;Voies!Q546-1,Perception&gt;Voies!R546-1,Reflexes&gt;Voies!S546-1,Agilité&gt;Voies!T546-1,Intuition&gt;Voies!U546-1,Intelligence&gt;Voies!V546-1,Souillure&gt;Voies!W546-1,Honneur&gt;X546-1,Statut&gt;Y546-1,Gloire&gt;Z546-1,AV546=TRUE),Voies!B546,"")</f>
        <v/>
      </c>
      <c r="B546" s="162" t="s">
        <v>8417</v>
      </c>
      <c r="C546" s="162" t="b">
        <f>IF(Clan=Voies!D537,TRUE,FALSE)</f>
        <v>0</v>
      </c>
      <c r="D546" s="388" t="s">
        <v>184</v>
      </c>
      <c r="E546" s="199"/>
      <c r="F546" s="199">
        <v>1</v>
      </c>
      <c r="G546" s="199" t="s">
        <v>2048</v>
      </c>
      <c r="H546" s="162" t="s">
        <v>8414</v>
      </c>
      <c r="I546" s="129" t="str">
        <f t="shared" si="64"/>
        <v>Rien</v>
      </c>
      <c r="J546" s="146">
        <v>0</v>
      </c>
      <c r="K546" s="147">
        <v>0</v>
      </c>
      <c r="L546" s="148">
        <v>0</v>
      </c>
      <c r="M546" s="149">
        <v>0</v>
      </c>
      <c r="N546" s="150">
        <v>0</v>
      </c>
      <c r="O546" s="130">
        <v>0</v>
      </c>
      <c r="P546" s="130">
        <v>0</v>
      </c>
      <c r="Q546" s="130">
        <v>0</v>
      </c>
      <c r="R546" s="130">
        <v>0</v>
      </c>
      <c r="S546" s="130">
        <v>0</v>
      </c>
      <c r="T546" s="130">
        <v>0</v>
      </c>
      <c r="U546" s="130">
        <v>0</v>
      </c>
      <c r="V546" s="524">
        <v>0</v>
      </c>
      <c r="W546" s="130">
        <v>0</v>
      </c>
      <c r="X546" s="130">
        <v>0</v>
      </c>
      <c r="Y546" s="130">
        <v>0</v>
      </c>
      <c r="Z546" s="130">
        <v>0</v>
      </c>
      <c r="AA546" s="158" t="s">
        <v>2078</v>
      </c>
      <c r="AB546" s="158"/>
      <c r="AC546" s="158"/>
      <c r="AD546" s="158"/>
      <c r="AE546" s="158" t="b">
        <f>IF(AB546="",TRUE,IF(IF(AC546="",VLOOKUP(AB546,Calculs!$A$19:$S$425,19,FALSE),VLOOKUP(AC546,Calculs!$A$19:$S$425,19,FALSE))&gt;=AD546,TRUE,FALSE))</f>
        <v>1</v>
      </c>
      <c r="AF546" s="158"/>
      <c r="AG546" s="158"/>
      <c r="AH546" s="158"/>
      <c r="AI546" s="158" t="b">
        <f>IF(AF546="",TRUE,IF(IF(AG546="",VLOOKUP(AF546,Calculs!$A$19:$S$425,19,FALSE),VLOOKUP(AG546,Calculs!$A$19:$S$425,19,FALSE))&gt;=AH546,TRUE,FALSE))</f>
        <v>1</v>
      </c>
      <c r="AJ546" s="158"/>
      <c r="AK546" s="158"/>
      <c r="AL546" s="158"/>
      <c r="AM546" s="158" t="b">
        <f>IF(AJ546="",TRUE,IF(IF(AK546="",VLOOKUP(AJ546,Calculs!$A$19:$S$425,19,FALSE),VLOOKUP(AK546,Calculs!$A$19:$S$425,19,FALSE))&gt;=AL546,TRUE,FALSE))</f>
        <v>1</v>
      </c>
      <c r="AN546" s="158"/>
      <c r="AO546" s="158"/>
      <c r="AP546" s="158"/>
      <c r="AQ546" s="158" t="b">
        <f>IF(AN546="",TRUE,IF(IF(AO546="",VLOOKUP(AN546,Calculs!$A$19:$S$425,19,FALSE),VLOOKUP(AO546,Calculs!$A$19:$S$425,19,FALSE))&gt;=AP546,TRUE,FALSE))</f>
        <v>1</v>
      </c>
      <c r="AR546" s="158"/>
      <c r="AS546" s="158" t="b">
        <f>IF(AR546="",TRUE,IF(VLOOKUP(AR546,Calculs!$A$427:$G$738,7,FALSE)&gt;0,TRUE,FALSE))</f>
        <v>1</v>
      </c>
      <c r="AT546" s="158"/>
      <c r="AU546" s="158" t="b">
        <f>IF(AT546="",TRUE,IF(VLOOKUP(AT546,Calculs!$A$740:$G$912,7,FALSE)&gt;0,TRUE,FALSE))</f>
        <v>1</v>
      </c>
      <c r="AV546" s="158" t="b">
        <f t="shared" si="59"/>
        <v>1</v>
      </c>
      <c r="AW546" s="158" t="s">
        <v>2078</v>
      </c>
      <c r="AX546" s="162" t="s">
        <v>7759</v>
      </c>
      <c r="AY546" s="15">
        <v>26</v>
      </c>
      <c r="AZ546" s="555" t="s">
        <v>8418</v>
      </c>
      <c r="BA546" s="559">
        <f>IF(Verso!$B$10=Voies!$B547,1,0)</f>
        <v>0</v>
      </c>
      <c r="BB546" s="12">
        <f>IF(Verso!$B$11=Voies!$B547,1,0)</f>
        <v>0</v>
      </c>
      <c r="BC546" s="12">
        <f>IF(Verso!$B$12=Voies!$B547,1,0)</f>
        <v>0</v>
      </c>
      <c r="BD546" s="12">
        <f>IF(Verso!$B$13=Voies!$B547,1,0)</f>
        <v>0</v>
      </c>
      <c r="BE546" s="12">
        <f>IF(Verso!$B$14=Voies!$B547,1,0)</f>
        <v>0</v>
      </c>
      <c r="BF546" s="12">
        <f>IF(Verso!$B$15=Voies!$B547,1,0)</f>
        <v>0</v>
      </c>
      <c r="BG546" s="12">
        <f>IF(Verso!$B$16=Voies!$B547,1,0)</f>
        <v>0</v>
      </c>
      <c r="BH546" s="12">
        <f>IF(Verso!$B$17=Voies!$B547,1,0)</f>
        <v>0</v>
      </c>
      <c r="BI546" s="557">
        <f t="shared" si="60"/>
        <v>0</v>
      </c>
      <c r="BJ546" s="196" t="str">
        <f t="shared" si="61"/>
        <v/>
      </c>
      <c r="BK546" s="196" t="str">
        <f t="shared" si="62"/>
        <v/>
      </c>
      <c r="BL546" s="295" t="str">
        <f t="shared" si="63"/>
        <v/>
      </c>
    </row>
    <row r="547" spans="1:64" ht="47.25" customHeight="1" x14ac:dyDescent="0.25">
      <c r="A547" s="162" t="str">
        <f>IF(AND(Réputation&gt;Voies!E547-1,OR(C547=TRUE,Calculs!$I$8&gt;0),Air&gt;Voies!J547-1,Eau&gt;Voies!K547-1,Feu&gt;Voies!L547-1,Terre&gt;Voies!M547-1,Vide&gt;Voies!N547-1,Constitution&gt;Voies!O547-1,Volonté&gt;Voies!P547-1,Force&gt;Voies!Q547-1,Perception&gt;Voies!R547-1,Reflexes&gt;Voies!S547-1,Agilité&gt;Voies!T547-1,Intuition&gt;Voies!U547-1,Intelligence&gt;Voies!V547-1,Souillure&gt;Voies!W547-1,Honneur&gt;X547-1,Statut&gt;Y547-1,Gloire&gt;Z547-1,AV547=TRUE),Voies!B547,"")</f>
        <v/>
      </c>
      <c r="B547" s="162" t="s">
        <v>2572</v>
      </c>
      <c r="C547" s="162" t="b">
        <f>IF(Clan=Voies!D548,TRUE,FALSE)</f>
        <v>0</v>
      </c>
      <c r="D547" s="387" t="s">
        <v>20</v>
      </c>
      <c r="E547" s="199">
        <v>0</v>
      </c>
      <c r="F547" s="199">
        <v>0</v>
      </c>
      <c r="G547" s="199" t="s">
        <v>2049</v>
      </c>
      <c r="H547" s="162" t="s">
        <v>2594</v>
      </c>
      <c r="I547" s="129" t="str">
        <f t="shared" si="64"/>
        <v>Rien</v>
      </c>
      <c r="J547" s="146">
        <v>0</v>
      </c>
      <c r="K547" s="147">
        <v>0</v>
      </c>
      <c r="L547" s="148">
        <v>0</v>
      </c>
      <c r="M547" s="149">
        <v>0</v>
      </c>
      <c r="N547" s="150">
        <v>0</v>
      </c>
      <c r="O547" s="130">
        <v>0</v>
      </c>
      <c r="P547" s="130">
        <v>0</v>
      </c>
      <c r="Q547" s="130">
        <v>5</v>
      </c>
      <c r="R547" s="130">
        <v>0</v>
      </c>
      <c r="S547" s="130">
        <v>0</v>
      </c>
      <c r="T547" s="130">
        <v>5</v>
      </c>
      <c r="U547" s="130">
        <v>0</v>
      </c>
      <c r="V547" s="524">
        <v>0</v>
      </c>
      <c r="W547" s="130">
        <v>0</v>
      </c>
      <c r="X547" s="130">
        <v>6</v>
      </c>
      <c r="Y547" s="130">
        <v>0</v>
      </c>
      <c r="Z547" s="130">
        <v>0</v>
      </c>
      <c r="AA547" s="159" t="s">
        <v>2593</v>
      </c>
      <c r="AB547" s="158" t="s">
        <v>231</v>
      </c>
      <c r="AC547" s="158"/>
      <c r="AD547" s="158">
        <v>5</v>
      </c>
      <c r="AE547" s="158" t="b">
        <f>IF(AB547="",TRUE,IF(IF(AC547="",VLOOKUP(AB547,Calculs!$A$19:$S$425,19,FALSE),VLOOKUP(AC547,Calculs!$A$19:$S$425,19,FALSE))&gt;=AD547,TRUE,FALSE))</f>
        <v>0</v>
      </c>
      <c r="AI547" s="158" t="b">
        <f>IF(AF547="",TRUE,IF(IF(AG547="",VLOOKUP(AF547,Calculs!$A$19:$S$425,19,FALSE),VLOOKUP(AG547,Calculs!$A$19:$S$425,19,FALSE))&gt;=AH547,TRUE,FALSE))</f>
        <v>1</v>
      </c>
      <c r="AM547" s="158" t="b">
        <f>IF(AJ547="",TRUE,IF(IF(AK547="",VLOOKUP(AJ547,Calculs!$A$19:$S$425,19,FALSE),VLOOKUP(AK547,Calculs!$A$19:$S$425,19,FALSE))&gt;=AL547,TRUE,FALSE))</f>
        <v>1</v>
      </c>
      <c r="AQ547" s="158" t="b">
        <f>IF(AN547="",TRUE,IF(IF(AO547="",VLOOKUP(AN547,Calculs!$A$19:$S$425,19,FALSE),VLOOKUP(AO547,Calculs!$A$19:$S$425,19,FALSE))&gt;=AP547,TRUE,FALSE))</f>
        <v>1</v>
      </c>
      <c r="AR547" s="158"/>
      <c r="AS547" s="158" t="b">
        <f>IF(AR547="",TRUE,IF(VLOOKUP(AR547,Calculs!$A$427:$G$738,7,FALSE)&gt;0,TRUE,FALSE))</f>
        <v>1</v>
      </c>
      <c r="AT547" s="158"/>
      <c r="AU547" s="158" t="b">
        <f>IF(AT547="",TRUE,IF(VLOOKUP(AT547,Calculs!$A$740:$G$912,7,FALSE)&gt;0,TRUE,FALSE))</f>
        <v>1</v>
      </c>
      <c r="AV547" s="158" t="b">
        <f t="shared" si="59"/>
        <v>0</v>
      </c>
      <c r="AW547" s="159" t="s">
        <v>8095</v>
      </c>
      <c r="AX547" s="162" t="s">
        <v>3</v>
      </c>
      <c r="AY547" s="15">
        <v>248</v>
      </c>
      <c r="AZ547" s="555" t="s">
        <v>2654</v>
      </c>
      <c r="BA547" s="559">
        <f>IF(Verso!$B$10=Voies!$B548,1,0)</f>
        <v>0</v>
      </c>
      <c r="BB547" s="12">
        <f>IF(Verso!$B$11=Voies!$B548,1,0)</f>
        <v>0</v>
      </c>
      <c r="BC547" s="12">
        <f>IF(Verso!$B$12=Voies!$B548,1,0)</f>
        <v>0</v>
      </c>
      <c r="BD547" s="12">
        <f>IF(Verso!$B$13=Voies!$B548,1,0)</f>
        <v>0</v>
      </c>
      <c r="BE547" s="12">
        <f>IF(Verso!$B$14=Voies!$B548,1,0)</f>
        <v>0</v>
      </c>
      <c r="BF547" s="12">
        <f>IF(Verso!$B$15=Voies!$B548,1,0)</f>
        <v>0</v>
      </c>
      <c r="BG547" s="12">
        <f>IF(Verso!$B$16=Voies!$B548,1,0)</f>
        <v>0</v>
      </c>
      <c r="BH547" s="12">
        <f>IF(Verso!$B$17=Voies!$B548,1,0)</f>
        <v>0</v>
      </c>
      <c r="BI547" s="557">
        <f t="shared" si="60"/>
        <v>0</v>
      </c>
      <c r="BJ547" s="196" t="str">
        <f t="shared" si="61"/>
        <v/>
      </c>
      <c r="BK547" s="196" t="str">
        <f t="shared" si="62"/>
        <v/>
      </c>
      <c r="BL547" s="295" t="str">
        <f t="shared" si="63"/>
        <v/>
      </c>
    </row>
    <row r="548" spans="1:64" ht="47.25" customHeight="1" x14ac:dyDescent="0.25">
      <c r="A548" s="162" t="str">
        <f>IF(AND(Réputation&gt;Voies!E548-1,OR(C548=TRUE,Calculs!$I$8&gt;0),Air&gt;Voies!J548-1,Eau&gt;Voies!K548-1,Feu&gt;Voies!L548-1,Terre&gt;Voies!M548-1,Vide&gt;Voies!N548-1,Constitution&gt;Voies!O548-1,Volonté&gt;Voies!P548-1,Force&gt;Voies!Q548-1,Perception&gt;Voies!R548-1,Reflexes&gt;Voies!S548-1,Agilité&gt;Voies!T548-1,Intuition&gt;Voies!U548-1,Intelligence&gt;Voies!V548-1,Souillure&gt;Voies!W548-1,Honneur&gt;X548-1,Statut&gt;Y548-1,Gloire&gt;Z548-1,AV548=TRUE),Voies!B548,"")</f>
        <v/>
      </c>
      <c r="B548" s="162" t="s">
        <v>2859</v>
      </c>
      <c r="C548" s="162" t="b">
        <f>IF(Clan=Voies!D549,TRUE,FALSE)</f>
        <v>0</v>
      </c>
      <c r="D548" s="387" t="s">
        <v>20</v>
      </c>
      <c r="E548" s="13">
        <v>0</v>
      </c>
      <c r="F548" s="199">
        <v>0</v>
      </c>
      <c r="G548" s="13" t="s">
        <v>2049</v>
      </c>
      <c r="H548" s="162" t="s">
        <v>419</v>
      </c>
      <c r="I548" s="129" t="str">
        <f t="shared" si="64"/>
        <v>Rien</v>
      </c>
      <c r="J548" s="146">
        <v>0</v>
      </c>
      <c r="K548" s="147">
        <v>4</v>
      </c>
      <c r="L548" s="148">
        <v>0</v>
      </c>
      <c r="M548" s="149">
        <v>0</v>
      </c>
      <c r="N548" s="150">
        <v>0</v>
      </c>
      <c r="O548" s="130">
        <v>0</v>
      </c>
      <c r="P548" s="130">
        <v>0</v>
      </c>
      <c r="Q548" s="130">
        <v>0</v>
      </c>
      <c r="R548" s="130">
        <v>0</v>
      </c>
      <c r="S548" s="130">
        <v>0</v>
      </c>
      <c r="T548" s="130">
        <v>0</v>
      </c>
      <c r="U548" s="130">
        <v>0</v>
      </c>
      <c r="V548" s="524">
        <v>5</v>
      </c>
      <c r="W548" s="130">
        <v>0</v>
      </c>
      <c r="X548" s="130">
        <v>0</v>
      </c>
      <c r="Y548" s="130">
        <v>0</v>
      </c>
      <c r="Z548" s="130">
        <v>0</v>
      </c>
      <c r="AA548" s="159" t="s">
        <v>2858</v>
      </c>
      <c r="AB548" s="158" t="s">
        <v>231</v>
      </c>
      <c r="AC548" s="159" t="s">
        <v>6362</v>
      </c>
      <c r="AD548" s="158">
        <v>5</v>
      </c>
      <c r="AE548" s="158" t="b">
        <f>IF(AB548="",TRUE,IF(IF(AC548="",VLOOKUP(AB548,Calculs!$A$19:$S$425,19,FALSE),VLOOKUP(AC548,Calculs!$A$19:$S$425,19,FALSE))&gt;=AD548,TRUE,FALSE))</f>
        <v>0</v>
      </c>
      <c r="AF548" s="159" t="s">
        <v>3274</v>
      </c>
      <c r="AG548" s="159" t="s">
        <v>3317</v>
      </c>
      <c r="AH548" s="159">
        <v>4</v>
      </c>
      <c r="AI548" s="158" t="b">
        <f>IF(AF548="",TRUE,IF(IF(AG548="",VLOOKUP(AF548,Calculs!$A$19:$S$425,19,FALSE),VLOOKUP(AG548,Calculs!$A$19:$S$425,19,FALSE))&gt;=AH548,TRUE,FALSE))</f>
        <v>0</v>
      </c>
      <c r="AJ548" s="159" t="s">
        <v>3274</v>
      </c>
      <c r="AK548" s="159" t="s">
        <v>3269</v>
      </c>
      <c r="AL548" s="159">
        <v>4</v>
      </c>
      <c r="AM548" s="158" t="b">
        <f>IF(AJ548="",TRUE,IF(IF(AK548="",VLOOKUP(AJ548,Calculs!$A$19:$S$425,19,FALSE),VLOOKUP(AK548,Calculs!$A$19:$S$425,19,FALSE))&gt;=AL548,TRUE,FALSE))</f>
        <v>0</v>
      </c>
      <c r="AQ548" s="158" t="b">
        <f>IF(AN548="",TRUE,IF(IF(AO548="",VLOOKUP(AN548,Calculs!$A$19:$S$425,19,FALSE),VLOOKUP(AO548,Calculs!$A$19:$S$425,19,FALSE))&gt;=AP548,TRUE,FALSE))</f>
        <v>1</v>
      </c>
      <c r="AR548" s="158"/>
      <c r="AS548" s="158" t="b">
        <f>IF(AR548="",TRUE,IF(VLOOKUP(AR548,Calculs!$A$427:$G$738,7,FALSE)&gt;0,TRUE,FALSE))</f>
        <v>1</v>
      </c>
      <c r="AT548" s="158"/>
      <c r="AU548" s="158" t="b">
        <f>IF(AT548="",TRUE,IF(VLOOKUP(AT548,Calculs!$A$740:$G$912,7,FALSE)&gt;0,TRUE,FALSE))</f>
        <v>1</v>
      </c>
      <c r="AV548" s="158" t="b">
        <f t="shared" si="59"/>
        <v>0</v>
      </c>
      <c r="AW548" s="158" t="s">
        <v>2078</v>
      </c>
      <c r="AX548" s="162" t="s">
        <v>6061</v>
      </c>
      <c r="AY548" s="15">
        <v>167</v>
      </c>
      <c r="AZ548" s="555" t="s">
        <v>8606</v>
      </c>
      <c r="BA548" s="559">
        <f>IF(Verso!$B$10=Voies!$B549,1,0)</f>
        <v>0</v>
      </c>
      <c r="BB548" s="12">
        <f>IF(Verso!$B$11=Voies!$B549,1,0)</f>
        <v>0</v>
      </c>
      <c r="BC548" s="12">
        <f>IF(Verso!$B$12=Voies!$B549,1,0)</f>
        <v>0</v>
      </c>
      <c r="BD548" s="12">
        <f>IF(Verso!$B$13=Voies!$B549,1,0)</f>
        <v>0</v>
      </c>
      <c r="BE548" s="12">
        <f>IF(Verso!$B$14=Voies!$B549,1,0)</f>
        <v>0</v>
      </c>
      <c r="BF548" s="12">
        <f>IF(Verso!$B$15=Voies!$B549,1,0)</f>
        <v>0</v>
      </c>
      <c r="BG548" s="12">
        <f>IF(Verso!$B$16=Voies!$B549,1,0)</f>
        <v>0</v>
      </c>
      <c r="BH548" s="12">
        <f>IF(Verso!$B$17=Voies!$B549,1,0)</f>
        <v>0</v>
      </c>
      <c r="BI548" s="557">
        <f t="shared" si="60"/>
        <v>0</v>
      </c>
      <c r="BJ548" s="196" t="str">
        <f t="shared" si="61"/>
        <v/>
      </c>
      <c r="BK548" s="196" t="str">
        <f t="shared" si="62"/>
        <v/>
      </c>
      <c r="BL548" s="295" t="str">
        <f t="shared" si="63"/>
        <v/>
      </c>
    </row>
    <row r="549" spans="1:64" ht="47.25" customHeight="1" x14ac:dyDescent="0.25">
      <c r="A549" s="162" t="str">
        <f>IF(AND(Réputation&gt;Voies!E549-1,OR(C549=TRUE,Calculs!$I$8&gt;0),Air&gt;Voies!J549-1,Eau&gt;Voies!K549-1,Feu&gt;Voies!L549-1,Terre&gt;Voies!M549-1,Vide&gt;Voies!N549-1,Constitution&gt;Voies!O549-1,Volonté&gt;Voies!P549-1,Force&gt;Voies!Q549-1,Perception&gt;Voies!R549-1,Reflexes&gt;Voies!S549-1,Agilité&gt;Voies!T549-1,Intuition&gt;Voies!U549-1,Intelligence&gt;Voies!V549-1,Souillure&gt;Voies!W549-1,Honneur&gt;X549-1,Statut&gt;Y549-1,Gloire&gt;Z549-1,AV549=TRUE),Voies!B549,"")</f>
        <v/>
      </c>
      <c r="B549" s="162" t="s">
        <v>2573</v>
      </c>
      <c r="C549" s="162" t="b">
        <f>IF(Clan=Voies!D550,TRUE,FALSE)</f>
        <v>0</v>
      </c>
      <c r="D549" s="387" t="s">
        <v>20</v>
      </c>
      <c r="E549" s="13">
        <v>0</v>
      </c>
      <c r="F549" s="199">
        <v>0</v>
      </c>
      <c r="G549" s="13" t="s">
        <v>2049</v>
      </c>
      <c r="H549" s="162" t="s">
        <v>418</v>
      </c>
      <c r="I549" s="129" t="str">
        <f t="shared" si="64"/>
        <v>Rien</v>
      </c>
      <c r="J549" s="146">
        <v>0</v>
      </c>
      <c r="K549" s="147">
        <v>0</v>
      </c>
      <c r="L549" s="148">
        <v>0</v>
      </c>
      <c r="M549" s="149">
        <v>0</v>
      </c>
      <c r="N549" s="150">
        <v>0</v>
      </c>
      <c r="O549" s="130">
        <v>0</v>
      </c>
      <c r="P549" s="130">
        <v>0</v>
      </c>
      <c r="Q549" s="130">
        <v>5</v>
      </c>
      <c r="R549" s="130">
        <v>0</v>
      </c>
      <c r="S549" s="130">
        <v>0</v>
      </c>
      <c r="T549" s="130">
        <v>5</v>
      </c>
      <c r="U549" s="130">
        <v>0</v>
      </c>
      <c r="V549" s="524">
        <v>0</v>
      </c>
      <c r="W549" s="130">
        <v>0</v>
      </c>
      <c r="X549" s="130">
        <v>6</v>
      </c>
      <c r="Y549" s="130">
        <v>0</v>
      </c>
      <c r="Z549" s="130">
        <v>0</v>
      </c>
      <c r="AA549" s="159" t="s">
        <v>2593</v>
      </c>
      <c r="AB549" s="158" t="s">
        <v>231</v>
      </c>
      <c r="AC549" s="158"/>
      <c r="AD549" s="158">
        <v>5</v>
      </c>
      <c r="AE549" s="158" t="b">
        <f>IF(AB549="",TRUE,IF(IF(AC549="",VLOOKUP(AB549,Calculs!$A$19:$S$425,19,FALSE),VLOOKUP(AC549,Calculs!$A$19:$S$425,19,FALSE))&gt;=AD549,TRUE,FALSE))</f>
        <v>0</v>
      </c>
      <c r="AI549" s="158" t="b">
        <f>IF(AF549="",TRUE,IF(IF(AG549="",VLOOKUP(AF549,Calculs!$A$19:$S$425,19,FALSE),VLOOKUP(AG549,Calculs!$A$19:$S$425,19,FALSE))&gt;=AH549,TRUE,FALSE))</f>
        <v>1</v>
      </c>
      <c r="AM549" s="158" t="b">
        <f>IF(AJ549="",TRUE,IF(IF(AK549="",VLOOKUP(AJ549,Calculs!$A$19:$S$425,19,FALSE),VLOOKUP(AK549,Calculs!$A$19:$S$425,19,FALSE))&gt;=AL549,TRUE,FALSE))</f>
        <v>1</v>
      </c>
      <c r="AQ549" s="158" t="b">
        <f>IF(AN549="",TRUE,IF(IF(AO549="",VLOOKUP(AN549,Calculs!$A$19:$S$425,19,FALSE),VLOOKUP(AO549,Calculs!$A$19:$S$425,19,FALSE))&gt;=AP549,TRUE,FALSE))</f>
        <v>1</v>
      </c>
      <c r="AR549" s="158"/>
      <c r="AS549" s="158" t="b">
        <f>IF(AR549="",TRUE,IF(VLOOKUP(AR549,Calculs!$A$427:$G$738,7,FALSE)&gt;0,TRUE,FALSE))</f>
        <v>1</v>
      </c>
      <c r="AT549" s="158"/>
      <c r="AU549" s="158" t="b">
        <f>IF(AT549="",TRUE,IF(VLOOKUP(AT549,Calculs!$A$740:$G$912,7,FALSE)&gt;0,TRUE,FALSE))</f>
        <v>1</v>
      </c>
      <c r="AV549" s="158" t="b">
        <f t="shared" si="59"/>
        <v>0</v>
      </c>
      <c r="AW549" s="159" t="s">
        <v>8094</v>
      </c>
      <c r="AX549" s="162" t="s">
        <v>3</v>
      </c>
      <c r="AY549" s="15">
        <v>249</v>
      </c>
      <c r="AZ549" s="555" t="s">
        <v>2655</v>
      </c>
      <c r="BA549" s="559">
        <f>IF(Verso!$B$10=Voies!$B550,1,0)</f>
        <v>0</v>
      </c>
      <c r="BB549" s="12">
        <f>IF(Verso!$B$11=Voies!$B550,1,0)</f>
        <v>0</v>
      </c>
      <c r="BC549" s="12">
        <f>IF(Verso!$B$12=Voies!$B550,1,0)</f>
        <v>0</v>
      </c>
      <c r="BD549" s="12">
        <f>IF(Verso!$B$13=Voies!$B550,1,0)</f>
        <v>0</v>
      </c>
      <c r="BE549" s="12">
        <f>IF(Verso!$B$14=Voies!$B550,1,0)</f>
        <v>0</v>
      </c>
      <c r="BF549" s="12">
        <f>IF(Verso!$B$15=Voies!$B550,1,0)</f>
        <v>0</v>
      </c>
      <c r="BG549" s="12">
        <f>IF(Verso!$B$16=Voies!$B550,1,0)</f>
        <v>0</v>
      </c>
      <c r="BH549" s="12">
        <f>IF(Verso!$B$17=Voies!$B550,1,0)</f>
        <v>0</v>
      </c>
      <c r="BI549" s="557">
        <f t="shared" si="60"/>
        <v>0</v>
      </c>
      <c r="BJ549" s="196" t="str">
        <f t="shared" si="61"/>
        <v/>
      </c>
      <c r="BK549" s="196" t="str">
        <f t="shared" si="62"/>
        <v/>
      </c>
      <c r="BL549" s="295" t="str">
        <f t="shared" si="63"/>
        <v/>
      </c>
    </row>
    <row r="550" spans="1:64" ht="47.25" customHeight="1" x14ac:dyDescent="0.25">
      <c r="A550" s="162" t="str">
        <f>IF(AND(Réputation&gt;Voies!E550-1,OR(C550=TRUE,Calculs!$I$8&gt;0),Air&gt;Voies!J550-1,Eau&gt;Voies!K550-1,Feu&gt;Voies!L550-1,Terre&gt;Voies!M550-1,Vide&gt;Voies!N550-1,Constitution&gt;Voies!O550-1,Volonté&gt;Voies!P550-1,Force&gt;Voies!Q550-1,Perception&gt;Voies!R550-1,Reflexes&gt;Voies!S550-1,Agilité&gt;Voies!T550-1,Intuition&gt;Voies!U550-1,Intelligence&gt;Voies!V550-1,Souillure&gt;Voies!W550-1,Honneur&gt;X550-1,Statut&gt;Y550-1,Gloire&gt;Z550-1,AV550=TRUE),Voies!B550,"")</f>
        <v/>
      </c>
      <c r="B550" s="162" t="s">
        <v>2573</v>
      </c>
      <c r="C550" s="162" t="b">
        <f>IF(Clan=Voies!D551,TRUE,FALSE)</f>
        <v>0</v>
      </c>
      <c r="D550" s="387" t="s">
        <v>20</v>
      </c>
      <c r="E550" s="13">
        <v>0</v>
      </c>
      <c r="F550" s="199">
        <v>0</v>
      </c>
      <c r="G550" s="13" t="s">
        <v>2049</v>
      </c>
      <c r="H550" s="162" t="s">
        <v>2594</v>
      </c>
      <c r="I550" s="129" t="str">
        <f t="shared" si="64"/>
        <v>Rien</v>
      </c>
      <c r="J550" s="146">
        <v>0</v>
      </c>
      <c r="K550" s="147">
        <v>0</v>
      </c>
      <c r="L550" s="148">
        <v>0</v>
      </c>
      <c r="M550" s="149">
        <v>0</v>
      </c>
      <c r="N550" s="150">
        <v>0</v>
      </c>
      <c r="O550" s="130">
        <v>0</v>
      </c>
      <c r="P550" s="130">
        <v>0</v>
      </c>
      <c r="Q550" s="130">
        <v>5</v>
      </c>
      <c r="R550" s="130">
        <v>0</v>
      </c>
      <c r="S550" s="130">
        <v>0</v>
      </c>
      <c r="T550" s="130">
        <v>5</v>
      </c>
      <c r="U550" s="130">
        <v>0</v>
      </c>
      <c r="V550" s="524">
        <v>0</v>
      </c>
      <c r="W550" s="130">
        <v>0</v>
      </c>
      <c r="X550" s="130">
        <v>6</v>
      </c>
      <c r="Y550" s="130">
        <v>0</v>
      </c>
      <c r="Z550" s="130">
        <v>0</v>
      </c>
      <c r="AA550" s="159" t="s">
        <v>2593</v>
      </c>
      <c r="AB550" s="158" t="s">
        <v>231</v>
      </c>
      <c r="AD550" s="158">
        <v>5</v>
      </c>
      <c r="AE550" s="158" t="b">
        <f>IF(AB550="",TRUE,IF(IF(AC550="",VLOOKUP(AB550,Calculs!$A$19:$S$425,19,FALSE),VLOOKUP(AC550,Calculs!$A$19:$S$425,19,FALSE))&gt;=AD550,TRUE,FALSE))</f>
        <v>0</v>
      </c>
      <c r="AI550" s="158" t="b">
        <f>IF(AF550="",TRUE,IF(IF(AG550="",VLOOKUP(AF550,Calculs!$A$19:$S$425,19,FALSE),VLOOKUP(AG550,Calculs!$A$19:$S$425,19,FALSE))&gt;=AH550,TRUE,FALSE))</f>
        <v>1</v>
      </c>
      <c r="AM550" s="158" t="b">
        <f>IF(AJ550="",TRUE,IF(IF(AK550="",VLOOKUP(AJ550,Calculs!$A$19:$S$425,19,FALSE),VLOOKUP(AK550,Calculs!$A$19:$S$425,19,FALSE))&gt;=AL550,TRUE,FALSE))</f>
        <v>1</v>
      </c>
      <c r="AQ550" s="158" t="b">
        <f>IF(AN550="",TRUE,IF(IF(AO550="",VLOOKUP(AN550,Calculs!$A$19:$S$425,19,FALSE),VLOOKUP(AO550,Calculs!$A$19:$S$425,19,FALSE))&gt;=AP550,TRUE,FALSE))</f>
        <v>1</v>
      </c>
      <c r="AR550" s="158"/>
      <c r="AS550" s="158" t="b">
        <f>IF(AR550="",TRUE,IF(VLOOKUP(AR550,Calculs!$A$427:$G$738,7,FALSE)&gt;0,TRUE,FALSE))</f>
        <v>1</v>
      </c>
      <c r="AT550" s="158"/>
      <c r="AU550" s="158" t="b">
        <f>IF(AT550="",TRUE,IF(VLOOKUP(AT550,Calculs!$A$740:$G$912,7,FALSE)&gt;0,TRUE,FALSE))</f>
        <v>1</v>
      </c>
      <c r="AV550" s="158" t="b">
        <f t="shared" si="59"/>
        <v>0</v>
      </c>
      <c r="AW550" s="159" t="s">
        <v>8095</v>
      </c>
      <c r="AX550" s="162" t="s">
        <v>3</v>
      </c>
      <c r="AY550" s="15">
        <v>249</v>
      </c>
      <c r="AZ550" s="555" t="s">
        <v>2655</v>
      </c>
      <c r="BA550" s="559">
        <f>IF(Verso!$B$10=Voies!$B551,1,0)</f>
        <v>0</v>
      </c>
      <c r="BB550" s="12">
        <f>IF(Verso!$B$11=Voies!$B551,1,0)</f>
        <v>0</v>
      </c>
      <c r="BC550" s="12">
        <f>IF(Verso!$B$12=Voies!$B551,1,0)</f>
        <v>0</v>
      </c>
      <c r="BD550" s="12">
        <f>IF(Verso!$B$13=Voies!$B551,1,0)</f>
        <v>0</v>
      </c>
      <c r="BE550" s="12">
        <f>IF(Verso!$B$14=Voies!$B551,1,0)</f>
        <v>0</v>
      </c>
      <c r="BF550" s="12">
        <f>IF(Verso!$B$15=Voies!$B551,1,0)</f>
        <v>0</v>
      </c>
      <c r="BG550" s="12">
        <f>IF(Verso!$B$16=Voies!$B551,1,0)</f>
        <v>0</v>
      </c>
      <c r="BH550" s="12">
        <f>IF(Verso!$B$17=Voies!$B551,1,0)</f>
        <v>0</v>
      </c>
      <c r="BI550" s="557">
        <f t="shared" si="60"/>
        <v>0</v>
      </c>
      <c r="BJ550" s="196" t="str">
        <f t="shared" si="61"/>
        <v/>
      </c>
      <c r="BK550" s="196" t="str">
        <f t="shared" si="62"/>
        <v/>
      </c>
      <c r="BL550" s="295" t="str">
        <f t="shared" si="63"/>
        <v/>
      </c>
    </row>
    <row r="551" spans="1:64" ht="47.25" customHeight="1" x14ac:dyDescent="0.25">
      <c r="A551" s="162" t="str">
        <f>IF(AND(Réputation&gt;Voies!E551-1,OR(C551=TRUE,Calculs!$I$8&gt;0),Air&gt;Voies!J551-1,Eau&gt;Voies!K551-1,Feu&gt;Voies!L551-1,Terre&gt;Voies!M551-1,Vide&gt;Voies!N551-1,Constitution&gt;Voies!O551-1,Volonté&gt;Voies!P551-1,Force&gt;Voies!Q551-1,Perception&gt;Voies!R551-1,Reflexes&gt;Voies!S551-1,Agilité&gt;Voies!T551-1,Intuition&gt;Voies!U551-1,Intelligence&gt;Voies!V551-1,Souillure&gt;Voies!W551-1,Honneur&gt;X551-1,Statut&gt;Y551-1,Gloire&gt;Z551-1,AV551=TRUE),Voies!B551,"")</f>
        <v/>
      </c>
      <c r="B551" s="162" t="s">
        <v>6084</v>
      </c>
      <c r="C551" s="162" t="b">
        <f>IF(Clan=Voies!D552,TRUE,FALSE)</f>
        <v>0</v>
      </c>
      <c r="D551" s="387" t="s">
        <v>20</v>
      </c>
      <c r="E551" s="13">
        <v>0</v>
      </c>
      <c r="F551" s="199">
        <v>0</v>
      </c>
      <c r="G551" s="13" t="s">
        <v>2049</v>
      </c>
      <c r="H551" s="162" t="s">
        <v>419</v>
      </c>
      <c r="I551" s="129" t="str">
        <f t="shared" si="64"/>
        <v>Rien</v>
      </c>
      <c r="J551" s="146">
        <v>0</v>
      </c>
      <c r="K551" s="147">
        <v>4</v>
      </c>
      <c r="L551" s="148">
        <v>0</v>
      </c>
      <c r="M551" s="149">
        <v>0</v>
      </c>
      <c r="N551" s="150">
        <v>0</v>
      </c>
      <c r="O551" s="130">
        <v>0</v>
      </c>
      <c r="P551" s="130">
        <v>0</v>
      </c>
      <c r="Q551" s="130">
        <v>0</v>
      </c>
      <c r="R551" s="130">
        <v>0</v>
      </c>
      <c r="S551" s="130">
        <v>0</v>
      </c>
      <c r="T551" s="130">
        <v>0</v>
      </c>
      <c r="U551" s="130">
        <v>0</v>
      </c>
      <c r="V551" s="524">
        <v>5</v>
      </c>
      <c r="W551" s="130">
        <v>0</v>
      </c>
      <c r="X551" s="130">
        <v>0</v>
      </c>
      <c r="Y551" s="130">
        <v>0</v>
      </c>
      <c r="Z551" s="130">
        <v>0</v>
      </c>
      <c r="AA551" s="159" t="s">
        <v>2858</v>
      </c>
      <c r="AB551" s="158" t="s">
        <v>231</v>
      </c>
      <c r="AC551" s="159" t="s">
        <v>6362</v>
      </c>
      <c r="AD551" s="158">
        <v>5</v>
      </c>
      <c r="AE551" s="158" t="b">
        <f>IF(AB551="",TRUE,IF(IF(AC551="",VLOOKUP(AB551,Calculs!$A$19:$S$425,19,FALSE),VLOOKUP(AC551,Calculs!$A$19:$S$425,19,FALSE))&gt;=AD551,TRUE,FALSE))</f>
        <v>0</v>
      </c>
      <c r="AF551" s="159" t="s">
        <v>3274</v>
      </c>
      <c r="AG551" s="159" t="s">
        <v>3317</v>
      </c>
      <c r="AH551" s="159">
        <v>4</v>
      </c>
      <c r="AI551" s="158" t="b">
        <f>IF(AF551="",TRUE,IF(IF(AG551="",VLOOKUP(AF551,Calculs!$A$19:$S$425,19,FALSE),VLOOKUP(AG551,Calculs!$A$19:$S$425,19,FALSE))&gt;=AH551,TRUE,FALSE))</f>
        <v>0</v>
      </c>
      <c r="AJ551" s="159" t="s">
        <v>3274</v>
      </c>
      <c r="AK551" s="159" t="s">
        <v>3269</v>
      </c>
      <c r="AL551" s="159">
        <v>4</v>
      </c>
      <c r="AM551" s="158" t="b">
        <f>IF(AJ551="",TRUE,IF(IF(AK551="",VLOOKUP(AJ551,Calculs!$A$19:$S$425,19,FALSE),VLOOKUP(AK551,Calculs!$A$19:$S$425,19,FALSE))&gt;=AL551,TRUE,FALSE))</f>
        <v>0</v>
      </c>
      <c r="AQ551" s="158" t="b">
        <f>IF(AN551="",TRUE,IF(IF(AO551="",VLOOKUP(AN551,Calculs!$A$19:$S$425,19,FALSE),VLOOKUP(AO551,Calculs!$A$19:$S$425,19,FALSE))&gt;=AP551,TRUE,FALSE))</f>
        <v>1</v>
      </c>
      <c r="AR551" s="158"/>
      <c r="AS551" s="158" t="b">
        <f>IF(AR551="",TRUE,IF(VLOOKUP(AR551,Calculs!$A$427:$G$738,7,FALSE)&gt;0,TRUE,FALSE))</f>
        <v>1</v>
      </c>
      <c r="AT551" s="158"/>
      <c r="AU551" s="158" t="b">
        <f>IF(AT551="",TRUE,IF(VLOOKUP(AT551,Calculs!$A$740:$G$912,7,FALSE)&gt;0,TRUE,FALSE))</f>
        <v>1</v>
      </c>
      <c r="AV551" s="158" t="b">
        <f t="shared" si="59"/>
        <v>0</v>
      </c>
      <c r="AW551" s="158" t="s">
        <v>2078</v>
      </c>
      <c r="AX551" s="162" t="s">
        <v>6061</v>
      </c>
      <c r="AY551" s="15">
        <v>167</v>
      </c>
      <c r="AZ551" s="555" t="s">
        <v>2861</v>
      </c>
      <c r="BA551" s="559">
        <f>IF(Verso!$B$10=Voies!$B552,1,0)</f>
        <v>0</v>
      </c>
      <c r="BB551" s="12">
        <f>IF(Verso!$B$11=Voies!$B552,1,0)</f>
        <v>0</v>
      </c>
      <c r="BC551" s="12">
        <f>IF(Verso!$B$12=Voies!$B552,1,0)</f>
        <v>0</v>
      </c>
      <c r="BD551" s="12">
        <f>IF(Verso!$B$13=Voies!$B552,1,0)</f>
        <v>0</v>
      </c>
      <c r="BE551" s="12">
        <f>IF(Verso!$B$14=Voies!$B552,1,0)</f>
        <v>0</v>
      </c>
      <c r="BF551" s="12">
        <f>IF(Verso!$B$15=Voies!$B552,1,0)</f>
        <v>0</v>
      </c>
      <c r="BG551" s="12">
        <f>IF(Verso!$B$16=Voies!$B552,1,0)</f>
        <v>0</v>
      </c>
      <c r="BH551" s="12">
        <f>IF(Verso!$B$17=Voies!$B552,1,0)</f>
        <v>0</v>
      </c>
      <c r="BI551" s="557">
        <f t="shared" si="60"/>
        <v>0</v>
      </c>
      <c r="BJ551" s="196" t="str">
        <f t="shared" si="61"/>
        <v/>
      </c>
      <c r="BK551" s="196" t="str">
        <f t="shared" si="62"/>
        <v/>
      </c>
      <c r="BL551" s="295" t="str">
        <f t="shared" si="63"/>
        <v/>
      </c>
    </row>
    <row r="552" spans="1:64" ht="47.25" customHeight="1" x14ac:dyDescent="0.25">
      <c r="A552" s="162" t="str">
        <f>IF(AND(Réputation&gt;Voies!E552-1,OR(C552=TRUE,Calculs!$I$8&gt;0),Air&gt;Voies!J552-1,Eau&gt;Voies!K552-1,Feu&gt;Voies!L552-1,Terre&gt;Voies!M552-1,Vide&gt;Voies!N552-1,Constitution&gt;Voies!O552-1,Volonté&gt;Voies!P552-1,Force&gt;Voies!Q552-1,Perception&gt;Voies!R552-1,Reflexes&gt;Voies!S552-1,Agilité&gt;Voies!T552-1,Intuition&gt;Voies!U552-1,Intelligence&gt;Voies!V552-1,Souillure&gt;Voies!W552-1,Honneur&gt;X552-1,Statut&gt;Y552-1,Gloire&gt;Z552-1,AV552=TRUE),Voies!B552,"")</f>
        <v/>
      </c>
      <c r="B552" s="162" t="s">
        <v>2574</v>
      </c>
      <c r="C552" s="162" t="b">
        <f>IF(Clan=Voies!D553,TRUE,FALSE)</f>
        <v>0</v>
      </c>
      <c r="D552" s="387" t="s">
        <v>20</v>
      </c>
      <c r="E552" s="13">
        <v>0</v>
      </c>
      <c r="F552" s="199">
        <v>0</v>
      </c>
      <c r="G552" s="13" t="s">
        <v>2049</v>
      </c>
      <c r="H552" s="162" t="s">
        <v>418</v>
      </c>
      <c r="I552" s="129" t="str">
        <f t="shared" si="64"/>
        <v>Rien</v>
      </c>
      <c r="J552" s="146">
        <v>0</v>
      </c>
      <c r="K552" s="147">
        <v>0</v>
      </c>
      <c r="L552" s="148">
        <v>0</v>
      </c>
      <c r="M552" s="149">
        <v>0</v>
      </c>
      <c r="N552" s="150">
        <v>0</v>
      </c>
      <c r="O552" s="130">
        <v>0</v>
      </c>
      <c r="P552" s="130">
        <v>0</v>
      </c>
      <c r="Q552" s="130">
        <v>5</v>
      </c>
      <c r="R552" s="130">
        <v>0</v>
      </c>
      <c r="S552" s="130">
        <v>0</v>
      </c>
      <c r="T552" s="130">
        <v>5</v>
      </c>
      <c r="U552" s="130">
        <v>0</v>
      </c>
      <c r="V552" s="524">
        <v>0</v>
      </c>
      <c r="W552" s="130">
        <v>0</v>
      </c>
      <c r="X552" s="130">
        <v>6</v>
      </c>
      <c r="Y552" s="130">
        <v>0</v>
      </c>
      <c r="Z552" s="130">
        <v>0</v>
      </c>
      <c r="AA552" s="159" t="s">
        <v>2593</v>
      </c>
      <c r="AB552" s="158" t="s">
        <v>231</v>
      </c>
      <c r="AD552" s="158">
        <v>5</v>
      </c>
      <c r="AE552" s="158" t="b">
        <f>IF(AB552="",TRUE,IF(IF(AC552="",VLOOKUP(AB552,Calculs!$A$19:$S$425,19,FALSE),VLOOKUP(AC552,Calculs!$A$19:$S$425,19,FALSE))&gt;=AD552,TRUE,FALSE))</f>
        <v>0</v>
      </c>
      <c r="AI552" s="158" t="b">
        <f>IF(AF552="",TRUE,IF(IF(AG552="",VLOOKUP(AF552,Calculs!$A$19:$S$425,19,FALSE),VLOOKUP(AG552,Calculs!$A$19:$S$425,19,FALSE))&gt;=AH552,TRUE,FALSE))</f>
        <v>1</v>
      </c>
      <c r="AM552" s="158" t="b">
        <f>IF(AJ552="",TRUE,IF(IF(AK552="",VLOOKUP(AJ552,Calculs!$A$19:$S$425,19,FALSE),VLOOKUP(AK552,Calculs!$A$19:$S$425,19,FALSE))&gt;=AL552,TRUE,FALSE))</f>
        <v>1</v>
      </c>
      <c r="AQ552" s="158" t="b">
        <f>IF(AN552="",TRUE,IF(IF(AO552="",VLOOKUP(AN552,Calculs!$A$19:$S$425,19,FALSE),VLOOKUP(AO552,Calculs!$A$19:$S$425,19,FALSE))&gt;=AP552,TRUE,FALSE))</f>
        <v>1</v>
      </c>
      <c r="AR552" s="158"/>
      <c r="AS552" s="158" t="b">
        <f>IF(AR552="",TRUE,IF(VLOOKUP(AR552,Calculs!$A$427:$G$738,7,FALSE)&gt;0,TRUE,FALSE))</f>
        <v>1</v>
      </c>
      <c r="AT552" s="158"/>
      <c r="AU552" s="158" t="b">
        <f>IF(AT552="",TRUE,IF(VLOOKUP(AT552,Calculs!$A$740:$G$912,7,FALSE)&gt;0,TRUE,FALSE))</f>
        <v>1</v>
      </c>
      <c r="AV552" s="158" t="b">
        <f t="shared" si="59"/>
        <v>0</v>
      </c>
      <c r="AW552" s="159" t="s">
        <v>8094</v>
      </c>
      <c r="AX552" s="162" t="s">
        <v>3</v>
      </c>
      <c r="AY552" s="15">
        <v>249</v>
      </c>
      <c r="AZ552" s="555" t="s">
        <v>8607</v>
      </c>
      <c r="BA552" s="559">
        <f>IF(Verso!$B$10=Voies!$B553,1,0)</f>
        <v>0</v>
      </c>
      <c r="BB552" s="12">
        <f>IF(Verso!$B$11=Voies!$B553,1,0)</f>
        <v>0</v>
      </c>
      <c r="BC552" s="12">
        <f>IF(Verso!$B$12=Voies!$B553,1,0)</f>
        <v>0</v>
      </c>
      <c r="BD552" s="12">
        <f>IF(Verso!$B$13=Voies!$B553,1,0)</f>
        <v>0</v>
      </c>
      <c r="BE552" s="12">
        <f>IF(Verso!$B$14=Voies!$B553,1,0)</f>
        <v>0</v>
      </c>
      <c r="BF552" s="12">
        <f>IF(Verso!$B$15=Voies!$B553,1,0)</f>
        <v>0</v>
      </c>
      <c r="BG552" s="12">
        <f>IF(Verso!$B$16=Voies!$B553,1,0)</f>
        <v>0</v>
      </c>
      <c r="BH552" s="12">
        <f>IF(Verso!$B$17=Voies!$B553,1,0)</f>
        <v>0</v>
      </c>
      <c r="BI552" s="557">
        <f t="shared" si="60"/>
        <v>0</v>
      </c>
      <c r="BJ552" s="196" t="str">
        <f t="shared" si="61"/>
        <v/>
      </c>
      <c r="BK552" s="196" t="str">
        <f t="shared" si="62"/>
        <v/>
      </c>
      <c r="BL552" s="295" t="str">
        <f t="shared" si="63"/>
        <v/>
      </c>
    </row>
    <row r="553" spans="1:64" ht="47.25" customHeight="1" x14ac:dyDescent="0.25">
      <c r="A553" s="162" t="str">
        <f>IF(AND(Réputation&gt;Voies!E553-1,OR(C553=TRUE,Calculs!$I$8&gt;0),Air&gt;Voies!J553-1,Eau&gt;Voies!K553-1,Feu&gt;Voies!L553-1,Terre&gt;Voies!M553-1,Vide&gt;Voies!N553-1,Constitution&gt;Voies!O553-1,Volonté&gt;Voies!P553-1,Force&gt;Voies!Q553-1,Perception&gt;Voies!R553-1,Reflexes&gt;Voies!S553-1,Agilité&gt;Voies!T553-1,Intuition&gt;Voies!U553-1,Intelligence&gt;Voies!V553-1,Souillure&gt;Voies!W553-1,Honneur&gt;X553-1,Statut&gt;Y553-1,Gloire&gt;Z553-1,AV553=TRUE),Voies!B553,"")</f>
        <v/>
      </c>
      <c r="B553" s="162" t="s">
        <v>2574</v>
      </c>
      <c r="C553" s="162" t="b">
        <f>IF(Clan=Voies!D554,TRUE,FALSE)</f>
        <v>0</v>
      </c>
      <c r="D553" s="387" t="s">
        <v>20</v>
      </c>
      <c r="E553" s="13">
        <v>0</v>
      </c>
      <c r="F553" s="199">
        <v>0</v>
      </c>
      <c r="G553" s="13" t="s">
        <v>2049</v>
      </c>
      <c r="H553" s="162" t="s">
        <v>2594</v>
      </c>
      <c r="I553" s="129" t="str">
        <f t="shared" si="64"/>
        <v>Rien</v>
      </c>
      <c r="J553" s="146">
        <v>0</v>
      </c>
      <c r="K553" s="147">
        <v>0</v>
      </c>
      <c r="L553" s="148">
        <v>0</v>
      </c>
      <c r="M553" s="149">
        <v>0</v>
      </c>
      <c r="N553" s="150">
        <v>0</v>
      </c>
      <c r="O553" s="130">
        <v>0</v>
      </c>
      <c r="P553" s="130">
        <v>0</v>
      </c>
      <c r="Q553" s="130">
        <v>5</v>
      </c>
      <c r="R553" s="130">
        <v>0</v>
      </c>
      <c r="S553" s="130">
        <v>0</v>
      </c>
      <c r="T553" s="130">
        <v>5</v>
      </c>
      <c r="U553" s="130">
        <v>0</v>
      </c>
      <c r="V553" s="524">
        <v>0</v>
      </c>
      <c r="W553" s="130">
        <v>0</v>
      </c>
      <c r="X553" s="130">
        <v>6</v>
      </c>
      <c r="Y553" s="130">
        <v>0</v>
      </c>
      <c r="Z553" s="130">
        <v>0</v>
      </c>
      <c r="AA553" s="159" t="s">
        <v>2593</v>
      </c>
      <c r="AB553" s="158" t="s">
        <v>231</v>
      </c>
      <c r="AD553" s="158">
        <v>5</v>
      </c>
      <c r="AE553" s="158" t="b">
        <f>IF(AB553="",TRUE,IF(IF(AC553="",VLOOKUP(AB553,Calculs!$A$19:$S$425,19,FALSE),VLOOKUP(AC553,Calculs!$A$19:$S$425,19,FALSE))&gt;=AD553,TRUE,FALSE))</f>
        <v>0</v>
      </c>
      <c r="AI553" s="158" t="b">
        <f>IF(AF553="",TRUE,IF(IF(AG553="",VLOOKUP(AF553,Calculs!$A$19:$S$425,19,FALSE),VLOOKUP(AG553,Calculs!$A$19:$S$425,19,FALSE))&gt;=AH553,TRUE,FALSE))</f>
        <v>1</v>
      </c>
      <c r="AM553" s="158" t="b">
        <f>IF(AJ553="",TRUE,IF(IF(AK553="",VLOOKUP(AJ553,Calculs!$A$19:$S$425,19,FALSE),VLOOKUP(AK553,Calculs!$A$19:$S$425,19,FALSE))&gt;=AL553,TRUE,FALSE))</f>
        <v>1</v>
      </c>
      <c r="AQ553" s="158" t="b">
        <f>IF(AN553="",TRUE,IF(IF(AO553="",VLOOKUP(AN553,Calculs!$A$19:$S$425,19,FALSE),VLOOKUP(AO553,Calculs!$A$19:$S$425,19,FALSE))&gt;=AP553,TRUE,FALSE))</f>
        <v>1</v>
      </c>
      <c r="AR553" s="158"/>
      <c r="AS553" s="158" t="b">
        <f>IF(AR553="",TRUE,IF(VLOOKUP(AR553,Calculs!$A$427:$G$738,7,FALSE)&gt;0,TRUE,FALSE))</f>
        <v>1</v>
      </c>
      <c r="AT553" s="158"/>
      <c r="AU553" s="158" t="b">
        <f>IF(AT553="",TRUE,IF(VLOOKUP(AT553,Calculs!$A$740:$G$912,7,FALSE)&gt;0,TRUE,FALSE))</f>
        <v>1</v>
      </c>
      <c r="AV553" s="158" t="b">
        <f t="shared" si="59"/>
        <v>0</v>
      </c>
      <c r="AW553" s="159" t="s">
        <v>8095</v>
      </c>
      <c r="AX553" s="162" t="s">
        <v>3</v>
      </c>
      <c r="AY553" s="15">
        <v>249</v>
      </c>
      <c r="AZ553" s="555" t="s">
        <v>8607</v>
      </c>
      <c r="BA553" s="559">
        <f>IF(Verso!$B$10=Voies!$B554,1,0)</f>
        <v>0</v>
      </c>
      <c r="BB553" s="12">
        <f>IF(Verso!$B$11=Voies!$B554,1,0)</f>
        <v>0</v>
      </c>
      <c r="BC553" s="12">
        <f>IF(Verso!$B$12=Voies!$B554,1,0)</f>
        <v>0</v>
      </c>
      <c r="BD553" s="12">
        <f>IF(Verso!$B$13=Voies!$B554,1,0)</f>
        <v>0</v>
      </c>
      <c r="BE553" s="12">
        <f>IF(Verso!$B$14=Voies!$B554,1,0)</f>
        <v>0</v>
      </c>
      <c r="BF553" s="12">
        <f>IF(Verso!$B$15=Voies!$B554,1,0)</f>
        <v>0</v>
      </c>
      <c r="BG553" s="12">
        <f>IF(Verso!$B$16=Voies!$B554,1,0)</f>
        <v>0</v>
      </c>
      <c r="BH553" s="12">
        <f>IF(Verso!$B$17=Voies!$B554,1,0)</f>
        <v>0</v>
      </c>
      <c r="BI553" s="557">
        <f t="shared" si="60"/>
        <v>0</v>
      </c>
      <c r="BJ553" s="196" t="str">
        <f t="shared" si="61"/>
        <v/>
      </c>
      <c r="BK553" s="196" t="str">
        <f t="shared" si="62"/>
        <v/>
      </c>
      <c r="BL553" s="295" t="str">
        <f t="shared" si="63"/>
        <v/>
      </c>
    </row>
    <row r="554" spans="1:64" ht="47.25" customHeight="1" x14ac:dyDescent="0.25">
      <c r="A554" s="162" t="str">
        <f>IF(AND(Réputation&gt;Voies!E554-1,OR(C554=TRUE,Calculs!$I$8&gt;0),Air&gt;Voies!J554-1,Eau&gt;Voies!K554-1,Feu&gt;Voies!L554-1,Terre&gt;Voies!M554-1,Vide&gt;Voies!N554-1,Constitution&gt;Voies!O554-1,Volonté&gt;Voies!P554-1,Force&gt;Voies!Q554-1,Perception&gt;Voies!R554-1,Reflexes&gt;Voies!S554-1,Agilité&gt;Voies!T554-1,Intuition&gt;Voies!U554-1,Intelligence&gt;Voies!V554-1,Souillure&gt;Voies!W554-1,Honneur&gt;X554-1,Statut&gt;Y554-1,Gloire&gt;Z554-1,AV554=TRUE),Voies!B554,"")</f>
        <v/>
      </c>
      <c r="B554" s="162" t="s">
        <v>2860</v>
      </c>
      <c r="C554" s="162" t="b">
        <f>IF(Clan=Voies!D555,TRUE,FALSE)</f>
        <v>0</v>
      </c>
      <c r="D554" s="387" t="s">
        <v>20</v>
      </c>
      <c r="E554" s="199">
        <v>0</v>
      </c>
      <c r="F554" s="199">
        <v>0</v>
      </c>
      <c r="G554" s="199" t="s">
        <v>2049</v>
      </c>
      <c r="H554" s="162" t="s">
        <v>419</v>
      </c>
      <c r="I554" s="129" t="str">
        <f t="shared" si="64"/>
        <v>Rien</v>
      </c>
      <c r="J554" s="146">
        <v>0</v>
      </c>
      <c r="K554" s="147">
        <v>4</v>
      </c>
      <c r="L554" s="148">
        <v>0</v>
      </c>
      <c r="M554" s="149">
        <v>0</v>
      </c>
      <c r="N554" s="150">
        <v>0</v>
      </c>
      <c r="O554" s="130">
        <v>0</v>
      </c>
      <c r="P554" s="130">
        <v>0</v>
      </c>
      <c r="Q554" s="130">
        <v>0</v>
      </c>
      <c r="R554" s="130">
        <v>0</v>
      </c>
      <c r="S554" s="130">
        <v>0</v>
      </c>
      <c r="T554" s="130">
        <v>0</v>
      </c>
      <c r="U554" s="130">
        <v>0</v>
      </c>
      <c r="V554" s="524">
        <v>5</v>
      </c>
      <c r="W554" s="130">
        <v>0</v>
      </c>
      <c r="X554" s="130">
        <v>0</v>
      </c>
      <c r="Y554" s="130">
        <v>0</v>
      </c>
      <c r="Z554" s="130">
        <v>0</v>
      </c>
      <c r="AA554" s="159" t="s">
        <v>2858</v>
      </c>
      <c r="AB554" s="158" t="s">
        <v>231</v>
      </c>
      <c r="AC554" s="159" t="s">
        <v>6362</v>
      </c>
      <c r="AD554" s="158">
        <v>5</v>
      </c>
      <c r="AE554" s="158" t="b">
        <f>IF(AB554="",TRUE,IF(IF(AC554="",VLOOKUP(AB554,Calculs!$A$19:$S$425,19,FALSE),VLOOKUP(AC554,Calculs!$A$19:$S$425,19,FALSE))&gt;=AD554,TRUE,FALSE))</f>
        <v>0</v>
      </c>
      <c r="AF554" s="159" t="s">
        <v>3274</v>
      </c>
      <c r="AG554" s="159" t="s">
        <v>3317</v>
      </c>
      <c r="AH554" s="159">
        <v>4</v>
      </c>
      <c r="AI554" s="158" t="b">
        <f>IF(AF554="",TRUE,IF(IF(AG554="",VLOOKUP(AF554,Calculs!$A$19:$S$425,19,FALSE),VLOOKUP(AG554,Calculs!$A$19:$S$425,19,FALSE))&gt;=AH554,TRUE,FALSE))</f>
        <v>0</v>
      </c>
      <c r="AJ554" s="159" t="s">
        <v>3274</v>
      </c>
      <c r="AK554" s="159" t="s">
        <v>3269</v>
      </c>
      <c r="AL554" s="159">
        <v>4</v>
      </c>
      <c r="AM554" s="158" t="b">
        <f>IF(AJ554="",TRUE,IF(IF(AK554="",VLOOKUP(AJ554,Calculs!$A$19:$S$425,19,FALSE),VLOOKUP(AK554,Calculs!$A$19:$S$425,19,FALSE))&gt;=AL554,TRUE,FALSE))</f>
        <v>0</v>
      </c>
      <c r="AQ554" s="158" t="b">
        <f>IF(AN554="",TRUE,IF(IF(AO554="",VLOOKUP(AN554,Calculs!$A$19:$S$425,19,FALSE),VLOOKUP(AO554,Calculs!$A$19:$S$425,19,FALSE))&gt;=AP554,TRUE,FALSE))</f>
        <v>1</v>
      </c>
      <c r="AR554" s="158"/>
      <c r="AS554" s="158" t="b">
        <f>IF(AR554="",TRUE,IF(VLOOKUP(AR554,Calculs!$A$427:$G$738,7,FALSE)&gt;0,TRUE,FALSE))</f>
        <v>1</v>
      </c>
      <c r="AT554" s="158"/>
      <c r="AU554" s="158" t="b">
        <f>IF(AT554="",TRUE,IF(VLOOKUP(AT554,Calculs!$A$740:$G$912,7,FALSE)&gt;0,TRUE,FALSE))</f>
        <v>1</v>
      </c>
      <c r="AV554" s="158" t="b">
        <f t="shared" si="59"/>
        <v>0</v>
      </c>
      <c r="AW554" s="158" t="s">
        <v>2078</v>
      </c>
      <c r="AX554" s="162" t="s">
        <v>6061</v>
      </c>
      <c r="AY554" s="15">
        <v>167</v>
      </c>
      <c r="AZ554" s="555" t="s">
        <v>2862</v>
      </c>
      <c r="BA554" s="559">
        <f>IF(Verso!$B$10=Voies!$B555,1,0)</f>
        <v>0</v>
      </c>
      <c r="BB554" s="12">
        <f>IF(Verso!$B$11=Voies!$B555,1,0)</f>
        <v>0</v>
      </c>
      <c r="BC554" s="12">
        <f>IF(Verso!$B$12=Voies!$B555,1,0)</f>
        <v>0</v>
      </c>
      <c r="BD554" s="12">
        <f>IF(Verso!$B$13=Voies!$B555,1,0)</f>
        <v>0</v>
      </c>
      <c r="BE554" s="12">
        <f>IF(Verso!$B$14=Voies!$B555,1,0)</f>
        <v>0</v>
      </c>
      <c r="BF554" s="12">
        <f>IF(Verso!$B$15=Voies!$B555,1,0)</f>
        <v>0</v>
      </c>
      <c r="BG554" s="12">
        <f>IF(Verso!$B$16=Voies!$B555,1,0)</f>
        <v>0</v>
      </c>
      <c r="BH554" s="12">
        <f>IF(Verso!$B$17=Voies!$B555,1,0)</f>
        <v>0</v>
      </c>
      <c r="BI554" s="557">
        <f t="shared" si="60"/>
        <v>0</v>
      </c>
      <c r="BJ554" s="196" t="str">
        <f t="shared" si="61"/>
        <v/>
      </c>
      <c r="BK554" s="196" t="str">
        <f t="shared" si="62"/>
        <v/>
      </c>
      <c r="BL554" s="295" t="str">
        <f t="shared" si="63"/>
        <v/>
      </c>
    </row>
    <row r="555" spans="1:64" ht="47.25" customHeight="1" x14ac:dyDescent="0.25">
      <c r="A555" s="162" t="str">
        <f>IF(AND(Réputation&gt;Voies!E555-1,OR(C555=TRUE,Calculs!$I$8&gt;0),Air&gt;Voies!J555-1,Eau&gt;Voies!K555-1,Feu&gt;Voies!L555-1,Terre&gt;Voies!M555-1,Vide&gt;Voies!N555-1,Constitution&gt;Voies!O555-1,Volonté&gt;Voies!P555-1,Force&gt;Voies!Q555-1,Perception&gt;Voies!R555-1,Reflexes&gt;Voies!S555-1,Agilité&gt;Voies!T555-1,Intuition&gt;Voies!U555-1,Intelligence&gt;Voies!V555-1,Souillure&gt;Voies!W555-1,Honneur&gt;X555-1,Statut&gt;Y555-1,Gloire&gt;Z555-1,AV555=TRUE),Voies!B555,"")</f>
        <v/>
      </c>
      <c r="B555" s="162" t="s">
        <v>2994</v>
      </c>
      <c r="C555" s="162" t="b">
        <f>IF(Clan=Voies!D556,TRUE,FALSE)</f>
        <v>0</v>
      </c>
      <c r="D555" s="387" t="s">
        <v>20</v>
      </c>
      <c r="E555" s="199">
        <v>0</v>
      </c>
      <c r="F555" s="199">
        <v>0</v>
      </c>
      <c r="G555" s="199" t="s">
        <v>2048</v>
      </c>
      <c r="H555" s="162" t="s">
        <v>168</v>
      </c>
      <c r="I555" s="129" t="str">
        <f t="shared" si="64"/>
        <v>Rien</v>
      </c>
      <c r="J555" s="146">
        <v>0</v>
      </c>
      <c r="K555" s="147">
        <v>4</v>
      </c>
      <c r="L555" s="148">
        <v>0</v>
      </c>
      <c r="M555" s="149">
        <v>0</v>
      </c>
      <c r="N555" s="150">
        <v>0</v>
      </c>
      <c r="O555" s="130">
        <v>0</v>
      </c>
      <c r="P555" s="130">
        <v>0</v>
      </c>
      <c r="Q555" s="130">
        <v>0</v>
      </c>
      <c r="R555" s="130">
        <v>0</v>
      </c>
      <c r="S555" s="130">
        <v>0</v>
      </c>
      <c r="T555" s="130">
        <v>0</v>
      </c>
      <c r="U555" s="130">
        <v>3</v>
      </c>
      <c r="V555" s="524">
        <v>0</v>
      </c>
      <c r="W555" s="130">
        <v>0</v>
      </c>
      <c r="X555" s="130">
        <v>0</v>
      </c>
      <c r="Y555" s="130">
        <v>0</v>
      </c>
      <c r="Z555" s="130">
        <v>0</v>
      </c>
      <c r="AA555" s="159" t="s">
        <v>6383</v>
      </c>
      <c r="AB555" s="159" t="s">
        <v>1922</v>
      </c>
      <c r="AD555" s="159">
        <v>4</v>
      </c>
      <c r="AE555" s="158" t="b">
        <f>IF(AB555="",TRUE,IF(IF(AC555="",VLOOKUP(AB555,Calculs!$A$19:$S$425,19,FALSE),VLOOKUP(AC555,Calculs!$A$19:$S$425,19,FALSE))&gt;=AD555,TRUE,FALSE))</f>
        <v>0</v>
      </c>
      <c r="AF555" s="159" t="s">
        <v>1265</v>
      </c>
      <c r="AH555" s="159">
        <v>5</v>
      </c>
      <c r="AI555" s="158" t="b">
        <f>IF(AF555="",TRUE,IF(IF(AG555="",VLOOKUP(AF555,Calculs!$A$19:$S$425,19,FALSE),VLOOKUP(AG555,Calculs!$A$19:$S$425,19,FALSE))&gt;=AH555,TRUE,FALSE))</f>
        <v>0</v>
      </c>
      <c r="AM555" s="158" t="b">
        <f>IF(AJ555="",TRUE,IF(IF(AK555="",VLOOKUP(AJ555,Calculs!$A$19:$S$425,19,FALSE),VLOOKUP(AK555,Calculs!$A$19:$S$425,19,FALSE))&gt;=AL555,TRUE,FALSE))</f>
        <v>1</v>
      </c>
      <c r="AQ555" s="158" t="b">
        <f>IF(AN555="",TRUE,IF(IF(AO555="",VLOOKUP(AN555,Calculs!$A$19:$S$425,19,FALSE),VLOOKUP(AO555,Calculs!$A$19:$S$425,19,FALSE))&gt;=AP555,TRUE,FALSE))</f>
        <v>1</v>
      </c>
      <c r="AR555" s="158"/>
      <c r="AS555" s="158" t="b">
        <f>IF(AR555="",TRUE,IF(VLOOKUP(AR555,Calculs!$A$427:$G$738,7,FALSE)&gt;0,TRUE,FALSE))</f>
        <v>1</v>
      </c>
      <c r="AT555" s="158"/>
      <c r="AU555" s="158" t="b">
        <f>IF(AT555="",TRUE,IF(VLOOKUP(AT555,Calculs!$A$740:$G$912,7,FALSE)&gt;0,TRUE,FALSE))</f>
        <v>1</v>
      </c>
      <c r="AV555" s="158" t="b">
        <f t="shared" si="59"/>
        <v>0</v>
      </c>
      <c r="AW555" s="159" t="s">
        <v>2993</v>
      </c>
      <c r="AX555" s="162" t="s">
        <v>2077</v>
      </c>
      <c r="AY555" s="15">
        <v>241</v>
      </c>
      <c r="AZ555" s="555" t="s">
        <v>2997</v>
      </c>
      <c r="BA555" s="559">
        <f>IF(Verso!$B$10=Voies!$B556,1,0)</f>
        <v>0</v>
      </c>
      <c r="BB555" s="12">
        <f>IF(Verso!$B$11=Voies!$B556,1,0)</f>
        <v>0</v>
      </c>
      <c r="BC555" s="12">
        <f>IF(Verso!$B$12=Voies!$B556,1,0)</f>
        <v>0</v>
      </c>
      <c r="BD555" s="12">
        <f>IF(Verso!$B$13=Voies!$B556,1,0)</f>
        <v>0</v>
      </c>
      <c r="BE555" s="12">
        <f>IF(Verso!$B$14=Voies!$B556,1,0)</f>
        <v>0</v>
      </c>
      <c r="BF555" s="12">
        <f>IF(Verso!$B$15=Voies!$B556,1,0)</f>
        <v>0</v>
      </c>
      <c r="BG555" s="12">
        <f>IF(Verso!$B$16=Voies!$B556,1,0)</f>
        <v>0</v>
      </c>
      <c r="BH555" s="12">
        <f>IF(Verso!$B$17=Voies!$B556,1,0)</f>
        <v>0</v>
      </c>
      <c r="BI555" s="557">
        <f t="shared" si="60"/>
        <v>0</v>
      </c>
      <c r="BJ555" s="196" t="str">
        <f t="shared" si="61"/>
        <v/>
      </c>
      <c r="BK555" s="196" t="str">
        <f t="shared" si="62"/>
        <v/>
      </c>
      <c r="BL555" s="295" t="str">
        <f t="shared" si="63"/>
        <v/>
      </c>
    </row>
    <row r="556" spans="1:64" ht="47.25" customHeight="1" x14ac:dyDescent="0.25">
      <c r="A556" s="162" t="str">
        <f>IF(AND(Réputation&gt;Voies!E556-1,OR(C556=TRUE,Calculs!$I$8&gt;0),Air&gt;Voies!J556-1,Eau&gt;Voies!K556-1,Feu&gt;Voies!L556-1,Terre&gt;Voies!M556-1,Vide&gt;Voies!N556-1,Constitution&gt;Voies!O556-1,Volonté&gt;Voies!P556-1,Force&gt;Voies!Q556-1,Perception&gt;Voies!R556-1,Reflexes&gt;Voies!S556-1,Agilité&gt;Voies!T556-1,Intuition&gt;Voies!U556-1,Intelligence&gt;Voies!V556-1,Souillure&gt;Voies!W556-1,Honneur&gt;X556-1,Statut&gt;Y556-1,Gloire&gt;Z556-1,AV556=TRUE),Voies!B556,"")</f>
        <v/>
      </c>
      <c r="B556" s="162" t="s">
        <v>2995</v>
      </c>
      <c r="C556" s="162" t="b">
        <f>IF(Clan=Voies!D557,TRUE,FALSE)</f>
        <v>0</v>
      </c>
      <c r="D556" s="387" t="s">
        <v>20</v>
      </c>
      <c r="E556" s="199">
        <v>0</v>
      </c>
      <c r="F556" s="199">
        <v>0</v>
      </c>
      <c r="G556" s="199" t="s">
        <v>2048</v>
      </c>
      <c r="H556" s="162" t="s">
        <v>168</v>
      </c>
      <c r="I556" s="129" t="str">
        <f t="shared" si="64"/>
        <v>Rien</v>
      </c>
      <c r="J556" s="146">
        <v>0</v>
      </c>
      <c r="K556" s="147">
        <v>4</v>
      </c>
      <c r="L556" s="148">
        <v>0</v>
      </c>
      <c r="M556" s="149">
        <v>0</v>
      </c>
      <c r="N556" s="150">
        <v>0</v>
      </c>
      <c r="O556" s="130">
        <v>0</v>
      </c>
      <c r="P556" s="130">
        <v>0</v>
      </c>
      <c r="Q556" s="130">
        <v>0</v>
      </c>
      <c r="R556" s="130">
        <v>0</v>
      </c>
      <c r="S556" s="130">
        <v>0</v>
      </c>
      <c r="T556" s="130">
        <v>0</v>
      </c>
      <c r="U556" s="130">
        <v>3</v>
      </c>
      <c r="V556" s="524">
        <v>0</v>
      </c>
      <c r="W556" s="130">
        <v>0</v>
      </c>
      <c r="X556" s="130">
        <v>0</v>
      </c>
      <c r="Y556" s="130">
        <v>0</v>
      </c>
      <c r="Z556" s="130">
        <v>0</v>
      </c>
      <c r="AA556" s="159" t="s">
        <v>6383</v>
      </c>
      <c r="AB556" s="159" t="s">
        <v>1922</v>
      </c>
      <c r="AD556" s="159">
        <v>4</v>
      </c>
      <c r="AE556" s="158" t="b">
        <f>IF(AB556="",TRUE,IF(IF(AC556="",VLOOKUP(AB556,Calculs!$A$19:$S$425,19,FALSE),VLOOKUP(AC556,Calculs!$A$19:$S$425,19,FALSE))&gt;=AD556,TRUE,FALSE))</f>
        <v>0</v>
      </c>
      <c r="AF556" s="159" t="s">
        <v>1265</v>
      </c>
      <c r="AH556" s="159">
        <v>5</v>
      </c>
      <c r="AI556" s="158" t="b">
        <f>IF(AF556="",TRUE,IF(IF(AG556="",VLOOKUP(AF556,Calculs!$A$19:$S$425,19,FALSE),VLOOKUP(AG556,Calculs!$A$19:$S$425,19,FALSE))&gt;=AH556,TRUE,FALSE))</f>
        <v>0</v>
      </c>
      <c r="AM556" s="158" t="b">
        <f>IF(AJ556="",TRUE,IF(IF(AK556="",VLOOKUP(AJ556,Calculs!$A$19:$S$425,19,FALSE),VLOOKUP(AK556,Calculs!$A$19:$S$425,19,FALSE))&gt;=AL556,TRUE,FALSE))</f>
        <v>1</v>
      </c>
      <c r="AQ556" s="158" t="b">
        <f>IF(AN556="",TRUE,IF(IF(AO556="",VLOOKUP(AN556,Calculs!$A$19:$S$425,19,FALSE),VLOOKUP(AO556,Calculs!$A$19:$S$425,19,FALSE))&gt;=AP556,TRUE,FALSE))</f>
        <v>1</v>
      </c>
      <c r="AR556" s="158"/>
      <c r="AS556" s="158" t="b">
        <f>IF(AR556="",TRUE,IF(VLOOKUP(AR556,Calculs!$A$427:$G$738,7,FALSE)&gt;0,TRUE,FALSE))</f>
        <v>1</v>
      </c>
      <c r="AT556" s="158"/>
      <c r="AU556" s="158" t="b">
        <f>IF(AT556="",TRUE,IF(VLOOKUP(AT556,Calculs!$A$740:$G$912,7,FALSE)&gt;0,TRUE,FALSE))</f>
        <v>1</v>
      </c>
      <c r="AV556" s="158" t="b">
        <f t="shared" si="59"/>
        <v>0</v>
      </c>
      <c r="AW556" s="159" t="s">
        <v>2993</v>
      </c>
      <c r="AX556" s="162" t="s">
        <v>2077</v>
      </c>
      <c r="AY556" s="15">
        <v>241</v>
      </c>
      <c r="AZ556" s="566" t="s">
        <v>8608</v>
      </c>
      <c r="BA556" s="559">
        <f>IF(Verso!$B$10=Voies!$B557,1,0)</f>
        <v>0</v>
      </c>
      <c r="BB556" s="12">
        <f>IF(Verso!$B$11=Voies!$B557,1,0)</f>
        <v>0</v>
      </c>
      <c r="BC556" s="12">
        <f>IF(Verso!$B$12=Voies!$B557,1,0)</f>
        <v>0</v>
      </c>
      <c r="BD556" s="12">
        <f>IF(Verso!$B$13=Voies!$B557,1,0)</f>
        <v>0</v>
      </c>
      <c r="BE556" s="12">
        <f>IF(Verso!$B$14=Voies!$B557,1,0)</f>
        <v>0</v>
      </c>
      <c r="BF556" s="12">
        <f>IF(Verso!$B$15=Voies!$B557,1,0)</f>
        <v>0</v>
      </c>
      <c r="BG556" s="12">
        <f>IF(Verso!$B$16=Voies!$B557,1,0)</f>
        <v>0</v>
      </c>
      <c r="BH556" s="12">
        <f>IF(Verso!$B$17=Voies!$B557,1,0)</f>
        <v>0</v>
      </c>
      <c r="BI556" s="557">
        <f t="shared" si="60"/>
        <v>0</v>
      </c>
      <c r="BJ556" s="196" t="str">
        <f t="shared" si="61"/>
        <v/>
      </c>
      <c r="BK556" s="196" t="str">
        <f t="shared" si="62"/>
        <v/>
      </c>
      <c r="BL556" s="295" t="str">
        <f t="shared" si="63"/>
        <v/>
      </c>
    </row>
    <row r="557" spans="1:64" ht="47.25" customHeight="1" x14ac:dyDescent="0.25">
      <c r="A557" s="162" t="str">
        <f>IF(AND(Réputation&gt;Voies!E557-1,OR(C557=TRUE,Calculs!$I$8&gt;0),Air&gt;Voies!J557-1,Eau&gt;Voies!K557-1,Feu&gt;Voies!L557-1,Terre&gt;Voies!M557-1,Vide&gt;Voies!N557-1,Constitution&gt;Voies!O557-1,Volonté&gt;Voies!P557-1,Force&gt;Voies!Q557-1,Perception&gt;Voies!R557-1,Reflexes&gt;Voies!S557-1,Agilité&gt;Voies!T557-1,Intuition&gt;Voies!U557-1,Intelligence&gt;Voies!V557-1,Souillure&gt;Voies!W557-1,Honneur&gt;X557-1,Statut&gt;Y557-1,Gloire&gt;Z557-1,AV557=TRUE),Voies!B557,"")</f>
        <v/>
      </c>
      <c r="B557" s="162" t="s">
        <v>2996</v>
      </c>
      <c r="C557" s="162" t="b">
        <f>IF(Clan=Voies!D558,TRUE,FALSE)</f>
        <v>0</v>
      </c>
      <c r="D557" s="387" t="s">
        <v>20</v>
      </c>
      <c r="E557" s="199">
        <v>0</v>
      </c>
      <c r="F557" s="199">
        <v>0</v>
      </c>
      <c r="G557" s="199" t="s">
        <v>2048</v>
      </c>
      <c r="H557" s="162" t="s">
        <v>168</v>
      </c>
      <c r="I557" s="129" t="str">
        <f t="shared" si="64"/>
        <v>Rien</v>
      </c>
      <c r="J557" s="146">
        <v>0</v>
      </c>
      <c r="K557" s="147">
        <v>4</v>
      </c>
      <c r="L557" s="148">
        <v>0</v>
      </c>
      <c r="M557" s="149">
        <v>0</v>
      </c>
      <c r="N557" s="150">
        <v>0</v>
      </c>
      <c r="O557" s="130">
        <v>0</v>
      </c>
      <c r="P557" s="130">
        <v>0</v>
      </c>
      <c r="Q557" s="130">
        <v>0</v>
      </c>
      <c r="R557" s="130">
        <v>0</v>
      </c>
      <c r="S557" s="130">
        <v>0</v>
      </c>
      <c r="T557" s="130">
        <v>0</v>
      </c>
      <c r="U557" s="130">
        <v>3</v>
      </c>
      <c r="V557" s="524">
        <v>0</v>
      </c>
      <c r="W557" s="130">
        <v>0</v>
      </c>
      <c r="X557" s="130">
        <v>0</v>
      </c>
      <c r="Y557" s="130">
        <v>0</v>
      </c>
      <c r="Z557" s="130">
        <v>0</v>
      </c>
      <c r="AA557" s="159" t="s">
        <v>6342</v>
      </c>
      <c r="AB557" s="159" t="s">
        <v>1922</v>
      </c>
      <c r="AD557" s="159">
        <v>4</v>
      </c>
      <c r="AE557" s="158" t="b">
        <f>IF(AB557="",TRUE,IF(IF(AC557="",VLOOKUP(AB557,Calculs!$A$19:$S$425,19,FALSE),VLOOKUP(AC557,Calculs!$A$19:$S$425,19,FALSE))&gt;=AD557,TRUE,FALSE))</f>
        <v>0</v>
      </c>
      <c r="AF557" s="159" t="s">
        <v>1265</v>
      </c>
      <c r="AH557" s="159">
        <v>5</v>
      </c>
      <c r="AI557" s="158" t="b">
        <f>IF(AF557="",TRUE,IF(IF(AG557="",VLOOKUP(AF557,Calculs!$A$19:$S$425,19,FALSE),VLOOKUP(AG557,Calculs!$A$19:$S$425,19,FALSE))&gt;=AH557,TRUE,FALSE))</f>
        <v>0</v>
      </c>
      <c r="AM557" s="158" t="b">
        <f>IF(AJ557="",TRUE,IF(IF(AK557="",VLOOKUP(AJ557,Calculs!$A$19:$S$425,19,FALSE),VLOOKUP(AK557,Calculs!$A$19:$S$425,19,FALSE))&gt;=AL557,TRUE,FALSE))</f>
        <v>1</v>
      </c>
      <c r="AQ557" s="158" t="b">
        <f>IF(AN557="",TRUE,IF(IF(AO557="",VLOOKUP(AN557,Calculs!$A$19:$S$425,19,FALSE),VLOOKUP(AO557,Calculs!$A$19:$S$425,19,FALSE))&gt;=AP557,TRUE,FALSE))</f>
        <v>1</v>
      </c>
      <c r="AR557" s="158"/>
      <c r="AS557" s="158" t="b">
        <f>IF(AR557="",TRUE,IF(VLOOKUP(AR557,Calculs!$A$427:$G$738,7,FALSE)&gt;0,TRUE,FALSE))</f>
        <v>1</v>
      </c>
      <c r="AT557" s="158"/>
      <c r="AU557" s="158" t="b">
        <f>IF(AT557="",TRUE,IF(VLOOKUP(AT557,Calculs!$A$740:$G$912,7,FALSE)&gt;0,TRUE,FALSE))</f>
        <v>1</v>
      </c>
      <c r="AV557" s="158" t="b">
        <f t="shared" si="59"/>
        <v>0</v>
      </c>
      <c r="AW557" s="159" t="s">
        <v>2993</v>
      </c>
      <c r="AX557" s="162" t="s">
        <v>2077</v>
      </c>
      <c r="AY557" s="15">
        <v>241</v>
      </c>
      <c r="AZ557" s="555" t="s">
        <v>2998</v>
      </c>
      <c r="BA557" s="559">
        <f>IF(Verso!$B$10=Voies!$B558,1,0)</f>
        <v>0</v>
      </c>
      <c r="BB557" s="12">
        <f>IF(Verso!$B$11=Voies!$B558,1,0)</f>
        <v>0</v>
      </c>
      <c r="BC557" s="12">
        <f>IF(Verso!$B$12=Voies!$B558,1,0)</f>
        <v>0</v>
      </c>
      <c r="BD557" s="12">
        <f>IF(Verso!$B$13=Voies!$B558,1,0)</f>
        <v>0</v>
      </c>
      <c r="BE557" s="12">
        <f>IF(Verso!$B$14=Voies!$B558,1,0)</f>
        <v>0</v>
      </c>
      <c r="BF557" s="12">
        <f>IF(Verso!$B$15=Voies!$B558,1,0)</f>
        <v>0</v>
      </c>
      <c r="BG557" s="12">
        <f>IF(Verso!$B$16=Voies!$B558,1,0)</f>
        <v>0</v>
      </c>
      <c r="BH557" s="12">
        <f>IF(Verso!$B$17=Voies!$B558,1,0)</f>
        <v>0</v>
      </c>
      <c r="BI557" s="557">
        <f t="shared" si="60"/>
        <v>0</v>
      </c>
      <c r="BJ557" s="196" t="str">
        <f t="shared" si="61"/>
        <v/>
      </c>
      <c r="BK557" s="196" t="str">
        <f t="shared" si="62"/>
        <v/>
      </c>
      <c r="BL557" s="295" t="str">
        <f t="shared" si="63"/>
        <v/>
      </c>
    </row>
    <row r="558" spans="1:64" ht="47.25" customHeight="1" x14ac:dyDescent="0.25">
      <c r="A558" s="162" t="str">
        <f>IF(AND(Réputation&gt;Voies!E558-1,OR(C558=TRUE,Calculs!$I$8&gt;0),Air&gt;Voies!J558-1,Eau&gt;Voies!K558-1,Feu&gt;Voies!L558-1,Terre&gt;Voies!M558-1,Vide&gt;Voies!N558-1,Constitution&gt;Voies!O558-1,Volonté&gt;Voies!P558-1,Force&gt;Voies!Q558-1,Perception&gt;Voies!R558-1,Reflexes&gt;Voies!S558-1,Agilité&gt;Voies!T558-1,Intuition&gt;Voies!U558-1,Intelligence&gt;Voies!V558-1,Souillure&gt;Voies!W558-1,Honneur&gt;X558-1,Statut&gt;Y558-1,Gloire&gt;Z558-1,AV558=TRUE),Voies!B558,"")</f>
        <v/>
      </c>
      <c r="B558" s="162" t="s">
        <v>2460</v>
      </c>
      <c r="C558" s="162" t="b">
        <f>IF(Clan=Voies!D559,TRUE,FALSE)</f>
        <v>0</v>
      </c>
      <c r="D558" s="388" t="s">
        <v>20</v>
      </c>
      <c r="E558" s="199">
        <v>1</v>
      </c>
      <c r="F558" s="199">
        <v>1</v>
      </c>
      <c r="G558" s="199" t="s">
        <v>2049</v>
      </c>
      <c r="H558" s="219" t="s">
        <v>208</v>
      </c>
      <c r="I558" s="129" t="str">
        <f t="shared" si="64"/>
        <v>Rien</v>
      </c>
      <c r="J558" s="146">
        <v>0</v>
      </c>
      <c r="K558" s="147">
        <v>0</v>
      </c>
      <c r="L558" s="148">
        <v>0</v>
      </c>
      <c r="M558" s="149">
        <v>0</v>
      </c>
      <c r="N558" s="150">
        <v>0</v>
      </c>
      <c r="O558" s="130">
        <v>0</v>
      </c>
      <c r="P558" s="130">
        <v>0</v>
      </c>
      <c r="Q558" s="130">
        <v>0</v>
      </c>
      <c r="R558" s="130">
        <v>0</v>
      </c>
      <c r="S558" s="130">
        <v>0</v>
      </c>
      <c r="T558" s="130">
        <v>0</v>
      </c>
      <c r="U558" s="130">
        <v>0</v>
      </c>
      <c r="V558" s="524">
        <v>0</v>
      </c>
      <c r="W558" s="130">
        <v>0</v>
      </c>
      <c r="X558" s="130">
        <v>0</v>
      </c>
      <c r="Y558" s="130">
        <v>0</v>
      </c>
      <c r="Z558" s="130">
        <v>0</v>
      </c>
      <c r="AA558" s="158" t="s">
        <v>2078</v>
      </c>
      <c r="AB558" s="158"/>
      <c r="AC558" s="158"/>
      <c r="AD558" s="158"/>
      <c r="AE558" s="158" t="b">
        <f>IF(AB558="",TRUE,IF(IF(AC558="",VLOOKUP(AB558,Calculs!$A$19:$S$425,19,FALSE),VLOOKUP(AC558,Calculs!$A$19:$S$425,19,FALSE))&gt;=AD558,TRUE,FALSE))</f>
        <v>1</v>
      </c>
      <c r="AF558" s="158"/>
      <c r="AG558" s="158"/>
      <c r="AH558" s="158"/>
      <c r="AI558" s="158" t="b">
        <f>IF(AF558="",TRUE,IF(IF(AG558="",VLOOKUP(AF558,Calculs!$A$19:$S$425,19,FALSE),VLOOKUP(AG558,Calculs!$A$19:$S$425,19,FALSE))&gt;=AH558,TRUE,FALSE))</f>
        <v>1</v>
      </c>
      <c r="AJ558" s="158"/>
      <c r="AK558" s="158"/>
      <c r="AL558" s="158"/>
      <c r="AM558" s="158" t="b">
        <f>IF(AJ558="",TRUE,IF(IF(AK558="",VLOOKUP(AJ558,Calculs!$A$19:$S$425,19,FALSE),VLOOKUP(AK558,Calculs!$A$19:$S$425,19,FALSE))&gt;=AL558,TRUE,FALSE))</f>
        <v>1</v>
      </c>
      <c r="AN558" s="158"/>
      <c r="AO558" s="158"/>
      <c r="AP558" s="158"/>
      <c r="AQ558" s="158" t="b">
        <f>IF(AN558="",TRUE,IF(IF(AO558="",VLOOKUP(AN558,Calculs!$A$19:$S$425,19,FALSE),VLOOKUP(AO558,Calculs!$A$19:$S$425,19,FALSE))&gt;=AP558,TRUE,FALSE))</f>
        <v>1</v>
      </c>
      <c r="AR558" s="158"/>
      <c r="AS558" s="158" t="b">
        <f>IF(AR558="",TRUE,IF(VLOOKUP(AR558,Calculs!$A$427:$G$738,7,FALSE)&gt;0,TRUE,FALSE))</f>
        <v>1</v>
      </c>
      <c r="AT558" s="158"/>
      <c r="AU558" s="158" t="b">
        <f>IF(AT558="",TRUE,IF(VLOOKUP(AT558,Calculs!$A$740:$G$912,7,FALSE)&gt;0,TRUE,FALSE))</f>
        <v>1</v>
      </c>
      <c r="AV558" s="158" t="b">
        <f t="shared" si="59"/>
        <v>1</v>
      </c>
      <c r="AW558" s="158" t="s">
        <v>2078</v>
      </c>
      <c r="AX558" s="162" t="s">
        <v>3</v>
      </c>
      <c r="AY558" s="15">
        <v>122</v>
      </c>
      <c r="AZ558" s="555" t="str">
        <f>CONCATENATE("+",Honneur," aux dégâts. En Posture d'Assaut, mvmt de 1,50m supplémentaire par Tour en plus du Bonus de déplacement déjà conféré par votre posture (maximum valeur de mvmt max)")</f>
        <v>+0 aux dégâts. En Posture d'Assaut, mvmt de 1,50m supplémentaire par Tour en plus du Bonus de déplacement déjà conféré par votre posture (maximum valeur de mvmt max)</v>
      </c>
      <c r="BA558" s="559">
        <f>IF(Verso!$B$10=Voies!$B559,1,0)</f>
        <v>0</v>
      </c>
      <c r="BB558" s="12">
        <f>IF(Verso!$B$11=Voies!$B559,1,0)</f>
        <v>0</v>
      </c>
      <c r="BC558" s="12">
        <f>IF(Verso!$B$12=Voies!$B559,1,0)</f>
        <v>0</v>
      </c>
      <c r="BD558" s="12">
        <f>IF(Verso!$B$13=Voies!$B559,1,0)</f>
        <v>0</v>
      </c>
      <c r="BE558" s="12">
        <f>IF(Verso!$B$14=Voies!$B559,1,0)</f>
        <v>0</v>
      </c>
      <c r="BF558" s="12">
        <f>IF(Verso!$B$15=Voies!$B559,1,0)</f>
        <v>0</v>
      </c>
      <c r="BG558" s="12">
        <f>IF(Verso!$B$16=Voies!$B559,1,0)</f>
        <v>0</v>
      </c>
      <c r="BH558" s="12">
        <f>IF(Verso!$B$17=Voies!$B559,1,0)</f>
        <v>0</v>
      </c>
      <c r="BI558" s="557">
        <f t="shared" si="60"/>
        <v>0</v>
      </c>
      <c r="BJ558" s="196" t="str">
        <f t="shared" si="61"/>
        <v/>
      </c>
      <c r="BK558" s="196" t="str">
        <f t="shared" si="62"/>
        <v/>
      </c>
      <c r="BL558" s="295" t="str">
        <f t="shared" si="63"/>
        <v/>
      </c>
    </row>
    <row r="559" spans="1:64" ht="47.25" customHeight="1" x14ac:dyDescent="0.25">
      <c r="A559" s="162" t="str">
        <f>IF(AND(Réputation&gt;Voies!E559-1,OR(C559=TRUE,Calculs!$I$8&gt;0),Air&gt;Voies!J559-1,Eau&gt;Voies!K559-1,Feu&gt;Voies!L559-1,Terre&gt;Voies!M559-1,Vide&gt;Voies!N559-1,Constitution&gt;Voies!O559-1,Volonté&gt;Voies!P559-1,Force&gt;Voies!Q559-1,Perception&gt;Voies!R559-1,Reflexes&gt;Voies!S559-1,Agilité&gt;Voies!T559-1,Intuition&gt;Voies!U559-1,Intelligence&gt;Voies!V559-1,Souillure&gt;Voies!W559-1,Honneur&gt;X559-1,Statut&gt;Y559-1,Gloire&gt;Z559-1,AV559=TRUE),Voies!B559,"")</f>
        <v/>
      </c>
      <c r="B559" s="162" t="s">
        <v>2442</v>
      </c>
      <c r="C559" s="162" t="b">
        <f>IF(Clan=Voies!D560,TRUE,FALSE)</f>
        <v>0</v>
      </c>
      <c r="D559" s="388" t="s">
        <v>20</v>
      </c>
      <c r="E559" s="13">
        <v>1</v>
      </c>
      <c r="F559" s="199">
        <v>1</v>
      </c>
      <c r="G559" s="13" t="s">
        <v>2049</v>
      </c>
      <c r="H559" s="219" t="s">
        <v>203</v>
      </c>
      <c r="I559" s="129" t="str">
        <f t="shared" si="64"/>
        <v>Rien</v>
      </c>
      <c r="J559" s="146">
        <v>0</v>
      </c>
      <c r="K559" s="147">
        <v>0</v>
      </c>
      <c r="L559" s="148">
        <v>0</v>
      </c>
      <c r="M559" s="149">
        <v>0</v>
      </c>
      <c r="N559" s="150">
        <v>0</v>
      </c>
      <c r="O559" s="130">
        <v>0</v>
      </c>
      <c r="P559" s="130">
        <v>0</v>
      </c>
      <c r="Q559" s="130">
        <v>0</v>
      </c>
      <c r="R559" s="130">
        <v>0</v>
      </c>
      <c r="S559" s="130">
        <v>0</v>
      </c>
      <c r="T559" s="130">
        <v>0</v>
      </c>
      <c r="U559" s="130">
        <v>0</v>
      </c>
      <c r="V559" s="524">
        <v>0</v>
      </c>
      <c r="W559" s="130">
        <v>0</v>
      </c>
      <c r="X559" s="130">
        <v>0</v>
      </c>
      <c r="Y559" s="130">
        <v>0</v>
      </c>
      <c r="Z559" s="130">
        <v>0</v>
      </c>
      <c r="AA559" s="158" t="s">
        <v>2078</v>
      </c>
      <c r="AB559" s="158"/>
      <c r="AC559" s="158"/>
      <c r="AD559" s="158"/>
      <c r="AE559" s="158" t="b">
        <f>IF(AB559="",TRUE,IF(IF(AC559="",VLOOKUP(AB559,Calculs!$A$19:$S$425,19,FALSE),VLOOKUP(AC559,Calculs!$A$19:$S$425,19,FALSE))&gt;=AD559,TRUE,FALSE))</f>
        <v>1</v>
      </c>
      <c r="AF559" s="158"/>
      <c r="AG559" s="158"/>
      <c r="AH559" s="158"/>
      <c r="AI559" s="158" t="b">
        <f>IF(AF559="",TRUE,IF(IF(AG559="",VLOOKUP(AF559,Calculs!$A$19:$S$425,19,FALSE),VLOOKUP(AG559,Calculs!$A$19:$S$425,19,FALSE))&gt;=AH559,TRUE,FALSE))</f>
        <v>1</v>
      </c>
      <c r="AJ559" s="158"/>
      <c r="AK559" s="158"/>
      <c r="AL559" s="158"/>
      <c r="AM559" s="158" t="b">
        <f>IF(AJ559="",TRUE,IF(IF(AK559="",VLOOKUP(AJ559,Calculs!$A$19:$S$425,19,FALSE),VLOOKUP(AK559,Calculs!$A$19:$S$425,19,FALSE))&gt;=AL559,TRUE,FALSE))</f>
        <v>1</v>
      </c>
      <c r="AN559" s="158"/>
      <c r="AO559" s="158"/>
      <c r="AP559" s="158"/>
      <c r="AQ559" s="158" t="b">
        <f>IF(AN559="",TRUE,IF(IF(AO559="",VLOOKUP(AN559,Calculs!$A$19:$S$425,19,FALSE),VLOOKUP(AO559,Calculs!$A$19:$S$425,19,FALSE))&gt;=AP559,TRUE,FALSE))</f>
        <v>1</v>
      </c>
      <c r="AR559" s="158"/>
      <c r="AS559" s="158" t="b">
        <f>IF(AR559="",TRUE,IF(VLOOKUP(AR559,Calculs!$A$427:$G$738,7,FALSE)&gt;0,TRUE,FALSE))</f>
        <v>1</v>
      </c>
      <c r="AT559" s="158"/>
      <c r="AU559" s="158" t="b">
        <f>IF(AT559="",TRUE,IF(VLOOKUP(AT559,Calculs!$A$740:$G$912,7,FALSE)&gt;0,TRUE,FALSE))</f>
        <v>1</v>
      </c>
      <c r="AV559" s="158" t="b">
        <f t="shared" si="59"/>
        <v>1</v>
      </c>
      <c r="AW559" s="158" t="s">
        <v>2078</v>
      </c>
      <c r="AX559" s="162" t="s">
        <v>3</v>
      </c>
      <c r="AY559" s="15">
        <v>120</v>
      </c>
      <c r="AZ559" s="555" t="s">
        <v>8609</v>
      </c>
      <c r="BA559" s="559">
        <f>IF(Verso!$B$10=Voies!$B560,1,0)</f>
        <v>0</v>
      </c>
      <c r="BB559" s="12">
        <f>IF(Verso!$B$11=Voies!$B560,1,0)</f>
        <v>0</v>
      </c>
      <c r="BC559" s="12">
        <f>IF(Verso!$B$12=Voies!$B560,1,0)</f>
        <v>0</v>
      </c>
      <c r="BD559" s="12">
        <f>IF(Verso!$B$13=Voies!$B560,1,0)</f>
        <v>0</v>
      </c>
      <c r="BE559" s="12">
        <f>IF(Verso!$B$14=Voies!$B560,1,0)</f>
        <v>0</v>
      </c>
      <c r="BF559" s="12">
        <f>IF(Verso!$B$15=Voies!$B560,1,0)</f>
        <v>0</v>
      </c>
      <c r="BG559" s="12">
        <f>IF(Verso!$B$16=Voies!$B560,1,0)</f>
        <v>0</v>
      </c>
      <c r="BH559" s="12">
        <f>IF(Verso!$B$17=Voies!$B560,1,0)</f>
        <v>0</v>
      </c>
      <c r="BI559" s="557">
        <f t="shared" si="60"/>
        <v>0</v>
      </c>
      <c r="BJ559" s="196" t="str">
        <f t="shared" si="61"/>
        <v/>
      </c>
      <c r="BK559" s="196" t="str">
        <f t="shared" si="62"/>
        <v/>
      </c>
      <c r="BL559" s="295" t="str">
        <f t="shared" si="63"/>
        <v/>
      </c>
    </row>
    <row r="560" spans="1:64" ht="47.25" customHeight="1" x14ac:dyDescent="0.25">
      <c r="A560" s="162" t="str">
        <f>IF(AND(Réputation&gt;Voies!E560-1,OR(C560=TRUE,Calculs!$I$8&gt;0),Air&gt;Voies!J560-1,Eau&gt;Voies!K560-1,Feu&gt;Voies!L560-1,Terre&gt;Voies!M560-1,Vide&gt;Voies!N560-1,Constitution&gt;Voies!O560-1,Volonté&gt;Voies!P560-1,Force&gt;Voies!Q560-1,Perception&gt;Voies!R560-1,Reflexes&gt;Voies!S560-1,Agilité&gt;Voies!T560-1,Intuition&gt;Voies!U560-1,Intelligence&gt;Voies!V560-1,Souillure&gt;Voies!W560-1,Honneur&gt;X560-1,Statut&gt;Y560-1,Gloire&gt;Z560-1,AV560=TRUE),Voies!B560,"")</f>
        <v/>
      </c>
      <c r="B560" s="162" t="s">
        <v>6080</v>
      </c>
      <c r="C560" s="162" t="b">
        <f>IF(Clan=Voies!D561,TRUE,FALSE)</f>
        <v>0</v>
      </c>
      <c r="D560" s="387" t="s">
        <v>20</v>
      </c>
      <c r="E560" s="13">
        <v>1</v>
      </c>
      <c r="F560" s="199">
        <v>1</v>
      </c>
      <c r="G560" s="13" t="s">
        <v>2049</v>
      </c>
      <c r="H560" s="219" t="s">
        <v>1937</v>
      </c>
      <c r="I560" s="129" t="str">
        <f t="shared" si="64"/>
        <v>Rien</v>
      </c>
      <c r="J560" s="146">
        <v>0</v>
      </c>
      <c r="K560" s="147">
        <v>0</v>
      </c>
      <c r="L560" s="148">
        <v>0</v>
      </c>
      <c r="M560" s="149">
        <v>0</v>
      </c>
      <c r="N560" s="150">
        <v>0</v>
      </c>
      <c r="O560" s="130">
        <v>0</v>
      </c>
      <c r="P560" s="130">
        <v>0</v>
      </c>
      <c r="Q560" s="130">
        <v>0</v>
      </c>
      <c r="R560" s="130">
        <v>0</v>
      </c>
      <c r="S560" s="130">
        <v>0</v>
      </c>
      <c r="T560" s="130">
        <v>0</v>
      </c>
      <c r="U560" s="130">
        <v>0</v>
      </c>
      <c r="V560" s="524">
        <v>0</v>
      </c>
      <c r="W560" s="130">
        <v>0</v>
      </c>
      <c r="X560" s="130">
        <v>0</v>
      </c>
      <c r="Y560" s="130">
        <v>0</v>
      </c>
      <c r="Z560" s="130">
        <v>0</v>
      </c>
      <c r="AA560" s="158" t="s">
        <v>2078</v>
      </c>
      <c r="AB560" s="158"/>
      <c r="AC560" s="158"/>
      <c r="AD560" s="158"/>
      <c r="AE560" s="158" t="b">
        <f>IF(AB560="",TRUE,IF(IF(AC560="",VLOOKUP(AB560,Calculs!$A$19:$S$425,19,FALSE),VLOOKUP(AC560,Calculs!$A$19:$S$425,19,FALSE))&gt;=AD560,TRUE,FALSE))</f>
        <v>1</v>
      </c>
      <c r="AF560" s="158"/>
      <c r="AG560" s="158"/>
      <c r="AH560" s="158"/>
      <c r="AI560" s="158" t="b">
        <f>IF(AF560="",TRUE,IF(IF(AG560="",VLOOKUP(AF560,Calculs!$A$19:$S$425,19,FALSE),VLOOKUP(AG560,Calculs!$A$19:$S$425,19,FALSE))&gt;=AH560,TRUE,FALSE))</f>
        <v>1</v>
      </c>
      <c r="AJ560" s="158"/>
      <c r="AK560" s="158"/>
      <c r="AL560" s="158"/>
      <c r="AM560" s="158" t="b">
        <f>IF(AJ560="",TRUE,IF(IF(AK560="",VLOOKUP(AJ560,Calculs!$A$19:$S$425,19,FALSE),VLOOKUP(AK560,Calculs!$A$19:$S$425,19,FALSE))&gt;=AL560,TRUE,FALSE))</f>
        <v>1</v>
      </c>
      <c r="AN560" s="158"/>
      <c r="AO560" s="158"/>
      <c r="AP560" s="158"/>
      <c r="AQ560" s="158" t="b">
        <f>IF(AN560="",TRUE,IF(IF(AO560="",VLOOKUP(AN560,Calculs!$A$19:$S$425,19,FALSE),VLOOKUP(AO560,Calculs!$A$19:$S$425,19,FALSE))&gt;=AP560,TRUE,FALSE))</f>
        <v>1</v>
      </c>
      <c r="AR560" s="158"/>
      <c r="AS560" s="158" t="b">
        <f>IF(AR560="",TRUE,IF(VLOOKUP(AR560,Calculs!$A$427:$G$738,7,FALSE)&gt;0,TRUE,FALSE))</f>
        <v>1</v>
      </c>
      <c r="AT560" s="158"/>
      <c r="AU560" s="158" t="b">
        <f>IF(AT560="",TRUE,IF(VLOOKUP(AT560,Calculs!$A$740:$G$912,7,FALSE)&gt;0,TRUE,FALSE))</f>
        <v>1</v>
      </c>
      <c r="AV560" s="158" t="b">
        <f t="shared" si="59"/>
        <v>1</v>
      </c>
      <c r="AW560" s="158" t="s">
        <v>2078</v>
      </c>
      <c r="AX560" s="162" t="s">
        <v>6061</v>
      </c>
      <c r="AY560" s="15">
        <v>165</v>
      </c>
      <c r="AZ560" s="555" t="s">
        <v>8610</v>
      </c>
      <c r="BA560" s="559">
        <f>IF(Verso!$B$10=Voies!$B561,1,0)</f>
        <v>0</v>
      </c>
      <c r="BB560" s="12">
        <f>IF(Verso!$B$11=Voies!$B561,1,0)</f>
        <v>0</v>
      </c>
      <c r="BC560" s="12">
        <f>IF(Verso!$B$12=Voies!$B561,1,0)</f>
        <v>0</v>
      </c>
      <c r="BD560" s="12">
        <f>IF(Verso!$B$13=Voies!$B561,1,0)</f>
        <v>0</v>
      </c>
      <c r="BE560" s="12">
        <f>IF(Verso!$B$14=Voies!$B561,1,0)</f>
        <v>0</v>
      </c>
      <c r="BF560" s="12">
        <f>IF(Verso!$B$15=Voies!$B561,1,0)</f>
        <v>0</v>
      </c>
      <c r="BG560" s="12">
        <f>IF(Verso!$B$16=Voies!$B561,1,0)</f>
        <v>0</v>
      </c>
      <c r="BH560" s="12">
        <f>IF(Verso!$B$17=Voies!$B561,1,0)</f>
        <v>0</v>
      </c>
      <c r="BI560" s="557">
        <f t="shared" si="60"/>
        <v>0</v>
      </c>
      <c r="BJ560" s="196" t="str">
        <f t="shared" si="61"/>
        <v/>
      </c>
      <c r="BK560" s="196" t="str">
        <f t="shared" si="62"/>
        <v/>
      </c>
      <c r="BL560" s="295" t="str">
        <f t="shared" si="63"/>
        <v/>
      </c>
    </row>
    <row r="561" spans="1:65" ht="47.25" customHeight="1" x14ac:dyDescent="0.25">
      <c r="A561" s="162" t="str">
        <f>IF(AND(Réputation&gt;Voies!E561-1,OR(C561=TRUE,Calculs!$I$8&gt;0),Air&gt;Voies!J561-1,Eau&gt;Voies!K561-1,Feu&gt;Voies!L561-1,Terre&gt;Voies!M561-1,Vide&gt;Voies!N561-1,Constitution&gt;Voies!O561-1,Volonté&gt;Voies!P561-1,Force&gt;Voies!Q561-1,Perception&gt;Voies!R561-1,Reflexes&gt;Voies!S561-1,Agilité&gt;Voies!T561-1,Intuition&gt;Voies!U561-1,Intelligence&gt;Voies!V561-1,Souillure&gt;Voies!W561-1,Honneur&gt;X561-1,Statut&gt;Y561-1,Gloire&gt;Z561-1,AV561=TRUE),Voies!B561,"")</f>
        <v/>
      </c>
      <c r="B561" s="162" t="s">
        <v>2911</v>
      </c>
      <c r="C561" s="162" t="b">
        <f>IF(Clan=Voies!D562,TRUE,FALSE)</f>
        <v>0</v>
      </c>
      <c r="D561" s="388" t="s">
        <v>20</v>
      </c>
      <c r="E561" s="199">
        <v>1</v>
      </c>
      <c r="F561" s="199">
        <v>1</v>
      </c>
      <c r="G561" s="199" t="s">
        <v>2049</v>
      </c>
      <c r="H561" s="219" t="s">
        <v>207</v>
      </c>
      <c r="I561" s="129" t="str">
        <f t="shared" si="64"/>
        <v>Rien</v>
      </c>
      <c r="J561" s="146">
        <v>0</v>
      </c>
      <c r="K561" s="147">
        <v>0</v>
      </c>
      <c r="L561" s="148">
        <v>0</v>
      </c>
      <c r="M561" s="149">
        <v>0</v>
      </c>
      <c r="N561" s="150">
        <v>0</v>
      </c>
      <c r="O561" s="130">
        <v>0</v>
      </c>
      <c r="P561" s="130">
        <v>0</v>
      </c>
      <c r="Q561" s="130">
        <v>0</v>
      </c>
      <c r="R561" s="130">
        <v>0</v>
      </c>
      <c r="S561" s="130">
        <v>0</v>
      </c>
      <c r="T561" s="130">
        <v>0</v>
      </c>
      <c r="U561" s="130">
        <v>0</v>
      </c>
      <c r="V561" s="524">
        <v>0</v>
      </c>
      <c r="W561" s="130">
        <v>0</v>
      </c>
      <c r="X561" s="130">
        <v>0</v>
      </c>
      <c r="Y561" s="130">
        <v>0</v>
      </c>
      <c r="Z561" s="130">
        <v>0</v>
      </c>
      <c r="AA561" s="158" t="s">
        <v>2078</v>
      </c>
      <c r="AB561" s="158"/>
      <c r="AC561" s="158"/>
      <c r="AD561" s="158"/>
      <c r="AE561" s="158" t="b">
        <f>IF(AB561="",TRUE,IF(IF(AC561="",VLOOKUP(AB561,Calculs!$A$19:$S$425,19,FALSE),VLOOKUP(AC561,Calculs!$A$19:$S$425,19,FALSE))&gt;=AD561,TRUE,FALSE))</f>
        <v>1</v>
      </c>
      <c r="AF561" s="158"/>
      <c r="AG561" s="158"/>
      <c r="AH561" s="158"/>
      <c r="AI561" s="158" t="b">
        <f>IF(AF561="",TRUE,IF(IF(AG561="",VLOOKUP(AF561,Calculs!$A$19:$S$425,19,FALSE),VLOOKUP(AG561,Calculs!$A$19:$S$425,19,FALSE))&gt;=AH561,TRUE,FALSE))</f>
        <v>1</v>
      </c>
      <c r="AJ561" s="158"/>
      <c r="AK561" s="158"/>
      <c r="AL561" s="158"/>
      <c r="AM561" s="158" t="b">
        <f>IF(AJ561="",TRUE,IF(IF(AK561="",VLOOKUP(AJ561,Calculs!$A$19:$S$425,19,FALSE),VLOOKUP(AK561,Calculs!$A$19:$S$425,19,FALSE))&gt;=AL561,TRUE,FALSE))</f>
        <v>1</v>
      </c>
      <c r="AN561" s="158"/>
      <c r="AO561" s="158"/>
      <c r="AP561" s="158"/>
      <c r="AQ561" s="158" t="b">
        <f>IF(AN561="",TRUE,IF(IF(AO561="",VLOOKUP(AN561,Calculs!$A$19:$S$425,19,FALSE),VLOOKUP(AO561,Calculs!$A$19:$S$425,19,FALSE))&gt;=AP561,TRUE,FALSE))</f>
        <v>1</v>
      </c>
      <c r="AR561" s="158"/>
      <c r="AS561" s="158" t="b">
        <f>IF(AR561="",TRUE,IF(VLOOKUP(AR561,Calculs!$A$427:$G$738,7,FALSE)&gt;0,TRUE,FALSE))</f>
        <v>1</v>
      </c>
      <c r="AT561" s="158"/>
      <c r="AU561" s="158" t="b">
        <f>IF(AT561="",TRUE,IF(VLOOKUP(AT561,Calculs!$A$740:$G$912,7,FALSE)&gt;0,TRUE,FALSE))</f>
        <v>1</v>
      </c>
      <c r="AV561" s="158" t="b">
        <f t="shared" si="59"/>
        <v>1</v>
      </c>
      <c r="AW561" s="158" t="s">
        <v>2078</v>
      </c>
      <c r="AX561" s="162" t="s">
        <v>2910</v>
      </c>
      <c r="AY561" s="15">
        <v>8</v>
      </c>
      <c r="AZ561" s="566" t="s">
        <v>8611</v>
      </c>
      <c r="BA561" s="559">
        <f>IF(Verso!$B$10=Voies!$B562,1,0)</f>
        <v>0</v>
      </c>
      <c r="BB561" s="12">
        <f>IF(Verso!$B$11=Voies!$B562,1,0)</f>
        <v>0</v>
      </c>
      <c r="BC561" s="12">
        <f>IF(Verso!$B$12=Voies!$B562,1,0)</f>
        <v>0</v>
      </c>
      <c r="BD561" s="12">
        <f>IF(Verso!$B$13=Voies!$B562,1,0)</f>
        <v>0</v>
      </c>
      <c r="BE561" s="12">
        <f>IF(Verso!$B$14=Voies!$B562,1,0)</f>
        <v>0</v>
      </c>
      <c r="BF561" s="12">
        <f>IF(Verso!$B$15=Voies!$B562,1,0)</f>
        <v>0</v>
      </c>
      <c r="BG561" s="12">
        <f>IF(Verso!$B$16=Voies!$B562,1,0)</f>
        <v>0</v>
      </c>
      <c r="BH561" s="12">
        <f>IF(Verso!$B$17=Voies!$B562,1,0)</f>
        <v>0</v>
      </c>
      <c r="BI561" s="557">
        <f t="shared" si="60"/>
        <v>0</v>
      </c>
      <c r="BJ561" s="196" t="str">
        <f t="shared" si="61"/>
        <v/>
      </c>
      <c r="BK561" s="196" t="str">
        <f t="shared" si="62"/>
        <v/>
      </c>
      <c r="BL561" s="295" t="str">
        <f t="shared" si="63"/>
        <v/>
      </c>
    </row>
    <row r="562" spans="1:65" ht="47.25" customHeight="1" x14ac:dyDescent="0.25">
      <c r="A562" s="162" t="str">
        <f>IF(AND(Réputation&gt;Voies!E562-1,OR(C562=TRUE,Calculs!$I$8&gt;0),Air&gt;Voies!J562-1,Eau&gt;Voies!K562-1,Feu&gt;Voies!L562-1,Terre&gt;Voies!M562-1,Vide&gt;Voies!N562-1,Constitution&gt;Voies!O562-1,Volonté&gt;Voies!P562-1,Force&gt;Voies!Q562-1,Perception&gt;Voies!R562-1,Reflexes&gt;Voies!S562-1,Agilité&gt;Voies!T562-1,Intuition&gt;Voies!U562-1,Intelligence&gt;Voies!V562-1,Souillure&gt;Voies!W562-1,Honneur&gt;X562-1,Statut&gt;Y562-1,Gloire&gt;Z562-1,AV562=TRUE),Voies!B562,"")</f>
        <v/>
      </c>
      <c r="B562" s="162" t="s">
        <v>4832</v>
      </c>
      <c r="C562" s="162" t="b">
        <f>IF(Clan=Voies!D563,TRUE,FALSE)</f>
        <v>0</v>
      </c>
      <c r="D562" s="388" t="s">
        <v>20</v>
      </c>
      <c r="E562" s="13">
        <v>1</v>
      </c>
      <c r="F562" s="199">
        <v>1</v>
      </c>
      <c r="G562" s="13" t="s">
        <v>2049</v>
      </c>
      <c r="H562" s="219" t="s">
        <v>205</v>
      </c>
      <c r="I562" s="129" t="str">
        <f t="shared" si="64"/>
        <v>Rien</v>
      </c>
      <c r="J562" s="146">
        <v>0</v>
      </c>
      <c r="K562" s="147">
        <v>0</v>
      </c>
      <c r="L562" s="148">
        <v>0</v>
      </c>
      <c r="M562" s="149">
        <v>0</v>
      </c>
      <c r="N562" s="150">
        <v>0</v>
      </c>
      <c r="O562" s="130">
        <v>0</v>
      </c>
      <c r="P562" s="130">
        <v>0</v>
      </c>
      <c r="Q562" s="130">
        <v>0</v>
      </c>
      <c r="R562" s="130">
        <v>0</v>
      </c>
      <c r="S562" s="130">
        <v>0</v>
      </c>
      <c r="T562" s="130">
        <v>0</v>
      </c>
      <c r="U562" s="130">
        <v>0</v>
      </c>
      <c r="V562" s="524">
        <v>0</v>
      </c>
      <c r="W562" s="130">
        <v>0</v>
      </c>
      <c r="X562" s="130">
        <v>0</v>
      </c>
      <c r="Y562" s="130">
        <v>0</v>
      </c>
      <c r="Z562" s="130">
        <v>0</v>
      </c>
      <c r="AA562" s="158" t="s">
        <v>2078</v>
      </c>
      <c r="AB562" s="158"/>
      <c r="AC562" s="158"/>
      <c r="AD562" s="158"/>
      <c r="AE562" s="158" t="b">
        <f>IF(AB562="",TRUE,IF(IF(AC562="",VLOOKUP(AB562,Calculs!$A$19:$S$425,19,FALSE),VLOOKUP(AC562,Calculs!$A$19:$S$425,19,FALSE))&gt;=AD562,TRUE,FALSE))</f>
        <v>1</v>
      </c>
      <c r="AF562" s="158"/>
      <c r="AG562" s="158"/>
      <c r="AH562" s="158"/>
      <c r="AI562" s="158" t="b">
        <f>IF(AF562="",TRUE,IF(IF(AG562="",VLOOKUP(AF562,Calculs!$A$19:$S$425,19,FALSE),VLOOKUP(AG562,Calculs!$A$19:$S$425,19,FALSE))&gt;=AH562,TRUE,FALSE))</f>
        <v>1</v>
      </c>
      <c r="AJ562" s="158"/>
      <c r="AK562" s="158"/>
      <c r="AL562" s="158"/>
      <c r="AM562" s="158" t="b">
        <f>IF(AJ562="",TRUE,IF(IF(AK562="",VLOOKUP(AJ562,Calculs!$A$19:$S$425,19,FALSE),VLOOKUP(AK562,Calculs!$A$19:$S$425,19,FALSE))&gt;=AL562,TRUE,FALSE))</f>
        <v>1</v>
      </c>
      <c r="AN562" s="158"/>
      <c r="AO562" s="158"/>
      <c r="AP562" s="158"/>
      <c r="AQ562" s="158" t="b">
        <f>IF(AN562="",TRUE,IF(IF(AO562="",VLOOKUP(AN562,Calculs!$A$19:$S$425,19,FALSE),VLOOKUP(AO562,Calculs!$A$19:$S$425,19,FALSE))&gt;=AP562,TRUE,FALSE))</f>
        <v>1</v>
      </c>
      <c r="AR562" s="158"/>
      <c r="AS562" s="158" t="b">
        <f>IF(AR562="",TRUE,IF(VLOOKUP(AR562,Calculs!$A$427:$G$738,7,FALSE)&gt;0,TRUE,FALSE))</f>
        <v>1</v>
      </c>
      <c r="AT562" s="158"/>
      <c r="AU562" s="158" t="b">
        <f>IF(AT562="",TRUE,IF(VLOOKUP(AT562,Calculs!$A$740:$G$912,7,FALSE)&gt;0,TRUE,FALSE))</f>
        <v>1</v>
      </c>
      <c r="AV562" s="158" t="b">
        <f t="shared" si="59"/>
        <v>1</v>
      </c>
      <c r="AW562" s="158" t="s">
        <v>2078</v>
      </c>
      <c r="AX562" s="162" t="s">
        <v>5202</v>
      </c>
      <c r="AY562" s="15">
        <v>109</v>
      </c>
      <c r="AZ562" s="555" t="s">
        <v>8612</v>
      </c>
      <c r="BA562" s="559">
        <f>IF(Verso!$B$10=Voies!$B563,1,0)</f>
        <v>0</v>
      </c>
      <c r="BB562" s="12">
        <f>IF(Verso!$B$11=Voies!$B563,1,0)</f>
        <v>0</v>
      </c>
      <c r="BC562" s="12">
        <f>IF(Verso!$B$12=Voies!$B563,1,0)</f>
        <v>0</v>
      </c>
      <c r="BD562" s="12">
        <f>IF(Verso!$B$13=Voies!$B563,1,0)</f>
        <v>0</v>
      </c>
      <c r="BE562" s="12">
        <f>IF(Verso!$B$14=Voies!$B563,1,0)</f>
        <v>0</v>
      </c>
      <c r="BF562" s="12">
        <f>IF(Verso!$B$15=Voies!$B563,1,0)</f>
        <v>0</v>
      </c>
      <c r="BG562" s="12">
        <f>IF(Verso!$B$16=Voies!$B563,1,0)</f>
        <v>0</v>
      </c>
      <c r="BH562" s="12">
        <f>IF(Verso!$B$17=Voies!$B563,1,0)</f>
        <v>0</v>
      </c>
      <c r="BI562" s="557">
        <f t="shared" si="60"/>
        <v>0</v>
      </c>
      <c r="BJ562" s="196" t="str">
        <f t="shared" si="61"/>
        <v/>
      </c>
      <c r="BK562" s="196" t="str">
        <f t="shared" si="62"/>
        <v/>
      </c>
      <c r="BL562" s="295" t="str">
        <f t="shared" si="63"/>
        <v/>
      </c>
    </row>
    <row r="563" spans="1:65" ht="47.25" customHeight="1" x14ac:dyDescent="0.25">
      <c r="A563" s="162" t="str">
        <f>IF(AND(Réputation&gt;Voies!E563-1,OR(C563=TRUE,Calculs!$I$8&gt;0),Air&gt;Voies!J563-1,Eau&gt;Voies!K563-1,Feu&gt;Voies!L563-1,Terre&gt;Voies!M563-1,Vide&gt;Voies!N563-1,Constitution&gt;Voies!O563-1,Volonté&gt;Voies!P563-1,Force&gt;Voies!Q563-1,Perception&gt;Voies!R563-1,Reflexes&gt;Voies!S563-1,Agilité&gt;Voies!T563-1,Intuition&gt;Voies!U563-1,Intelligence&gt;Voies!V563-1,Souillure&gt;Voies!W563-1,Honneur&gt;X563-1,Statut&gt;Y563-1,Gloire&gt;Z563-1,AV563=TRUE),Voies!B563,"")</f>
        <v/>
      </c>
      <c r="B563" s="162" t="s">
        <v>3158</v>
      </c>
      <c r="C563" s="162" t="b">
        <f>IF(Clan=Voies!D564,TRUE,FALSE)</f>
        <v>0</v>
      </c>
      <c r="D563" s="387" t="s">
        <v>20</v>
      </c>
      <c r="E563" s="13">
        <v>1</v>
      </c>
      <c r="F563" s="199">
        <v>1</v>
      </c>
      <c r="G563" s="13" t="s">
        <v>2049</v>
      </c>
      <c r="H563" s="219" t="s">
        <v>504</v>
      </c>
      <c r="I563" s="129" t="s">
        <v>3157</v>
      </c>
      <c r="J563" s="146">
        <v>0</v>
      </c>
      <c r="K563" s="147">
        <v>0</v>
      </c>
      <c r="L563" s="148">
        <v>0</v>
      </c>
      <c r="M563" s="149">
        <v>0</v>
      </c>
      <c r="N563" s="150">
        <v>0</v>
      </c>
      <c r="O563" s="130">
        <v>0</v>
      </c>
      <c r="P563" s="130">
        <v>0</v>
      </c>
      <c r="Q563" s="130">
        <v>0</v>
      </c>
      <c r="R563" s="130">
        <v>0</v>
      </c>
      <c r="S563" s="130">
        <v>0</v>
      </c>
      <c r="T563" s="130">
        <v>0</v>
      </c>
      <c r="U563" s="130">
        <v>0</v>
      </c>
      <c r="V563" s="524">
        <v>0</v>
      </c>
      <c r="W563" s="130">
        <v>0</v>
      </c>
      <c r="X563" s="130">
        <v>6</v>
      </c>
      <c r="Y563" s="130">
        <v>0</v>
      </c>
      <c r="Z563" s="130">
        <v>0</v>
      </c>
      <c r="AA563" s="158" t="s">
        <v>2078</v>
      </c>
      <c r="AB563" s="158"/>
      <c r="AC563" s="158"/>
      <c r="AD563" s="158"/>
      <c r="AE563" s="158" t="b">
        <f>IF(AB563="",TRUE,IF(IF(AC563="",VLOOKUP(AB563,Calculs!$A$19:$S$425,19,FALSE),VLOOKUP(AC563,Calculs!$A$19:$S$425,19,FALSE))&gt;=AD563,TRUE,FALSE))</f>
        <v>1</v>
      </c>
      <c r="AF563" s="158"/>
      <c r="AG563" s="158"/>
      <c r="AH563" s="158"/>
      <c r="AI563" s="158" t="b">
        <f>IF(AF563="",TRUE,IF(IF(AG563="",VLOOKUP(AF563,Calculs!$A$19:$S$425,19,FALSE),VLOOKUP(AG563,Calculs!$A$19:$S$425,19,FALSE))&gt;=AH563,TRUE,FALSE))</f>
        <v>1</v>
      </c>
      <c r="AJ563" s="158"/>
      <c r="AK563" s="158"/>
      <c r="AL563" s="158"/>
      <c r="AM563" s="158" t="b">
        <f>IF(AJ563="",TRUE,IF(IF(AK563="",VLOOKUP(AJ563,Calculs!$A$19:$S$425,19,FALSE),VLOOKUP(AK563,Calculs!$A$19:$S$425,19,FALSE))&gt;=AL563,TRUE,FALSE))</f>
        <v>1</v>
      </c>
      <c r="AN563" s="158"/>
      <c r="AO563" s="158"/>
      <c r="AP563" s="158"/>
      <c r="AQ563" s="158" t="b">
        <f>IF(AN563="",TRUE,IF(IF(AO563="",VLOOKUP(AN563,Calculs!$A$19:$S$425,19,FALSE),VLOOKUP(AO563,Calculs!$A$19:$S$425,19,FALSE))&gt;=AP563,TRUE,FALSE))</f>
        <v>1</v>
      </c>
      <c r="AR563" s="158"/>
      <c r="AS563" s="158" t="b">
        <f>IF(AR563="",TRUE,IF(VLOOKUP(AR563,Calculs!$A$427:$G$738,7,FALSE)&gt;0,TRUE,FALSE))</f>
        <v>1</v>
      </c>
      <c r="AT563" s="158"/>
      <c r="AU563" s="158" t="b">
        <f>IF(AT563="",TRUE,IF(VLOOKUP(AT563,Calculs!$A$740:$G$912,7,FALSE)&gt;0,TRUE,FALSE))</f>
        <v>1</v>
      </c>
      <c r="AV563" s="158" t="b">
        <f t="shared" si="59"/>
        <v>1</v>
      </c>
      <c r="AW563" s="159" t="s">
        <v>8096</v>
      </c>
      <c r="AX563" s="162" t="s">
        <v>3</v>
      </c>
      <c r="AY563" s="15">
        <v>253</v>
      </c>
      <c r="AZ563" s="555" t="str">
        <f>CONCATENATE("Bonus, Compétences, Honneur et Equipement d'une école de base du Lion au choix. Une fois par round +",Honneur," à un jet de Dommages mais alors pénalité au ND d'armure de -5. +1g0 aux Attaques en Posture d'Assaut.")</f>
        <v>Bonus, Compétences, Honneur et Equipement d'une école de base du Lion au choix. Une fois par round +0 à un jet de Dommages mais alors pénalité au ND d'armure de -5. +1g0 aux Attaques en Posture d'Assaut.</v>
      </c>
      <c r="BA563" s="559">
        <f>IF(Verso!$B$10=Voies!$B564,1,0)</f>
        <v>0</v>
      </c>
      <c r="BB563" s="12">
        <f>IF(Verso!$B$11=Voies!$B564,1,0)</f>
        <v>0</v>
      </c>
      <c r="BC563" s="12">
        <f>IF(Verso!$B$12=Voies!$B564,1,0)</f>
        <v>0</v>
      </c>
      <c r="BD563" s="12">
        <f>IF(Verso!$B$13=Voies!$B564,1,0)</f>
        <v>0</v>
      </c>
      <c r="BE563" s="12">
        <f>IF(Verso!$B$14=Voies!$B564,1,0)</f>
        <v>0</v>
      </c>
      <c r="BF563" s="12">
        <f>IF(Verso!$B$15=Voies!$B564,1,0)</f>
        <v>0</v>
      </c>
      <c r="BG563" s="12">
        <f>IF(Verso!$B$16=Voies!$B564,1,0)</f>
        <v>0</v>
      </c>
      <c r="BH563" s="12">
        <f>IF(Verso!$B$17=Voies!$B564,1,0)</f>
        <v>0</v>
      </c>
      <c r="BI563" s="557">
        <f t="shared" si="60"/>
        <v>0</v>
      </c>
      <c r="BJ563" s="196" t="str">
        <f t="shared" si="61"/>
        <v/>
      </c>
      <c r="BK563" s="196" t="str">
        <f t="shared" si="62"/>
        <v/>
      </c>
      <c r="BL563" s="295" t="str">
        <f t="shared" si="63"/>
        <v/>
      </c>
    </row>
    <row r="564" spans="1:65" ht="47.25" customHeight="1" x14ac:dyDescent="0.25">
      <c r="A564" s="162" t="str">
        <f>IF(AND(Réputation&gt;Voies!E564-1,OR(C564=TRUE,Calculs!$I$8&gt;0),Air&gt;Voies!J564-1,Eau&gt;Voies!K564-1,Feu&gt;Voies!L564-1,Terre&gt;Voies!M564-1,Vide&gt;Voies!N564-1,Constitution&gt;Voies!O564-1,Volonté&gt;Voies!P564-1,Force&gt;Voies!Q564-1,Perception&gt;Voies!R564-1,Reflexes&gt;Voies!S564-1,Agilité&gt;Voies!T564-1,Intuition&gt;Voies!U564-1,Intelligence&gt;Voies!V564-1,Souillure&gt;Voies!W564-1,Honneur&gt;X564-1,Statut&gt;Y564-1,Gloire&gt;Z564-1,AV564=TRUE),Voies!B564,"")</f>
        <v/>
      </c>
      <c r="B564" s="162" t="s">
        <v>7825</v>
      </c>
      <c r="C564" s="162" t="b">
        <f>IF(Clan=Voies!D565,TRUE,FALSE)</f>
        <v>0</v>
      </c>
      <c r="D564" s="388" t="s">
        <v>20</v>
      </c>
      <c r="E564" s="13">
        <v>1</v>
      </c>
      <c r="F564" s="199">
        <v>1</v>
      </c>
      <c r="G564" s="13" t="s">
        <v>2049</v>
      </c>
      <c r="H564" s="162" t="s">
        <v>7791</v>
      </c>
      <c r="I564" s="129" t="str">
        <f>IF(B564="","","Rien")</f>
        <v>Rien</v>
      </c>
      <c r="J564" s="146">
        <v>0</v>
      </c>
      <c r="K564" s="147">
        <v>0</v>
      </c>
      <c r="L564" s="148">
        <v>0</v>
      </c>
      <c r="M564" s="149">
        <v>0</v>
      </c>
      <c r="N564" s="150">
        <v>0</v>
      </c>
      <c r="O564" s="130">
        <v>0</v>
      </c>
      <c r="P564" s="130">
        <v>0</v>
      </c>
      <c r="Q564" s="130">
        <v>0</v>
      </c>
      <c r="R564" s="130">
        <v>0</v>
      </c>
      <c r="S564" s="130">
        <v>0</v>
      </c>
      <c r="T564" s="130">
        <v>0</v>
      </c>
      <c r="U564" s="130">
        <v>0</v>
      </c>
      <c r="V564" s="524">
        <v>0</v>
      </c>
      <c r="W564" s="130">
        <v>0</v>
      </c>
      <c r="X564" s="130">
        <v>0</v>
      </c>
      <c r="Y564" s="130">
        <v>0</v>
      </c>
      <c r="Z564" s="130">
        <v>0</v>
      </c>
      <c r="AA564" s="158" t="s">
        <v>2078</v>
      </c>
      <c r="AB564" s="158"/>
      <c r="AC564" s="158"/>
      <c r="AD564" s="158"/>
      <c r="AE564" s="158" t="b">
        <f>IF(AB564="",TRUE,IF(IF(AC564="",VLOOKUP(AB564,Calculs!$A$19:$S$425,19,FALSE),VLOOKUP(AC564,Calculs!$A$19:$S$425,19,FALSE))&gt;=AD564,TRUE,FALSE))</f>
        <v>1</v>
      </c>
      <c r="AF564" s="158"/>
      <c r="AG564" s="158"/>
      <c r="AH564" s="158"/>
      <c r="AI564" s="158" t="b">
        <f>IF(AF564="",TRUE,IF(IF(AG564="",VLOOKUP(AF564,Calculs!$A$19:$S$425,19,FALSE),VLOOKUP(AG564,Calculs!$A$19:$S$425,19,FALSE))&gt;=AH564,TRUE,FALSE))</f>
        <v>1</v>
      </c>
      <c r="AJ564" s="158"/>
      <c r="AK564" s="158"/>
      <c r="AL564" s="158"/>
      <c r="AM564" s="158" t="b">
        <f>IF(AJ564="",TRUE,IF(IF(AK564="",VLOOKUP(AJ564,Calculs!$A$19:$S$425,19,FALSE),VLOOKUP(AK564,Calculs!$A$19:$S$425,19,FALSE))&gt;=AL564,TRUE,FALSE))</f>
        <v>1</v>
      </c>
      <c r="AN564" s="158"/>
      <c r="AO564" s="158"/>
      <c r="AP564" s="158"/>
      <c r="AQ564" s="158" t="b">
        <f>IF(AN564="",TRUE,IF(IF(AO564="",VLOOKUP(AN564,Calculs!$A$19:$S$425,19,FALSE),VLOOKUP(AO564,Calculs!$A$19:$S$425,19,FALSE))&gt;=AP564,TRUE,FALSE))</f>
        <v>1</v>
      </c>
      <c r="AR564" s="158"/>
      <c r="AS564" s="158" t="b">
        <f>IF(AR564="",TRUE,IF(VLOOKUP(AR564,Calculs!$A$427:$G$738,7,FALSE)&gt;0,TRUE,FALSE))</f>
        <v>1</v>
      </c>
      <c r="AT564" s="158"/>
      <c r="AU564" s="158" t="b">
        <f>IF(AT564="",TRUE,IF(VLOOKUP(AT564,Calculs!$A$740:$G$912,7,FALSE)&gt;0,TRUE,FALSE))</f>
        <v>1</v>
      </c>
      <c r="AV564" s="158" t="b">
        <f t="shared" si="59"/>
        <v>1</v>
      </c>
      <c r="AW564" s="158" t="s">
        <v>2078</v>
      </c>
      <c r="AX564" s="162" t="s">
        <v>7226</v>
      </c>
      <c r="AY564" s="15">
        <v>68</v>
      </c>
      <c r="AZ564" s="555" t="str">
        <f>CONCATENATE("Ajoutez ",Intuition," au résultat de tous vos jets.")</f>
        <v>Ajoutez 2 au résultat de tous vos jets.</v>
      </c>
      <c r="BA564" s="559">
        <f>IF(Verso!$B$10=Voies!$B565,1,0)</f>
        <v>0</v>
      </c>
      <c r="BB564" s="12">
        <f>IF(Verso!$B$11=Voies!$B565,1,0)</f>
        <v>0</v>
      </c>
      <c r="BC564" s="12">
        <f>IF(Verso!$B$12=Voies!$B565,1,0)</f>
        <v>0</v>
      </c>
      <c r="BD564" s="12">
        <f>IF(Verso!$B$13=Voies!$B565,1,0)</f>
        <v>0</v>
      </c>
      <c r="BE564" s="12">
        <f>IF(Verso!$B$14=Voies!$B565,1,0)</f>
        <v>0</v>
      </c>
      <c r="BF564" s="12">
        <f>IF(Verso!$B$15=Voies!$B565,1,0)</f>
        <v>0</v>
      </c>
      <c r="BG564" s="12">
        <f>IF(Verso!$B$16=Voies!$B565,1,0)</f>
        <v>0</v>
      </c>
      <c r="BH564" s="12">
        <f>IF(Verso!$B$17=Voies!$B565,1,0)</f>
        <v>0</v>
      </c>
      <c r="BI564" s="557">
        <f t="shared" si="60"/>
        <v>0</v>
      </c>
      <c r="BJ564" s="196" t="str">
        <f t="shared" si="61"/>
        <v/>
      </c>
      <c r="BK564" s="196" t="str">
        <f t="shared" si="62"/>
        <v/>
      </c>
      <c r="BL564" s="295" t="str">
        <f t="shared" si="63"/>
        <v/>
      </c>
    </row>
    <row r="565" spans="1:65" ht="47.25" customHeight="1" x14ac:dyDescent="0.25">
      <c r="A565" s="162" t="str">
        <f>IF(AND(Réputation&gt;Voies!E565-1,OR(C565=TRUE,Calculs!$I$8&gt;0),Air&gt;Voies!J565-1,Eau&gt;Voies!K565-1,Feu&gt;Voies!L565-1,Terre&gt;Voies!M565-1,Vide&gt;Voies!N565-1,Constitution&gt;Voies!O565-1,Volonté&gt;Voies!P565-1,Force&gt;Voies!Q565-1,Perception&gt;Voies!R565-1,Reflexes&gt;Voies!S565-1,Agilité&gt;Voies!T565-1,Intuition&gt;Voies!U565-1,Intelligence&gt;Voies!V565-1,Souillure&gt;Voies!W565-1,Honneur&gt;X565-1,Statut&gt;Y565-1,Gloire&gt;Z565-1,AV565=TRUE),Voies!B565,"")</f>
        <v/>
      </c>
      <c r="B565" s="162" t="s">
        <v>2452</v>
      </c>
      <c r="C565" s="162" t="b">
        <f>IF(Clan=Voies!D566,TRUE,FALSE)</f>
        <v>0</v>
      </c>
      <c r="D565" s="388" t="s">
        <v>20</v>
      </c>
      <c r="E565" s="13">
        <v>1</v>
      </c>
      <c r="F565" s="199">
        <v>1</v>
      </c>
      <c r="G565" s="13" t="s">
        <v>2052</v>
      </c>
      <c r="H565" s="219" t="s">
        <v>204</v>
      </c>
      <c r="I565" s="129" t="str">
        <f>IF(B565="","","Rien")</f>
        <v>Rien</v>
      </c>
      <c r="J565" s="146">
        <v>0</v>
      </c>
      <c r="K565" s="147">
        <v>0</v>
      </c>
      <c r="L565" s="148">
        <v>0</v>
      </c>
      <c r="M565" s="149">
        <v>0</v>
      </c>
      <c r="N565" s="150">
        <v>0</v>
      </c>
      <c r="O565" s="130">
        <v>0</v>
      </c>
      <c r="P565" s="130">
        <v>0</v>
      </c>
      <c r="Q565" s="130">
        <v>0</v>
      </c>
      <c r="R565" s="130">
        <v>0</v>
      </c>
      <c r="S565" s="130">
        <v>0</v>
      </c>
      <c r="T565" s="130">
        <v>0</v>
      </c>
      <c r="U565" s="130">
        <v>0</v>
      </c>
      <c r="V565" s="524">
        <v>0</v>
      </c>
      <c r="W565" s="130">
        <v>0</v>
      </c>
      <c r="X565" s="130">
        <v>0</v>
      </c>
      <c r="Y565" s="130">
        <v>0</v>
      </c>
      <c r="Z565" s="130">
        <v>0</v>
      </c>
      <c r="AA565" s="158" t="s">
        <v>2078</v>
      </c>
      <c r="AB565" s="158"/>
      <c r="AC565" s="158"/>
      <c r="AD565" s="158"/>
      <c r="AE565" s="158" t="b">
        <f>IF(AB565="",TRUE,IF(IF(AC565="",VLOOKUP(AB565,Calculs!$A$19:$S$425,19,FALSE),VLOOKUP(AC565,Calculs!$A$19:$S$425,19,FALSE))&gt;=AD565,TRUE,FALSE))</f>
        <v>1</v>
      </c>
      <c r="AF565" s="158"/>
      <c r="AG565" s="158"/>
      <c r="AH565" s="158"/>
      <c r="AI565" s="158" t="b">
        <f>IF(AF565="",TRUE,IF(IF(AG565="",VLOOKUP(AF565,Calculs!$A$19:$S$425,19,FALSE),VLOOKUP(AG565,Calculs!$A$19:$S$425,19,FALSE))&gt;=AH565,TRUE,FALSE))</f>
        <v>1</v>
      </c>
      <c r="AJ565" s="158"/>
      <c r="AK565" s="158"/>
      <c r="AL565" s="158"/>
      <c r="AM565" s="158" t="b">
        <f>IF(AJ565="",TRUE,IF(IF(AK565="",VLOOKUP(AJ565,Calculs!$A$19:$S$425,19,FALSE),VLOOKUP(AK565,Calculs!$A$19:$S$425,19,FALSE))&gt;=AL565,TRUE,FALSE))</f>
        <v>1</v>
      </c>
      <c r="AN565" s="158"/>
      <c r="AO565" s="158"/>
      <c r="AP565" s="158"/>
      <c r="AQ565" s="158" t="b">
        <f>IF(AN565="",TRUE,IF(IF(AO565="",VLOOKUP(AN565,Calculs!$A$19:$S$425,19,FALSE),VLOOKUP(AO565,Calculs!$A$19:$S$425,19,FALSE))&gt;=AP565,TRUE,FALSE))</f>
        <v>1</v>
      </c>
      <c r="AR565" s="158"/>
      <c r="AS565" s="158" t="b">
        <f>IF(AR565="",TRUE,IF(VLOOKUP(AR565,Calculs!$A$427:$G$738,7,FALSE)&gt;0,TRUE,FALSE))</f>
        <v>1</v>
      </c>
      <c r="AT565" s="158"/>
      <c r="AU565" s="158" t="b">
        <f>IF(AT565="",TRUE,IF(VLOOKUP(AT565,Calculs!$A$740:$G$912,7,FALSE)&gt;0,TRUE,FALSE))</f>
        <v>1</v>
      </c>
      <c r="AV565" s="158" t="b">
        <f t="shared" si="59"/>
        <v>1</v>
      </c>
      <c r="AW565" s="158" t="s">
        <v>2078</v>
      </c>
      <c r="AX565" s="162" t="s">
        <v>3</v>
      </c>
      <c r="AY565" s="15">
        <v>121</v>
      </c>
      <c r="AZ565" s="555" t="s">
        <v>8613</v>
      </c>
      <c r="BA565" s="559">
        <f>IF(Verso!$B$10=Voies!$B566,1,0)</f>
        <v>0</v>
      </c>
      <c r="BB565" s="12">
        <f>IF(Verso!$B$11=Voies!$B566,1,0)</f>
        <v>0</v>
      </c>
      <c r="BC565" s="12">
        <f>IF(Verso!$B$12=Voies!$B566,1,0)</f>
        <v>0</v>
      </c>
      <c r="BD565" s="12">
        <f>IF(Verso!$B$13=Voies!$B566,1,0)</f>
        <v>0</v>
      </c>
      <c r="BE565" s="12">
        <f>IF(Verso!$B$14=Voies!$B566,1,0)</f>
        <v>0</v>
      </c>
      <c r="BF565" s="12">
        <f>IF(Verso!$B$15=Voies!$B566,1,0)</f>
        <v>0</v>
      </c>
      <c r="BG565" s="12">
        <f>IF(Verso!$B$16=Voies!$B566,1,0)</f>
        <v>0</v>
      </c>
      <c r="BH565" s="12">
        <f>IF(Verso!$B$17=Voies!$B566,1,0)</f>
        <v>0</v>
      </c>
      <c r="BI565" s="557">
        <f t="shared" si="60"/>
        <v>0</v>
      </c>
      <c r="BJ565" s="196" t="str">
        <f t="shared" si="61"/>
        <v/>
      </c>
      <c r="BK565" s="196" t="str">
        <f t="shared" si="62"/>
        <v/>
      </c>
      <c r="BL565" s="295" t="str">
        <f t="shared" si="63"/>
        <v/>
      </c>
    </row>
    <row r="566" spans="1:65" ht="47.25" customHeight="1" x14ac:dyDescent="0.25">
      <c r="A566" s="162" t="str">
        <f>IF(AND(Réputation&gt;Voies!E566-1,OR(C566=TRUE,Calculs!$I$8&gt;0),Air&gt;Voies!J566-1,Eau&gt;Voies!K566-1,Feu&gt;Voies!L566-1,Terre&gt;Voies!M566-1,Vide&gt;Voies!N566-1,Constitution&gt;Voies!O566-1,Volonté&gt;Voies!P566-1,Force&gt;Voies!Q566-1,Perception&gt;Voies!R566-1,Reflexes&gt;Voies!S566-1,Agilité&gt;Voies!T566-1,Intuition&gt;Voies!U566-1,Intelligence&gt;Voies!V566-1,Souillure&gt;Voies!W566-1,Honneur&gt;X566-1,Statut&gt;Y566-1,Gloire&gt;Z566-1,AV566=TRUE),Voies!B566,"")</f>
        <v/>
      </c>
      <c r="B566" s="162" t="s">
        <v>2451</v>
      </c>
      <c r="C566" s="162" t="b">
        <f>IF(Clan=Voies!D567,TRUE,FALSE)</f>
        <v>0</v>
      </c>
      <c r="D566" s="388" t="s">
        <v>20</v>
      </c>
      <c r="E566" s="13">
        <v>1</v>
      </c>
      <c r="F566" s="199">
        <v>1</v>
      </c>
      <c r="G566" s="13" t="s">
        <v>2048</v>
      </c>
      <c r="H566" s="219" t="s">
        <v>206</v>
      </c>
      <c r="I566" s="129" t="str">
        <f>IF(B566="","","Rien")</f>
        <v>Rien</v>
      </c>
      <c r="J566" s="146">
        <v>0</v>
      </c>
      <c r="K566" s="147">
        <v>0</v>
      </c>
      <c r="L566" s="148">
        <v>0</v>
      </c>
      <c r="M566" s="149">
        <v>0</v>
      </c>
      <c r="N566" s="150">
        <v>0</v>
      </c>
      <c r="O566" s="130">
        <v>0</v>
      </c>
      <c r="P566" s="130">
        <v>0</v>
      </c>
      <c r="Q566" s="130">
        <v>0</v>
      </c>
      <c r="R566" s="130">
        <v>0</v>
      </c>
      <c r="S566" s="130">
        <v>0</v>
      </c>
      <c r="T566" s="130">
        <v>0</v>
      </c>
      <c r="U566" s="130">
        <v>0</v>
      </c>
      <c r="V566" s="524">
        <v>0</v>
      </c>
      <c r="W566" s="130">
        <v>0</v>
      </c>
      <c r="X566" s="130">
        <v>0</v>
      </c>
      <c r="Y566" s="130">
        <v>0</v>
      </c>
      <c r="Z566" s="130">
        <v>0</v>
      </c>
      <c r="AA566" s="158" t="s">
        <v>2078</v>
      </c>
      <c r="AB566" s="158"/>
      <c r="AC566" s="158"/>
      <c r="AD566" s="158"/>
      <c r="AE566" s="158" t="b">
        <f>IF(AB566="",TRUE,IF(IF(AC566="",VLOOKUP(AB566,Calculs!$A$19:$S$425,19,FALSE),VLOOKUP(AC566,Calculs!$A$19:$S$425,19,FALSE))&gt;=AD566,TRUE,FALSE))</f>
        <v>1</v>
      </c>
      <c r="AF566" s="158"/>
      <c r="AG566" s="158"/>
      <c r="AH566" s="158"/>
      <c r="AI566" s="158" t="b">
        <f>IF(AF566="",TRUE,IF(IF(AG566="",VLOOKUP(AF566,Calculs!$A$19:$S$425,19,FALSE),VLOOKUP(AG566,Calculs!$A$19:$S$425,19,FALSE))&gt;=AH566,TRUE,FALSE))</f>
        <v>1</v>
      </c>
      <c r="AJ566" s="158"/>
      <c r="AK566" s="158"/>
      <c r="AL566" s="158"/>
      <c r="AM566" s="158" t="b">
        <f>IF(AJ566="",TRUE,IF(IF(AK566="",VLOOKUP(AJ566,Calculs!$A$19:$S$425,19,FALSE),VLOOKUP(AK566,Calculs!$A$19:$S$425,19,FALSE))&gt;=AL566,TRUE,FALSE))</f>
        <v>1</v>
      </c>
      <c r="AN566" s="158"/>
      <c r="AO566" s="158"/>
      <c r="AP566" s="158"/>
      <c r="AQ566" s="158" t="b">
        <f>IF(AN566="",TRUE,IF(IF(AO566="",VLOOKUP(AN566,Calculs!$A$19:$S$425,19,FALSE),VLOOKUP(AO566,Calculs!$A$19:$S$425,19,FALSE))&gt;=AP566,TRUE,FALSE))</f>
        <v>1</v>
      </c>
      <c r="AR566" s="158"/>
      <c r="AS566" s="158" t="b">
        <f>IF(AR566="",TRUE,IF(VLOOKUP(AR566,Calculs!$A$427:$G$738,7,FALSE)&gt;0,TRUE,FALSE))</f>
        <v>1</v>
      </c>
      <c r="AT566" s="158"/>
      <c r="AU566" s="158" t="b">
        <f>IF(AT566="",TRUE,IF(VLOOKUP(AT566,Calculs!$A$740:$G$912,7,FALSE)&gt;0,TRUE,FALSE))</f>
        <v>1</v>
      </c>
      <c r="AV566" s="158" t="b">
        <f t="shared" si="59"/>
        <v>1</v>
      </c>
      <c r="AW566" s="158" t="s">
        <v>2078</v>
      </c>
      <c r="AX566" s="162" t="s">
        <v>3</v>
      </c>
      <c r="AY566" s="15">
        <v>120</v>
      </c>
      <c r="AZ566" s="555" t="s">
        <v>8386</v>
      </c>
      <c r="BA566" s="559">
        <f>IF(Verso!$B$10=Voies!$B567,1,0)</f>
        <v>0</v>
      </c>
      <c r="BB566" s="12">
        <f>IF(Verso!$B$11=Voies!$B567,1,0)</f>
        <v>0</v>
      </c>
      <c r="BC566" s="12">
        <f>IF(Verso!$B$12=Voies!$B567,1,0)</f>
        <v>0</v>
      </c>
      <c r="BD566" s="12">
        <f>IF(Verso!$B$13=Voies!$B567,1,0)</f>
        <v>0</v>
      </c>
      <c r="BE566" s="12">
        <f>IF(Verso!$B$14=Voies!$B567,1,0)</f>
        <v>0</v>
      </c>
      <c r="BF566" s="12">
        <f>IF(Verso!$B$15=Voies!$B567,1,0)</f>
        <v>0</v>
      </c>
      <c r="BG566" s="12">
        <f>IF(Verso!$B$16=Voies!$B567,1,0)</f>
        <v>0</v>
      </c>
      <c r="BH566" s="12">
        <f>IF(Verso!$B$17=Voies!$B567,1,0)</f>
        <v>0</v>
      </c>
      <c r="BI566" s="557">
        <f t="shared" si="60"/>
        <v>0</v>
      </c>
      <c r="BJ566" s="196" t="str">
        <f t="shared" si="61"/>
        <v/>
      </c>
      <c r="BK566" s="196" t="str">
        <f t="shared" si="62"/>
        <v/>
      </c>
      <c r="BL566" s="295" t="str">
        <f t="shared" si="63"/>
        <v/>
      </c>
    </row>
    <row r="567" spans="1:65" ht="47.25" customHeight="1" x14ac:dyDescent="0.25">
      <c r="A567" s="162" t="str">
        <f>IF(AND(Réputation&gt;Voies!E567-1,OR(C567=TRUE,Calculs!$I$8&gt;0),Air&gt;Voies!J567-1,Eau&gt;Voies!K567-1,Feu&gt;Voies!L567-1,Terre&gt;Voies!M567-1,Vide&gt;Voies!N567-1,Constitution&gt;Voies!O567-1,Volonté&gt;Voies!P567-1,Force&gt;Voies!Q567-1,Perception&gt;Voies!R567-1,Reflexes&gt;Voies!S567-1,Agilité&gt;Voies!T567-1,Intuition&gt;Voies!U567-1,Intelligence&gt;Voies!V567-1,Souillure&gt;Voies!W567-1,Honneur&gt;X567-1,Statut&gt;Y567-1,Gloire&gt;Z567-1,AV567=TRUE),Voies!B567,"")</f>
        <v/>
      </c>
      <c r="B567" s="162" t="s">
        <v>3827</v>
      </c>
      <c r="C567" s="162" t="b">
        <f>IF(Clan=Voies!D568,TRUE,FALSE)</f>
        <v>0</v>
      </c>
      <c r="D567" s="387" t="s">
        <v>20</v>
      </c>
      <c r="E567" s="201">
        <v>2</v>
      </c>
      <c r="F567" s="201">
        <v>2</v>
      </c>
      <c r="G567" s="165" t="s">
        <v>2078</v>
      </c>
      <c r="H567" s="219" t="s">
        <v>509</v>
      </c>
      <c r="I567" s="129" t="s">
        <v>3871</v>
      </c>
      <c r="J567" s="146">
        <v>0</v>
      </c>
      <c r="K567" s="147">
        <v>0</v>
      </c>
      <c r="L567" s="148">
        <v>0</v>
      </c>
      <c r="M567" s="149">
        <v>0</v>
      </c>
      <c r="N567" s="150">
        <v>0</v>
      </c>
      <c r="O567" s="130">
        <v>0</v>
      </c>
      <c r="P567" s="130">
        <v>0</v>
      </c>
      <c r="Q567" s="130">
        <v>0</v>
      </c>
      <c r="R567" s="130">
        <v>0</v>
      </c>
      <c r="S567" s="130">
        <v>0</v>
      </c>
      <c r="T567" s="130">
        <v>0</v>
      </c>
      <c r="U567" s="130">
        <v>0</v>
      </c>
      <c r="V567" s="524">
        <v>0</v>
      </c>
      <c r="W567" s="130">
        <v>0</v>
      </c>
      <c r="X567" s="130">
        <v>0</v>
      </c>
      <c r="Y567" s="130">
        <v>0</v>
      </c>
      <c r="Z567" s="130">
        <v>0</v>
      </c>
      <c r="AA567" s="159" t="s">
        <v>3826</v>
      </c>
      <c r="AB567" s="159" t="s">
        <v>1267</v>
      </c>
      <c r="AD567" s="159">
        <v>3</v>
      </c>
      <c r="AE567" s="158" t="b">
        <f>IF(AB567="",TRUE,IF(IF(AC567="",VLOOKUP(AB567,Calculs!$A$19:$S$425,19,FALSE),VLOOKUP(AC567,Calculs!$A$19:$S$425,19,FALSE))&gt;=AD567,TRUE,FALSE))</f>
        <v>0</v>
      </c>
      <c r="AI567" s="158" t="b">
        <f>IF(AF567="",TRUE,IF(IF(AG567="",VLOOKUP(AF567,Calculs!$A$19:$S$425,19,FALSE),VLOOKUP(AG567,Calculs!$A$19:$S$425,19,FALSE))&gt;=AH567,TRUE,FALSE))</f>
        <v>1</v>
      </c>
      <c r="AM567" s="158" t="b">
        <f>IF(AJ567="",TRUE,IF(IF(AK567="",VLOOKUP(AJ567,Calculs!$A$19:$S$425,19,FALSE),VLOOKUP(AK567,Calculs!$A$19:$S$425,19,FALSE))&gt;=AL567,TRUE,FALSE))</f>
        <v>1</v>
      </c>
      <c r="AQ567" s="158" t="b">
        <f>IF(AN567="",TRUE,IF(IF(AO567="",VLOOKUP(AN567,Calculs!$A$19:$S$425,19,FALSE),VLOOKUP(AO567,Calculs!$A$19:$S$425,19,FALSE))&gt;=AP567,TRUE,FALSE))</f>
        <v>1</v>
      </c>
      <c r="AR567" s="158"/>
      <c r="AS567" s="158" t="b">
        <f>IF(AR567="",TRUE,IF(VLOOKUP(AR567,Calculs!$A$427:$G$738,7,FALSE)&gt;0,TRUE,FALSE))</f>
        <v>1</v>
      </c>
      <c r="AT567" s="158"/>
      <c r="AU567" s="158" t="b">
        <f>IF(AT567="",TRUE,IF(VLOOKUP(AT567,Calculs!$A$740:$G$912,7,FALSE)&gt;0,TRUE,FALSE))</f>
        <v>1</v>
      </c>
      <c r="AV567" s="158" t="b">
        <f t="shared" si="59"/>
        <v>0</v>
      </c>
      <c r="AW567" s="158" t="s">
        <v>2078</v>
      </c>
      <c r="AX567" s="162" t="s">
        <v>2087</v>
      </c>
      <c r="AY567" s="15">
        <v>135</v>
      </c>
      <c r="AZ567" s="555" t="str">
        <f>CONCATENATE("En posture d'Assaut, tout mouvement que vous faites au cours du Round gagne un supplément de 3m (cette prestation n'est acquise qu'une fois par round). En outre, en tant que mouvement d'AC, vous pouvez vous déplacer de ",7.5*Eau," mètres.")</f>
        <v>En posture d'Assaut, tout mouvement que vous faites au cours du Round gagne un supplément de 3m (cette prestation n'est acquise qu'une fois par round). En outre, en tant que mouvement d'AC, vous pouvez vous déplacer de 15 mètres.</v>
      </c>
      <c r="BA567" s="559">
        <f>IF(Verso!$B$10=Voies!$B568,1,0)</f>
        <v>0</v>
      </c>
      <c r="BB567" s="12">
        <f>IF(Verso!$B$11=Voies!$B568,1,0)</f>
        <v>0</v>
      </c>
      <c r="BC567" s="12">
        <f>IF(Verso!$B$12=Voies!$B568,1,0)</f>
        <v>0</v>
      </c>
      <c r="BD567" s="12">
        <f>IF(Verso!$B$13=Voies!$B568,1,0)</f>
        <v>0</v>
      </c>
      <c r="BE567" s="12">
        <f>IF(Verso!$B$14=Voies!$B568,1,0)</f>
        <v>0</v>
      </c>
      <c r="BF567" s="12">
        <f>IF(Verso!$B$15=Voies!$B568,1,0)</f>
        <v>0</v>
      </c>
      <c r="BG567" s="12">
        <f>IF(Verso!$B$16=Voies!$B568,1,0)</f>
        <v>0</v>
      </c>
      <c r="BH567" s="12">
        <f>IF(Verso!$B$17=Voies!$B568,1,0)</f>
        <v>0</v>
      </c>
      <c r="BI567" s="557">
        <f t="shared" si="60"/>
        <v>0</v>
      </c>
      <c r="BJ567" s="196" t="str">
        <f t="shared" si="61"/>
        <v/>
      </c>
      <c r="BK567" s="196" t="str">
        <f t="shared" si="62"/>
        <v/>
      </c>
      <c r="BL567" s="295" t="str">
        <f t="shared" si="63"/>
        <v/>
      </c>
    </row>
    <row r="568" spans="1:65" ht="47.25" customHeight="1" x14ac:dyDescent="0.25">
      <c r="A568" s="162" t="str">
        <f>IF(AND(Réputation&gt;Voies!E568-1,OR(C568=TRUE,Calculs!$I$8&gt;0),Air&gt;Voies!J568-1,Eau&gt;Voies!K568-1,Feu&gt;Voies!L568-1,Terre&gt;Voies!M568-1,Vide&gt;Voies!N568-1,Constitution&gt;Voies!O568-1,Volonté&gt;Voies!P568-1,Force&gt;Voies!Q568-1,Perception&gt;Voies!R568-1,Reflexes&gt;Voies!S568-1,Agilité&gt;Voies!T568-1,Intuition&gt;Voies!U568-1,Intelligence&gt;Voies!V568-1,Souillure&gt;Voies!W568-1,Honneur&gt;X568-1,Statut&gt;Y568-1,Gloire&gt;Z568-1,AV568=TRUE),Voies!B568,"")</f>
        <v/>
      </c>
      <c r="B568" s="162" t="s">
        <v>2461</v>
      </c>
      <c r="C568" s="162" t="b">
        <f>IF(Clan=Voies!D569,TRUE,FALSE)</f>
        <v>0</v>
      </c>
      <c r="D568" s="388" t="s">
        <v>20</v>
      </c>
      <c r="E568" s="199">
        <v>2</v>
      </c>
      <c r="F568" s="199">
        <v>2</v>
      </c>
      <c r="G568" s="199" t="s">
        <v>2049</v>
      </c>
      <c r="H568" s="219" t="s">
        <v>208</v>
      </c>
      <c r="I568" s="129" t="str">
        <f>IF(B568="","","Rien")</f>
        <v>Rien</v>
      </c>
      <c r="J568" s="146">
        <v>0</v>
      </c>
      <c r="K568" s="147">
        <v>0</v>
      </c>
      <c r="L568" s="148">
        <v>0</v>
      </c>
      <c r="M568" s="149">
        <v>0</v>
      </c>
      <c r="N568" s="150">
        <v>0</v>
      </c>
      <c r="O568" s="130">
        <v>0</v>
      </c>
      <c r="P568" s="130">
        <v>0</v>
      </c>
      <c r="Q568" s="130">
        <v>0</v>
      </c>
      <c r="R568" s="130">
        <v>0</v>
      </c>
      <c r="S568" s="130">
        <v>0</v>
      </c>
      <c r="T568" s="130">
        <v>0</v>
      </c>
      <c r="U568" s="130">
        <v>0</v>
      </c>
      <c r="V568" s="524">
        <v>0</v>
      </c>
      <c r="W568" s="130">
        <v>0</v>
      </c>
      <c r="X568" s="130">
        <v>0</v>
      </c>
      <c r="Y568" s="130">
        <v>0</v>
      </c>
      <c r="Z568" s="130">
        <v>0</v>
      </c>
      <c r="AA568" s="158" t="s">
        <v>2078</v>
      </c>
      <c r="AB568" s="158"/>
      <c r="AC568" s="158"/>
      <c r="AD568" s="158"/>
      <c r="AE568" s="158" t="b">
        <f>IF(AB568="",TRUE,IF(IF(AC568="",VLOOKUP(AB568,Calculs!$A$19:$S$425,19,FALSE),VLOOKUP(AC568,Calculs!$A$19:$S$425,19,FALSE))&gt;=AD568,TRUE,FALSE))</f>
        <v>1</v>
      </c>
      <c r="AF568" s="158"/>
      <c r="AG568" s="158"/>
      <c r="AH568" s="158"/>
      <c r="AI568" s="158" t="b">
        <f>IF(AF568="",TRUE,IF(IF(AG568="",VLOOKUP(AF568,Calculs!$A$19:$S$425,19,FALSE),VLOOKUP(AG568,Calculs!$A$19:$S$425,19,FALSE))&gt;=AH568,TRUE,FALSE))</f>
        <v>1</v>
      </c>
      <c r="AJ568" s="158"/>
      <c r="AK568" s="158"/>
      <c r="AL568" s="158"/>
      <c r="AM568" s="158" t="b">
        <f>IF(AJ568="",TRUE,IF(IF(AK568="",VLOOKUP(AJ568,Calculs!$A$19:$S$425,19,FALSE),VLOOKUP(AK568,Calculs!$A$19:$S$425,19,FALSE))&gt;=AL568,TRUE,FALSE))</f>
        <v>1</v>
      </c>
      <c r="AN568" s="158"/>
      <c r="AO568" s="158"/>
      <c r="AP568" s="158"/>
      <c r="AQ568" s="158" t="b">
        <f>IF(AN568="",TRUE,IF(IF(AO568="",VLOOKUP(AN568,Calculs!$A$19:$S$425,19,FALSE),VLOOKUP(AO568,Calculs!$A$19:$S$425,19,FALSE))&gt;=AP568,TRUE,FALSE))</f>
        <v>1</v>
      </c>
      <c r="AR568" s="158"/>
      <c r="AS568" s="158" t="b">
        <f>IF(AR568="",TRUE,IF(VLOOKUP(AR568,Calculs!$A$427:$G$738,7,FALSE)&gt;0,TRUE,FALSE))</f>
        <v>1</v>
      </c>
      <c r="AT568" s="158"/>
      <c r="AU568" s="158" t="b">
        <f>IF(AT568="",TRUE,IF(VLOOKUP(AT568,Calculs!$A$740:$G$912,7,FALSE)&gt;0,TRUE,FALSE))</f>
        <v>1</v>
      </c>
      <c r="AV568" s="158" t="b">
        <f t="shared" si="59"/>
        <v>1</v>
      </c>
      <c r="AW568" s="158" t="s">
        <v>2078</v>
      </c>
      <c r="AX568" s="162" t="s">
        <v>3</v>
      </c>
      <c r="AY568" s="15">
        <v>122</v>
      </c>
      <c r="AZ568" s="555" t="s">
        <v>8614</v>
      </c>
      <c r="BA568" s="559">
        <f>IF(Verso!$B$10=Voies!$B569,1,0)</f>
        <v>0</v>
      </c>
      <c r="BB568" s="12">
        <f>IF(Verso!$B$11=Voies!$B569,1,0)</f>
        <v>0</v>
      </c>
      <c r="BC568" s="12">
        <f>IF(Verso!$B$12=Voies!$B569,1,0)</f>
        <v>0</v>
      </c>
      <c r="BD568" s="12">
        <f>IF(Verso!$B$13=Voies!$B569,1,0)</f>
        <v>0</v>
      </c>
      <c r="BE568" s="12">
        <f>IF(Verso!$B$14=Voies!$B569,1,0)</f>
        <v>0</v>
      </c>
      <c r="BF568" s="12">
        <f>IF(Verso!$B$15=Voies!$B569,1,0)</f>
        <v>0</v>
      </c>
      <c r="BG568" s="12">
        <f>IF(Verso!$B$16=Voies!$B569,1,0)</f>
        <v>0</v>
      </c>
      <c r="BH568" s="12">
        <f>IF(Verso!$B$17=Voies!$B569,1,0)</f>
        <v>0</v>
      </c>
      <c r="BI568" s="557">
        <f t="shared" si="60"/>
        <v>0</v>
      </c>
      <c r="BJ568" s="196" t="str">
        <f t="shared" si="61"/>
        <v/>
      </c>
      <c r="BK568" s="196" t="str">
        <f t="shared" si="62"/>
        <v/>
      </c>
      <c r="BL568" s="295" t="str">
        <f t="shared" si="63"/>
        <v/>
      </c>
    </row>
    <row r="569" spans="1:65" ht="47.25" customHeight="1" x14ac:dyDescent="0.25">
      <c r="A569" s="162" t="str">
        <f>IF(AND(Réputation&gt;Voies!E569-1,OR(C569=TRUE,Calculs!$I$8&gt;0),Air&gt;Voies!J569-1,Eau&gt;Voies!K569-1,Feu&gt;Voies!L569-1,Terre&gt;Voies!M569-1,Vide&gt;Voies!N569-1,Constitution&gt;Voies!O569-1,Volonté&gt;Voies!P569-1,Force&gt;Voies!Q569-1,Perception&gt;Voies!R569-1,Reflexes&gt;Voies!S569-1,Agilité&gt;Voies!T569-1,Intuition&gt;Voies!U569-1,Intelligence&gt;Voies!V569-1,Souillure&gt;Voies!W569-1,Honneur&gt;X569-1,Statut&gt;Y569-1,Gloire&gt;Z569-1,AV569=TRUE),Voies!B569,"")</f>
        <v/>
      </c>
      <c r="B569" s="162" t="s">
        <v>2443</v>
      </c>
      <c r="C569" s="162" t="b">
        <f>IF(Clan=Voies!D570,TRUE,FALSE)</f>
        <v>0</v>
      </c>
      <c r="D569" s="388" t="s">
        <v>20</v>
      </c>
      <c r="E569" s="13">
        <v>2</v>
      </c>
      <c r="F569" s="199">
        <v>2</v>
      </c>
      <c r="G569" s="13" t="s">
        <v>2049</v>
      </c>
      <c r="H569" s="219" t="s">
        <v>203</v>
      </c>
      <c r="I569" s="129" t="str">
        <f>IF(B569="","","Rien")</f>
        <v>Rien</v>
      </c>
      <c r="J569" s="146">
        <v>0</v>
      </c>
      <c r="K569" s="147">
        <v>0</v>
      </c>
      <c r="L569" s="148">
        <v>0</v>
      </c>
      <c r="M569" s="149">
        <v>0</v>
      </c>
      <c r="N569" s="150">
        <v>0</v>
      </c>
      <c r="O569" s="130">
        <v>0</v>
      </c>
      <c r="P569" s="130">
        <v>0</v>
      </c>
      <c r="Q569" s="130">
        <v>0</v>
      </c>
      <c r="R569" s="130">
        <v>0</v>
      </c>
      <c r="S569" s="130">
        <v>0</v>
      </c>
      <c r="T569" s="130">
        <v>0</v>
      </c>
      <c r="U569" s="130">
        <v>0</v>
      </c>
      <c r="V569" s="524">
        <v>0</v>
      </c>
      <c r="W569" s="130">
        <v>0</v>
      </c>
      <c r="X569" s="130">
        <v>0</v>
      </c>
      <c r="Y569" s="130">
        <v>0</v>
      </c>
      <c r="Z569" s="130">
        <v>0</v>
      </c>
      <c r="AA569" s="158" t="s">
        <v>2078</v>
      </c>
      <c r="AB569" s="158"/>
      <c r="AC569" s="158"/>
      <c r="AD569" s="158"/>
      <c r="AE569" s="158" t="b">
        <f>IF(AB569="",TRUE,IF(IF(AC569="",VLOOKUP(AB569,Calculs!$A$19:$S$425,19,FALSE),VLOOKUP(AC569,Calculs!$A$19:$S$425,19,FALSE))&gt;=AD569,TRUE,FALSE))</f>
        <v>1</v>
      </c>
      <c r="AF569" s="158"/>
      <c r="AG569" s="158"/>
      <c r="AH569" s="158"/>
      <c r="AI569" s="158" t="b">
        <f>IF(AF569="",TRUE,IF(IF(AG569="",VLOOKUP(AF569,Calculs!$A$19:$S$425,19,FALSE),VLOOKUP(AG569,Calculs!$A$19:$S$425,19,FALSE))&gt;=AH569,TRUE,FALSE))</f>
        <v>1</v>
      </c>
      <c r="AJ569" s="158"/>
      <c r="AK569" s="158"/>
      <c r="AL569" s="158"/>
      <c r="AM569" s="158" t="b">
        <f>IF(AJ569="",TRUE,IF(IF(AK569="",VLOOKUP(AJ569,Calculs!$A$19:$S$425,19,FALSE),VLOOKUP(AK569,Calculs!$A$19:$S$425,19,FALSE))&gt;=AL569,TRUE,FALSE))</f>
        <v>1</v>
      </c>
      <c r="AN569" s="158"/>
      <c r="AO569" s="158"/>
      <c r="AP569" s="158"/>
      <c r="AQ569" s="158" t="b">
        <f>IF(AN569="",TRUE,IF(IF(AO569="",VLOOKUP(AN569,Calculs!$A$19:$S$425,19,FALSE),VLOOKUP(AO569,Calculs!$A$19:$S$425,19,FALSE))&gt;=AP569,TRUE,FALSE))</f>
        <v>1</v>
      </c>
      <c r="AR569" s="158"/>
      <c r="AS569" s="158" t="b">
        <f>IF(AR569="",TRUE,IF(VLOOKUP(AR569,Calculs!$A$427:$G$738,7,FALSE)&gt;0,TRUE,FALSE))</f>
        <v>1</v>
      </c>
      <c r="AT569" s="158"/>
      <c r="AU569" s="158" t="b">
        <f>IF(AT569="",TRUE,IF(VLOOKUP(AT569,Calculs!$A$740:$G$912,7,FALSE)&gt;0,TRUE,FALSE))</f>
        <v>1</v>
      </c>
      <c r="AV569" s="158" t="b">
        <f t="shared" si="59"/>
        <v>1</v>
      </c>
      <c r="AW569" s="158" t="s">
        <v>2078</v>
      </c>
      <c r="AX569" s="162" t="s">
        <v>3</v>
      </c>
      <c r="AY569" s="15">
        <v>120</v>
      </c>
      <c r="AZ569" s="555" t="str">
        <f>CONCATENATE("Ajoutez ",Honneur," à un jet à durant votre tour (sauf les Dommages). Ne fonctionne pas si vous adoptez la Posture du Centre.")</f>
        <v>Ajoutez 0 à un jet à durant votre tour (sauf les Dommages). Ne fonctionne pas si vous adoptez la Posture du Centre.</v>
      </c>
      <c r="BA569" s="559">
        <f>IF(Verso!$B$10=Voies!$B570,1,0)</f>
        <v>0</v>
      </c>
      <c r="BB569" s="12">
        <f>IF(Verso!$B$11=Voies!$B570,1,0)</f>
        <v>0</v>
      </c>
      <c r="BC569" s="12">
        <f>IF(Verso!$B$12=Voies!$B570,1,0)</f>
        <v>0</v>
      </c>
      <c r="BD569" s="12">
        <f>IF(Verso!$B$13=Voies!$B570,1,0)</f>
        <v>0</v>
      </c>
      <c r="BE569" s="12">
        <f>IF(Verso!$B$14=Voies!$B570,1,0)</f>
        <v>0</v>
      </c>
      <c r="BF569" s="12">
        <f>IF(Verso!$B$15=Voies!$B570,1,0)</f>
        <v>0</v>
      </c>
      <c r="BG569" s="12">
        <f>IF(Verso!$B$16=Voies!$B570,1,0)</f>
        <v>0</v>
      </c>
      <c r="BH569" s="12">
        <f>IF(Verso!$B$17=Voies!$B570,1,0)</f>
        <v>0</v>
      </c>
      <c r="BI569" s="557">
        <f t="shared" si="60"/>
        <v>0</v>
      </c>
      <c r="BJ569" s="196" t="str">
        <f t="shared" si="61"/>
        <v/>
      </c>
      <c r="BK569" s="196" t="str">
        <f t="shared" si="62"/>
        <v/>
      </c>
      <c r="BL569" s="295" t="str">
        <f t="shared" si="63"/>
        <v/>
      </c>
    </row>
    <row r="570" spans="1:65" ht="47.25" customHeight="1" x14ac:dyDescent="0.25">
      <c r="A570" s="162" t="str">
        <f>IF(AND(Réputation&gt;Voies!E570-1,OR(C570=TRUE,Calculs!$I$8&gt;0),Air&gt;Voies!J570-1,Eau&gt;Voies!K570-1,Feu&gt;Voies!L570-1,Terre&gt;Voies!M570-1,Vide&gt;Voies!N570-1,Constitution&gt;Voies!O570-1,Volonté&gt;Voies!P570-1,Force&gt;Voies!Q570-1,Perception&gt;Voies!R570-1,Reflexes&gt;Voies!S570-1,Agilité&gt;Voies!T570-1,Intuition&gt;Voies!U570-1,Intelligence&gt;Voies!V570-1,Souillure&gt;Voies!W570-1,Honneur&gt;X570-1,Statut&gt;Y570-1,Gloire&gt;Z570-1,AV570=TRUE),Voies!B570,"")</f>
        <v/>
      </c>
      <c r="B570" s="162" t="s">
        <v>6081</v>
      </c>
      <c r="C570" s="162" t="b">
        <f>IF(Clan=Voies!D571,TRUE,FALSE)</f>
        <v>0</v>
      </c>
      <c r="D570" s="387" t="s">
        <v>20</v>
      </c>
      <c r="E570" s="13">
        <v>2</v>
      </c>
      <c r="F570" s="199">
        <v>2</v>
      </c>
      <c r="G570" s="13" t="s">
        <v>2049</v>
      </c>
      <c r="H570" s="219" t="s">
        <v>1937</v>
      </c>
      <c r="I570" s="129" t="str">
        <f>IF(B570="","","Rien")</f>
        <v>Rien</v>
      </c>
      <c r="J570" s="146">
        <v>0</v>
      </c>
      <c r="K570" s="147">
        <v>0</v>
      </c>
      <c r="L570" s="148">
        <v>0</v>
      </c>
      <c r="M570" s="149">
        <v>0</v>
      </c>
      <c r="N570" s="150">
        <v>0</v>
      </c>
      <c r="O570" s="130">
        <v>0</v>
      </c>
      <c r="P570" s="130">
        <v>0</v>
      </c>
      <c r="Q570" s="130">
        <v>0</v>
      </c>
      <c r="R570" s="130">
        <v>0</v>
      </c>
      <c r="S570" s="130">
        <v>0</v>
      </c>
      <c r="T570" s="130">
        <v>0</v>
      </c>
      <c r="U570" s="130">
        <v>0</v>
      </c>
      <c r="V570" s="524">
        <v>0</v>
      </c>
      <c r="W570" s="130">
        <v>0</v>
      </c>
      <c r="X570" s="130">
        <v>0</v>
      </c>
      <c r="Y570" s="130">
        <v>0</v>
      </c>
      <c r="Z570" s="130">
        <v>0</v>
      </c>
      <c r="AA570" s="158" t="s">
        <v>2078</v>
      </c>
      <c r="AB570" s="158"/>
      <c r="AC570" s="158"/>
      <c r="AD570" s="158"/>
      <c r="AE570" s="158" t="b">
        <f>IF(AB570="",TRUE,IF(IF(AC570="",VLOOKUP(AB570,Calculs!$A$19:$S$425,19,FALSE),VLOOKUP(AC570,Calculs!$A$19:$S$425,19,FALSE))&gt;=AD570,TRUE,FALSE))</f>
        <v>1</v>
      </c>
      <c r="AF570" s="158"/>
      <c r="AG570" s="158"/>
      <c r="AH570" s="158"/>
      <c r="AI570" s="158" t="b">
        <f>IF(AF570="",TRUE,IF(IF(AG570="",VLOOKUP(AF570,Calculs!$A$19:$S$425,19,FALSE),VLOOKUP(AG570,Calculs!$A$19:$S$425,19,FALSE))&gt;=AH570,TRUE,FALSE))</f>
        <v>1</v>
      </c>
      <c r="AJ570" s="158"/>
      <c r="AK570" s="158"/>
      <c r="AL570" s="158"/>
      <c r="AM570" s="158" t="b">
        <f>IF(AJ570="",TRUE,IF(IF(AK570="",VLOOKUP(AJ570,Calculs!$A$19:$S$425,19,FALSE),VLOOKUP(AK570,Calculs!$A$19:$S$425,19,FALSE))&gt;=AL570,TRUE,FALSE))</f>
        <v>1</v>
      </c>
      <c r="AN570" s="158"/>
      <c r="AO570" s="158"/>
      <c r="AP570" s="158"/>
      <c r="AQ570" s="158" t="b">
        <f>IF(AN570="",TRUE,IF(IF(AO570="",VLOOKUP(AN570,Calculs!$A$19:$S$425,19,FALSE),VLOOKUP(AO570,Calculs!$A$19:$S$425,19,FALSE))&gt;=AP570,TRUE,FALSE))</f>
        <v>1</v>
      </c>
      <c r="AR570" s="158"/>
      <c r="AS570" s="158" t="b">
        <f>IF(AR570="",TRUE,IF(VLOOKUP(AR570,Calculs!$A$427:$G$738,7,FALSE)&gt;0,TRUE,FALSE))</f>
        <v>1</v>
      </c>
      <c r="AT570" s="158"/>
      <c r="AU570" s="158" t="b">
        <f>IF(AT570="",TRUE,IF(VLOOKUP(AT570,Calculs!$A$740:$G$912,7,FALSE)&gt;0,TRUE,FALSE))</f>
        <v>1</v>
      </c>
      <c r="AV570" s="158" t="b">
        <f t="shared" si="59"/>
        <v>1</v>
      </c>
      <c r="AW570" s="158" t="s">
        <v>2078</v>
      </c>
      <c r="AX570" s="162" t="s">
        <v>6061</v>
      </c>
      <c r="AY570" s="15">
        <v>166</v>
      </c>
      <c r="AZ570" s="555" t="s">
        <v>2863</v>
      </c>
      <c r="BA570" s="559">
        <f>IF(Verso!$B$10=Voies!$B571,1,0)</f>
        <v>0</v>
      </c>
      <c r="BB570" s="12">
        <f>IF(Verso!$B$11=Voies!$B571,1,0)</f>
        <v>0</v>
      </c>
      <c r="BC570" s="12">
        <f>IF(Verso!$B$12=Voies!$B571,1,0)</f>
        <v>0</v>
      </c>
      <c r="BD570" s="12">
        <f>IF(Verso!$B$13=Voies!$B571,1,0)</f>
        <v>0</v>
      </c>
      <c r="BE570" s="12">
        <f>IF(Verso!$B$14=Voies!$B571,1,0)</f>
        <v>0</v>
      </c>
      <c r="BF570" s="12">
        <f>IF(Verso!$B$15=Voies!$B571,1,0)</f>
        <v>0</v>
      </c>
      <c r="BG570" s="12">
        <f>IF(Verso!$B$16=Voies!$B571,1,0)</f>
        <v>0</v>
      </c>
      <c r="BH570" s="12">
        <f>IF(Verso!$B$17=Voies!$B571,1,0)</f>
        <v>0</v>
      </c>
      <c r="BI570" s="557">
        <f t="shared" si="60"/>
        <v>0</v>
      </c>
      <c r="BJ570" s="196" t="str">
        <f t="shared" si="61"/>
        <v/>
      </c>
      <c r="BK570" s="196" t="str">
        <f t="shared" si="62"/>
        <v/>
      </c>
      <c r="BL570" s="295" t="str">
        <f t="shared" si="63"/>
        <v/>
      </c>
    </row>
    <row r="571" spans="1:65" ht="47.25" customHeight="1" x14ac:dyDescent="0.25">
      <c r="A571" s="162" t="str">
        <f>IF(AND(Réputation&gt;Voies!E571-1,OR(C571=TRUE,Calculs!$I$8&gt;0),Air&gt;Voies!J571-1,Eau&gt;Voies!K571-1,Feu&gt;Voies!L571-1,Terre&gt;Voies!M571-1,Vide&gt;Voies!N571-1,Constitution&gt;Voies!O571-1,Volonté&gt;Voies!P571-1,Force&gt;Voies!Q571-1,Perception&gt;Voies!R571-1,Reflexes&gt;Voies!S571-1,Agilité&gt;Voies!T571-1,Intuition&gt;Voies!U571-1,Intelligence&gt;Voies!V571-1,Souillure&gt;Voies!W571-1,Honneur&gt;X571-1,Statut&gt;Y571-1,Gloire&gt;Z571-1,AV571=TRUE),Voies!B571,"")</f>
        <v/>
      </c>
      <c r="B571" s="162" t="s">
        <v>6087</v>
      </c>
      <c r="C571" s="162" t="b">
        <f>IF(Clan=Voies!D572,TRUE,FALSE)</f>
        <v>0</v>
      </c>
      <c r="D571" s="387" t="s">
        <v>20</v>
      </c>
      <c r="E571" s="13">
        <v>2</v>
      </c>
      <c r="F571" s="199">
        <v>2</v>
      </c>
      <c r="G571" s="13" t="s">
        <v>2049</v>
      </c>
      <c r="H571" s="219" t="s">
        <v>6086</v>
      </c>
      <c r="I571" s="129" t="s">
        <v>3624</v>
      </c>
      <c r="J571" s="146">
        <v>0</v>
      </c>
      <c r="K571" s="147">
        <v>0</v>
      </c>
      <c r="L571" s="148">
        <v>0</v>
      </c>
      <c r="M571" s="149">
        <v>0</v>
      </c>
      <c r="N571" s="150">
        <v>0</v>
      </c>
      <c r="O571" s="130">
        <v>0</v>
      </c>
      <c r="P571" s="130">
        <v>0</v>
      </c>
      <c r="Q571" s="130">
        <v>0</v>
      </c>
      <c r="R571" s="130">
        <v>0</v>
      </c>
      <c r="S571" s="130">
        <v>0</v>
      </c>
      <c r="T571" s="130">
        <v>0</v>
      </c>
      <c r="U571" s="130">
        <v>0</v>
      </c>
      <c r="V571" s="524">
        <v>0</v>
      </c>
      <c r="W571" s="130">
        <v>0</v>
      </c>
      <c r="X571" s="130">
        <v>0</v>
      </c>
      <c r="Y571" s="130">
        <v>0</v>
      </c>
      <c r="Z571" s="130">
        <v>0</v>
      </c>
      <c r="AA571" s="159" t="s">
        <v>3625</v>
      </c>
      <c r="AB571" s="159" t="s">
        <v>231</v>
      </c>
      <c r="AD571" s="159">
        <v>3</v>
      </c>
      <c r="AE571" s="158" t="b">
        <f>IF(AB571="",TRUE,IF(IF(AC571="",VLOOKUP(AB571,Calculs!$A$19:$S$425,19,FALSE),VLOOKUP(AC571,Calculs!$A$19:$S$425,19,FALSE))&gt;=AD571,TRUE,FALSE))</f>
        <v>0</v>
      </c>
      <c r="AF571" s="159" t="s">
        <v>1269</v>
      </c>
      <c r="AH571" s="159">
        <v>2</v>
      </c>
      <c r="AI571" s="158" t="b">
        <f>IF(AF571="",TRUE,IF(IF(AG571="",VLOOKUP(AF571,Calculs!$A$19:$S$425,19,FALSE),VLOOKUP(AG571,Calculs!$A$19:$S$425,19,FALSE))&gt;=AH571,TRUE,FALSE))</f>
        <v>0</v>
      </c>
      <c r="AM571" s="158" t="b">
        <f>IF(AJ571="",TRUE,IF(IF(AK571="",VLOOKUP(AJ571,Calculs!$A$19:$S$425,19,FALSE),VLOOKUP(AK571,Calculs!$A$19:$S$425,19,FALSE))&gt;=AL571,TRUE,FALSE))</f>
        <v>1</v>
      </c>
      <c r="AQ571" s="158" t="b">
        <f>IF(AN571="",TRUE,IF(IF(AO571="",VLOOKUP(AN571,Calculs!$A$19:$S$425,19,FALSE),VLOOKUP(AO571,Calculs!$A$19:$S$425,19,FALSE))&gt;=AP571,TRUE,FALSE))</f>
        <v>1</v>
      </c>
      <c r="AR571" s="158"/>
      <c r="AS571" s="158" t="b">
        <f>IF(AR571="",TRUE,IF(VLOOKUP(AR571,Calculs!$A$427:$G$738,7,FALSE)&gt;0,TRUE,FALSE))</f>
        <v>1</v>
      </c>
      <c r="AT571" s="158"/>
      <c r="AU571" s="158" t="b">
        <f>IF(AT571="",TRUE,IF(VLOOKUP(AT571,Calculs!$A$740:$G$912,7,FALSE)&gt;0,TRUE,FALSE))</f>
        <v>1</v>
      </c>
      <c r="AV571" s="158" t="b">
        <f t="shared" si="59"/>
        <v>0</v>
      </c>
      <c r="AW571" s="158" t="s">
        <v>2078</v>
      </c>
      <c r="AX571" s="162" t="s">
        <v>6061</v>
      </c>
      <c r="AY571" s="151">
        <v>168</v>
      </c>
      <c r="AZ571" s="555" t="s">
        <v>3627</v>
      </c>
      <c r="BA571" s="559">
        <f>IF(Verso!$B$10=Voies!$B572,1,0)</f>
        <v>0</v>
      </c>
      <c r="BB571" s="12">
        <f>IF(Verso!$B$11=Voies!$B572,1,0)</f>
        <v>0</v>
      </c>
      <c r="BC571" s="12">
        <f>IF(Verso!$B$12=Voies!$B572,1,0)</f>
        <v>0</v>
      </c>
      <c r="BD571" s="12">
        <f>IF(Verso!$B$13=Voies!$B572,1,0)</f>
        <v>0</v>
      </c>
      <c r="BE571" s="12">
        <f>IF(Verso!$B$14=Voies!$B572,1,0)</f>
        <v>0</v>
      </c>
      <c r="BF571" s="12">
        <f>IF(Verso!$B$15=Voies!$B572,1,0)</f>
        <v>0</v>
      </c>
      <c r="BG571" s="12">
        <f>IF(Verso!$B$16=Voies!$B572,1,0)</f>
        <v>0</v>
      </c>
      <c r="BH571" s="12">
        <f>IF(Verso!$B$17=Voies!$B572,1,0)</f>
        <v>0</v>
      </c>
      <c r="BI571" s="557">
        <f t="shared" si="60"/>
        <v>0</v>
      </c>
      <c r="BJ571" s="196" t="str">
        <f t="shared" si="61"/>
        <v/>
      </c>
      <c r="BK571" s="196" t="str">
        <f t="shared" si="62"/>
        <v/>
      </c>
      <c r="BL571" s="295" t="str">
        <f t="shared" si="63"/>
        <v/>
      </c>
    </row>
    <row r="572" spans="1:65" ht="47.25" customHeight="1" x14ac:dyDescent="0.25">
      <c r="A572" s="162" t="str">
        <f>IF(AND(Réputation&gt;Voies!E572-1,OR(C572=TRUE,Calculs!$I$8&gt;0),Air&gt;Voies!J572-1,Eau&gt;Voies!K572-1,Feu&gt;Voies!L572-1,Terre&gt;Voies!M572-1,Vide&gt;Voies!N572-1,Constitution&gt;Voies!O572-1,Volonté&gt;Voies!P572-1,Force&gt;Voies!Q572-1,Perception&gt;Voies!R572-1,Reflexes&gt;Voies!S572-1,Agilité&gt;Voies!T572-1,Intuition&gt;Voies!U572-1,Intelligence&gt;Voies!V572-1,Souillure&gt;Voies!W572-1,Honneur&gt;X572-1,Statut&gt;Y572-1,Gloire&gt;Z572-1,AV572=TRUE),Voies!B572,"")</f>
        <v/>
      </c>
      <c r="B572" s="162" t="s">
        <v>3825</v>
      </c>
      <c r="C572" s="162" t="b">
        <f>IF(Clan=Voies!D573,TRUE,FALSE)</f>
        <v>0</v>
      </c>
      <c r="D572" s="387" t="s">
        <v>20</v>
      </c>
      <c r="E572" s="13">
        <v>2</v>
      </c>
      <c r="F572" s="199">
        <v>2</v>
      </c>
      <c r="G572" s="13" t="s">
        <v>2049</v>
      </c>
      <c r="H572" s="219" t="s">
        <v>507</v>
      </c>
      <c r="I572" s="129" t="s">
        <v>3824</v>
      </c>
      <c r="J572" s="146">
        <v>0</v>
      </c>
      <c r="K572" s="147">
        <v>0</v>
      </c>
      <c r="L572" s="148">
        <v>0</v>
      </c>
      <c r="M572" s="149">
        <v>0</v>
      </c>
      <c r="N572" s="150">
        <v>0</v>
      </c>
      <c r="O572" s="130">
        <v>0</v>
      </c>
      <c r="P572" s="130">
        <v>0</v>
      </c>
      <c r="Q572" s="130">
        <v>0</v>
      </c>
      <c r="R572" s="130">
        <v>0</v>
      </c>
      <c r="S572" s="130">
        <v>0</v>
      </c>
      <c r="T572" s="130">
        <v>0</v>
      </c>
      <c r="U572" s="130">
        <v>0</v>
      </c>
      <c r="V572" s="524">
        <v>0</v>
      </c>
      <c r="W572" s="130">
        <v>0</v>
      </c>
      <c r="X572" s="130">
        <v>0</v>
      </c>
      <c r="Y572" s="130">
        <v>0</v>
      </c>
      <c r="Z572" s="130">
        <v>0</v>
      </c>
      <c r="AA572" s="159" t="s">
        <v>3452</v>
      </c>
      <c r="AB572" s="159" t="s">
        <v>1268</v>
      </c>
      <c r="AD572" s="159">
        <v>3</v>
      </c>
      <c r="AE572" s="158" t="b">
        <f>IF(AB572="",TRUE,IF(IF(AC572="",VLOOKUP(AB572,Calculs!$A$19:$S$425,19,FALSE),VLOOKUP(AC572,Calculs!$A$19:$S$425,19,FALSE))&gt;=AD572,TRUE,FALSE))</f>
        <v>0</v>
      </c>
      <c r="AI572" s="158" t="b">
        <f>IF(AF572="",TRUE,IF(IF(AG572="",VLOOKUP(AF572,Calculs!$A$19:$S$425,19,FALSE),VLOOKUP(AG572,Calculs!$A$19:$S$425,19,FALSE))&gt;=AH572,TRUE,FALSE))</f>
        <v>1</v>
      </c>
      <c r="AM572" s="158" t="b">
        <f>IF(AJ572="",TRUE,IF(IF(AK572="",VLOOKUP(AJ572,Calculs!$A$19:$S$425,19,FALSE),VLOOKUP(AK572,Calculs!$A$19:$S$425,19,FALSE))&gt;=AL572,TRUE,FALSE))</f>
        <v>1</v>
      </c>
      <c r="AQ572" s="158" t="b">
        <f>IF(AN572="",TRUE,IF(IF(AO572="",VLOOKUP(AN572,Calculs!$A$19:$S$425,19,FALSE),VLOOKUP(AO572,Calculs!$A$19:$S$425,19,FALSE))&gt;=AP572,TRUE,FALSE))</f>
        <v>1</v>
      </c>
      <c r="AR572" s="158"/>
      <c r="AS572" s="158" t="b">
        <f>IF(AR572="",TRUE,IF(VLOOKUP(AR572,Calculs!$A$427:$G$738,7,FALSE)&gt;0,TRUE,FALSE))</f>
        <v>1</v>
      </c>
      <c r="AT572" s="158"/>
      <c r="AU572" s="158" t="b">
        <f>IF(AT572="",TRUE,IF(VLOOKUP(AT572,Calculs!$A$740:$G$912,7,FALSE)&gt;0,TRUE,FALSE))</f>
        <v>1</v>
      </c>
      <c r="AV572" s="158" t="b">
        <f t="shared" si="59"/>
        <v>0</v>
      </c>
      <c r="AW572" s="158" t="s">
        <v>2078</v>
      </c>
      <c r="AX572" s="162" t="s">
        <v>2087</v>
      </c>
      <c r="AY572" s="15">
        <v>135</v>
      </c>
      <c r="AZ572" s="555" t="s">
        <v>8615</v>
      </c>
      <c r="BA572" s="559">
        <f>IF(Verso!$B$10=Voies!$B573,1,0)</f>
        <v>0</v>
      </c>
      <c r="BB572" s="12">
        <f>IF(Verso!$B$11=Voies!$B573,1,0)</f>
        <v>0</v>
      </c>
      <c r="BC572" s="12">
        <f>IF(Verso!$B$12=Voies!$B573,1,0)</f>
        <v>0</v>
      </c>
      <c r="BD572" s="12">
        <f>IF(Verso!$B$13=Voies!$B573,1,0)</f>
        <v>0</v>
      </c>
      <c r="BE572" s="12">
        <f>IF(Verso!$B$14=Voies!$B573,1,0)</f>
        <v>0</v>
      </c>
      <c r="BF572" s="12">
        <f>IF(Verso!$B$15=Voies!$B573,1,0)</f>
        <v>0</v>
      </c>
      <c r="BG572" s="12">
        <f>IF(Verso!$B$16=Voies!$B573,1,0)</f>
        <v>0</v>
      </c>
      <c r="BH572" s="12">
        <f>IF(Verso!$B$17=Voies!$B573,1,0)</f>
        <v>0</v>
      </c>
      <c r="BI572" s="557">
        <f t="shared" si="60"/>
        <v>0</v>
      </c>
      <c r="BJ572" s="196" t="str">
        <f t="shared" si="61"/>
        <v/>
      </c>
      <c r="BK572" s="196" t="str">
        <f t="shared" si="62"/>
        <v/>
      </c>
      <c r="BL572" s="295" t="str">
        <f t="shared" si="63"/>
        <v/>
      </c>
    </row>
    <row r="573" spans="1:65" ht="47.25" customHeight="1" x14ac:dyDescent="0.25">
      <c r="A573" s="162" t="str">
        <f>IF(AND(Réputation&gt;Voies!E573-1,OR(C573=TRUE,Calculs!$I$8&gt;0),Air&gt;Voies!J573-1,Eau&gt;Voies!K573-1,Feu&gt;Voies!L573-1,Terre&gt;Voies!M573-1,Vide&gt;Voies!N573-1,Constitution&gt;Voies!O573-1,Volonté&gt;Voies!P573-1,Force&gt;Voies!Q573-1,Perception&gt;Voies!R573-1,Reflexes&gt;Voies!S573-1,Agilité&gt;Voies!T573-1,Intuition&gt;Voies!U573-1,Intelligence&gt;Voies!V573-1,Souillure&gt;Voies!W573-1,Honneur&gt;X573-1,Statut&gt;Y573-1,Gloire&gt;Z573-1,AV573=TRUE),Voies!B573,"")</f>
        <v/>
      </c>
      <c r="B573" s="162" t="s">
        <v>2912</v>
      </c>
      <c r="C573" s="162" t="b">
        <f>IF(Clan=Voies!D574,TRUE,FALSE)</f>
        <v>0</v>
      </c>
      <c r="D573" s="388" t="s">
        <v>20</v>
      </c>
      <c r="E573" s="13">
        <v>2</v>
      </c>
      <c r="F573" s="199">
        <v>2</v>
      </c>
      <c r="G573" s="13" t="s">
        <v>2049</v>
      </c>
      <c r="H573" s="219" t="s">
        <v>207</v>
      </c>
      <c r="I573" s="129" t="str">
        <f>IF(B573="","","Rien")</f>
        <v>Rien</v>
      </c>
      <c r="J573" s="146">
        <v>0</v>
      </c>
      <c r="K573" s="147">
        <v>0</v>
      </c>
      <c r="L573" s="148">
        <v>0</v>
      </c>
      <c r="M573" s="149">
        <v>0</v>
      </c>
      <c r="N573" s="150">
        <v>0</v>
      </c>
      <c r="O573" s="130">
        <v>0</v>
      </c>
      <c r="P573" s="130">
        <v>0</v>
      </c>
      <c r="Q573" s="130">
        <v>0</v>
      </c>
      <c r="R573" s="130">
        <v>0</v>
      </c>
      <c r="S573" s="130">
        <v>0</v>
      </c>
      <c r="T573" s="130">
        <v>0</v>
      </c>
      <c r="U573" s="130">
        <v>0</v>
      </c>
      <c r="V573" s="524">
        <v>0</v>
      </c>
      <c r="W573" s="130">
        <v>0</v>
      </c>
      <c r="X573" s="130">
        <v>0</v>
      </c>
      <c r="Y573" s="130">
        <v>0</v>
      </c>
      <c r="Z573" s="130">
        <v>0</v>
      </c>
      <c r="AA573" s="158" t="s">
        <v>2078</v>
      </c>
      <c r="AB573" s="158"/>
      <c r="AC573" s="158"/>
      <c r="AD573" s="158"/>
      <c r="AE573" s="158" t="b">
        <f>IF(AB573="",TRUE,IF(IF(AC573="",VLOOKUP(AB573,Calculs!$A$19:$S$425,19,FALSE),VLOOKUP(AC573,Calculs!$A$19:$S$425,19,FALSE))&gt;=AD573,TRUE,FALSE))</f>
        <v>1</v>
      </c>
      <c r="AF573" s="158"/>
      <c r="AG573" s="158"/>
      <c r="AH573" s="158"/>
      <c r="AI573" s="158" t="b">
        <f>IF(AF573="",TRUE,IF(IF(AG573="",VLOOKUP(AF573,Calculs!$A$19:$S$425,19,FALSE),VLOOKUP(AG573,Calculs!$A$19:$S$425,19,FALSE))&gt;=AH573,TRUE,FALSE))</f>
        <v>1</v>
      </c>
      <c r="AJ573" s="158"/>
      <c r="AK573" s="158"/>
      <c r="AL573" s="158"/>
      <c r="AM573" s="158" t="b">
        <f>IF(AJ573="",TRUE,IF(IF(AK573="",VLOOKUP(AJ573,Calculs!$A$19:$S$425,19,FALSE),VLOOKUP(AK573,Calculs!$A$19:$S$425,19,FALSE))&gt;=AL573,TRUE,FALSE))</f>
        <v>1</v>
      </c>
      <c r="AN573" s="158"/>
      <c r="AO573" s="158"/>
      <c r="AP573" s="158"/>
      <c r="AQ573" s="158" t="b">
        <f>IF(AN573="",TRUE,IF(IF(AO573="",VLOOKUP(AN573,Calculs!$A$19:$S$425,19,FALSE),VLOOKUP(AO573,Calculs!$A$19:$S$425,19,FALSE))&gt;=AP573,TRUE,FALSE))</f>
        <v>1</v>
      </c>
      <c r="AR573" s="158"/>
      <c r="AS573" s="158" t="b">
        <f>IF(AR573="",TRUE,IF(VLOOKUP(AR573,Calculs!$A$427:$G$738,7,FALSE)&gt;0,TRUE,FALSE))</f>
        <v>1</v>
      </c>
      <c r="AT573" s="158"/>
      <c r="AU573" s="158" t="b">
        <f>IF(AT573="",TRUE,IF(VLOOKUP(AT573,Calculs!$A$740:$G$912,7,FALSE)&gt;0,TRUE,FALSE))</f>
        <v>1</v>
      </c>
      <c r="AV573" s="158" t="b">
        <f t="shared" si="59"/>
        <v>1</v>
      </c>
      <c r="AW573" s="158" t="s">
        <v>2078</v>
      </c>
      <c r="AX573" s="162" t="s">
        <v>2910</v>
      </c>
      <c r="AY573" s="15">
        <v>8</v>
      </c>
      <c r="AZ573" s="555" t="str">
        <f>CONCATENATE("Lorsque vous maniez une Lance ou Arme d'Hast (au Corps à Corps ou à Distance), vous ignorez jusqu'à ",ROUNDUP(Honneur/2,0)," points de Réduction de votre adversaire.")</f>
        <v>Lorsque vous maniez une Lance ou Arme d'Hast (au Corps à Corps ou à Distance), vous ignorez jusqu'à 0 points de Réduction de votre adversaire.</v>
      </c>
      <c r="BA573" s="559">
        <f>IF(Verso!$B$10=Voies!$B574,1,0)</f>
        <v>0</v>
      </c>
      <c r="BB573" s="12">
        <f>IF(Verso!$B$11=Voies!$B574,1,0)</f>
        <v>0</v>
      </c>
      <c r="BC573" s="12">
        <f>IF(Verso!$B$12=Voies!$B574,1,0)</f>
        <v>0</v>
      </c>
      <c r="BD573" s="12">
        <f>IF(Verso!$B$13=Voies!$B574,1,0)</f>
        <v>0</v>
      </c>
      <c r="BE573" s="12">
        <f>IF(Verso!$B$14=Voies!$B574,1,0)</f>
        <v>0</v>
      </c>
      <c r="BF573" s="12">
        <f>IF(Verso!$B$15=Voies!$B574,1,0)</f>
        <v>0</v>
      </c>
      <c r="BG573" s="12">
        <f>IF(Verso!$B$16=Voies!$B574,1,0)</f>
        <v>0</v>
      </c>
      <c r="BH573" s="12">
        <f>IF(Verso!$B$17=Voies!$B574,1,0)</f>
        <v>0</v>
      </c>
      <c r="BI573" s="557">
        <f t="shared" si="60"/>
        <v>0</v>
      </c>
      <c r="BJ573" s="196" t="str">
        <f t="shared" si="61"/>
        <v/>
      </c>
      <c r="BK573" s="196" t="str">
        <f t="shared" si="62"/>
        <v/>
      </c>
      <c r="BL573" s="295" t="str">
        <f t="shared" si="63"/>
        <v/>
      </c>
    </row>
    <row r="574" spans="1:65" ht="47.25" customHeight="1" x14ac:dyDescent="0.25">
      <c r="A574" s="162" t="str">
        <f>IF(AND(Réputation&gt;Voies!E574-1,OR(C574=TRUE,Calculs!$I$8&gt;0),Air&gt;Voies!J574-1,Eau&gt;Voies!K574-1,Feu&gt;Voies!L574-1,Terre&gt;Voies!M574-1,Vide&gt;Voies!N574-1,Constitution&gt;Voies!O574-1,Volonté&gt;Voies!P574-1,Force&gt;Voies!Q574-1,Perception&gt;Voies!R574-1,Reflexes&gt;Voies!S574-1,Agilité&gt;Voies!T574-1,Intuition&gt;Voies!U574-1,Intelligence&gt;Voies!V574-1,Souillure&gt;Voies!W574-1,Honneur&gt;X574-1,Statut&gt;Y574-1,Gloire&gt;Z574-1,AV574=TRUE),Voies!B574,"")</f>
        <v/>
      </c>
      <c r="B574" s="219" t="s">
        <v>9076</v>
      </c>
      <c r="C574" s="162" t="b">
        <f>IF(Clan=Voies!D575,TRUE,FALSE)</f>
        <v>0</v>
      </c>
      <c r="D574" s="388" t="s">
        <v>20</v>
      </c>
      <c r="E574" s="13">
        <v>2</v>
      </c>
      <c r="F574" s="199">
        <v>2</v>
      </c>
      <c r="G574" s="13" t="s">
        <v>2049</v>
      </c>
      <c r="H574" s="462" t="s">
        <v>9077</v>
      </c>
      <c r="I574" s="129" t="s">
        <v>9078</v>
      </c>
      <c r="J574" s="146">
        <v>0</v>
      </c>
      <c r="K574" s="147">
        <v>0</v>
      </c>
      <c r="L574" s="148">
        <v>0</v>
      </c>
      <c r="M574" s="149">
        <v>0</v>
      </c>
      <c r="N574" s="150">
        <v>0</v>
      </c>
      <c r="O574" s="130">
        <v>0</v>
      </c>
      <c r="P574" s="130">
        <v>0</v>
      </c>
      <c r="Q574" s="130">
        <v>0</v>
      </c>
      <c r="R574" s="130">
        <v>0</v>
      </c>
      <c r="S574" s="130">
        <v>0</v>
      </c>
      <c r="T574" s="130">
        <v>0</v>
      </c>
      <c r="U574" s="130">
        <v>0</v>
      </c>
      <c r="V574" s="524">
        <v>0</v>
      </c>
      <c r="W574" s="130">
        <v>0</v>
      </c>
      <c r="X574" s="130">
        <v>0</v>
      </c>
      <c r="Y574" s="130">
        <v>0</v>
      </c>
      <c r="Z574" s="130">
        <v>0</v>
      </c>
      <c r="AA574" s="158" t="s">
        <v>3375</v>
      </c>
      <c r="AB574" s="158" t="s">
        <v>1221</v>
      </c>
      <c r="AC574" s="158"/>
      <c r="AD574" s="158">
        <v>3</v>
      </c>
      <c r="AE574" s="158" t="b">
        <f>IF(AB574="",TRUE,IF(IF(AC574="",VLOOKUP(AB574,Calculs!$A$19:$S$425,19,FALSE),VLOOKUP(AC574,Calculs!$A$19:$S$425,19,FALSE))&gt;=AD574,TRUE,FALSE))</f>
        <v>0</v>
      </c>
      <c r="AF574" s="158"/>
      <c r="AG574" s="158"/>
      <c r="AH574" s="158"/>
      <c r="AI574" s="158" t="b">
        <f>IF(AF574="",TRUE,IF(IF(AG574="",VLOOKUP(AF574,Calculs!$A$19:$S$425,19,FALSE),VLOOKUP(AG574,Calculs!$A$19:$S$425,19,FALSE))&gt;=AH574,TRUE,FALSE))</f>
        <v>1</v>
      </c>
      <c r="AJ574" s="158"/>
      <c r="AK574" s="158"/>
      <c r="AL574" s="158"/>
      <c r="AM574" s="158" t="b">
        <f>IF(AJ574="",TRUE,IF(IF(AK574="",VLOOKUP(AJ574,Calculs!$A$19:$S$425,19,FALSE),VLOOKUP(AK574,Calculs!$A$19:$S$425,19,FALSE))&gt;=AL574,TRUE,FALSE))</f>
        <v>1</v>
      </c>
      <c r="AN574" s="158"/>
      <c r="AO574" s="158"/>
      <c r="AP574" s="158"/>
      <c r="AQ574" s="158" t="b">
        <f>IF(AN574="",TRUE,IF(IF(AO574="",VLOOKUP(AN574,Calculs!$A$19:$S$425,19,FALSE),VLOOKUP(AO574,Calculs!$A$19:$S$425,19,FALSE))&gt;=AP574,TRUE,FALSE))</f>
        <v>1</v>
      </c>
      <c r="AR574" s="158"/>
      <c r="AS574" s="158" t="b">
        <f>IF(AR574="",TRUE,IF(VLOOKUP(AR574,Calculs!$A$427:$G$738,7,FALSE)&gt;0,TRUE,FALSE))</f>
        <v>1</v>
      </c>
      <c r="AT574" s="158"/>
      <c r="AU574" s="158" t="b">
        <f>IF(AT574="",TRUE,IF(VLOOKUP(AT574,Calculs!$A$740:$G$912,7,FALSE)&gt;0,TRUE,FALSE))</f>
        <v>1</v>
      </c>
      <c r="AV574" s="158" t="b">
        <f t="shared" si="59"/>
        <v>0</v>
      </c>
      <c r="AW574" s="158" t="s">
        <v>2078</v>
      </c>
      <c r="AX574" s="162" t="s">
        <v>9070</v>
      </c>
      <c r="AY574" s="15">
        <v>71</v>
      </c>
      <c r="AZ574" s="555" t="str">
        <f>CONCATENATE("Vous gagnez un bonus à votre ND d'armure et à votre Réduction égal à ",Honneur, " (votre rang d'honneur actuel)")</f>
        <v>Vous gagnez un bonus à votre ND d'armure et à votre Réduction égal à 0 (votre rang d'honneur actuel)</v>
      </c>
      <c r="BA574" s="559">
        <f>IF(Verso!$B$10=Voies!$B575,1,0)</f>
        <v>0</v>
      </c>
      <c r="BB574" s="12">
        <f>IF(Verso!$B$11=Voies!$B575,1,0)</f>
        <v>0</v>
      </c>
      <c r="BC574" s="12">
        <f>IF(Verso!$B$12=Voies!$B575,1,0)</f>
        <v>0</v>
      </c>
      <c r="BD574" s="12">
        <f>IF(Verso!$B$13=Voies!$B575,1,0)</f>
        <v>0</v>
      </c>
      <c r="BE574" s="12">
        <f>IF(Verso!$B$14=Voies!$B575,1,0)</f>
        <v>0</v>
      </c>
      <c r="BF574" s="12">
        <f>IF(Verso!$B$15=Voies!$B575,1,0)</f>
        <v>0</v>
      </c>
      <c r="BG574" s="12">
        <f>IF(Verso!$B$16=Voies!$B575,1,0)</f>
        <v>0</v>
      </c>
      <c r="BH574" s="12">
        <f>IF(Verso!$B$17=Voies!$B575,1,0)</f>
        <v>0</v>
      </c>
      <c r="BI574" s="557">
        <f t="shared" si="60"/>
        <v>0</v>
      </c>
      <c r="BJ574" s="196" t="str">
        <f t="shared" si="61"/>
        <v/>
      </c>
      <c r="BK574" s="196" t="str">
        <f t="shared" si="62"/>
        <v/>
      </c>
      <c r="BL574" s="295" t="str">
        <f t="shared" si="63"/>
        <v/>
      </c>
    </row>
    <row r="575" spans="1:65" s="196" customFormat="1" ht="47.25" customHeight="1" x14ac:dyDescent="0.25">
      <c r="A575" s="162"/>
      <c r="B575" s="162" t="s">
        <v>2678</v>
      </c>
      <c r="C575" s="162" t="b">
        <f>IF(Clan=Voies!D576,TRUE,FALSE)</f>
        <v>0</v>
      </c>
      <c r="D575" s="388" t="s">
        <v>20</v>
      </c>
      <c r="E575" s="199">
        <v>2</v>
      </c>
      <c r="F575" s="199">
        <v>2</v>
      </c>
      <c r="G575" s="199" t="s">
        <v>2049</v>
      </c>
      <c r="H575" s="219" t="s">
        <v>205</v>
      </c>
      <c r="I575" s="129" t="str">
        <f t="shared" ref="I575:I582" si="65">IF(B575="","","Rien")</f>
        <v>Rien</v>
      </c>
      <c r="J575" s="146">
        <v>0</v>
      </c>
      <c r="K575" s="147">
        <v>0</v>
      </c>
      <c r="L575" s="148">
        <v>0</v>
      </c>
      <c r="M575" s="149">
        <v>0</v>
      </c>
      <c r="N575" s="150">
        <v>0</v>
      </c>
      <c r="O575" s="130">
        <v>0</v>
      </c>
      <c r="P575" s="130">
        <v>0</v>
      </c>
      <c r="Q575" s="130">
        <v>0</v>
      </c>
      <c r="R575" s="130">
        <v>0</v>
      </c>
      <c r="S575" s="130">
        <v>0</v>
      </c>
      <c r="T575" s="130">
        <v>0</v>
      </c>
      <c r="U575" s="130">
        <v>0</v>
      </c>
      <c r="V575" s="524">
        <v>0</v>
      </c>
      <c r="W575" s="130">
        <v>0</v>
      </c>
      <c r="X575" s="130">
        <v>0</v>
      </c>
      <c r="Y575" s="130">
        <v>0</v>
      </c>
      <c r="Z575" s="130">
        <v>0</v>
      </c>
      <c r="AA575" s="158" t="s">
        <v>2078</v>
      </c>
      <c r="AB575" s="158"/>
      <c r="AC575" s="158"/>
      <c r="AD575" s="158"/>
      <c r="AE575" s="158" t="b">
        <f>IF(AB575="",TRUE,IF(IF(AC575="",VLOOKUP(AB575,Calculs!$A$19:$S$425,19,FALSE),VLOOKUP(AC575,Calculs!$A$19:$S$425,19,FALSE))&gt;=AD575,TRUE,FALSE))</f>
        <v>1</v>
      </c>
      <c r="AF575" s="158"/>
      <c r="AG575" s="158"/>
      <c r="AH575" s="158"/>
      <c r="AI575" s="158" t="b">
        <f>IF(AF575="",TRUE,IF(IF(AG575="",VLOOKUP(AF575,Calculs!$A$19:$S$425,19,FALSE),VLOOKUP(AG575,Calculs!$A$19:$S$425,19,FALSE))&gt;=AH575,TRUE,FALSE))</f>
        <v>1</v>
      </c>
      <c r="AJ575" s="158"/>
      <c r="AK575" s="158"/>
      <c r="AL575" s="158"/>
      <c r="AM575" s="158" t="b">
        <f>IF(AJ575="",TRUE,IF(IF(AK575="",VLOOKUP(AJ575,Calculs!$A$19:$S$425,19,FALSE),VLOOKUP(AK575,Calculs!$A$19:$S$425,19,FALSE))&gt;=AL575,TRUE,FALSE))</f>
        <v>1</v>
      </c>
      <c r="AN575" s="158"/>
      <c r="AO575" s="158"/>
      <c r="AP575" s="158"/>
      <c r="AQ575" s="158" t="b">
        <f>IF(AN575="",TRUE,IF(IF(AO575="",VLOOKUP(AN575,Calculs!$A$19:$S$425,19,FALSE),VLOOKUP(AO575,Calculs!$A$19:$S$425,19,FALSE))&gt;=AP575,TRUE,FALSE))</f>
        <v>1</v>
      </c>
      <c r="AR575" s="158"/>
      <c r="AS575" s="158" t="b">
        <f>IF(AR575="",TRUE,IF(VLOOKUP(AR575,Calculs!$A$427:$G$738,7,FALSE)&gt;0,TRUE,FALSE))</f>
        <v>1</v>
      </c>
      <c r="AT575" s="158"/>
      <c r="AU575" s="158" t="b">
        <f>IF(AT575="",TRUE,IF(VLOOKUP(AT575,Calculs!$A$740:$G$912,7,FALSE)&gt;0,TRUE,FALSE))</f>
        <v>1</v>
      </c>
      <c r="AV575" s="158" t="b">
        <f t="shared" si="59"/>
        <v>1</v>
      </c>
      <c r="AW575" s="158" t="s">
        <v>2078</v>
      </c>
      <c r="AX575" s="162" t="s">
        <v>5202</v>
      </c>
      <c r="AY575" s="15">
        <v>109</v>
      </c>
      <c r="AZ575" s="566" t="s">
        <v>2681</v>
      </c>
      <c r="BA575" s="559">
        <f>IF(Verso!$B$10=Voies!$B576,1,0)</f>
        <v>0</v>
      </c>
      <c r="BB575" s="12">
        <f>IF(Verso!$B$11=Voies!$B576,1,0)</f>
        <v>0</v>
      </c>
      <c r="BC575" s="12">
        <f>IF(Verso!$B$12=Voies!$B576,1,0)</f>
        <v>0</v>
      </c>
      <c r="BD575" s="12">
        <f>IF(Verso!$B$13=Voies!$B576,1,0)</f>
        <v>0</v>
      </c>
      <c r="BE575" s="12">
        <f>IF(Verso!$B$14=Voies!$B576,1,0)</f>
        <v>0</v>
      </c>
      <c r="BF575" s="12">
        <f>IF(Verso!$B$15=Voies!$B576,1,0)</f>
        <v>0</v>
      </c>
      <c r="BG575" s="12">
        <f>IF(Verso!$B$16=Voies!$B576,1,0)</f>
        <v>0</v>
      </c>
      <c r="BH575" s="12">
        <f>IF(Verso!$B$17=Voies!$B576,1,0)</f>
        <v>0</v>
      </c>
      <c r="BI575" s="557">
        <f t="shared" si="60"/>
        <v>0</v>
      </c>
      <c r="BJ575" s="196" t="str">
        <f t="shared" si="61"/>
        <v/>
      </c>
      <c r="BK575" s="196" t="str">
        <f t="shared" si="62"/>
        <v/>
      </c>
      <c r="BL575" s="295" t="str">
        <f t="shared" si="63"/>
        <v/>
      </c>
      <c r="BM575" s="91"/>
    </row>
    <row r="576" spans="1:65" ht="47.25" customHeight="1" x14ac:dyDescent="0.25">
      <c r="A576" s="162" t="str">
        <f>IF(AND(Réputation&gt;Voies!E576-1,OR(C576=TRUE,Calculs!$I$8&gt;0),Air&gt;Voies!J576-1,Eau&gt;Voies!K576-1,Feu&gt;Voies!L576-1,Terre&gt;Voies!M576-1,Vide&gt;Voies!N576-1,Constitution&gt;Voies!O576-1,Volonté&gt;Voies!P576-1,Force&gt;Voies!Q576-1,Perception&gt;Voies!R576-1,Reflexes&gt;Voies!S576-1,Agilité&gt;Voies!T576-1,Intuition&gt;Voies!U576-1,Intelligence&gt;Voies!V576-1,Souillure&gt;Voies!W576-1,Honneur&gt;X576-1,Statut&gt;Y576-1,Gloire&gt;Z576-1,AV576=TRUE),Voies!B576,"")</f>
        <v/>
      </c>
      <c r="B576" s="162" t="s">
        <v>7826</v>
      </c>
      <c r="C576" s="162" t="b">
        <f>IF(Clan=Voies!D577,TRUE,FALSE)</f>
        <v>0</v>
      </c>
      <c r="D576" s="388" t="s">
        <v>20</v>
      </c>
      <c r="E576" s="13">
        <v>2</v>
      </c>
      <c r="F576" s="199">
        <v>2</v>
      </c>
      <c r="G576" s="13" t="s">
        <v>2049</v>
      </c>
      <c r="H576" s="162" t="s">
        <v>7791</v>
      </c>
      <c r="I576" s="129" t="str">
        <f t="shared" si="65"/>
        <v>Rien</v>
      </c>
      <c r="J576" s="146">
        <v>0</v>
      </c>
      <c r="K576" s="147">
        <v>0</v>
      </c>
      <c r="L576" s="148">
        <v>0</v>
      </c>
      <c r="M576" s="149">
        <v>0</v>
      </c>
      <c r="N576" s="150">
        <v>0</v>
      </c>
      <c r="O576" s="130">
        <v>0</v>
      </c>
      <c r="P576" s="130">
        <v>0</v>
      </c>
      <c r="Q576" s="130">
        <v>0</v>
      </c>
      <c r="R576" s="130">
        <v>0</v>
      </c>
      <c r="S576" s="130">
        <v>0</v>
      </c>
      <c r="T576" s="130">
        <v>0</v>
      </c>
      <c r="U576" s="130">
        <v>0</v>
      </c>
      <c r="V576" s="524">
        <v>0</v>
      </c>
      <c r="W576" s="130">
        <v>0</v>
      </c>
      <c r="X576" s="130">
        <v>0</v>
      </c>
      <c r="Y576" s="130">
        <v>0</v>
      </c>
      <c r="Z576" s="130">
        <v>0</v>
      </c>
      <c r="AA576" s="158" t="s">
        <v>2078</v>
      </c>
      <c r="AB576" s="158"/>
      <c r="AC576" s="158"/>
      <c r="AD576" s="158"/>
      <c r="AE576" s="158" t="b">
        <f>IF(AB576="",TRUE,IF(IF(AC576="",VLOOKUP(AB576,Calculs!$A$19:$S$425,19,FALSE),VLOOKUP(AC576,Calculs!$A$19:$S$425,19,FALSE))&gt;=AD576,TRUE,FALSE))</f>
        <v>1</v>
      </c>
      <c r="AF576" s="158"/>
      <c r="AG576" s="158"/>
      <c r="AH576" s="158"/>
      <c r="AI576" s="158" t="b">
        <f>IF(AF576="",TRUE,IF(IF(AG576="",VLOOKUP(AF576,Calculs!$A$19:$S$425,19,FALSE),VLOOKUP(AG576,Calculs!$A$19:$S$425,19,FALSE))&gt;=AH576,TRUE,FALSE))</f>
        <v>1</v>
      </c>
      <c r="AJ576" s="158"/>
      <c r="AK576" s="158"/>
      <c r="AL576" s="158"/>
      <c r="AM576" s="158" t="b">
        <f>IF(AJ576="",TRUE,IF(IF(AK576="",VLOOKUP(AJ576,Calculs!$A$19:$S$425,19,FALSE),VLOOKUP(AK576,Calculs!$A$19:$S$425,19,FALSE))&gt;=AL576,TRUE,FALSE))</f>
        <v>1</v>
      </c>
      <c r="AN576" s="158"/>
      <c r="AO576" s="158"/>
      <c r="AP576" s="158"/>
      <c r="AQ576" s="158" t="b">
        <f>IF(AN576="",TRUE,IF(IF(AO576="",VLOOKUP(AN576,Calculs!$A$19:$S$425,19,FALSE),VLOOKUP(AO576,Calculs!$A$19:$S$425,19,FALSE))&gt;=AP576,TRUE,FALSE))</f>
        <v>1</v>
      </c>
      <c r="AR576" s="158"/>
      <c r="AS576" s="158" t="b">
        <f>IF(AR576="",TRUE,IF(VLOOKUP(AR576,Calculs!$A$427:$G$738,7,FALSE)&gt;0,TRUE,FALSE))</f>
        <v>1</v>
      </c>
      <c r="AT576" s="158"/>
      <c r="AU576" s="158" t="b">
        <f>IF(AT576="",TRUE,IF(VLOOKUP(AT576,Calculs!$A$740:$G$912,7,FALSE)&gt;0,TRUE,FALSE))</f>
        <v>1</v>
      </c>
      <c r="AV576" s="158" t="b">
        <f t="shared" si="59"/>
        <v>1</v>
      </c>
      <c r="AW576" s="158" t="s">
        <v>2078</v>
      </c>
      <c r="AX576" s="162" t="s">
        <v>7226</v>
      </c>
      <c r="AY576" s="15">
        <v>68</v>
      </c>
      <c r="AZ576" s="555" t="s">
        <v>8616</v>
      </c>
      <c r="BA576" s="559">
        <f>IF(Verso!$B$10=Voies!$B577,1,0)</f>
        <v>0</v>
      </c>
      <c r="BB576" s="12">
        <f>IF(Verso!$B$11=Voies!$B577,1,0)</f>
        <v>0</v>
      </c>
      <c r="BC576" s="12">
        <f>IF(Verso!$B$12=Voies!$B577,1,0)</f>
        <v>0</v>
      </c>
      <c r="BD576" s="12">
        <f>IF(Verso!$B$13=Voies!$B577,1,0)</f>
        <v>0</v>
      </c>
      <c r="BE576" s="12">
        <f>IF(Verso!$B$14=Voies!$B577,1,0)</f>
        <v>0</v>
      </c>
      <c r="BF576" s="12">
        <f>IF(Verso!$B$15=Voies!$B577,1,0)</f>
        <v>0</v>
      </c>
      <c r="BG576" s="12">
        <f>IF(Verso!$B$16=Voies!$B577,1,0)</f>
        <v>0</v>
      </c>
      <c r="BH576" s="12">
        <f>IF(Verso!$B$17=Voies!$B577,1,0)</f>
        <v>0</v>
      </c>
      <c r="BI576" s="557">
        <f t="shared" si="60"/>
        <v>0</v>
      </c>
      <c r="BJ576" s="196" t="str">
        <f t="shared" si="61"/>
        <v/>
      </c>
      <c r="BK576" s="196" t="str">
        <f t="shared" si="62"/>
        <v/>
      </c>
      <c r="BL576" s="295" t="str">
        <f t="shared" si="63"/>
        <v/>
      </c>
    </row>
    <row r="577" spans="1:65" s="196" customFormat="1" ht="47.25" customHeight="1" x14ac:dyDescent="0.25">
      <c r="A577" s="162" t="str">
        <f>IF(AND(Réputation&gt;Voies!E577-1,OR(C577=TRUE,Calculs!$I$8&gt;0),Air&gt;Voies!J577-1,Eau&gt;Voies!K577-1,Feu&gt;Voies!L577-1,Terre&gt;Voies!M577-1,Vide&gt;Voies!N577-1,Constitution&gt;Voies!O577-1,Volonté&gt;Voies!P577-1,Force&gt;Voies!Q577-1,Perception&gt;Voies!R577-1,Reflexes&gt;Voies!S577-1,Agilité&gt;Voies!T577-1,Intuition&gt;Voies!U577-1,Intelligence&gt;Voies!V577-1,Souillure&gt;Voies!W577-1,Honneur&gt;X577-1,Statut&gt;Y577-1,Gloire&gt;Z577-1,AV577=TRUE),Voies!B577,"")</f>
        <v/>
      </c>
      <c r="B577" s="162" t="s">
        <v>2453</v>
      </c>
      <c r="C577" s="162" t="b">
        <f>IF(Clan=Voies!D578,TRUE,FALSE)</f>
        <v>0</v>
      </c>
      <c r="D577" s="388" t="s">
        <v>20</v>
      </c>
      <c r="E577" s="199">
        <v>2</v>
      </c>
      <c r="F577" s="199">
        <v>2</v>
      </c>
      <c r="G577" s="199" t="s">
        <v>2052</v>
      </c>
      <c r="H577" s="219" t="s">
        <v>204</v>
      </c>
      <c r="I577" s="129" t="str">
        <f t="shared" si="65"/>
        <v>Rien</v>
      </c>
      <c r="J577" s="146">
        <v>0</v>
      </c>
      <c r="K577" s="147">
        <v>0</v>
      </c>
      <c r="L577" s="148">
        <v>0</v>
      </c>
      <c r="M577" s="149">
        <v>0</v>
      </c>
      <c r="N577" s="150">
        <v>0</v>
      </c>
      <c r="O577" s="130">
        <v>0</v>
      </c>
      <c r="P577" s="130">
        <v>0</v>
      </c>
      <c r="Q577" s="130">
        <v>0</v>
      </c>
      <c r="R577" s="130">
        <v>0</v>
      </c>
      <c r="S577" s="130">
        <v>0</v>
      </c>
      <c r="T577" s="130">
        <v>0</v>
      </c>
      <c r="U577" s="130">
        <v>0</v>
      </c>
      <c r="V577" s="524">
        <v>0</v>
      </c>
      <c r="W577" s="130">
        <v>0</v>
      </c>
      <c r="X577" s="130">
        <v>0</v>
      </c>
      <c r="Y577" s="130">
        <v>0</v>
      </c>
      <c r="Z577" s="130">
        <v>0</v>
      </c>
      <c r="AA577" s="158" t="s">
        <v>2078</v>
      </c>
      <c r="AB577" s="158"/>
      <c r="AC577" s="158"/>
      <c r="AD577" s="158"/>
      <c r="AE577" s="158" t="b">
        <f>IF(AB577="",TRUE,IF(IF(AC577="",VLOOKUP(AB577,Calculs!$A$19:$S$425,19,FALSE),VLOOKUP(AC577,Calculs!$A$19:$S$425,19,FALSE))&gt;=AD577,TRUE,FALSE))</f>
        <v>1</v>
      </c>
      <c r="AF577" s="158"/>
      <c r="AG577" s="158"/>
      <c r="AH577" s="158"/>
      <c r="AI577" s="158" t="b">
        <f>IF(AF577="",TRUE,IF(IF(AG577="",VLOOKUP(AF577,Calculs!$A$19:$S$425,19,FALSE),VLOOKUP(AG577,Calculs!$A$19:$S$425,19,FALSE))&gt;=AH577,TRUE,FALSE))</f>
        <v>1</v>
      </c>
      <c r="AJ577" s="158"/>
      <c r="AK577" s="158"/>
      <c r="AL577" s="158"/>
      <c r="AM577" s="158" t="b">
        <f>IF(AJ577="",TRUE,IF(IF(AK577="",VLOOKUP(AJ577,Calculs!$A$19:$S$425,19,FALSE),VLOOKUP(AK577,Calculs!$A$19:$S$425,19,FALSE))&gt;=AL577,TRUE,FALSE))</f>
        <v>1</v>
      </c>
      <c r="AN577" s="158"/>
      <c r="AO577" s="158"/>
      <c r="AP577" s="158"/>
      <c r="AQ577" s="158" t="b">
        <f>IF(AN577="",TRUE,IF(IF(AO577="",VLOOKUP(AN577,Calculs!$A$19:$S$425,19,FALSE),VLOOKUP(AO577,Calculs!$A$19:$S$425,19,FALSE))&gt;=AP577,TRUE,FALSE))</f>
        <v>1</v>
      </c>
      <c r="AR577" s="158"/>
      <c r="AS577" s="158" t="b">
        <f>IF(AR577="",TRUE,IF(VLOOKUP(AR577,Calculs!$A$427:$G$738,7,FALSE)&gt;0,TRUE,FALSE))</f>
        <v>1</v>
      </c>
      <c r="AT577" s="158"/>
      <c r="AU577" s="158" t="b">
        <f>IF(AT577="",TRUE,IF(VLOOKUP(AT577,Calculs!$A$740:$G$912,7,FALSE)&gt;0,TRUE,FALSE))</f>
        <v>1</v>
      </c>
      <c r="AV577" s="158" t="b">
        <f t="shared" si="59"/>
        <v>1</v>
      </c>
      <c r="AW577" s="158" t="s">
        <v>2078</v>
      </c>
      <c r="AX577" s="162" t="s">
        <v>3</v>
      </c>
      <c r="AY577" s="15">
        <v>121</v>
      </c>
      <c r="AZ577" s="555" t="s">
        <v>2457</v>
      </c>
      <c r="BA577" s="559">
        <f>IF(Verso!$B$10=Voies!$B578,1,0)</f>
        <v>0</v>
      </c>
      <c r="BB577" s="12">
        <f>IF(Verso!$B$11=Voies!$B578,1,0)</f>
        <v>0</v>
      </c>
      <c r="BC577" s="12">
        <f>IF(Verso!$B$12=Voies!$B578,1,0)</f>
        <v>0</v>
      </c>
      <c r="BD577" s="12">
        <f>IF(Verso!$B$13=Voies!$B578,1,0)</f>
        <v>0</v>
      </c>
      <c r="BE577" s="12">
        <f>IF(Verso!$B$14=Voies!$B578,1,0)</f>
        <v>0</v>
      </c>
      <c r="BF577" s="12">
        <f>IF(Verso!$B$15=Voies!$B578,1,0)</f>
        <v>0</v>
      </c>
      <c r="BG577" s="12">
        <f>IF(Verso!$B$16=Voies!$B578,1,0)</f>
        <v>0</v>
      </c>
      <c r="BH577" s="12">
        <f>IF(Verso!$B$17=Voies!$B578,1,0)</f>
        <v>0</v>
      </c>
      <c r="BI577" s="557">
        <f t="shared" si="60"/>
        <v>0</v>
      </c>
      <c r="BJ577" s="196" t="str">
        <f t="shared" si="61"/>
        <v/>
      </c>
      <c r="BK577" s="196" t="str">
        <f t="shared" si="62"/>
        <v/>
      </c>
      <c r="BL577" s="295" t="str">
        <f t="shared" si="63"/>
        <v/>
      </c>
      <c r="BM577" s="91"/>
    </row>
    <row r="578" spans="1:65" ht="47.25" customHeight="1" x14ac:dyDescent="0.25">
      <c r="A578" s="162" t="str">
        <f>IF(AND(Réputation&gt;Voies!E578-1,OR(C578=TRUE,Calculs!$I$8&gt;0),Air&gt;Voies!J578-1,Eau&gt;Voies!K578-1,Feu&gt;Voies!L578-1,Terre&gt;Voies!M578-1,Vide&gt;Voies!N578-1,Constitution&gt;Voies!O578-1,Volonté&gt;Voies!P578-1,Force&gt;Voies!Q578-1,Perception&gt;Voies!R578-1,Reflexes&gt;Voies!S578-1,Agilité&gt;Voies!T578-1,Intuition&gt;Voies!U578-1,Intelligence&gt;Voies!V578-1,Souillure&gt;Voies!W578-1,Honneur&gt;X578-1,Statut&gt;Y578-1,Gloire&gt;Z578-1,AV578=TRUE),Voies!B578,"")</f>
        <v/>
      </c>
      <c r="B578" s="162" t="s">
        <v>2462</v>
      </c>
      <c r="C578" s="162" t="b">
        <f>IF(Clan=Voies!D579,TRUE,FALSE)</f>
        <v>0</v>
      </c>
      <c r="D578" s="388" t="s">
        <v>20</v>
      </c>
      <c r="E578" s="13">
        <v>3</v>
      </c>
      <c r="F578" s="199">
        <v>3</v>
      </c>
      <c r="G578" s="13" t="s">
        <v>2049</v>
      </c>
      <c r="H578" s="219" t="s">
        <v>208</v>
      </c>
      <c r="I578" s="129" t="str">
        <f t="shared" si="65"/>
        <v>Rien</v>
      </c>
      <c r="J578" s="146">
        <v>0</v>
      </c>
      <c r="K578" s="147">
        <v>0</v>
      </c>
      <c r="L578" s="148">
        <v>0</v>
      </c>
      <c r="M578" s="149">
        <v>0</v>
      </c>
      <c r="N578" s="150">
        <v>0</v>
      </c>
      <c r="O578" s="130">
        <v>0</v>
      </c>
      <c r="P578" s="130">
        <v>0</v>
      </c>
      <c r="Q578" s="130">
        <v>0</v>
      </c>
      <c r="R578" s="130">
        <v>0</v>
      </c>
      <c r="S578" s="130">
        <v>0</v>
      </c>
      <c r="T578" s="130">
        <v>0</v>
      </c>
      <c r="U578" s="130">
        <v>0</v>
      </c>
      <c r="V578" s="524">
        <v>0</v>
      </c>
      <c r="W578" s="130">
        <v>0</v>
      </c>
      <c r="X578" s="130">
        <v>0</v>
      </c>
      <c r="Y578" s="130">
        <v>0</v>
      </c>
      <c r="Z578" s="130">
        <v>0</v>
      </c>
      <c r="AA578" s="158" t="s">
        <v>2078</v>
      </c>
      <c r="AB578" s="158"/>
      <c r="AC578" s="158"/>
      <c r="AD578" s="158"/>
      <c r="AE578" s="158" t="b">
        <f>IF(AB578="",TRUE,IF(IF(AC578="",VLOOKUP(AB578,Calculs!$A$19:$S$425,19,FALSE),VLOOKUP(AC578,Calculs!$A$19:$S$425,19,FALSE))&gt;=AD578,TRUE,FALSE))</f>
        <v>1</v>
      </c>
      <c r="AF578" s="158"/>
      <c r="AG578" s="158"/>
      <c r="AH578" s="158"/>
      <c r="AI578" s="158" t="b">
        <f>IF(AF578="",TRUE,IF(IF(AG578="",VLOOKUP(AF578,Calculs!$A$19:$S$425,19,FALSE),VLOOKUP(AG578,Calculs!$A$19:$S$425,19,FALSE))&gt;=AH578,TRUE,FALSE))</f>
        <v>1</v>
      </c>
      <c r="AJ578" s="158"/>
      <c r="AK578" s="158"/>
      <c r="AL578" s="158"/>
      <c r="AM578" s="158" t="b">
        <f>IF(AJ578="",TRUE,IF(IF(AK578="",VLOOKUP(AJ578,Calculs!$A$19:$S$425,19,FALSE),VLOOKUP(AK578,Calculs!$A$19:$S$425,19,FALSE))&gt;=AL578,TRUE,FALSE))</f>
        <v>1</v>
      </c>
      <c r="AN578" s="158"/>
      <c r="AO578" s="158"/>
      <c r="AP578" s="158"/>
      <c r="AQ578" s="158" t="b">
        <f>IF(AN578="",TRUE,IF(IF(AO578="",VLOOKUP(AN578,Calculs!$A$19:$S$425,19,FALSE),VLOOKUP(AO578,Calculs!$A$19:$S$425,19,FALSE))&gt;=AP578,TRUE,FALSE))</f>
        <v>1</v>
      </c>
      <c r="AR578" s="158"/>
      <c r="AS578" s="158" t="b">
        <f>IF(AR578="",TRUE,IF(VLOOKUP(AR578,Calculs!$A$427:$G$738,7,FALSE)&gt;0,TRUE,FALSE))</f>
        <v>1</v>
      </c>
      <c r="AT578" s="158"/>
      <c r="AU578" s="158" t="b">
        <f>IF(AT578="",TRUE,IF(VLOOKUP(AT578,Calculs!$A$740:$G$912,7,FALSE)&gt;0,TRUE,FALSE))</f>
        <v>1</v>
      </c>
      <c r="AV578" s="158" t="b">
        <f t="shared" si="59"/>
        <v>1</v>
      </c>
      <c r="AW578" s="158" t="s">
        <v>2078</v>
      </c>
      <c r="AX578" s="162" t="s">
        <v>3</v>
      </c>
      <c r="AY578" s="15">
        <v>122</v>
      </c>
      <c r="AZ578" s="555" t="s">
        <v>2199</v>
      </c>
      <c r="BA578" s="559">
        <f>IF(Verso!$B$10=Voies!$B579,1,0)</f>
        <v>0</v>
      </c>
      <c r="BB578" s="12">
        <f>IF(Verso!$B$11=Voies!$B579,1,0)</f>
        <v>0</v>
      </c>
      <c r="BC578" s="12">
        <f>IF(Verso!$B$12=Voies!$B579,1,0)</f>
        <v>0</v>
      </c>
      <c r="BD578" s="12">
        <f>IF(Verso!$B$13=Voies!$B579,1,0)</f>
        <v>0</v>
      </c>
      <c r="BE578" s="12">
        <f>IF(Verso!$B$14=Voies!$B579,1,0)</f>
        <v>0</v>
      </c>
      <c r="BF578" s="12">
        <f>IF(Verso!$B$15=Voies!$B579,1,0)</f>
        <v>0</v>
      </c>
      <c r="BG578" s="12">
        <f>IF(Verso!$B$16=Voies!$B579,1,0)</f>
        <v>0</v>
      </c>
      <c r="BH578" s="12">
        <f>IF(Verso!$B$17=Voies!$B579,1,0)</f>
        <v>0</v>
      </c>
      <c r="BI578" s="557">
        <f t="shared" si="60"/>
        <v>0</v>
      </c>
      <c r="BJ578" s="196" t="str">
        <f t="shared" si="61"/>
        <v/>
      </c>
      <c r="BK578" s="196" t="str">
        <f t="shared" si="62"/>
        <v/>
      </c>
      <c r="BL578" s="295" t="str">
        <f t="shared" si="63"/>
        <v/>
      </c>
    </row>
    <row r="579" spans="1:65" ht="47.25" customHeight="1" x14ac:dyDescent="0.25">
      <c r="A579" s="162" t="str">
        <f>IF(AND(Réputation&gt;Voies!E579-1,OR(C579=TRUE,Calculs!$I$8&gt;0),Air&gt;Voies!J579-1,Eau&gt;Voies!K579-1,Feu&gt;Voies!L579-1,Terre&gt;Voies!M579-1,Vide&gt;Voies!N579-1,Constitution&gt;Voies!O579-1,Volonté&gt;Voies!P579-1,Force&gt;Voies!Q579-1,Perception&gt;Voies!R579-1,Reflexes&gt;Voies!S579-1,Agilité&gt;Voies!T579-1,Intuition&gt;Voies!U579-1,Intelligence&gt;Voies!V579-1,Souillure&gt;Voies!W579-1,Honneur&gt;X579-1,Statut&gt;Y579-1,Gloire&gt;Z579-1,AV579=TRUE),Voies!B579,"")</f>
        <v/>
      </c>
      <c r="B579" s="162" t="s">
        <v>2444</v>
      </c>
      <c r="C579" s="162" t="b">
        <f>IF(Clan=Voies!D580,TRUE,FALSE)</f>
        <v>0</v>
      </c>
      <c r="D579" s="388" t="s">
        <v>20</v>
      </c>
      <c r="E579" s="13">
        <v>3</v>
      </c>
      <c r="F579" s="199">
        <v>3</v>
      </c>
      <c r="G579" s="13" t="s">
        <v>2049</v>
      </c>
      <c r="H579" s="219" t="s">
        <v>203</v>
      </c>
      <c r="I579" s="129" t="str">
        <f t="shared" si="65"/>
        <v>Rien</v>
      </c>
      <c r="J579" s="146">
        <v>0</v>
      </c>
      <c r="K579" s="147">
        <v>0</v>
      </c>
      <c r="L579" s="148">
        <v>0</v>
      </c>
      <c r="M579" s="149">
        <v>0</v>
      </c>
      <c r="N579" s="150">
        <v>0</v>
      </c>
      <c r="O579" s="130">
        <v>0</v>
      </c>
      <c r="P579" s="130">
        <v>0</v>
      </c>
      <c r="Q579" s="130">
        <v>0</v>
      </c>
      <c r="R579" s="130">
        <v>0</v>
      </c>
      <c r="S579" s="130">
        <v>0</v>
      </c>
      <c r="T579" s="130">
        <v>0</v>
      </c>
      <c r="U579" s="130">
        <v>0</v>
      </c>
      <c r="V579" s="524">
        <v>0</v>
      </c>
      <c r="W579" s="130">
        <v>0</v>
      </c>
      <c r="X579" s="130">
        <v>0</v>
      </c>
      <c r="Y579" s="130">
        <v>0</v>
      </c>
      <c r="Z579" s="130">
        <v>0</v>
      </c>
      <c r="AA579" s="158" t="s">
        <v>2078</v>
      </c>
      <c r="AB579" s="158"/>
      <c r="AC579" s="158"/>
      <c r="AD579" s="158"/>
      <c r="AE579" s="158" t="b">
        <f>IF(AB579="",TRUE,IF(IF(AC579="",VLOOKUP(AB579,Calculs!$A$19:$S$425,19,FALSE),VLOOKUP(AC579,Calculs!$A$19:$S$425,19,FALSE))&gt;=AD579,TRUE,FALSE))</f>
        <v>1</v>
      </c>
      <c r="AF579" s="158"/>
      <c r="AG579" s="158"/>
      <c r="AH579" s="158"/>
      <c r="AI579" s="158" t="b">
        <f>IF(AF579="",TRUE,IF(IF(AG579="",VLOOKUP(AF579,Calculs!$A$19:$S$425,19,FALSE),VLOOKUP(AG579,Calculs!$A$19:$S$425,19,FALSE))&gt;=AH579,TRUE,FALSE))</f>
        <v>1</v>
      </c>
      <c r="AJ579" s="158"/>
      <c r="AK579" s="158"/>
      <c r="AL579" s="158"/>
      <c r="AM579" s="158" t="b">
        <f>IF(AJ579="",TRUE,IF(IF(AK579="",VLOOKUP(AJ579,Calculs!$A$19:$S$425,19,FALSE),VLOOKUP(AK579,Calculs!$A$19:$S$425,19,FALSE))&gt;=AL579,TRUE,FALSE))</f>
        <v>1</v>
      </c>
      <c r="AN579" s="158"/>
      <c r="AO579" s="158"/>
      <c r="AP579" s="158"/>
      <c r="AQ579" s="158" t="b">
        <f>IF(AN579="",TRUE,IF(IF(AO579="",VLOOKUP(AN579,Calculs!$A$19:$S$425,19,FALSE),VLOOKUP(AO579,Calculs!$A$19:$S$425,19,FALSE))&gt;=AP579,TRUE,FALSE))</f>
        <v>1</v>
      </c>
      <c r="AR579" s="158"/>
      <c r="AS579" s="158" t="b">
        <f>IF(AR579="",TRUE,IF(VLOOKUP(AR579,Calculs!$A$427:$G$738,7,FALSE)&gt;0,TRUE,FALSE))</f>
        <v>1</v>
      </c>
      <c r="AT579" s="158"/>
      <c r="AU579" s="158" t="b">
        <f>IF(AT579="",TRUE,IF(VLOOKUP(AT579,Calculs!$A$740:$G$912,7,FALSE)&gt;0,TRUE,FALSE))</f>
        <v>1</v>
      </c>
      <c r="AV579" s="158" t="b">
        <f t="shared" ref="AV579:AV642" si="66">IF(AND(AE579=TRUE,AI579=TRUE,AM579=TRUE,AQ579=TRUE,AS579=TRUE,AU579=TRUE),TRUE,FALSE)</f>
        <v>1</v>
      </c>
      <c r="AW579" s="158" t="s">
        <v>2078</v>
      </c>
      <c r="AX579" s="162" t="s">
        <v>3</v>
      </c>
      <c r="AY579" s="15">
        <v>120</v>
      </c>
      <c r="AZ579" s="555" t="s">
        <v>2247</v>
      </c>
      <c r="BA579" s="559">
        <f>IF(Verso!$B$10=Voies!$B580,1,0)</f>
        <v>0</v>
      </c>
      <c r="BB579" s="12">
        <f>IF(Verso!$B$11=Voies!$B580,1,0)</f>
        <v>0</v>
      </c>
      <c r="BC579" s="12">
        <f>IF(Verso!$B$12=Voies!$B580,1,0)</f>
        <v>0</v>
      </c>
      <c r="BD579" s="12">
        <f>IF(Verso!$B$13=Voies!$B580,1,0)</f>
        <v>0</v>
      </c>
      <c r="BE579" s="12">
        <f>IF(Verso!$B$14=Voies!$B580,1,0)</f>
        <v>0</v>
      </c>
      <c r="BF579" s="12">
        <f>IF(Verso!$B$15=Voies!$B580,1,0)</f>
        <v>0</v>
      </c>
      <c r="BG579" s="12">
        <f>IF(Verso!$B$16=Voies!$B580,1,0)</f>
        <v>0</v>
      </c>
      <c r="BH579" s="12">
        <f>IF(Verso!$B$17=Voies!$B580,1,0)</f>
        <v>0</v>
      </c>
      <c r="BI579" s="557">
        <f t="shared" ref="BI579:BI642" si="67">SUM(BA579:BH579)</f>
        <v>0</v>
      </c>
      <c r="BJ579" s="196" t="str">
        <f t="shared" si="61"/>
        <v/>
      </c>
      <c r="BK579" s="196" t="str">
        <f t="shared" si="62"/>
        <v/>
      </c>
      <c r="BL579" s="295" t="str">
        <f t="shared" si="63"/>
        <v/>
      </c>
    </row>
    <row r="580" spans="1:65" ht="47.25" customHeight="1" x14ac:dyDescent="0.25">
      <c r="A580" s="162" t="str">
        <f>IF(AND(Réputation&gt;Voies!E580-1,OR(C580=TRUE,Calculs!$I$8&gt;0),Air&gt;Voies!J580-1,Eau&gt;Voies!K580-1,Feu&gt;Voies!L580-1,Terre&gt;Voies!M580-1,Vide&gt;Voies!N580-1,Constitution&gt;Voies!O580-1,Volonté&gt;Voies!P580-1,Force&gt;Voies!Q580-1,Perception&gt;Voies!R580-1,Reflexes&gt;Voies!S580-1,Agilité&gt;Voies!T580-1,Intuition&gt;Voies!U580-1,Intelligence&gt;Voies!V580-1,Souillure&gt;Voies!W580-1,Honneur&gt;X580-1,Statut&gt;Y580-1,Gloire&gt;Z580-1,AV580=TRUE),Voies!B580,"")</f>
        <v/>
      </c>
      <c r="B580" s="162" t="s">
        <v>2855</v>
      </c>
      <c r="C580" s="162" t="b">
        <f>IF(Clan=Voies!D581,TRUE,FALSE)</f>
        <v>0</v>
      </c>
      <c r="D580" s="387" t="s">
        <v>20</v>
      </c>
      <c r="E580" s="13">
        <v>3</v>
      </c>
      <c r="F580" s="199">
        <v>3</v>
      </c>
      <c r="G580" s="13" t="s">
        <v>2049</v>
      </c>
      <c r="H580" s="219" t="s">
        <v>1937</v>
      </c>
      <c r="I580" s="129" t="str">
        <f t="shared" si="65"/>
        <v>Rien</v>
      </c>
      <c r="J580" s="146">
        <v>0</v>
      </c>
      <c r="K580" s="147">
        <v>0</v>
      </c>
      <c r="L580" s="148">
        <v>0</v>
      </c>
      <c r="M580" s="149">
        <v>0</v>
      </c>
      <c r="N580" s="150">
        <v>0</v>
      </c>
      <c r="O580" s="130">
        <v>0</v>
      </c>
      <c r="P580" s="130">
        <v>0</v>
      </c>
      <c r="Q580" s="130">
        <v>0</v>
      </c>
      <c r="R580" s="130">
        <v>0</v>
      </c>
      <c r="S580" s="130">
        <v>0</v>
      </c>
      <c r="T580" s="130">
        <v>0</v>
      </c>
      <c r="U580" s="130">
        <v>0</v>
      </c>
      <c r="V580" s="524">
        <v>0</v>
      </c>
      <c r="W580" s="130">
        <v>0</v>
      </c>
      <c r="X580" s="130">
        <v>0</v>
      </c>
      <c r="Y580" s="130">
        <v>0</v>
      </c>
      <c r="Z580" s="130">
        <v>0</v>
      </c>
      <c r="AA580" s="158" t="s">
        <v>2078</v>
      </c>
      <c r="AB580" s="158"/>
      <c r="AC580" s="158"/>
      <c r="AD580" s="158"/>
      <c r="AE580" s="158" t="b">
        <f>IF(AB580="",TRUE,IF(IF(AC580="",VLOOKUP(AB580,Calculs!$A$19:$S$425,19,FALSE),VLOOKUP(AC580,Calculs!$A$19:$S$425,19,FALSE))&gt;=AD580,TRUE,FALSE))</f>
        <v>1</v>
      </c>
      <c r="AF580" s="158"/>
      <c r="AG580" s="158"/>
      <c r="AH580" s="158"/>
      <c r="AI580" s="158" t="b">
        <f>IF(AF580="",TRUE,IF(IF(AG580="",VLOOKUP(AF580,Calculs!$A$19:$S$425,19,FALSE),VLOOKUP(AG580,Calculs!$A$19:$S$425,19,FALSE))&gt;=AH580,TRUE,FALSE))</f>
        <v>1</v>
      </c>
      <c r="AJ580" s="158"/>
      <c r="AK580" s="158"/>
      <c r="AL580" s="158"/>
      <c r="AM580" s="158" t="b">
        <f>IF(AJ580="",TRUE,IF(IF(AK580="",VLOOKUP(AJ580,Calculs!$A$19:$S$425,19,FALSE),VLOOKUP(AK580,Calculs!$A$19:$S$425,19,FALSE))&gt;=AL580,TRUE,FALSE))</f>
        <v>1</v>
      </c>
      <c r="AN580" s="158"/>
      <c r="AO580" s="158"/>
      <c r="AP580" s="158"/>
      <c r="AQ580" s="158" t="b">
        <f>IF(AN580="",TRUE,IF(IF(AO580="",VLOOKUP(AN580,Calculs!$A$19:$S$425,19,FALSE),VLOOKUP(AO580,Calculs!$A$19:$S$425,19,FALSE))&gt;=AP580,TRUE,FALSE))</f>
        <v>1</v>
      </c>
      <c r="AR580" s="158"/>
      <c r="AS580" s="158" t="b">
        <f>IF(AR580="",TRUE,IF(VLOOKUP(AR580,Calculs!$A$427:$G$738,7,FALSE)&gt;0,TRUE,FALSE))</f>
        <v>1</v>
      </c>
      <c r="AT580" s="158"/>
      <c r="AU580" s="158" t="b">
        <f>IF(AT580="",TRUE,IF(VLOOKUP(AT580,Calculs!$A$740:$G$912,7,FALSE)&gt;0,TRUE,FALSE))</f>
        <v>1</v>
      </c>
      <c r="AV580" s="158" t="b">
        <f t="shared" si="66"/>
        <v>1</v>
      </c>
      <c r="AW580" s="158" t="s">
        <v>2078</v>
      </c>
      <c r="AX580" s="162" t="s">
        <v>6061</v>
      </c>
      <c r="AY580" s="15">
        <v>166</v>
      </c>
      <c r="AZ580" s="555" t="s">
        <v>8387</v>
      </c>
      <c r="BA580" s="559">
        <f>IF(Verso!$B$10=Voies!$B581,1,0)</f>
        <v>0</v>
      </c>
      <c r="BB580" s="12">
        <f>IF(Verso!$B$11=Voies!$B581,1,0)</f>
        <v>0</v>
      </c>
      <c r="BC580" s="12">
        <f>IF(Verso!$B$12=Voies!$B581,1,0)</f>
        <v>0</v>
      </c>
      <c r="BD580" s="12">
        <f>IF(Verso!$B$13=Voies!$B581,1,0)</f>
        <v>0</v>
      </c>
      <c r="BE580" s="12">
        <f>IF(Verso!$B$14=Voies!$B581,1,0)</f>
        <v>0</v>
      </c>
      <c r="BF580" s="12">
        <f>IF(Verso!$B$15=Voies!$B581,1,0)</f>
        <v>0</v>
      </c>
      <c r="BG580" s="12">
        <f>IF(Verso!$B$16=Voies!$B581,1,0)</f>
        <v>0</v>
      </c>
      <c r="BH580" s="12">
        <f>IF(Verso!$B$17=Voies!$B581,1,0)</f>
        <v>0</v>
      </c>
      <c r="BI580" s="557">
        <f t="shared" si="67"/>
        <v>0</v>
      </c>
      <c r="BJ580" s="196" t="str">
        <f t="shared" ref="BJ580:BJ643" si="68">IF(A580="","",ROW())</f>
        <v/>
      </c>
      <c r="BK580" s="196" t="str">
        <f t="shared" ref="BK580:BK643" si="69">IFERROR(SMALL(BJ:BJ,ROW()-2),"")</f>
        <v/>
      </c>
      <c r="BL580" s="295" t="str">
        <f t="shared" ref="BL580:BL643" si="70">IFERROR(INDEX(A:A,BK580),"")</f>
        <v/>
      </c>
    </row>
    <row r="581" spans="1:65" ht="47.25" customHeight="1" x14ac:dyDescent="0.25">
      <c r="A581" s="162" t="str">
        <f>IF(AND(Réputation&gt;Voies!E581-1,OR(C581=TRUE,Calculs!$I$8&gt;0),Air&gt;Voies!J581-1,Eau&gt;Voies!K581-1,Feu&gt;Voies!L581-1,Terre&gt;Voies!M581-1,Vide&gt;Voies!N581-1,Constitution&gt;Voies!O581-1,Volonté&gt;Voies!P581-1,Force&gt;Voies!Q581-1,Perception&gt;Voies!R581-1,Reflexes&gt;Voies!S581-1,Agilité&gt;Voies!T581-1,Intuition&gt;Voies!U581-1,Intelligence&gt;Voies!V581-1,Souillure&gt;Voies!W581-1,Honneur&gt;X581-1,Statut&gt;Y581-1,Gloire&gt;Z581-1,AV581=TRUE),Voies!B581,"")</f>
        <v/>
      </c>
      <c r="B581" s="162" t="s">
        <v>2913</v>
      </c>
      <c r="C581" s="162" t="b">
        <f>IF(Clan=Voies!D582,TRUE,FALSE)</f>
        <v>0</v>
      </c>
      <c r="D581" s="388" t="s">
        <v>20</v>
      </c>
      <c r="E581" s="13">
        <v>3</v>
      </c>
      <c r="F581" s="199">
        <v>3</v>
      </c>
      <c r="G581" s="13" t="s">
        <v>2049</v>
      </c>
      <c r="H581" s="219" t="s">
        <v>207</v>
      </c>
      <c r="I581" s="129" t="str">
        <f t="shared" si="65"/>
        <v>Rien</v>
      </c>
      <c r="J581" s="146">
        <v>0</v>
      </c>
      <c r="K581" s="147">
        <v>0</v>
      </c>
      <c r="L581" s="148">
        <v>0</v>
      </c>
      <c r="M581" s="149">
        <v>0</v>
      </c>
      <c r="N581" s="150">
        <v>0</v>
      </c>
      <c r="O581" s="130">
        <v>0</v>
      </c>
      <c r="P581" s="130">
        <v>0</v>
      </c>
      <c r="Q581" s="130">
        <v>0</v>
      </c>
      <c r="R581" s="130">
        <v>0</v>
      </c>
      <c r="S581" s="130">
        <v>0</v>
      </c>
      <c r="T581" s="130">
        <v>0</v>
      </c>
      <c r="U581" s="130">
        <v>0</v>
      </c>
      <c r="V581" s="524">
        <v>0</v>
      </c>
      <c r="W581" s="130">
        <v>0</v>
      </c>
      <c r="X581" s="130">
        <v>0</v>
      </c>
      <c r="Y581" s="130">
        <v>0</v>
      </c>
      <c r="Z581" s="130">
        <v>0</v>
      </c>
      <c r="AA581" s="158" t="s">
        <v>2078</v>
      </c>
      <c r="AB581" s="158"/>
      <c r="AC581" s="158"/>
      <c r="AD581" s="158"/>
      <c r="AE581" s="158" t="b">
        <f>IF(AB581="",TRUE,IF(IF(AC581="",VLOOKUP(AB581,Calculs!$A$19:$S$425,19,FALSE),VLOOKUP(AC581,Calculs!$A$19:$S$425,19,FALSE))&gt;=AD581,TRUE,FALSE))</f>
        <v>1</v>
      </c>
      <c r="AF581" s="158"/>
      <c r="AG581" s="158"/>
      <c r="AH581" s="158"/>
      <c r="AI581" s="158" t="b">
        <f>IF(AF581="",TRUE,IF(IF(AG581="",VLOOKUP(AF581,Calculs!$A$19:$S$425,19,FALSE),VLOOKUP(AG581,Calculs!$A$19:$S$425,19,FALSE))&gt;=AH581,TRUE,FALSE))</f>
        <v>1</v>
      </c>
      <c r="AJ581" s="158"/>
      <c r="AK581" s="158"/>
      <c r="AL581" s="158"/>
      <c r="AM581" s="158" t="b">
        <f>IF(AJ581="",TRUE,IF(IF(AK581="",VLOOKUP(AJ581,Calculs!$A$19:$S$425,19,FALSE),VLOOKUP(AK581,Calculs!$A$19:$S$425,19,FALSE))&gt;=AL581,TRUE,FALSE))</f>
        <v>1</v>
      </c>
      <c r="AN581" s="158"/>
      <c r="AO581" s="158"/>
      <c r="AP581" s="158"/>
      <c r="AQ581" s="158" t="b">
        <f>IF(AN581="",TRUE,IF(IF(AO581="",VLOOKUP(AN581,Calculs!$A$19:$S$425,19,FALSE),VLOOKUP(AO581,Calculs!$A$19:$S$425,19,FALSE))&gt;=AP581,TRUE,FALSE))</f>
        <v>1</v>
      </c>
      <c r="AR581" s="158"/>
      <c r="AS581" s="158" t="b">
        <f>IF(AR581="",TRUE,IF(VLOOKUP(AR581,Calculs!$A$427:$G$738,7,FALSE)&gt;0,TRUE,FALSE))</f>
        <v>1</v>
      </c>
      <c r="AT581" s="158"/>
      <c r="AU581" s="158" t="b">
        <f>IF(AT581="",TRUE,IF(VLOOKUP(AT581,Calculs!$A$740:$G$912,7,FALSE)&gt;0,TRUE,FALSE))</f>
        <v>1</v>
      </c>
      <c r="AV581" s="158" t="b">
        <f t="shared" si="66"/>
        <v>1</v>
      </c>
      <c r="AW581" s="158" t="s">
        <v>2078</v>
      </c>
      <c r="AX581" s="162" t="s">
        <v>2910</v>
      </c>
      <c r="AY581" s="15">
        <v>8</v>
      </c>
      <c r="AZ581" s="555" t="s">
        <v>2916</v>
      </c>
      <c r="BA581" s="559">
        <f>IF(Verso!$B$10=Voies!$B582,1,0)</f>
        <v>0</v>
      </c>
      <c r="BB581" s="12">
        <f>IF(Verso!$B$11=Voies!$B582,1,0)</f>
        <v>0</v>
      </c>
      <c r="BC581" s="12">
        <f>IF(Verso!$B$12=Voies!$B582,1,0)</f>
        <v>0</v>
      </c>
      <c r="BD581" s="12">
        <f>IF(Verso!$B$13=Voies!$B582,1,0)</f>
        <v>0</v>
      </c>
      <c r="BE581" s="12">
        <f>IF(Verso!$B$14=Voies!$B582,1,0)</f>
        <v>0</v>
      </c>
      <c r="BF581" s="12">
        <f>IF(Verso!$B$15=Voies!$B582,1,0)</f>
        <v>0</v>
      </c>
      <c r="BG581" s="12">
        <f>IF(Verso!$B$16=Voies!$B582,1,0)</f>
        <v>0</v>
      </c>
      <c r="BH581" s="12">
        <f>IF(Verso!$B$17=Voies!$B582,1,0)</f>
        <v>0</v>
      </c>
      <c r="BI581" s="557">
        <f t="shared" si="67"/>
        <v>0</v>
      </c>
      <c r="BJ581" s="196" t="str">
        <f t="shared" si="68"/>
        <v/>
      </c>
      <c r="BK581" s="196" t="str">
        <f t="shared" si="69"/>
        <v/>
      </c>
      <c r="BL581" s="295" t="str">
        <f t="shared" si="70"/>
        <v/>
      </c>
    </row>
    <row r="582" spans="1:65" ht="47.25" customHeight="1" x14ac:dyDescent="0.25">
      <c r="A582" s="162" t="str">
        <f>IF(AND(Réputation&gt;Voies!E582-1,OR(C582=TRUE,Calculs!$I$8&gt;0),Air&gt;Voies!J582-1,Eau&gt;Voies!K582-1,Feu&gt;Voies!L582-1,Terre&gt;Voies!M582-1,Vide&gt;Voies!N582-1,Constitution&gt;Voies!O582-1,Volonté&gt;Voies!P582-1,Force&gt;Voies!Q582-1,Perception&gt;Voies!R582-1,Reflexes&gt;Voies!S582-1,Agilité&gt;Voies!T582-1,Intuition&gt;Voies!U582-1,Intelligence&gt;Voies!V582-1,Souillure&gt;Voies!W582-1,Honneur&gt;X582-1,Statut&gt;Y582-1,Gloire&gt;Z582-1,AV582=TRUE),Voies!B582,"")</f>
        <v/>
      </c>
      <c r="B582" s="162" t="s">
        <v>4833</v>
      </c>
      <c r="C582" s="162" t="b">
        <f>IF(Clan=Voies!D583,TRUE,FALSE)</f>
        <v>0</v>
      </c>
      <c r="D582" s="388" t="s">
        <v>20</v>
      </c>
      <c r="E582" s="13">
        <v>3</v>
      </c>
      <c r="F582" s="199">
        <v>3</v>
      </c>
      <c r="G582" s="13" t="s">
        <v>2049</v>
      </c>
      <c r="H582" s="219" t="s">
        <v>205</v>
      </c>
      <c r="I582" s="129" t="str">
        <f t="shared" si="65"/>
        <v>Rien</v>
      </c>
      <c r="J582" s="146">
        <v>0</v>
      </c>
      <c r="K582" s="147">
        <v>0</v>
      </c>
      <c r="L582" s="148">
        <v>0</v>
      </c>
      <c r="M582" s="149">
        <v>0</v>
      </c>
      <c r="N582" s="150">
        <v>0</v>
      </c>
      <c r="O582" s="130">
        <v>0</v>
      </c>
      <c r="P582" s="130">
        <v>0</v>
      </c>
      <c r="Q582" s="130">
        <v>0</v>
      </c>
      <c r="R582" s="130">
        <v>0</v>
      </c>
      <c r="S582" s="130">
        <v>0</v>
      </c>
      <c r="T582" s="130">
        <v>0</v>
      </c>
      <c r="U582" s="130">
        <v>0</v>
      </c>
      <c r="V582" s="524">
        <v>0</v>
      </c>
      <c r="W582" s="130">
        <v>0</v>
      </c>
      <c r="X582" s="130">
        <v>0</v>
      </c>
      <c r="Y582" s="130">
        <v>0</v>
      </c>
      <c r="Z582" s="130">
        <v>0</v>
      </c>
      <c r="AA582" s="158" t="s">
        <v>2078</v>
      </c>
      <c r="AB582" s="158"/>
      <c r="AC582" s="158"/>
      <c r="AD582" s="158"/>
      <c r="AE582" s="158" t="b">
        <f>IF(AB582="",TRUE,IF(IF(AC582="",VLOOKUP(AB582,Calculs!$A$19:$S$425,19,FALSE),VLOOKUP(AC582,Calculs!$A$19:$S$425,19,FALSE))&gt;=AD582,TRUE,FALSE))</f>
        <v>1</v>
      </c>
      <c r="AF582" s="158"/>
      <c r="AG582" s="158"/>
      <c r="AH582" s="158"/>
      <c r="AI582" s="158" t="b">
        <f>IF(AF582="",TRUE,IF(IF(AG582="",VLOOKUP(AF582,Calculs!$A$19:$S$425,19,FALSE),VLOOKUP(AG582,Calculs!$A$19:$S$425,19,FALSE))&gt;=AH582,TRUE,FALSE))</f>
        <v>1</v>
      </c>
      <c r="AJ582" s="158"/>
      <c r="AK582" s="158"/>
      <c r="AL582" s="158"/>
      <c r="AM582" s="158" t="b">
        <f>IF(AJ582="",TRUE,IF(IF(AK582="",VLOOKUP(AJ582,Calculs!$A$19:$S$425,19,FALSE),VLOOKUP(AK582,Calculs!$A$19:$S$425,19,FALSE))&gt;=AL582,TRUE,FALSE))</f>
        <v>1</v>
      </c>
      <c r="AN582" s="158"/>
      <c r="AO582" s="158"/>
      <c r="AP582" s="158"/>
      <c r="AQ582" s="158" t="b">
        <f>IF(AN582="",TRUE,IF(IF(AO582="",VLOOKUP(AN582,Calculs!$A$19:$S$425,19,FALSE),VLOOKUP(AO582,Calculs!$A$19:$S$425,19,FALSE))&gt;=AP582,TRUE,FALSE))</f>
        <v>1</v>
      </c>
      <c r="AR582" s="158"/>
      <c r="AS582" s="158" t="b">
        <f>IF(AR582="",TRUE,IF(VLOOKUP(AR582,Calculs!$A$427:$G$738,7,FALSE)&gt;0,TRUE,FALSE))</f>
        <v>1</v>
      </c>
      <c r="AT582" s="158"/>
      <c r="AU582" s="158" t="b">
        <f>IF(AT582="",TRUE,IF(VLOOKUP(AT582,Calculs!$A$740:$G$912,7,FALSE)&gt;0,TRUE,FALSE))</f>
        <v>1</v>
      </c>
      <c r="AV582" s="158" t="b">
        <f t="shared" si="66"/>
        <v>1</v>
      </c>
      <c r="AW582" s="158" t="s">
        <v>2078</v>
      </c>
      <c r="AX582" s="162" t="s">
        <v>5202</v>
      </c>
      <c r="AY582" s="15">
        <v>109</v>
      </c>
      <c r="AZ582" s="555" t="s">
        <v>8617</v>
      </c>
      <c r="BA582" s="559">
        <f>IF(Verso!$B$10=Voies!$B583,1,0)</f>
        <v>0</v>
      </c>
      <c r="BB582" s="12">
        <f>IF(Verso!$B$11=Voies!$B583,1,0)</f>
        <v>0</v>
      </c>
      <c r="BC582" s="12">
        <f>IF(Verso!$B$12=Voies!$B583,1,0)</f>
        <v>0</v>
      </c>
      <c r="BD582" s="12">
        <f>IF(Verso!$B$13=Voies!$B583,1,0)</f>
        <v>0</v>
      </c>
      <c r="BE582" s="12">
        <f>IF(Verso!$B$14=Voies!$B583,1,0)</f>
        <v>0</v>
      </c>
      <c r="BF582" s="12">
        <f>IF(Verso!$B$15=Voies!$B583,1,0)</f>
        <v>0</v>
      </c>
      <c r="BG582" s="12">
        <f>IF(Verso!$B$16=Voies!$B583,1,0)</f>
        <v>0</v>
      </c>
      <c r="BH582" s="12">
        <f>IF(Verso!$B$17=Voies!$B583,1,0)</f>
        <v>0</v>
      </c>
      <c r="BI582" s="557">
        <f t="shared" si="67"/>
        <v>0</v>
      </c>
      <c r="BJ582" s="196" t="str">
        <f t="shared" si="68"/>
        <v/>
      </c>
      <c r="BK582" s="196" t="str">
        <f t="shared" si="69"/>
        <v/>
      </c>
      <c r="BL582" s="295" t="str">
        <f t="shared" si="70"/>
        <v/>
      </c>
    </row>
    <row r="583" spans="1:65" ht="47.25" customHeight="1" x14ac:dyDescent="0.25">
      <c r="A583" s="162" t="str">
        <f>IF(AND(Réputation&gt;Voies!E583-1,OR(C583=TRUE,Calculs!$I$8&gt;0),Air&gt;Voies!J583-1,Eau&gt;Voies!K583-1,Feu&gt;Voies!L583-1,Terre&gt;Voies!M583-1,Vide&gt;Voies!N583-1,Constitution&gt;Voies!O583-1,Volonté&gt;Voies!P583-1,Force&gt;Voies!Q583-1,Perception&gt;Voies!R583-1,Reflexes&gt;Voies!S583-1,Agilité&gt;Voies!T583-1,Intuition&gt;Voies!U583-1,Intelligence&gt;Voies!V583-1,Souillure&gt;Voies!W583-1,Honneur&gt;X583-1,Statut&gt;Y583-1,Gloire&gt;Z583-1,AV583=TRUE),Voies!B583,"")</f>
        <v/>
      </c>
      <c r="B583" s="162" t="s">
        <v>6089</v>
      </c>
      <c r="C583" s="162" t="b">
        <f>IF(Clan=Voies!D584,TRUE,FALSE)</f>
        <v>0</v>
      </c>
      <c r="D583" s="387" t="s">
        <v>20</v>
      </c>
      <c r="E583" s="13">
        <v>3</v>
      </c>
      <c r="F583" s="199">
        <v>3</v>
      </c>
      <c r="G583" s="13" t="s">
        <v>2049</v>
      </c>
      <c r="H583" s="219" t="s">
        <v>6088</v>
      </c>
      <c r="I583" s="129" t="s">
        <v>3628</v>
      </c>
      <c r="J583" s="146">
        <v>0</v>
      </c>
      <c r="K583" s="147">
        <v>0</v>
      </c>
      <c r="L583" s="148">
        <v>0</v>
      </c>
      <c r="M583" s="149">
        <v>0</v>
      </c>
      <c r="N583" s="150">
        <v>4</v>
      </c>
      <c r="O583" s="130">
        <v>0</v>
      </c>
      <c r="P583" s="130">
        <v>0</v>
      </c>
      <c r="Q583" s="130">
        <v>0</v>
      </c>
      <c r="R583" s="130">
        <v>0</v>
      </c>
      <c r="S583" s="130">
        <v>0</v>
      </c>
      <c r="T583" s="130">
        <v>0</v>
      </c>
      <c r="U583" s="130">
        <v>0</v>
      </c>
      <c r="V583" s="524">
        <v>0</v>
      </c>
      <c r="W583" s="130">
        <v>0</v>
      </c>
      <c r="X583" s="130">
        <v>7</v>
      </c>
      <c r="Y583" s="130">
        <v>0</v>
      </c>
      <c r="Z583" s="130">
        <v>0</v>
      </c>
      <c r="AA583" s="159" t="s">
        <v>3629</v>
      </c>
      <c r="AB583" s="159" t="s">
        <v>351</v>
      </c>
      <c r="AD583" s="159">
        <v>5</v>
      </c>
      <c r="AE583" s="158" t="b">
        <f>IF(AB583="",TRUE,IF(IF(AC583="",VLOOKUP(AB583,Calculs!$A$19:$S$425,19,FALSE),VLOOKUP(AC583,Calculs!$A$19:$S$425,19,FALSE))&gt;=AD583,TRUE,FALSE))</f>
        <v>0</v>
      </c>
      <c r="AI583" s="158" t="b">
        <f>IF(AF583="",TRUE,IF(IF(AG583="",VLOOKUP(AF583,Calculs!$A$19:$S$425,19,FALSE),VLOOKUP(AG583,Calculs!$A$19:$S$425,19,FALSE))&gt;=AH583,TRUE,FALSE))</f>
        <v>1</v>
      </c>
      <c r="AM583" s="158" t="b">
        <f>IF(AJ583="",TRUE,IF(IF(AK583="",VLOOKUP(AJ583,Calculs!$A$19:$S$425,19,FALSE),VLOOKUP(AK583,Calculs!$A$19:$S$425,19,FALSE))&gt;=AL583,TRUE,FALSE))</f>
        <v>1</v>
      </c>
      <c r="AQ583" s="158" t="b">
        <f>IF(AN583="",TRUE,IF(IF(AO583="",VLOOKUP(AN583,Calculs!$A$19:$S$425,19,FALSE),VLOOKUP(AO583,Calculs!$A$19:$S$425,19,FALSE))&gt;=AP583,TRUE,FALSE))</f>
        <v>1</v>
      </c>
      <c r="AR583" s="158"/>
      <c r="AS583" s="158" t="b">
        <f>IF(AR583="",TRUE,IF(VLOOKUP(AR583,Calculs!$A$427:$G$738,7,FALSE)&gt;0,TRUE,FALSE))</f>
        <v>1</v>
      </c>
      <c r="AT583" s="158"/>
      <c r="AU583" s="158" t="b">
        <f>IF(AT583="",TRUE,IF(VLOOKUP(AT583,Calculs!$A$740:$G$912,7,FALSE)&gt;0,TRUE,FALSE))</f>
        <v>1</v>
      </c>
      <c r="AV583" s="158" t="b">
        <f t="shared" si="66"/>
        <v>0</v>
      </c>
      <c r="AW583" s="158" t="s">
        <v>2078</v>
      </c>
      <c r="AX583" s="162" t="s">
        <v>6061</v>
      </c>
      <c r="AY583" s="151">
        <v>169</v>
      </c>
      <c r="AZ583" s="555" t="str">
        <f>CONCATENATE("Vous pouvez effectuer une attaque au Corps à Corps au prix d'une AS au lieu d'une AC mais ne pouvez alors faire qu'une seule attaque ce Round. Dépensez un Pvide et une ActG: votre Rg. d'Honneur est considéré comme étant égal à ",Honneur*2," pour vos techniques d'Ecole. Non cumulable.")</f>
        <v>Vous pouvez effectuer une attaque au Corps à Corps au prix d'une AS au lieu d'une AC mais ne pouvez alors faire qu'une seule attaque ce Round. Dépensez un Pvide et une ActG: votre Rg. d'Honneur est considéré comme étant égal à 0 pour vos techniques d'Ecole. Non cumulable.</v>
      </c>
      <c r="BA583" s="559">
        <f>IF(Verso!$B$10=Voies!$B584,1,0)</f>
        <v>0</v>
      </c>
      <c r="BB583" s="12">
        <f>IF(Verso!$B$11=Voies!$B584,1,0)</f>
        <v>0</v>
      </c>
      <c r="BC583" s="12">
        <f>IF(Verso!$B$12=Voies!$B584,1,0)</f>
        <v>0</v>
      </c>
      <c r="BD583" s="12">
        <f>IF(Verso!$B$13=Voies!$B584,1,0)</f>
        <v>0</v>
      </c>
      <c r="BE583" s="12">
        <f>IF(Verso!$B$14=Voies!$B584,1,0)</f>
        <v>0</v>
      </c>
      <c r="BF583" s="12">
        <f>IF(Verso!$B$15=Voies!$B584,1,0)</f>
        <v>0</v>
      </c>
      <c r="BG583" s="12">
        <f>IF(Verso!$B$16=Voies!$B584,1,0)</f>
        <v>0</v>
      </c>
      <c r="BH583" s="12">
        <f>IF(Verso!$B$17=Voies!$B584,1,0)</f>
        <v>0</v>
      </c>
      <c r="BI583" s="557">
        <f t="shared" si="67"/>
        <v>0</v>
      </c>
      <c r="BJ583" s="196" t="str">
        <f t="shared" si="68"/>
        <v/>
      </c>
      <c r="BK583" s="196" t="str">
        <f t="shared" si="69"/>
        <v/>
      </c>
      <c r="BL583" s="295" t="str">
        <f t="shared" si="70"/>
        <v/>
      </c>
    </row>
    <row r="584" spans="1:65" s="196" customFormat="1" ht="47.25" customHeight="1" x14ac:dyDescent="0.25">
      <c r="A584" s="162" t="str">
        <f>IF(AND(Réputation&gt;Voies!E584-1,OR(C584=TRUE,Calculs!$I$8&gt;0),Air&gt;Voies!J584-1,Eau&gt;Voies!K584-1,Feu&gt;Voies!L584-1,Terre&gt;Voies!M584-1,Vide&gt;Voies!N584-1,Constitution&gt;Voies!O584-1,Volonté&gt;Voies!P584-1,Force&gt;Voies!Q584-1,Perception&gt;Voies!R584-1,Reflexes&gt;Voies!S584-1,Agilité&gt;Voies!T584-1,Intuition&gt;Voies!U584-1,Intelligence&gt;Voies!V584-1,Souillure&gt;Voies!W584-1,Honneur&gt;X584-1,Statut&gt;Y584-1,Gloire&gt;Z584-1,AV584=TRUE),Voies!B584,"")</f>
        <v/>
      </c>
      <c r="B584" s="162" t="s">
        <v>7827</v>
      </c>
      <c r="C584" s="162" t="b">
        <f>IF(Clan=Voies!D585,TRUE,FALSE)</f>
        <v>0</v>
      </c>
      <c r="D584" s="388" t="s">
        <v>20</v>
      </c>
      <c r="E584" s="199">
        <v>3</v>
      </c>
      <c r="F584" s="199">
        <v>3</v>
      </c>
      <c r="G584" s="199" t="s">
        <v>2049</v>
      </c>
      <c r="H584" s="162" t="s">
        <v>7791</v>
      </c>
      <c r="I584" s="129" t="str">
        <f>IF(B584="","","Rien")</f>
        <v>Rien</v>
      </c>
      <c r="J584" s="146">
        <v>0</v>
      </c>
      <c r="K584" s="147">
        <v>0</v>
      </c>
      <c r="L584" s="148">
        <v>0</v>
      </c>
      <c r="M584" s="149">
        <v>0</v>
      </c>
      <c r="N584" s="150">
        <v>0</v>
      </c>
      <c r="O584" s="130">
        <v>0</v>
      </c>
      <c r="P584" s="130">
        <v>0</v>
      </c>
      <c r="Q584" s="130">
        <v>0</v>
      </c>
      <c r="R584" s="130">
        <v>0</v>
      </c>
      <c r="S584" s="130">
        <v>0</v>
      </c>
      <c r="T584" s="130">
        <v>0</v>
      </c>
      <c r="U584" s="130">
        <v>0</v>
      </c>
      <c r="V584" s="524">
        <v>0</v>
      </c>
      <c r="W584" s="130">
        <v>0</v>
      </c>
      <c r="X584" s="130">
        <v>0</v>
      </c>
      <c r="Y584" s="130">
        <v>0</v>
      </c>
      <c r="Z584" s="130">
        <v>0</v>
      </c>
      <c r="AA584" s="158" t="s">
        <v>2078</v>
      </c>
      <c r="AB584" s="158"/>
      <c r="AC584" s="158"/>
      <c r="AD584" s="158"/>
      <c r="AE584" s="158" t="b">
        <f>IF(AB584="",TRUE,IF(IF(AC584="",VLOOKUP(AB584,Calculs!$A$19:$S$425,19,FALSE),VLOOKUP(AC584,Calculs!$A$19:$S$425,19,FALSE))&gt;=AD584,TRUE,FALSE))</f>
        <v>1</v>
      </c>
      <c r="AF584" s="158"/>
      <c r="AG584" s="158"/>
      <c r="AH584" s="158"/>
      <c r="AI584" s="158" t="b">
        <f>IF(AF584="",TRUE,IF(IF(AG584="",VLOOKUP(AF584,Calculs!$A$19:$S$425,19,FALSE),VLOOKUP(AG584,Calculs!$A$19:$S$425,19,FALSE))&gt;=AH584,TRUE,FALSE))</f>
        <v>1</v>
      </c>
      <c r="AJ584" s="158"/>
      <c r="AK584" s="158"/>
      <c r="AL584" s="158"/>
      <c r="AM584" s="158" t="b">
        <f>IF(AJ584="",TRUE,IF(IF(AK584="",VLOOKUP(AJ584,Calculs!$A$19:$S$425,19,FALSE),VLOOKUP(AK584,Calculs!$A$19:$S$425,19,FALSE))&gt;=AL584,TRUE,FALSE))</f>
        <v>1</v>
      </c>
      <c r="AN584" s="158"/>
      <c r="AO584" s="158"/>
      <c r="AP584" s="158"/>
      <c r="AQ584" s="158" t="b">
        <f>IF(AN584="",TRUE,IF(IF(AO584="",VLOOKUP(AN584,Calculs!$A$19:$S$425,19,FALSE),VLOOKUP(AO584,Calculs!$A$19:$S$425,19,FALSE))&gt;=AP584,TRUE,FALSE))</f>
        <v>1</v>
      </c>
      <c r="AR584" s="158"/>
      <c r="AS584" s="158" t="b">
        <f>IF(AR584="",TRUE,IF(VLOOKUP(AR584,Calculs!$A$427:$G$738,7,FALSE)&gt;0,TRUE,FALSE))</f>
        <v>1</v>
      </c>
      <c r="AT584" s="158"/>
      <c r="AU584" s="158" t="b">
        <f>IF(AT584="",TRUE,IF(VLOOKUP(AT584,Calculs!$A$740:$G$912,7,FALSE)&gt;0,TRUE,FALSE))</f>
        <v>1</v>
      </c>
      <c r="AV584" s="158" t="b">
        <f t="shared" si="66"/>
        <v>1</v>
      </c>
      <c r="AW584" s="158" t="s">
        <v>2078</v>
      </c>
      <c r="AX584" s="162" t="s">
        <v>7226</v>
      </c>
      <c r="AY584" s="15">
        <v>68</v>
      </c>
      <c r="AZ584" s="555" t="s">
        <v>8618</v>
      </c>
      <c r="BA584" s="559">
        <f>IF(Verso!$B$10=Voies!$B585,1,0)</f>
        <v>0</v>
      </c>
      <c r="BB584" s="12">
        <f>IF(Verso!$B$11=Voies!$B585,1,0)</f>
        <v>0</v>
      </c>
      <c r="BC584" s="12">
        <f>IF(Verso!$B$12=Voies!$B585,1,0)</f>
        <v>0</v>
      </c>
      <c r="BD584" s="12">
        <f>IF(Verso!$B$13=Voies!$B585,1,0)</f>
        <v>0</v>
      </c>
      <c r="BE584" s="12">
        <f>IF(Verso!$B$14=Voies!$B585,1,0)</f>
        <v>0</v>
      </c>
      <c r="BF584" s="12">
        <f>IF(Verso!$B$15=Voies!$B585,1,0)</f>
        <v>0</v>
      </c>
      <c r="BG584" s="12">
        <f>IF(Verso!$B$16=Voies!$B585,1,0)</f>
        <v>0</v>
      </c>
      <c r="BH584" s="12">
        <f>IF(Verso!$B$17=Voies!$B585,1,0)</f>
        <v>0</v>
      </c>
      <c r="BI584" s="557">
        <f t="shared" si="67"/>
        <v>0</v>
      </c>
      <c r="BJ584" s="196" t="str">
        <f t="shared" si="68"/>
        <v/>
      </c>
      <c r="BK584" s="196" t="str">
        <f t="shared" si="69"/>
        <v/>
      </c>
      <c r="BL584" s="295" t="str">
        <f t="shared" si="70"/>
        <v/>
      </c>
      <c r="BM584" s="91"/>
    </row>
    <row r="585" spans="1:65" s="196" customFormat="1" ht="47.25" customHeight="1" x14ac:dyDescent="0.25">
      <c r="A585" s="162" t="str">
        <f>IF(AND(Réputation&gt;Voies!E585-1,OR(C585=TRUE,Calculs!$I$8&gt;0),Air&gt;Voies!J585-1,Eau&gt;Voies!K585-1,Feu&gt;Voies!L585-1,Terre&gt;Voies!M585-1,Vide&gt;Voies!N585-1,Constitution&gt;Voies!O585-1,Volonté&gt;Voies!P585-1,Force&gt;Voies!Q585-1,Perception&gt;Voies!R585-1,Reflexes&gt;Voies!S585-1,Agilité&gt;Voies!T585-1,Intuition&gt;Voies!U585-1,Intelligence&gt;Voies!V585-1,Souillure&gt;Voies!W585-1,Honneur&gt;X585-1,Statut&gt;Y585-1,Gloire&gt;Z585-1,AV585=TRUE),Voies!B585,"")</f>
        <v/>
      </c>
      <c r="B585" s="162" t="s">
        <v>2454</v>
      </c>
      <c r="C585" s="162" t="b">
        <f>IF(Clan=Voies!D586,TRUE,FALSE)</f>
        <v>0</v>
      </c>
      <c r="D585" s="388" t="s">
        <v>20</v>
      </c>
      <c r="E585" s="199">
        <v>3</v>
      </c>
      <c r="F585" s="199">
        <v>3</v>
      </c>
      <c r="G585" s="199" t="s">
        <v>2052</v>
      </c>
      <c r="H585" s="219" t="s">
        <v>204</v>
      </c>
      <c r="I585" s="129" t="str">
        <f>IF(B585="","","Rien")</f>
        <v>Rien</v>
      </c>
      <c r="J585" s="146">
        <v>0</v>
      </c>
      <c r="K585" s="147">
        <v>0</v>
      </c>
      <c r="L585" s="148">
        <v>0</v>
      </c>
      <c r="M585" s="149">
        <v>0</v>
      </c>
      <c r="N585" s="150">
        <v>0</v>
      </c>
      <c r="O585" s="130">
        <v>0</v>
      </c>
      <c r="P585" s="130">
        <v>0</v>
      </c>
      <c r="Q585" s="130">
        <v>0</v>
      </c>
      <c r="R585" s="130">
        <v>0</v>
      </c>
      <c r="S585" s="130">
        <v>0</v>
      </c>
      <c r="T585" s="130">
        <v>0</v>
      </c>
      <c r="U585" s="130">
        <v>0</v>
      </c>
      <c r="V585" s="524">
        <v>0</v>
      </c>
      <c r="W585" s="130">
        <v>0</v>
      </c>
      <c r="X585" s="130">
        <v>0</v>
      </c>
      <c r="Y585" s="130">
        <v>0</v>
      </c>
      <c r="Z585" s="130">
        <v>0</v>
      </c>
      <c r="AA585" s="158" t="s">
        <v>2078</v>
      </c>
      <c r="AB585" s="158"/>
      <c r="AC585" s="158"/>
      <c r="AD585" s="158"/>
      <c r="AE585" s="158" t="b">
        <f>IF(AB585="",TRUE,IF(IF(AC585="",VLOOKUP(AB585,Calculs!$A$19:$S$425,19,FALSE),VLOOKUP(AC585,Calculs!$A$19:$S$425,19,FALSE))&gt;=AD585,TRUE,FALSE))</f>
        <v>1</v>
      </c>
      <c r="AF585" s="158"/>
      <c r="AG585" s="158"/>
      <c r="AH585" s="158"/>
      <c r="AI585" s="158" t="b">
        <f>IF(AF585="",TRUE,IF(IF(AG585="",VLOOKUP(AF585,Calculs!$A$19:$S$425,19,FALSE),VLOOKUP(AG585,Calculs!$A$19:$S$425,19,FALSE))&gt;=AH585,TRUE,FALSE))</f>
        <v>1</v>
      </c>
      <c r="AJ585" s="158"/>
      <c r="AK585" s="158"/>
      <c r="AL585" s="158"/>
      <c r="AM585" s="158" t="b">
        <f>IF(AJ585="",TRUE,IF(IF(AK585="",VLOOKUP(AJ585,Calculs!$A$19:$S$425,19,FALSE),VLOOKUP(AK585,Calculs!$A$19:$S$425,19,FALSE))&gt;=AL585,TRUE,FALSE))</f>
        <v>1</v>
      </c>
      <c r="AN585" s="158"/>
      <c r="AO585" s="158"/>
      <c r="AP585" s="158"/>
      <c r="AQ585" s="158" t="b">
        <f>IF(AN585="",TRUE,IF(IF(AO585="",VLOOKUP(AN585,Calculs!$A$19:$S$425,19,FALSE),VLOOKUP(AO585,Calculs!$A$19:$S$425,19,FALSE))&gt;=AP585,TRUE,FALSE))</f>
        <v>1</v>
      </c>
      <c r="AR585" s="158"/>
      <c r="AS585" s="158" t="b">
        <f>IF(AR585="",TRUE,IF(VLOOKUP(AR585,Calculs!$A$427:$G$738,7,FALSE)&gt;0,TRUE,FALSE))</f>
        <v>1</v>
      </c>
      <c r="AT585" s="158"/>
      <c r="AU585" s="158" t="b">
        <f>IF(AT585="",TRUE,IF(VLOOKUP(AT585,Calculs!$A$740:$G$912,7,FALSE)&gt;0,TRUE,FALSE))</f>
        <v>1</v>
      </c>
      <c r="AV585" s="158" t="b">
        <f t="shared" si="66"/>
        <v>1</v>
      </c>
      <c r="AW585" s="158" t="s">
        <v>2078</v>
      </c>
      <c r="AX585" s="162" t="s">
        <v>3</v>
      </c>
      <c r="AY585" s="15">
        <v>121</v>
      </c>
      <c r="AZ585" s="555" t="s">
        <v>2458</v>
      </c>
      <c r="BA585" s="559">
        <f>IF(Verso!$B$10=Voies!$B586,1,0)</f>
        <v>0</v>
      </c>
      <c r="BB585" s="12">
        <f>IF(Verso!$B$11=Voies!$B586,1,0)</f>
        <v>0</v>
      </c>
      <c r="BC585" s="12">
        <f>IF(Verso!$B$12=Voies!$B586,1,0)</f>
        <v>0</v>
      </c>
      <c r="BD585" s="12">
        <f>IF(Verso!$B$13=Voies!$B586,1,0)</f>
        <v>0</v>
      </c>
      <c r="BE585" s="12">
        <f>IF(Verso!$B$14=Voies!$B586,1,0)</f>
        <v>0</v>
      </c>
      <c r="BF585" s="12">
        <f>IF(Verso!$B$15=Voies!$B586,1,0)</f>
        <v>0</v>
      </c>
      <c r="BG585" s="12">
        <f>IF(Verso!$B$16=Voies!$B586,1,0)</f>
        <v>0</v>
      </c>
      <c r="BH585" s="12">
        <f>IF(Verso!$B$17=Voies!$B586,1,0)</f>
        <v>0</v>
      </c>
      <c r="BI585" s="557">
        <f t="shared" si="67"/>
        <v>0</v>
      </c>
      <c r="BJ585" s="196" t="str">
        <f t="shared" si="68"/>
        <v/>
      </c>
      <c r="BK585" s="196" t="str">
        <f t="shared" si="69"/>
        <v/>
      </c>
      <c r="BL585" s="295" t="str">
        <f t="shared" si="70"/>
        <v/>
      </c>
      <c r="BM585" s="91"/>
    </row>
    <row r="586" spans="1:65" ht="47.25" customHeight="1" x14ac:dyDescent="0.25">
      <c r="A586" s="162" t="str">
        <f>IF(AND(Réputation&gt;Voies!E586-1,OR(C586=TRUE,Calculs!$I$8&gt;0),Air&gt;Voies!J586-1,Eau&gt;Voies!K586-1,Feu&gt;Voies!L586-1,Terre&gt;Voies!M586-1,Vide&gt;Voies!N586-1,Constitution&gt;Voies!O586-1,Volonté&gt;Voies!P586-1,Force&gt;Voies!Q586-1,Perception&gt;Voies!R586-1,Reflexes&gt;Voies!S586-1,Agilité&gt;Voies!T586-1,Intuition&gt;Voies!U586-1,Intelligence&gt;Voies!V586-1,Souillure&gt;Voies!W586-1,Honneur&gt;X586-1,Statut&gt;Y586-1,Gloire&gt;Z586-1,AV586=TRUE),Voies!B586,"")</f>
        <v/>
      </c>
      <c r="B586" s="162" t="s">
        <v>3529</v>
      </c>
      <c r="C586" s="162" t="b">
        <f>IF(Clan=Voies!D587,TRUE,FALSE)</f>
        <v>0</v>
      </c>
      <c r="D586" s="387" t="s">
        <v>20</v>
      </c>
      <c r="E586" s="13">
        <v>3</v>
      </c>
      <c r="F586" s="199">
        <v>3</v>
      </c>
      <c r="G586" s="13" t="s">
        <v>2052</v>
      </c>
      <c r="H586" s="219" t="s">
        <v>506</v>
      </c>
      <c r="I586" s="129" t="s">
        <v>3530</v>
      </c>
      <c r="J586" s="146">
        <v>0</v>
      </c>
      <c r="K586" s="147">
        <v>0</v>
      </c>
      <c r="L586" s="148">
        <v>0</v>
      </c>
      <c r="M586" s="149">
        <v>0</v>
      </c>
      <c r="N586" s="150">
        <v>0</v>
      </c>
      <c r="O586" s="130">
        <v>0</v>
      </c>
      <c r="P586" s="130">
        <v>0</v>
      </c>
      <c r="Q586" s="130">
        <v>0</v>
      </c>
      <c r="R586" s="130">
        <v>0</v>
      </c>
      <c r="S586" s="130">
        <v>0</v>
      </c>
      <c r="T586" s="130">
        <v>0</v>
      </c>
      <c r="U586" s="130">
        <v>0</v>
      </c>
      <c r="V586" s="524">
        <v>0</v>
      </c>
      <c r="W586" s="130">
        <v>0</v>
      </c>
      <c r="X586" s="130">
        <v>0</v>
      </c>
      <c r="Y586" s="130">
        <v>0</v>
      </c>
      <c r="Z586" s="130">
        <v>0</v>
      </c>
      <c r="AA586" s="159" t="s">
        <v>6425</v>
      </c>
      <c r="AB586" s="159" t="s">
        <v>1301</v>
      </c>
      <c r="AD586" s="159">
        <v>5</v>
      </c>
      <c r="AE586" s="158" t="b">
        <f>IF(AB586="",TRUE,IF(IF(AC586="",VLOOKUP(AB586,Calculs!$A$19:$S$425,19,FALSE),VLOOKUP(AC586,Calculs!$A$19:$S$425,19,FALSE))&gt;=AD586,TRUE,FALSE))</f>
        <v>0</v>
      </c>
      <c r="AI586" s="158" t="b">
        <f>IF(AF586="",TRUE,IF(IF(AG586="",VLOOKUP(AF586,Calculs!$A$19:$S$425,19,FALSE),VLOOKUP(AG586,Calculs!$A$19:$S$425,19,FALSE))&gt;=AH586,TRUE,FALSE))</f>
        <v>1</v>
      </c>
      <c r="AM586" s="158" t="b">
        <f>IF(AJ586="",TRUE,IF(IF(AK586="",VLOOKUP(AJ586,Calculs!$A$19:$S$425,19,FALSE),VLOOKUP(AK586,Calculs!$A$19:$S$425,19,FALSE))&gt;=AL586,TRUE,FALSE))</f>
        <v>1</v>
      </c>
      <c r="AQ586" s="158" t="b">
        <f>IF(AN586="",TRUE,IF(IF(AO586="",VLOOKUP(AN586,Calculs!$A$19:$S$425,19,FALSE),VLOOKUP(AO586,Calculs!$A$19:$S$425,19,FALSE))&gt;=AP586,TRUE,FALSE))</f>
        <v>1</v>
      </c>
      <c r="AR586" s="158"/>
      <c r="AS586" s="158" t="b">
        <f>IF(AR586="",TRUE,IF(VLOOKUP(AR586,Calculs!$A$427:$G$738,7,FALSE)&gt;0,TRUE,FALSE))</f>
        <v>1</v>
      </c>
      <c r="AT586" s="158"/>
      <c r="AU586" s="158" t="b">
        <f>IF(AT586="",TRUE,IF(VLOOKUP(AT586,Calculs!$A$740:$G$912,7,FALSE)&gt;0,TRUE,FALSE))</f>
        <v>1</v>
      </c>
      <c r="AV586" s="158" t="b">
        <f t="shared" si="66"/>
        <v>0</v>
      </c>
      <c r="AW586" s="158" t="s">
        <v>2078</v>
      </c>
      <c r="AX586" s="162" t="s">
        <v>160</v>
      </c>
      <c r="AY586" s="15">
        <v>190</v>
      </c>
      <c r="AZ586" s="555" t="s">
        <v>3533</v>
      </c>
      <c r="BA586" s="559">
        <f>IF(Verso!$B$10=Voies!$B587,1,0)</f>
        <v>0</v>
      </c>
      <c r="BB586" s="12">
        <f>IF(Verso!$B$11=Voies!$B587,1,0)</f>
        <v>0</v>
      </c>
      <c r="BC586" s="12">
        <f>IF(Verso!$B$12=Voies!$B587,1,0)</f>
        <v>0</v>
      </c>
      <c r="BD586" s="12">
        <f>IF(Verso!$B$13=Voies!$B587,1,0)</f>
        <v>0</v>
      </c>
      <c r="BE586" s="12">
        <f>IF(Verso!$B$14=Voies!$B587,1,0)</f>
        <v>0</v>
      </c>
      <c r="BF586" s="12">
        <f>IF(Verso!$B$15=Voies!$B587,1,0)</f>
        <v>0</v>
      </c>
      <c r="BG586" s="12">
        <f>IF(Verso!$B$16=Voies!$B587,1,0)</f>
        <v>0</v>
      </c>
      <c r="BH586" s="12">
        <f>IF(Verso!$B$17=Voies!$B587,1,0)</f>
        <v>0</v>
      </c>
      <c r="BI586" s="557">
        <f t="shared" si="67"/>
        <v>0</v>
      </c>
      <c r="BJ586" s="196" t="str">
        <f t="shared" si="68"/>
        <v/>
      </c>
      <c r="BK586" s="196" t="str">
        <f t="shared" si="69"/>
        <v/>
      </c>
      <c r="BL586" s="295" t="str">
        <f t="shared" si="70"/>
        <v/>
      </c>
    </row>
    <row r="587" spans="1:65" ht="47.25" customHeight="1" x14ac:dyDescent="0.25">
      <c r="A587" s="162" t="str">
        <f>IF(AND(Réputation&gt;Voies!E587-1,OR(C587=TRUE,Calculs!$I$8&gt;0),Air&gt;Voies!J587-1,Eau&gt;Voies!K587-1,Feu&gt;Voies!L587-1,Terre&gt;Voies!M587-1,Vide&gt;Voies!N587-1,Constitution&gt;Voies!O587-1,Volonté&gt;Voies!P587-1,Force&gt;Voies!Q587-1,Perception&gt;Voies!R587-1,Reflexes&gt;Voies!S587-1,Agilité&gt;Voies!T587-1,Intuition&gt;Voies!U587-1,Intelligence&gt;Voies!V587-1,Souillure&gt;Voies!W587-1,Honneur&gt;X587-1,Statut&gt;Y587-1,Gloire&gt;Z587-1,AV587=TRUE),Voies!B587,"")</f>
        <v/>
      </c>
      <c r="B587" s="162" t="s">
        <v>6148</v>
      </c>
      <c r="C587" s="162" t="b">
        <f>IF(Clan=Voies!D588,TRUE,FALSE)</f>
        <v>0</v>
      </c>
      <c r="D587" s="387" t="s">
        <v>20</v>
      </c>
      <c r="E587" s="13">
        <v>3</v>
      </c>
      <c r="F587" s="199">
        <v>3</v>
      </c>
      <c r="G587" s="13" t="s">
        <v>2052</v>
      </c>
      <c r="H587" s="219" t="s">
        <v>6146</v>
      </c>
      <c r="I587" s="129" t="s">
        <v>6147</v>
      </c>
      <c r="J587" s="146">
        <v>0</v>
      </c>
      <c r="K587" s="147">
        <v>0</v>
      </c>
      <c r="L587" s="148">
        <v>0</v>
      </c>
      <c r="M587" s="149">
        <v>0</v>
      </c>
      <c r="N587" s="150">
        <v>0</v>
      </c>
      <c r="O587" s="130">
        <v>0</v>
      </c>
      <c r="P587" s="130">
        <v>0</v>
      </c>
      <c r="Q587" s="130">
        <v>0</v>
      </c>
      <c r="R587" s="130">
        <v>0</v>
      </c>
      <c r="S587" s="130">
        <v>0</v>
      </c>
      <c r="T587" s="130">
        <v>0</v>
      </c>
      <c r="U587" s="130">
        <v>0</v>
      </c>
      <c r="V587" s="524">
        <v>0</v>
      </c>
      <c r="W587" s="130">
        <v>0</v>
      </c>
      <c r="X587" s="130">
        <v>0</v>
      </c>
      <c r="Y587" s="130">
        <v>0</v>
      </c>
      <c r="Z587" s="130">
        <v>0</v>
      </c>
      <c r="AA587" s="159" t="s">
        <v>6380</v>
      </c>
      <c r="AB587" s="159" t="s">
        <v>3325</v>
      </c>
      <c r="AC587" s="159" t="s">
        <v>3188</v>
      </c>
      <c r="AD587" s="159">
        <v>3</v>
      </c>
      <c r="AE587" s="158" t="b">
        <f>IF(AB587="",TRUE,IF(IF(AC587="",VLOOKUP(AB587,Calculs!$A$19:$S$425,19,FALSE),VLOOKUP(AC587,Calculs!$A$19:$S$425,19,FALSE))&gt;=AD587,TRUE,FALSE))</f>
        <v>0</v>
      </c>
      <c r="AF587" s="159" t="s">
        <v>1266</v>
      </c>
      <c r="AH587" s="159">
        <v>3</v>
      </c>
      <c r="AI587" s="158" t="b">
        <f>IF(AF587="",TRUE,IF(IF(AG587="",VLOOKUP(AF587,Calculs!$A$19:$S$425,19,FALSE),VLOOKUP(AG587,Calculs!$A$19:$S$425,19,FALSE))&gt;=AH587,TRUE,FALSE))</f>
        <v>0</v>
      </c>
      <c r="AJ587" s="159" t="s">
        <v>3268</v>
      </c>
      <c r="AK587" s="159" t="s">
        <v>3261</v>
      </c>
      <c r="AL587" s="159">
        <v>4</v>
      </c>
      <c r="AM587" s="158" t="b">
        <f>IF(AJ587="",TRUE,IF(IF(AK587="",VLOOKUP(AJ587,Calculs!$A$19:$S$425,19,FALSE),VLOOKUP(AK587,Calculs!$A$19:$S$425,19,FALSE))&gt;=AL587,TRUE,FALSE))</f>
        <v>0</v>
      </c>
      <c r="AQ587" s="158" t="b">
        <f>IF(AN587="",TRUE,IF(IF(AO587="",VLOOKUP(AN587,Calculs!$A$19:$S$425,19,FALSE),VLOOKUP(AO587,Calculs!$A$19:$S$425,19,FALSE))&gt;=AP587,TRUE,FALSE))</f>
        <v>1</v>
      </c>
      <c r="AR587" s="158"/>
      <c r="AS587" s="158" t="b">
        <f>IF(AR587="",TRUE,IF(VLOOKUP(AR587,Calculs!$A$427:$G$738,7,FALSE)&gt;0,TRUE,FALSE))</f>
        <v>1</v>
      </c>
      <c r="AT587" s="158"/>
      <c r="AU587" s="158" t="b">
        <f>IF(AT587="",TRUE,IF(VLOOKUP(AT587,Calculs!$A$740:$G$912,7,FALSE)&gt;0,TRUE,FALSE))</f>
        <v>1</v>
      </c>
      <c r="AV587" s="158" t="b">
        <f t="shared" si="66"/>
        <v>0</v>
      </c>
      <c r="AW587" s="158" t="s">
        <v>2078</v>
      </c>
      <c r="AX587" s="162" t="s">
        <v>6010</v>
      </c>
      <c r="AY587" s="15">
        <v>205</v>
      </c>
      <c r="AZ587" s="555" t="s">
        <v>6149</v>
      </c>
      <c r="BA587" s="559">
        <f>IF(Verso!$B$10=Voies!$B588,1,0)</f>
        <v>0</v>
      </c>
      <c r="BB587" s="12">
        <f>IF(Verso!$B$11=Voies!$B588,1,0)</f>
        <v>0</v>
      </c>
      <c r="BC587" s="12">
        <f>IF(Verso!$B$12=Voies!$B588,1,0)</f>
        <v>0</v>
      </c>
      <c r="BD587" s="12">
        <f>IF(Verso!$B$13=Voies!$B588,1,0)</f>
        <v>0</v>
      </c>
      <c r="BE587" s="12">
        <f>IF(Verso!$B$14=Voies!$B588,1,0)</f>
        <v>0</v>
      </c>
      <c r="BF587" s="12">
        <f>IF(Verso!$B$15=Voies!$B588,1,0)</f>
        <v>0</v>
      </c>
      <c r="BG587" s="12">
        <f>IF(Verso!$B$16=Voies!$B588,1,0)</f>
        <v>0</v>
      </c>
      <c r="BH587" s="12">
        <f>IF(Verso!$B$17=Voies!$B588,1,0)</f>
        <v>0</v>
      </c>
      <c r="BI587" s="557">
        <f t="shared" si="67"/>
        <v>0</v>
      </c>
      <c r="BJ587" s="196" t="str">
        <f t="shared" si="68"/>
        <v/>
      </c>
      <c r="BK587" s="196" t="str">
        <f t="shared" si="69"/>
        <v/>
      </c>
      <c r="BL587" s="295" t="str">
        <f t="shared" si="70"/>
        <v/>
      </c>
    </row>
    <row r="588" spans="1:65" ht="47.25" customHeight="1" x14ac:dyDescent="0.25">
      <c r="A588" s="162" t="str">
        <f>IF(AND(Réputation&gt;Voies!E588-1,OR(C588=TRUE,Calculs!$I$8&gt;0),Air&gt;Voies!J588-1,Eau&gt;Voies!K588-1,Feu&gt;Voies!L588-1,Terre&gt;Voies!M588-1,Vide&gt;Voies!N588-1,Constitution&gt;Voies!O588-1,Volonté&gt;Voies!P588-1,Force&gt;Voies!Q588-1,Perception&gt;Voies!R588-1,Reflexes&gt;Voies!S588-1,Agilité&gt;Voies!T588-1,Intuition&gt;Voies!U588-1,Intelligence&gt;Voies!V588-1,Souillure&gt;Voies!W588-1,Honneur&gt;X588-1,Statut&gt;Y588-1,Gloire&gt;Z588-1,AV588=TRUE),Voies!B588,"")</f>
        <v/>
      </c>
      <c r="B588" s="162" t="s">
        <v>3161</v>
      </c>
      <c r="C588" s="162" t="b">
        <f>IF(Clan=Voies!D589,TRUE,FALSE)</f>
        <v>0</v>
      </c>
      <c r="D588" s="387" t="s">
        <v>20</v>
      </c>
      <c r="E588" s="13">
        <v>3</v>
      </c>
      <c r="F588" s="199">
        <v>3</v>
      </c>
      <c r="G588" s="13" t="s">
        <v>2048</v>
      </c>
      <c r="H588" s="219" t="s">
        <v>503</v>
      </c>
      <c r="I588" s="129" t="s">
        <v>3159</v>
      </c>
      <c r="J588" s="146">
        <v>0</v>
      </c>
      <c r="K588" s="147">
        <v>0</v>
      </c>
      <c r="L588" s="148">
        <v>0</v>
      </c>
      <c r="M588" s="149">
        <v>0</v>
      </c>
      <c r="N588" s="150">
        <v>0</v>
      </c>
      <c r="O588" s="130">
        <v>0</v>
      </c>
      <c r="P588" s="130">
        <v>0</v>
      </c>
      <c r="Q588" s="130">
        <v>0</v>
      </c>
      <c r="R588" s="130">
        <v>0</v>
      </c>
      <c r="S588" s="130">
        <v>0</v>
      </c>
      <c r="T588" s="130">
        <v>0</v>
      </c>
      <c r="U588" s="130">
        <v>0</v>
      </c>
      <c r="V588" s="524">
        <v>0</v>
      </c>
      <c r="W588" s="130">
        <v>0</v>
      </c>
      <c r="X588" s="130">
        <v>0</v>
      </c>
      <c r="Y588" s="130">
        <v>0</v>
      </c>
      <c r="Z588" s="130">
        <v>0</v>
      </c>
      <c r="AA588" s="159" t="s">
        <v>3160</v>
      </c>
      <c r="AB588" s="159" t="s">
        <v>231</v>
      </c>
      <c r="AD588" s="159">
        <v>3</v>
      </c>
      <c r="AE588" s="158" t="b">
        <f>IF(AB588="",TRUE,IF(IF(AC588="",VLOOKUP(AB588,Calculs!$A$19:$S$425,19,FALSE),VLOOKUP(AC588,Calculs!$A$19:$S$425,19,FALSE))&gt;=AD588,TRUE,FALSE))</f>
        <v>0</v>
      </c>
      <c r="AI588" s="158" t="b">
        <f>IF(AF588="",TRUE,IF(IF(AG588="",VLOOKUP(AF588,Calculs!$A$19:$S$425,19,FALSE),VLOOKUP(AG588,Calculs!$A$19:$S$425,19,FALSE))&gt;=AH588,TRUE,FALSE))</f>
        <v>1</v>
      </c>
      <c r="AM588" s="158" t="b">
        <f>IF(AJ588="",TRUE,IF(IF(AK588="",VLOOKUP(AJ588,Calculs!$A$19:$S$425,19,FALSE),VLOOKUP(AK588,Calculs!$A$19:$S$425,19,FALSE))&gt;=AL588,TRUE,FALSE))</f>
        <v>1</v>
      </c>
      <c r="AQ588" s="158" t="b">
        <f>IF(AN588="",TRUE,IF(IF(AO588="",VLOOKUP(AN588,Calculs!$A$19:$S$425,19,FALSE),VLOOKUP(AO588,Calculs!$A$19:$S$425,19,FALSE))&gt;=AP588,TRUE,FALSE))</f>
        <v>1</v>
      </c>
      <c r="AR588" s="158"/>
      <c r="AS588" s="158" t="b">
        <f>IF(AR588="",TRUE,IF(VLOOKUP(AR588,Calculs!$A$427:$G$738,7,FALSE)&gt;0,TRUE,FALSE))</f>
        <v>1</v>
      </c>
      <c r="AT588" s="158"/>
      <c r="AU588" s="158" t="b">
        <f>IF(AT588="",TRUE,IF(VLOOKUP(AT588,Calculs!$A$740:$G$912,7,FALSE)&gt;0,TRUE,FALSE))</f>
        <v>1</v>
      </c>
      <c r="AV588" s="158" t="b">
        <f t="shared" si="66"/>
        <v>0</v>
      </c>
      <c r="AW588" s="158" t="s">
        <v>2078</v>
      </c>
      <c r="AX588" s="162" t="s">
        <v>3</v>
      </c>
      <c r="AY588" s="15">
        <v>253</v>
      </c>
      <c r="AZ588" s="555" t="s">
        <v>8619</v>
      </c>
      <c r="BA588" s="559">
        <f>IF(Verso!$B$10=Voies!$B589,1,0)</f>
        <v>0</v>
      </c>
      <c r="BB588" s="12">
        <f>IF(Verso!$B$11=Voies!$B589,1,0)</f>
        <v>0</v>
      </c>
      <c r="BC588" s="12">
        <f>IF(Verso!$B$12=Voies!$B589,1,0)</f>
        <v>0</v>
      </c>
      <c r="BD588" s="12">
        <f>IF(Verso!$B$13=Voies!$B589,1,0)</f>
        <v>0</v>
      </c>
      <c r="BE588" s="12">
        <f>IF(Verso!$B$14=Voies!$B589,1,0)</f>
        <v>0</v>
      </c>
      <c r="BF588" s="12">
        <f>IF(Verso!$B$15=Voies!$B589,1,0)</f>
        <v>0</v>
      </c>
      <c r="BG588" s="12">
        <f>IF(Verso!$B$16=Voies!$B589,1,0)</f>
        <v>0</v>
      </c>
      <c r="BH588" s="12">
        <f>IF(Verso!$B$17=Voies!$B589,1,0)</f>
        <v>0</v>
      </c>
      <c r="BI588" s="557">
        <f t="shared" si="67"/>
        <v>0</v>
      </c>
      <c r="BJ588" s="196" t="str">
        <f t="shared" si="68"/>
        <v/>
      </c>
      <c r="BK588" s="196" t="str">
        <f t="shared" si="69"/>
        <v/>
      </c>
      <c r="BL588" s="295" t="str">
        <f t="shared" si="70"/>
        <v/>
      </c>
    </row>
    <row r="589" spans="1:65" ht="47.25" customHeight="1" x14ac:dyDescent="0.25">
      <c r="A589" s="162" t="str">
        <f>IF(AND(Réputation&gt;Voies!E589-1,OR(C589=TRUE,Calculs!$I$8&gt;0),Air&gt;Voies!J589-1,Eau&gt;Voies!K589-1,Feu&gt;Voies!L589-1,Terre&gt;Voies!M589-1,Vide&gt;Voies!N589-1,Constitution&gt;Voies!O589-1,Volonté&gt;Voies!P589-1,Force&gt;Voies!Q589-1,Perception&gt;Voies!R589-1,Reflexes&gt;Voies!S589-1,Agilité&gt;Voies!T589-1,Intuition&gt;Voies!U589-1,Intelligence&gt;Voies!V589-1,Souillure&gt;Voies!W589-1,Honneur&gt;X589-1,Statut&gt;Y589-1,Gloire&gt;Z589-1,AV589=TRUE),Voies!B589,"")</f>
        <v/>
      </c>
      <c r="B589" s="162" t="s">
        <v>5889</v>
      </c>
      <c r="C589" s="162" t="b">
        <f>IF(Clan=Voies!D590,TRUE,FALSE)</f>
        <v>0</v>
      </c>
      <c r="D589" s="387" t="s">
        <v>20</v>
      </c>
      <c r="E589" s="13">
        <v>3</v>
      </c>
      <c r="F589" s="199">
        <v>3</v>
      </c>
      <c r="G589" s="13" t="s">
        <v>2048</v>
      </c>
      <c r="H589" s="162" t="s">
        <v>4771</v>
      </c>
      <c r="I589" s="129" t="s">
        <v>3159</v>
      </c>
      <c r="J589" s="146">
        <v>0</v>
      </c>
      <c r="K589" s="147">
        <v>0</v>
      </c>
      <c r="L589" s="148">
        <v>0</v>
      </c>
      <c r="M589" s="149">
        <v>0</v>
      </c>
      <c r="N589" s="150">
        <v>0</v>
      </c>
      <c r="O589" s="130">
        <v>0</v>
      </c>
      <c r="P589" s="130">
        <v>0</v>
      </c>
      <c r="Q589" s="130">
        <v>0</v>
      </c>
      <c r="R589" s="130">
        <v>0</v>
      </c>
      <c r="S589" s="130">
        <v>0</v>
      </c>
      <c r="T589" s="130">
        <v>4</v>
      </c>
      <c r="U589" s="130">
        <v>0</v>
      </c>
      <c r="V589" s="524">
        <v>0</v>
      </c>
      <c r="W589" s="130">
        <v>0</v>
      </c>
      <c r="X589" s="130">
        <v>0</v>
      </c>
      <c r="Y589" s="130">
        <v>0</v>
      </c>
      <c r="Z589" s="130">
        <v>0</v>
      </c>
      <c r="AA589" s="158" t="s">
        <v>2078</v>
      </c>
      <c r="AB589" s="158"/>
      <c r="AC589" s="158"/>
      <c r="AD589" s="158"/>
      <c r="AE589" s="158" t="b">
        <f>IF(AB589="",TRUE,IF(IF(AC589="",VLOOKUP(AB589,Calculs!$A$19:$S$425,19,FALSE),VLOOKUP(AC589,Calculs!$A$19:$S$425,19,FALSE))&gt;=AD589,TRUE,FALSE))</f>
        <v>1</v>
      </c>
      <c r="AF589" s="158"/>
      <c r="AG589" s="158"/>
      <c r="AH589" s="158"/>
      <c r="AI589" s="158" t="b">
        <f>IF(AF589="",TRUE,IF(IF(AG589="",VLOOKUP(AF589,Calculs!$A$19:$S$425,19,FALSE),VLOOKUP(AG589,Calculs!$A$19:$S$425,19,FALSE))&gt;=AH589,TRUE,FALSE))</f>
        <v>1</v>
      </c>
      <c r="AJ589" s="158"/>
      <c r="AK589" s="158"/>
      <c r="AL589" s="158"/>
      <c r="AM589" s="158" t="b">
        <f>IF(AJ589="",TRUE,IF(IF(AK589="",VLOOKUP(AJ589,Calculs!$A$19:$S$425,19,FALSE),VLOOKUP(AK589,Calculs!$A$19:$S$425,19,FALSE))&gt;=AL589,TRUE,FALSE))</f>
        <v>1</v>
      </c>
      <c r="AN589" s="158"/>
      <c r="AO589" s="158"/>
      <c r="AP589" s="158"/>
      <c r="AQ589" s="158" t="b">
        <f>IF(AN589="",TRUE,IF(IF(AO589="",VLOOKUP(AN589,Calculs!$A$19:$S$425,19,FALSE),VLOOKUP(AO589,Calculs!$A$19:$S$425,19,FALSE))&gt;=AP589,TRUE,FALSE))</f>
        <v>1</v>
      </c>
      <c r="AR589" s="158" t="s">
        <v>699</v>
      </c>
      <c r="AS589" s="158" t="b">
        <f>IF(AR589="",TRUE,IF(VLOOKUP(AR589,Calculs!$A$427:$G$738,7,FALSE)&gt;0,TRUE,FALSE))</f>
        <v>0</v>
      </c>
      <c r="AT589" s="158"/>
      <c r="AU589" s="158" t="b">
        <f>IF(AT589="",TRUE,IF(VLOOKUP(AT589,Calculs!$A$740:$G$912,7,FALSE)&gt;0,TRUE,FALSE))</f>
        <v>1</v>
      </c>
      <c r="AV589" s="158" t="b">
        <f t="shared" si="66"/>
        <v>0</v>
      </c>
      <c r="AW589" s="159" t="s">
        <v>5888</v>
      </c>
      <c r="AX589" s="162" t="s">
        <v>4403</v>
      </c>
      <c r="AY589" s="15">
        <v>178</v>
      </c>
      <c r="AZ589" s="555" t="s">
        <v>5890</v>
      </c>
      <c r="BA589" s="559">
        <f>IF(Verso!$B$10=Voies!$B590,1,0)</f>
        <v>0</v>
      </c>
      <c r="BB589" s="12">
        <f>IF(Verso!$B$11=Voies!$B590,1,0)</f>
        <v>0</v>
      </c>
      <c r="BC589" s="12">
        <f>IF(Verso!$B$12=Voies!$B590,1,0)</f>
        <v>0</v>
      </c>
      <c r="BD589" s="12">
        <f>IF(Verso!$B$13=Voies!$B590,1,0)</f>
        <v>0</v>
      </c>
      <c r="BE589" s="12">
        <f>IF(Verso!$B$14=Voies!$B590,1,0)</f>
        <v>0</v>
      </c>
      <c r="BF589" s="12">
        <f>IF(Verso!$B$15=Voies!$B590,1,0)</f>
        <v>0</v>
      </c>
      <c r="BG589" s="12">
        <f>IF(Verso!$B$16=Voies!$B590,1,0)</f>
        <v>0</v>
      </c>
      <c r="BH589" s="12">
        <f>IF(Verso!$B$17=Voies!$B590,1,0)</f>
        <v>0</v>
      </c>
      <c r="BI589" s="557">
        <f t="shared" si="67"/>
        <v>0</v>
      </c>
      <c r="BJ589" s="196" t="str">
        <f t="shared" si="68"/>
        <v/>
      </c>
      <c r="BK589" s="196" t="str">
        <f t="shared" si="69"/>
        <v/>
      </c>
      <c r="BL589" s="295" t="str">
        <f t="shared" si="70"/>
        <v/>
      </c>
    </row>
    <row r="590" spans="1:65" ht="47.25" customHeight="1" x14ac:dyDescent="0.25">
      <c r="A590" s="162" t="str">
        <f>IF(AND(Réputation&gt;Voies!E590-1,OR(C590=TRUE,Calculs!$I$8&gt;0),Air&gt;Voies!J590-1,Eau&gt;Voies!K590-1,Feu&gt;Voies!L590-1,Terre&gt;Voies!M590-1,Vide&gt;Voies!N590-1,Constitution&gt;Voies!O590-1,Volonté&gt;Voies!P590-1,Force&gt;Voies!Q590-1,Perception&gt;Voies!R590-1,Reflexes&gt;Voies!S590-1,Agilité&gt;Voies!T590-1,Intuition&gt;Voies!U590-1,Intelligence&gt;Voies!V590-1,Souillure&gt;Voies!W590-1,Honneur&gt;X590-1,Statut&gt;Y590-1,Gloire&gt;Z590-1,AV590=TRUE),Voies!B590,"")</f>
        <v/>
      </c>
      <c r="B590" s="162" t="s">
        <v>2463</v>
      </c>
      <c r="C590" s="162" t="b">
        <f>IF(Clan=Voies!D591,TRUE,FALSE)</f>
        <v>0</v>
      </c>
      <c r="D590" s="388" t="s">
        <v>20</v>
      </c>
      <c r="E590" s="13">
        <v>4</v>
      </c>
      <c r="F590" s="199">
        <v>4</v>
      </c>
      <c r="G590" s="13" t="s">
        <v>2049</v>
      </c>
      <c r="H590" s="219" t="s">
        <v>208</v>
      </c>
      <c r="I590" s="129" t="str">
        <f>IF(B590="","","Rien")</f>
        <v>Rien</v>
      </c>
      <c r="J590" s="146">
        <v>0</v>
      </c>
      <c r="K590" s="147">
        <v>0</v>
      </c>
      <c r="L590" s="148">
        <v>0</v>
      </c>
      <c r="M590" s="149">
        <v>0</v>
      </c>
      <c r="N590" s="150">
        <v>0</v>
      </c>
      <c r="O590" s="130">
        <v>0</v>
      </c>
      <c r="P590" s="130">
        <v>0</v>
      </c>
      <c r="Q590" s="130">
        <v>0</v>
      </c>
      <c r="R590" s="130">
        <v>0</v>
      </c>
      <c r="S590" s="130">
        <v>0</v>
      </c>
      <c r="T590" s="130">
        <v>0</v>
      </c>
      <c r="U590" s="130">
        <v>0</v>
      </c>
      <c r="V590" s="524">
        <v>0</v>
      </c>
      <c r="W590" s="130">
        <v>0</v>
      </c>
      <c r="X590" s="130">
        <v>0</v>
      </c>
      <c r="Y590" s="130">
        <v>0</v>
      </c>
      <c r="Z590" s="130">
        <v>0</v>
      </c>
      <c r="AA590" s="158" t="s">
        <v>2078</v>
      </c>
      <c r="AB590" s="158"/>
      <c r="AC590" s="158"/>
      <c r="AD590" s="158"/>
      <c r="AE590" s="158" t="b">
        <f>IF(AB590="",TRUE,IF(IF(AC590="",VLOOKUP(AB590,Calculs!$A$19:$S$425,19,FALSE),VLOOKUP(AC590,Calculs!$A$19:$S$425,19,FALSE))&gt;=AD590,TRUE,FALSE))</f>
        <v>1</v>
      </c>
      <c r="AF590" s="158"/>
      <c r="AG590" s="158"/>
      <c r="AH590" s="158"/>
      <c r="AI590" s="158" t="b">
        <f>IF(AF590="",TRUE,IF(IF(AG590="",VLOOKUP(AF590,Calculs!$A$19:$S$425,19,FALSE),VLOOKUP(AG590,Calculs!$A$19:$S$425,19,FALSE))&gt;=AH590,TRUE,FALSE))</f>
        <v>1</v>
      </c>
      <c r="AJ590" s="158"/>
      <c r="AK590" s="158"/>
      <c r="AL590" s="158"/>
      <c r="AM590" s="158" t="b">
        <f>IF(AJ590="",TRUE,IF(IF(AK590="",VLOOKUP(AJ590,Calculs!$A$19:$S$425,19,FALSE),VLOOKUP(AK590,Calculs!$A$19:$S$425,19,FALSE))&gt;=AL590,TRUE,FALSE))</f>
        <v>1</v>
      </c>
      <c r="AN590" s="158"/>
      <c r="AO590" s="158"/>
      <c r="AP590" s="158"/>
      <c r="AQ590" s="158" t="b">
        <f>IF(AN590="",TRUE,IF(IF(AO590="",VLOOKUP(AN590,Calculs!$A$19:$S$425,19,FALSE),VLOOKUP(AO590,Calculs!$A$19:$S$425,19,FALSE))&gt;=AP590,TRUE,FALSE))</f>
        <v>1</v>
      </c>
      <c r="AR590" s="158"/>
      <c r="AS590" s="158" t="b">
        <f>IF(AR590="",TRUE,IF(VLOOKUP(AR590,Calculs!$A$427:$G$738,7,FALSE)&gt;0,TRUE,FALSE))</f>
        <v>1</v>
      </c>
      <c r="AT590" s="158"/>
      <c r="AU590" s="158" t="b">
        <f>IF(AT590="",TRUE,IF(VLOOKUP(AT590,Calculs!$A$740:$G$912,7,FALSE)&gt;0,TRUE,FALSE))</f>
        <v>1</v>
      </c>
      <c r="AV590" s="158" t="b">
        <f t="shared" si="66"/>
        <v>1</v>
      </c>
      <c r="AW590" s="158" t="s">
        <v>2078</v>
      </c>
      <c r="AX590" s="162" t="s">
        <v>3</v>
      </c>
      <c r="AY590" s="15">
        <v>122</v>
      </c>
      <c r="AZ590" s="555" t="str">
        <f>CONCATENATE("Ignorez juqu'a ",Honneur,"pts de malus au ND dus aux Rangs de Blessures égaux ou ",Honneur*2,"pts uniquement quand vous êtes en Posture d'Assaut")</f>
        <v>Ignorez juqu'a 0pts de malus au ND dus aux Rangs de Blessures égaux ou 0pts uniquement quand vous êtes en Posture d'Assaut</v>
      </c>
      <c r="BA590" s="559">
        <f>IF(Verso!$B$10=Voies!$B591,1,0)</f>
        <v>0</v>
      </c>
      <c r="BB590" s="12">
        <f>IF(Verso!$B$11=Voies!$B591,1,0)</f>
        <v>0</v>
      </c>
      <c r="BC590" s="12">
        <f>IF(Verso!$B$12=Voies!$B591,1,0)</f>
        <v>0</v>
      </c>
      <c r="BD590" s="12">
        <f>IF(Verso!$B$13=Voies!$B591,1,0)</f>
        <v>0</v>
      </c>
      <c r="BE590" s="12">
        <f>IF(Verso!$B$14=Voies!$B591,1,0)</f>
        <v>0</v>
      </c>
      <c r="BF590" s="12">
        <f>IF(Verso!$B$15=Voies!$B591,1,0)</f>
        <v>0</v>
      </c>
      <c r="BG590" s="12">
        <f>IF(Verso!$B$16=Voies!$B591,1,0)</f>
        <v>0</v>
      </c>
      <c r="BH590" s="12">
        <f>IF(Verso!$B$17=Voies!$B591,1,0)</f>
        <v>0</v>
      </c>
      <c r="BI590" s="557">
        <f t="shared" si="67"/>
        <v>0</v>
      </c>
      <c r="BJ590" s="196" t="str">
        <f t="shared" si="68"/>
        <v/>
      </c>
      <c r="BK590" s="196" t="str">
        <f t="shared" si="69"/>
        <v/>
      </c>
      <c r="BL590" s="295" t="str">
        <f t="shared" si="70"/>
        <v/>
      </c>
    </row>
    <row r="591" spans="1:65" ht="47.25" customHeight="1" x14ac:dyDescent="0.25">
      <c r="A591" s="162" t="str">
        <f>IF(AND(Réputation&gt;Voies!E591-1,OR(C591=TRUE,Calculs!$I$8&gt;0),Air&gt;Voies!J591-1,Eau&gt;Voies!K591-1,Feu&gt;Voies!L591-1,Terre&gt;Voies!M591-1,Vide&gt;Voies!N591-1,Constitution&gt;Voies!O591-1,Volonté&gt;Voies!P591-1,Force&gt;Voies!Q591-1,Perception&gt;Voies!R591-1,Reflexes&gt;Voies!S591-1,Agilité&gt;Voies!T591-1,Intuition&gt;Voies!U591-1,Intelligence&gt;Voies!V591-1,Souillure&gt;Voies!W591-1,Honneur&gt;X591-1,Statut&gt;Y591-1,Gloire&gt;Z591-1,AV591=TRUE),Voies!B591,"")</f>
        <v/>
      </c>
      <c r="B591" s="162" t="s">
        <v>2445</v>
      </c>
      <c r="C591" s="162" t="b">
        <f>IF(Clan=Voies!D592,TRUE,FALSE)</f>
        <v>0</v>
      </c>
      <c r="D591" s="388" t="s">
        <v>20</v>
      </c>
      <c r="E591" s="13">
        <v>4</v>
      </c>
      <c r="F591" s="199">
        <v>4</v>
      </c>
      <c r="G591" s="13" t="s">
        <v>2049</v>
      </c>
      <c r="H591" s="219" t="s">
        <v>203</v>
      </c>
      <c r="I591" s="129" t="str">
        <f>IF(B591="","","Rien")</f>
        <v>Rien</v>
      </c>
      <c r="J591" s="146">
        <v>0</v>
      </c>
      <c r="K591" s="147">
        <v>0</v>
      </c>
      <c r="L591" s="148">
        <v>0</v>
      </c>
      <c r="M591" s="149">
        <v>0</v>
      </c>
      <c r="N591" s="150">
        <v>0</v>
      </c>
      <c r="O591" s="130">
        <v>0</v>
      </c>
      <c r="P591" s="130">
        <v>0</v>
      </c>
      <c r="Q591" s="130">
        <v>0</v>
      </c>
      <c r="R591" s="130">
        <v>0</v>
      </c>
      <c r="S591" s="130">
        <v>0</v>
      </c>
      <c r="T591" s="130">
        <v>0</v>
      </c>
      <c r="U591" s="130">
        <v>0</v>
      </c>
      <c r="V591" s="524">
        <v>0</v>
      </c>
      <c r="W591" s="130">
        <v>0</v>
      </c>
      <c r="X591" s="130">
        <v>0</v>
      </c>
      <c r="Y591" s="130">
        <v>0</v>
      </c>
      <c r="Z591" s="130">
        <v>0</v>
      </c>
      <c r="AA591" s="158" t="s">
        <v>2078</v>
      </c>
      <c r="AB591" s="158"/>
      <c r="AC591" s="158"/>
      <c r="AD591" s="158"/>
      <c r="AE591" s="158" t="b">
        <f>IF(AB591="",TRUE,IF(IF(AC591="",VLOOKUP(AB591,Calculs!$A$19:$S$425,19,FALSE),VLOOKUP(AC591,Calculs!$A$19:$S$425,19,FALSE))&gt;=AD591,TRUE,FALSE))</f>
        <v>1</v>
      </c>
      <c r="AF591" s="158"/>
      <c r="AG591" s="158"/>
      <c r="AH591" s="158"/>
      <c r="AI591" s="158" t="b">
        <f>IF(AF591="",TRUE,IF(IF(AG591="",VLOOKUP(AF591,Calculs!$A$19:$S$425,19,FALSE),VLOOKUP(AG591,Calculs!$A$19:$S$425,19,FALSE))&gt;=AH591,TRUE,FALSE))</f>
        <v>1</v>
      </c>
      <c r="AJ591" s="158"/>
      <c r="AK591" s="158"/>
      <c r="AL591" s="158"/>
      <c r="AM591" s="158" t="b">
        <f>IF(AJ591="",TRUE,IF(IF(AK591="",VLOOKUP(AJ591,Calculs!$A$19:$S$425,19,FALSE),VLOOKUP(AK591,Calculs!$A$19:$S$425,19,FALSE))&gt;=AL591,TRUE,FALSE))</f>
        <v>1</v>
      </c>
      <c r="AN591" s="158"/>
      <c r="AO591" s="158"/>
      <c r="AP591" s="158"/>
      <c r="AQ591" s="158" t="b">
        <f>IF(AN591="",TRUE,IF(IF(AO591="",VLOOKUP(AN591,Calculs!$A$19:$S$425,19,FALSE),VLOOKUP(AO591,Calculs!$A$19:$S$425,19,FALSE))&gt;=AP591,TRUE,FALSE))</f>
        <v>1</v>
      </c>
      <c r="AR591" s="158"/>
      <c r="AS591" s="158" t="b">
        <f>IF(AR591="",TRUE,IF(VLOOKUP(AR591,Calculs!$A$427:$G$738,7,FALSE)&gt;0,TRUE,FALSE))</f>
        <v>1</v>
      </c>
      <c r="AT591" s="158"/>
      <c r="AU591" s="158" t="b">
        <f>IF(AT591="",TRUE,IF(VLOOKUP(AT591,Calculs!$A$740:$G$912,7,FALSE)&gt;0,TRUE,FALSE))</f>
        <v>1</v>
      </c>
      <c r="AV591" s="158" t="b">
        <f t="shared" si="66"/>
        <v>1</v>
      </c>
      <c r="AW591" s="158" t="s">
        <v>2078</v>
      </c>
      <c r="AX591" s="162" t="s">
        <v>3</v>
      </c>
      <c r="AY591" s="15">
        <v>120</v>
      </c>
      <c r="AZ591" s="555" t="s">
        <v>8620</v>
      </c>
      <c r="BA591" s="559">
        <f>IF(Verso!$B$10=Voies!$B592,1,0)</f>
        <v>0</v>
      </c>
      <c r="BB591" s="12">
        <f>IF(Verso!$B$11=Voies!$B592,1,0)</f>
        <v>0</v>
      </c>
      <c r="BC591" s="12">
        <f>IF(Verso!$B$12=Voies!$B592,1,0)</f>
        <v>0</v>
      </c>
      <c r="BD591" s="12">
        <f>IF(Verso!$B$13=Voies!$B592,1,0)</f>
        <v>0</v>
      </c>
      <c r="BE591" s="12">
        <f>IF(Verso!$B$14=Voies!$B592,1,0)</f>
        <v>0</v>
      </c>
      <c r="BF591" s="12">
        <f>IF(Verso!$B$15=Voies!$B592,1,0)</f>
        <v>0</v>
      </c>
      <c r="BG591" s="12">
        <f>IF(Verso!$B$16=Voies!$B592,1,0)</f>
        <v>0</v>
      </c>
      <c r="BH591" s="12">
        <f>IF(Verso!$B$17=Voies!$B592,1,0)</f>
        <v>0</v>
      </c>
      <c r="BI591" s="557">
        <f t="shared" si="67"/>
        <v>0</v>
      </c>
      <c r="BJ591" s="196" t="str">
        <f t="shared" si="68"/>
        <v/>
      </c>
      <c r="BK591" s="196" t="str">
        <f t="shared" si="69"/>
        <v/>
      </c>
      <c r="BL591" s="295" t="str">
        <f t="shared" si="70"/>
        <v/>
      </c>
    </row>
    <row r="592" spans="1:65" ht="47.25" customHeight="1" x14ac:dyDescent="0.25">
      <c r="A592" s="162" t="str">
        <f>IF(AND(Réputation&gt;Voies!E592-1,OR(C592=TRUE,Calculs!$I$8&gt;0),Air&gt;Voies!J592-1,Eau&gt;Voies!K592-1,Feu&gt;Voies!L592-1,Terre&gt;Voies!M592-1,Vide&gt;Voies!N592-1,Constitution&gt;Voies!O592-1,Volonté&gt;Voies!P592-1,Force&gt;Voies!Q592-1,Perception&gt;Voies!R592-1,Reflexes&gt;Voies!S592-1,Agilité&gt;Voies!T592-1,Intuition&gt;Voies!U592-1,Intelligence&gt;Voies!V592-1,Souillure&gt;Voies!W592-1,Honneur&gt;X592-1,Statut&gt;Y592-1,Gloire&gt;Z592-1,AV592=TRUE),Voies!B592,"")</f>
        <v/>
      </c>
      <c r="B592" s="162" t="s">
        <v>6082</v>
      </c>
      <c r="C592" s="162" t="b">
        <f>IF(Clan=Voies!D593,TRUE,FALSE)</f>
        <v>0</v>
      </c>
      <c r="D592" s="387" t="s">
        <v>20</v>
      </c>
      <c r="E592" s="13">
        <v>4</v>
      </c>
      <c r="F592" s="199">
        <v>4</v>
      </c>
      <c r="G592" s="13" t="s">
        <v>2049</v>
      </c>
      <c r="H592" s="219" t="s">
        <v>1937</v>
      </c>
      <c r="I592" s="129" t="str">
        <f>IF(B592="","","Rien")</f>
        <v>Rien</v>
      </c>
      <c r="J592" s="146">
        <v>0</v>
      </c>
      <c r="K592" s="147">
        <v>0</v>
      </c>
      <c r="L592" s="148">
        <v>0</v>
      </c>
      <c r="M592" s="149">
        <v>0</v>
      </c>
      <c r="N592" s="150">
        <v>0</v>
      </c>
      <c r="O592" s="130">
        <v>0</v>
      </c>
      <c r="P592" s="130">
        <v>0</v>
      </c>
      <c r="Q592" s="130">
        <v>0</v>
      </c>
      <c r="R592" s="130">
        <v>0</v>
      </c>
      <c r="S592" s="130">
        <v>0</v>
      </c>
      <c r="T592" s="130">
        <v>0</v>
      </c>
      <c r="U592" s="130">
        <v>0</v>
      </c>
      <c r="V592" s="524">
        <v>0</v>
      </c>
      <c r="W592" s="130">
        <v>0</v>
      </c>
      <c r="X592" s="130">
        <v>0</v>
      </c>
      <c r="Y592" s="130">
        <v>0</v>
      </c>
      <c r="Z592" s="130">
        <v>0</v>
      </c>
      <c r="AA592" s="158" t="s">
        <v>2078</v>
      </c>
      <c r="AB592" s="158"/>
      <c r="AC592" s="158"/>
      <c r="AD592" s="158"/>
      <c r="AE592" s="158" t="b">
        <f>IF(AB592="",TRUE,IF(IF(AC592="",VLOOKUP(AB592,Calculs!$A$19:$S$425,19,FALSE),VLOOKUP(AC592,Calculs!$A$19:$S$425,19,FALSE))&gt;=AD592,TRUE,FALSE))</f>
        <v>1</v>
      </c>
      <c r="AF592" s="158"/>
      <c r="AG592" s="158"/>
      <c r="AH592" s="158"/>
      <c r="AI592" s="158" t="b">
        <f>IF(AF592="",TRUE,IF(IF(AG592="",VLOOKUP(AF592,Calculs!$A$19:$S$425,19,FALSE),VLOOKUP(AG592,Calculs!$A$19:$S$425,19,FALSE))&gt;=AH592,TRUE,FALSE))</f>
        <v>1</v>
      </c>
      <c r="AJ592" s="158"/>
      <c r="AK592" s="158"/>
      <c r="AL592" s="158"/>
      <c r="AM592" s="158" t="b">
        <f>IF(AJ592="",TRUE,IF(IF(AK592="",VLOOKUP(AJ592,Calculs!$A$19:$S$425,19,FALSE),VLOOKUP(AK592,Calculs!$A$19:$S$425,19,FALSE))&gt;=AL592,TRUE,FALSE))</f>
        <v>1</v>
      </c>
      <c r="AN592" s="158"/>
      <c r="AO592" s="158"/>
      <c r="AP592" s="158"/>
      <c r="AQ592" s="158" t="b">
        <f>IF(AN592="",TRUE,IF(IF(AO592="",VLOOKUP(AN592,Calculs!$A$19:$S$425,19,FALSE),VLOOKUP(AO592,Calculs!$A$19:$S$425,19,FALSE))&gt;=AP592,TRUE,FALSE))</f>
        <v>1</v>
      </c>
      <c r="AR592" s="158"/>
      <c r="AS592" s="158" t="b">
        <f>IF(AR592="",TRUE,IF(VLOOKUP(AR592,Calculs!$A$427:$G$738,7,FALSE)&gt;0,TRUE,FALSE))</f>
        <v>1</v>
      </c>
      <c r="AT592" s="158"/>
      <c r="AU592" s="158" t="b">
        <f>IF(AT592="",TRUE,IF(VLOOKUP(AT592,Calculs!$A$740:$G$912,7,FALSE)&gt;0,TRUE,FALSE))</f>
        <v>1</v>
      </c>
      <c r="AV592" s="158" t="b">
        <f t="shared" si="66"/>
        <v>1</v>
      </c>
      <c r="AW592" s="158" t="s">
        <v>2078</v>
      </c>
      <c r="AX592" s="162" t="s">
        <v>6061</v>
      </c>
      <c r="AY592" s="15">
        <v>167</v>
      </c>
      <c r="AZ592" s="555" t="s">
        <v>8621</v>
      </c>
      <c r="BA592" s="559">
        <f>IF(Verso!$B$10=Voies!$B593,1,0)</f>
        <v>0</v>
      </c>
      <c r="BB592" s="12">
        <f>IF(Verso!$B$11=Voies!$B593,1,0)</f>
        <v>0</v>
      </c>
      <c r="BC592" s="12">
        <f>IF(Verso!$B$12=Voies!$B593,1,0)</f>
        <v>0</v>
      </c>
      <c r="BD592" s="12">
        <f>IF(Verso!$B$13=Voies!$B593,1,0)</f>
        <v>0</v>
      </c>
      <c r="BE592" s="12">
        <f>IF(Verso!$B$14=Voies!$B593,1,0)</f>
        <v>0</v>
      </c>
      <c r="BF592" s="12">
        <f>IF(Verso!$B$15=Voies!$B593,1,0)</f>
        <v>0</v>
      </c>
      <c r="BG592" s="12">
        <f>IF(Verso!$B$16=Voies!$B593,1,0)</f>
        <v>0</v>
      </c>
      <c r="BH592" s="12">
        <f>IF(Verso!$B$17=Voies!$B593,1,0)</f>
        <v>0</v>
      </c>
      <c r="BI592" s="557">
        <f t="shared" si="67"/>
        <v>0</v>
      </c>
      <c r="BJ592" s="196" t="str">
        <f t="shared" si="68"/>
        <v/>
      </c>
      <c r="BK592" s="196" t="str">
        <f t="shared" si="69"/>
        <v/>
      </c>
      <c r="BL592" s="295" t="str">
        <f t="shared" si="70"/>
        <v/>
      </c>
    </row>
    <row r="593" spans="1:64" ht="47.25" customHeight="1" x14ac:dyDescent="0.25">
      <c r="A593" s="162" t="str">
        <f>IF(AND(Réputation&gt;Voies!E593-1,OR(C593=TRUE,Calculs!$I$8&gt;0),Air&gt;Voies!J593-1,Eau&gt;Voies!K593-1,Feu&gt;Voies!L593-1,Terre&gt;Voies!M593-1,Vide&gt;Voies!N593-1,Constitution&gt;Voies!O593-1,Volonté&gt;Voies!P593-1,Force&gt;Voies!Q593-1,Perception&gt;Voies!R593-1,Reflexes&gt;Voies!S593-1,Agilité&gt;Voies!T593-1,Intuition&gt;Voies!U593-1,Intelligence&gt;Voies!V593-1,Souillure&gt;Voies!W593-1,Honneur&gt;X593-1,Statut&gt;Y593-1,Gloire&gt;Z593-1,AV593=TRUE),Voies!B593,"")</f>
        <v/>
      </c>
      <c r="B593" s="162" t="s">
        <v>6085</v>
      </c>
      <c r="C593" s="162" t="b">
        <f>IF(Clan=Voies!D594,TRUE,FALSE)</f>
        <v>0</v>
      </c>
      <c r="D593" s="387" t="s">
        <v>20</v>
      </c>
      <c r="E593" s="13">
        <v>4</v>
      </c>
      <c r="F593" s="199">
        <v>4</v>
      </c>
      <c r="G593" s="13" t="s">
        <v>2049</v>
      </c>
      <c r="H593" s="219" t="s">
        <v>501</v>
      </c>
      <c r="I593" s="129" t="s">
        <v>3622</v>
      </c>
      <c r="J593" s="146">
        <v>0</v>
      </c>
      <c r="K593" s="147">
        <v>0</v>
      </c>
      <c r="L593" s="148">
        <v>0</v>
      </c>
      <c r="M593" s="149">
        <v>0</v>
      </c>
      <c r="N593" s="150">
        <v>0</v>
      </c>
      <c r="O593" s="130">
        <v>0</v>
      </c>
      <c r="P593" s="130">
        <v>0</v>
      </c>
      <c r="Q593" s="130">
        <v>0</v>
      </c>
      <c r="R593" s="130">
        <v>0</v>
      </c>
      <c r="S593" s="130">
        <v>0</v>
      </c>
      <c r="T593" s="130">
        <v>0</v>
      </c>
      <c r="U593" s="130">
        <v>0</v>
      </c>
      <c r="V593" s="524">
        <v>0</v>
      </c>
      <c r="W593" s="130">
        <v>0</v>
      </c>
      <c r="X593" s="130">
        <v>0</v>
      </c>
      <c r="Y593" s="130">
        <v>0</v>
      </c>
      <c r="Z593" s="130">
        <v>0</v>
      </c>
      <c r="AA593" s="159" t="s">
        <v>3623</v>
      </c>
      <c r="AB593" s="159" t="s">
        <v>1221</v>
      </c>
      <c r="AD593" s="159">
        <v>4</v>
      </c>
      <c r="AE593" s="158" t="b">
        <f>IF(AB593="",TRUE,IF(IF(AC593="",VLOOKUP(AB593,Calculs!$A$19:$S$425,19,FALSE),VLOOKUP(AC593,Calculs!$A$19:$S$425,19,FALSE))&gt;=AD593,TRUE,FALSE))</f>
        <v>0</v>
      </c>
      <c r="AF593" s="159" t="s">
        <v>351</v>
      </c>
      <c r="AH593" s="159">
        <v>5</v>
      </c>
      <c r="AI593" s="158" t="b">
        <f>IF(AF593="",TRUE,IF(IF(AG593="",VLOOKUP(AF593,Calculs!$A$19:$S$425,19,FALSE),VLOOKUP(AG593,Calculs!$A$19:$S$425,19,FALSE))&gt;=AH593,TRUE,FALSE))</f>
        <v>0</v>
      </c>
      <c r="AM593" s="158" t="b">
        <f>IF(AJ593="",TRUE,IF(IF(AK593="",VLOOKUP(AJ593,Calculs!$A$19:$S$425,19,FALSE),VLOOKUP(AK593,Calculs!$A$19:$S$425,19,FALSE))&gt;=AL593,TRUE,FALSE))</f>
        <v>1</v>
      </c>
      <c r="AQ593" s="158" t="b">
        <f>IF(AN593="",TRUE,IF(IF(AO593="",VLOOKUP(AN593,Calculs!$A$19:$S$425,19,FALSE),VLOOKUP(AO593,Calculs!$A$19:$S$425,19,FALSE))&gt;=AP593,TRUE,FALSE))</f>
        <v>1</v>
      </c>
      <c r="AR593" s="158"/>
      <c r="AS593" s="158" t="b">
        <f>IF(AR593="",TRUE,IF(VLOOKUP(AR593,Calculs!$A$427:$G$738,7,FALSE)&gt;0,TRUE,FALSE))</f>
        <v>1</v>
      </c>
      <c r="AT593" s="158"/>
      <c r="AU593" s="158" t="b">
        <f>IF(AT593="",TRUE,IF(VLOOKUP(AT593,Calculs!$A$740:$G$912,7,FALSE)&gt;0,TRUE,FALSE))</f>
        <v>1</v>
      </c>
      <c r="AV593" s="158" t="b">
        <f t="shared" si="66"/>
        <v>0</v>
      </c>
      <c r="AW593" s="159" t="s">
        <v>3626</v>
      </c>
      <c r="AX593" s="162" t="s">
        <v>6061</v>
      </c>
      <c r="AY593" s="151">
        <v>168</v>
      </c>
      <c r="AZ593" s="555" t="str">
        <f>CONCATENATE("Lorsque vous utilisez un sabre en Position d'Attaque, augmentez votre ND d'armure de ",Honneur," contre la 1ère attaque au CàC de chaque Round. Une fois par combat, vous pouvez activer un Kata en ActG.")</f>
        <v>Lorsque vous utilisez un sabre en Position d'Attaque, augmentez votre ND d'armure de 0 contre la 1ère attaque au CàC de chaque Round. Une fois par combat, vous pouvez activer un Kata en ActG.</v>
      </c>
      <c r="BA593" s="559">
        <f>IF(Verso!$B$10=Voies!$B594,1,0)</f>
        <v>0</v>
      </c>
      <c r="BB593" s="12">
        <f>IF(Verso!$B$11=Voies!$B594,1,0)</f>
        <v>0</v>
      </c>
      <c r="BC593" s="12">
        <f>IF(Verso!$B$12=Voies!$B594,1,0)</f>
        <v>0</v>
      </c>
      <c r="BD593" s="12">
        <f>IF(Verso!$B$13=Voies!$B594,1,0)</f>
        <v>0</v>
      </c>
      <c r="BE593" s="12">
        <f>IF(Verso!$B$14=Voies!$B594,1,0)</f>
        <v>0</v>
      </c>
      <c r="BF593" s="12">
        <f>IF(Verso!$B$15=Voies!$B594,1,0)</f>
        <v>0</v>
      </c>
      <c r="BG593" s="12">
        <f>IF(Verso!$B$16=Voies!$B594,1,0)</f>
        <v>0</v>
      </c>
      <c r="BH593" s="12">
        <f>IF(Verso!$B$17=Voies!$B594,1,0)</f>
        <v>0</v>
      </c>
      <c r="BI593" s="557">
        <f t="shared" si="67"/>
        <v>0</v>
      </c>
      <c r="BJ593" s="196" t="str">
        <f t="shared" si="68"/>
        <v/>
      </c>
      <c r="BK593" s="196" t="str">
        <f t="shared" si="69"/>
        <v/>
      </c>
      <c r="BL593" s="295" t="str">
        <f t="shared" si="70"/>
        <v/>
      </c>
    </row>
    <row r="594" spans="1:64" ht="47.25" customHeight="1" x14ac:dyDescent="0.25">
      <c r="A594" s="162" t="str">
        <f>IF(AND(Réputation&gt;Voies!E594-1,OR(C594=TRUE,Calculs!$I$8&gt;0),Air&gt;Voies!J594-1,Eau&gt;Voies!K594-1,Feu&gt;Voies!L594-1,Terre&gt;Voies!M594-1,Vide&gt;Voies!N594-1,Constitution&gt;Voies!O594-1,Volonté&gt;Voies!P594-1,Force&gt;Voies!Q594-1,Perception&gt;Voies!R594-1,Reflexes&gt;Voies!S594-1,Agilité&gt;Voies!T594-1,Intuition&gt;Voies!U594-1,Intelligence&gt;Voies!V594-1,Souillure&gt;Voies!W594-1,Honneur&gt;X594-1,Statut&gt;Y594-1,Gloire&gt;Z594-1,AV594=TRUE),Voies!B594,"")</f>
        <v/>
      </c>
      <c r="B594" s="162" t="s">
        <v>2914</v>
      </c>
      <c r="C594" s="162" t="b">
        <f>IF(Clan=Voies!D595,TRUE,FALSE)</f>
        <v>0</v>
      </c>
      <c r="D594" s="388" t="s">
        <v>20</v>
      </c>
      <c r="E594" s="13">
        <v>4</v>
      </c>
      <c r="F594" s="199">
        <v>4</v>
      </c>
      <c r="G594" s="13" t="s">
        <v>2049</v>
      </c>
      <c r="H594" s="219" t="s">
        <v>207</v>
      </c>
      <c r="I594" s="129" t="str">
        <f>IF(B594="","","Rien")</f>
        <v>Rien</v>
      </c>
      <c r="J594" s="146">
        <v>0</v>
      </c>
      <c r="K594" s="147">
        <v>0</v>
      </c>
      <c r="L594" s="148">
        <v>0</v>
      </c>
      <c r="M594" s="149">
        <v>0</v>
      </c>
      <c r="N594" s="150">
        <v>0</v>
      </c>
      <c r="O594" s="130">
        <v>0</v>
      </c>
      <c r="P594" s="130">
        <v>0</v>
      </c>
      <c r="Q594" s="130">
        <v>0</v>
      </c>
      <c r="R594" s="130">
        <v>0</v>
      </c>
      <c r="S594" s="130">
        <v>0</v>
      </c>
      <c r="T594" s="130">
        <v>0</v>
      </c>
      <c r="U594" s="130">
        <v>0</v>
      </c>
      <c r="V594" s="524">
        <v>0</v>
      </c>
      <c r="W594" s="130">
        <v>0</v>
      </c>
      <c r="X594" s="130">
        <v>0</v>
      </c>
      <c r="Y594" s="130">
        <v>0</v>
      </c>
      <c r="Z594" s="130">
        <v>0</v>
      </c>
      <c r="AA594" s="158" t="s">
        <v>2078</v>
      </c>
      <c r="AB594" s="158"/>
      <c r="AC594" s="158"/>
      <c r="AD594" s="158"/>
      <c r="AE594" s="158" t="b">
        <f>IF(AB594="",TRUE,IF(IF(AC594="",VLOOKUP(AB594,Calculs!$A$19:$S$425,19,FALSE),VLOOKUP(AC594,Calculs!$A$19:$S$425,19,FALSE))&gt;=AD594,TRUE,FALSE))</f>
        <v>1</v>
      </c>
      <c r="AF594" s="158"/>
      <c r="AG594" s="158"/>
      <c r="AH594" s="158"/>
      <c r="AI594" s="158" t="b">
        <f>IF(AF594="",TRUE,IF(IF(AG594="",VLOOKUP(AF594,Calculs!$A$19:$S$425,19,FALSE),VLOOKUP(AG594,Calculs!$A$19:$S$425,19,FALSE))&gt;=AH594,TRUE,FALSE))</f>
        <v>1</v>
      </c>
      <c r="AJ594" s="158"/>
      <c r="AK594" s="158"/>
      <c r="AL594" s="158"/>
      <c r="AM594" s="158" t="b">
        <f>IF(AJ594="",TRUE,IF(IF(AK594="",VLOOKUP(AJ594,Calculs!$A$19:$S$425,19,FALSE),VLOOKUP(AK594,Calculs!$A$19:$S$425,19,FALSE))&gt;=AL594,TRUE,FALSE))</f>
        <v>1</v>
      </c>
      <c r="AN594" s="158"/>
      <c r="AO594" s="158"/>
      <c r="AP594" s="158"/>
      <c r="AQ594" s="158" t="b">
        <f>IF(AN594="",TRUE,IF(IF(AO594="",VLOOKUP(AN594,Calculs!$A$19:$S$425,19,FALSE),VLOOKUP(AO594,Calculs!$A$19:$S$425,19,FALSE))&gt;=AP594,TRUE,FALSE))</f>
        <v>1</v>
      </c>
      <c r="AR594" s="158"/>
      <c r="AS594" s="158" t="b">
        <f>IF(AR594="",TRUE,IF(VLOOKUP(AR594,Calculs!$A$427:$G$738,7,FALSE)&gt;0,TRUE,FALSE))</f>
        <v>1</v>
      </c>
      <c r="AT594" s="158"/>
      <c r="AU594" s="158" t="b">
        <f>IF(AT594="",TRUE,IF(VLOOKUP(AT594,Calculs!$A$740:$G$912,7,FALSE)&gt;0,TRUE,FALSE))</f>
        <v>1</v>
      </c>
      <c r="AV594" s="158" t="b">
        <f t="shared" si="66"/>
        <v>1</v>
      </c>
      <c r="AW594" s="158" t="s">
        <v>2078</v>
      </c>
      <c r="AX594" s="162" t="s">
        <v>2910</v>
      </c>
      <c r="AY594" s="15">
        <v>8</v>
      </c>
      <c r="AZ594" s="555" t="s">
        <v>2917</v>
      </c>
      <c r="BA594" s="559">
        <f>IF(Verso!$B$10=Voies!$B595,1,0)</f>
        <v>0</v>
      </c>
      <c r="BB594" s="12">
        <f>IF(Verso!$B$11=Voies!$B595,1,0)</f>
        <v>0</v>
      </c>
      <c r="BC594" s="12">
        <f>IF(Verso!$B$12=Voies!$B595,1,0)</f>
        <v>0</v>
      </c>
      <c r="BD594" s="12">
        <f>IF(Verso!$B$13=Voies!$B595,1,0)</f>
        <v>0</v>
      </c>
      <c r="BE594" s="12">
        <f>IF(Verso!$B$14=Voies!$B595,1,0)</f>
        <v>0</v>
      </c>
      <c r="BF594" s="12">
        <f>IF(Verso!$B$15=Voies!$B595,1,0)</f>
        <v>0</v>
      </c>
      <c r="BG594" s="12">
        <f>IF(Verso!$B$16=Voies!$B595,1,0)</f>
        <v>0</v>
      </c>
      <c r="BH594" s="12">
        <f>IF(Verso!$B$17=Voies!$B595,1,0)</f>
        <v>0</v>
      </c>
      <c r="BI594" s="557">
        <f t="shared" si="67"/>
        <v>0</v>
      </c>
      <c r="BJ594" s="196" t="str">
        <f t="shared" si="68"/>
        <v/>
      </c>
      <c r="BK594" s="196" t="str">
        <f t="shared" si="69"/>
        <v/>
      </c>
      <c r="BL594" s="295" t="str">
        <f t="shared" si="70"/>
        <v/>
      </c>
    </row>
    <row r="595" spans="1:64" ht="47.25" customHeight="1" x14ac:dyDescent="0.25">
      <c r="A595" s="162" t="str">
        <f>IF(AND(Réputation&gt;Voies!E595-1,OR(C595=TRUE,Calculs!$I$8&gt;0),Air&gt;Voies!J595-1,Eau&gt;Voies!K595-1,Feu&gt;Voies!L595-1,Terre&gt;Voies!M595-1,Vide&gt;Voies!N595-1,Constitution&gt;Voies!O595-1,Volonté&gt;Voies!P595-1,Force&gt;Voies!Q595-1,Perception&gt;Voies!R595-1,Reflexes&gt;Voies!S595-1,Agilité&gt;Voies!T595-1,Intuition&gt;Voies!U595-1,Intelligence&gt;Voies!V595-1,Souillure&gt;Voies!W595-1,Honneur&gt;X595-1,Statut&gt;Y595-1,Gloire&gt;Z595-1,AV595=TRUE),Voies!B595,"")</f>
        <v/>
      </c>
      <c r="B595" s="162" t="s">
        <v>6160</v>
      </c>
      <c r="C595" s="162" t="b">
        <f>IF(Clan=Voies!D596,TRUE,FALSE)</f>
        <v>0</v>
      </c>
      <c r="D595" s="388" t="s">
        <v>20</v>
      </c>
      <c r="E595" s="199">
        <v>4</v>
      </c>
      <c r="F595" s="199">
        <v>4</v>
      </c>
      <c r="G595" s="13" t="s">
        <v>2049</v>
      </c>
      <c r="H595" s="219" t="s">
        <v>6157</v>
      </c>
      <c r="I595" s="129" t="s">
        <v>6158</v>
      </c>
      <c r="J595" s="146">
        <v>0</v>
      </c>
      <c r="K595" s="147">
        <v>0</v>
      </c>
      <c r="L595" s="148">
        <v>0</v>
      </c>
      <c r="M595" s="149">
        <v>0</v>
      </c>
      <c r="N595" s="150">
        <v>0</v>
      </c>
      <c r="O595" s="130">
        <v>0</v>
      </c>
      <c r="P595" s="130">
        <v>0</v>
      </c>
      <c r="Q595" s="130">
        <v>4</v>
      </c>
      <c r="R595" s="130">
        <v>0</v>
      </c>
      <c r="S595" s="130">
        <v>0</v>
      </c>
      <c r="T595" s="130">
        <v>0</v>
      </c>
      <c r="U595" s="130">
        <v>0</v>
      </c>
      <c r="V595" s="524">
        <v>0</v>
      </c>
      <c r="W595" s="130">
        <v>0</v>
      </c>
      <c r="X595" s="130">
        <v>0</v>
      </c>
      <c r="Y595" s="130">
        <v>0</v>
      </c>
      <c r="Z595" s="130">
        <v>0</v>
      </c>
      <c r="AA595" s="158" t="s">
        <v>6159</v>
      </c>
      <c r="AB595" s="158" t="s">
        <v>1223</v>
      </c>
      <c r="AC595" s="158"/>
      <c r="AD595" s="158">
        <v>5</v>
      </c>
      <c r="AE595" s="158" t="b">
        <f>IF(AB595="",TRUE,IF(IF(AC595="",VLOOKUP(AB595,Calculs!$A$19:$S$425,19,FALSE),VLOOKUP(AC595,Calculs!$A$19:$S$425,19,FALSE))&gt;=AD595,TRUE,FALSE))</f>
        <v>0</v>
      </c>
      <c r="AF595" s="158"/>
      <c r="AG595" s="158"/>
      <c r="AH595" s="158"/>
      <c r="AI595" s="158" t="b">
        <f>IF(AF595="",TRUE,IF(IF(AG595="",VLOOKUP(AF595,Calculs!$A$19:$S$425,19,FALSE),VLOOKUP(AG595,Calculs!$A$19:$S$425,19,FALSE))&gt;=AH595,TRUE,FALSE))</f>
        <v>1</v>
      </c>
      <c r="AJ595" s="158"/>
      <c r="AK595" s="158"/>
      <c r="AL595" s="158"/>
      <c r="AM595" s="158" t="b">
        <f>IF(AJ595="",TRUE,IF(IF(AK595="",VLOOKUP(AJ595,Calculs!$A$19:$S$425,19,FALSE),VLOOKUP(AK595,Calculs!$A$19:$S$425,19,FALSE))&gt;=AL595,TRUE,FALSE))</f>
        <v>1</v>
      </c>
      <c r="AN595" s="158"/>
      <c r="AO595" s="158"/>
      <c r="AP595" s="158"/>
      <c r="AQ595" s="158" t="b">
        <f>IF(AN595="",TRUE,IF(IF(AO595="",VLOOKUP(AN595,Calculs!$A$19:$S$425,19,FALSE),VLOOKUP(AO595,Calculs!$A$19:$S$425,19,FALSE))&gt;=AP595,TRUE,FALSE))</f>
        <v>1</v>
      </c>
      <c r="AR595" s="158"/>
      <c r="AS595" s="158" t="b">
        <f>IF(AR595="",TRUE,IF(VLOOKUP(AR595,Calculs!$A$427:$G$738,7,FALSE)&gt;0,TRUE,FALSE))</f>
        <v>1</v>
      </c>
      <c r="AT595" s="158"/>
      <c r="AU595" s="158" t="b">
        <f>IF(AT595="",TRUE,IF(VLOOKUP(AT595,Calculs!$A$740:$G$912,7,FALSE)&gt;0,TRUE,FALSE))</f>
        <v>1</v>
      </c>
      <c r="AV595" s="158" t="b">
        <f t="shared" si="66"/>
        <v>0</v>
      </c>
      <c r="AW595" s="158" t="s">
        <v>2078</v>
      </c>
      <c r="AX595" s="162" t="s">
        <v>6010</v>
      </c>
      <c r="AY595" s="15">
        <v>206</v>
      </c>
      <c r="AZ595" s="555" t="s">
        <v>8622</v>
      </c>
      <c r="BA595" s="559">
        <f>IF(Verso!$B$10=Voies!$B596,1,0)</f>
        <v>0</v>
      </c>
      <c r="BB595" s="12">
        <f>IF(Verso!$B$11=Voies!$B596,1,0)</f>
        <v>0</v>
      </c>
      <c r="BC595" s="12">
        <f>IF(Verso!$B$12=Voies!$B596,1,0)</f>
        <v>0</v>
      </c>
      <c r="BD595" s="12">
        <f>IF(Verso!$B$13=Voies!$B596,1,0)</f>
        <v>0</v>
      </c>
      <c r="BE595" s="12">
        <f>IF(Verso!$B$14=Voies!$B596,1,0)</f>
        <v>0</v>
      </c>
      <c r="BF595" s="12">
        <f>IF(Verso!$B$15=Voies!$B596,1,0)</f>
        <v>0</v>
      </c>
      <c r="BG595" s="12">
        <f>IF(Verso!$B$16=Voies!$B596,1,0)</f>
        <v>0</v>
      </c>
      <c r="BH595" s="12">
        <f>IF(Verso!$B$17=Voies!$B596,1,0)</f>
        <v>0</v>
      </c>
      <c r="BI595" s="557">
        <f t="shared" si="67"/>
        <v>0</v>
      </c>
      <c r="BJ595" s="196" t="str">
        <f t="shared" si="68"/>
        <v/>
      </c>
      <c r="BK595" s="196" t="str">
        <f t="shared" si="69"/>
        <v/>
      </c>
      <c r="BL595" s="295" t="str">
        <f t="shared" si="70"/>
        <v/>
      </c>
    </row>
    <row r="596" spans="1:64" ht="47.25" customHeight="1" x14ac:dyDescent="0.25">
      <c r="A596" s="162" t="str">
        <f>IF(AND(Réputation&gt;Voies!E596-1,OR(C596=TRUE,Calculs!$I$8&gt;0),Air&gt;Voies!J596-1,Eau&gt;Voies!K596-1,Feu&gt;Voies!L596-1,Terre&gt;Voies!M596-1,Vide&gt;Voies!N596-1,Constitution&gt;Voies!O596-1,Volonté&gt;Voies!P596-1,Force&gt;Voies!Q596-1,Perception&gt;Voies!R596-1,Reflexes&gt;Voies!S596-1,Agilité&gt;Voies!T596-1,Intuition&gt;Voies!U596-1,Intelligence&gt;Voies!V596-1,Souillure&gt;Voies!W596-1,Honneur&gt;X596-1,Statut&gt;Y596-1,Gloire&gt;Z596-1,AV596=TRUE),Voies!B596,"")</f>
        <v/>
      </c>
      <c r="B596" s="162" t="s">
        <v>6121</v>
      </c>
      <c r="C596" s="162" t="b">
        <f>IF(Clan=Voies!D597,TRUE,FALSE)</f>
        <v>0</v>
      </c>
      <c r="D596" s="388" t="s">
        <v>20</v>
      </c>
      <c r="E596" s="199">
        <v>4</v>
      </c>
      <c r="F596" s="199">
        <v>4</v>
      </c>
      <c r="G596" s="13" t="s">
        <v>2049</v>
      </c>
      <c r="H596" s="219" t="s">
        <v>6120</v>
      </c>
      <c r="I596" s="129" t="s">
        <v>6122</v>
      </c>
      <c r="J596" s="146">
        <v>0</v>
      </c>
      <c r="K596" s="147">
        <v>0</v>
      </c>
      <c r="L596" s="148">
        <v>0</v>
      </c>
      <c r="M596" s="149">
        <v>0</v>
      </c>
      <c r="N596" s="150">
        <v>0</v>
      </c>
      <c r="O596" s="130">
        <v>0</v>
      </c>
      <c r="P596" s="130">
        <v>0</v>
      </c>
      <c r="Q596" s="130">
        <v>0</v>
      </c>
      <c r="R596" s="130">
        <v>0</v>
      </c>
      <c r="S596" s="130">
        <v>0</v>
      </c>
      <c r="T596" s="130">
        <v>0</v>
      </c>
      <c r="U596" s="130">
        <v>0</v>
      </c>
      <c r="V596" s="524">
        <v>0</v>
      </c>
      <c r="W596" s="130">
        <v>0</v>
      </c>
      <c r="X596" s="130">
        <v>0</v>
      </c>
      <c r="Y596" s="130">
        <v>3</v>
      </c>
      <c r="Z596" s="130">
        <v>0</v>
      </c>
      <c r="AA596" s="158" t="s">
        <v>6381</v>
      </c>
      <c r="AB596" s="158" t="s">
        <v>231</v>
      </c>
      <c r="AC596" s="158"/>
      <c r="AD596" s="158">
        <v>4</v>
      </c>
      <c r="AE596" s="158" t="b">
        <f>IF(AB596="",TRUE,IF(IF(AC596="",VLOOKUP(AB596,Calculs!$A$19:$S$425,19,FALSE),VLOOKUP(AC596,Calculs!$A$19:$S$425,19,FALSE))&gt;=AD596,TRUE,FALSE))</f>
        <v>0</v>
      </c>
      <c r="AF596" s="158" t="s">
        <v>1276</v>
      </c>
      <c r="AG596" s="158"/>
      <c r="AH596" s="158">
        <v>4</v>
      </c>
      <c r="AI596" s="158" t="b">
        <f>IF(AF596="",TRUE,IF(IF(AG596="",VLOOKUP(AF596,Calculs!$A$19:$S$425,19,FALSE),VLOOKUP(AG596,Calculs!$A$19:$S$425,19,FALSE))&gt;=AH596,TRUE,FALSE))</f>
        <v>0</v>
      </c>
      <c r="AJ596" s="158"/>
      <c r="AK596" s="158"/>
      <c r="AL596" s="158"/>
      <c r="AM596" s="158" t="b">
        <f>IF(AJ596="",TRUE,IF(IF(AK596="",VLOOKUP(AJ596,Calculs!$A$19:$S$425,19,FALSE),VLOOKUP(AK596,Calculs!$A$19:$S$425,19,FALSE))&gt;=AL596,TRUE,FALSE))</f>
        <v>1</v>
      </c>
      <c r="AN596" s="158"/>
      <c r="AO596" s="158"/>
      <c r="AP596" s="158"/>
      <c r="AQ596" s="158" t="b">
        <f>IF(AN596="",TRUE,IF(IF(AO596="",VLOOKUP(AN596,Calculs!$A$19:$S$425,19,FALSE),VLOOKUP(AO596,Calculs!$A$19:$S$425,19,FALSE))&gt;=AP596,TRUE,FALSE))</f>
        <v>1</v>
      </c>
      <c r="AR596" s="158"/>
      <c r="AS596" s="158" t="b">
        <f>IF(AR596="",TRUE,IF(VLOOKUP(AR596,Calculs!$A$427:$G$738,7,FALSE)&gt;0,TRUE,FALSE))</f>
        <v>1</v>
      </c>
      <c r="AT596" s="158"/>
      <c r="AU596" s="158" t="b">
        <f>IF(AT596="",TRUE,IF(VLOOKUP(AT596,Calculs!$A$740:$G$912,7,FALSE)&gt;0,TRUE,FALSE))</f>
        <v>1</v>
      </c>
      <c r="AV596" s="158" t="b">
        <f t="shared" si="66"/>
        <v>0</v>
      </c>
      <c r="AW596" s="158" t="s">
        <v>6123</v>
      </c>
      <c r="AX596" s="162" t="s">
        <v>6010</v>
      </c>
      <c r="AY596" s="15">
        <v>205</v>
      </c>
      <c r="AZ596" s="555" t="s">
        <v>8623</v>
      </c>
      <c r="BA596" s="559">
        <f>IF(Verso!$B$10=Voies!$B597,1,0)</f>
        <v>0</v>
      </c>
      <c r="BB596" s="12">
        <f>IF(Verso!$B$11=Voies!$B597,1,0)</f>
        <v>0</v>
      </c>
      <c r="BC596" s="12">
        <f>IF(Verso!$B$12=Voies!$B597,1,0)</f>
        <v>0</v>
      </c>
      <c r="BD596" s="12">
        <f>IF(Verso!$B$13=Voies!$B597,1,0)</f>
        <v>0</v>
      </c>
      <c r="BE596" s="12">
        <f>IF(Verso!$B$14=Voies!$B597,1,0)</f>
        <v>0</v>
      </c>
      <c r="BF596" s="12">
        <f>IF(Verso!$B$15=Voies!$B597,1,0)</f>
        <v>0</v>
      </c>
      <c r="BG596" s="12">
        <f>IF(Verso!$B$16=Voies!$B597,1,0)</f>
        <v>0</v>
      </c>
      <c r="BH596" s="12">
        <f>IF(Verso!$B$17=Voies!$B597,1,0)</f>
        <v>0</v>
      </c>
      <c r="BI596" s="557">
        <f t="shared" si="67"/>
        <v>0</v>
      </c>
      <c r="BJ596" s="196" t="str">
        <f t="shared" si="68"/>
        <v/>
      </c>
      <c r="BK596" s="196" t="str">
        <f t="shared" si="69"/>
        <v/>
      </c>
      <c r="BL596" s="295" t="str">
        <f t="shared" si="70"/>
        <v/>
      </c>
    </row>
    <row r="597" spans="1:64" ht="47.25" customHeight="1" x14ac:dyDescent="0.25">
      <c r="A597" s="162" t="str">
        <f>IF(AND(Réputation&gt;Voies!E597-1,OR(C597=TRUE,Calculs!$I$8&gt;0),Air&gt;Voies!J597-1,Eau&gt;Voies!K597-1,Feu&gt;Voies!L597-1,Terre&gt;Voies!M597-1,Vide&gt;Voies!N597-1,Constitution&gt;Voies!O597-1,Volonté&gt;Voies!P597-1,Force&gt;Voies!Q597-1,Perception&gt;Voies!R597-1,Reflexes&gt;Voies!S597-1,Agilité&gt;Voies!T597-1,Intuition&gt;Voies!U597-1,Intelligence&gt;Voies!V597-1,Souillure&gt;Voies!W597-1,Honneur&gt;X597-1,Statut&gt;Y597-1,Gloire&gt;Z597-1,AV597=TRUE),Voies!B597,"")</f>
        <v/>
      </c>
      <c r="B597" s="162" t="s">
        <v>3729</v>
      </c>
      <c r="C597" s="162" t="b">
        <f>IF(Clan=Voies!D598,TRUE,FALSE)</f>
        <v>0</v>
      </c>
      <c r="D597" s="387" t="s">
        <v>20</v>
      </c>
      <c r="E597" s="199">
        <v>4</v>
      </c>
      <c r="F597" s="199">
        <v>4</v>
      </c>
      <c r="G597" s="13" t="s">
        <v>2049</v>
      </c>
      <c r="H597" s="219" t="s">
        <v>505</v>
      </c>
      <c r="I597" s="129" t="s">
        <v>3727</v>
      </c>
      <c r="J597" s="146">
        <v>0</v>
      </c>
      <c r="K597" s="147">
        <v>0</v>
      </c>
      <c r="L597" s="148">
        <v>0</v>
      </c>
      <c r="M597" s="149">
        <v>0</v>
      </c>
      <c r="N597" s="150">
        <v>0</v>
      </c>
      <c r="O597" s="130">
        <v>0</v>
      </c>
      <c r="P597" s="130">
        <v>0</v>
      </c>
      <c r="Q597" s="130">
        <v>0</v>
      </c>
      <c r="R597" s="130">
        <v>0</v>
      </c>
      <c r="S597" s="130">
        <v>0</v>
      </c>
      <c r="T597" s="130">
        <v>0</v>
      </c>
      <c r="U597" s="130">
        <v>0</v>
      </c>
      <c r="V597" s="524">
        <v>0</v>
      </c>
      <c r="W597" s="130">
        <v>0</v>
      </c>
      <c r="X597" s="130">
        <v>0</v>
      </c>
      <c r="Y597" s="130">
        <v>0</v>
      </c>
      <c r="Z597" s="130">
        <v>0</v>
      </c>
      <c r="AA597" s="159" t="s">
        <v>6382</v>
      </c>
      <c r="AB597" s="158" t="s">
        <v>231</v>
      </c>
      <c r="AD597" s="159">
        <v>3</v>
      </c>
      <c r="AE597" s="158" t="b">
        <f>IF(AB597="",TRUE,IF(IF(AC597="",VLOOKUP(AB597,Calculs!$A$19:$S$425,19,FALSE),VLOOKUP(AC597,Calculs!$A$19:$S$425,19,FALSE))&gt;=AD597,TRUE,FALSE))</f>
        <v>0</v>
      </c>
      <c r="AF597" s="159" t="s">
        <v>6367</v>
      </c>
      <c r="AG597" s="159" t="s">
        <v>3728</v>
      </c>
      <c r="AH597" s="159">
        <v>1</v>
      </c>
      <c r="AI597" s="158" t="b">
        <f>IF(AF597="",TRUE,IF(IF(AG597="",VLOOKUP(AF597,Calculs!$A$19:$S$425,19,FALSE),VLOOKUP(AG597,Calculs!$A$19:$S$425,19,FALSE))&gt;=AH597,TRUE,FALSE))</f>
        <v>0</v>
      </c>
      <c r="AM597" s="158" t="b">
        <f>IF(AJ597="",TRUE,IF(IF(AK597="",VLOOKUP(AJ597,Calculs!$A$19:$S$425,19,FALSE),VLOOKUP(AK597,Calculs!$A$19:$S$425,19,FALSE))&gt;=AL597,TRUE,FALSE))</f>
        <v>1</v>
      </c>
      <c r="AQ597" s="158" t="b">
        <f>IF(AN597="",TRUE,IF(IF(AO597="",VLOOKUP(AN597,Calculs!$A$19:$S$425,19,FALSE),VLOOKUP(AO597,Calculs!$A$19:$S$425,19,FALSE))&gt;=AP597,TRUE,FALSE))</f>
        <v>1</v>
      </c>
      <c r="AR597" s="158"/>
      <c r="AS597" s="158" t="b">
        <f>IF(AR597="",TRUE,IF(VLOOKUP(AR597,Calculs!$A$427:$G$738,7,FALSE)&gt;0,TRUE,FALSE))</f>
        <v>1</v>
      </c>
      <c r="AT597" s="158"/>
      <c r="AU597" s="158" t="b">
        <f>IF(AT597="",TRUE,IF(VLOOKUP(AT597,Calculs!$A$740:$G$912,7,FALSE)&gt;0,TRUE,FALSE))</f>
        <v>1</v>
      </c>
      <c r="AV597" s="158" t="b">
        <f t="shared" si="66"/>
        <v>0</v>
      </c>
      <c r="AW597" s="158" t="s">
        <v>2078</v>
      </c>
      <c r="AX597" s="162" t="s">
        <v>2921</v>
      </c>
      <c r="AY597" s="15">
        <v>98</v>
      </c>
      <c r="AZ597" s="555" t="s">
        <v>8624</v>
      </c>
      <c r="BA597" s="559">
        <f>IF(Verso!$B$10=Voies!$B598,1,0)</f>
        <v>0</v>
      </c>
      <c r="BB597" s="12">
        <f>IF(Verso!$B$11=Voies!$B598,1,0)</f>
        <v>0</v>
      </c>
      <c r="BC597" s="12">
        <f>IF(Verso!$B$12=Voies!$B598,1,0)</f>
        <v>0</v>
      </c>
      <c r="BD597" s="12">
        <f>IF(Verso!$B$13=Voies!$B598,1,0)</f>
        <v>0</v>
      </c>
      <c r="BE597" s="12">
        <f>IF(Verso!$B$14=Voies!$B598,1,0)</f>
        <v>0</v>
      </c>
      <c r="BF597" s="12">
        <f>IF(Verso!$B$15=Voies!$B598,1,0)</f>
        <v>0</v>
      </c>
      <c r="BG597" s="12">
        <f>IF(Verso!$B$16=Voies!$B598,1,0)</f>
        <v>0</v>
      </c>
      <c r="BH597" s="12">
        <f>IF(Verso!$B$17=Voies!$B598,1,0)</f>
        <v>0</v>
      </c>
      <c r="BI597" s="557">
        <f t="shared" si="67"/>
        <v>0</v>
      </c>
      <c r="BJ597" s="196" t="str">
        <f t="shared" si="68"/>
        <v/>
      </c>
      <c r="BK597" s="196" t="str">
        <f t="shared" si="69"/>
        <v/>
      </c>
      <c r="BL597" s="295" t="str">
        <f t="shared" si="70"/>
        <v/>
      </c>
    </row>
    <row r="598" spans="1:64" ht="47.25" customHeight="1" x14ac:dyDescent="0.25">
      <c r="A598" s="162" t="str">
        <f>IF(AND(Réputation&gt;Voies!E598-1,OR(C598=TRUE,Calculs!$I$8&gt;0),Air&gt;Voies!J598-1,Eau&gt;Voies!K598-1,Feu&gt;Voies!L598-1,Terre&gt;Voies!M598-1,Vide&gt;Voies!N598-1,Constitution&gt;Voies!O598-1,Volonté&gt;Voies!P598-1,Force&gt;Voies!Q598-1,Perception&gt;Voies!R598-1,Reflexes&gt;Voies!S598-1,Agilité&gt;Voies!T598-1,Intuition&gt;Voies!U598-1,Intelligence&gt;Voies!V598-1,Souillure&gt;Voies!W598-1,Honneur&gt;X598-1,Statut&gt;Y598-1,Gloire&gt;Z598-1,AV598=TRUE),Voies!B598,"")</f>
        <v/>
      </c>
      <c r="B598" s="162" t="s">
        <v>4834</v>
      </c>
      <c r="C598" s="162" t="b">
        <f>IF(Clan=Voies!D599,TRUE,FALSE)</f>
        <v>0</v>
      </c>
      <c r="D598" s="388" t="s">
        <v>20</v>
      </c>
      <c r="E598" s="199">
        <v>4</v>
      </c>
      <c r="F598" s="199">
        <v>4</v>
      </c>
      <c r="G598" s="13" t="s">
        <v>2049</v>
      </c>
      <c r="H598" s="219" t="s">
        <v>205</v>
      </c>
      <c r="I598" s="129" t="str">
        <f>IF(B598="","","Rien")</f>
        <v>Rien</v>
      </c>
      <c r="J598" s="146">
        <v>0</v>
      </c>
      <c r="K598" s="147">
        <v>0</v>
      </c>
      <c r="L598" s="148">
        <v>0</v>
      </c>
      <c r="M598" s="149">
        <v>0</v>
      </c>
      <c r="N598" s="150">
        <v>0</v>
      </c>
      <c r="O598" s="130">
        <v>0</v>
      </c>
      <c r="P598" s="130">
        <v>0</v>
      </c>
      <c r="Q598" s="130">
        <v>0</v>
      </c>
      <c r="R598" s="130">
        <v>0</v>
      </c>
      <c r="S598" s="130">
        <v>0</v>
      </c>
      <c r="T598" s="130">
        <v>0</v>
      </c>
      <c r="U598" s="130">
        <v>0</v>
      </c>
      <c r="V598" s="524">
        <v>0</v>
      </c>
      <c r="W598" s="130">
        <v>0</v>
      </c>
      <c r="X598" s="130">
        <v>0</v>
      </c>
      <c r="Y598" s="130">
        <v>0</v>
      </c>
      <c r="Z598" s="130">
        <v>0</v>
      </c>
      <c r="AA598" s="158" t="s">
        <v>2078</v>
      </c>
      <c r="AB598" s="158"/>
      <c r="AC598" s="158"/>
      <c r="AD598" s="158"/>
      <c r="AE598" s="158" t="b">
        <f>IF(AB598="",TRUE,IF(IF(AC598="",VLOOKUP(AB598,Calculs!$A$19:$S$425,19,FALSE),VLOOKUP(AC598,Calculs!$A$19:$S$425,19,FALSE))&gt;=AD598,TRUE,FALSE))</f>
        <v>1</v>
      </c>
      <c r="AF598" s="158"/>
      <c r="AG598" s="158"/>
      <c r="AH598" s="158"/>
      <c r="AI598" s="158" t="b">
        <f>IF(AF598="",TRUE,IF(IF(AG598="",VLOOKUP(AF598,Calculs!$A$19:$S$425,19,FALSE),VLOOKUP(AG598,Calculs!$A$19:$S$425,19,FALSE))&gt;=AH598,TRUE,FALSE))</f>
        <v>1</v>
      </c>
      <c r="AJ598" s="158"/>
      <c r="AK598" s="158"/>
      <c r="AL598" s="158"/>
      <c r="AM598" s="158" t="b">
        <f>IF(AJ598="",TRUE,IF(IF(AK598="",VLOOKUP(AJ598,Calculs!$A$19:$S$425,19,FALSE),VLOOKUP(AK598,Calculs!$A$19:$S$425,19,FALSE))&gt;=AL598,TRUE,FALSE))</f>
        <v>1</v>
      </c>
      <c r="AN598" s="158"/>
      <c r="AO598" s="158"/>
      <c r="AP598" s="158"/>
      <c r="AQ598" s="158" t="b">
        <f>IF(AN598="",TRUE,IF(IF(AO598="",VLOOKUP(AN598,Calculs!$A$19:$S$425,19,FALSE),VLOOKUP(AO598,Calculs!$A$19:$S$425,19,FALSE))&gt;=AP598,TRUE,FALSE))</f>
        <v>1</v>
      </c>
      <c r="AR598" s="158"/>
      <c r="AS598" s="158" t="b">
        <f>IF(AR598="",TRUE,IF(VLOOKUP(AR598,Calculs!$A$427:$G$738,7,FALSE)&gt;0,TRUE,FALSE))</f>
        <v>1</v>
      </c>
      <c r="AT598" s="158"/>
      <c r="AU598" s="158" t="b">
        <f>IF(AT598="",TRUE,IF(VLOOKUP(AT598,Calculs!$A$740:$G$912,7,FALSE)&gt;0,TRUE,FALSE))</f>
        <v>1</v>
      </c>
      <c r="AV598" s="158" t="b">
        <f t="shared" si="66"/>
        <v>1</v>
      </c>
      <c r="AW598" s="158" t="s">
        <v>2078</v>
      </c>
      <c r="AX598" s="162" t="s">
        <v>5202</v>
      </c>
      <c r="AY598" s="15">
        <v>109</v>
      </c>
      <c r="AZ598" s="555" t="s">
        <v>2682</v>
      </c>
      <c r="BA598" s="559">
        <f>IF(Verso!$B$10=Voies!$B599,1,0)</f>
        <v>0</v>
      </c>
      <c r="BB598" s="12">
        <f>IF(Verso!$B$11=Voies!$B599,1,0)</f>
        <v>0</v>
      </c>
      <c r="BC598" s="12">
        <f>IF(Verso!$B$12=Voies!$B599,1,0)</f>
        <v>0</v>
      </c>
      <c r="BD598" s="12">
        <f>IF(Verso!$B$13=Voies!$B599,1,0)</f>
        <v>0</v>
      </c>
      <c r="BE598" s="12">
        <f>IF(Verso!$B$14=Voies!$B599,1,0)</f>
        <v>0</v>
      </c>
      <c r="BF598" s="12">
        <f>IF(Verso!$B$15=Voies!$B599,1,0)</f>
        <v>0</v>
      </c>
      <c r="BG598" s="12">
        <f>IF(Verso!$B$16=Voies!$B599,1,0)</f>
        <v>0</v>
      </c>
      <c r="BH598" s="12">
        <f>IF(Verso!$B$17=Voies!$B599,1,0)</f>
        <v>0</v>
      </c>
      <c r="BI598" s="557">
        <f t="shared" si="67"/>
        <v>0</v>
      </c>
      <c r="BJ598" s="196" t="str">
        <f t="shared" si="68"/>
        <v/>
      </c>
      <c r="BK598" s="196" t="str">
        <f t="shared" si="69"/>
        <v/>
      </c>
      <c r="BL598" s="295" t="str">
        <f t="shared" si="70"/>
        <v/>
      </c>
    </row>
    <row r="599" spans="1:64" ht="47.25" customHeight="1" x14ac:dyDescent="0.25">
      <c r="A599" s="162" t="str">
        <f>IF(AND(Réputation&gt;Voies!E599-1,OR(C599=TRUE,Calculs!$I$8&gt;0),Air&gt;Voies!J599-1,Eau&gt;Voies!K599-1,Feu&gt;Voies!L599-1,Terre&gt;Voies!M599-1,Vide&gt;Voies!N599-1,Constitution&gt;Voies!O599-1,Volonté&gt;Voies!P599-1,Force&gt;Voies!Q599-1,Perception&gt;Voies!R599-1,Reflexes&gt;Voies!S599-1,Agilité&gt;Voies!T599-1,Intuition&gt;Voies!U599-1,Intelligence&gt;Voies!V599-1,Souillure&gt;Voies!W599-1,Honneur&gt;X599-1,Statut&gt;Y599-1,Gloire&gt;Z599-1,AV599=TRUE),Voies!B599,"")</f>
        <v/>
      </c>
      <c r="B599" s="162" t="s">
        <v>3431</v>
      </c>
      <c r="C599" s="162" t="b">
        <f>IF(Clan=Voies!D600,TRUE,FALSE)</f>
        <v>0</v>
      </c>
      <c r="D599" s="387" t="s">
        <v>20</v>
      </c>
      <c r="E599" s="199">
        <v>4</v>
      </c>
      <c r="F599" s="199" t="s">
        <v>3429</v>
      </c>
      <c r="G599" s="13" t="s">
        <v>2049</v>
      </c>
      <c r="H599" s="162" t="s">
        <v>502</v>
      </c>
      <c r="I599" s="129" t="s">
        <v>3872</v>
      </c>
      <c r="J599" s="146">
        <v>0</v>
      </c>
      <c r="K599" s="147">
        <v>0</v>
      </c>
      <c r="L599" s="148">
        <v>0</v>
      </c>
      <c r="M599" s="149">
        <v>0</v>
      </c>
      <c r="N599" s="150">
        <v>0</v>
      </c>
      <c r="O599" s="130">
        <v>0</v>
      </c>
      <c r="P599" s="130">
        <v>0</v>
      </c>
      <c r="Q599" s="130">
        <v>0</v>
      </c>
      <c r="R599" s="130">
        <v>0</v>
      </c>
      <c r="S599" s="130">
        <v>0</v>
      </c>
      <c r="T599" s="130">
        <v>0</v>
      </c>
      <c r="U599" s="130">
        <v>0</v>
      </c>
      <c r="V599" s="524">
        <v>0</v>
      </c>
      <c r="W599" s="130">
        <v>0</v>
      </c>
      <c r="X599" s="130">
        <v>0</v>
      </c>
      <c r="Y599" s="130">
        <v>0</v>
      </c>
      <c r="Z599" s="130">
        <v>0</v>
      </c>
      <c r="AA599" s="159" t="s">
        <v>3430</v>
      </c>
      <c r="AB599" s="159" t="s">
        <v>231</v>
      </c>
      <c r="AC599" s="159" t="s">
        <v>6362</v>
      </c>
      <c r="AD599" s="159">
        <v>6</v>
      </c>
      <c r="AE599" s="158" t="b">
        <f>IF(AB599="",TRUE,IF(IF(AC599="",VLOOKUP(AB599,Calculs!$A$19:$S$425,19,FALSE),VLOOKUP(AC599,Calculs!$A$19:$S$425,19,FALSE))&gt;=AD599,TRUE,FALSE))</f>
        <v>0</v>
      </c>
      <c r="AF599" s="159" t="s">
        <v>1279</v>
      </c>
      <c r="AG599" s="159" t="s">
        <v>1325</v>
      </c>
      <c r="AH599" s="159">
        <v>4</v>
      </c>
      <c r="AI599" s="158" t="b">
        <f>IF(AF599="",TRUE,IF(IF(AG599="",VLOOKUP(AF599,Calculs!$A$19:$S$425,19,FALSE),VLOOKUP(AG599,Calculs!$A$19:$S$425,19,FALSE))&gt;=AH599,TRUE,FALSE))</f>
        <v>0</v>
      </c>
      <c r="AM599" s="158" t="b">
        <f>IF(AJ599="",TRUE,IF(IF(AK599="",VLOOKUP(AJ599,Calculs!$A$19:$S$425,19,FALSE),VLOOKUP(AK599,Calculs!$A$19:$S$425,19,FALSE))&gt;=AL599,TRUE,FALSE))</f>
        <v>1</v>
      </c>
      <c r="AQ599" s="158" t="b">
        <f>IF(AN599="",TRUE,IF(IF(AO599="",VLOOKUP(AN599,Calculs!$A$19:$S$425,19,FALSE),VLOOKUP(AO599,Calculs!$A$19:$S$425,19,FALSE))&gt;=AP599,TRUE,FALSE))</f>
        <v>1</v>
      </c>
      <c r="AR599" s="158"/>
      <c r="AS599" s="158" t="b">
        <f>IF(AR599="",TRUE,IF(VLOOKUP(AR599,Calculs!$A$427:$G$738,7,FALSE)&gt;0,TRUE,FALSE))</f>
        <v>1</v>
      </c>
      <c r="AT599" s="158"/>
      <c r="AU599" s="158" t="b">
        <f>IF(AT599="",TRUE,IF(VLOOKUP(AT599,Calculs!$A$740:$G$912,7,FALSE)&gt;0,TRUE,FALSE))</f>
        <v>1</v>
      </c>
      <c r="AV599" s="158" t="b">
        <f t="shared" si="66"/>
        <v>0</v>
      </c>
      <c r="AW599" s="158" t="s">
        <v>2078</v>
      </c>
      <c r="AX599" s="162" t="s">
        <v>158</v>
      </c>
      <c r="AY599" s="151">
        <v>193</v>
      </c>
      <c r="AZ599" s="555" t="s">
        <v>8625</v>
      </c>
      <c r="BA599" s="559">
        <f>IF(Verso!$B$10=Voies!$B600,1,0)</f>
        <v>0</v>
      </c>
      <c r="BB599" s="12">
        <f>IF(Verso!$B$11=Voies!$B600,1,0)</f>
        <v>0</v>
      </c>
      <c r="BC599" s="12">
        <f>IF(Verso!$B$12=Voies!$B600,1,0)</f>
        <v>0</v>
      </c>
      <c r="BD599" s="12">
        <f>IF(Verso!$B$13=Voies!$B600,1,0)</f>
        <v>0</v>
      </c>
      <c r="BE599" s="12">
        <f>IF(Verso!$B$14=Voies!$B600,1,0)</f>
        <v>0</v>
      </c>
      <c r="BF599" s="12">
        <f>IF(Verso!$B$15=Voies!$B600,1,0)</f>
        <v>0</v>
      </c>
      <c r="BG599" s="12">
        <f>IF(Verso!$B$16=Voies!$B600,1,0)</f>
        <v>0</v>
      </c>
      <c r="BH599" s="12">
        <f>IF(Verso!$B$17=Voies!$B600,1,0)</f>
        <v>0</v>
      </c>
      <c r="BI599" s="557">
        <f t="shared" si="67"/>
        <v>0</v>
      </c>
      <c r="BJ599" s="196" t="str">
        <f t="shared" si="68"/>
        <v/>
      </c>
      <c r="BK599" s="196" t="str">
        <f t="shared" si="69"/>
        <v/>
      </c>
      <c r="BL599" s="295" t="str">
        <f t="shared" si="70"/>
        <v/>
      </c>
    </row>
    <row r="600" spans="1:64" ht="47.25" customHeight="1" x14ac:dyDescent="0.25">
      <c r="A600" s="162" t="str">
        <f>IF(AND(Réputation&gt;Voies!E600-1,OR(C600=TRUE,Calculs!$I$8&gt;0),Air&gt;Voies!J600-1,Eau&gt;Voies!K600-1,Feu&gt;Voies!L600-1,Terre&gt;Voies!M600-1,Vide&gt;Voies!N600-1,Constitution&gt;Voies!O600-1,Volonté&gt;Voies!P600-1,Force&gt;Voies!Q600-1,Perception&gt;Voies!R600-1,Reflexes&gt;Voies!S600-1,Agilité&gt;Voies!T600-1,Intuition&gt;Voies!U600-1,Intelligence&gt;Voies!V600-1,Souillure&gt;Voies!W600-1,Honneur&gt;X600-1,Statut&gt;Y600-1,Gloire&gt;Z600-1,AV600=TRUE),Voies!B600,"")</f>
        <v/>
      </c>
      <c r="B600" s="162" t="s">
        <v>7828</v>
      </c>
      <c r="C600" s="162" t="b">
        <f>IF(Clan=Voies!D601,TRUE,FALSE)</f>
        <v>0</v>
      </c>
      <c r="D600" s="388" t="s">
        <v>20</v>
      </c>
      <c r="E600" s="199">
        <v>4</v>
      </c>
      <c r="F600" s="199">
        <v>4</v>
      </c>
      <c r="G600" s="13" t="s">
        <v>2049</v>
      </c>
      <c r="H600" s="162" t="s">
        <v>7791</v>
      </c>
      <c r="I600" s="129" t="str">
        <f>IF(B600="","","Rien")</f>
        <v>Rien</v>
      </c>
      <c r="J600" s="146">
        <v>0</v>
      </c>
      <c r="K600" s="147">
        <v>0</v>
      </c>
      <c r="L600" s="148">
        <v>0</v>
      </c>
      <c r="M600" s="149">
        <v>0</v>
      </c>
      <c r="N600" s="150">
        <v>0</v>
      </c>
      <c r="O600" s="130">
        <v>0</v>
      </c>
      <c r="P600" s="130">
        <v>0</v>
      </c>
      <c r="Q600" s="130">
        <v>0</v>
      </c>
      <c r="R600" s="130">
        <v>0</v>
      </c>
      <c r="S600" s="130">
        <v>0</v>
      </c>
      <c r="T600" s="130">
        <v>0</v>
      </c>
      <c r="U600" s="130">
        <v>0</v>
      </c>
      <c r="V600" s="524">
        <v>0</v>
      </c>
      <c r="W600" s="130">
        <v>0</v>
      </c>
      <c r="X600" s="130">
        <v>0</v>
      </c>
      <c r="Y600" s="130">
        <v>0</v>
      </c>
      <c r="Z600" s="130">
        <v>0</v>
      </c>
      <c r="AA600" s="158" t="s">
        <v>2078</v>
      </c>
      <c r="AB600" s="158"/>
      <c r="AC600" s="158"/>
      <c r="AD600" s="158"/>
      <c r="AE600" s="158" t="b">
        <f>IF(AB600="",TRUE,IF(IF(AC600="",VLOOKUP(AB600,Calculs!$A$19:$S$425,19,FALSE),VLOOKUP(AC600,Calculs!$A$19:$S$425,19,FALSE))&gt;=AD600,TRUE,FALSE))</f>
        <v>1</v>
      </c>
      <c r="AF600" s="158"/>
      <c r="AG600" s="158"/>
      <c r="AH600" s="158"/>
      <c r="AI600" s="158" t="b">
        <f>IF(AF600="",TRUE,IF(IF(AG600="",VLOOKUP(AF600,Calculs!$A$19:$S$425,19,FALSE),VLOOKUP(AG600,Calculs!$A$19:$S$425,19,FALSE))&gt;=AH600,TRUE,FALSE))</f>
        <v>1</v>
      </c>
      <c r="AJ600" s="158"/>
      <c r="AK600" s="158"/>
      <c r="AL600" s="158"/>
      <c r="AM600" s="158" t="b">
        <f>IF(AJ600="",TRUE,IF(IF(AK600="",VLOOKUP(AJ600,Calculs!$A$19:$S$425,19,FALSE),VLOOKUP(AK600,Calculs!$A$19:$S$425,19,FALSE))&gt;=AL600,TRUE,FALSE))</f>
        <v>1</v>
      </c>
      <c r="AN600" s="158"/>
      <c r="AO600" s="158"/>
      <c r="AP600" s="158"/>
      <c r="AQ600" s="158" t="b">
        <f>IF(AN600="",TRUE,IF(IF(AO600="",VLOOKUP(AN600,Calculs!$A$19:$S$425,19,FALSE),VLOOKUP(AO600,Calculs!$A$19:$S$425,19,FALSE))&gt;=AP600,TRUE,FALSE))</f>
        <v>1</v>
      </c>
      <c r="AR600" s="158"/>
      <c r="AS600" s="158" t="b">
        <f>IF(AR600="",TRUE,IF(VLOOKUP(AR600,Calculs!$A$427:$G$738,7,FALSE)&gt;0,TRUE,FALSE))</f>
        <v>1</v>
      </c>
      <c r="AT600" s="158"/>
      <c r="AU600" s="158" t="b">
        <f>IF(AT600="",TRUE,IF(VLOOKUP(AT600,Calculs!$A$740:$G$912,7,FALSE)&gt;0,TRUE,FALSE))</f>
        <v>1</v>
      </c>
      <c r="AV600" s="158" t="b">
        <f t="shared" si="66"/>
        <v>1</v>
      </c>
      <c r="AW600" s="158" t="s">
        <v>2078</v>
      </c>
      <c r="AX600" s="162" t="s">
        <v>7226</v>
      </c>
      <c r="AY600" s="15">
        <v>68</v>
      </c>
      <c r="AZ600" s="555" t="s">
        <v>8626</v>
      </c>
      <c r="BA600" s="559">
        <f>IF(Verso!$B$10=Voies!$B601,1,0)</f>
        <v>0</v>
      </c>
      <c r="BB600" s="12">
        <f>IF(Verso!$B$11=Voies!$B601,1,0)</f>
        <v>0</v>
      </c>
      <c r="BC600" s="12">
        <f>IF(Verso!$B$12=Voies!$B601,1,0)</f>
        <v>0</v>
      </c>
      <c r="BD600" s="12">
        <f>IF(Verso!$B$13=Voies!$B601,1,0)</f>
        <v>0</v>
      </c>
      <c r="BE600" s="12">
        <f>IF(Verso!$B$14=Voies!$B601,1,0)</f>
        <v>0</v>
      </c>
      <c r="BF600" s="12">
        <f>IF(Verso!$B$15=Voies!$B601,1,0)</f>
        <v>0</v>
      </c>
      <c r="BG600" s="12">
        <f>IF(Verso!$B$16=Voies!$B601,1,0)</f>
        <v>0</v>
      </c>
      <c r="BH600" s="12">
        <f>IF(Verso!$B$17=Voies!$B601,1,0)</f>
        <v>0</v>
      </c>
      <c r="BI600" s="557">
        <f t="shared" si="67"/>
        <v>0</v>
      </c>
      <c r="BJ600" s="196" t="str">
        <f t="shared" si="68"/>
        <v/>
      </c>
      <c r="BK600" s="196" t="str">
        <f t="shared" si="69"/>
        <v/>
      </c>
      <c r="BL600" s="295" t="str">
        <f t="shared" si="70"/>
        <v/>
      </c>
    </row>
    <row r="601" spans="1:64" ht="47.25" customHeight="1" x14ac:dyDescent="0.25">
      <c r="A601" s="162" t="str">
        <f>IF(AND(Réputation&gt;Voies!E601-1,OR(C601=TRUE,Calculs!$I$8&gt;0),Air&gt;Voies!J601-1,Eau&gt;Voies!K601-1,Feu&gt;Voies!L601-1,Terre&gt;Voies!M601-1,Vide&gt;Voies!N601-1,Constitution&gt;Voies!O601-1,Volonté&gt;Voies!P601-1,Force&gt;Voies!Q601-1,Perception&gt;Voies!R601-1,Reflexes&gt;Voies!S601-1,Agilité&gt;Voies!T601-1,Intuition&gt;Voies!U601-1,Intelligence&gt;Voies!V601-1,Souillure&gt;Voies!W601-1,Honneur&gt;X601-1,Statut&gt;Y601-1,Gloire&gt;Z601-1,AV601=TRUE),Voies!B601,"")</f>
        <v/>
      </c>
      <c r="B601" s="162" t="s">
        <v>2455</v>
      </c>
      <c r="C601" s="162" t="b">
        <f>IF(Clan=Voies!D602,TRUE,FALSE)</f>
        <v>0</v>
      </c>
      <c r="D601" s="388" t="s">
        <v>20</v>
      </c>
      <c r="E601" s="199">
        <v>4</v>
      </c>
      <c r="F601" s="199">
        <v>4</v>
      </c>
      <c r="G601" s="13" t="s">
        <v>2052</v>
      </c>
      <c r="H601" s="162" t="s">
        <v>204</v>
      </c>
      <c r="I601" s="129" t="str">
        <f>IF(B601="","","Rien")</f>
        <v>Rien</v>
      </c>
      <c r="J601" s="146">
        <v>0</v>
      </c>
      <c r="K601" s="147">
        <v>0</v>
      </c>
      <c r="L601" s="148">
        <v>0</v>
      </c>
      <c r="M601" s="149">
        <v>0</v>
      </c>
      <c r="N601" s="150">
        <v>0</v>
      </c>
      <c r="O601" s="130">
        <v>0</v>
      </c>
      <c r="P601" s="130">
        <v>0</v>
      </c>
      <c r="Q601" s="130">
        <v>0</v>
      </c>
      <c r="R601" s="130">
        <v>0</v>
      </c>
      <c r="S601" s="130">
        <v>0</v>
      </c>
      <c r="T601" s="130">
        <v>0</v>
      </c>
      <c r="U601" s="130">
        <v>0</v>
      </c>
      <c r="V601" s="524">
        <v>0</v>
      </c>
      <c r="W601" s="130">
        <v>0</v>
      </c>
      <c r="X601" s="130">
        <v>0</v>
      </c>
      <c r="Y601" s="130">
        <v>0</v>
      </c>
      <c r="Z601" s="130">
        <v>0</v>
      </c>
      <c r="AA601" s="158" t="s">
        <v>2078</v>
      </c>
      <c r="AB601" s="158"/>
      <c r="AC601" s="158"/>
      <c r="AD601" s="158"/>
      <c r="AE601" s="158" t="b">
        <f>IF(AB601="",TRUE,IF(IF(AC601="",VLOOKUP(AB601,Calculs!$A$19:$S$425,19,FALSE),VLOOKUP(AC601,Calculs!$A$19:$S$425,19,FALSE))&gt;=AD601,TRUE,FALSE))</f>
        <v>1</v>
      </c>
      <c r="AF601" s="158"/>
      <c r="AG601" s="158"/>
      <c r="AH601" s="158"/>
      <c r="AI601" s="158" t="b">
        <f>IF(AF601="",TRUE,IF(IF(AG601="",VLOOKUP(AF601,Calculs!$A$19:$S$425,19,FALSE),VLOOKUP(AG601,Calculs!$A$19:$S$425,19,FALSE))&gt;=AH601,TRUE,FALSE))</f>
        <v>1</v>
      </c>
      <c r="AJ601" s="158"/>
      <c r="AK601" s="158"/>
      <c r="AL601" s="158"/>
      <c r="AM601" s="158" t="b">
        <f>IF(AJ601="",TRUE,IF(IF(AK601="",VLOOKUP(AJ601,Calculs!$A$19:$S$425,19,FALSE),VLOOKUP(AK601,Calculs!$A$19:$S$425,19,FALSE))&gt;=AL601,TRUE,FALSE))</f>
        <v>1</v>
      </c>
      <c r="AN601" s="158"/>
      <c r="AO601" s="158"/>
      <c r="AP601" s="158"/>
      <c r="AQ601" s="158" t="b">
        <f>IF(AN601="",TRUE,IF(IF(AO601="",VLOOKUP(AN601,Calculs!$A$19:$S$425,19,FALSE),VLOOKUP(AO601,Calculs!$A$19:$S$425,19,FALSE))&gt;=AP601,TRUE,FALSE))</f>
        <v>1</v>
      </c>
      <c r="AR601" s="158"/>
      <c r="AS601" s="158" t="b">
        <f>IF(AR601="",TRUE,IF(VLOOKUP(AR601,Calculs!$A$427:$G$738,7,FALSE)&gt;0,TRUE,FALSE))</f>
        <v>1</v>
      </c>
      <c r="AT601" s="158"/>
      <c r="AU601" s="158" t="b">
        <f>IF(AT601="",TRUE,IF(VLOOKUP(AT601,Calculs!$A$740:$G$912,7,FALSE)&gt;0,TRUE,FALSE))</f>
        <v>1</v>
      </c>
      <c r="AV601" s="158" t="b">
        <f t="shared" si="66"/>
        <v>1</v>
      </c>
      <c r="AW601" s="158" t="s">
        <v>2078</v>
      </c>
      <c r="AX601" s="162" t="s">
        <v>3</v>
      </c>
      <c r="AY601" s="15">
        <v>121</v>
      </c>
      <c r="AZ601" s="555" t="str">
        <f>CONCATENATE("Un nombre de fois égal à votre Rang.de Maitrise, dépensez une AS pour faire un test de Spectacle:Art du Conteur/Intuition contre ND 25. En cas de succès, un allié peut relancer un jet raté en y ajoutant +",Honneur)</f>
        <v>Un nombre de fois égal à votre Rang.de Maitrise, dépensez une AS pour faire un test de Spectacle:Art du Conteur/Intuition contre ND 25. En cas de succès, un allié peut relancer un jet raté en y ajoutant +0</v>
      </c>
      <c r="BA601" s="559">
        <f>IF(Verso!$B$10=Voies!$B602,1,0)</f>
        <v>0</v>
      </c>
      <c r="BB601" s="12">
        <f>IF(Verso!$B$11=Voies!$B602,1,0)</f>
        <v>0</v>
      </c>
      <c r="BC601" s="12">
        <f>IF(Verso!$B$12=Voies!$B602,1,0)</f>
        <v>0</v>
      </c>
      <c r="BD601" s="12">
        <f>IF(Verso!$B$13=Voies!$B602,1,0)</f>
        <v>0</v>
      </c>
      <c r="BE601" s="12">
        <f>IF(Verso!$B$14=Voies!$B602,1,0)</f>
        <v>0</v>
      </c>
      <c r="BF601" s="12">
        <f>IF(Verso!$B$15=Voies!$B602,1,0)</f>
        <v>0</v>
      </c>
      <c r="BG601" s="12">
        <f>IF(Verso!$B$16=Voies!$B602,1,0)</f>
        <v>0</v>
      </c>
      <c r="BH601" s="12">
        <f>IF(Verso!$B$17=Voies!$B602,1,0)</f>
        <v>0</v>
      </c>
      <c r="BI601" s="557">
        <f t="shared" si="67"/>
        <v>0</v>
      </c>
      <c r="BJ601" s="196" t="str">
        <f t="shared" si="68"/>
        <v/>
      </c>
      <c r="BK601" s="196" t="str">
        <f t="shared" si="69"/>
        <v/>
      </c>
      <c r="BL601" s="295" t="str">
        <f t="shared" si="70"/>
        <v/>
      </c>
    </row>
    <row r="602" spans="1:64" ht="47.25" customHeight="1" x14ac:dyDescent="0.25">
      <c r="A602" s="162" t="str">
        <f>IF(AND(Réputation&gt;Voies!E602-1,OR(C602=TRUE,Calculs!$I$8&gt;0),Air&gt;Voies!J602-1,Eau&gt;Voies!K602-1,Feu&gt;Voies!L602-1,Terre&gt;Voies!M602-1,Vide&gt;Voies!N602-1,Constitution&gt;Voies!O602-1,Volonté&gt;Voies!P602-1,Force&gt;Voies!Q602-1,Perception&gt;Voies!R602-1,Reflexes&gt;Voies!S602-1,Agilité&gt;Voies!T602-1,Intuition&gt;Voies!U602-1,Intelligence&gt;Voies!V602-1,Souillure&gt;Voies!W602-1,Honneur&gt;X602-1,Statut&gt;Y602-1,Gloire&gt;Z602-1,AV602=TRUE),Voies!B602,"")</f>
        <v/>
      </c>
      <c r="B602" s="162" t="s">
        <v>3348</v>
      </c>
      <c r="C602" s="162" t="b">
        <f>IF(Clan=Voies!D603,TRUE,FALSE)</f>
        <v>0</v>
      </c>
      <c r="D602" s="387" t="s">
        <v>20</v>
      </c>
      <c r="E602" s="199">
        <v>4</v>
      </c>
      <c r="F602" s="199">
        <v>4</v>
      </c>
      <c r="G602" s="13" t="s">
        <v>2048</v>
      </c>
      <c r="H602" s="162" t="s">
        <v>508</v>
      </c>
      <c r="I602" s="129" t="s">
        <v>3346</v>
      </c>
      <c r="J602" s="146">
        <v>0</v>
      </c>
      <c r="K602" s="147">
        <v>0</v>
      </c>
      <c r="L602" s="148">
        <v>0</v>
      </c>
      <c r="M602" s="149">
        <v>0</v>
      </c>
      <c r="N602" s="150">
        <v>0</v>
      </c>
      <c r="O602" s="130">
        <v>0</v>
      </c>
      <c r="P602" s="130">
        <v>0</v>
      </c>
      <c r="Q602" s="130">
        <v>0</v>
      </c>
      <c r="R602" s="130">
        <v>0</v>
      </c>
      <c r="S602" s="130">
        <v>0</v>
      </c>
      <c r="T602" s="130">
        <v>4</v>
      </c>
      <c r="U602" s="130">
        <v>0</v>
      </c>
      <c r="V602" s="524">
        <v>0</v>
      </c>
      <c r="W602" s="130">
        <v>0</v>
      </c>
      <c r="X602" s="130">
        <v>0</v>
      </c>
      <c r="Y602" s="130">
        <v>0</v>
      </c>
      <c r="Z602" s="130">
        <v>0</v>
      </c>
      <c r="AA602" s="158" t="s">
        <v>2078</v>
      </c>
      <c r="AB602" s="158"/>
      <c r="AC602" s="158"/>
      <c r="AD602" s="158"/>
      <c r="AE602" s="158" t="b">
        <f>IF(AB602="",TRUE,IF(IF(AC602="",VLOOKUP(AB602,Calculs!$A$19:$S$425,19,FALSE),VLOOKUP(AC602,Calculs!$A$19:$S$425,19,FALSE))&gt;=AD602,TRUE,FALSE))</f>
        <v>1</v>
      </c>
      <c r="AF602" s="158"/>
      <c r="AG602" s="158"/>
      <c r="AH602" s="158"/>
      <c r="AI602" s="158" t="b">
        <f>IF(AF602="",TRUE,IF(IF(AG602="",VLOOKUP(AF602,Calculs!$A$19:$S$425,19,FALSE),VLOOKUP(AG602,Calculs!$A$19:$S$425,19,FALSE))&gt;=AH602,TRUE,FALSE))</f>
        <v>1</v>
      </c>
      <c r="AJ602" s="158"/>
      <c r="AK602" s="158"/>
      <c r="AL602" s="158"/>
      <c r="AM602" s="158" t="b">
        <f>IF(AJ602="",TRUE,IF(IF(AK602="",VLOOKUP(AJ602,Calculs!$A$19:$S$425,19,FALSE),VLOOKUP(AK602,Calculs!$A$19:$S$425,19,FALSE))&gt;=AL602,TRUE,FALSE))</f>
        <v>1</v>
      </c>
      <c r="AN602" s="158"/>
      <c r="AO602" s="158"/>
      <c r="AP602" s="158"/>
      <c r="AQ602" s="158" t="b">
        <f>IF(AN602="",TRUE,IF(IF(AO602="",VLOOKUP(AN602,Calculs!$A$19:$S$425,19,FALSE),VLOOKUP(AO602,Calculs!$A$19:$S$425,19,FALSE))&gt;=AP602,TRUE,FALSE))</f>
        <v>1</v>
      </c>
      <c r="AR602" s="158"/>
      <c r="AS602" s="158" t="b">
        <f>IF(AR602="",TRUE,IF(VLOOKUP(AR602,Calculs!$A$427:$G$738,7,FALSE)&gt;0,TRUE,FALSE))</f>
        <v>1</v>
      </c>
      <c r="AT602" s="158"/>
      <c r="AU602" s="158" t="b">
        <f>IF(AT602="",TRUE,IF(VLOOKUP(AT602,Calculs!$A$740:$G$912,7,FALSE)&gt;0,TRUE,FALSE))</f>
        <v>1</v>
      </c>
      <c r="AV602" s="158" t="b">
        <f t="shared" si="66"/>
        <v>1</v>
      </c>
      <c r="AW602" s="159" t="s">
        <v>3347</v>
      </c>
      <c r="AX602" s="162" t="s">
        <v>118</v>
      </c>
      <c r="AY602" s="15">
        <v>180</v>
      </c>
      <c r="AZ602" s="555" t="s">
        <v>3349</v>
      </c>
      <c r="BA602" s="559">
        <f>IF(Verso!$B$10=Voies!$B603,1,0)</f>
        <v>0</v>
      </c>
      <c r="BB602" s="12">
        <f>IF(Verso!$B$11=Voies!$B603,1,0)</f>
        <v>0</v>
      </c>
      <c r="BC602" s="12">
        <f>IF(Verso!$B$12=Voies!$B603,1,0)</f>
        <v>0</v>
      </c>
      <c r="BD602" s="12">
        <f>IF(Verso!$B$13=Voies!$B603,1,0)</f>
        <v>0</v>
      </c>
      <c r="BE602" s="12">
        <f>IF(Verso!$B$14=Voies!$B603,1,0)</f>
        <v>0</v>
      </c>
      <c r="BF602" s="12">
        <f>IF(Verso!$B$15=Voies!$B603,1,0)</f>
        <v>0</v>
      </c>
      <c r="BG602" s="12">
        <f>IF(Verso!$B$16=Voies!$B603,1,0)</f>
        <v>0</v>
      </c>
      <c r="BH602" s="12">
        <f>IF(Verso!$B$17=Voies!$B603,1,0)</f>
        <v>0</v>
      </c>
      <c r="BI602" s="557">
        <f t="shared" si="67"/>
        <v>0</v>
      </c>
      <c r="BJ602" s="196" t="str">
        <f t="shared" si="68"/>
        <v/>
      </c>
      <c r="BK602" s="196" t="str">
        <f t="shared" si="69"/>
        <v/>
      </c>
      <c r="BL602" s="295" t="str">
        <f t="shared" si="70"/>
        <v/>
      </c>
    </row>
    <row r="603" spans="1:64" ht="47.25" customHeight="1" x14ac:dyDescent="0.25">
      <c r="A603" s="162" t="str">
        <f>IF(AND(Réputation&gt;Voies!E603-1,OR(C603=TRUE,Calculs!$I$8&gt;0),Air&gt;Voies!J603-1,Eau&gt;Voies!K603-1,Feu&gt;Voies!L603-1,Terre&gt;Voies!M603-1,Vide&gt;Voies!N603-1,Constitution&gt;Voies!O603-1,Volonté&gt;Voies!P603-1,Force&gt;Voies!Q603-1,Perception&gt;Voies!R603-1,Reflexes&gt;Voies!S603-1,Agilité&gt;Voies!T603-1,Intuition&gt;Voies!U603-1,Intelligence&gt;Voies!V603-1,Souillure&gt;Voies!W603-1,Honneur&gt;X603-1,Statut&gt;Y603-1,Gloire&gt;Z603-1,AV603=TRUE),Voies!B603,"")</f>
        <v/>
      </c>
      <c r="B603" s="162" t="s">
        <v>2572</v>
      </c>
      <c r="C603" s="162" t="b">
        <f>IF(Clan=Voies!D547,TRUE,FALSE)</f>
        <v>0</v>
      </c>
      <c r="D603" s="388" t="s">
        <v>20</v>
      </c>
      <c r="E603" s="199">
        <v>5</v>
      </c>
      <c r="F603" s="199">
        <v>5</v>
      </c>
      <c r="G603" s="199" t="s">
        <v>2049</v>
      </c>
      <c r="H603" s="162" t="s">
        <v>418</v>
      </c>
      <c r="I603" s="129" t="str">
        <f t="shared" ref="I603:I637" si="71">IF(B603="","","Rien")</f>
        <v>Rien</v>
      </c>
      <c r="J603" s="146">
        <v>0</v>
      </c>
      <c r="K603" s="147">
        <v>0</v>
      </c>
      <c r="L603" s="148">
        <v>0</v>
      </c>
      <c r="M603" s="149">
        <v>0</v>
      </c>
      <c r="N603" s="150">
        <v>0</v>
      </c>
      <c r="O603" s="130">
        <v>0</v>
      </c>
      <c r="P603" s="130">
        <v>0</v>
      </c>
      <c r="Q603" s="130">
        <v>5</v>
      </c>
      <c r="R603" s="130">
        <v>0</v>
      </c>
      <c r="S603" s="130">
        <v>0</v>
      </c>
      <c r="T603" s="130">
        <v>5</v>
      </c>
      <c r="U603" s="130">
        <v>0</v>
      </c>
      <c r="V603" s="524">
        <v>0</v>
      </c>
      <c r="W603" s="130">
        <v>0</v>
      </c>
      <c r="X603" s="130">
        <v>6</v>
      </c>
      <c r="Y603" s="130">
        <v>0</v>
      </c>
      <c r="Z603" s="130">
        <v>0</v>
      </c>
      <c r="AA603" s="159" t="s">
        <v>2593</v>
      </c>
      <c r="AB603" s="158" t="s">
        <v>231</v>
      </c>
      <c r="AC603" s="158"/>
      <c r="AD603" s="158">
        <v>5</v>
      </c>
      <c r="AE603" s="158" t="b">
        <f>IF(AB603="",TRUE,IF(IF(AC603="",VLOOKUP(AB603,Calculs!$A$19:$S$425,19,FALSE),VLOOKUP(AC603,Calculs!$A$19:$S$425,19,FALSE))&gt;=AD603,TRUE,FALSE))</f>
        <v>0</v>
      </c>
      <c r="AI603" s="158" t="b">
        <f>IF(AF603="",TRUE,IF(IF(AG603="",VLOOKUP(AF603,Calculs!$A$19:$S$425,19,FALSE),VLOOKUP(AG603,Calculs!$A$19:$S$425,19,FALSE))&gt;=AH603,TRUE,FALSE))</f>
        <v>1</v>
      </c>
      <c r="AM603" s="158" t="b">
        <f>IF(AJ603="",TRUE,IF(IF(AK603="",VLOOKUP(AJ603,Calculs!$A$19:$S$425,19,FALSE),VLOOKUP(AK603,Calculs!$A$19:$S$425,19,FALSE))&gt;=AL603,TRUE,FALSE))</f>
        <v>1</v>
      </c>
      <c r="AQ603" s="158" t="b">
        <f>IF(AN603="",TRUE,IF(IF(AO603="",VLOOKUP(AN603,Calculs!$A$19:$S$425,19,FALSE),VLOOKUP(AO603,Calculs!$A$19:$S$425,19,FALSE))&gt;=AP603,TRUE,FALSE))</f>
        <v>1</v>
      </c>
      <c r="AR603" s="158"/>
      <c r="AS603" s="158" t="b">
        <f>IF(AR603="",TRUE,IF(VLOOKUP(AR603,Calculs!$A$427:$G$738,7,FALSE)&gt;0,TRUE,FALSE))</f>
        <v>1</v>
      </c>
      <c r="AT603" s="158"/>
      <c r="AU603" s="158" t="b">
        <f>IF(AT603="",TRUE,IF(VLOOKUP(AT603,Calculs!$A$740:$G$912,7,FALSE)&gt;0,TRUE,FALSE))</f>
        <v>1</v>
      </c>
      <c r="AV603" s="158" t="b">
        <f t="shared" si="66"/>
        <v>0</v>
      </c>
      <c r="AW603" s="159" t="s">
        <v>8094</v>
      </c>
      <c r="AX603" s="162" t="s">
        <v>3</v>
      </c>
      <c r="AY603" s="15">
        <v>248</v>
      </c>
      <c r="AZ603" s="555" t="s">
        <v>2654</v>
      </c>
      <c r="BA603" s="559">
        <f>IF(Verso!$B$10=Voies!$B546,1,0)</f>
        <v>0</v>
      </c>
      <c r="BB603" s="12">
        <f>IF(Verso!$B$11=Voies!$B546,1,0)</f>
        <v>0</v>
      </c>
      <c r="BC603" s="12">
        <f>IF(Verso!$B$12=Voies!$B546,1,0)</f>
        <v>0</v>
      </c>
      <c r="BD603" s="12">
        <f>IF(Verso!$B$13=Voies!$B546,1,0)</f>
        <v>0</v>
      </c>
      <c r="BE603" s="12">
        <f>IF(Verso!$B$14=Voies!$B546,1,0)</f>
        <v>0</v>
      </c>
      <c r="BF603" s="12">
        <f>IF(Verso!$B$15=Voies!$B546,1,0)</f>
        <v>0</v>
      </c>
      <c r="BG603" s="12">
        <f>IF(Verso!$B$16=Voies!$B546,1,0)</f>
        <v>0</v>
      </c>
      <c r="BH603" s="12">
        <f>IF(Verso!$B$17=Voies!$B546,1,0)</f>
        <v>0</v>
      </c>
      <c r="BI603" s="557">
        <f t="shared" si="67"/>
        <v>0</v>
      </c>
      <c r="BJ603" s="196" t="str">
        <f t="shared" si="68"/>
        <v/>
      </c>
      <c r="BK603" s="196" t="str">
        <f t="shared" si="69"/>
        <v/>
      </c>
      <c r="BL603" s="295" t="str">
        <f t="shared" si="70"/>
        <v/>
      </c>
    </row>
    <row r="604" spans="1:64" ht="47.25" customHeight="1" x14ac:dyDescent="0.25">
      <c r="A604" s="162" t="str">
        <f>IF(AND(Réputation&gt;Voies!E604-1,OR(C604=TRUE,Calculs!$I$8&gt;0),Air&gt;Voies!J604-1,Eau&gt;Voies!K604-1,Feu&gt;Voies!L604-1,Terre&gt;Voies!M604-1,Vide&gt;Voies!N604-1,Constitution&gt;Voies!O604-1,Volonté&gt;Voies!P604-1,Force&gt;Voies!Q604-1,Perception&gt;Voies!R604-1,Reflexes&gt;Voies!S604-1,Agilité&gt;Voies!T604-1,Intuition&gt;Voies!U604-1,Intelligence&gt;Voies!V604-1,Souillure&gt;Voies!W604-1,Honneur&gt;X604-1,Statut&gt;Y604-1,Gloire&gt;Z604-1,AV604=TRUE),Voies!B604,"")</f>
        <v/>
      </c>
      <c r="B604" s="162" t="s">
        <v>8628</v>
      </c>
      <c r="C604" s="162" t="b">
        <f>IF(Clan=Voies!D604,TRUE,FALSE)</f>
        <v>0</v>
      </c>
      <c r="D604" s="388" t="s">
        <v>20</v>
      </c>
      <c r="E604" s="199">
        <v>5</v>
      </c>
      <c r="F604" s="199">
        <v>5</v>
      </c>
      <c r="G604" s="13" t="s">
        <v>2049</v>
      </c>
      <c r="H604" s="162" t="s">
        <v>208</v>
      </c>
      <c r="I604" s="129" t="str">
        <f t="shared" si="71"/>
        <v>Rien</v>
      </c>
      <c r="J604" s="146">
        <v>0</v>
      </c>
      <c r="K604" s="147">
        <v>0</v>
      </c>
      <c r="L604" s="148">
        <v>0</v>
      </c>
      <c r="M604" s="149">
        <v>0</v>
      </c>
      <c r="N604" s="150">
        <v>0</v>
      </c>
      <c r="O604" s="130">
        <v>0</v>
      </c>
      <c r="P604" s="130">
        <v>0</v>
      </c>
      <c r="Q604" s="130">
        <v>0</v>
      </c>
      <c r="R604" s="130">
        <v>0</v>
      </c>
      <c r="S604" s="130">
        <v>0</v>
      </c>
      <c r="T604" s="130">
        <v>0</v>
      </c>
      <c r="U604" s="130">
        <v>0</v>
      </c>
      <c r="V604" s="524">
        <v>0</v>
      </c>
      <c r="W604" s="130">
        <v>0</v>
      </c>
      <c r="X604" s="130">
        <v>0</v>
      </c>
      <c r="Y604" s="130">
        <v>0</v>
      </c>
      <c r="Z604" s="130">
        <v>0</v>
      </c>
      <c r="AA604" s="158" t="s">
        <v>2078</v>
      </c>
      <c r="AB604" s="158"/>
      <c r="AC604" s="158"/>
      <c r="AD604" s="158"/>
      <c r="AE604" s="158" t="b">
        <f>IF(AB604="",TRUE,IF(IF(AC604="",VLOOKUP(AB604,Calculs!$A$19:$S$425,19,FALSE),VLOOKUP(AC604,Calculs!$A$19:$S$425,19,FALSE))&gt;=AD604,TRUE,FALSE))</f>
        <v>1</v>
      </c>
      <c r="AF604" s="158"/>
      <c r="AG604" s="158"/>
      <c r="AH604" s="158"/>
      <c r="AI604" s="158" t="b">
        <f>IF(AF604="",TRUE,IF(IF(AG604="",VLOOKUP(AF604,Calculs!$A$19:$S$425,19,FALSE),VLOOKUP(AG604,Calculs!$A$19:$S$425,19,FALSE))&gt;=AH604,TRUE,FALSE))</f>
        <v>1</v>
      </c>
      <c r="AJ604" s="158"/>
      <c r="AK604" s="158"/>
      <c r="AL604" s="158"/>
      <c r="AM604" s="158" t="b">
        <f>IF(AJ604="",TRUE,IF(IF(AK604="",VLOOKUP(AJ604,Calculs!$A$19:$S$425,19,FALSE),VLOOKUP(AK604,Calculs!$A$19:$S$425,19,FALSE))&gt;=AL604,TRUE,FALSE))</f>
        <v>1</v>
      </c>
      <c r="AN604" s="158"/>
      <c r="AO604" s="158"/>
      <c r="AP604" s="158"/>
      <c r="AQ604" s="158" t="b">
        <f>IF(AN604="",TRUE,IF(IF(AO604="",VLOOKUP(AN604,Calculs!$A$19:$S$425,19,FALSE),VLOOKUP(AO604,Calculs!$A$19:$S$425,19,FALSE))&gt;=AP604,TRUE,FALSE))</f>
        <v>1</v>
      </c>
      <c r="AR604" s="158"/>
      <c r="AS604" s="158" t="b">
        <f>IF(AR604="",TRUE,IF(VLOOKUP(AR604,Calculs!$A$427:$G$738,7,FALSE)&gt;0,TRUE,FALSE))</f>
        <v>1</v>
      </c>
      <c r="AT604" s="158"/>
      <c r="AU604" s="158" t="b">
        <f>IF(AT604="",TRUE,IF(VLOOKUP(AT604,Calculs!$A$740:$G$912,7,FALSE)&gt;0,TRUE,FALSE))</f>
        <v>1</v>
      </c>
      <c r="AV604" s="158" t="b">
        <f t="shared" si="66"/>
        <v>1</v>
      </c>
      <c r="AW604" s="158" t="s">
        <v>2078</v>
      </c>
      <c r="AX604" s="162" t="s">
        <v>3</v>
      </c>
      <c r="AY604" s="15">
        <v>122</v>
      </c>
      <c r="AZ604" s="555" t="s">
        <v>8627</v>
      </c>
      <c r="BA604" s="559">
        <f>IF(Verso!$B$10=Voies!$B604,1,0)</f>
        <v>0</v>
      </c>
      <c r="BB604" s="12">
        <f>IF(Verso!$B$11=Voies!$B604,1,0)</f>
        <v>0</v>
      </c>
      <c r="BC604" s="12">
        <f>IF(Verso!$B$12=Voies!$B604,1,0)</f>
        <v>0</v>
      </c>
      <c r="BD604" s="12">
        <f>IF(Verso!$B$13=Voies!$B604,1,0)</f>
        <v>0</v>
      </c>
      <c r="BE604" s="12">
        <f>IF(Verso!$B$14=Voies!$B604,1,0)</f>
        <v>0</v>
      </c>
      <c r="BF604" s="12">
        <f>IF(Verso!$B$15=Voies!$B604,1,0)</f>
        <v>0</v>
      </c>
      <c r="BG604" s="12">
        <f>IF(Verso!$B$16=Voies!$B604,1,0)</f>
        <v>0</v>
      </c>
      <c r="BH604" s="12">
        <f>IF(Verso!$B$17=Voies!$B604,1,0)</f>
        <v>0</v>
      </c>
      <c r="BI604" s="557">
        <f t="shared" si="67"/>
        <v>0</v>
      </c>
      <c r="BJ604" s="196" t="str">
        <f t="shared" si="68"/>
        <v/>
      </c>
      <c r="BK604" s="196" t="str">
        <f t="shared" si="69"/>
        <v/>
      </c>
      <c r="BL604" s="295" t="str">
        <f t="shared" si="70"/>
        <v/>
      </c>
    </row>
    <row r="605" spans="1:64" ht="47.25" customHeight="1" x14ac:dyDescent="0.25">
      <c r="A605" s="162" t="str">
        <f>IF(AND(Réputation&gt;Voies!E605-1,OR(C605=TRUE,Calculs!$I$8&gt;0),Air&gt;Voies!J605-1,Eau&gt;Voies!K605-1,Feu&gt;Voies!L605-1,Terre&gt;Voies!M605-1,Vide&gt;Voies!N605-1,Constitution&gt;Voies!O605-1,Volonté&gt;Voies!P605-1,Force&gt;Voies!Q605-1,Perception&gt;Voies!R605-1,Reflexes&gt;Voies!S605-1,Agilité&gt;Voies!T605-1,Intuition&gt;Voies!U605-1,Intelligence&gt;Voies!V605-1,Souillure&gt;Voies!W605-1,Honneur&gt;X605-1,Statut&gt;Y605-1,Gloire&gt;Z605-1,AV605=TRUE),Voies!B605,"")</f>
        <v/>
      </c>
      <c r="B605" s="162" t="s">
        <v>2446</v>
      </c>
      <c r="C605" s="162" t="b">
        <f>IF(Clan=Voies!D605,TRUE,FALSE)</f>
        <v>0</v>
      </c>
      <c r="D605" s="388" t="s">
        <v>20</v>
      </c>
      <c r="E605" s="199">
        <v>5</v>
      </c>
      <c r="F605" s="199">
        <v>5</v>
      </c>
      <c r="G605" s="13" t="s">
        <v>2049</v>
      </c>
      <c r="H605" s="162" t="s">
        <v>203</v>
      </c>
      <c r="I605" s="129" t="str">
        <f t="shared" si="71"/>
        <v>Rien</v>
      </c>
      <c r="J605" s="146">
        <v>0</v>
      </c>
      <c r="K605" s="147">
        <v>0</v>
      </c>
      <c r="L605" s="148">
        <v>0</v>
      </c>
      <c r="M605" s="149">
        <v>0</v>
      </c>
      <c r="N605" s="150">
        <v>0</v>
      </c>
      <c r="O605" s="130">
        <v>0</v>
      </c>
      <c r="P605" s="130">
        <v>0</v>
      </c>
      <c r="Q605" s="130">
        <v>0</v>
      </c>
      <c r="R605" s="130">
        <v>0</v>
      </c>
      <c r="S605" s="130">
        <v>0</v>
      </c>
      <c r="T605" s="130">
        <v>0</v>
      </c>
      <c r="U605" s="130">
        <v>0</v>
      </c>
      <c r="V605" s="524">
        <v>0</v>
      </c>
      <c r="W605" s="130">
        <v>0</v>
      </c>
      <c r="X605" s="130">
        <v>0</v>
      </c>
      <c r="Y605" s="130">
        <v>0</v>
      </c>
      <c r="Z605" s="130">
        <v>0</v>
      </c>
      <c r="AA605" s="158" t="s">
        <v>2078</v>
      </c>
      <c r="AB605" s="158"/>
      <c r="AC605" s="158"/>
      <c r="AD605" s="158"/>
      <c r="AE605" s="158" t="b">
        <f>IF(AB605="",TRUE,IF(IF(AC605="",VLOOKUP(AB605,Calculs!$A$19:$S$425,19,FALSE),VLOOKUP(AC605,Calculs!$A$19:$S$425,19,FALSE))&gt;=AD605,TRUE,FALSE))</f>
        <v>1</v>
      </c>
      <c r="AF605" s="158"/>
      <c r="AG605" s="158"/>
      <c r="AH605" s="158"/>
      <c r="AI605" s="158" t="b">
        <f>IF(AF605="",TRUE,IF(IF(AG605="",VLOOKUP(AF605,Calculs!$A$19:$S$425,19,FALSE),VLOOKUP(AG605,Calculs!$A$19:$S$425,19,FALSE))&gt;=AH605,TRUE,FALSE))</f>
        <v>1</v>
      </c>
      <c r="AJ605" s="158"/>
      <c r="AK605" s="158"/>
      <c r="AL605" s="158"/>
      <c r="AM605" s="158" t="b">
        <f>IF(AJ605="",TRUE,IF(IF(AK605="",VLOOKUP(AJ605,Calculs!$A$19:$S$425,19,FALSE),VLOOKUP(AK605,Calculs!$A$19:$S$425,19,FALSE))&gt;=AL605,TRUE,FALSE))</f>
        <v>1</v>
      </c>
      <c r="AN605" s="158"/>
      <c r="AO605" s="158"/>
      <c r="AP605" s="158"/>
      <c r="AQ605" s="158" t="b">
        <f>IF(AN605="",TRUE,IF(IF(AO605="",VLOOKUP(AN605,Calculs!$A$19:$S$425,19,FALSE),VLOOKUP(AO605,Calculs!$A$19:$S$425,19,FALSE))&gt;=AP605,TRUE,FALSE))</f>
        <v>1</v>
      </c>
      <c r="AR605" s="158"/>
      <c r="AS605" s="158" t="b">
        <f>IF(AR605="",TRUE,IF(VLOOKUP(AR605,Calculs!$A$427:$G$738,7,FALSE)&gt;0,TRUE,FALSE))</f>
        <v>1</v>
      </c>
      <c r="AT605" s="158"/>
      <c r="AU605" s="158" t="b">
        <f>IF(AT605="",TRUE,IF(VLOOKUP(AT605,Calculs!$A$740:$G$912,7,FALSE)&gt;0,TRUE,FALSE))</f>
        <v>1</v>
      </c>
      <c r="AV605" s="158" t="b">
        <f t="shared" si="66"/>
        <v>1</v>
      </c>
      <c r="AW605" s="158" t="s">
        <v>2078</v>
      </c>
      <c r="AX605" s="162" t="s">
        <v>3</v>
      </c>
      <c r="AY605" s="15">
        <v>120</v>
      </c>
      <c r="AZ605" s="555" t="s">
        <v>2447</v>
      </c>
      <c r="BA605" s="559">
        <f>IF(Verso!$B$10=Voies!$B605,1,0)</f>
        <v>0</v>
      </c>
      <c r="BB605" s="12">
        <f>IF(Verso!$B$11=Voies!$B605,1,0)</f>
        <v>0</v>
      </c>
      <c r="BC605" s="12">
        <f>IF(Verso!$B$12=Voies!$B605,1,0)</f>
        <v>0</v>
      </c>
      <c r="BD605" s="12">
        <f>IF(Verso!$B$13=Voies!$B605,1,0)</f>
        <v>0</v>
      </c>
      <c r="BE605" s="12">
        <f>IF(Verso!$B$14=Voies!$B605,1,0)</f>
        <v>0</v>
      </c>
      <c r="BF605" s="12">
        <f>IF(Verso!$B$15=Voies!$B605,1,0)</f>
        <v>0</v>
      </c>
      <c r="BG605" s="12">
        <f>IF(Verso!$B$16=Voies!$B605,1,0)</f>
        <v>0</v>
      </c>
      <c r="BH605" s="12">
        <f>IF(Verso!$B$17=Voies!$B605,1,0)</f>
        <v>0</v>
      </c>
      <c r="BI605" s="557">
        <f t="shared" si="67"/>
        <v>0</v>
      </c>
      <c r="BJ605" s="196" t="str">
        <f t="shared" si="68"/>
        <v/>
      </c>
      <c r="BK605" s="196" t="str">
        <f t="shared" si="69"/>
        <v/>
      </c>
      <c r="BL605" s="295" t="str">
        <f t="shared" si="70"/>
        <v/>
      </c>
    </row>
    <row r="606" spans="1:64" ht="47.25" customHeight="1" x14ac:dyDescent="0.25">
      <c r="A606" s="162" t="str">
        <f>IF(AND(Réputation&gt;Voies!E606-1,OR(C606=TRUE,Calculs!$I$8&gt;0),Air&gt;Voies!J606-1,Eau&gt;Voies!K606-1,Feu&gt;Voies!L606-1,Terre&gt;Voies!M606-1,Vide&gt;Voies!N606-1,Constitution&gt;Voies!O606-1,Volonté&gt;Voies!P606-1,Force&gt;Voies!Q606-1,Perception&gt;Voies!R606-1,Reflexes&gt;Voies!S606-1,Agilité&gt;Voies!T606-1,Intuition&gt;Voies!U606-1,Intelligence&gt;Voies!V606-1,Souillure&gt;Voies!W606-1,Honneur&gt;X606-1,Statut&gt;Y606-1,Gloire&gt;Z606-1,AV606=TRUE),Voies!B606,"")</f>
        <v/>
      </c>
      <c r="B606" s="162" t="s">
        <v>6083</v>
      </c>
      <c r="C606" s="162" t="b">
        <f>IF(Clan=Voies!D606,TRUE,FALSE)</f>
        <v>0</v>
      </c>
      <c r="D606" s="387" t="s">
        <v>20</v>
      </c>
      <c r="E606" s="13">
        <v>5</v>
      </c>
      <c r="F606" s="199">
        <v>5</v>
      </c>
      <c r="G606" s="13" t="s">
        <v>2049</v>
      </c>
      <c r="H606" s="162" t="s">
        <v>1937</v>
      </c>
      <c r="I606" s="129" t="str">
        <f t="shared" si="71"/>
        <v>Rien</v>
      </c>
      <c r="J606" s="146">
        <v>0</v>
      </c>
      <c r="K606" s="147">
        <v>0</v>
      </c>
      <c r="L606" s="148">
        <v>0</v>
      </c>
      <c r="M606" s="149">
        <v>0</v>
      </c>
      <c r="N606" s="150">
        <v>0</v>
      </c>
      <c r="O606" s="130">
        <v>0</v>
      </c>
      <c r="P606" s="130">
        <v>0</v>
      </c>
      <c r="Q606" s="130">
        <v>0</v>
      </c>
      <c r="R606" s="130">
        <v>0</v>
      </c>
      <c r="S606" s="130">
        <v>0</v>
      </c>
      <c r="T606" s="130">
        <v>0</v>
      </c>
      <c r="U606" s="130">
        <v>0</v>
      </c>
      <c r="V606" s="524">
        <v>0</v>
      </c>
      <c r="W606" s="130">
        <v>0</v>
      </c>
      <c r="X606" s="130">
        <v>0</v>
      </c>
      <c r="Y606" s="130">
        <v>0</v>
      </c>
      <c r="Z606" s="130">
        <v>0</v>
      </c>
      <c r="AA606" s="158" t="s">
        <v>2078</v>
      </c>
      <c r="AB606" s="158"/>
      <c r="AC606" s="158"/>
      <c r="AD606" s="158"/>
      <c r="AE606" s="158" t="b">
        <f>IF(AB606="",TRUE,IF(IF(AC606="",VLOOKUP(AB606,Calculs!$A$19:$S$425,19,FALSE),VLOOKUP(AC606,Calculs!$A$19:$S$425,19,FALSE))&gt;=AD606,TRUE,FALSE))</f>
        <v>1</v>
      </c>
      <c r="AF606" s="158"/>
      <c r="AG606" s="158"/>
      <c r="AH606" s="158"/>
      <c r="AI606" s="158" t="b">
        <f>IF(AF606="",TRUE,IF(IF(AG606="",VLOOKUP(AF606,Calculs!$A$19:$S$425,19,FALSE),VLOOKUP(AG606,Calculs!$A$19:$S$425,19,FALSE))&gt;=AH606,TRUE,FALSE))</f>
        <v>1</v>
      </c>
      <c r="AJ606" s="158"/>
      <c r="AK606" s="158"/>
      <c r="AL606" s="158"/>
      <c r="AM606" s="158" t="b">
        <f>IF(AJ606="",TRUE,IF(IF(AK606="",VLOOKUP(AJ606,Calculs!$A$19:$S$425,19,FALSE),VLOOKUP(AK606,Calculs!$A$19:$S$425,19,FALSE))&gt;=AL606,TRUE,FALSE))</f>
        <v>1</v>
      </c>
      <c r="AN606" s="158"/>
      <c r="AO606" s="158"/>
      <c r="AP606" s="158"/>
      <c r="AQ606" s="158" t="b">
        <f>IF(AN606="",TRUE,IF(IF(AO606="",VLOOKUP(AN606,Calculs!$A$19:$S$425,19,FALSE),VLOOKUP(AO606,Calculs!$A$19:$S$425,19,FALSE))&gt;=AP606,TRUE,FALSE))</f>
        <v>1</v>
      </c>
      <c r="AR606" s="158"/>
      <c r="AS606" s="158" t="b">
        <f>IF(AR606="",TRUE,IF(VLOOKUP(AR606,Calculs!$A$427:$G$738,7,FALSE)&gt;0,TRUE,FALSE))</f>
        <v>1</v>
      </c>
      <c r="AT606" s="158"/>
      <c r="AU606" s="158" t="b">
        <f>IF(AT606="",TRUE,IF(VLOOKUP(AT606,Calculs!$A$740:$G$912,7,FALSE)&gt;0,TRUE,FALSE))</f>
        <v>1</v>
      </c>
      <c r="AV606" s="158" t="b">
        <f t="shared" si="66"/>
        <v>1</v>
      </c>
      <c r="AW606" s="158" t="s">
        <v>2078</v>
      </c>
      <c r="AX606" s="162" t="s">
        <v>6061</v>
      </c>
      <c r="AY606" s="15">
        <v>167</v>
      </c>
      <c r="AZ606" s="555" t="s">
        <v>2856</v>
      </c>
      <c r="BA606" s="559">
        <f>IF(Verso!$B$10=Voies!$B606,1,0)</f>
        <v>0</v>
      </c>
      <c r="BB606" s="12">
        <f>IF(Verso!$B$11=Voies!$B606,1,0)</f>
        <v>0</v>
      </c>
      <c r="BC606" s="12">
        <f>IF(Verso!$B$12=Voies!$B606,1,0)</f>
        <v>0</v>
      </c>
      <c r="BD606" s="12">
        <f>IF(Verso!$B$13=Voies!$B606,1,0)</f>
        <v>0</v>
      </c>
      <c r="BE606" s="12">
        <f>IF(Verso!$B$14=Voies!$B606,1,0)</f>
        <v>0</v>
      </c>
      <c r="BF606" s="12">
        <f>IF(Verso!$B$15=Voies!$B606,1,0)</f>
        <v>0</v>
      </c>
      <c r="BG606" s="12">
        <f>IF(Verso!$B$16=Voies!$B606,1,0)</f>
        <v>0</v>
      </c>
      <c r="BH606" s="12">
        <f>IF(Verso!$B$17=Voies!$B606,1,0)</f>
        <v>0</v>
      </c>
      <c r="BI606" s="557">
        <f t="shared" si="67"/>
        <v>0</v>
      </c>
      <c r="BJ606" s="196" t="str">
        <f t="shared" si="68"/>
        <v/>
      </c>
      <c r="BK606" s="196" t="str">
        <f t="shared" si="69"/>
        <v/>
      </c>
      <c r="BL606" s="295" t="str">
        <f t="shared" si="70"/>
        <v/>
      </c>
    </row>
    <row r="607" spans="1:64" ht="47.25" customHeight="1" x14ac:dyDescent="0.25">
      <c r="A607" s="162" t="str">
        <f>IF(AND(Réputation&gt;Voies!E607-1,OR(C607=TRUE,Calculs!$I$8&gt;0),Air&gt;Voies!J607-1,Eau&gt;Voies!K607-1,Feu&gt;Voies!L607-1,Terre&gt;Voies!M607-1,Vide&gt;Voies!N607-1,Constitution&gt;Voies!O607-1,Volonté&gt;Voies!P607-1,Force&gt;Voies!Q607-1,Perception&gt;Voies!R607-1,Reflexes&gt;Voies!S607-1,Agilité&gt;Voies!T607-1,Intuition&gt;Voies!U607-1,Intelligence&gt;Voies!V607-1,Souillure&gt;Voies!W607-1,Honneur&gt;X607-1,Statut&gt;Y607-1,Gloire&gt;Z607-1,AV607=TRUE),Voies!B607,"")</f>
        <v/>
      </c>
      <c r="B607" s="162" t="s">
        <v>2915</v>
      </c>
      <c r="C607" s="162" t="b">
        <f>IF(Clan=Voies!D607,TRUE,FALSE)</f>
        <v>0</v>
      </c>
      <c r="D607" s="388" t="s">
        <v>20</v>
      </c>
      <c r="E607" s="13">
        <v>5</v>
      </c>
      <c r="F607" s="199">
        <v>5</v>
      </c>
      <c r="G607" s="13" t="s">
        <v>2049</v>
      </c>
      <c r="H607" s="162" t="s">
        <v>207</v>
      </c>
      <c r="I607" s="129" t="str">
        <f t="shared" si="71"/>
        <v>Rien</v>
      </c>
      <c r="J607" s="146">
        <v>0</v>
      </c>
      <c r="K607" s="147">
        <v>0</v>
      </c>
      <c r="L607" s="148">
        <v>0</v>
      </c>
      <c r="M607" s="149">
        <v>0</v>
      </c>
      <c r="N607" s="150">
        <v>0</v>
      </c>
      <c r="O607" s="130">
        <v>0</v>
      </c>
      <c r="P607" s="130">
        <v>0</v>
      </c>
      <c r="Q607" s="130">
        <v>0</v>
      </c>
      <c r="R607" s="130">
        <v>0</v>
      </c>
      <c r="S607" s="130">
        <v>0</v>
      </c>
      <c r="T607" s="130">
        <v>0</v>
      </c>
      <c r="U607" s="130">
        <v>0</v>
      </c>
      <c r="V607" s="524">
        <v>0</v>
      </c>
      <c r="W607" s="130">
        <v>0</v>
      </c>
      <c r="X607" s="130">
        <v>0</v>
      </c>
      <c r="Y607" s="130">
        <v>0</v>
      </c>
      <c r="Z607" s="130">
        <v>0</v>
      </c>
      <c r="AA607" s="158" t="s">
        <v>2078</v>
      </c>
      <c r="AB607" s="158"/>
      <c r="AC607" s="158"/>
      <c r="AD607" s="158"/>
      <c r="AE607" s="158" t="b">
        <f>IF(AB607="",TRUE,IF(IF(AC607="",VLOOKUP(AB607,Calculs!$A$19:$S$425,19,FALSE),VLOOKUP(AC607,Calculs!$A$19:$S$425,19,FALSE))&gt;=AD607,TRUE,FALSE))</f>
        <v>1</v>
      </c>
      <c r="AF607" s="158"/>
      <c r="AG607" s="158"/>
      <c r="AH607" s="158"/>
      <c r="AI607" s="158" t="b">
        <f>IF(AF607="",TRUE,IF(IF(AG607="",VLOOKUP(AF607,Calculs!$A$19:$S$425,19,FALSE),VLOOKUP(AG607,Calculs!$A$19:$S$425,19,FALSE))&gt;=AH607,TRUE,FALSE))</f>
        <v>1</v>
      </c>
      <c r="AJ607" s="158"/>
      <c r="AK607" s="158"/>
      <c r="AL607" s="158"/>
      <c r="AM607" s="158" t="b">
        <f>IF(AJ607="",TRUE,IF(IF(AK607="",VLOOKUP(AJ607,Calculs!$A$19:$S$425,19,FALSE),VLOOKUP(AK607,Calculs!$A$19:$S$425,19,FALSE))&gt;=AL607,TRUE,FALSE))</f>
        <v>1</v>
      </c>
      <c r="AN607" s="158"/>
      <c r="AO607" s="158"/>
      <c r="AP607" s="158"/>
      <c r="AQ607" s="158" t="b">
        <f>IF(AN607="",TRUE,IF(IF(AO607="",VLOOKUP(AN607,Calculs!$A$19:$S$425,19,FALSE),VLOOKUP(AO607,Calculs!$A$19:$S$425,19,FALSE))&gt;=AP607,TRUE,FALSE))</f>
        <v>1</v>
      </c>
      <c r="AR607" s="158"/>
      <c r="AS607" s="158" t="b">
        <f>IF(AR607="",TRUE,IF(VLOOKUP(AR607,Calculs!$A$427:$G$738,7,FALSE)&gt;0,TRUE,FALSE))</f>
        <v>1</v>
      </c>
      <c r="AT607" s="158"/>
      <c r="AU607" s="158" t="b">
        <f>IF(AT607="",TRUE,IF(VLOOKUP(AT607,Calculs!$A$740:$G$912,7,FALSE)&gt;0,TRUE,FALSE))</f>
        <v>1</v>
      </c>
      <c r="AV607" s="158" t="b">
        <f t="shared" si="66"/>
        <v>1</v>
      </c>
      <c r="AW607" s="158" t="s">
        <v>2078</v>
      </c>
      <c r="AX607" s="162" t="s">
        <v>2910</v>
      </c>
      <c r="AY607" s="15">
        <v>8</v>
      </c>
      <c r="AZ607" s="555" t="s">
        <v>8629</v>
      </c>
      <c r="BA607" s="559">
        <f>IF(Verso!$B$10=Voies!$B607,1,0)</f>
        <v>0</v>
      </c>
      <c r="BB607" s="12">
        <f>IF(Verso!$B$11=Voies!$B607,1,0)</f>
        <v>0</v>
      </c>
      <c r="BC607" s="12">
        <f>IF(Verso!$B$12=Voies!$B607,1,0)</f>
        <v>0</v>
      </c>
      <c r="BD607" s="12">
        <f>IF(Verso!$B$13=Voies!$B607,1,0)</f>
        <v>0</v>
      </c>
      <c r="BE607" s="12">
        <f>IF(Verso!$B$14=Voies!$B607,1,0)</f>
        <v>0</v>
      </c>
      <c r="BF607" s="12">
        <f>IF(Verso!$B$15=Voies!$B607,1,0)</f>
        <v>0</v>
      </c>
      <c r="BG607" s="12">
        <f>IF(Verso!$B$16=Voies!$B607,1,0)</f>
        <v>0</v>
      </c>
      <c r="BH607" s="12">
        <f>IF(Verso!$B$17=Voies!$B607,1,0)</f>
        <v>0</v>
      </c>
      <c r="BI607" s="557">
        <f t="shared" si="67"/>
        <v>0</v>
      </c>
      <c r="BJ607" s="196" t="str">
        <f t="shared" si="68"/>
        <v/>
      </c>
      <c r="BK607" s="196" t="str">
        <f t="shared" si="69"/>
        <v/>
      </c>
      <c r="BL607" s="295" t="str">
        <f t="shared" si="70"/>
        <v/>
      </c>
    </row>
    <row r="608" spans="1:64" ht="47.25" customHeight="1" x14ac:dyDescent="0.25">
      <c r="A608" s="162" t="str">
        <f>IF(AND(Réputation&gt;Voies!E608-1,OR(C608=TRUE,Calculs!$I$8&gt;0),Air&gt;Voies!J608-1,Eau&gt;Voies!K608-1,Feu&gt;Voies!L608-1,Terre&gt;Voies!M608-1,Vide&gt;Voies!N608-1,Constitution&gt;Voies!O608-1,Volonté&gt;Voies!P608-1,Force&gt;Voies!Q608-1,Perception&gt;Voies!R608-1,Reflexes&gt;Voies!S608-1,Agilité&gt;Voies!T608-1,Intuition&gt;Voies!U608-1,Intelligence&gt;Voies!V608-1,Souillure&gt;Voies!W608-1,Honneur&gt;X608-1,Statut&gt;Y608-1,Gloire&gt;Z608-1,AV608=TRUE),Voies!B608,"")</f>
        <v/>
      </c>
      <c r="B608" s="162" t="s">
        <v>4835</v>
      </c>
      <c r="C608" s="162" t="b">
        <f>IF(Clan=Voies!D608,TRUE,FALSE)</f>
        <v>0</v>
      </c>
      <c r="D608" s="388" t="s">
        <v>20</v>
      </c>
      <c r="E608" s="13">
        <v>5</v>
      </c>
      <c r="F608" s="199">
        <v>5</v>
      </c>
      <c r="G608" s="13" t="s">
        <v>2049</v>
      </c>
      <c r="H608" s="162" t="s">
        <v>205</v>
      </c>
      <c r="I608" s="129" t="str">
        <f t="shared" si="71"/>
        <v>Rien</v>
      </c>
      <c r="J608" s="146">
        <v>0</v>
      </c>
      <c r="K608" s="147">
        <v>0</v>
      </c>
      <c r="L608" s="148">
        <v>0</v>
      </c>
      <c r="M608" s="149">
        <v>0</v>
      </c>
      <c r="N608" s="150">
        <v>0</v>
      </c>
      <c r="O608" s="130">
        <v>0</v>
      </c>
      <c r="P608" s="130">
        <v>0</v>
      </c>
      <c r="Q608" s="130">
        <v>0</v>
      </c>
      <c r="R608" s="130">
        <v>0</v>
      </c>
      <c r="S608" s="130">
        <v>0</v>
      </c>
      <c r="T608" s="130">
        <v>0</v>
      </c>
      <c r="U608" s="130">
        <v>0</v>
      </c>
      <c r="V608" s="524">
        <v>0</v>
      </c>
      <c r="W608" s="130">
        <v>0</v>
      </c>
      <c r="X608" s="130">
        <v>0</v>
      </c>
      <c r="Y608" s="130">
        <v>0</v>
      </c>
      <c r="Z608" s="130">
        <v>0</v>
      </c>
      <c r="AA608" s="158" t="s">
        <v>2078</v>
      </c>
      <c r="AB608" s="158"/>
      <c r="AC608" s="158"/>
      <c r="AD608" s="158"/>
      <c r="AE608" s="158" t="b">
        <f>IF(AB608="",TRUE,IF(IF(AC608="",VLOOKUP(AB608,Calculs!$A$19:$S$425,19,FALSE),VLOOKUP(AC608,Calculs!$A$19:$S$425,19,FALSE))&gt;=AD608,TRUE,FALSE))</f>
        <v>1</v>
      </c>
      <c r="AF608" s="158"/>
      <c r="AG608" s="158"/>
      <c r="AH608" s="158"/>
      <c r="AI608" s="158" t="b">
        <f>IF(AF608="",TRUE,IF(IF(AG608="",VLOOKUP(AF608,Calculs!$A$19:$S$425,19,FALSE),VLOOKUP(AG608,Calculs!$A$19:$S$425,19,FALSE))&gt;=AH608,TRUE,FALSE))</f>
        <v>1</v>
      </c>
      <c r="AJ608" s="158"/>
      <c r="AK608" s="158"/>
      <c r="AL608" s="158"/>
      <c r="AM608" s="158" t="b">
        <f>IF(AJ608="",TRUE,IF(IF(AK608="",VLOOKUP(AJ608,Calculs!$A$19:$S$425,19,FALSE),VLOOKUP(AK608,Calculs!$A$19:$S$425,19,FALSE))&gt;=AL608,TRUE,FALSE))</f>
        <v>1</v>
      </c>
      <c r="AN608" s="158"/>
      <c r="AO608" s="158"/>
      <c r="AP608" s="158"/>
      <c r="AQ608" s="158" t="b">
        <f>IF(AN608="",TRUE,IF(IF(AO608="",VLOOKUP(AN608,Calculs!$A$19:$S$425,19,FALSE),VLOOKUP(AO608,Calculs!$A$19:$S$425,19,FALSE))&gt;=AP608,TRUE,FALSE))</f>
        <v>1</v>
      </c>
      <c r="AR608" s="158"/>
      <c r="AS608" s="158" t="b">
        <f>IF(AR608="",TRUE,IF(VLOOKUP(AR608,Calculs!$A$427:$G$738,7,FALSE)&gt;0,TRUE,FALSE))</f>
        <v>1</v>
      </c>
      <c r="AT608" s="158"/>
      <c r="AU608" s="158" t="b">
        <f>IF(AT608="",TRUE,IF(VLOOKUP(AT608,Calculs!$A$740:$G$912,7,FALSE)&gt;0,TRUE,FALSE))</f>
        <v>1</v>
      </c>
      <c r="AV608" s="158" t="b">
        <f t="shared" si="66"/>
        <v>1</v>
      </c>
      <c r="AW608" s="158" t="s">
        <v>2078</v>
      </c>
      <c r="AX608" s="162" t="s">
        <v>5202</v>
      </c>
      <c r="AY608" s="15">
        <v>109</v>
      </c>
      <c r="AZ608" s="555" t="str">
        <f>CONCATENATE("Dépensez un Pvide et une Act.G: Test d'Opposition Courtisan/Intuition vs. Etiquette(Courtoisie)/Intuition. En cas de succès, vous donnez un malus de -",Intuition+Honneur," à l'attaque et aux jets d'Opposition Socials de votre adversaire")</f>
        <v>Dépensez un Pvide et une Act.G: Test d'Opposition Courtisan/Intuition vs. Etiquette(Courtoisie)/Intuition. En cas de succès, vous donnez un malus de -2 à l'attaque et aux jets d'Opposition Socials de votre adversaire</v>
      </c>
      <c r="BA608" s="559">
        <f>IF(Verso!$B$10=Voies!$B608,1,0)</f>
        <v>0</v>
      </c>
      <c r="BB608" s="12">
        <f>IF(Verso!$B$11=Voies!$B608,1,0)</f>
        <v>0</v>
      </c>
      <c r="BC608" s="12">
        <f>IF(Verso!$B$12=Voies!$B608,1,0)</f>
        <v>0</v>
      </c>
      <c r="BD608" s="12">
        <f>IF(Verso!$B$13=Voies!$B608,1,0)</f>
        <v>0</v>
      </c>
      <c r="BE608" s="12">
        <f>IF(Verso!$B$14=Voies!$B608,1,0)</f>
        <v>0</v>
      </c>
      <c r="BF608" s="12">
        <f>IF(Verso!$B$15=Voies!$B608,1,0)</f>
        <v>0</v>
      </c>
      <c r="BG608" s="12">
        <f>IF(Verso!$B$16=Voies!$B608,1,0)</f>
        <v>0</v>
      </c>
      <c r="BH608" s="12">
        <f>IF(Verso!$B$17=Voies!$B608,1,0)</f>
        <v>0</v>
      </c>
      <c r="BI608" s="557">
        <f t="shared" si="67"/>
        <v>0</v>
      </c>
      <c r="BJ608" s="196" t="str">
        <f t="shared" si="68"/>
        <v/>
      </c>
      <c r="BK608" s="196" t="str">
        <f t="shared" si="69"/>
        <v/>
      </c>
      <c r="BL608" s="295" t="str">
        <f t="shared" si="70"/>
        <v/>
      </c>
    </row>
    <row r="609" spans="1:65" ht="47.25" customHeight="1" x14ac:dyDescent="0.25">
      <c r="A609" s="162" t="str">
        <f>IF(AND(Réputation&gt;Voies!E609-1,OR(C609=TRUE,Calculs!$I$8&gt;0),Air&gt;Voies!J609-1,Eau&gt;Voies!K609-1,Feu&gt;Voies!L609-1,Terre&gt;Voies!M609-1,Vide&gt;Voies!N609-1,Constitution&gt;Voies!O609-1,Volonté&gt;Voies!P609-1,Force&gt;Voies!Q609-1,Perception&gt;Voies!R609-1,Reflexes&gt;Voies!S609-1,Agilité&gt;Voies!T609-1,Intuition&gt;Voies!U609-1,Intelligence&gt;Voies!V609-1,Souillure&gt;Voies!W609-1,Honneur&gt;X609-1,Statut&gt;Y609-1,Gloire&gt;Z609-1,AV609=TRUE),Voies!B609,"")</f>
        <v/>
      </c>
      <c r="B609" s="162" t="s">
        <v>7829</v>
      </c>
      <c r="C609" s="162" t="b">
        <f>IF(Clan=Voies!D609,TRUE,FALSE)</f>
        <v>0</v>
      </c>
      <c r="D609" s="388" t="s">
        <v>20</v>
      </c>
      <c r="E609" s="13">
        <v>5</v>
      </c>
      <c r="F609" s="199">
        <v>5</v>
      </c>
      <c r="G609" s="13" t="s">
        <v>2049</v>
      </c>
      <c r="H609" s="162" t="s">
        <v>7791</v>
      </c>
      <c r="I609" s="129" t="str">
        <f t="shared" si="71"/>
        <v>Rien</v>
      </c>
      <c r="J609" s="146">
        <v>0</v>
      </c>
      <c r="K609" s="147">
        <v>0</v>
      </c>
      <c r="L609" s="148">
        <v>0</v>
      </c>
      <c r="M609" s="149">
        <v>0</v>
      </c>
      <c r="N609" s="150">
        <v>0</v>
      </c>
      <c r="O609" s="130">
        <v>0</v>
      </c>
      <c r="P609" s="130">
        <v>0</v>
      </c>
      <c r="Q609" s="130">
        <v>0</v>
      </c>
      <c r="R609" s="130">
        <v>0</v>
      </c>
      <c r="S609" s="130">
        <v>0</v>
      </c>
      <c r="T609" s="130">
        <v>0</v>
      </c>
      <c r="U609" s="130">
        <v>0</v>
      </c>
      <c r="V609" s="524">
        <v>0</v>
      </c>
      <c r="W609" s="130">
        <v>0</v>
      </c>
      <c r="X609" s="130">
        <v>0</v>
      </c>
      <c r="Y609" s="130">
        <v>0</v>
      </c>
      <c r="Z609" s="130">
        <v>0</v>
      </c>
      <c r="AA609" s="158" t="s">
        <v>2078</v>
      </c>
      <c r="AB609" s="158"/>
      <c r="AC609" s="158"/>
      <c r="AD609" s="158"/>
      <c r="AE609" s="158" t="b">
        <f>IF(AB609="",TRUE,IF(IF(AC609="",VLOOKUP(AB609,Calculs!$A$19:$S$425,19,FALSE),VLOOKUP(AC609,Calculs!$A$19:$S$425,19,FALSE))&gt;=AD609,TRUE,FALSE))</f>
        <v>1</v>
      </c>
      <c r="AF609" s="158"/>
      <c r="AG609" s="158"/>
      <c r="AH609" s="158"/>
      <c r="AI609" s="158" t="b">
        <f>IF(AF609="",TRUE,IF(IF(AG609="",VLOOKUP(AF609,Calculs!$A$19:$S$425,19,FALSE),VLOOKUP(AG609,Calculs!$A$19:$S$425,19,FALSE))&gt;=AH609,TRUE,FALSE))</f>
        <v>1</v>
      </c>
      <c r="AJ609" s="158"/>
      <c r="AK609" s="158"/>
      <c r="AL609" s="158"/>
      <c r="AM609" s="158" t="b">
        <f>IF(AJ609="",TRUE,IF(IF(AK609="",VLOOKUP(AJ609,Calculs!$A$19:$S$425,19,FALSE),VLOOKUP(AK609,Calculs!$A$19:$S$425,19,FALSE))&gt;=AL609,TRUE,FALSE))</f>
        <v>1</v>
      </c>
      <c r="AN609" s="158"/>
      <c r="AO609" s="158"/>
      <c r="AP609" s="158"/>
      <c r="AQ609" s="158" t="b">
        <f>IF(AN609="",TRUE,IF(IF(AO609="",VLOOKUP(AN609,Calculs!$A$19:$S$425,19,FALSE),VLOOKUP(AO609,Calculs!$A$19:$S$425,19,FALSE))&gt;=AP609,TRUE,FALSE))</f>
        <v>1</v>
      </c>
      <c r="AR609" s="158"/>
      <c r="AS609" s="158" t="b">
        <f>IF(AR609="",TRUE,IF(VLOOKUP(AR609,Calculs!$A$427:$G$738,7,FALSE)&gt;0,TRUE,FALSE))</f>
        <v>1</v>
      </c>
      <c r="AT609" s="158"/>
      <c r="AU609" s="158" t="b">
        <f>IF(AT609="",TRUE,IF(VLOOKUP(AT609,Calculs!$A$740:$G$912,7,FALSE)&gt;0,TRUE,FALSE))</f>
        <v>1</v>
      </c>
      <c r="AV609" s="158" t="b">
        <f t="shared" si="66"/>
        <v>1</v>
      </c>
      <c r="AW609" s="158" t="s">
        <v>2078</v>
      </c>
      <c r="AX609" s="162" t="s">
        <v>7226</v>
      </c>
      <c r="AY609" s="15">
        <v>68</v>
      </c>
      <c r="AZ609" s="555" t="str">
        <f>CONCATENATE("Une fois par jour en Action Complexe vous pouvez dépenser un Pvide pour ignorer les pénalités et effets de vos blessures (y compris Epuisé, Hors Combat et Mort) pendant ",Intuition," rounds.")</f>
        <v>Une fois par jour en Action Complexe vous pouvez dépenser un Pvide pour ignorer les pénalités et effets de vos blessures (y compris Epuisé, Hors Combat et Mort) pendant 2 rounds.</v>
      </c>
      <c r="BA609" s="559">
        <f>IF(Verso!$B$10=Voies!$B609,1,0)</f>
        <v>0</v>
      </c>
      <c r="BB609" s="12">
        <f>IF(Verso!$B$11=Voies!$B609,1,0)</f>
        <v>0</v>
      </c>
      <c r="BC609" s="12">
        <f>IF(Verso!$B$12=Voies!$B609,1,0)</f>
        <v>0</v>
      </c>
      <c r="BD609" s="12">
        <f>IF(Verso!$B$13=Voies!$B609,1,0)</f>
        <v>0</v>
      </c>
      <c r="BE609" s="12">
        <f>IF(Verso!$B$14=Voies!$B609,1,0)</f>
        <v>0</v>
      </c>
      <c r="BF609" s="12">
        <f>IF(Verso!$B$15=Voies!$B609,1,0)</f>
        <v>0</v>
      </c>
      <c r="BG609" s="12">
        <f>IF(Verso!$B$16=Voies!$B609,1,0)</f>
        <v>0</v>
      </c>
      <c r="BH609" s="12">
        <f>IF(Verso!$B$17=Voies!$B609,1,0)</f>
        <v>0</v>
      </c>
      <c r="BI609" s="557">
        <f t="shared" si="67"/>
        <v>0</v>
      </c>
      <c r="BJ609" s="196" t="str">
        <f t="shared" si="68"/>
        <v/>
      </c>
      <c r="BK609" s="196" t="str">
        <f t="shared" si="69"/>
        <v/>
      </c>
      <c r="BL609" s="295" t="str">
        <f t="shared" si="70"/>
        <v/>
      </c>
    </row>
    <row r="610" spans="1:65" ht="47.25" customHeight="1" x14ac:dyDescent="0.25">
      <c r="A610" s="162" t="str">
        <f>IF(AND(Réputation&gt;Voies!E610-1,OR(C610=TRUE,Calculs!$I$8&gt;0),Air&gt;Voies!J610-1,Eau&gt;Voies!K610-1,Feu&gt;Voies!L610-1,Terre&gt;Voies!M610-1,Vide&gt;Voies!N610-1,Constitution&gt;Voies!O610-1,Volonté&gt;Voies!P610-1,Force&gt;Voies!Q610-1,Perception&gt;Voies!R610-1,Reflexes&gt;Voies!S610-1,Agilité&gt;Voies!T610-1,Intuition&gt;Voies!U610-1,Intelligence&gt;Voies!V610-1,Souillure&gt;Voies!W610-1,Honneur&gt;X610-1,Statut&gt;Y610-1,Gloire&gt;Z610-1,AV610=TRUE),Voies!B610,"")</f>
        <v/>
      </c>
      <c r="B610" s="162" t="s">
        <v>2456</v>
      </c>
      <c r="C610" s="162" t="b">
        <f>IF(Clan=Voies!D610,TRUE,FALSE)</f>
        <v>0</v>
      </c>
      <c r="D610" s="388" t="s">
        <v>20</v>
      </c>
      <c r="E610" s="13">
        <v>5</v>
      </c>
      <c r="F610" s="199">
        <v>5</v>
      </c>
      <c r="G610" s="13" t="s">
        <v>2052</v>
      </c>
      <c r="H610" s="162" t="s">
        <v>204</v>
      </c>
      <c r="I610" s="129" t="str">
        <f t="shared" si="71"/>
        <v>Rien</v>
      </c>
      <c r="J610" s="146">
        <v>0</v>
      </c>
      <c r="K610" s="147">
        <v>0</v>
      </c>
      <c r="L610" s="148">
        <v>0</v>
      </c>
      <c r="M610" s="149">
        <v>0</v>
      </c>
      <c r="N610" s="150">
        <v>0</v>
      </c>
      <c r="O610" s="130">
        <v>0</v>
      </c>
      <c r="P610" s="130">
        <v>0</v>
      </c>
      <c r="Q610" s="130">
        <v>0</v>
      </c>
      <c r="R610" s="130">
        <v>0</v>
      </c>
      <c r="S610" s="130">
        <v>0</v>
      </c>
      <c r="T610" s="130">
        <v>0</v>
      </c>
      <c r="U610" s="130">
        <v>0</v>
      </c>
      <c r="V610" s="524">
        <v>0</v>
      </c>
      <c r="W610" s="130">
        <v>0</v>
      </c>
      <c r="X610" s="130">
        <v>0</v>
      </c>
      <c r="Y610" s="130">
        <v>0</v>
      </c>
      <c r="Z610" s="130">
        <v>0</v>
      </c>
      <c r="AA610" s="158" t="s">
        <v>2078</v>
      </c>
      <c r="AB610" s="158"/>
      <c r="AC610" s="158"/>
      <c r="AD610" s="158"/>
      <c r="AE610" s="158" t="b">
        <f>IF(AB610="",TRUE,IF(IF(AC610="",VLOOKUP(AB610,Calculs!$A$19:$S$425,19,FALSE),VLOOKUP(AC610,Calculs!$A$19:$S$425,19,FALSE))&gt;=AD610,TRUE,FALSE))</f>
        <v>1</v>
      </c>
      <c r="AF610" s="158"/>
      <c r="AG610" s="158"/>
      <c r="AH610" s="158"/>
      <c r="AI610" s="158" t="b">
        <f>IF(AF610="",TRUE,IF(IF(AG610="",VLOOKUP(AF610,Calculs!$A$19:$S$425,19,FALSE),VLOOKUP(AG610,Calculs!$A$19:$S$425,19,FALSE))&gt;=AH610,TRUE,FALSE))</f>
        <v>1</v>
      </c>
      <c r="AJ610" s="158"/>
      <c r="AK610" s="158"/>
      <c r="AL610" s="158"/>
      <c r="AM610" s="158" t="b">
        <f>IF(AJ610="",TRUE,IF(IF(AK610="",VLOOKUP(AJ610,Calculs!$A$19:$S$425,19,FALSE),VLOOKUP(AK610,Calculs!$A$19:$S$425,19,FALSE))&gt;=AL610,TRUE,FALSE))</f>
        <v>1</v>
      </c>
      <c r="AN610" s="158"/>
      <c r="AO610" s="158"/>
      <c r="AP610" s="158"/>
      <c r="AQ610" s="158" t="b">
        <f>IF(AN610="",TRUE,IF(IF(AO610="",VLOOKUP(AN610,Calculs!$A$19:$S$425,19,FALSE),VLOOKUP(AO610,Calculs!$A$19:$S$425,19,FALSE))&gt;=AP610,TRUE,FALSE))</f>
        <v>1</v>
      </c>
      <c r="AR610" s="158"/>
      <c r="AS610" s="158" t="b">
        <f>IF(AR610="",TRUE,IF(VLOOKUP(AR610,Calculs!$A$427:$G$738,7,FALSE)&gt;0,TRUE,FALSE))</f>
        <v>1</v>
      </c>
      <c r="AT610" s="158"/>
      <c r="AU610" s="158" t="b">
        <f>IF(AT610="",TRUE,IF(VLOOKUP(AT610,Calculs!$A$740:$G$912,7,FALSE)&gt;0,TRUE,FALSE))</f>
        <v>1</v>
      </c>
      <c r="AV610" s="158" t="b">
        <f t="shared" si="66"/>
        <v>1</v>
      </c>
      <c r="AW610" s="158" t="s">
        <v>2078</v>
      </c>
      <c r="AX610" s="162" t="s">
        <v>3</v>
      </c>
      <c r="AY610" s="15">
        <v>122</v>
      </c>
      <c r="AZ610" s="555" t="s">
        <v>2459</v>
      </c>
      <c r="BA610" s="559">
        <f>IF(Verso!$B$10=Voies!$B610,1,0)</f>
        <v>0</v>
      </c>
      <c r="BB610" s="12">
        <f>IF(Verso!$B$11=Voies!$B610,1,0)</f>
        <v>0</v>
      </c>
      <c r="BC610" s="12">
        <f>IF(Verso!$B$12=Voies!$B610,1,0)</f>
        <v>0</v>
      </c>
      <c r="BD610" s="12">
        <f>IF(Verso!$B$13=Voies!$B610,1,0)</f>
        <v>0</v>
      </c>
      <c r="BE610" s="12">
        <f>IF(Verso!$B$14=Voies!$B610,1,0)</f>
        <v>0</v>
      </c>
      <c r="BF610" s="12">
        <f>IF(Verso!$B$15=Voies!$B610,1,0)</f>
        <v>0</v>
      </c>
      <c r="BG610" s="12">
        <f>IF(Verso!$B$16=Voies!$B610,1,0)</f>
        <v>0</v>
      </c>
      <c r="BH610" s="12">
        <f>IF(Verso!$B$17=Voies!$B610,1,0)</f>
        <v>0</v>
      </c>
      <c r="BI610" s="557">
        <f t="shared" si="67"/>
        <v>0</v>
      </c>
      <c r="BJ610" s="196" t="str">
        <f t="shared" si="68"/>
        <v/>
      </c>
      <c r="BK610" s="196" t="str">
        <f t="shared" si="69"/>
        <v/>
      </c>
      <c r="BL610" s="295" t="str">
        <f t="shared" si="70"/>
        <v/>
      </c>
    </row>
    <row r="611" spans="1:65" ht="47.25" customHeight="1" x14ac:dyDescent="0.25">
      <c r="A611" s="162" t="str">
        <f>IF(AND(Réputation&gt;Voies!E611-1,OR(C611=TRUE,Calculs!$I$8&gt;0),Air&gt;Voies!J611-1,Eau&gt;Voies!K611-1,Feu&gt;Voies!L611-1,Terre&gt;Voies!M611-1,Vide&gt;Voies!N611-1,Constitution&gt;Voies!O611-1,Volonté&gt;Voies!P611-1,Force&gt;Voies!Q611-1,Perception&gt;Voies!R611-1,Reflexes&gt;Voies!S611-1,Agilité&gt;Voies!T611-1,Intuition&gt;Voies!U611-1,Intelligence&gt;Voies!V611-1,Souillure&gt;Voies!W611-1,Honneur&gt;X611-1,Statut&gt;Y611-1,Gloire&gt;Z611-1,AV611=TRUE),Voies!B611,"")</f>
        <v/>
      </c>
      <c r="B611" s="162" t="s">
        <v>2167</v>
      </c>
      <c r="C611" s="162" t="b">
        <f>IF(Clan=Voies!D611,TRUE,FALSE)</f>
        <v>0</v>
      </c>
      <c r="D611" s="388" t="s">
        <v>337</v>
      </c>
      <c r="E611" s="13">
        <v>1</v>
      </c>
      <c r="F611" s="199">
        <v>1</v>
      </c>
      <c r="G611" s="13" t="s">
        <v>2057</v>
      </c>
      <c r="H611" s="162" t="s">
        <v>412</v>
      </c>
      <c r="I611" s="129" t="str">
        <f t="shared" si="71"/>
        <v>Rien</v>
      </c>
      <c r="J611" s="146">
        <v>0</v>
      </c>
      <c r="K611" s="147">
        <v>0</v>
      </c>
      <c r="L611" s="148">
        <v>0</v>
      </c>
      <c r="M611" s="149">
        <v>0</v>
      </c>
      <c r="N611" s="150">
        <v>0</v>
      </c>
      <c r="O611" s="130">
        <v>0</v>
      </c>
      <c r="P611" s="130">
        <v>0</v>
      </c>
      <c r="Q611" s="130">
        <v>0</v>
      </c>
      <c r="R611" s="130">
        <v>0</v>
      </c>
      <c r="S611" s="130">
        <v>0</v>
      </c>
      <c r="T611" s="130">
        <v>0</v>
      </c>
      <c r="U611" s="130">
        <v>0</v>
      </c>
      <c r="V611" s="524">
        <v>0</v>
      </c>
      <c r="W611" s="130">
        <v>0</v>
      </c>
      <c r="X611" s="130">
        <v>0</v>
      </c>
      <c r="Y611" s="130">
        <v>0</v>
      </c>
      <c r="Z611" s="130">
        <v>0</v>
      </c>
      <c r="AA611" s="158" t="s">
        <v>2078</v>
      </c>
      <c r="AB611" s="158"/>
      <c r="AC611" s="158"/>
      <c r="AD611" s="158"/>
      <c r="AE611" s="158" t="b">
        <f>IF(AB611="",TRUE,IF(IF(AC611="",VLOOKUP(AB611,Calculs!$A$19:$S$425,19,FALSE),VLOOKUP(AC611,Calculs!$A$19:$S$425,19,FALSE))&gt;=AD611,TRUE,FALSE))</f>
        <v>1</v>
      </c>
      <c r="AF611" s="158"/>
      <c r="AG611" s="158"/>
      <c r="AH611" s="158"/>
      <c r="AI611" s="158" t="b">
        <f>IF(AF611="",TRUE,IF(IF(AG611="",VLOOKUP(AF611,Calculs!$A$19:$S$425,19,FALSE),VLOOKUP(AG611,Calculs!$A$19:$S$425,19,FALSE))&gt;=AH611,TRUE,FALSE))</f>
        <v>1</v>
      </c>
      <c r="AJ611" s="158"/>
      <c r="AK611" s="158"/>
      <c r="AL611" s="158"/>
      <c r="AM611" s="158" t="b">
        <f>IF(AJ611="",TRUE,IF(IF(AK611="",VLOOKUP(AJ611,Calculs!$A$19:$S$425,19,FALSE),VLOOKUP(AK611,Calculs!$A$19:$S$425,19,FALSE))&gt;=AL611,TRUE,FALSE))</f>
        <v>1</v>
      </c>
      <c r="AN611" s="158"/>
      <c r="AO611" s="158"/>
      <c r="AP611" s="158"/>
      <c r="AQ611" s="158" t="b">
        <f>IF(AN611="",TRUE,IF(IF(AO611="",VLOOKUP(AN611,Calculs!$A$19:$S$425,19,FALSE),VLOOKUP(AO611,Calculs!$A$19:$S$425,19,FALSE))&gt;=AP611,TRUE,FALSE))</f>
        <v>1</v>
      </c>
      <c r="AR611" s="158"/>
      <c r="AS611" s="158" t="b">
        <f>IF(AR611="",TRUE,IF(VLOOKUP(AR611,Calculs!$A$427:$G$738,7,FALSE)&gt;0,TRUE,FALSE))</f>
        <v>1</v>
      </c>
      <c r="AT611" s="158"/>
      <c r="AU611" s="158" t="b">
        <f>IF(AT611="",TRUE,IF(VLOOKUP(AT611,Calculs!$A$740:$G$912,7,FALSE)&gt;0,TRUE,FALSE))</f>
        <v>1</v>
      </c>
      <c r="AV611" s="158" t="b">
        <f t="shared" si="66"/>
        <v>1</v>
      </c>
      <c r="AW611" s="158" t="s">
        <v>2078</v>
      </c>
      <c r="AX611" s="162" t="s">
        <v>3</v>
      </c>
      <c r="AY611" s="15">
        <v>221</v>
      </c>
      <c r="AZ611" s="555" t="s">
        <v>8630</v>
      </c>
      <c r="BA611" s="559">
        <f>IF(Verso!$B$10=Voies!$B611,1,0)</f>
        <v>0</v>
      </c>
      <c r="BB611" s="12">
        <f>IF(Verso!$B$11=Voies!$B611,1,0)</f>
        <v>0</v>
      </c>
      <c r="BC611" s="12">
        <f>IF(Verso!$B$12=Voies!$B611,1,0)</f>
        <v>0</v>
      </c>
      <c r="BD611" s="12">
        <f>IF(Verso!$B$13=Voies!$B611,1,0)</f>
        <v>0</v>
      </c>
      <c r="BE611" s="12">
        <f>IF(Verso!$B$14=Voies!$B611,1,0)</f>
        <v>0</v>
      </c>
      <c r="BF611" s="12">
        <f>IF(Verso!$B$15=Voies!$B611,1,0)</f>
        <v>0</v>
      </c>
      <c r="BG611" s="12">
        <f>IF(Verso!$B$16=Voies!$B611,1,0)</f>
        <v>0</v>
      </c>
      <c r="BH611" s="12">
        <f>IF(Verso!$B$17=Voies!$B611,1,0)</f>
        <v>0</v>
      </c>
      <c r="BI611" s="557">
        <f t="shared" si="67"/>
        <v>0</v>
      </c>
      <c r="BJ611" s="196" t="str">
        <f t="shared" si="68"/>
        <v/>
      </c>
      <c r="BK611" s="196" t="str">
        <f t="shared" si="69"/>
        <v/>
      </c>
      <c r="BL611" s="295" t="str">
        <f t="shared" si="70"/>
        <v/>
      </c>
    </row>
    <row r="612" spans="1:65" ht="47.25" customHeight="1" x14ac:dyDescent="0.25">
      <c r="A612" s="162" t="str">
        <f>IF(AND(Réputation&gt;Voies!E612-1,OR(C612=TRUE,Calculs!$I$8&gt;0),Air&gt;Voies!J612-1,Eau&gt;Voies!K612-1,Feu&gt;Voies!L612-1,Terre&gt;Voies!M612-1,Vide&gt;Voies!N612-1,Constitution&gt;Voies!O612-1,Volonté&gt;Voies!P612-1,Force&gt;Voies!Q612-1,Perception&gt;Voies!R612-1,Reflexes&gt;Voies!S612-1,Agilité&gt;Voies!T612-1,Intuition&gt;Voies!U612-1,Intelligence&gt;Voies!V612-1,Souillure&gt;Voies!W612-1,Honneur&gt;X612-1,Statut&gt;Y612-1,Gloire&gt;Z612-1,AV612=TRUE),Voies!B612,"")</f>
        <v/>
      </c>
      <c r="B612" s="162" t="s">
        <v>2168</v>
      </c>
      <c r="C612" s="162" t="b">
        <f>IF(Clan=Voies!D612,TRUE,FALSE)</f>
        <v>0</v>
      </c>
      <c r="D612" s="388" t="s">
        <v>337</v>
      </c>
      <c r="E612" s="13">
        <v>2</v>
      </c>
      <c r="F612" s="199">
        <v>2</v>
      </c>
      <c r="G612" s="13" t="s">
        <v>2057</v>
      </c>
      <c r="H612" s="162" t="s">
        <v>412</v>
      </c>
      <c r="I612" s="129" t="str">
        <f t="shared" si="71"/>
        <v>Rien</v>
      </c>
      <c r="J612" s="146">
        <v>0</v>
      </c>
      <c r="K612" s="147">
        <v>0</v>
      </c>
      <c r="L612" s="148">
        <v>0</v>
      </c>
      <c r="M612" s="149">
        <v>0</v>
      </c>
      <c r="N612" s="150">
        <v>0</v>
      </c>
      <c r="O612" s="130">
        <v>0</v>
      </c>
      <c r="P612" s="130">
        <v>0</v>
      </c>
      <c r="Q612" s="130">
        <v>0</v>
      </c>
      <c r="R612" s="130">
        <v>0</v>
      </c>
      <c r="S612" s="130">
        <v>0</v>
      </c>
      <c r="T612" s="130">
        <v>0</v>
      </c>
      <c r="U612" s="130">
        <v>0</v>
      </c>
      <c r="V612" s="524">
        <v>0</v>
      </c>
      <c r="W612" s="130">
        <v>0</v>
      </c>
      <c r="X612" s="130">
        <v>0</v>
      </c>
      <c r="Y612" s="130">
        <v>0</v>
      </c>
      <c r="Z612" s="130">
        <v>0</v>
      </c>
      <c r="AA612" s="158" t="s">
        <v>2078</v>
      </c>
      <c r="AB612" s="158"/>
      <c r="AC612" s="158"/>
      <c r="AD612" s="158"/>
      <c r="AE612" s="158" t="b">
        <f>IF(AB612="",TRUE,IF(IF(AC612="",VLOOKUP(AB612,Calculs!$A$19:$S$425,19,FALSE),VLOOKUP(AC612,Calculs!$A$19:$S$425,19,FALSE))&gt;=AD612,TRUE,FALSE))</f>
        <v>1</v>
      </c>
      <c r="AF612" s="158"/>
      <c r="AG612" s="158"/>
      <c r="AH612" s="158"/>
      <c r="AI612" s="158" t="b">
        <f>IF(AF612="",TRUE,IF(IF(AG612="",VLOOKUP(AF612,Calculs!$A$19:$S$425,19,FALSE),VLOOKUP(AG612,Calculs!$A$19:$S$425,19,FALSE))&gt;=AH612,TRUE,FALSE))</f>
        <v>1</v>
      </c>
      <c r="AJ612" s="158"/>
      <c r="AK612" s="158"/>
      <c r="AL612" s="158"/>
      <c r="AM612" s="158" t="b">
        <f>IF(AJ612="",TRUE,IF(IF(AK612="",VLOOKUP(AJ612,Calculs!$A$19:$S$425,19,FALSE),VLOOKUP(AK612,Calculs!$A$19:$S$425,19,FALSE))&gt;=AL612,TRUE,FALSE))</f>
        <v>1</v>
      </c>
      <c r="AN612" s="158"/>
      <c r="AO612" s="158"/>
      <c r="AP612" s="158"/>
      <c r="AQ612" s="158" t="b">
        <f>IF(AN612="",TRUE,IF(IF(AO612="",VLOOKUP(AN612,Calculs!$A$19:$S$425,19,FALSE),VLOOKUP(AO612,Calculs!$A$19:$S$425,19,FALSE))&gt;=AP612,TRUE,FALSE))</f>
        <v>1</v>
      </c>
      <c r="AR612" s="158"/>
      <c r="AS612" s="158" t="b">
        <f>IF(AR612="",TRUE,IF(VLOOKUP(AR612,Calculs!$A$427:$G$738,7,FALSE)&gt;0,TRUE,FALSE))</f>
        <v>1</v>
      </c>
      <c r="AT612" s="158"/>
      <c r="AU612" s="158" t="b">
        <f>IF(AT612="",TRUE,IF(VLOOKUP(AT612,Calculs!$A$740:$G$912,7,FALSE)&gt;0,TRUE,FALSE))</f>
        <v>1</v>
      </c>
      <c r="AV612" s="158" t="b">
        <f t="shared" si="66"/>
        <v>1</v>
      </c>
      <c r="AW612" s="158" t="s">
        <v>2078</v>
      </c>
      <c r="AX612" s="162" t="s">
        <v>3</v>
      </c>
      <c r="AY612" s="15">
        <v>221</v>
      </c>
      <c r="AZ612" s="555" t="s">
        <v>8631</v>
      </c>
      <c r="BA612" s="559">
        <f>IF(Verso!$B$10=Voies!$B612,1,0)</f>
        <v>0</v>
      </c>
      <c r="BB612" s="12">
        <f>IF(Verso!$B$11=Voies!$B612,1,0)</f>
        <v>0</v>
      </c>
      <c r="BC612" s="12">
        <f>IF(Verso!$B$12=Voies!$B612,1,0)</f>
        <v>0</v>
      </c>
      <c r="BD612" s="12">
        <f>IF(Verso!$B$13=Voies!$B612,1,0)</f>
        <v>0</v>
      </c>
      <c r="BE612" s="12">
        <f>IF(Verso!$B$14=Voies!$B612,1,0)</f>
        <v>0</v>
      </c>
      <c r="BF612" s="12">
        <f>IF(Verso!$B$15=Voies!$B612,1,0)</f>
        <v>0</v>
      </c>
      <c r="BG612" s="12">
        <f>IF(Verso!$B$16=Voies!$B612,1,0)</f>
        <v>0</v>
      </c>
      <c r="BH612" s="12">
        <f>IF(Verso!$B$17=Voies!$B612,1,0)</f>
        <v>0</v>
      </c>
      <c r="BI612" s="557">
        <f t="shared" si="67"/>
        <v>0</v>
      </c>
      <c r="BJ612" s="196" t="str">
        <f t="shared" si="68"/>
        <v/>
      </c>
      <c r="BK612" s="196" t="str">
        <f t="shared" si="69"/>
        <v/>
      </c>
      <c r="BL612" s="295" t="str">
        <f t="shared" si="70"/>
        <v/>
      </c>
    </row>
    <row r="613" spans="1:65" ht="47.25" customHeight="1" x14ac:dyDescent="0.25">
      <c r="A613" s="162" t="str">
        <f>IF(AND(Réputation&gt;Voies!E613-1,OR(C613=TRUE,Calculs!$I$8&gt;0),Air&gt;Voies!J613-1,Eau&gt;Voies!K613-1,Feu&gt;Voies!L613-1,Terre&gt;Voies!M613-1,Vide&gt;Voies!N613-1,Constitution&gt;Voies!O613-1,Volonté&gt;Voies!P613-1,Force&gt;Voies!Q613-1,Perception&gt;Voies!R613-1,Reflexes&gt;Voies!S613-1,Agilité&gt;Voies!T613-1,Intuition&gt;Voies!U613-1,Intelligence&gt;Voies!V613-1,Souillure&gt;Voies!W613-1,Honneur&gt;X613-1,Statut&gt;Y613-1,Gloire&gt;Z613-1,AV613=TRUE),Voies!B613,"")</f>
        <v/>
      </c>
      <c r="B613" s="162" t="s">
        <v>2169</v>
      </c>
      <c r="C613" s="162" t="b">
        <f>IF(Clan=Voies!D613,TRUE,FALSE)</f>
        <v>0</v>
      </c>
      <c r="D613" s="388" t="s">
        <v>337</v>
      </c>
      <c r="E613" s="13">
        <v>3</v>
      </c>
      <c r="F613" s="199">
        <v>3</v>
      </c>
      <c r="G613" s="13" t="s">
        <v>2057</v>
      </c>
      <c r="H613" s="162" t="s">
        <v>412</v>
      </c>
      <c r="I613" s="129" t="str">
        <f t="shared" si="71"/>
        <v>Rien</v>
      </c>
      <c r="J613" s="146">
        <v>0</v>
      </c>
      <c r="K613" s="147">
        <v>0</v>
      </c>
      <c r="L613" s="148">
        <v>0</v>
      </c>
      <c r="M613" s="149">
        <v>0</v>
      </c>
      <c r="N613" s="150">
        <v>0</v>
      </c>
      <c r="O613" s="130">
        <v>0</v>
      </c>
      <c r="P613" s="130">
        <v>0</v>
      </c>
      <c r="Q613" s="130">
        <v>0</v>
      </c>
      <c r="R613" s="130">
        <v>0</v>
      </c>
      <c r="S613" s="130">
        <v>0</v>
      </c>
      <c r="T613" s="130">
        <v>0</v>
      </c>
      <c r="U613" s="130">
        <v>0</v>
      </c>
      <c r="V613" s="524">
        <v>0</v>
      </c>
      <c r="W613" s="130">
        <v>0</v>
      </c>
      <c r="X613" s="130">
        <v>0</v>
      </c>
      <c r="Y613" s="130">
        <v>0</v>
      </c>
      <c r="Z613" s="130">
        <v>0</v>
      </c>
      <c r="AA613" s="158" t="s">
        <v>2078</v>
      </c>
      <c r="AB613" s="158"/>
      <c r="AC613" s="158"/>
      <c r="AD613" s="158"/>
      <c r="AE613" s="158" t="b">
        <f>IF(AB613="",TRUE,IF(IF(AC613="",VLOOKUP(AB613,Calculs!$A$19:$S$425,19,FALSE),VLOOKUP(AC613,Calculs!$A$19:$S$425,19,FALSE))&gt;=AD613,TRUE,FALSE))</f>
        <v>1</v>
      </c>
      <c r="AF613" s="158"/>
      <c r="AG613" s="158"/>
      <c r="AH613" s="158"/>
      <c r="AI613" s="158" t="b">
        <f>IF(AF613="",TRUE,IF(IF(AG613="",VLOOKUP(AF613,Calculs!$A$19:$S$425,19,FALSE),VLOOKUP(AG613,Calculs!$A$19:$S$425,19,FALSE))&gt;=AH613,TRUE,FALSE))</f>
        <v>1</v>
      </c>
      <c r="AJ613" s="158"/>
      <c r="AK613" s="158"/>
      <c r="AL613" s="158"/>
      <c r="AM613" s="158" t="b">
        <f>IF(AJ613="",TRUE,IF(IF(AK613="",VLOOKUP(AJ613,Calculs!$A$19:$S$425,19,FALSE),VLOOKUP(AK613,Calculs!$A$19:$S$425,19,FALSE))&gt;=AL613,TRUE,FALSE))</f>
        <v>1</v>
      </c>
      <c r="AN613" s="158"/>
      <c r="AO613" s="158"/>
      <c r="AP613" s="158"/>
      <c r="AQ613" s="158" t="b">
        <f>IF(AN613="",TRUE,IF(IF(AO613="",VLOOKUP(AN613,Calculs!$A$19:$S$425,19,FALSE),VLOOKUP(AO613,Calculs!$A$19:$S$425,19,FALSE))&gt;=AP613,TRUE,FALSE))</f>
        <v>1</v>
      </c>
      <c r="AR613" s="158"/>
      <c r="AS613" s="158" t="b">
        <f>IF(AR613="",TRUE,IF(VLOOKUP(AR613,Calculs!$A$427:$G$738,7,FALSE)&gt;0,TRUE,FALSE))</f>
        <v>1</v>
      </c>
      <c r="AT613" s="158"/>
      <c r="AU613" s="158" t="b">
        <f>IF(AT613="",TRUE,IF(VLOOKUP(AT613,Calculs!$A$740:$G$912,7,FALSE)&gt;0,TRUE,FALSE))</f>
        <v>1</v>
      </c>
      <c r="AV613" s="158" t="b">
        <f t="shared" si="66"/>
        <v>1</v>
      </c>
      <c r="AW613" s="158" t="s">
        <v>2078</v>
      </c>
      <c r="AX613" s="162" t="s">
        <v>3</v>
      </c>
      <c r="AY613" s="15">
        <v>221</v>
      </c>
      <c r="AZ613" s="555" t="s">
        <v>2172</v>
      </c>
      <c r="BA613" s="559">
        <f>IF(Verso!$B$10=Voies!$B613,1,0)</f>
        <v>0</v>
      </c>
      <c r="BB613" s="12">
        <f>IF(Verso!$B$11=Voies!$B613,1,0)</f>
        <v>0</v>
      </c>
      <c r="BC613" s="12">
        <f>IF(Verso!$B$12=Voies!$B613,1,0)</f>
        <v>0</v>
      </c>
      <c r="BD613" s="12">
        <f>IF(Verso!$B$13=Voies!$B613,1,0)</f>
        <v>0</v>
      </c>
      <c r="BE613" s="12">
        <f>IF(Verso!$B$14=Voies!$B613,1,0)</f>
        <v>0</v>
      </c>
      <c r="BF613" s="12">
        <f>IF(Verso!$B$15=Voies!$B613,1,0)</f>
        <v>0</v>
      </c>
      <c r="BG613" s="12">
        <f>IF(Verso!$B$16=Voies!$B613,1,0)</f>
        <v>0</v>
      </c>
      <c r="BH613" s="12">
        <f>IF(Verso!$B$17=Voies!$B613,1,0)</f>
        <v>0</v>
      </c>
      <c r="BI613" s="557">
        <f t="shared" si="67"/>
        <v>0</v>
      </c>
      <c r="BJ613" s="196" t="str">
        <f t="shared" si="68"/>
        <v/>
      </c>
      <c r="BK613" s="196" t="str">
        <f t="shared" si="69"/>
        <v/>
      </c>
      <c r="BL613" s="295" t="str">
        <f t="shared" si="70"/>
        <v/>
      </c>
    </row>
    <row r="614" spans="1:65" ht="47.25" customHeight="1" x14ac:dyDescent="0.25">
      <c r="A614" s="162" t="str">
        <f>IF(AND(Réputation&gt;Voies!E614-1,OR(C614=TRUE,Calculs!$I$8&gt;0),Air&gt;Voies!J614-1,Eau&gt;Voies!K614-1,Feu&gt;Voies!L614-1,Terre&gt;Voies!M614-1,Vide&gt;Voies!N614-1,Constitution&gt;Voies!O614-1,Volonté&gt;Voies!P614-1,Force&gt;Voies!Q614-1,Perception&gt;Voies!R614-1,Reflexes&gt;Voies!S614-1,Agilité&gt;Voies!T614-1,Intuition&gt;Voies!U614-1,Intelligence&gt;Voies!V614-1,Souillure&gt;Voies!W614-1,Honneur&gt;X614-1,Statut&gt;Y614-1,Gloire&gt;Z614-1,AV614=TRUE),Voies!B614,"")</f>
        <v/>
      </c>
      <c r="B614" s="162" t="s">
        <v>2170</v>
      </c>
      <c r="C614" s="162" t="b">
        <f>IF(Clan=Voies!D614,TRUE,FALSE)</f>
        <v>0</v>
      </c>
      <c r="D614" s="388" t="s">
        <v>337</v>
      </c>
      <c r="E614" s="13">
        <v>4</v>
      </c>
      <c r="F614" s="199">
        <v>4</v>
      </c>
      <c r="G614" s="13" t="s">
        <v>2057</v>
      </c>
      <c r="H614" s="162" t="s">
        <v>412</v>
      </c>
      <c r="I614" s="129" t="str">
        <f t="shared" si="71"/>
        <v>Rien</v>
      </c>
      <c r="J614" s="146">
        <v>0</v>
      </c>
      <c r="K614" s="147">
        <v>0</v>
      </c>
      <c r="L614" s="148">
        <v>0</v>
      </c>
      <c r="M614" s="149">
        <v>0</v>
      </c>
      <c r="N614" s="150">
        <v>0</v>
      </c>
      <c r="O614" s="130">
        <v>0</v>
      </c>
      <c r="P614" s="130">
        <v>0</v>
      </c>
      <c r="Q614" s="130">
        <v>0</v>
      </c>
      <c r="R614" s="130">
        <v>0</v>
      </c>
      <c r="S614" s="130">
        <v>0</v>
      </c>
      <c r="T614" s="130">
        <v>0</v>
      </c>
      <c r="U614" s="130">
        <v>0</v>
      </c>
      <c r="V614" s="524">
        <v>0</v>
      </c>
      <c r="W614" s="130">
        <v>0</v>
      </c>
      <c r="X614" s="130">
        <v>0</v>
      </c>
      <c r="Y614" s="130">
        <v>0</v>
      </c>
      <c r="Z614" s="130">
        <v>0</v>
      </c>
      <c r="AA614" s="158" t="s">
        <v>2078</v>
      </c>
      <c r="AB614" s="158"/>
      <c r="AC614" s="158"/>
      <c r="AD614" s="158"/>
      <c r="AE614" s="158" t="b">
        <f>IF(AB614="",TRUE,IF(IF(AC614="",VLOOKUP(AB614,Calculs!$A$19:$S$425,19,FALSE),VLOOKUP(AC614,Calculs!$A$19:$S$425,19,FALSE))&gt;=AD614,TRUE,FALSE))</f>
        <v>1</v>
      </c>
      <c r="AF614" s="158"/>
      <c r="AG614" s="158"/>
      <c r="AH614" s="158"/>
      <c r="AI614" s="158" t="b">
        <f>IF(AF614="",TRUE,IF(IF(AG614="",VLOOKUP(AF614,Calculs!$A$19:$S$425,19,FALSE),VLOOKUP(AG614,Calculs!$A$19:$S$425,19,FALSE))&gt;=AH614,TRUE,FALSE))</f>
        <v>1</v>
      </c>
      <c r="AJ614" s="158"/>
      <c r="AK614" s="158"/>
      <c r="AL614" s="158"/>
      <c r="AM614" s="158" t="b">
        <f>IF(AJ614="",TRUE,IF(IF(AK614="",VLOOKUP(AJ614,Calculs!$A$19:$S$425,19,FALSE),VLOOKUP(AK614,Calculs!$A$19:$S$425,19,FALSE))&gt;=AL614,TRUE,FALSE))</f>
        <v>1</v>
      </c>
      <c r="AN614" s="158"/>
      <c r="AO614" s="158"/>
      <c r="AP614" s="158"/>
      <c r="AQ614" s="158" t="b">
        <f>IF(AN614="",TRUE,IF(IF(AO614="",VLOOKUP(AN614,Calculs!$A$19:$S$425,19,FALSE),VLOOKUP(AO614,Calculs!$A$19:$S$425,19,FALSE))&gt;=AP614,TRUE,FALSE))</f>
        <v>1</v>
      </c>
      <c r="AR614" s="158"/>
      <c r="AS614" s="158" t="b">
        <f>IF(AR614="",TRUE,IF(VLOOKUP(AR614,Calculs!$A$427:$G$738,7,FALSE)&gt;0,TRUE,FALSE))</f>
        <v>1</v>
      </c>
      <c r="AT614" s="158"/>
      <c r="AU614" s="158" t="b">
        <f>IF(AT614="",TRUE,IF(VLOOKUP(AT614,Calculs!$A$740:$G$912,7,FALSE)&gt;0,TRUE,FALSE))</f>
        <v>1</v>
      </c>
      <c r="AV614" s="158" t="b">
        <f t="shared" si="66"/>
        <v>1</v>
      </c>
      <c r="AW614" s="158" t="s">
        <v>2078</v>
      </c>
      <c r="AX614" s="162" t="s">
        <v>3</v>
      </c>
      <c r="AY614" s="15">
        <v>221</v>
      </c>
      <c r="AZ614" s="555" t="s">
        <v>2190</v>
      </c>
      <c r="BA614" s="559">
        <f>IF(Verso!$B$10=Voies!$B614,1,0)</f>
        <v>0</v>
      </c>
      <c r="BB614" s="12">
        <f>IF(Verso!$B$11=Voies!$B614,1,0)</f>
        <v>0</v>
      </c>
      <c r="BC614" s="12">
        <f>IF(Verso!$B$12=Voies!$B614,1,0)</f>
        <v>0</v>
      </c>
      <c r="BD614" s="12">
        <f>IF(Verso!$B$13=Voies!$B614,1,0)</f>
        <v>0</v>
      </c>
      <c r="BE614" s="12">
        <f>IF(Verso!$B$14=Voies!$B614,1,0)</f>
        <v>0</v>
      </c>
      <c r="BF614" s="12">
        <f>IF(Verso!$B$15=Voies!$B614,1,0)</f>
        <v>0</v>
      </c>
      <c r="BG614" s="12">
        <f>IF(Verso!$B$16=Voies!$B614,1,0)</f>
        <v>0</v>
      </c>
      <c r="BH614" s="12">
        <f>IF(Verso!$B$17=Voies!$B614,1,0)</f>
        <v>0</v>
      </c>
      <c r="BI614" s="557">
        <f t="shared" si="67"/>
        <v>0</v>
      </c>
      <c r="BJ614" s="196" t="str">
        <f t="shared" si="68"/>
        <v/>
      </c>
      <c r="BK614" s="196" t="str">
        <f t="shared" si="69"/>
        <v/>
      </c>
      <c r="BL614" s="295" t="str">
        <f t="shared" si="70"/>
        <v/>
      </c>
    </row>
    <row r="615" spans="1:65" ht="47.25" customHeight="1" x14ac:dyDescent="0.25">
      <c r="A615" s="162" t="str">
        <f>IF(AND(Réputation&gt;Voies!E615-1,OR(C615=TRUE,Calculs!$I$8&gt;0),Air&gt;Voies!J615-1,Eau&gt;Voies!K615-1,Feu&gt;Voies!L615-1,Terre&gt;Voies!M615-1,Vide&gt;Voies!N615-1,Constitution&gt;Voies!O615-1,Volonté&gt;Voies!P615-1,Force&gt;Voies!Q615-1,Perception&gt;Voies!R615-1,Reflexes&gt;Voies!S615-1,Agilité&gt;Voies!T615-1,Intuition&gt;Voies!U615-1,Intelligence&gt;Voies!V615-1,Souillure&gt;Voies!W615-1,Honneur&gt;X615-1,Statut&gt;Y615-1,Gloire&gt;Z615-1,AV615=TRUE),Voies!B615,"")</f>
        <v/>
      </c>
      <c r="B615" s="162" t="s">
        <v>2171</v>
      </c>
      <c r="C615" s="162" t="b">
        <f>IF(Clan=Voies!D615,TRUE,FALSE)</f>
        <v>0</v>
      </c>
      <c r="D615" s="388" t="s">
        <v>337</v>
      </c>
      <c r="E615" s="13">
        <v>5</v>
      </c>
      <c r="F615" s="199">
        <v>5</v>
      </c>
      <c r="G615" s="13" t="s">
        <v>2057</v>
      </c>
      <c r="H615" s="162" t="s">
        <v>412</v>
      </c>
      <c r="I615" s="129" t="str">
        <f t="shared" si="71"/>
        <v>Rien</v>
      </c>
      <c r="J615" s="146">
        <v>0</v>
      </c>
      <c r="K615" s="147">
        <v>0</v>
      </c>
      <c r="L615" s="148">
        <v>0</v>
      </c>
      <c r="M615" s="149">
        <v>0</v>
      </c>
      <c r="N615" s="150">
        <v>0</v>
      </c>
      <c r="O615" s="130">
        <v>0</v>
      </c>
      <c r="P615" s="130">
        <v>0</v>
      </c>
      <c r="Q615" s="130">
        <v>0</v>
      </c>
      <c r="R615" s="130">
        <v>0</v>
      </c>
      <c r="S615" s="130">
        <v>0</v>
      </c>
      <c r="T615" s="130">
        <v>0</v>
      </c>
      <c r="U615" s="130">
        <v>0</v>
      </c>
      <c r="V615" s="524">
        <v>0</v>
      </c>
      <c r="W615" s="130">
        <v>0</v>
      </c>
      <c r="X615" s="130">
        <v>0</v>
      </c>
      <c r="Y615" s="130">
        <v>0</v>
      </c>
      <c r="Z615" s="130">
        <v>0</v>
      </c>
      <c r="AA615" s="158" t="s">
        <v>2078</v>
      </c>
      <c r="AB615" s="158"/>
      <c r="AC615" s="158"/>
      <c r="AD615" s="158"/>
      <c r="AE615" s="158" t="b">
        <f>IF(AB615="",TRUE,IF(IF(AC615="",VLOOKUP(AB615,Calculs!$A$19:$S$425,19,FALSE),VLOOKUP(AC615,Calculs!$A$19:$S$425,19,FALSE))&gt;=AD615,TRUE,FALSE))</f>
        <v>1</v>
      </c>
      <c r="AF615" s="158"/>
      <c r="AG615" s="158"/>
      <c r="AH615" s="158"/>
      <c r="AI615" s="158" t="b">
        <f>IF(AF615="",TRUE,IF(IF(AG615="",VLOOKUP(AF615,Calculs!$A$19:$S$425,19,FALSE),VLOOKUP(AG615,Calculs!$A$19:$S$425,19,FALSE))&gt;=AH615,TRUE,FALSE))</f>
        <v>1</v>
      </c>
      <c r="AJ615" s="158"/>
      <c r="AK615" s="158"/>
      <c r="AL615" s="158"/>
      <c r="AM615" s="158" t="b">
        <f>IF(AJ615="",TRUE,IF(IF(AK615="",VLOOKUP(AJ615,Calculs!$A$19:$S$425,19,FALSE),VLOOKUP(AK615,Calculs!$A$19:$S$425,19,FALSE))&gt;=AL615,TRUE,FALSE))</f>
        <v>1</v>
      </c>
      <c r="AN615" s="158"/>
      <c r="AO615" s="158"/>
      <c r="AP615" s="158"/>
      <c r="AQ615" s="158" t="b">
        <f>IF(AN615="",TRUE,IF(IF(AO615="",VLOOKUP(AN615,Calculs!$A$19:$S$425,19,FALSE),VLOOKUP(AO615,Calculs!$A$19:$S$425,19,FALSE))&gt;=AP615,TRUE,FALSE))</f>
        <v>1</v>
      </c>
      <c r="AR615" s="158"/>
      <c r="AS615" s="158" t="b">
        <f>IF(AR615="",TRUE,IF(VLOOKUP(AR615,Calculs!$A$427:$G$738,7,FALSE)&gt;0,TRUE,FALSE))</f>
        <v>1</v>
      </c>
      <c r="AT615" s="158"/>
      <c r="AU615" s="158" t="b">
        <f>IF(AT615="",TRUE,IF(VLOOKUP(AT615,Calculs!$A$740:$G$912,7,FALSE)&gt;0,TRUE,FALSE))</f>
        <v>1</v>
      </c>
      <c r="AV615" s="158" t="b">
        <f t="shared" si="66"/>
        <v>1</v>
      </c>
      <c r="AW615" s="158" t="s">
        <v>2078</v>
      </c>
      <c r="AX615" s="162" t="s">
        <v>3</v>
      </c>
      <c r="AY615" s="15">
        <v>221</v>
      </c>
      <c r="AZ615" s="555" t="s">
        <v>8632</v>
      </c>
      <c r="BA615" s="559">
        <f>IF(Verso!$B$10=Voies!$B615,1,0)</f>
        <v>0</v>
      </c>
      <c r="BB615" s="12">
        <f>IF(Verso!$B$11=Voies!$B615,1,0)</f>
        <v>0</v>
      </c>
      <c r="BC615" s="12">
        <f>IF(Verso!$B$12=Voies!$B615,1,0)</f>
        <v>0</v>
      </c>
      <c r="BD615" s="12">
        <f>IF(Verso!$B$13=Voies!$B615,1,0)</f>
        <v>0</v>
      </c>
      <c r="BE615" s="12">
        <f>IF(Verso!$B$14=Voies!$B615,1,0)</f>
        <v>0</v>
      </c>
      <c r="BF615" s="12">
        <f>IF(Verso!$B$15=Voies!$B615,1,0)</f>
        <v>0</v>
      </c>
      <c r="BG615" s="12">
        <f>IF(Verso!$B$16=Voies!$B615,1,0)</f>
        <v>0</v>
      </c>
      <c r="BH615" s="12">
        <f>IF(Verso!$B$17=Voies!$B615,1,0)</f>
        <v>0</v>
      </c>
      <c r="BI615" s="557">
        <f t="shared" si="67"/>
        <v>0</v>
      </c>
      <c r="BJ615" s="196" t="str">
        <f t="shared" si="68"/>
        <v/>
      </c>
      <c r="BK615" s="196" t="str">
        <f t="shared" si="69"/>
        <v/>
      </c>
      <c r="BL615" s="295" t="str">
        <f t="shared" si="70"/>
        <v/>
      </c>
    </row>
    <row r="616" spans="1:65" s="196" customFormat="1" ht="47.25" customHeight="1" x14ac:dyDescent="0.25">
      <c r="A616" s="162" t="str">
        <f>IF(AND(Réputation&gt;Voies!E616-1,OR(C616=TRUE,Calculs!$I$8&gt;0),Air&gt;Voies!J616-1,Eau&gt;Voies!K616-1,Feu&gt;Voies!L616-1,Terre&gt;Voies!M616-1,Vide&gt;Voies!N616-1,Constitution&gt;Voies!O616-1,Volonté&gt;Voies!P616-1,Force&gt;Voies!Q616-1,Perception&gt;Voies!R616-1,Reflexes&gt;Voies!S616-1,Agilité&gt;Voies!T616-1,Intuition&gt;Voies!U616-1,Intelligence&gt;Voies!V616-1,Souillure&gt;Voies!W616-1,Honneur&gt;X616-1,Statut&gt;Y616-1,Gloire&gt;Z616-1,AV616=TRUE),Voies!B616,"")</f>
        <v/>
      </c>
      <c r="B616" s="162" t="s">
        <v>7154</v>
      </c>
      <c r="C616" s="162" t="b">
        <f>IF(Clan=Voies!D616,TRUE,FALSE)</f>
        <v>0</v>
      </c>
      <c r="D616" s="388" t="s">
        <v>332</v>
      </c>
      <c r="E616" s="199">
        <v>0</v>
      </c>
      <c r="F616" s="199">
        <v>0</v>
      </c>
      <c r="G616" s="199" t="s">
        <v>2049</v>
      </c>
      <c r="H616" s="162" t="s">
        <v>7150</v>
      </c>
      <c r="I616" s="129" t="str">
        <f t="shared" si="71"/>
        <v>Rien</v>
      </c>
      <c r="J616" s="146">
        <v>0</v>
      </c>
      <c r="K616" s="147">
        <v>4</v>
      </c>
      <c r="L616" s="148">
        <v>0</v>
      </c>
      <c r="M616" s="149">
        <v>0</v>
      </c>
      <c r="N616" s="150">
        <v>0</v>
      </c>
      <c r="O616" s="130">
        <v>0</v>
      </c>
      <c r="P616" s="130">
        <v>0</v>
      </c>
      <c r="Q616" s="130">
        <v>0</v>
      </c>
      <c r="R616" s="130">
        <v>0</v>
      </c>
      <c r="S616" s="130">
        <v>4</v>
      </c>
      <c r="T616" s="130">
        <v>4</v>
      </c>
      <c r="U616" s="130">
        <v>0</v>
      </c>
      <c r="V616" s="524">
        <v>0</v>
      </c>
      <c r="W616" s="130">
        <v>0</v>
      </c>
      <c r="X616" s="130">
        <v>0</v>
      </c>
      <c r="Y616" s="130">
        <v>0</v>
      </c>
      <c r="Z616" s="130">
        <v>0</v>
      </c>
      <c r="AA616" s="158" t="s">
        <v>7151</v>
      </c>
      <c r="AB616" s="158" t="s">
        <v>1278</v>
      </c>
      <c r="AC616" s="158" t="s">
        <v>7152</v>
      </c>
      <c r="AD616" s="158">
        <v>5</v>
      </c>
      <c r="AE616" s="158" t="b">
        <f>IF(AB616="",TRUE,IF(IF(AC616="",VLOOKUP(AB616,Calculs!$A$19:$S$425,19,FALSE),VLOOKUP(AC616,Calculs!$A$19:$S$425,19,FALSE))&gt;=AD616,TRUE,FALSE))</f>
        <v>0</v>
      </c>
      <c r="AF616" s="158" t="s">
        <v>1269</v>
      </c>
      <c r="AG616" s="158"/>
      <c r="AH616" s="158">
        <v>5</v>
      </c>
      <c r="AI616" s="158" t="b">
        <f>IF(AF616="",TRUE,IF(IF(AG616="",VLOOKUP(AF616,Calculs!$A$19:$S$425,19,FALSE),VLOOKUP(AG616,Calculs!$A$19:$S$425,19,FALSE))&gt;=AH616,TRUE,FALSE))</f>
        <v>0</v>
      </c>
      <c r="AJ616" s="158"/>
      <c r="AK616" s="158"/>
      <c r="AL616" s="158"/>
      <c r="AM616" s="158" t="b">
        <f>IF(AJ616="",TRUE,IF(IF(AK616="",VLOOKUP(AJ616,Calculs!$A$19:$S$425,19,FALSE),VLOOKUP(AK616,Calculs!$A$19:$S$425,19,FALSE))&gt;=AL616,TRUE,FALSE))</f>
        <v>1</v>
      </c>
      <c r="AN616" s="158"/>
      <c r="AO616" s="158"/>
      <c r="AP616" s="158"/>
      <c r="AQ616" s="158" t="b">
        <f>IF(AN616="",TRUE,IF(IF(AO616="",VLOOKUP(AN616,Calculs!$A$19:$S$425,19,FALSE),VLOOKUP(AO616,Calculs!$A$19:$S$425,19,FALSE))&gt;=AP616,TRUE,FALSE))</f>
        <v>1</v>
      </c>
      <c r="AR616" s="158"/>
      <c r="AS616" s="158" t="b">
        <f>IF(AR616="",TRUE,IF(VLOOKUP(AR616,Calculs!$A$427:$G$738,7,FALSE)&gt;0,TRUE,FALSE))</f>
        <v>1</v>
      </c>
      <c r="AT616" s="158"/>
      <c r="AU616" s="158" t="b">
        <f>IF(AT616="",TRUE,IF(VLOOKUP(AT616,Calculs!$A$740:$G$912,7,FALSE)&gt;0,TRUE,FALSE))</f>
        <v>1</v>
      </c>
      <c r="AV616" s="158" t="b">
        <f t="shared" si="66"/>
        <v>0</v>
      </c>
      <c r="AW616" s="158" t="s">
        <v>2078</v>
      </c>
      <c r="AX616" s="162" t="s">
        <v>6816</v>
      </c>
      <c r="AY616" s="15">
        <v>122</v>
      </c>
      <c r="AZ616" s="555" t="s">
        <v>8633</v>
      </c>
      <c r="BA616" s="559">
        <f>IF(Verso!$B$10=Voies!$B616,1,0)</f>
        <v>0</v>
      </c>
      <c r="BB616" s="12">
        <f>IF(Verso!$B$11=Voies!$B616,1,0)</f>
        <v>0</v>
      </c>
      <c r="BC616" s="12">
        <f>IF(Verso!$B$12=Voies!$B616,1,0)</f>
        <v>0</v>
      </c>
      <c r="BD616" s="12">
        <f>IF(Verso!$B$13=Voies!$B616,1,0)</f>
        <v>0</v>
      </c>
      <c r="BE616" s="12">
        <f>IF(Verso!$B$14=Voies!$B616,1,0)</f>
        <v>0</v>
      </c>
      <c r="BF616" s="12">
        <f>IF(Verso!$B$15=Voies!$B616,1,0)</f>
        <v>0</v>
      </c>
      <c r="BG616" s="12">
        <f>IF(Verso!$B$16=Voies!$B616,1,0)</f>
        <v>0</v>
      </c>
      <c r="BH616" s="12">
        <f>IF(Verso!$B$17=Voies!$B616,1,0)</f>
        <v>0</v>
      </c>
      <c r="BI616" s="557">
        <f t="shared" si="67"/>
        <v>0</v>
      </c>
      <c r="BJ616" s="196" t="str">
        <f t="shared" si="68"/>
        <v/>
      </c>
      <c r="BK616" s="196" t="str">
        <f t="shared" si="69"/>
        <v/>
      </c>
      <c r="BL616" s="295" t="str">
        <f t="shared" si="70"/>
        <v/>
      </c>
      <c r="BM616" s="91"/>
    </row>
    <row r="617" spans="1:65" s="196" customFormat="1" ht="47.25" customHeight="1" x14ac:dyDescent="0.25">
      <c r="A617" s="162" t="str">
        <f>IF(AND(Réputation&gt;Voies!E617-1,OR(C617=TRUE,Calculs!$I$8&gt;0),Air&gt;Voies!J617-1,Eau&gt;Voies!K617-1,Feu&gt;Voies!L617-1,Terre&gt;Voies!M617-1,Vide&gt;Voies!N617-1,Constitution&gt;Voies!O617-1,Volonté&gt;Voies!P617-1,Force&gt;Voies!Q617-1,Perception&gt;Voies!R617-1,Reflexes&gt;Voies!S617-1,Agilité&gt;Voies!T617-1,Intuition&gt;Voies!U617-1,Intelligence&gt;Voies!V617-1,Souillure&gt;Voies!W617-1,Honneur&gt;X617-1,Statut&gt;Y617-1,Gloire&gt;Z617-1,AV617=TRUE),Voies!B617,"")</f>
        <v/>
      </c>
      <c r="B617" s="162" t="s">
        <v>7155</v>
      </c>
      <c r="C617" s="162" t="b">
        <f>IF(Clan=Voies!D617,TRUE,FALSE)</f>
        <v>0</v>
      </c>
      <c r="D617" s="388" t="s">
        <v>332</v>
      </c>
      <c r="E617" s="199">
        <v>0</v>
      </c>
      <c r="F617" s="199">
        <v>0</v>
      </c>
      <c r="G617" s="199" t="s">
        <v>2049</v>
      </c>
      <c r="H617" s="162" t="s">
        <v>7150</v>
      </c>
      <c r="I617" s="129" t="str">
        <f t="shared" si="71"/>
        <v>Rien</v>
      </c>
      <c r="J617" s="146">
        <v>0</v>
      </c>
      <c r="K617" s="147">
        <v>4</v>
      </c>
      <c r="L617" s="148">
        <v>0</v>
      </c>
      <c r="M617" s="149">
        <v>0</v>
      </c>
      <c r="N617" s="150">
        <v>0</v>
      </c>
      <c r="O617" s="130">
        <v>0</v>
      </c>
      <c r="P617" s="130">
        <v>0</v>
      </c>
      <c r="Q617" s="130">
        <v>0</v>
      </c>
      <c r="R617" s="130">
        <v>0</v>
      </c>
      <c r="S617" s="130">
        <v>4</v>
      </c>
      <c r="T617" s="130">
        <v>4</v>
      </c>
      <c r="U617" s="130">
        <v>0</v>
      </c>
      <c r="V617" s="524">
        <v>0</v>
      </c>
      <c r="W617" s="130">
        <v>0</v>
      </c>
      <c r="X617" s="130">
        <v>0</v>
      </c>
      <c r="Y617" s="130">
        <v>0</v>
      </c>
      <c r="Z617" s="130">
        <v>0</v>
      </c>
      <c r="AA617" s="158" t="s">
        <v>7151</v>
      </c>
      <c r="AB617" s="158" t="s">
        <v>1278</v>
      </c>
      <c r="AC617" s="158" t="s">
        <v>7152</v>
      </c>
      <c r="AD617" s="158">
        <v>5</v>
      </c>
      <c r="AE617" s="158" t="b">
        <f>IF(AB617="",TRUE,IF(IF(AC617="",VLOOKUP(AB617,Calculs!$A$19:$S$425,19,FALSE),VLOOKUP(AC617,Calculs!$A$19:$S$425,19,FALSE))&gt;=AD617,TRUE,FALSE))</f>
        <v>0</v>
      </c>
      <c r="AF617" s="158" t="s">
        <v>1269</v>
      </c>
      <c r="AG617" s="158"/>
      <c r="AH617" s="158">
        <v>5</v>
      </c>
      <c r="AI617" s="158" t="b">
        <f>IF(AF617="",TRUE,IF(IF(AG617="",VLOOKUP(AF617,Calculs!$A$19:$S$425,19,FALSE),VLOOKUP(AG617,Calculs!$A$19:$S$425,19,FALSE))&gt;=AH617,TRUE,FALSE))</f>
        <v>0</v>
      </c>
      <c r="AJ617" s="158"/>
      <c r="AK617" s="158"/>
      <c r="AL617" s="158"/>
      <c r="AM617" s="158" t="b">
        <f>IF(AJ617="",TRUE,IF(IF(AK617="",VLOOKUP(AJ617,Calculs!$A$19:$S$425,19,FALSE),VLOOKUP(AK617,Calculs!$A$19:$S$425,19,FALSE))&gt;=AL617,TRUE,FALSE))</f>
        <v>1</v>
      </c>
      <c r="AN617" s="158"/>
      <c r="AO617" s="158"/>
      <c r="AP617" s="158"/>
      <c r="AQ617" s="158" t="b">
        <f>IF(AN617="",TRUE,IF(IF(AO617="",VLOOKUP(AN617,Calculs!$A$19:$S$425,19,FALSE),VLOOKUP(AO617,Calculs!$A$19:$S$425,19,FALSE))&gt;=AP617,TRUE,FALSE))</f>
        <v>1</v>
      </c>
      <c r="AR617" s="158"/>
      <c r="AS617" s="158" t="b">
        <f>IF(AR617="",TRUE,IF(VLOOKUP(AR617,Calculs!$A$427:$G$738,7,FALSE)&gt;0,TRUE,FALSE))</f>
        <v>1</v>
      </c>
      <c r="AT617" s="158"/>
      <c r="AU617" s="158" t="b">
        <f>IF(AT617="",TRUE,IF(VLOOKUP(AT617,Calculs!$A$740:$G$912,7,FALSE)&gt;0,TRUE,FALSE))</f>
        <v>1</v>
      </c>
      <c r="AV617" s="158" t="b">
        <f t="shared" si="66"/>
        <v>0</v>
      </c>
      <c r="AW617" s="158" t="s">
        <v>2078</v>
      </c>
      <c r="AX617" s="162" t="s">
        <v>6816</v>
      </c>
      <c r="AY617" s="15">
        <v>122</v>
      </c>
      <c r="AZ617" s="555" t="s">
        <v>7157</v>
      </c>
      <c r="BA617" s="559">
        <f>IF(Verso!$B$10=Voies!$B617,1,0)</f>
        <v>0</v>
      </c>
      <c r="BB617" s="12">
        <f>IF(Verso!$B$11=Voies!$B617,1,0)</f>
        <v>0</v>
      </c>
      <c r="BC617" s="12">
        <f>IF(Verso!$B$12=Voies!$B617,1,0)</f>
        <v>0</v>
      </c>
      <c r="BD617" s="12">
        <f>IF(Verso!$B$13=Voies!$B617,1,0)</f>
        <v>0</v>
      </c>
      <c r="BE617" s="12">
        <f>IF(Verso!$B$14=Voies!$B617,1,0)</f>
        <v>0</v>
      </c>
      <c r="BF617" s="12">
        <f>IF(Verso!$B$15=Voies!$B617,1,0)</f>
        <v>0</v>
      </c>
      <c r="BG617" s="12">
        <f>IF(Verso!$B$16=Voies!$B617,1,0)</f>
        <v>0</v>
      </c>
      <c r="BH617" s="12">
        <f>IF(Verso!$B$17=Voies!$B617,1,0)</f>
        <v>0</v>
      </c>
      <c r="BI617" s="557">
        <f t="shared" si="67"/>
        <v>0</v>
      </c>
      <c r="BJ617" s="196" t="str">
        <f t="shared" si="68"/>
        <v/>
      </c>
      <c r="BK617" s="196" t="str">
        <f t="shared" si="69"/>
        <v/>
      </c>
      <c r="BL617" s="295" t="str">
        <f t="shared" si="70"/>
        <v/>
      </c>
      <c r="BM617" s="91"/>
    </row>
    <row r="618" spans="1:65" s="196" customFormat="1" ht="47.25" customHeight="1" x14ac:dyDescent="0.25">
      <c r="A618" s="162" t="str">
        <f>IF(AND(Réputation&gt;Voies!E618-1,OR(C618=TRUE,Calculs!$I$8&gt;0),Air&gt;Voies!J618-1,Eau&gt;Voies!K618-1,Feu&gt;Voies!L618-1,Terre&gt;Voies!M618-1,Vide&gt;Voies!N618-1,Constitution&gt;Voies!O618-1,Volonté&gt;Voies!P618-1,Force&gt;Voies!Q618-1,Perception&gt;Voies!R618-1,Reflexes&gt;Voies!S618-1,Agilité&gt;Voies!T618-1,Intuition&gt;Voies!U618-1,Intelligence&gt;Voies!V618-1,Souillure&gt;Voies!W618-1,Honneur&gt;X618-1,Statut&gt;Y618-1,Gloire&gt;Z618-1,AV618=TRUE),Voies!B618,"")</f>
        <v/>
      </c>
      <c r="B618" s="162" t="s">
        <v>7156</v>
      </c>
      <c r="C618" s="162" t="b">
        <f>IF(Clan=Voies!D618,TRUE,FALSE)</f>
        <v>0</v>
      </c>
      <c r="D618" s="388" t="s">
        <v>332</v>
      </c>
      <c r="E618" s="199">
        <v>0</v>
      </c>
      <c r="F618" s="199">
        <v>0</v>
      </c>
      <c r="G618" s="199" t="s">
        <v>2049</v>
      </c>
      <c r="H618" s="162" t="s">
        <v>7150</v>
      </c>
      <c r="I618" s="129" t="str">
        <f t="shared" si="71"/>
        <v>Rien</v>
      </c>
      <c r="J618" s="146">
        <v>0</v>
      </c>
      <c r="K618" s="147">
        <v>4</v>
      </c>
      <c r="L618" s="148">
        <v>0</v>
      </c>
      <c r="M618" s="149">
        <v>0</v>
      </c>
      <c r="N618" s="150">
        <v>0</v>
      </c>
      <c r="O618" s="130">
        <v>0</v>
      </c>
      <c r="P618" s="130">
        <v>0</v>
      </c>
      <c r="Q618" s="130">
        <v>0</v>
      </c>
      <c r="R618" s="130">
        <v>0</v>
      </c>
      <c r="S618" s="130">
        <v>4</v>
      </c>
      <c r="T618" s="130">
        <v>4</v>
      </c>
      <c r="U618" s="130">
        <v>0</v>
      </c>
      <c r="V618" s="524">
        <v>0</v>
      </c>
      <c r="W618" s="130">
        <v>0</v>
      </c>
      <c r="X618" s="130">
        <v>0</v>
      </c>
      <c r="Y618" s="130">
        <v>0</v>
      </c>
      <c r="Z618" s="130">
        <v>0</v>
      </c>
      <c r="AA618" s="158" t="s">
        <v>7151</v>
      </c>
      <c r="AB618" s="158" t="s">
        <v>1278</v>
      </c>
      <c r="AC618" s="158" t="s">
        <v>7152</v>
      </c>
      <c r="AD618" s="158">
        <v>5</v>
      </c>
      <c r="AE618" s="158" t="b">
        <f>IF(AB618="",TRUE,IF(IF(AC618="",VLOOKUP(AB618,Calculs!$A$19:$S$425,19,FALSE),VLOOKUP(AC618,Calculs!$A$19:$S$425,19,FALSE))&gt;=AD618,TRUE,FALSE))</f>
        <v>0</v>
      </c>
      <c r="AF618" s="158" t="s">
        <v>1269</v>
      </c>
      <c r="AG618" s="158"/>
      <c r="AH618" s="158">
        <v>5</v>
      </c>
      <c r="AI618" s="158" t="b">
        <f>IF(AF618="",TRUE,IF(IF(AG618="",VLOOKUP(AF618,Calculs!$A$19:$S$425,19,FALSE),VLOOKUP(AG618,Calculs!$A$19:$S$425,19,FALSE))&gt;=AH618,TRUE,FALSE))</f>
        <v>0</v>
      </c>
      <c r="AJ618" s="158"/>
      <c r="AK618" s="158"/>
      <c r="AL618" s="158"/>
      <c r="AM618" s="158" t="b">
        <f>IF(AJ618="",TRUE,IF(IF(AK618="",VLOOKUP(AJ618,Calculs!$A$19:$S$425,19,FALSE),VLOOKUP(AK618,Calculs!$A$19:$S$425,19,FALSE))&gt;=AL618,TRUE,FALSE))</f>
        <v>1</v>
      </c>
      <c r="AN618" s="158"/>
      <c r="AO618" s="158"/>
      <c r="AP618" s="158"/>
      <c r="AQ618" s="158" t="b">
        <f>IF(AN618="",TRUE,IF(IF(AO618="",VLOOKUP(AN618,Calculs!$A$19:$S$425,19,FALSE),VLOOKUP(AO618,Calculs!$A$19:$S$425,19,FALSE))&gt;=AP618,TRUE,FALSE))</f>
        <v>1</v>
      </c>
      <c r="AR618" s="158"/>
      <c r="AS618" s="158" t="b">
        <f>IF(AR618="",TRUE,IF(VLOOKUP(AR618,Calculs!$A$427:$G$738,7,FALSE)&gt;0,TRUE,FALSE))</f>
        <v>1</v>
      </c>
      <c r="AT618" s="158"/>
      <c r="AU618" s="158" t="b">
        <f>IF(AT618="",TRUE,IF(VLOOKUP(AT618,Calculs!$A$740:$G$912,7,FALSE)&gt;0,TRUE,FALSE))</f>
        <v>1</v>
      </c>
      <c r="AV618" s="158" t="b">
        <f t="shared" si="66"/>
        <v>0</v>
      </c>
      <c r="AW618" s="158" t="s">
        <v>2078</v>
      </c>
      <c r="AX618" s="162" t="s">
        <v>6816</v>
      </c>
      <c r="AY618" s="15">
        <v>122</v>
      </c>
      <c r="AZ618" s="555" t="s">
        <v>8634</v>
      </c>
      <c r="BA618" s="559">
        <f>IF(Verso!$B$10=Voies!$B618,1,0)</f>
        <v>0</v>
      </c>
      <c r="BB618" s="12">
        <f>IF(Verso!$B$11=Voies!$B618,1,0)</f>
        <v>0</v>
      </c>
      <c r="BC618" s="12">
        <f>IF(Verso!$B$12=Voies!$B618,1,0)</f>
        <v>0</v>
      </c>
      <c r="BD618" s="12">
        <f>IF(Verso!$B$13=Voies!$B618,1,0)</f>
        <v>0</v>
      </c>
      <c r="BE618" s="12">
        <f>IF(Verso!$B$14=Voies!$B618,1,0)</f>
        <v>0</v>
      </c>
      <c r="BF618" s="12">
        <f>IF(Verso!$B$15=Voies!$B618,1,0)</f>
        <v>0</v>
      </c>
      <c r="BG618" s="12">
        <f>IF(Verso!$B$16=Voies!$B618,1,0)</f>
        <v>0</v>
      </c>
      <c r="BH618" s="12">
        <f>IF(Verso!$B$17=Voies!$B618,1,0)</f>
        <v>0</v>
      </c>
      <c r="BI618" s="557">
        <f t="shared" si="67"/>
        <v>0</v>
      </c>
      <c r="BJ618" s="196" t="str">
        <f t="shared" si="68"/>
        <v/>
      </c>
      <c r="BK618" s="196" t="str">
        <f t="shared" si="69"/>
        <v/>
      </c>
      <c r="BL618" s="295" t="str">
        <f t="shared" si="70"/>
        <v/>
      </c>
      <c r="BM618" s="91"/>
    </row>
    <row r="619" spans="1:65" s="196" customFormat="1" ht="47.25" customHeight="1" x14ac:dyDescent="0.25">
      <c r="A619" s="162" t="str">
        <f>IF(AND(Réputation&gt;Voies!E619-1,OR(C619=TRUE,Calculs!$I$8&gt;0),Air&gt;Voies!J619-1,Eau&gt;Voies!K619-1,Feu&gt;Voies!L619-1,Terre&gt;Voies!M619-1,Vide&gt;Voies!N619-1,Constitution&gt;Voies!O619-1,Volonté&gt;Voies!P619-1,Force&gt;Voies!Q619-1,Perception&gt;Voies!R619-1,Reflexes&gt;Voies!S619-1,Agilité&gt;Voies!T619-1,Intuition&gt;Voies!U619-1,Intelligence&gt;Voies!V619-1,Souillure&gt;Voies!W619-1,Honneur&gt;X619-1,Statut&gt;Y619-1,Gloire&gt;Z619-1,AV619=TRUE),Voies!B619,"")</f>
        <v/>
      </c>
      <c r="B619" s="162" t="s">
        <v>7142</v>
      </c>
      <c r="C619" s="162" t="b">
        <f>IF(Clan=Voies!D619,TRUE,FALSE)</f>
        <v>0</v>
      </c>
      <c r="D619" s="388" t="s">
        <v>332</v>
      </c>
      <c r="E619" s="199">
        <v>1</v>
      </c>
      <c r="F619" s="199">
        <v>1</v>
      </c>
      <c r="G619" s="199" t="s">
        <v>2049</v>
      </c>
      <c r="H619" s="162" t="s">
        <v>6970</v>
      </c>
      <c r="I619" s="129" t="str">
        <f t="shared" si="71"/>
        <v>Rien</v>
      </c>
      <c r="J619" s="146">
        <v>0</v>
      </c>
      <c r="K619" s="147">
        <v>0</v>
      </c>
      <c r="L619" s="148">
        <v>0</v>
      </c>
      <c r="M619" s="149">
        <v>0</v>
      </c>
      <c r="N619" s="150">
        <v>0</v>
      </c>
      <c r="O619" s="130">
        <v>0</v>
      </c>
      <c r="P619" s="130">
        <v>0</v>
      </c>
      <c r="Q619" s="130">
        <v>0</v>
      </c>
      <c r="R619" s="130">
        <v>0</v>
      </c>
      <c r="S619" s="130">
        <v>0</v>
      </c>
      <c r="T619" s="130">
        <v>0</v>
      </c>
      <c r="U619" s="130">
        <v>0</v>
      </c>
      <c r="V619" s="524">
        <v>0</v>
      </c>
      <c r="W619" s="130">
        <v>0</v>
      </c>
      <c r="X619" s="130">
        <v>0</v>
      </c>
      <c r="Y619" s="130">
        <v>0</v>
      </c>
      <c r="Z619" s="130">
        <v>0</v>
      </c>
      <c r="AA619" s="158" t="s">
        <v>2078</v>
      </c>
      <c r="AB619" s="158"/>
      <c r="AC619" s="158"/>
      <c r="AD619" s="158"/>
      <c r="AE619" s="158" t="b">
        <f>IF(AB619="",TRUE,IF(IF(AC619="",VLOOKUP(AB619,Calculs!$A$19:$S$425,19,FALSE),VLOOKUP(AC619,Calculs!$A$19:$S$425,19,FALSE))&gt;=AD619,TRUE,FALSE))</f>
        <v>1</v>
      </c>
      <c r="AF619" s="158"/>
      <c r="AG619" s="158"/>
      <c r="AH619" s="158"/>
      <c r="AI619" s="158" t="b">
        <f>IF(AF619="",TRUE,IF(IF(AG619="",VLOOKUP(AF619,Calculs!$A$19:$S$425,19,FALSE),VLOOKUP(AG619,Calculs!$A$19:$S$425,19,FALSE))&gt;=AH619,TRUE,FALSE))</f>
        <v>1</v>
      </c>
      <c r="AJ619" s="158"/>
      <c r="AK619" s="158"/>
      <c r="AL619" s="158"/>
      <c r="AM619" s="158" t="b">
        <f>IF(AJ619="",TRUE,IF(IF(AK619="",VLOOKUP(AJ619,Calculs!$A$19:$S$425,19,FALSE),VLOOKUP(AK619,Calculs!$A$19:$S$425,19,FALSE))&gt;=AL619,TRUE,FALSE))</f>
        <v>1</v>
      </c>
      <c r="AN619" s="158"/>
      <c r="AO619" s="158"/>
      <c r="AP619" s="158"/>
      <c r="AQ619" s="158" t="b">
        <f>IF(AN619="",TRUE,IF(IF(AO619="",VLOOKUP(AN619,Calculs!$A$19:$S$425,19,FALSE),VLOOKUP(AO619,Calculs!$A$19:$S$425,19,FALSE))&gt;=AP619,TRUE,FALSE))</f>
        <v>1</v>
      </c>
      <c r="AR619" s="158"/>
      <c r="AS619" s="158" t="b">
        <f>IF(AR619="",TRUE,IF(VLOOKUP(AR619,Calculs!$A$427:$G$738,7,FALSE)&gt;0,TRUE,FALSE))</f>
        <v>1</v>
      </c>
      <c r="AT619" s="158"/>
      <c r="AU619" s="158" t="b">
        <f>IF(AT619="",TRUE,IF(VLOOKUP(AT619,Calculs!$A$740:$G$912,7,FALSE)&gt;0,TRUE,FALSE))</f>
        <v>1</v>
      </c>
      <c r="AV619" s="158" t="b">
        <f t="shared" si="66"/>
        <v>1</v>
      </c>
      <c r="AW619" s="158" t="s">
        <v>2078</v>
      </c>
      <c r="AX619" s="162" t="s">
        <v>6816</v>
      </c>
      <c r="AY619" s="15">
        <v>120</v>
      </c>
      <c r="AZ619" s="555" t="s">
        <v>7147</v>
      </c>
      <c r="BA619" s="559">
        <f>IF(Verso!$B$10=Voies!$B619,1,0)</f>
        <v>0</v>
      </c>
      <c r="BB619" s="12">
        <f>IF(Verso!$B$11=Voies!$B619,1,0)</f>
        <v>0</v>
      </c>
      <c r="BC619" s="12">
        <f>IF(Verso!$B$12=Voies!$B619,1,0)</f>
        <v>0</v>
      </c>
      <c r="BD619" s="12">
        <f>IF(Verso!$B$13=Voies!$B619,1,0)</f>
        <v>0</v>
      </c>
      <c r="BE619" s="12">
        <f>IF(Verso!$B$14=Voies!$B619,1,0)</f>
        <v>0</v>
      </c>
      <c r="BF619" s="12">
        <f>IF(Verso!$B$15=Voies!$B619,1,0)</f>
        <v>0</v>
      </c>
      <c r="BG619" s="12">
        <f>IF(Verso!$B$16=Voies!$B619,1,0)</f>
        <v>0</v>
      </c>
      <c r="BH619" s="12">
        <f>IF(Verso!$B$17=Voies!$B619,1,0)</f>
        <v>0</v>
      </c>
      <c r="BI619" s="557">
        <f t="shared" si="67"/>
        <v>0</v>
      </c>
      <c r="BJ619" s="196" t="str">
        <f t="shared" si="68"/>
        <v/>
      </c>
      <c r="BK619" s="196" t="str">
        <f t="shared" si="69"/>
        <v/>
      </c>
      <c r="BL619" s="295" t="str">
        <f t="shared" si="70"/>
        <v/>
      </c>
      <c r="BM619" s="91"/>
    </row>
    <row r="620" spans="1:65" s="196" customFormat="1" ht="47.25" customHeight="1" x14ac:dyDescent="0.25">
      <c r="A620" s="162" t="str">
        <f>IF(AND(Réputation&gt;Voies!E620-1,OR(C620=TRUE,Calculs!$I$8&gt;0),Air&gt;Voies!J620-1,Eau&gt;Voies!K620-1,Feu&gt;Voies!L620-1,Terre&gt;Voies!M620-1,Vide&gt;Voies!N620-1,Constitution&gt;Voies!O620-1,Volonté&gt;Voies!P620-1,Force&gt;Voies!Q620-1,Perception&gt;Voies!R620-1,Reflexes&gt;Voies!S620-1,Agilité&gt;Voies!T620-1,Intuition&gt;Voies!U620-1,Intelligence&gt;Voies!V620-1,Souillure&gt;Voies!W620-1,Honneur&gt;X620-1,Statut&gt;Y620-1,Gloire&gt;Z620-1,AV620=TRUE),Voies!B620,"")</f>
        <v/>
      </c>
      <c r="B620" s="162" t="s">
        <v>7143</v>
      </c>
      <c r="C620" s="162" t="b">
        <f>IF(Clan=Voies!D620,TRUE,FALSE)</f>
        <v>0</v>
      </c>
      <c r="D620" s="388" t="s">
        <v>332</v>
      </c>
      <c r="E620" s="199">
        <v>2</v>
      </c>
      <c r="F620" s="199">
        <v>2</v>
      </c>
      <c r="G620" s="199" t="s">
        <v>2049</v>
      </c>
      <c r="H620" s="162" t="s">
        <v>6970</v>
      </c>
      <c r="I620" s="129" t="str">
        <f t="shared" si="71"/>
        <v>Rien</v>
      </c>
      <c r="J620" s="146">
        <v>0</v>
      </c>
      <c r="K620" s="147">
        <v>0</v>
      </c>
      <c r="L620" s="148">
        <v>0</v>
      </c>
      <c r="M620" s="149">
        <v>0</v>
      </c>
      <c r="N620" s="150">
        <v>0</v>
      </c>
      <c r="O620" s="130">
        <v>0</v>
      </c>
      <c r="P620" s="130">
        <v>0</v>
      </c>
      <c r="Q620" s="130">
        <v>0</v>
      </c>
      <c r="R620" s="130">
        <v>0</v>
      </c>
      <c r="S620" s="130">
        <v>0</v>
      </c>
      <c r="T620" s="130">
        <v>0</v>
      </c>
      <c r="U620" s="130">
        <v>0</v>
      </c>
      <c r="V620" s="524">
        <v>0</v>
      </c>
      <c r="W620" s="130">
        <v>0</v>
      </c>
      <c r="X620" s="130">
        <v>0</v>
      </c>
      <c r="Y620" s="130">
        <v>0</v>
      </c>
      <c r="Z620" s="130">
        <v>0</v>
      </c>
      <c r="AA620" s="158" t="s">
        <v>2078</v>
      </c>
      <c r="AB620" s="158"/>
      <c r="AC620" s="158"/>
      <c r="AD620" s="158"/>
      <c r="AE620" s="158" t="b">
        <f>IF(AB620="",TRUE,IF(IF(AC620="",VLOOKUP(AB620,Calculs!$A$19:$S$425,19,FALSE),VLOOKUP(AC620,Calculs!$A$19:$S$425,19,FALSE))&gt;=AD620,TRUE,FALSE))</f>
        <v>1</v>
      </c>
      <c r="AF620" s="158"/>
      <c r="AG620" s="158"/>
      <c r="AH620" s="158"/>
      <c r="AI620" s="158" t="b">
        <f>IF(AF620="",TRUE,IF(IF(AG620="",VLOOKUP(AF620,Calculs!$A$19:$S$425,19,FALSE),VLOOKUP(AG620,Calculs!$A$19:$S$425,19,FALSE))&gt;=AH620,TRUE,FALSE))</f>
        <v>1</v>
      </c>
      <c r="AJ620" s="158"/>
      <c r="AK620" s="158"/>
      <c r="AL620" s="158"/>
      <c r="AM620" s="158" t="b">
        <f>IF(AJ620="",TRUE,IF(IF(AK620="",VLOOKUP(AJ620,Calculs!$A$19:$S$425,19,FALSE),VLOOKUP(AK620,Calculs!$A$19:$S$425,19,FALSE))&gt;=AL620,TRUE,FALSE))</f>
        <v>1</v>
      </c>
      <c r="AN620" s="158"/>
      <c r="AO620" s="158"/>
      <c r="AP620" s="158"/>
      <c r="AQ620" s="158" t="b">
        <f>IF(AN620="",TRUE,IF(IF(AO620="",VLOOKUP(AN620,Calculs!$A$19:$S$425,19,FALSE),VLOOKUP(AO620,Calculs!$A$19:$S$425,19,FALSE))&gt;=AP620,TRUE,FALSE))</f>
        <v>1</v>
      </c>
      <c r="AR620" s="158"/>
      <c r="AS620" s="158" t="b">
        <f>IF(AR620="",TRUE,IF(VLOOKUP(AR620,Calculs!$A$427:$G$738,7,FALSE)&gt;0,TRUE,FALSE))</f>
        <v>1</v>
      </c>
      <c r="AT620" s="158"/>
      <c r="AU620" s="158" t="b">
        <f>IF(AT620="",TRUE,IF(VLOOKUP(AT620,Calculs!$A$740:$G$912,7,FALSE)&gt;0,TRUE,FALSE))</f>
        <v>1</v>
      </c>
      <c r="AV620" s="158" t="b">
        <f t="shared" si="66"/>
        <v>1</v>
      </c>
      <c r="AW620" s="158" t="s">
        <v>2078</v>
      </c>
      <c r="AX620" s="162" t="s">
        <v>6816</v>
      </c>
      <c r="AY620" s="15">
        <v>120</v>
      </c>
      <c r="AZ620" s="555" t="s">
        <v>7148</v>
      </c>
      <c r="BA620" s="559">
        <f>IF(Verso!$B$10=Voies!$B620,1,0)</f>
        <v>0</v>
      </c>
      <c r="BB620" s="12">
        <f>IF(Verso!$B$11=Voies!$B620,1,0)</f>
        <v>0</v>
      </c>
      <c r="BC620" s="12">
        <f>IF(Verso!$B$12=Voies!$B620,1,0)</f>
        <v>0</v>
      </c>
      <c r="BD620" s="12">
        <f>IF(Verso!$B$13=Voies!$B620,1,0)</f>
        <v>0</v>
      </c>
      <c r="BE620" s="12">
        <f>IF(Verso!$B$14=Voies!$B620,1,0)</f>
        <v>0</v>
      </c>
      <c r="BF620" s="12">
        <f>IF(Verso!$B$15=Voies!$B620,1,0)</f>
        <v>0</v>
      </c>
      <c r="BG620" s="12">
        <f>IF(Verso!$B$16=Voies!$B620,1,0)</f>
        <v>0</v>
      </c>
      <c r="BH620" s="12">
        <f>IF(Verso!$B$17=Voies!$B620,1,0)</f>
        <v>0</v>
      </c>
      <c r="BI620" s="557">
        <f t="shared" si="67"/>
        <v>0</v>
      </c>
      <c r="BJ620" s="196" t="str">
        <f t="shared" si="68"/>
        <v/>
      </c>
      <c r="BK620" s="196" t="str">
        <f t="shared" si="69"/>
        <v/>
      </c>
      <c r="BL620" s="295" t="str">
        <f t="shared" si="70"/>
        <v/>
      </c>
      <c r="BM620" s="91"/>
    </row>
    <row r="621" spans="1:65" s="196" customFormat="1" ht="47.25" customHeight="1" x14ac:dyDescent="0.25">
      <c r="A621" s="162" t="str">
        <f>IF(AND(Réputation&gt;Voies!E621-1,OR(C621=TRUE,Calculs!$I$8&gt;0),Air&gt;Voies!J621-1,Eau&gt;Voies!K621-1,Feu&gt;Voies!L621-1,Terre&gt;Voies!M621-1,Vide&gt;Voies!N621-1,Constitution&gt;Voies!O621-1,Volonté&gt;Voies!P621-1,Force&gt;Voies!Q621-1,Perception&gt;Voies!R621-1,Reflexes&gt;Voies!S621-1,Agilité&gt;Voies!T621-1,Intuition&gt;Voies!U621-1,Intelligence&gt;Voies!V621-1,Souillure&gt;Voies!W621-1,Honneur&gt;X621-1,Statut&gt;Y621-1,Gloire&gt;Z621-1,AV621=TRUE),Voies!B621,"")</f>
        <v/>
      </c>
      <c r="B621" s="162" t="s">
        <v>7144</v>
      </c>
      <c r="C621" s="162" t="b">
        <f>IF(Clan=Voies!D621,TRUE,FALSE)</f>
        <v>0</v>
      </c>
      <c r="D621" s="388" t="s">
        <v>332</v>
      </c>
      <c r="E621" s="199">
        <v>3</v>
      </c>
      <c r="F621" s="199">
        <v>3</v>
      </c>
      <c r="G621" s="199" t="s">
        <v>2049</v>
      </c>
      <c r="H621" s="162" t="s">
        <v>6970</v>
      </c>
      <c r="I621" s="129" t="str">
        <f t="shared" si="71"/>
        <v>Rien</v>
      </c>
      <c r="J621" s="146">
        <v>0</v>
      </c>
      <c r="K621" s="147">
        <v>0</v>
      </c>
      <c r="L621" s="148">
        <v>0</v>
      </c>
      <c r="M621" s="149">
        <v>0</v>
      </c>
      <c r="N621" s="150">
        <v>0</v>
      </c>
      <c r="O621" s="130">
        <v>0</v>
      </c>
      <c r="P621" s="130">
        <v>0</v>
      </c>
      <c r="Q621" s="130">
        <v>0</v>
      </c>
      <c r="R621" s="130">
        <v>0</v>
      </c>
      <c r="S621" s="130">
        <v>0</v>
      </c>
      <c r="T621" s="130">
        <v>0</v>
      </c>
      <c r="U621" s="130">
        <v>0</v>
      </c>
      <c r="V621" s="524">
        <v>0</v>
      </c>
      <c r="W621" s="130">
        <v>0</v>
      </c>
      <c r="X621" s="130">
        <v>0</v>
      </c>
      <c r="Y621" s="130">
        <v>0</v>
      </c>
      <c r="Z621" s="130">
        <v>0</v>
      </c>
      <c r="AA621" s="158" t="s">
        <v>2078</v>
      </c>
      <c r="AB621" s="158"/>
      <c r="AC621" s="158"/>
      <c r="AD621" s="158"/>
      <c r="AE621" s="158" t="b">
        <f>IF(AB621="",TRUE,IF(IF(AC621="",VLOOKUP(AB621,Calculs!$A$19:$S$425,19,FALSE),VLOOKUP(AC621,Calculs!$A$19:$S$425,19,FALSE))&gt;=AD621,TRUE,FALSE))</f>
        <v>1</v>
      </c>
      <c r="AF621" s="158"/>
      <c r="AG621" s="158"/>
      <c r="AH621" s="158"/>
      <c r="AI621" s="158" t="b">
        <f>IF(AF621="",TRUE,IF(IF(AG621="",VLOOKUP(AF621,Calculs!$A$19:$S$425,19,FALSE),VLOOKUP(AG621,Calculs!$A$19:$S$425,19,FALSE))&gt;=AH621,TRUE,FALSE))</f>
        <v>1</v>
      </c>
      <c r="AJ621" s="158"/>
      <c r="AK621" s="158"/>
      <c r="AL621" s="158"/>
      <c r="AM621" s="158" t="b">
        <f>IF(AJ621="",TRUE,IF(IF(AK621="",VLOOKUP(AJ621,Calculs!$A$19:$S$425,19,FALSE),VLOOKUP(AK621,Calculs!$A$19:$S$425,19,FALSE))&gt;=AL621,TRUE,FALSE))</f>
        <v>1</v>
      </c>
      <c r="AN621" s="158"/>
      <c r="AO621" s="158"/>
      <c r="AP621" s="158"/>
      <c r="AQ621" s="158" t="b">
        <f>IF(AN621="",TRUE,IF(IF(AO621="",VLOOKUP(AN621,Calculs!$A$19:$S$425,19,FALSE),VLOOKUP(AO621,Calculs!$A$19:$S$425,19,FALSE))&gt;=AP621,TRUE,FALSE))</f>
        <v>1</v>
      </c>
      <c r="AR621" s="158"/>
      <c r="AS621" s="158" t="b">
        <f>IF(AR621="",TRUE,IF(VLOOKUP(AR621,Calculs!$A$427:$G$738,7,FALSE)&gt;0,TRUE,FALSE))</f>
        <v>1</v>
      </c>
      <c r="AT621" s="158"/>
      <c r="AU621" s="158" t="b">
        <f>IF(AT621="",TRUE,IF(VLOOKUP(AT621,Calculs!$A$740:$G$912,7,FALSE)&gt;0,TRUE,FALSE))</f>
        <v>1</v>
      </c>
      <c r="AV621" s="158" t="b">
        <f t="shared" si="66"/>
        <v>1</v>
      </c>
      <c r="AW621" s="158" t="s">
        <v>2078</v>
      </c>
      <c r="AX621" s="162" t="s">
        <v>6816</v>
      </c>
      <c r="AY621" s="15">
        <v>120</v>
      </c>
      <c r="AZ621" s="555" t="s">
        <v>8635</v>
      </c>
      <c r="BA621" s="559">
        <f>IF(Verso!$B$10=Voies!$B621,1,0)</f>
        <v>0</v>
      </c>
      <c r="BB621" s="12">
        <f>IF(Verso!$B$11=Voies!$B621,1,0)</f>
        <v>0</v>
      </c>
      <c r="BC621" s="12">
        <f>IF(Verso!$B$12=Voies!$B621,1,0)</f>
        <v>0</v>
      </c>
      <c r="BD621" s="12">
        <f>IF(Verso!$B$13=Voies!$B621,1,0)</f>
        <v>0</v>
      </c>
      <c r="BE621" s="12">
        <f>IF(Verso!$B$14=Voies!$B621,1,0)</f>
        <v>0</v>
      </c>
      <c r="BF621" s="12">
        <f>IF(Verso!$B$15=Voies!$B621,1,0)</f>
        <v>0</v>
      </c>
      <c r="BG621" s="12">
        <f>IF(Verso!$B$16=Voies!$B621,1,0)</f>
        <v>0</v>
      </c>
      <c r="BH621" s="12">
        <f>IF(Verso!$B$17=Voies!$B621,1,0)</f>
        <v>0</v>
      </c>
      <c r="BI621" s="557">
        <f t="shared" si="67"/>
        <v>0</v>
      </c>
      <c r="BJ621" s="196" t="str">
        <f t="shared" si="68"/>
        <v/>
      </c>
      <c r="BK621" s="196" t="str">
        <f t="shared" si="69"/>
        <v/>
      </c>
      <c r="BL621" s="295" t="str">
        <f t="shared" si="70"/>
        <v/>
      </c>
      <c r="BM621" s="91"/>
    </row>
    <row r="622" spans="1:65" s="196" customFormat="1" ht="47.25" customHeight="1" x14ac:dyDescent="0.25">
      <c r="A622" s="162" t="str">
        <f>IF(AND(Réputation&gt;Voies!E622-1,OR(C622=TRUE,Calculs!$I$8&gt;0),Air&gt;Voies!J622-1,Eau&gt;Voies!K622-1,Feu&gt;Voies!L622-1,Terre&gt;Voies!M622-1,Vide&gt;Voies!N622-1,Constitution&gt;Voies!O622-1,Volonté&gt;Voies!P622-1,Force&gt;Voies!Q622-1,Perception&gt;Voies!R622-1,Reflexes&gt;Voies!S622-1,Agilité&gt;Voies!T622-1,Intuition&gt;Voies!U622-1,Intelligence&gt;Voies!V622-1,Souillure&gt;Voies!W622-1,Honneur&gt;X622-1,Statut&gt;Y622-1,Gloire&gt;Z622-1,AV622=TRUE),Voies!B622,"")</f>
        <v/>
      </c>
      <c r="B622" s="162" t="s">
        <v>7145</v>
      </c>
      <c r="C622" s="162" t="b">
        <f>IF(Clan=Voies!D622,TRUE,FALSE)</f>
        <v>0</v>
      </c>
      <c r="D622" s="388" t="s">
        <v>332</v>
      </c>
      <c r="E622" s="199">
        <v>4</v>
      </c>
      <c r="F622" s="199">
        <v>4</v>
      </c>
      <c r="G622" s="199" t="s">
        <v>2049</v>
      </c>
      <c r="H622" s="162" t="s">
        <v>6970</v>
      </c>
      <c r="I622" s="129" t="str">
        <f t="shared" si="71"/>
        <v>Rien</v>
      </c>
      <c r="J622" s="146">
        <v>0</v>
      </c>
      <c r="K622" s="147">
        <v>0</v>
      </c>
      <c r="L622" s="148">
        <v>0</v>
      </c>
      <c r="M622" s="149">
        <v>0</v>
      </c>
      <c r="N622" s="150">
        <v>0</v>
      </c>
      <c r="O622" s="130">
        <v>0</v>
      </c>
      <c r="P622" s="130">
        <v>0</v>
      </c>
      <c r="Q622" s="130">
        <v>0</v>
      </c>
      <c r="R622" s="130">
        <v>0</v>
      </c>
      <c r="S622" s="130">
        <v>0</v>
      </c>
      <c r="T622" s="130">
        <v>0</v>
      </c>
      <c r="U622" s="130">
        <v>0</v>
      </c>
      <c r="V622" s="524">
        <v>0</v>
      </c>
      <c r="W622" s="130">
        <v>0</v>
      </c>
      <c r="X622" s="130">
        <v>0</v>
      </c>
      <c r="Y622" s="130">
        <v>0</v>
      </c>
      <c r="Z622" s="130">
        <v>0</v>
      </c>
      <c r="AA622" s="158" t="s">
        <v>2078</v>
      </c>
      <c r="AB622" s="158"/>
      <c r="AC622" s="158"/>
      <c r="AD622" s="158"/>
      <c r="AE622" s="158" t="b">
        <f>IF(AB622="",TRUE,IF(IF(AC622="",VLOOKUP(AB622,Calculs!$A$19:$S$425,19,FALSE),VLOOKUP(AC622,Calculs!$A$19:$S$425,19,FALSE))&gt;=AD622,TRUE,FALSE))</f>
        <v>1</v>
      </c>
      <c r="AF622" s="158"/>
      <c r="AG622" s="158"/>
      <c r="AH622" s="158"/>
      <c r="AI622" s="158" t="b">
        <f>IF(AF622="",TRUE,IF(IF(AG622="",VLOOKUP(AF622,Calculs!$A$19:$S$425,19,FALSE),VLOOKUP(AG622,Calculs!$A$19:$S$425,19,FALSE))&gt;=AH622,TRUE,FALSE))</f>
        <v>1</v>
      </c>
      <c r="AJ622" s="158"/>
      <c r="AK622" s="158"/>
      <c r="AL622" s="158"/>
      <c r="AM622" s="158" t="b">
        <f>IF(AJ622="",TRUE,IF(IF(AK622="",VLOOKUP(AJ622,Calculs!$A$19:$S$425,19,FALSE),VLOOKUP(AK622,Calculs!$A$19:$S$425,19,FALSE))&gt;=AL622,TRUE,FALSE))</f>
        <v>1</v>
      </c>
      <c r="AN622" s="158"/>
      <c r="AO622" s="158"/>
      <c r="AP622" s="158"/>
      <c r="AQ622" s="158" t="b">
        <f>IF(AN622="",TRUE,IF(IF(AO622="",VLOOKUP(AN622,Calculs!$A$19:$S$425,19,FALSE),VLOOKUP(AO622,Calculs!$A$19:$S$425,19,FALSE))&gt;=AP622,TRUE,FALSE))</f>
        <v>1</v>
      </c>
      <c r="AR622" s="158"/>
      <c r="AS622" s="158" t="b">
        <f>IF(AR622="",TRUE,IF(VLOOKUP(AR622,Calculs!$A$427:$G$738,7,FALSE)&gt;0,TRUE,FALSE))</f>
        <v>1</v>
      </c>
      <c r="AT622" s="158"/>
      <c r="AU622" s="158" t="b">
        <f>IF(AT622="",TRUE,IF(VLOOKUP(AT622,Calculs!$A$740:$G$912,7,FALSE)&gt;0,TRUE,FALSE))</f>
        <v>1</v>
      </c>
      <c r="AV622" s="158" t="b">
        <f t="shared" si="66"/>
        <v>1</v>
      </c>
      <c r="AW622" s="158" t="s">
        <v>2078</v>
      </c>
      <c r="AX622" s="162" t="s">
        <v>6816</v>
      </c>
      <c r="AY622" s="15">
        <v>120</v>
      </c>
      <c r="AZ622" s="555" t="s">
        <v>7149</v>
      </c>
      <c r="BA622" s="559">
        <f>IF(Verso!$B$10=Voies!$B622,1,0)</f>
        <v>0</v>
      </c>
      <c r="BB622" s="12">
        <f>IF(Verso!$B$11=Voies!$B622,1,0)</f>
        <v>0</v>
      </c>
      <c r="BC622" s="12">
        <f>IF(Verso!$B$12=Voies!$B622,1,0)</f>
        <v>0</v>
      </c>
      <c r="BD622" s="12">
        <f>IF(Verso!$B$13=Voies!$B622,1,0)</f>
        <v>0</v>
      </c>
      <c r="BE622" s="12">
        <f>IF(Verso!$B$14=Voies!$B622,1,0)</f>
        <v>0</v>
      </c>
      <c r="BF622" s="12">
        <f>IF(Verso!$B$15=Voies!$B622,1,0)</f>
        <v>0</v>
      </c>
      <c r="BG622" s="12">
        <f>IF(Verso!$B$16=Voies!$B622,1,0)</f>
        <v>0</v>
      </c>
      <c r="BH622" s="12">
        <f>IF(Verso!$B$17=Voies!$B622,1,0)</f>
        <v>0</v>
      </c>
      <c r="BI622" s="557">
        <f t="shared" si="67"/>
        <v>0</v>
      </c>
      <c r="BJ622" s="196" t="str">
        <f t="shared" si="68"/>
        <v/>
      </c>
      <c r="BK622" s="196" t="str">
        <f t="shared" si="69"/>
        <v/>
      </c>
      <c r="BL622" s="295" t="str">
        <f t="shared" si="70"/>
        <v/>
      </c>
      <c r="BM622" s="91"/>
    </row>
    <row r="623" spans="1:65" s="196" customFormat="1" ht="47.25" customHeight="1" x14ac:dyDescent="0.25">
      <c r="A623" s="162" t="str">
        <f>IF(AND(Réputation&gt;Voies!E623-1,OR(C623=TRUE,Calculs!$I$8&gt;0),Air&gt;Voies!J623-1,Eau&gt;Voies!K623-1,Feu&gt;Voies!L623-1,Terre&gt;Voies!M623-1,Vide&gt;Voies!N623-1,Constitution&gt;Voies!O623-1,Volonté&gt;Voies!P623-1,Force&gt;Voies!Q623-1,Perception&gt;Voies!R623-1,Reflexes&gt;Voies!S623-1,Agilité&gt;Voies!T623-1,Intuition&gt;Voies!U623-1,Intelligence&gt;Voies!V623-1,Souillure&gt;Voies!W623-1,Honneur&gt;X623-1,Statut&gt;Y623-1,Gloire&gt;Z623-1,AV623=TRUE),Voies!B623,"")</f>
        <v/>
      </c>
      <c r="B623" s="162" t="s">
        <v>7146</v>
      </c>
      <c r="C623" s="162" t="b">
        <f>IF(Clan=Voies!D623,TRUE,FALSE)</f>
        <v>0</v>
      </c>
      <c r="D623" s="388" t="s">
        <v>332</v>
      </c>
      <c r="E623" s="199">
        <v>5</v>
      </c>
      <c r="F623" s="199">
        <v>5</v>
      </c>
      <c r="G623" s="199" t="s">
        <v>2049</v>
      </c>
      <c r="H623" s="162" t="s">
        <v>6970</v>
      </c>
      <c r="I623" s="129" t="str">
        <f t="shared" si="71"/>
        <v>Rien</v>
      </c>
      <c r="J623" s="146">
        <v>0</v>
      </c>
      <c r="K623" s="147">
        <v>0</v>
      </c>
      <c r="L623" s="148">
        <v>0</v>
      </c>
      <c r="M623" s="149">
        <v>0</v>
      </c>
      <c r="N623" s="150">
        <v>0</v>
      </c>
      <c r="O623" s="130">
        <v>0</v>
      </c>
      <c r="P623" s="130">
        <v>0</v>
      </c>
      <c r="Q623" s="130">
        <v>0</v>
      </c>
      <c r="R623" s="130">
        <v>0</v>
      </c>
      <c r="S623" s="130">
        <v>0</v>
      </c>
      <c r="T623" s="130">
        <v>0</v>
      </c>
      <c r="U623" s="130">
        <v>0</v>
      </c>
      <c r="V623" s="524">
        <v>0</v>
      </c>
      <c r="W623" s="130">
        <v>0</v>
      </c>
      <c r="X623" s="130">
        <v>0</v>
      </c>
      <c r="Y623" s="130">
        <v>0</v>
      </c>
      <c r="Z623" s="130">
        <v>0</v>
      </c>
      <c r="AA623" s="158" t="s">
        <v>2078</v>
      </c>
      <c r="AB623" s="158"/>
      <c r="AC623" s="158"/>
      <c r="AD623" s="158"/>
      <c r="AE623" s="158" t="b">
        <f>IF(AB623="",TRUE,IF(IF(AC623="",VLOOKUP(AB623,Calculs!$A$19:$S$425,19,FALSE),VLOOKUP(AC623,Calculs!$A$19:$S$425,19,FALSE))&gt;=AD623,TRUE,FALSE))</f>
        <v>1</v>
      </c>
      <c r="AF623" s="158"/>
      <c r="AG623" s="158"/>
      <c r="AH623" s="158"/>
      <c r="AI623" s="158" t="b">
        <f>IF(AF623="",TRUE,IF(IF(AG623="",VLOOKUP(AF623,Calculs!$A$19:$S$425,19,FALSE),VLOOKUP(AG623,Calculs!$A$19:$S$425,19,FALSE))&gt;=AH623,TRUE,FALSE))</f>
        <v>1</v>
      </c>
      <c r="AJ623" s="158"/>
      <c r="AK623" s="158"/>
      <c r="AL623" s="158"/>
      <c r="AM623" s="158" t="b">
        <f>IF(AJ623="",TRUE,IF(IF(AK623="",VLOOKUP(AJ623,Calculs!$A$19:$S$425,19,FALSE),VLOOKUP(AK623,Calculs!$A$19:$S$425,19,FALSE))&gt;=AL623,TRUE,FALSE))</f>
        <v>1</v>
      </c>
      <c r="AN623" s="158"/>
      <c r="AO623" s="158"/>
      <c r="AP623" s="158"/>
      <c r="AQ623" s="158" t="b">
        <f>IF(AN623="",TRUE,IF(IF(AO623="",VLOOKUP(AN623,Calculs!$A$19:$S$425,19,FALSE),VLOOKUP(AO623,Calculs!$A$19:$S$425,19,FALSE))&gt;=AP623,TRUE,FALSE))</f>
        <v>1</v>
      </c>
      <c r="AR623" s="158"/>
      <c r="AS623" s="158" t="b">
        <f>IF(AR623="",TRUE,IF(VLOOKUP(AR623,Calculs!$A$427:$G$738,7,FALSE)&gt;0,TRUE,FALSE))</f>
        <v>1</v>
      </c>
      <c r="AT623" s="158"/>
      <c r="AU623" s="158" t="b">
        <f>IF(AT623="",TRUE,IF(VLOOKUP(AT623,Calculs!$A$740:$G$912,7,FALSE)&gt;0,TRUE,FALSE))</f>
        <v>1</v>
      </c>
      <c r="AV623" s="158" t="b">
        <f t="shared" si="66"/>
        <v>1</v>
      </c>
      <c r="AW623" s="158" t="s">
        <v>2078</v>
      </c>
      <c r="AX623" s="162" t="s">
        <v>6816</v>
      </c>
      <c r="AY623" s="15">
        <v>120</v>
      </c>
      <c r="AZ623" s="555" t="s">
        <v>8636</v>
      </c>
      <c r="BA623" s="559">
        <f>IF(Verso!$B$10=Voies!$B623,1,0)</f>
        <v>0</v>
      </c>
      <c r="BB623" s="12">
        <f>IF(Verso!$B$11=Voies!$B623,1,0)</f>
        <v>0</v>
      </c>
      <c r="BC623" s="12">
        <f>IF(Verso!$B$12=Voies!$B623,1,0)</f>
        <v>0</v>
      </c>
      <c r="BD623" s="12">
        <f>IF(Verso!$B$13=Voies!$B623,1,0)</f>
        <v>0</v>
      </c>
      <c r="BE623" s="12">
        <f>IF(Verso!$B$14=Voies!$B623,1,0)</f>
        <v>0</v>
      </c>
      <c r="BF623" s="12">
        <f>IF(Verso!$B$15=Voies!$B623,1,0)</f>
        <v>0</v>
      </c>
      <c r="BG623" s="12">
        <f>IF(Verso!$B$16=Voies!$B623,1,0)</f>
        <v>0</v>
      </c>
      <c r="BH623" s="12">
        <f>IF(Verso!$B$17=Voies!$B623,1,0)</f>
        <v>0</v>
      </c>
      <c r="BI623" s="557">
        <f t="shared" si="67"/>
        <v>0</v>
      </c>
      <c r="BJ623" s="196" t="str">
        <f t="shared" si="68"/>
        <v/>
      </c>
      <c r="BK623" s="196" t="str">
        <f t="shared" si="69"/>
        <v/>
      </c>
      <c r="BL623" s="295" t="str">
        <f t="shared" si="70"/>
        <v/>
      </c>
      <c r="BM623" s="91"/>
    </row>
    <row r="624" spans="1:65" s="196" customFormat="1" ht="47.25" customHeight="1" x14ac:dyDescent="0.25">
      <c r="A624" s="162" t="str">
        <f>IF(AND(Réputation&gt;Voies!E624-1,OR(C624=TRUE,Calculs!$I$8&gt;0),Air&gt;Voies!J624-1,Eau&gt;Voies!K624-1,Feu&gt;Voies!L624-1,Terre&gt;Voies!M624-1,Vide&gt;Voies!N624-1,Constitution&gt;Voies!O624-1,Volonté&gt;Voies!P624-1,Force&gt;Voies!Q624-1,Perception&gt;Voies!R624-1,Reflexes&gt;Voies!S624-1,Agilité&gt;Voies!T624-1,Intuition&gt;Voies!U624-1,Intelligence&gt;Voies!V624-1,Souillure&gt;Voies!W624-1,Honneur&gt;X624-1,Statut&gt;Y624-1,Gloire&gt;Z624-1,AV624=TRUE),Voies!B624,"")</f>
        <v/>
      </c>
      <c r="B624" s="162" t="s">
        <v>7063</v>
      </c>
      <c r="C624" s="162" t="b">
        <f>IF(Clan=Voies!D624,TRUE,FALSE)</f>
        <v>0</v>
      </c>
      <c r="D624" s="466" t="s">
        <v>6779</v>
      </c>
      <c r="E624" s="199">
        <v>1</v>
      </c>
      <c r="F624" s="199">
        <v>1</v>
      </c>
      <c r="G624" s="199" t="s">
        <v>2048</v>
      </c>
      <c r="H624" s="162" t="s">
        <v>6897</v>
      </c>
      <c r="I624" s="129" t="str">
        <f t="shared" si="71"/>
        <v>Rien</v>
      </c>
      <c r="J624" s="146">
        <v>0</v>
      </c>
      <c r="K624" s="147">
        <v>0</v>
      </c>
      <c r="L624" s="148">
        <v>0</v>
      </c>
      <c r="M624" s="149">
        <v>0</v>
      </c>
      <c r="N624" s="150">
        <v>0</v>
      </c>
      <c r="O624" s="130">
        <v>0</v>
      </c>
      <c r="P624" s="130">
        <v>0</v>
      </c>
      <c r="Q624" s="130">
        <v>0</v>
      </c>
      <c r="R624" s="130">
        <v>0</v>
      </c>
      <c r="S624" s="130">
        <v>0</v>
      </c>
      <c r="T624" s="130">
        <v>0</v>
      </c>
      <c r="U624" s="130">
        <v>0</v>
      </c>
      <c r="V624" s="524">
        <v>0</v>
      </c>
      <c r="W624" s="130">
        <v>0</v>
      </c>
      <c r="X624" s="130">
        <v>0</v>
      </c>
      <c r="Y624" s="130">
        <v>0</v>
      </c>
      <c r="Z624" s="130">
        <v>0</v>
      </c>
      <c r="AA624" s="158" t="s">
        <v>2078</v>
      </c>
      <c r="AB624" s="158"/>
      <c r="AC624" s="158"/>
      <c r="AD624" s="158"/>
      <c r="AE624" s="158" t="b">
        <f>IF(AB624="",TRUE,IF(IF(AC624="",VLOOKUP(AB624,Calculs!$A$19:$S$425,19,FALSE),VLOOKUP(AC624,Calculs!$A$19:$S$425,19,FALSE))&gt;=AD624,TRUE,FALSE))</f>
        <v>1</v>
      </c>
      <c r="AF624" s="158"/>
      <c r="AG624" s="158"/>
      <c r="AH624" s="158"/>
      <c r="AI624" s="158" t="b">
        <f>IF(AF624="",TRUE,IF(IF(AG624="",VLOOKUP(AF624,Calculs!$A$19:$S$425,19,FALSE),VLOOKUP(AG624,Calculs!$A$19:$S$425,19,FALSE))&gt;=AH624,TRUE,FALSE))</f>
        <v>1</v>
      </c>
      <c r="AJ624" s="158"/>
      <c r="AK624" s="158"/>
      <c r="AL624" s="158"/>
      <c r="AM624" s="158" t="b">
        <f>IF(AJ624="",TRUE,IF(IF(AK624="",VLOOKUP(AJ624,Calculs!$A$19:$S$425,19,FALSE),VLOOKUP(AK624,Calculs!$A$19:$S$425,19,FALSE))&gt;=AL624,TRUE,FALSE))</f>
        <v>1</v>
      </c>
      <c r="AN624" s="158"/>
      <c r="AO624" s="158"/>
      <c r="AP624" s="158"/>
      <c r="AQ624" s="158" t="b">
        <f>IF(AN624="",TRUE,IF(IF(AO624="",VLOOKUP(AN624,Calculs!$A$19:$S$425,19,FALSE),VLOOKUP(AO624,Calculs!$A$19:$S$425,19,FALSE))&gt;=AP624,TRUE,FALSE))</f>
        <v>1</v>
      </c>
      <c r="AR624" s="158"/>
      <c r="AS624" s="158" t="b">
        <f>IF(AR624="",TRUE,IF(VLOOKUP(AR624,Calculs!$A$427:$G$738,7,FALSE)&gt;0,TRUE,FALSE))</f>
        <v>1</v>
      </c>
      <c r="AT624" s="158"/>
      <c r="AU624" s="158" t="b">
        <f>IF(AT624="",TRUE,IF(VLOOKUP(AT624,Calculs!$A$740:$G$912,7,FALSE)&gt;0,TRUE,FALSE))</f>
        <v>1</v>
      </c>
      <c r="AV624" s="158" t="b">
        <f t="shared" si="66"/>
        <v>1</v>
      </c>
      <c r="AW624" s="158" t="s">
        <v>2078</v>
      </c>
      <c r="AX624" s="162" t="s">
        <v>6816</v>
      </c>
      <c r="AY624" s="15">
        <v>85</v>
      </c>
      <c r="AZ624" s="555" t="s">
        <v>8637</v>
      </c>
      <c r="BA624" s="559">
        <f>IF(Verso!$B$10=Voies!$B624,1,0)</f>
        <v>0</v>
      </c>
      <c r="BB624" s="12">
        <f>IF(Verso!$B$11=Voies!$B624,1,0)</f>
        <v>0</v>
      </c>
      <c r="BC624" s="12">
        <f>IF(Verso!$B$12=Voies!$B624,1,0)</f>
        <v>0</v>
      </c>
      <c r="BD624" s="12">
        <f>IF(Verso!$B$13=Voies!$B624,1,0)</f>
        <v>0</v>
      </c>
      <c r="BE624" s="12">
        <f>IF(Verso!$B$14=Voies!$B624,1,0)</f>
        <v>0</v>
      </c>
      <c r="BF624" s="12">
        <f>IF(Verso!$B$15=Voies!$B624,1,0)</f>
        <v>0</v>
      </c>
      <c r="BG624" s="12">
        <f>IF(Verso!$B$16=Voies!$B624,1,0)</f>
        <v>0</v>
      </c>
      <c r="BH624" s="12">
        <f>IF(Verso!$B$17=Voies!$B624,1,0)</f>
        <v>0</v>
      </c>
      <c r="BI624" s="557">
        <f t="shared" si="67"/>
        <v>0</v>
      </c>
      <c r="BJ624" s="196" t="str">
        <f t="shared" si="68"/>
        <v/>
      </c>
      <c r="BK624" s="196" t="str">
        <f t="shared" si="69"/>
        <v/>
      </c>
      <c r="BL624" s="295" t="str">
        <f t="shared" si="70"/>
        <v/>
      </c>
      <c r="BM624" s="91"/>
    </row>
    <row r="625" spans="1:65" s="196" customFormat="1" ht="47.25" customHeight="1" x14ac:dyDescent="0.25">
      <c r="A625" s="162" t="str">
        <f>IF(AND(Réputation&gt;Voies!E625-1,OR(C625=TRUE,Calculs!$I$8&gt;0),Air&gt;Voies!J625-1,Eau&gt;Voies!K625-1,Feu&gt;Voies!L625-1,Terre&gt;Voies!M625-1,Vide&gt;Voies!N625-1,Constitution&gt;Voies!O625-1,Volonté&gt;Voies!P625-1,Force&gt;Voies!Q625-1,Perception&gt;Voies!R625-1,Reflexes&gt;Voies!S625-1,Agilité&gt;Voies!T625-1,Intuition&gt;Voies!U625-1,Intelligence&gt;Voies!V625-1,Souillure&gt;Voies!W625-1,Honneur&gt;X625-1,Statut&gt;Y625-1,Gloire&gt;Z625-1,AV625=TRUE),Voies!B625,"")</f>
        <v/>
      </c>
      <c r="B625" s="162" t="s">
        <v>7188</v>
      </c>
      <c r="C625" s="162" t="b">
        <f>IF(Clan=Voies!D625,TRUE,FALSE)</f>
        <v>0</v>
      </c>
      <c r="D625" s="466" t="s">
        <v>6803</v>
      </c>
      <c r="E625" s="199">
        <v>1</v>
      </c>
      <c r="F625" s="199">
        <v>1</v>
      </c>
      <c r="G625" s="199" t="s">
        <v>2049</v>
      </c>
      <c r="H625" s="162" t="s">
        <v>7091</v>
      </c>
      <c r="I625" s="129" t="str">
        <f t="shared" si="71"/>
        <v>Rien</v>
      </c>
      <c r="J625" s="146">
        <v>0</v>
      </c>
      <c r="K625" s="147">
        <v>0</v>
      </c>
      <c r="L625" s="148">
        <v>0</v>
      </c>
      <c r="M625" s="149">
        <v>0</v>
      </c>
      <c r="N625" s="150">
        <v>0</v>
      </c>
      <c r="O625" s="130">
        <v>0</v>
      </c>
      <c r="P625" s="130">
        <v>0</v>
      </c>
      <c r="Q625" s="130">
        <v>0</v>
      </c>
      <c r="R625" s="130">
        <v>0</v>
      </c>
      <c r="S625" s="130">
        <v>0</v>
      </c>
      <c r="T625" s="130">
        <v>0</v>
      </c>
      <c r="U625" s="130">
        <v>0</v>
      </c>
      <c r="V625" s="524">
        <v>0</v>
      </c>
      <c r="W625" s="130">
        <v>0</v>
      </c>
      <c r="X625" s="130">
        <v>0</v>
      </c>
      <c r="Y625" s="130">
        <v>0</v>
      </c>
      <c r="Z625" s="130">
        <v>0</v>
      </c>
      <c r="AA625" s="158" t="s">
        <v>2078</v>
      </c>
      <c r="AB625" s="158"/>
      <c r="AC625" s="158"/>
      <c r="AD625" s="158"/>
      <c r="AE625" s="158" t="b">
        <f>IF(AB625="",TRUE,IF(IF(AC625="",VLOOKUP(AB625,Calculs!$A$19:$S$425,19,FALSE),VLOOKUP(AC625,Calculs!$A$19:$S$425,19,FALSE))&gt;=AD625,TRUE,FALSE))</f>
        <v>1</v>
      </c>
      <c r="AF625" s="158"/>
      <c r="AG625" s="158"/>
      <c r="AH625" s="158"/>
      <c r="AI625" s="158" t="b">
        <f>IF(AF625="",TRUE,IF(IF(AG625="",VLOOKUP(AF625,Calculs!$A$19:$S$425,19,FALSE),VLOOKUP(AG625,Calculs!$A$19:$S$425,19,FALSE))&gt;=AH625,TRUE,FALSE))</f>
        <v>1</v>
      </c>
      <c r="AJ625" s="158"/>
      <c r="AK625" s="158"/>
      <c r="AL625" s="158"/>
      <c r="AM625" s="158" t="b">
        <f>IF(AJ625="",TRUE,IF(IF(AK625="",VLOOKUP(AJ625,Calculs!$A$19:$S$425,19,FALSE),VLOOKUP(AK625,Calculs!$A$19:$S$425,19,FALSE))&gt;=AL625,TRUE,FALSE))</f>
        <v>1</v>
      </c>
      <c r="AN625" s="158"/>
      <c r="AO625" s="158"/>
      <c r="AP625" s="158"/>
      <c r="AQ625" s="158" t="b">
        <f>IF(AN625="",TRUE,IF(IF(AO625="",VLOOKUP(AN625,Calculs!$A$19:$S$425,19,FALSE),VLOOKUP(AO625,Calculs!$A$19:$S$425,19,FALSE))&gt;=AP625,TRUE,FALSE))</f>
        <v>1</v>
      </c>
      <c r="AR625" s="158"/>
      <c r="AS625" s="158" t="b">
        <f>IF(AR625="",TRUE,IF(VLOOKUP(AR625,Calculs!$A$427:$G$738,7,FALSE)&gt;0,TRUE,FALSE))</f>
        <v>1</v>
      </c>
      <c r="AT625" s="158"/>
      <c r="AU625" s="158" t="b">
        <f>IF(AT625="",TRUE,IF(VLOOKUP(AT625,Calculs!$A$740:$G$912,7,FALSE)&gt;0,TRUE,FALSE))</f>
        <v>1</v>
      </c>
      <c r="AV625" s="158" t="b">
        <f t="shared" si="66"/>
        <v>1</v>
      </c>
      <c r="AW625" s="158" t="s">
        <v>2078</v>
      </c>
      <c r="AX625" s="162" t="s">
        <v>6816</v>
      </c>
      <c r="AY625" s="15">
        <v>130</v>
      </c>
      <c r="AZ625" s="555" t="s">
        <v>7193</v>
      </c>
      <c r="BA625" s="559">
        <f>IF(Verso!$B$10=Voies!$B625,1,0)</f>
        <v>0</v>
      </c>
      <c r="BB625" s="12">
        <f>IF(Verso!$B$11=Voies!$B625,1,0)</f>
        <v>0</v>
      </c>
      <c r="BC625" s="12">
        <f>IF(Verso!$B$12=Voies!$B625,1,0)</f>
        <v>0</v>
      </c>
      <c r="BD625" s="12">
        <f>IF(Verso!$B$13=Voies!$B625,1,0)</f>
        <v>0</v>
      </c>
      <c r="BE625" s="12">
        <f>IF(Verso!$B$14=Voies!$B625,1,0)</f>
        <v>0</v>
      </c>
      <c r="BF625" s="12">
        <f>IF(Verso!$B$15=Voies!$B625,1,0)</f>
        <v>0</v>
      </c>
      <c r="BG625" s="12">
        <f>IF(Verso!$B$16=Voies!$B625,1,0)</f>
        <v>0</v>
      </c>
      <c r="BH625" s="12">
        <f>IF(Verso!$B$17=Voies!$B625,1,0)</f>
        <v>0</v>
      </c>
      <c r="BI625" s="557">
        <f t="shared" si="67"/>
        <v>0</v>
      </c>
      <c r="BJ625" s="196" t="str">
        <f t="shared" si="68"/>
        <v/>
      </c>
      <c r="BK625" s="196" t="str">
        <f t="shared" si="69"/>
        <v/>
      </c>
      <c r="BL625" s="295" t="str">
        <f t="shared" si="70"/>
        <v/>
      </c>
      <c r="BM625" s="91"/>
    </row>
    <row r="626" spans="1:65" s="196" customFormat="1" ht="47.25" customHeight="1" x14ac:dyDescent="0.25">
      <c r="A626" s="162" t="str">
        <f>IF(AND(Réputation&gt;Voies!E626-1,OR(C626=TRUE,Calculs!$I$8&gt;0),Air&gt;Voies!J626-1,Eau&gt;Voies!K626-1,Feu&gt;Voies!L626-1,Terre&gt;Voies!M626-1,Vide&gt;Voies!N626-1,Constitution&gt;Voies!O626-1,Volonté&gt;Voies!P626-1,Force&gt;Voies!Q626-1,Perception&gt;Voies!R626-1,Reflexes&gt;Voies!S626-1,Agilité&gt;Voies!T626-1,Intuition&gt;Voies!U626-1,Intelligence&gt;Voies!V626-1,Souillure&gt;Voies!W626-1,Honneur&gt;X626-1,Statut&gt;Y626-1,Gloire&gt;Z626-1,AV626=TRUE),Voies!B626,"")</f>
        <v/>
      </c>
      <c r="B626" s="162" t="s">
        <v>7189</v>
      </c>
      <c r="C626" s="162" t="b">
        <f>IF(Clan=Voies!D626,TRUE,FALSE)</f>
        <v>0</v>
      </c>
      <c r="D626" s="466" t="s">
        <v>6803</v>
      </c>
      <c r="E626" s="199">
        <v>2</v>
      </c>
      <c r="F626" s="199">
        <v>2</v>
      </c>
      <c r="G626" s="199" t="s">
        <v>2049</v>
      </c>
      <c r="H626" s="162" t="s">
        <v>7091</v>
      </c>
      <c r="I626" s="129" t="str">
        <f t="shared" si="71"/>
        <v>Rien</v>
      </c>
      <c r="J626" s="146">
        <v>0</v>
      </c>
      <c r="K626" s="147">
        <v>0</v>
      </c>
      <c r="L626" s="148">
        <v>0</v>
      </c>
      <c r="M626" s="149">
        <v>0</v>
      </c>
      <c r="N626" s="150">
        <v>0</v>
      </c>
      <c r="O626" s="130">
        <v>0</v>
      </c>
      <c r="P626" s="130">
        <v>0</v>
      </c>
      <c r="Q626" s="130">
        <v>0</v>
      </c>
      <c r="R626" s="130">
        <v>0</v>
      </c>
      <c r="S626" s="130">
        <v>0</v>
      </c>
      <c r="T626" s="130">
        <v>0</v>
      </c>
      <c r="U626" s="130">
        <v>0</v>
      </c>
      <c r="V626" s="524">
        <v>0</v>
      </c>
      <c r="W626" s="130">
        <v>0</v>
      </c>
      <c r="X626" s="130">
        <v>0</v>
      </c>
      <c r="Y626" s="130">
        <v>0</v>
      </c>
      <c r="Z626" s="130">
        <v>0</v>
      </c>
      <c r="AA626" s="158" t="s">
        <v>2078</v>
      </c>
      <c r="AB626" s="158"/>
      <c r="AC626" s="158"/>
      <c r="AD626" s="158"/>
      <c r="AE626" s="158" t="b">
        <f>IF(AB626="",TRUE,IF(IF(AC626="",VLOOKUP(AB626,Calculs!$A$19:$S$425,19,FALSE),VLOOKUP(AC626,Calculs!$A$19:$S$425,19,FALSE))&gt;=AD626,TRUE,FALSE))</f>
        <v>1</v>
      </c>
      <c r="AF626" s="158"/>
      <c r="AG626" s="158"/>
      <c r="AH626" s="158"/>
      <c r="AI626" s="158" t="b">
        <f>IF(AF626="",TRUE,IF(IF(AG626="",VLOOKUP(AF626,Calculs!$A$19:$S$425,19,FALSE),VLOOKUP(AG626,Calculs!$A$19:$S$425,19,FALSE))&gt;=AH626,TRUE,FALSE))</f>
        <v>1</v>
      </c>
      <c r="AJ626" s="158"/>
      <c r="AK626" s="158"/>
      <c r="AL626" s="158"/>
      <c r="AM626" s="158" t="b">
        <f>IF(AJ626="",TRUE,IF(IF(AK626="",VLOOKUP(AJ626,Calculs!$A$19:$S$425,19,FALSE),VLOOKUP(AK626,Calculs!$A$19:$S$425,19,FALSE))&gt;=AL626,TRUE,FALSE))</f>
        <v>1</v>
      </c>
      <c r="AN626" s="158"/>
      <c r="AO626" s="158"/>
      <c r="AP626" s="158"/>
      <c r="AQ626" s="158" t="b">
        <f>IF(AN626="",TRUE,IF(IF(AO626="",VLOOKUP(AN626,Calculs!$A$19:$S$425,19,FALSE),VLOOKUP(AO626,Calculs!$A$19:$S$425,19,FALSE))&gt;=AP626,TRUE,FALSE))</f>
        <v>1</v>
      </c>
      <c r="AR626" s="158"/>
      <c r="AS626" s="158" t="b">
        <f>IF(AR626="",TRUE,IF(VLOOKUP(AR626,Calculs!$A$427:$G$738,7,FALSE)&gt;0,TRUE,FALSE))</f>
        <v>1</v>
      </c>
      <c r="AT626" s="158"/>
      <c r="AU626" s="158" t="b">
        <f>IF(AT626="",TRUE,IF(VLOOKUP(AT626,Calculs!$A$740:$G$912,7,FALSE)&gt;0,TRUE,FALSE))</f>
        <v>1</v>
      </c>
      <c r="AV626" s="158" t="b">
        <f t="shared" si="66"/>
        <v>1</v>
      </c>
      <c r="AW626" s="158" t="s">
        <v>2078</v>
      </c>
      <c r="AX626" s="162" t="s">
        <v>6816</v>
      </c>
      <c r="AY626" s="527">
        <v>130</v>
      </c>
      <c r="AZ626" s="566" t="s">
        <v>7194</v>
      </c>
      <c r="BA626" s="559">
        <f>IF(Verso!$B$10=Voies!$B626,1,0)</f>
        <v>0</v>
      </c>
      <c r="BB626" s="12">
        <f>IF(Verso!$B$11=Voies!$B626,1,0)</f>
        <v>0</v>
      </c>
      <c r="BC626" s="12">
        <f>IF(Verso!$B$12=Voies!$B626,1,0)</f>
        <v>0</v>
      </c>
      <c r="BD626" s="12">
        <f>IF(Verso!$B$13=Voies!$B626,1,0)</f>
        <v>0</v>
      </c>
      <c r="BE626" s="12">
        <f>IF(Verso!$B$14=Voies!$B626,1,0)</f>
        <v>0</v>
      </c>
      <c r="BF626" s="12">
        <f>IF(Verso!$B$15=Voies!$B626,1,0)</f>
        <v>0</v>
      </c>
      <c r="BG626" s="12">
        <f>IF(Verso!$B$16=Voies!$B626,1,0)</f>
        <v>0</v>
      </c>
      <c r="BH626" s="12">
        <f>IF(Verso!$B$17=Voies!$B626,1,0)</f>
        <v>0</v>
      </c>
      <c r="BI626" s="557">
        <f t="shared" si="67"/>
        <v>0</v>
      </c>
      <c r="BJ626" s="196" t="str">
        <f t="shared" si="68"/>
        <v/>
      </c>
      <c r="BK626" s="196" t="str">
        <f t="shared" si="69"/>
        <v/>
      </c>
      <c r="BL626" s="295" t="str">
        <f t="shared" si="70"/>
        <v/>
      </c>
      <c r="BM626" s="91"/>
    </row>
    <row r="627" spans="1:65" s="196" customFormat="1" ht="47.25" customHeight="1" x14ac:dyDescent="0.25">
      <c r="A627" s="162" t="str">
        <f>IF(AND(Réputation&gt;Voies!E627-1,OR(C627=TRUE,Calculs!$I$8&gt;0),Air&gt;Voies!J627-1,Eau&gt;Voies!K627-1,Feu&gt;Voies!L627-1,Terre&gt;Voies!M627-1,Vide&gt;Voies!N627-1,Constitution&gt;Voies!O627-1,Volonté&gt;Voies!P627-1,Force&gt;Voies!Q627-1,Perception&gt;Voies!R627-1,Reflexes&gt;Voies!S627-1,Agilité&gt;Voies!T627-1,Intuition&gt;Voies!U627-1,Intelligence&gt;Voies!V627-1,Souillure&gt;Voies!W627-1,Honneur&gt;X627-1,Statut&gt;Y627-1,Gloire&gt;Z627-1,AV627=TRUE),Voies!B627,"")</f>
        <v/>
      </c>
      <c r="B627" s="162" t="s">
        <v>8420</v>
      </c>
      <c r="C627" s="162" t="b">
        <f>IF(Clan=Voies!D627,TRUE,FALSE)</f>
        <v>0</v>
      </c>
      <c r="D627" s="466" t="s">
        <v>6803</v>
      </c>
      <c r="E627" s="199">
        <v>2</v>
      </c>
      <c r="F627" s="199">
        <v>2</v>
      </c>
      <c r="G627" s="199" t="s">
        <v>2049</v>
      </c>
      <c r="H627" s="162" t="s">
        <v>8421</v>
      </c>
      <c r="I627" s="129" t="str">
        <f t="shared" si="71"/>
        <v>Rien</v>
      </c>
      <c r="J627" s="146">
        <v>0</v>
      </c>
      <c r="K627" s="147">
        <v>0</v>
      </c>
      <c r="L627" s="148">
        <v>0</v>
      </c>
      <c r="M627" s="149">
        <v>0</v>
      </c>
      <c r="N627" s="150">
        <v>0</v>
      </c>
      <c r="O627" s="130">
        <v>0</v>
      </c>
      <c r="P627" s="130">
        <v>0</v>
      </c>
      <c r="Q627" s="130">
        <v>0</v>
      </c>
      <c r="R627" s="130">
        <v>0</v>
      </c>
      <c r="S627" s="130">
        <v>0</v>
      </c>
      <c r="T627" s="130">
        <v>0</v>
      </c>
      <c r="U627" s="130">
        <v>0</v>
      </c>
      <c r="V627" s="524">
        <v>0</v>
      </c>
      <c r="W627" s="130">
        <v>0</v>
      </c>
      <c r="X627" s="130">
        <v>0</v>
      </c>
      <c r="Y627" s="130">
        <v>0</v>
      </c>
      <c r="Z627" s="130">
        <v>0</v>
      </c>
      <c r="AA627" s="158" t="s">
        <v>8422</v>
      </c>
      <c r="AB627" s="158" t="s">
        <v>1208</v>
      </c>
      <c r="AC627" s="158"/>
      <c r="AD627" s="158">
        <v>2</v>
      </c>
      <c r="AE627" s="158" t="b">
        <f>IF(AB627="",TRUE,IF(IF(AC627="",VLOOKUP(AB627,Calculs!$A$19:$S$425,19,FALSE),VLOOKUP(AC627,Calculs!$A$19:$S$425,19,FALSE))&gt;=AD627,TRUE,FALSE))</f>
        <v>0</v>
      </c>
      <c r="AF627" s="158" t="s">
        <v>1265</v>
      </c>
      <c r="AG627" s="158"/>
      <c r="AH627" s="158">
        <v>2</v>
      </c>
      <c r="AI627" s="158" t="b">
        <f>IF(AF627="",TRUE,IF(IF(AG627="",VLOOKUP(AF627,Calculs!$A$19:$S$425,19,FALSE),VLOOKUP(AG627,Calculs!$A$19:$S$425,19,FALSE))&gt;=AH627,TRUE,FALSE))</f>
        <v>0</v>
      </c>
      <c r="AJ627" s="158"/>
      <c r="AK627" s="158"/>
      <c r="AL627" s="158"/>
      <c r="AM627" s="158" t="b">
        <f>IF(AJ627="",TRUE,IF(IF(AK627="",VLOOKUP(AJ627,Calculs!$A$19:$S$425,19,FALSE),VLOOKUP(AK627,Calculs!$A$19:$S$425,19,FALSE))&gt;=AL627,TRUE,FALSE))</f>
        <v>1</v>
      </c>
      <c r="AN627" s="158"/>
      <c r="AO627" s="158"/>
      <c r="AP627" s="158"/>
      <c r="AQ627" s="158" t="b">
        <f>IF(AN627="",TRUE,IF(IF(AO627="",VLOOKUP(AN627,Calculs!$A$19:$S$425,19,FALSE),VLOOKUP(AO627,Calculs!$A$19:$S$425,19,FALSE))&gt;=AP627,TRUE,FALSE))</f>
        <v>1</v>
      </c>
      <c r="AR627" s="158"/>
      <c r="AS627" s="158" t="b">
        <f>IF(AR627="",TRUE,IF(VLOOKUP(AR627,Calculs!$A$427:$G$738,7,FALSE)&gt;0,TRUE,FALSE))</f>
        <v>1</v>
      </c>
      <c r="AT627" s="158"/>
      <c r="AU627" s="158" t="b">
        <f>IF(AT627="",TRUE,IF(VLOOKUP(AT627,Calculs!$A$740:$G$912,7,FALSE)&gt;0,TRUE,FALSE))</f>
        <v>1</v>
      </c>
      <c r="AV627" s="158" t="b">
        <f t="shared" si="66"/>
        <v>0</v>
      </c>
      <c r="AW627" s="158" t="s">
        <v>2078</v>
      </c>
      <c r="AX627" s="162" t="s">
        <v>7759</v>
      </c>
      <c r="AY627" s="15">
        <v>29</v>
      </c>
      <c r="AZ627" s="566" t="s">
        <v>8423</v>
      </c>
      <c r="BA627" s="559">
        <f>IF(Verso!$B$10=Voies!$B627,1,0)</f>
        <v>0</v>
      </c>
      <c r="BB627" s="12">
        <f>IF(Verso!$B$11=Voies!$B627,1,0)</f>
        <v>0</v>
      </c>
      <c r="BC627" s="12">
        <f>IF(Verso!$B$12=Voies!$B627,1,0)</f>
        <v>0</v>
      </c>
      <c r="BD627" s="12">
        <f>IF(Verso!$B$13=Voies!$B627,1,0)</f>
        <v>0</v>
      </c>
      <c r="BE627" s="12">
        <f>IF(Verso!$B$14=Voies!$B627,1,0)</f>
        <v>0</v>
      </c>
      <c r="BF627" s="12">
        <f>IF(Verso!$B$15=Voies!$B627,1,0)</f>
        <v>0</v>
      </c>
      <c r="BG627" s="12">
        <f>IF(Verso!$B$16=Voies!$B627,1,0)</f>
        <v>0</v>
      </c>
      <c r="BH627" s="12">
        <f>IF(Verso!$B$17=Voies!$B627,1,0)</f>
        <v>0</v>
      </c>
      <c r="BI627" s="557">
        <f t="shared" si="67"/>
        <v>0</v>
      </c>
      <c r="BJ627" s="196" t="str">
        <f t="shared" si="68"/>
        <v/>
      </c>
      <c r="BK627" s="196" t="str">
        <f t="shared" si="69"/>
        <v/>
      </c>
      <c r="BL627" s="295" t="str">
        <f t="shared" si="70"/>
        <v/>
      </c>
      <c r="BM627" s="91"/>
    </row>
    <row r="628" spans="1:65" s="196" customFormat="1" ht="47.25" customHeight="1" x14ac:dyDescent="0.25">
      <c r="A628" s="162" t="str">
        <f>IF(AND(Réputation&gt;Voies!E628-1,OR(C628=TRUE,Calculs!$I$8&gt;0),Air&gt;Voies!J628-1,Eau&gt;Voies!K628-1,Feu&gt;Voies!L628-1,Terre&gt;Voies!M628-1,Vide&gt;Voies!N628-1,Constitution&gt;Voies!O628-1,Volonté&gt;Voies!P628-1,Force&gt;Voies!Q628-1,Perception&gt;Voies!R628-1,Reflexes&gt;Voies!S628-1,Agilité&gt;Voies!T628-1,Intuition&gt;Voies!U628-1,Intelligence&gt;Voies!V628-1,Souillure&gt;Voies!W628-1,Honneur&gt;X628-1,Statut&gt;Y628-1,Gloire&gt;Z628-1,AV628=TRUE),Voies!B628,"")</f>
        <v/>
      </c>
      <c r="B628" s="162" t="s">
        <v>7190</v>
      </c>
      <c r="C628" s="162" t="b">
        <f>IF(Clan=Voies!D628,TRUE,FALSE)</f>
        <v>0</v>
      </c>
      <c r="D628" s="466" t="s">
        <v>6803</v>
      </c>
      <c r="E628" s="199">
        <v>3</v>
      </c>
      <c r="F628" s="199">
        <v>3</v>
      </c>
      <c r="G628" s="199" t="s">
        <v>2049</v>
      </c>
      <c r="H628" s="162" t="s">
        <v>7091</v>
      </c>
      <c r="I628" s="129" t="str">
        <f t="shared" si="71"/>
        <v>Rien</v>
      </c>
      <c r="J628" s="146">
        <v>0</v>
      </c>
      <c r="K628" s="147">
        <v>0</v>
      </c>
      <c r="L628" s="148">
        <v>0</v>
      </c>
      <c r="M628" s="149">
        <v>0</v>
      </c>
      <c r="N628" s="150">
        <v>0</v>
      </c>
      <c r="O628" s="130">
        <v>0</v>
      </c>
      <c r="P628" s="130">
        <v>0</v>
      </c>
      <c r="Q628" s="130">
        <v>0</v>
      </c>
      <c r="R628" s="130">
        <v>0</v>
      </c>
      <c r="S628" s="130">
        <v>0</v>
      </c>
      <c r="T628" s="130">
        <v>0</v>
      </c>
      <c r="U628" s="130">
        <v>0</v>
      </c>
      <c r="V628" s="524">
        <v>0</v>
      </c>
      <c r="W628" s="130">
        <v>0</v>
      </c>
      <c r="X628" s="130">
        <v>0</v>
      </c>
      <c r="Y628" s="130">
        <v>0</v>
      </c>
      <c r="Z628" s="130">
        <v>0</v>
      </c>
      <c r="AA628" s="158" t="s">
        <v>2078</v>
      </c>
      <c r="AB628" s="158"/>
      <c r="AC628" s="158"/>
      <c r="AD628" s="158"/>
      <c r="AE628" s="158" t="b">
        <f>IF(AB628="",TRUE,IF(IF(AC628="",VLOOKUP(AB628,Calculs!$A$19:$S$425,19,FALSE),VLOOKUP(AC628,Calculs!$A$19:$S$425,19,FALSE))&gt;=AD628,TRUE,FALSE))</f>
        <v>1</v>
      </c>
      <c r="AF628" s="158"/>
      <c r="AG628" s="158"/>
      <c r="AH628" s="158"/>
      <c r="AI628" s="158" t="b">
        <f>IF(AF628="",TRUE,IF(IF(AG628="",VLOOKUP(AF628,Calculs!$A$19:$S$425,19,FALSE),VLOOKUP(AG628,Calculs!$A$19:$S$425,19,FALSE))&gt;=AH628,TRUE,FALSE))</f>
        <v>1</v>
      </c>
      <c r="AJ628" s="158"/>
      <c r="AK628" s="158"/>
      <c r="AL628" s="158"/>
      <c r="AM628" s="158" t="b">
        <f>IF(AJ628="",TRUE,IF(IF(AK628="",VLOOKUP(AJ628,Calculs!$A$19:$S$425,19,FALSE),VLOOKUP(AK628,Calculs!$A$19:$S$425,19,FALSE))&gt;=AL628,TRUE,FALSE))</f>
        <v>1</v>
      </c>
      <c r="AN628" s="158"/>
      <c r="AO628" s="158"/>
      <c r="AP628" s="158"/>
      <c r="AQ628" s="158" t="b">
        <f>IF(AN628="",TRUE,IF(IF(AO628="",VLOOKUP(AN628,Calculs!$A$19:$S$425,19,FALSE),VLOOKUP(AO628,Calculs!$A$19:$S$425,19,FALSE))&gt;=AP628,TRUE,FALSE))</f>
        <v>1</v>
      </c>
      <c r="AR628" s="158"/>
      <c r="AS628" s="158" t="b">
        <f>IF(AR628="",TRUE,IF(VLOOKUP(AR628,Calculs!$A$427:$G$738,7,FALSE)&gt;0,TRUE,FALSE))</f>
        <v>1</v>
      </c>
      <c r="AT628" s="158"/>
      <c r="AU628" s="158" t="b">
        <f>IF(AT628="",TRUE,IF(VLOOKUP(AT628,Calculs!$A$740:$G$912,7,FALSE)&gt;0,TRUE,FALSE))</f>
        <v>1</v>
      </c>
      <c r="AV628" s="158" t="b">
        <f t="shared" si="66"/>
        <v>1</v>
      </c>
      <c r="AW628" s="158" t="s">
        <v>2078</v>
      </c>
      <c r="AX628" s="162" t="s">
        <v>6816</v>
      </c>
      <c r="AY628" s="15">
        <v>131</v>
      </c>
      <c r="AZ628" s="555" t="s">
        <v>8638</v>
      </c>
      <c r="BA628" s="559">
        <f>IF(Verso!$B$10=Voies!$B628,1,0)</f>
        <v>0</v>
      </c>
      <c r="BB628" s="12">
        <f>IF(Verso!$B$11=Voies!$B628,1,0)</f>
        <v>0</v>
      </c>
      <c r="BC628" s="12">
        <f>IF(Verso!$B$12=Voies!$B628,1,0)</f>
        <v>0</v>
      </c>
      <c r="BD628" s="12">
        <f>IF(Verso!$B$13=Voies!$B628,1,0)</f>
        <v>0</v>
      </c>
      <c r="BE628" s="12">
        <f>IF(Verso!$B$14=Voies!$B628,1,0)</f>
        <v>0</v>
      </c>
      <c r="BF628" s="12">
        <f>IF(Verso!$B$15=Voies!$B628,1,0)</f>
        <v>0</v>
      </c>
      <c r="BG628" s="12">
        <f>IF(Verso!$B$16=Voies!$B628,1,0)</f>
        <v>0</v>
      </c>
      <c r="BH628" s="12">
        <f>IF(Verso!$B$17=Voies!$B628,1,0)</f>
        <v>0</v>
      </c>
      <c r="BI628" s="557">
        <f t="shared" si="67"/>
        <v>0</v>
      </c>
      <c r="BJ628" s="196" t="str">
        <f t="shared" si="68"/>
        <v/>
      </c>
      <c r="BK628" s="196" t="str">
        <f t="shared" si="69"/>
        <v/>
      </c>
      <c r="BL628" s="295" t="str">
        <f t="shared" si="70"/>
        <v/>
      </c>
      <c r="BM628" s="91"/>
    </row>
    <row r="629" spans="1:65" s="196" customFormat="1" ht="47.25" customHeight="1" x14ac:dyDescent="0.25">
      <c r="A629" s="162" t="str">
        <f>IF(AND(Réputation&gt;Voies!E629-1,OR(C629=TRUE,Calculs!$I$8&gt;0),Air&gt;Voies!J629-1,Eau&gt;Voies!K629-1,Feu&gt;Voies!L629-1,Terre&gt;Voies!M629-1,Vide&gt;Voies!N629-1,Constitution&gt;Voies!O629-1,Volonté&gt;Voies!P629-1,Force&gt;Voies!Q629-1,Perception&gt;Voies!R629-1,Reflexes&gt;Voies!S629-1,Agilité&gt;Voies!T629-1,Intuition&gt;Voies!U629-1,Intelligence&gt;Voies!V629-1,Souillure&gt;Voies!W629-1,Honneur&gt;X629-1,Statut&gt;Y629-1,Gloire&gt;Z629-1,AV629=TRUE),Voies!B629,"")</f>
        <v/>
      </c>
      <c r="B629" s="162" t="s">
        <v>7191</v>
      </c>
      <c r="C629" s="162" t="b">
        <f>IF(Clan=Voies!D629,TRUE,FALSE)</f>
        <v>0</v>
      </c>
      <c r="D629" s="466" t="s">
        <v>6803</v>
      </c>
      <c r="E629" s="199">
        <v>4</v>
      </c>
      <c r="F629" s="199">
        <v>4</v>
      </c>
      <c r="G629" s="199" t="s">
        <v>2049</v>
      </c>
      <c r="H629" s="162" t="s">
        <v>7091</v>
      </c>
      <c r="I629" s="129" t="str">
        <f t="shared" si="71"/>
        <v>Rien</v>
      </c>
      <c r="J629" s="146">
        <v>0</v>
      </c>
      <c r="K629" s="147">
        <v>0</v>
      </c>
      <c r="L629" s="148">
        <v>0</v>
      </c>
      <c r="M629" s="149">
        <v>0</v>
      </c>
      <c r="N629" s="150">
        <v>0</v>
      </c>
      <c r="O629" s="130">
        <v>0</v>
      </c>
      <c r="P629" s="130">
        <v>0</v>
      </c>
      <c r="Q629" s="130">
        <v>0</v>
      </c>
      <c r="R629" s="130">
        <v>0</v>
      </c>
      <c r="S629" s="130">
        <v>0</v>
      </c>
      <c r="T629" s="130">
        <v>0</v>
      </c>
      <c r="U629" s="130">
        <v>0</v>
      </c>
      <c r="V629" s="524">
        <v>0</v>
      </c>
      <c r="W629" s="130">
        <v>0</v>
      </c>
      <c r="X629" s="130">
        <v>0</v>
      </c>
      <c r="Y629" s="130">
        <v>0</v>
      </c>
      <c r="Z629" s="130">
        <v>0</v>
      </c>
      <c r="AA629" s="158" t="s">
        <v>2078</v>
      </c>
      <c r="AB629" s="158"/>
      <c r="AC629" s="158"/>
      <c r="AD629" s="158"/>
      <c r="AE629" s="158" t="b">
        <f>IF(AB629="",TRUE,IF(IF(AC629="",VLOOKUP(AB629,Calculs!$A$19:$S$425,19,FALSE),VLOOKUP(AC629,Calculs!$A$19:$S$425,19,FALSE))&gt;=AD629,TRUE,FALSE))</f>
        <v>1</v>
      </c>
      <c r="AF629" s="158"/>
      <c r="AG629" s="158"/>
      <c r="AH629" s="158"/>
      <c r="AI629" s="158" t="b">
        <f>IF(AF629="",TRUE,IF(IF(AG629="",VLOOKUP(AF629,Calculs!$A$19:$S$425,19,FALSE),VLOOKUP(AG629,Calculs!$A$19:$S$425,19,FALSE))&gt;=AH629,TRUE,FALSE))</f>
        <v>1</v>
      </c>
      <c r="AJ629" s="158"/>
      <c r="AK629" s="158"/>
      <c r="AL629" s="158"/>
      <c r="AM629" s="158" t="b">
        <f>IF(AJ629="",TRUE,IF(IF(AK629="",VLOOKUP(AJ629,Calculs!$A$19:$S$425,19,FALSE),VLOOKUP(AK629,Calculs!$A$19:$S$425,19,FALSE))&gt;=AL629,TRUE,FALSE))</f>
        <v>1</v>
      </c>
      <c r="AN629" s="158"/>
      <c r="AO629" s="158"/>
      <c r="AP629" s="158"/>
      <c r="AQ629" s="158" t="b">
        <f>IF(AN629="",TRUE,IF(IF(AO629="",VLOOKUP(AN629,Calculs!$A$19:$S$425,19,FALSE),VLOOKUP(AO629,Calculs!$A$19:$S$425,19,FALSE))&gt;=AP629,TRUE,FALSE))</f>
        <v>1</v>
      </c>
      <c r="AR629" s="158"/>
      <c r="AS629" s="158" t="b">
        <f>IF(AR629="",TRUE,IF(VLOOKUP(AR629,Calculs!$A$427:$G$738,7,FALSE)&gt;0,TRUE,FALSE))</f>
        <v>1</v>
      </c>
      <c r="AT629" s="158"/>
      <c r="AU629" s="158" t="b">
        <f>IF(AT629="",TRUE,IF(VLOOKUP(AT629,Calculs!$A$740:$G$912,7,FALSE)&gt;0,TRUE,FALSE))</f>
        <v>1</v>
      </c>
      <c r="AV629" s="158" t="b">
        <f t="shared" si="66"/>
        <v>1</v>
      </c>
      <c r="AW629" s="158" t="s">
        <v>2078</v>
      </c>
      <c r="AX629" s="162" t="s">
        <v>6816</v>
      </c>
      <c r="AY629" s="15">
        <v>131</v>
      </c>
      <c r="AZ629" s="555" t="s">
        <v>7195</v>
      </c>
      <c r="BA629" s="559">
        <f>IF(Verso!$B$10=Voies!$B629,1,0)</f>
        <v>0</v>
      </c>
      <c r="BB629" s="12">
        <f>IF(Verso!$B$11=Voies!$B629,1,0)</f>
        <v>0</v>
      </c>
      <c r="BC629" s="12">
        <f>IF(Verso!$B$12=Voies!$B629,1,0)</f>
        <v>0</v>
      </c>
      <c r="BD629" s="12">
        <f>IF(Verso!$B$13=Voies!$B629,1,0)</f>
        <v>0</v>
      </c>
      <c r="BE629" s="12">
        <f>IF(Verso!$B$14=Voies!$B629,1,0)</f>
        <v>0</v>
      </c>
      <c r="BF629" s="12">
        <f>IF(Verso!$B$15=Voies!$B629,1,0)</f>
        <v>0</v>
      </c>
      <c r="BG629" s="12">
        <f>IF(Verso!$B$16=Voies!$B629,1,0)</f>
        <v>0</v>
      </c>
      <c r="BH629" s="12">
        <f>IF(Verso!$B$17=Voies!$B629,1,0)</f>
        <v>0</v>
      </c>
      <c r="BI629" s="557">
        <f t="shared" si="67"/>
        <v>0</v>
      </c>
      <c r="BJ629" s="196" t="str">
        <f t="shared" si="68"/>
        <v/>
      </c>
      <c r="BK629" s="196" t="str">
        <f t="shared" si="69"/>
        <v/>
      </c>
      <c r="BL629" s="295" t="str">
        <f t="shared" si="70"/>
        <v/>
      </c>
      <c r="BM629" s="91"/>
    </row>
    <row r="630" spans="1:65" s="196" customFormat="1" ht="47.25" customHeight="1" x14ac:dyDescent="0.25">
      <c r="A630" s="162" t="str">
        <f>IF(AND(Réputation&gt;Voies!E630-1,OR(C630=TRUE,Calculs!$I$8&gt;0),Air&gt;Voies!J630-1,Eau&gt;Voies!K630-1,Feu&gt;Voies!L630-1,Terre&gt;Voies!M630-1,Vide&gt;Voies!N630-1,Constitution&gt;Voies!O630-1,Volonté&gt;Voies!P630-1,Force&gt;Voies!Q630-1,Perception&gt;Voies!R630-1,Reflexes&gt;Voies!S630-1,Agilité&gt;Voies!T630-1,Intuition&gt;Voies!U630-1,Intelligence&gt;Voies!V630-1,Souillure&gt;Voies!W630-1,Honneur&gt;X630-1,Statut&gt;Y630-1,Gloire&gt;Z630-1,AV630=TRUE),Voies!B630,"")</f>
        <v/>
      </c>
      <c r="B630" s="162" t="s">
        <v>7192</v>
      </c>
      <c r="C630" s="162" t="b">
        <f>IF(Clan=Voies!D630,TRUE,FALSE)</f>
        <v>0</v>
      </c>
      <c r="D630" s="466" t="s">
        <v>6803</v>
      </c>
      <c r="E630" s="199">
        <v>5</v>
      </c>
      <c r="F630" s="199">
        <v>5</v>
      </c>
      <c r="G630" s="199" t="s">
        <v>2049</v>
      </c>
      <c r="H630" s="162" t="s">
        <v>7091</v>
      </c>
      <c r="I630" s="129" t="str">
        <f t="shared" si="71"/>
        <v>Rien</v>
      </c>
      <c r="J630" s="146">
        <v>0</v>
      </c>
      <c r="K630" s="147">
        <v>0</v>
      </c>
      <c r="L630" s="148">
        <v>0</v>
      </c>
      <c r="M630" s="149">
        <v>0</v>
      </c>
      <c r="N630" s="150">
        <v>0</v>
      </c>
      <c r="O630" s="130">
        <v>0</v>
      </c>
      <c r="P630" s="130">
        <v>0</v>
      </c>
      <c r="Q630" s="130">
        <v>0</v>
      </c>
      <c r="R630" s="130">
        <v>0</v>
      </c>
      <c r="S630" s="130">
        <v>0</v>
      </c>
      <c r="T630" s="130">
        <v>0</v>
      </c>
      <c r="U630" s="130">
        <v>0</v>
      </c>
      <c r="V630" s="524">
        <v>0</v>
      </c>
      <c r="W630" s="130">
        <v>0</v>
      </c>
      <c r="X630" s="130">
        <v>0</v>
      </c>
      <c r="Y630" s="130">
        <v>0</v>
      </c>
      <c r="Z630" s="130">
        <v>0</v>
      </c>
      <c r="AA630" s="158" t="s">
        <v>2078</v>
      </c>
      <c r="AB630" s="158"/>
      <c r="AC630" s="158"/>
      <c r="AD630" s="158"/>
      <c r="AE630" s="158" t="b">
        <f>IF(AB630="",TRUE,IF(IF(AC630="",VLOOKUP(AB630,Calculs!$A$19:$S$425,19,FALSE),VLOOKUP(AC630,Calculs!$A$19:$S$425,19,FALSE))&gt;=AD630,TRUE,FALSE))</f>
        <v>1</v>
      </c>
      <c r="AF630" s="158"/>
      <c r="AG630" s="158"/>
      <c r="AH630" s="158"/>
      <c r="AI630" s="158" t="b">
        <f>IF(AF630="",TRUE,IF(IF(AG630="",VLOOKUP(AF630,Calculs!$A$19:$S$425,19,FALSE),VLOOKUP(AG630,Calculs!$A$19:$S$425,19,FALSE))&gt;=AH630,TRUE,FALSE))</f>
        <v>1</v>
      </c>
      <c r="AJ630" s="158"/>
      <c r="AK630" s="158"/>
      <c r="AL630" s="158"/>
      <c r="AM630" s="158" t="b">
        <f>IF(AJ630="",TRUE,IF(IF(AK630="",VLOOKUP(AJ630,Calculs!$A$19:$S$425,19,FALSE),VLOOKUP(AK630,Calculs!$A$19:$S$425,19,FALSE))&gt;=AL630,TRUE,FALSE))</f>
        <v>1</v>
      </c>
      <c r="AN630" s="158"/>
      <c r="AO630" s="158"/>
      <c r="AP630" s="158"/>
      <c r="AQ630" s="158" t="b">
        <f>IF(AN630="",TRUE,IF(IF(AO630="",VLOOKUP(AN630,Calculs!$A$19:$S$425,19,FALSE),VLOOKUP(AO630,Calculs!$A$19:$S$425,19,FALSE))&gt;=AP630,TRUE,FALSE))</f>
        <v>1</v>
      </c>
      <c r="AR630" s="158"/>
      <c r="AS630" s="158" t="b">
        <f>IF(AR630="",TRUE,IF(VLOOKUP(AR630,Calculs!$A$427:$G$738,7,FALSE)&gt;0,TRUE,FALSE))</f>
        <v>1</v>
      </c>
      <c r="AT630" s="158"/>
      <c r="AU630" s="158" t="b">
        <f>IF(AT630="",TRUE,IF(VLOOKUP(AT630,Calculs!$A$740:$G$912,7,FALSE)&gt;0,TRUE,FALSE))</f>
        <v>1</v>
      </c>
      <c r="AV630" s="158" t="b">
        <f t="shared" si="66"/>
        <v>1</v>
      </c>
      <c r="AW630" s="158" t="s">
        <v>2078</v>
      </c>
      <c r="AX630" s="162" t="s">
        <v>6816</v>
      </c>
      <c r="AY630" s="15">
        <v>131</v>
      </c>
      <c r="AZ630" s="555" t="s">
        <v>7196</v>
      </c>
      <c r="BA630" s="559">
        <f>IF(Verso!$B$10=Voies!$B630,1,0)</f>
        <v>0</v>
      </c>
      <c r="BB630" s="12">
        <f>IF(Verso!$B$11=Voies!$B630,1,0)</f>
        <v>0</v>
      </c>
      <c r="BC630" s="12">
        <f>IF(Verso!$B$12=Voies!$B630,1,0)</f>
        <v>0</v>
      </c>
      <c r="BD630" s="12">
        <f>IF(Verso!$B$13=Voies!$B630,1,0)</f>
        <v>0</v>
      </c>
      <c r="BE630" s="12">
        <f>IF(Verso!$B$14=Voies!$B630,1,0)</f>
        <v>0</v>
      </c>
      <c r="BF630" s="12">
        <f>IF(Verso!$B$15=Voies!$B630,1,0)</f>
        <v>0</v>
      </c>
      <c r="BG630" s="12">
        <f>IF(Verso!$B$16=Voies!$B630,1,0)</f>
        <v>0</v>
      </c>
      <c r="BH630" s="12">
        <f>IF(Verso!$B$17=Voies!$B630,1,0)</f>
        <v>0</v>
      </c>
      <c r="BI630" s="557">
        <f t="shared" si="67"/>
        <v>0</v>
      </c>
      <c r="BJ630" s="196" t="str">
        <f t="shared" si="68"/>
        <v/>
      </c>
      <c r="BK630" s="196" t="str">
        <f t="shared" si="69"/>
        <v/>
      </c>
      <c r="BL630" s="295" t="str">
        <f t="shared" si="70"/>
        <v/>
      </c>
      <c r="BM630" s="91"/>
    </row>
    <row r="631" spans="1:65" s="196" customFormat="1" ht="47.25" customHeight="1" x14ac:dyDescent="0.25">
      <c r="A631" s="162" t="str">
        <f>IF(AND(Réputation&gt;Voies!E631-1,OR(C631=TRUE,Calculs!$I$8&gt;0),Air&gt;Voies!J631-1,Eau&gt;Voies!K631-1,Feu&gt;Voies!L631-1,Terre&gt;Voies!M631-1,Vide&gt;Voies!N631-1,Constitution&gt;Voies!O631-1,Volonté&gt;Voies!P631-1,Force&gt;Voies!Q631-1,Perception&gt;Voies!R631-1,Reflexes&gt;Voies!S631-1,Agilité&gt;Voies!T631-1,Intuition&gt;Voies!U631-1,Intelligence&gt;Voies!V631-1,Souillure&gt;Voies!W631-1,Honneur&gt;X631-1,Statut&gt;Y631-1,Gloire&gt;Z631-1,AV631=TRUE),Voies!B631,"")</f>
        <v/>
      </c>
      <c r="B631" s="162" t="s">
        <v>7307</v>
      </c>
      <c r="C631" s="162" t="b">
        <f>IF(Clan=Voies!D631,TRUE,FALSE)</f>
        <v>0</v>
      </c>
      <c r="D631" s="466" t="s">
        <v>7302</v>
      </c>
      <c r="E631" s="199">
        <v>1</v>
      </c>
      <c r="F631" s="199">
        <v>1</v>
      </c>
      <c r="G631" s="199" t="s">
        <v>2049</v>
      </c>
      <c r="H631" s="162" t="s">
        <v>7303</v>
      </c>
      <c r="I631" s="129" t="str">
        <f t="shared" si="71"/>
        <v>Rien</v>
      </c>
      <c r="J631" s="146">
        <v>0</v>
      </c>
      <c r="K631" s="147">
        <v>0</v>
      </c>
      <c r="L631" s="148">
        <v>0</v>
      </c>
      <c r="M631" s="149">
        <v>0</v>
      </c>
      <c r="N631" s="150">
        <v>0</v>
      </c>
      <c r="O631" s="130">
        <v>0</v>
      </c>
      <c r="P631" s="130">
        <v>0</v>
      </c>
      <c r="Q631" s="130">
        <v>0</v>
      </c>
      <c r="R631" s="130">
        <v>0</v>
      </c>
      <c r="S631" s="130">
        <v>0</v>
      </c>
      <c r="T631" s="130">
        <v>0</v>
      </c>
      <c r="U631" s="130">
        <v>0</v>
      </c>
      <c r="V631" s="524">
        <v>0</v>
      </c>
      <c r="W631" s="130">
        <v>0</v>
      </c>
      <c r="X631" s="130">
        <v>0</v>
      </c>
      <c r="Y631" s="130">
        <v>0</v>
      </c>
      <c r="Z631" s="130">
        <v>0</v>
      </c>
      <c r="AA631" s="158" t="s">
        <v>2078</v>
      </c>
      <c r="AB631" s="158"/>
      <c r="AC631" s="158"/>
      <c r="AD631" s="158"/>
      <c r="AE631" s="158" t="b">
        <f>IF(AB631="",TRUE,IF(IF(AC631="",VLOOKUP(AB631,Calculs!$A$19:$S$425,19,FALSE),VLOOKUP(AC631,Calculs!$A$19:$S$425,19,FALSE))&gt;=AD631,TRUE,FALSE))</f>
        <v>1</v>
      </c>
      <c r="AF631" s="158"/>
      <c r="AG631" s="158"/>
      <c r="AH631" s="158"/>
      <c r="AI631" s="158" t="b">
        <f>IF(AF631="",TRUE,IF(IF(AG631="",VLOOKUP(AF631,Calculs!$A$19:$S$425,19,FALSE),VLOOKUP(AG631,Calculs!$A$19:$S$425,19,FALSE))&gt;=AH631,TRUE,FALSE))</f>
        <v>1</v>
      </c>
      <c r="AJ631" s="158"/>
      <c r="AK631" s="158"/>
      <c r="AL631" s="158"/>
      <c r="AM631" s="158" t="b">
        <f>IF(AJ631="",TRUE,IF(IF(AK631="",VLOOKUP(AJ631,Calculs!$A$19:$S$425,19,FALSE),VLOOKUP(AK631,Calculs!$A$19:$S$425,19,FALSE))&gt;=AL631,TRUE,FALSE))</f>
        <v>1</v>
      </c>
      <c r="AN631" s="158"/>
      <c r="AO631" s="158"/>
      <c r="AP631" s="158"/>
      <c r="AQ631" s="158" t="b">
        <f>IF(AN631="",TRUE,IF(IF(AO631="",VLOOKUP(AN631,Calculs!$A$19:$S$425,19,FALSE),VLOOKUP(AO631,Calculs!$A$19:$S$425,19,FALSE))&gt;=AP631,TRUE,FALSE))</f>
        <v>1</v>
      </c>
      <c r="AR631" s="158"/>
      <c r="AS631" s="158" t="b">
        <f>IF(AR631="",TRUE,IF(VLOOKUP(AR631,Calculs!$A$427:$G$738,7,FALSE)&gt;0,TRUE,FALSE))</f>
        <v>1</v>
      </c>
      <c r="AT631" s="158"/>
      <c r="AU631" s="158" t="b">
        <f>IF(AT631="",TRUE,IF(VLOOKUP(AT631,Calculs!$A$740:$G$912,7,FALSE)&gt;0,TRUE,FALSE))</f>
        <v>1</v>
      </c>
      <c r="AV631" s="158" t="b">
        <f t="shared" si="66"/>
        <v>1</v>
      </c>
      <c r="AW631" s="158" t="s">
        <v>2078</v>
      </c>
      <c r="AX631" s="162" t="s">
        <v>6816</v>
      </c>
      <c r="AY631" s="15">
        <v>61</v>
      </c>
      <c r="AZ631" s="555" t="str">
        <f>CONCATENATE("Vous gagnez +2 Blessures à chaque rang de blessure. +",Perception," aux résultats de tous vos jets d'attaque de mêlée.")</f>
        <v>Vous gagnez +2 Blessures à chaque rang de blessure. +2 aux résultats de tous vos jets d'attaque de mêlée.</v>
      </c>
      <c r="BA631" s="559">
        <f>IF(Verso!$B$10=Voies!$B631,1,0)</f>
        <v>0</v>
      </c>
      <c r="BB631" s="12">
        <f>IF(Verso!$B$11=Voies!$B631,1,0)</f>
        <v>0</v>
      </c>
      <c r="BC631" s="12">
        <f>IF(Verso!$B$12=Voies!$B631,1,0)</f>
        <v>0</v>
      </c>
      <c r="BD631" s="12">
        <f>IF(Verso!$B$13=Voies!$B631,1,0)</f>
        <v>0</v>
      </c>
      <c r="BE631" s="12">
        <f>IF(Verso!$B$14=Voies!$B631,1,0)</f>
        <v>0</v>
      </c>
      <c r="BF631" s="12">
        <f>IF(Verso!$B$15=Voies!$B631,1,0)</f>
        <v>0</v>
      </c>
      <c r="BG631" s="12">
        <f>IF(Verso!$B$16=Voies!$B631,1,0)</f>
        <v>0</v>
      </c>
      <c r="BH631" s="12">
        <f>IF(Verso!$B$17=Voies!$B631,1,0)</f>
        <v>0</v>
      </c>
      <c r="BI631" s="557">
        <f t="shared" si="67"/>
        <v>0</v>
      </c>
      <c r="BJ631" s="196" t="str">
        <f t="shared" si="68"/>
        <v/>
      </c>
      <c r="BK631" s="196" t="str">
        <f t="shared" si="69"/>
        <v/>
      </c>
      <c r="BL631" s="295" t="str">
        <f t="shared" si="70"/>
        <v/>
      </c>
      <c r="BM631" s="91"/>
    </row>
    <row r="632" spans="1:65" s="196" customFormat="1" ht="47.25" customHeight="1" x14ac:dyDescent="0.25">
      <c r="A632" s="162" t="str">
        <f>IF(AND(Réputation&gt;Voies!E632-1,OR(C632=TRUE,Calculs!$I$8&gt;0),Air&gt;Voies!J632-1,Eau&gt;Voies!K632-1,Feu&gt;Voies!L632-1,Terre&gt;Voies!M632-1,Vide&gt;Voies!N632-1,Constitution&gt;Voies!O632-1,Volonté&gt;Voies!P632-1,Force&gt;Voies!Q632-1,Perception&gt;Voies!R632-1,Reflexes&gt;Voies!S632-1,Agilité&gt;Voies!T632-1,Intuition&gt;Voies!U632-1,Intelligence&gt;Voies!V632-1,Souillure&gt;Voies!W632-1,Honneur&gt;X632-1,Statut&gt;Y632-1,Gloire&gt;Z632-1,AV632=TRUE),Voies!B632,"")</f>
        <v/>
      </c>
      <c r="B632" s="162" t="s">
        <v>7308</v>
      </c>
      <c r="C632" s="162" t="b">
        <f>IF(Clan=Voies!D632,TRUE,FALSE)</f>
        <v>0</v>
      </c>
      <c r="D632" s="466" t="s">
        <v>7302</v>
      </c>
      <c r="E632" s="199">
        <v>2</v>
      </c>
      <c r="F632" s="199">
        <v>2</v>
      </c>
      <c r="G632" s="199" t="s">
        <v>2049</v>
      </c>
      <c r="H632" s="162" t="s">
        <v>7303</v>
      </c>
      <c r="I632" s="129" t="str">
        <f t="shared" si="71"/>
        <v>Rien</v>
      </c>
      <c r="J632" s="146">
        <v>0</v>
      </c>
      <c r="K632" s="147">
        <v>0</v>
      </c>
      <c r="L632" s="148">
        <v>0</v>
      </c>
      <c r="M632" s="149">
        <v>0</v>
      </c>
      <c r="N632" s="150">
        <v>0</v>
      </c>
      <c r="O632" s="130">
        <v>0</v>
      </c>
      <c r="P632" s="130">
        <v>0</v>
      </c>
      <c r="Q632" s="130">
        <v>0</v>
      </c>
      <c r="R632" s="130">
        <v>0</v>
      </c>
      <c r="S632" s="130">
        <v>0</v>
      </c>
      <c r="T632" s="130">
        <v>0</v>
      </c>
      <c r="U632" s="130">
        <v>0</v>
      </c>
      <c r="V632" s="524">
        <v>0</v>
      </c>
      <c r="W632" s="130">
        <v>0</v>
      </c>
      <c r="X632" s="130">
        <v>0</v>
      </c>
      <c r="Y632" s="130">
        <v>0</v>
      </c>
      <c r="Z632" s="130">
        <v>0</v>
      </c>
      <c r="AA632" s="158" t="s">
        <v>2078</v>
      </c>
      <c r="AB632" s="158"/>
      <c r="AC632" s="158"/>
      <c r="AD632" s="158"/>
      <c r="AE632" s="158" t="b">
        <f>IF(AB632="",TRUE,IF(IF(AC632="",VLOOKUP(AB632,Calculs!$A$19:$S$425,19,FALSE),VLOOKUP(AC632,Calculs!$A$19:$S$425,19,FALSE))&gt;=AD632,TRUE,FALSE))</f>
        <v>1</v>
      </c>
      <c r="AF632" s="158"/>
      <c r="AG632" s="158"/>
      <c r="AH632" s="158"/>
      <c r="AI632" s="158" t="b">
        <f>IF(AF632="",TRUE,IF(IF(AG632="",VLOOKUP(AF632,Calculs!$A$19:$S$425,19,FALSE),VLOOKUP(AG632,Calculs!$A$19:$S$425,19,FALSE))&gt;=AH632,TRUE,FALSE))</f>
        <v>1</v>
      </c>
      <c r="AJ632" s="158"/>
      <c r="AK632" s="158"/>
      <c r="AL632" s="158"/>
      <c r="AM632" s="158" t="b">
        <f>IF(AJ632="",TRUE,IF(IF(AK632="",VLOOKUP(AJ632,Calculs!$A$19:$S$425,19,FALSE),VLOOKUP(AK632,Calculs!$A$19:$S$425,19,FALSE))&gt;=AL632,TRUE,FALSE))</f>
        <v>1</v>
      </c>
      <c r="AN632" s="158"/>
      <c r="AO632" s="158"/>
      <c r="AP632" s="158"/>
      <c r="AQ632" s="158" t="b">
        <f>IF(AN632="",TRUE,IF(IF(AO632="",VLOOKUP(AN632,Calculs!$A$19:$S$425,19,FALSE),VLOOKUP(AO632,Calculs!$A$19:$S$425,19,FALSE))&gt;=AP632,TRUE,FALSE))</f>
        <v>1</v>
      </c>
      <c r="AR632" s="158"/>
      <c r="AS632" s="158" t="b">
        <f>IF(AR632="",TRUE,IF(VLOOKUP(AR632,Calculs!$A$427:$G$738,7,FALSE)&gt;0,TRUE,FALSE))</f>
        <v>1</v>
      </c>
      <c r="AT632" s="158"/>
      <c r="AU632" s="158" t="b">
        <f>IF(AT632="",TRUE,IF(VLOOKUP(AT632,Calculs!$A$740:$G$912,7,FALSE)&gt;0,TRUE,FALSE))</f>
        <v>1</v>
      </c>
      <c r="AV632" s="158" t="b">
        <f t="shared" si="66"/>
        <v>1</v>
      </c>
      <c r="AW632" s="158" t="s">
        <v>2078</v>
      </c>
      <c r="AX632" s="162" t="s">
        <v>6816</v>
      </c>
      <c r="AY632" s="15">
        <v>61</v>
      </c>
      <c r="AZ632" s="555" t="str">
        <f>CONCATENATE("+",Perception," à tous vos jets de compétences de Bugei")</f>
        <v>+2 à tous vos jets de compétences de Bugei</v>
      </c>
      <c r="BA632" s="559">
        <f>IF(Verso!$B$10=Voies!$B632,1,0)</f>
        <v>0</v>
      </c>
      <c r="BB632" s="12">
        <f>IF(Verso!$B$11=Voies!$B632,1,0)</f>
        <v>0</v>
      </c>
      <c r="BC632" s="12">
        <f>IF(Verso!$B$12=Voies!$B632,1,0)</f>
        <v>0</v>
      </c>
      <c r="BD632" s="12">
        <f>IF(Verso!$B$13=Voies!$B632,1,0)</f>
        <v>0</v>
      </c>
      <c r="BE632" s="12">
        <f>IF(Verso!$B$14=Voies!$B632,1,0)</f>
        <v>0</v>
      </c>
      <c r="BF632" s="12">
        <f>IF(Verso!$B$15=Voies!$B632,1,0)</f>
        <v>0</v>
      </c>
      <c r="BG632" s="12">
        <f>IF(Verso!$B$16=Voies!$B632,1,0)</f>
        <v>0</v>
      </c>
      <c r="BH632" s="12">
        <f>IF(Verso!$B$17=Voies!$B632,1,0)</f>
        <v>0</v>
      </c>
      <c r="BI632" s="557">
        <f t="shared" si="67"/>
        <v>0</v>
      </c>
      <c r="BJ632" s="196" t="str">
        <f t="shared" si="68"/>
        <v/>
      </c>
      <c r="BK632" s="196" t="str">
        <f t="shared" si="69"/>
        <v/>
      </c>
      <c r="BL632" s="295" t="str">
        <f t="shared" si="70"/>
        <v/>
      </c>
      <c r="BM632" s="91"/>
    </row>
    <row r="633" spans="1:65" s="196" customFormat="1" ht="47.25" customHeight="1" x14ac:dyDescent="0.25">
      <c r="A633" s="162" t="str">
        <f>IF(AND(Réputation&gt;Voies!E633-1,OR(C633=TRUE,Calculs!$I$8&gt;0),Air&gt;Voies!J633-1,Eau&gt;Voies!K633-1,Feu&gt;Voies!L633-1,Terre&gt;Voies!M633-1,Vide&gt;Voies!N633-1,Constitution&gt;Voies!O633-1,Volonté&gt;Voies!P633-1,Force&gt;Voies!Q633-1,Perception&gt;Voies!R633-1,Reflexes&gt;Voies!S633-1,Agilité&gt;Voies!T633-1,Intuition&gt;Voies!U633-1,Intelligence&gt;Voies!V633-1,Souillure&gt;Voies!W633-1,Honneur&gt;X633-1,Statut&gt;Y633-1,Gloire&gt;Z633-1,AV633=TRUE),Voies!B633,"")</f>
        <v/>
      </c>
      <c r="B633" s="162" t="s">
        <v>7312</v>
      </c>
      <c r="C633" s="162" t="b">
        <f>IF(Clan=Voies!D633,TRUE,FALSE)</f>
        <v>0</v>
      </c>
      <c r="D633" s="466" t="s">
        <v>7302</v>
      </c>
      <c r="E633" s="199">
        <v>2</v>
      </c>
      <c r="F633" s="199">
        <v>2</v>
      </c>
      <c r="G633" s="199" t="s">
        <v>2049</v>
      </c>
      <c r="H633" s="162" t="s">
        <v>7313</v>
      </c>
      <c r="I633" s="129" t="str">
        <f t="shared" si="71"/>
        <v>Rien</v>
      </c>
      <c r="J633" s="146">
        <v>0</v>
      </c>
      <c r="K633" s="147">
        <v>0</v>
      </c>
      <c r="L633" s="148">
        <v>0</v>
      </c>
      <c r="M633" s="149">
        <v>0</v>
      </c>
      <c r="N633" s="150">
        <v>0</v>
      </c>
      <c r="O633" s="130">
        <v>0</v>
      </c>
      <c r="P633" s="130">
        <v>0</v>
      </c>
      <c r="Q633" s="130">
        <v>0</v>
      </c>
      <c r="R633" s="130">
        <v>0</v>
      </c>
      <c r="S633" s="130">
        <v>0</v>
      </c>
      <c r="T633" s="130">
        <v>0</v>
      </c>
      <c r="U633" s="130">
        <v>0</v>
      </c>
      <c r="V633" s="524">
        <v>0</v>
      </c>
      <c r="W633" s="130">
        <v>0</v>
      </c>
      <c r="X633" s="130">
        <v>0</v>
      </c>
      <c r="Y633" s="130">
        <v>0</v>
      </c>
      <c r="Z633" s="130">
        <v>0</v>
      </c>
      <c r="AA633" s="158" t="s">
        <v>2078</v>
      </c>
      <c r="AB633" s="158"/>
      <c r="AC633" s="158"/>
      <c r="AD633" s="158"/>
      <c r="AE633" s="158" t="b">
        <f>IF(AB633="",TRUE,IF(IF(AC633="",VLOOKUP(AB633,Calculs!$A$19:$S$425,19,FALSE),VLOOKUP(AC633,Calculs!$A$19:$S$425,19,FALSE))&gt;=AD633,TRUE,FALSE))</f>
        <v>1</v>
      </c>
      <c r="AF633" s="158"/>
      <c r="AG633" s="158"/>
      <c r="AH633" s="158"/>
      <c r="AI633" s="158" t="b">
        <f>IF(AF633="",TRUE,IF(IF(AG633="",VLOOKUP(AF633,Calculs!$A$19:$S$425,19,FALSE),VLOOKUP(AG633,Calculs!$A$19:$S$425,19,FALSE))&gt;=AH633,TRUE,FALSE))</f>
        <v>1</v>
      </c>
      <c r="AJ633" s="158"/>
      <c r="AK633" s="158"/>
      <c r="AL633" s="158"/>
      <c r="AM633" s="158" t="b">
        <f>IF(AJ633="",TRUE,IF(IF(AK633="",VLOOKUP(AJ633,Calculs!$A$19:$S$425,19,FALSE),VLOOKUP(AK633,Calculs!$A$19:$S$425,19,FALSE))&gt;=AL633,TRUE,FALSE))</f>
        <v>1</v>
      </c>
      <c r="AN633" s="158"/>
      <c r="AO633" s="158"/>
      <c r="AP633" s="158"/>
      <c r="AQ633" s="158" t="b">
        <f>IF(AN633="",TRUE,IF(IF(AO633="",VLOOKUP(AN633,Calculs!$A$19:$S$425,19,FALSE),VLOOKUP(AO633,Calculs!$A$19:$S$425,19,FALSE))&gt;=AP633,TRUE,FALSE))</f>
        <v>1</v>
      </c>
      <c r="AR633" s="158"/>
      <c r="AS633" s="158" t="b">
        <f>IF(AR633="",TRUE,IF(VLOOKUP(AR633,Calculs!$A$427:$G$738,7,FALSE)&gt;0,TRUE,FALSE))</f>
        <v>1</v>
      </c>
      <c r="AT633" s="158"/>
      <c r="AU633" s="158" t="b">
        <f>IF(AT633="",TRUE,IF(VLOOKUP(AT633,Calculs!$A$740:$G$912,7,FALSE)&gt;0,TRUE,FALSE))</f>
        <v>1</v>
      </c>
      <c r="AV633" s="158" t="b">
        <f t="shared" si="66"/>
        <v>1</v>
      </c>
      <c r="AW633" s="158" t="s">
        <v>2078</v>
      </c>
      <c r="AX633" s="162" t="s">
        <v>6816</v>
      </c>
      <c r="AY633" s="15">
        <v>61</v>
      </c>
      <c r="AZ633" s="566" t="s">
        <v>7315</v>
      </c>
      <c r="BA633" s="559">
        <f>IF(Verso!$B$10=Voies!$B633,1,0)</f>
        <v>0</v>
      </c>
      <c r="BB633" s="12">
        <f>IF(Verso!$B$11=Voies!$B633,1,0)</f>
        <v>0</v>
      </c>
      <c r="BC633" s="12">
        <f>IF(Verso!$B$12=Voies!$B633,1,0)</f>
        <v>0</v>
      </c>
      <c r="BD633" s="12">
        <f>IF(Verso!$B$13=Voies!$B633,1,0)</f>
        <v>0</v>
      </c>
      <c r="BE633" s="12">
        <f>IF(Verso!$B$14=Voies!$B633,1,0)</f>
        <v>0</v>
      </c>
      <c r="BF633" s="12">
        <f>IF(Verso!$B$15=Voies!$B633,1,0)</f>
        <v>0</v>
      </c>
      <c r="BG633" s="12">
        <f>IF(Verso!$B$16=Voies!$B633,1,0)</f>
        <v>0</v>
      </c>
      <c r="BH633" s="12">
        <f>IF(Verso!$B$17=Voies!$B633,1,0)</f>
        <v>0</v>
      </c>
      <c r="BI633" s="557">
        <f t="shared" si="67"/>
        <v>0</v>
      </c>
      <c r="BJ633" s="196" t="str">
        <f t="shared" si="68"/>
        <v/>
      </c>
      <c r="BK633" s="196" t="str">
        <f t="shared" si="69"/>
        <v/>
      </c>
      <c r="BL633" s="295" t="str">
        <f t="shared" si="70"/>
        <v/>
      </c>
      <c r="BM633" s="91"/>
    </row>
    <row r="634" spans="1:65" s="196" customFormat="1" ht="47.25" customHeight="1" x14ac:dyDescent="0.25">
      <c r="A634" s="162" t="str">
        <f>IF(AND(Réputation&gt;Voies!E634-1,OR(C634=TRUE,Calculs!$I$8&gt;0),Air&gt;Voies!J634-1,Eau&gt;Voies!K634-1,Feu&gt;Voies!L634-1,Terre&gt;Voies!M634-1,Vide&gt;Voies!N634-1,Constitution&gt;Voies!O634-1,Volonté&gt;Voies!P634-1,Force&gt;Voies!Q634-1,Perception&gt;Voies!R634-1,Reflexes&gt;Voies!S634-1,Agilité&gt;Voies!T634-1,Intuition&gt;Voies!U634-1,Intelligence&gt;Voies!V634-1,Souillure&gt;Voies!W634-1,Honneur&gt;X634-1,Statut&gt;Y634-1,Gloire&gt;Z634-1,AV634=TRUE),Voies!B634,"")</f>
        <v/>
      </c>
      <c r="B634" s="162" t="s">
        <v>7309</v>
      </c>
      <c r="C634" s="162" t="b">
        <f>IF(Clan=Voies!D634,TRUE,FALSE)</f>
        <v>0</v>
      </c>
      <c r="D634" s="466" t="s">
        <v>7302</v>
      </c>
      <c r="E634" s="199">
        <v>3</v>
      </c>
      <c r="F634" s="199">
        <v>3</v>
      </c>
      <c r="G634" s="199" t="s">
        <v>2049</v>
      </c>
      <c r="H634" s="162" t="s">
        <v>7303</v>
      </c>
      <c r="I634" s="129" t="str">
        <f t="shared" si="71"/>
        <v>Rien</v>
      </c>
      <c r="J634" s="146">
        <v>0</v>
      </c>
      <c r="K634" s="147">
        <v>0</v>
      </c>
      <c r="L634" s="148">
        <v>0</v>
      </c>
      <c r="M634" s="149">
        <v>0</v>
      </c>
      <c r="N634" s="150">
        <v>0</v>
      </c>
      <c r="O634" s="130">
        <v>0</v>
      </c>
      <c r="P634" s="130">
        <v>0</v>
      </c>
      <c r="Q634" s="130">
        <v>0</v>
      </c>
      <c r="R634" s="130">
        <v>0</v>
      </c>
      <c r="S634" s="130">
        <v>0</v>
      </c>
      <c r="T634" s="130">
        <v>0</v>
      </c>
      <c r="U634" s="130">
        <v>0</v>
      </c>
      <c r="V634" s="524">
        <v>0</v>
      </c>
      <c r="W634" s="130">
        <v>0</v>
      </c>
      <c r="X634" s="130">
        <v>0</v>
      </c>
      <c r="Y634" s="130">
        <v>0</v>
      </c>
      <c r="Z634" s="130">
        <v>0</v>
      </c>
      <c r="AA634" s="158" t="s">
        <v>2078</v>
      </c>
      <c r="AB634" s="158"/>
      <c r="AC634" s="158"/>
      <c r="AD634" s="158"/>
      <c r="AE634" s="158" t="b">
        <f>IF(AB634="",TRUE,IF(IF(AC634="",VLOOKUP(AB634,Calculs!$A$19:$S$425,19,FALSE),VLOOKUP(AC634,Calculs!$A$19:$S$425,19,FALSE))&gt;=AD634,TRUE,FALSE))</f>
        <v>1</v>
      </c>
      <c r="AF634" s="158"/>
      <c r="AG634" s="158"/>
      <c r="AH634" s="158"/>
      <c r="AI634" s="158" t="b">
        <f>IF(AF634="",TRUE,IF(IF(AG634="",VLOOKUP(AF634,Calculs!$A$19:$S$425,19,FALSE),VLOOKUP(AG634,Calculs!$A$19:$S$425,19,FALSE))&gt;=AH634,TRUE,FALSE))</f>
        <v>1</v>
      </c>
      <c r="AJ634" s="158"/>
      <c r="AK634" s="158"/>
      <c r="AL634" s="158"/>
      <c r="AM634" s="158" t="b">
        <f>IF(AJ634="",TRUE,IF(IF(AK634="",VLOOKUP(AJ634,Calculs!$A$19:$S$425,19,FALSE),VLOOKUP(AK634,Calculs!$A$19:$S$425,19,FALSE))&gt;=AL634,TRUE,FALSE))</f>
        <v>1</v>
      </c>
      <c r="AN634" s="158"/>
      <c r="AO634" s="158"/>
      <c r="AP634" s="158"/>
      <c r="AQ634" s="158" t="b">
        <f>IF(AN634="",TRUE,IF(IF(AO634="",VLOOKUP(AN634,Calculs!$A$19:$S$425,19,FALSE),VLOOKUP(AO634,Calculs!$A$19:$S$425,19,FALSE))&gt;=AP634,TRUE,FALSE))</f>
        <v>1</v>
      </c>
      <c r="AR634" s="158"/>
      <c r="AS634" s="158" t="b">
        <f>IF(AR634="",TRUE,IF(VLOOKUP(AR634,Calculs!$A$427:$G$738,7,FALSE)&gt;0,TRUE,FALSE))</f>
        <v>1</v>
      </c>
      <c r="AT634" s="158"/>
      <c r="AU634" s="158" t="b">
        <f>IF(AT634="",TRUE,IF(VLOOKUP(AT634,Calculs!$A$740:$G$912,7,FALSE)&gt;0,TRUE,FALSE))</f>
        <v>1</v>
      </c>
      <c r="AV634" s="158" t="b">
        <f t="shared" si="66"/>
        <v>1</v>
      </c>
      <c r="AW634" s="158" t="s">
        <v>2078</v>
      </c>
      <c r="AX634" s="162" t="s">
        <v>6816</v>
      </c>
      <c r="AY634" s="15">
        <v>61</v>
      </c>
      <c r="AZ634" s="555" t="s">
        <v>7314</v>
      </c>
      <c r="BA634" s="559">
        <f>IF(Verso!$B$10=Voies!$B634,1,0)</f>
        <v>0</v>
      </c>
      <c r="BB634" s="12">
        <f>IF(Verso!$B$11=Voies!$B634,1,0)</f>
        <v>0</v>
      </c>
      <c r="BC634" s="12">
        <f>IF(Verso!$B$12=Voies!$B634,1,0)</f>
        <v>0</v>
      </c>
      <c r="BD634" s="12">
        <f>IF(Verso!$B$13=Voies!$B634,1,0)</f>
        <v>0</v>
      </c>
      <c r="BE634" s="12">
        <f>IF(Verso!$B$14=Voies!$B634,1,0)</f>
        <v>0</v>
      </c>
      <c r="BF634" s="12">
        <f>IF(Verso!$B$15=Voies!$B634,1,0)</f>
        <v>0</v>
      </c>
      <c r="BG634" s="12">
        <f>IF(Verso!$B$16=Voies!$B634,1,0)</f>
        <v>0</v>
      </c>
      <c r="BH634" s="12">
        <f>IF(Verso!$B$17=Voies!$B634,1,0)</f>
        <v>0</v>
      </c>
      <c r="BI634" s="557">
        <f t="shared" si="67"/>
        <v>0</v>
      </c>
      <c r="BJ634" s="196" t="str">
        <f t="shared" si="68"/>
        <v/>
      </c>
      <c r="BK634" s="196" t="str">
        <f t="shared" si="69"/>
        <v/>
      </c>
      <c r="BL634" s="295" t="str">
        <f t="shared" si="70"/>
        <v/>
      </c>
      <c r="BM634" s="91"/>
    </row>
    <row r="635" spans="1:65" s="196" customFormat="1" ht="47.25" customHeight="1" x14ac:dyDescent="0.25">
      <c r="A635" s="162" t="str">
        <f>IF(AND(Réputation&gt;Voies!E635-1,OR(C635=TRUE,Calculs!$I$8&gt;0),Air&gt;Voies!J635-1,Eau&gt;Voies!K635-1,Feu&gt;Voies!L635-1,Terre&gt;Voies!M635-1,Vide&gt;Voies!N635-1,Constitution&gt;Voies!O635-1,Volonté&gt;Voies!P635-1,Force&gt;Voies!Q635-1,Perception&gt;Voies!R635-1,Reflexes&gt;Voies!S635-1,Agilité&gt;Voies!T635-1,Intuition&gt;Voies!U635-1,Intelligence&gt;Voies!V635-1,Souillure&gt;Voies!W635-1,Honneur&gt;X635-1,Statut&gt;Y635-1,Gloire&gt;Z635-1,AV635=TRUE),Voies!B635,"")</f>
        <v/>
      </c>
      <c r="B635" s="162" t="s">
        <v>7310</v>
      </c>
      <c r="C635" s="162" t="b">
        <f>IF(Clan=Voies!D635,TRUE,FALSE)</f>
        <v>0</v>
      </c>
      <c r="D635" s="466" t="s">
        <v>7302</v>
      </c>
      <c r="E635" s="199">
        <v>4</v>
      </c>
      <c r="F635" s="199">
        <v>4</v>
      </c>
      <c r="G635" s="199" t="s">
        <v>2049</v>
      </c>
      <c r="H635" s="162" t="s">
        <v>7303</v>
      </c>
      <c r="I635" s="129" t="str">
        <f t="shared" si="71"/>
        <v>Rien</v>
      </c>
      <c r="J635" s="146">
        <v>0</v>
      </c>
      <c r="K635" s="147">
        <v>0</v>
      </c>
      <c r="L635" s="148">
        <v>0</v>
      </c>
      <c r="M635" s="149">
        <v>0</v>
      </c>
      <c r="N635" s="150">
        <v>0</v>
      </c>
      <c r="O635" s="130">
        <v>0</v>
      </c>
      <c r="P635" s="130">
        <v>0</v>
      </c>
      <c r="Q635" s="130">
        <v>0</v>
      </c>
      <c r="R635" s="130">
        <v>0</v>
      </c>
      <c r="S635" s="130">
        <v>0</v>
      </c>
      <c r="T635" s="130">
        <v>0</v>
      </c>
      <c r="U635" s="130">
        <v>0</v>
      </c>
      <c r="V635" s="524">
        <v>0</v>
      </c>
      <c r="W635" s="130">
        <v>0</v>
      </c>
      <c r="X635" s="130">
        <v>0</v>
      </c>
      <c r="Y635" s="130">
        <v>0</v>
      </c>
      <c r="Z635" s="130">
        <v>0</v>
      </c>
      <c r="AA635" s="158" t="s">
        <v>2078</v>
      </c>
      <c r="AB635" s="158"/>
      <c r="AC635" s="158"/>
      <c r="AD635" s="158"/>
      <c r="AE635" s="158" t="b">
        <f>IF(AB635="",TRUE,IF(IF(AC635="",VLOOKUP(AB635,Calculs!$A$19:$S$425,19,FALSE),VLOOKUP(AC635,Calculs!$A$19:$S$425,19,FALSE))&gt;=AD635,TRUE,FALSE))</f>
        <v>1</v>
      </c>
      <c r="AF635" s="158"/>
      <c r="AG635" s="158"/>
      <c r="AH635" s="158"/>
      <c r="AI635" s="158" t="b">
        <f>IF(AF635="",TRUE,IF(IF(AG635="",VLOOKUP(AF635,Calculs!$A$19:$S$425,19,FALSE),VLOOKUP(AG635,Calculs!$A$19:$S$425,19,FALSE))&gt;=AH635,TRUE,FALSE))</f>
        <v>1</v>
      </c>
      <c r="AJ635" s="158"/>
      <c r="AK635" s="158"/>
      <c r="AL635" s="158"/>
      <c r="AM635" s="158" t="b">
        <f>IF(AJ635="",TRUE,IF(IF(AK635="",VLOOKUP(AJ635,Calculs!$A$19:$S$425,19,FALSE),VLOOKUP(AK635,Calculs!$A$19:$S$425,19,FALSE))&gt;=AL635,TRUE,FALSE))</f>
        <v>1</v>
      </c>
      <c r="AN635" s="158"/>
      <c r="AO635" s="158"/>
      <c r="AP635" s="158"/>
      <c r="AQ635" s="158" t="b">
        <f>IF(AN635="",TRUE,IF(IF(AO635="",VLOOKUP(AN635,Calculs!$A$19:$S$425,19,FALSE),VLOOKUP(AO635,Calculs!$A$19:$S$425,19,FALSE))&gt;=AP635,TRUE,FALSE))</f>
        <v>1</v>
      </c>
      <c r="AR635" s="158"/>
      <c r="AS635" s="158" t="b">
        <f>IF(AR635="",TRUE,IF(VLOOKUP(AR635,Calculs!$A$427:$G$738,7,FALSE)&gt;0,TRUE,FALSE))</f>
        <v>1</v>
      </c>
      <c r="AT635" s="158"/>
      <c r="AU635" s="158" t="b">
        <f>IF(AT635="",TRUE,IF(VLOOKUP(AT635,Calculs!$A$740:$G$912,7,FALSE)&gt;0,TRUE,FALSE))</f>
        <v>1</v>
      </c>
      <c r="AV635" s="158" t="b">
        <f t="shared" si="66"/>
        <v>1</v>
      </c>
      <c r="AW635" s="158" t="s">
        <v>2078</v>
      </c>
      <c r="AX635" s="162" t="s">
        <v>6816</v>
      </c>
      <c r="AY635" s="15">
        <v>61</v>
      </c>
      <c r="AZ635" s="555" t="str">
        <f>CONCATENATE("Toutes vos pénalités de Blessures sont réduites de votre valeur de Rang d'Ecole +",Perception,)</f>
        <v>Toutes vos pénalités de Blessures sont réduites de votre valeur de Rang d'Ecole +2</v>
      </c>
      <c r="BA635" s="559">
        <f>IF(Verso!$B$10=Voies!$B635,1,0)</f>
        <v>0</v>
      </c>
      <c r="BB635" s="12">
        <f>IF(Verso!$B$11=Voies!$B635,1,0)</f>
        <v>0</v>
      </c>
      <c r="BC635" s="12">
        <f>IF(Verso!$B$12=Voies!$B635,1,0)</f>
        <v>0</v>
      </c>
      <c r="BD635" s="12">
        <f>IF(Verso!$B$13=Voies!$B635,1,0)</f>
        <v>0</v>
      </c>
      <c r="BE635" s="12">
        <f>IF(Verso!$B$14=Voies!$B635,1,0)</f>
        <v>0</v>
      </c>
      <c r="BF635" s="12">
        <f>IF(Verso!$B$15=Voies!$B635,1,0)</f>
        <v>0</v>
      </c>
      <c r="BG635" s="12">
        <f>IF(Verso!$B$16=Voies!$B635,1,0)</f>
        <v>0</v>
      </c>
      <c r="BH635" s="12">
        <f>IF(Verso!$B$17=Voies!$B635,1,0)</f>
        <v>0</v>
      </c>
      <c r="BI635" s="557">
        <f t="shared" si="67"/>
        <v>0</v>
      </c>
      <c r="BJ635" s="196" t="str">
        <f t="shared" si="68"/>
        <v/>
      </c>
      <c r="BK635" s="196" t="str">
        <f t="shared" si="69"/>
        <v/>
      </c>
      <c r="BL635" s="295" t="str">
        <f t="shared" si="70"/>
        <v/>
      </c>
      <c r="BM635" s="91"/>
    </row>
    <row r="636" spans="1:65" s="196" customFormat="1" ht="47.25" customHeight="1" x14ac:dyDescent="0.25">
      <c r="A636" s="162" t="str">
        <f>IF(AND(Réputation&gt;Voies!E636-1,OR(C636=TRUE,Calculs!$I$8&gt;0),Air&gt;Voies!J636-1,Eau&gt;Voies!K636-1,Feu&gt;Voies!L636-1,Terre&gt;Voies!M636-1,Vide&gt;Voies!N636-1,Constitution&gt;Voies!O636-1,Volonté&gt;Voies!P636-1,Force&gt;Voies!Q636-1,Perception&gt;Voies!R636-1,Reflexes&gt;Voies!S636-1,Agilité&gt;Voies!T636-1,Intuition&gt;Voies!U636-1,Intelligence&gt;Voies!V636-1,Souillure&gt;Voies!W636-1,Honneur&gt;X636-1,Statut&gt;Y636-1,Gloire&gt;Z636-1,AV636=TRUE),Voies!B636,"")</f>
        <v/>
      </c>
      <c r="B636" s="162" t="s">
        <v>7311</v>
      </c>
      <c r="C636" s="162" t="b">
        <f>IF(Clan=Voies!D636,TRUE,FALSE)</f>
        <v>0</v>
      </c>
      <c r="D636" s="466" t="s">
        <v>7302</v>
      </c>
      <c r="E636" s="199">
        <v>5</v>
      </c>
      <c r="F636" s="199">
        <v>5</v>
      </c>
      <c r="G636" s="199" t="s">
        <v>2049</v>
      </c>
      <c r="H636" s="162" t="s">
        <v>7303</v>
      </c>
      <c r="I636" s="129" t="str">
        <f t="shared" si="71"/>
        <v>Rien</v>
      </c>
      <c r="J636" s="146">
        <v>0</v>
      </c>
      <c r="K636" s="147">
        <v>0</v>
      </c>
      <c r="L636" s="148">
        <v>0</v>
      </c>
      <c r="M636" s="149">
        <v>0</v>
      </c>
      <c r="N636" s="150">
        <v>0</v>
      </c>
      <c r="O636" s="130">
        <v>0</v>
      </c>
      <c r="P636" s="130">
        <v>0</v>
      </c>
      <c r="Q636" s="130">
        <v>0</v>
      </c>
      <c r="R636" s="130">
        <v>0</v>
      </c>
      <c r="S636" s="130">
        <v>0</v>
      </c>
      <c r="T636" s="130">
        <v>0</v>
      </c>
      <c r="U636" s="130">
        <v>0</v>
      </c>
      <c r="V636" s="524">
        <v>0</v>
      </c>
      <c r="W636" s="130">
        <v>0</v>
      </c>
      <c r="X636" s="130">
        <v>0</v>
      </c>
      <c r="Y636" s="130">
        <v>0</v>
      </c>
      <c r="Z636" s="130">
        <v>0</v>
      </c>
      <c r="AA636" s="158" t="s">
        <v>2078</v>
      </c>
      <c r="AB636" s="158"/>
      <c r="AC636" s="158"/>
      <c r="AD636" s="158"/>
      <c r="AE636" s="158" t="b">
        <f>IF(AB636="",TRUE,IF(IF(AC636="",VLOOKUP(AB636,Calculs!$A$19:$S$425,19,FALSE),VLOOKUP(AC636,Calculs!$A$19:$S$425,19,FALSE))&gt;=AD636,TRUE,FALSE))</f>
        <v>1</v>
      </c>
      <c r="AF636" s="158"/>
      <c r="AG636" s="158"/>
      <c r="AH636" s="158"/>
      <c r="AI636" s="158" t="b">
        <f>IF(AF636="",TRUE,IF(IF(AG636="",VLOOKUP(AF636,Calculs!$A$19:$S$425,19,FALSE),VLOOKUP(AG636,Calculs!$A$19:$S$425,19,FALSE))&gt;=AH636,TRUE,FALSE))</f>
        <v>1</v>
      </c>
      <c r="AJ636" s="158"/>
      <c r="AK636" s="158"/>
      <c r="AL636" s="158"/>
      <c r="AM636" s="158" t="b">
        <f>IF(AJ636="",TRUE,IF(IF(AK636="",VLOOKUP(AJ636,Calculs!$A$19:$S$425,19,FALSE),VLOOKUP(AK636,Calculs!$A$19:$S$425,19,FALSE))&gt;=AL636,TRUE,FALSE))</f>
        <v>1</v>
      </c>
      <c r="AN636" s="158"/>
      <c r="AO636" s="158"/>
      <c r="AP636" s="158"/>
      <c r="AQ636" s="158" t="b">
        <f>IF(AN636="",TRUE,IF(IF(AO636="",VLOOKUP(AN636,Calculs!$A$19:$S$425,19,FALSE),VLOOKUP(AO636,Calculs!$A$19:$S$425,19,FALSE))&gt;=AP636,TRUE,FALSE))</f>
        <v>1</v>
      </c>
      <c r="AR636" s="158"/>
      <c r="AS636" s="158" t="b">
        <f>IF(AR636="",TRUE,IF(VLOOKUP(AR636,Calculs!$A$427:$G$738,7,FALSE)&gt;0,TRUE,FALSE))</f>
        <v>1</v>
      </c>
      <c r="AT636" s="158"/>
      <c r="AU636" s="158" t="b">
        <f>IF(AT636="",TRUE,IF(VLOOKUP(AT636,Calculs!$A$740:$G$912,7,FALSE)&gt;0,TRUE,FALSE))</f>
        <v>1</v>
      </c>
      <c r="AV636" s="158" t="b">
        <f t="shared" si="66"/>
        <v>1</v>
      </c>
      <c r="AW636" s="158" t="s">
        <v>2078</v>
      </c>
      <c r="AX636" s="162" t="s">
        <v>6816</v>
      </c>
      <c r="AY636" s="15">
        <v>61</v>
      </c>
      <c r="AZ636" s="555" t="str">
        <f>CONCATENATE("Après avoir porté avec succès une attaque de mêlée, vous pouvez dépenser un Pvide en AG: +0g",Perception, " aux dégâts et votre cible est Au Sol.")</f>
        <v>Après avoir porté avec succès une attaque de mêlée, vous pouvez dépenser un Pvide en AG: +0g2 aux dégâts et votre cible est Au Sol.</v>
      </c>
      <c r="BA636" s="559">
        <f>IF(Verso!$B$10=Voies!$B636,1,0)</f>
        <v>0</v>
      </c>
      <c r="BB636" s="12">
        <f>IF(Verso!$B$11=Voies!$B636,1,0)</f>
        <v>0</v>
      </c>
      <c r="BC636" s="12">
        <f>IF(Verso!$B$12=Voies!$B636,1,0)</f>
        <v>0</v>
      </c>
      <c r="BD636" s="12">
        <f>IF(Verso!$B$13=Voies!$B636,1,0)</f>
        <v>0</v>
      </c>
      <c r="BE636" s="12">
        <f>IF(Verso!$B$14=Voies!$B636,1,0)</f>
        <v>0</v>
      </c>
      <c r="BF636" s="12">
        <f>IF(Verso!$B$15=Voies!$B636,1,0)</f>
        <v>0</v>
      </c>
      <c r="BG636" s="12">
        <f>IF(Verso!$B$16=Voies!$B636,1,0)</f>
        <v>0</v>
      </c>
      <c r="BH636" s="12">
        <f>IF(Verso!$B$17=Voies!$B636,1,0)</f>
        <v>0</v>
      </c>
      <c r="BI636" s="557">
        <f t="shared" si="67"/>
        <v>0</v>
      </c>
      <c r="BJ636" s="196" t="str">
        <f t="shared" si="68"/>
        <v/>
      </c>
      <c r="BK636" s="196" t="str">
        <f t="shared" si="69"/>
        <v/>
      </c>
      <c r="BL636" s="295" t="str">
        <f t="shared" si="70"/>
        <v/>
      </c>
      <c r="BM636" s="91"/>
    </row>
    <row r="637" spans="1:65" ht="47.25" customHeight="1" x14ac:dyDescent="0.25">
      <c r="A637" s="162" t="str">
        <f>IF(AND(Réputation&gt;Voies!E637-1,OR(C637=TRUE,Calculs!$I$8&gt;0),Air&gt;Voies!J637-1,Eau&gt;Voies!K637-1,Feu&gt;Voies!L637-1,Terre&gt;Voies!M637-1,Vide&gt;Voies!N637-1,Constitution&gt;Voies!O637-1,Volonté&gt;Voies!P637-1,Force&gt;Voies!Q637-1,Perception&gt;Voies!R637-1,Reflexes&gt;Voies!S637-1,Agilité&gt;Voies!T637-1,Intuition&gt;Voies!U637-1,Intelligence&gt;Voies!V637-1,Souillure&gt;Voies!W637-1,Honneur&gt;X637-1,Statut&gt;Y637-1,Gloire&gt;Z637-1,AV637=TRUE),Voies!B637,"")</f>
        <v/>
      </c>
      <c r="B637" s="162" t="s">
        <v>2684</v>
      </c>
      <c r="C637" s="162" t="b">
        <f>IF(Clan=Voies!D637,TRUE,FALSE)</f>
        <v>0</v>
      </c>
      <c r="D637" s="387" t="s">
        <v>178</v>
      </c>
      <c r="E637" s="13">
        <v>0</v>
      </c>
      <c r="F637" s="199">
        <v>0</v>
      </c>
      <c r="G637" s="13" t="s">
        <v>2049</v>
      </c>
      <c r="H637" s="162" t="s">
        <v>422</v>
      </c>
      <c r="I637" s="129" t="str">
        <f t="shared" si="71"/>
        <v>Rien</v>
      </c>
      <c r="J637" s="146">
        <v>0</v>
      </c>
      <c r="K637" s="147">
        <v>3</v>
      </c>
      <c r="L637" s="148">
        <v>0</v>
      </c>
      <c r="M637" s="149">
        <v>0</v>
      </c>
      <c r="N637" s="150">
        <v>0</v>
      </c>
      <c r="O637" s="130">
        <v>0</v>
      </c>
      <c r="P637" s="130">
        <v>0</v>
      </c>
      <c r="Q637" s="130">
        <v>0</v>
      </c>
      <c r="R637" s="130">
        <v>0</v>
      </c>
      <c r="S637" s="130">
        <v>0</v>
      </c>
      <c r="T637" s="130">
        <v>0</v>
      </c>
      <c r="U637" s="130">
        <v>0</v>
      </c>
      <c r="V637" s="524">
        <v>0</v>
      </c>
      <c r="W637" s="130">
        <v>0</v>
      </c>
      <c r="X637" s="130">
        <v>0</v>
      </c>
      <c r="Y637" s="130">
        <v>0</v>
      </c>
      <c r="Z637" s="130">
        <v>0</v>
      </c>
      <c r="AA637" s="159" t="s">
        <v>2683</v>
      </c>
      <c r="AB637" s="159" t="s">
        <v>311</v>
      </c>
      <c r="AD637" s="159">
        <v>4</v>
      </c>
      <c r="AE637" s="158" t="b">
        <f>IF(AB637="",TRUE,IF(IF(AC637="",VLOOKUP(AB637,Calculs!$A$19:$S$425,19,FALSE),VLOOKUP(AC637,Calculs!$A$19:$S$425,19,FALSE))&gt;=AD637,TRUE,FALSE))</f>
        <v>0</v>
      </c>
      <c r="AF637" s="159" t="s">
        <v>1273</v>
      </c>
      <c r="AH637" s="159">
        <v>3</v>
      </c>
      <c r="AI637" s="158" t="b">
        <f>IF(AF637="",TRUE,IF(IF(AG637="",VLOOKUP(AF637,Calculs!$A$19:$S$425,19,FALSE),VLOOKUP(AG637,Calculs!$A$19:$S$425,19,FALSE))&gt;=AH637,TRUE,FALSE))</f>
        <v>0</v>
      </c>
      <c r="AJ637" s="159" t="s">
        <v>3324</v>
      </c>
      <c r="AL637" s="159">
        <v>4</v>
      </c>
      <c r="AM637" s="158" t="b">
        <f>IF(AJ637="",TRUE,IF(IF(AK637="",VLOOKUP(AJ637,Calculs!$A$19:$S$425,19,FALSE),VLOOKUP(AK637,Calculs!$A$19:$S$425,19,FALSE))&gt;=AL637,TRUE,FALSE))</f>
        <v>0</v>
      </c>
      <c r="AQ637" s="158" t="b">
        <f>IF(AN637="",TRUE,IF(IF(AO637="",VLOOKUP(AN637,Calculs!$A$19:$S$425,19,FALSE),VLOOKUP(AO637,Calculs!$A$19:$S$425,19,FALSE))&gt;=AP637,TRUE,FALSE))</f>
        <v>1</v>
      </c>
      <c r="AR637" s="158" t="s">
        <v>678</v>
      </c>
      <c r="AS637" s="158" t="b">
        <f>IF(AR637="",TRUE,IF(VLOOKUP(AR637,Calculs!$A$427:$G$738,7,FALSE)&gt;0,TRUE,FALSE))</f>
        <v>0</v>
      </c>
      <c r="AT637" s="158"/>
      <c r="AU637" s="158" t="b">
        <f>IF(AT637="",TRUE,IF(VLOOKUP(AT637,Calculs!$A$740:$G$912,7,FALSE)&gt;0,TRUE,FALSE))</f>
        <v>1</v>
      </c>
      <c r="AV637" s="158" t="b">
        <f t="shared" si="66"/>
        <v>0</v>
      </c>
      <c r="AW637" s="159" t="s">
        <v>3410</v>
      </c>
      <c r="AX637" s="162" t="s">
        <v>5202</v>
      </c>
      <c r="AY637" s="15">
        <v>144</v>
      </c>
      <c r="AZ637" s="555" t="s">
        <v>8639</v>
      </c>
      <c r="BA637" s="559">
        <f>IF(Verso!$B$10=Voies!$B637,1,0)</f>
        <v>0</v>
      </c>
      <c r="BB637" s="12">
        <f>IF(Verso!$B$11=Voies!$B637,1,0)</f>
        <v>0</v>
      </c>
      <c r="BC637" s="12">
        <f>IF(Verso!$B$12=Voies!$B637,1,0)</f>
        <v>0</v>
      </c>
      <c r="BD637" s="12">
        <f>IF(Verso!$B$13=Voies!$B637,1,0)</f>
        <v>0</v>
      </c>
      <c r="BE637" s="12">
        <f>IF(Verso!$B$14=Voies!$B637,1,0)</f>
        <v>0</v>
      </c>
      <c r="BF637" s="12">
        <f>IF(Verso!$B$15=Voies!$B637,1,0)</f>
        <v>0</v>
      </c>
      <c r="BG637" s="12">
        <f>IF(Verso!$B$16=Voies!$B637,1,0)</f>
        <v>0</v>
      </c>
      <c r="BH637" s="12">
        <f>IF(Verso!$B$17=Voies!$B637,1,0)</f>
        <v>0</v>
      </c>
      <c r="BI637" s="557">
        <f t="shared" si="67"/>
        <v>0</v>
      </c>
      <c r="BJ637" s="196" t="str">
        <f t="shared" si="68"/>
        <v/>
      </c>
      <c r="BK637" s="196" t="str">
        <f t="shared" si="69"/>
        <v/>
      </c>
      <c r="BL637" s="295" t="str">
        <f t="shared" si="70"/>
        <v/>
      </c>
    </row>
    <row r="638" spans="1:65" ht="47.25" customHeight="1" x14ac:dyDescent="0.25">
      <c r="A638" s="162" t="str">
        <f>IF(AND(Réputation&gt;Voies!E638-1,OR(C638=TRUE,Calculs!$I$8&gt;0),Air&gt;Voies!J638-1,Eau&gt;Voies!K638-1,Feu&gt;Voies!L638-1,Terre&gt;Voies!M638-1,Vide&gt;Voies!N638-1,Constitution&gt;Voies!O638-1,Volonté&gt;Voies!P638-1,Force&gt;Voies!Q638-1,Perception&gt;Voies!R638-1,Reflexes&gt;Voies!S638-1,Agilité&gt;Voies!T638-1,Intuition&gt;Voies!U638-1,Intelligence&gt;Voies!V638-1,Souillure&gt;Voies!W638-1,Honneur&gt;X638-1,Statut&gt;Y638-1,Gloire&gt;Z638-1,AV638=TRUE),Voies!B638,"")</f>
        <v/>
      </c>
      <c r="B638" s="162" t="s">
        <v>5882</v>
      </c>
      <c r="C638" s="162" t="b">
        <f>IF(Clan=Voies!D638,TRUE,FALSE)</f>
        <v>0</v>
      </c>
      <c r="D638" s="387" t="s">
        <v>178</v>
      </c>
      <c r="E638" s="13">
        <v>0</v>
      </c>
      <c r="F638" s="199">
        <v>0</v>
      </c>
      <c r="G638" s="13" t="s">
        <v>2049</v>
      </c>
      <c r="H638" s="162" t="s">
        <v>472</v>
      </c>
      <c r="I638" s="129" t="s">
        <v>3370</v>
      </c>
      <c r="J638" s="146">
        <v>0</v>
      </c>
      <c r="K638" s="147">
        <v>0</v>
      </c>
      <c r="L638" s="148">
        <v>0</v>
      </c>
      <c r="M638" s="149">
        <v>0</v>
      </c>
      <c r="N638" s="150">
        <v>0</v>
      </c>
      <c r="O638" s="130">
        <v>0</v>
      </c>
      <c r="P638" s="130">
        <v>0</v>
      </c>
      <c r="Q638" s="130">
        <v>0</v>
      </c>
      <c r="R638" s="130">
        <v>0</v>
      </c>
      <c r="S638" s="130">
        <v>0</v>
      </c>
      <c r="T638" s="130">
        <v>0</v>
      </c>
      <c r="U638" s="130">
        <v>0</v>
      </c>
      <c r="V638" s="524">
        <v>0</v>
      </c>
      <c r="W638" s="130">
        <v>0</v>
      </c>
      <c r="X638" s="130">
        <v>0</v>
      </c>
      <c r="Y638" s="130">
        <v>0</v>
      </c>
      <c r="Z638" s="130">
        <v>0</v>
      </c>
      <c r="AA638" s="159" t="s">
        <v>3371</v>
      </c>
      <c r="AB638" s="159" t="s">
        <v>1228</v>
      </c>
      <c r="AD638" s="159">
        <v>7</v>
      </c>
      <c r="AE638" s="158" t="b">
        <f>IF(AB638="",TRUE,IF(IF(AC638="",VLOOKUP(AB638,Calculs!$A$19:$S$425,19,FALSE),VLOOKUP(AC638,Calculs!$A$19:$S$425,19,FALSE))&gt;=AD638,TRUE,FALSE))</f>
        <v>0</v>
      </c>
      <c r="AI638" s="158" t="b">
        <f>IF(AF638="",TRUE,IF(IF(AG638="",VLOOKUP(AF638,Calculs!$A$19:$S$425,19,FALSE),VLOOKUP(AG638,Calculs!$A$19:$S$425,19,FALSE))&gt;=AH638,TRUE,FALSE))</f>
        <v>1</v>
      </c>
      <c r="AM638" s="158" t="b">
        <f>IF(AJ638="",TRUE,IF(IF(AK638="",VLOOKUP(AJ638,Calculs!$A$19:$S$425,19,FALSE),VLOOKUP(AK638,Calculs!$A$19:$S$425,19,FALSE))&gt;=AL638,TRUE,FALSE))</f>
        <v>1</v>
      </c>
      <c r="AQ638" s="158" t="b">
        <f>IF(AN638="",TRUE,IF(IF(AO638="",VLOOKUP(AN638,Calculs!$A$19:$S$425,19,FALSE),VLOOKUP(AO638,Calculs!$A$19:$S$425,19,FALSE))&gt;=AP638,TRUE,FALSE))</f>
        <v>1</v>
      </c>
      <c r="AR638" s="158"/>
      <c r="AS638" s="158" t="b">
        <f>IF(AR638="",TRUE,IF(VLOOKUP(AR638,Calculs!$A$427:$G$738,7,FALSE)&gt;0,TRUE,FALSE))</f>
        <v>1</v>
      </c>
      <c r="AT638" s="158"/>
      <c r="AU638" s="158" t="b">
        <f>IF(AT638="",TRUE,IF(VLOOKUP(AT638,Calculs!$A$740:$G$912,7,FALSE)&gt;0,TRUE,FALSE))</f>
        <v>1</v>
      </c>
      <c r="AV638" s="158" t="b">
        <f t="shared" si="66"/>
        <v>0</v>
      </c>
      <c r="AW638" s="159" t="s">
        <v>3372</v>
      </c>
      <c r="AX638" s="162" t="s">
        <v>118</v>
      </c>
      <c r="AY638" s="15">
        <v>173</v>
      </c>
      <c r="AZ638" s="555" t="s">
        <v>3373</v>
      </c>
      <c r="BA638" s="559">
        <f>IF(Verso!$B$10=Voies!$B638,1,0)</f>
        <v>0</v>
      </c>
      <c r="BB638" s="12">
        <f>IF(Verso!$B$11=Voies!$B638,1,0)</f>
        <v>0</v>
      </c>
      <c r="BC638" s="12">
        <f>IF(Verso!$B$12=Voies!$B638,1,0)</f>
        <v>0</v>
      </c>
      <c r="BD638" s="12">
        <f>IF(Verso!$B$13=Voies!$B638,1,0)</f>
        <v>0</v>
      </c>
      <c r="BE638" s="12">
        <f>IF(Verso!$B$14=Voies!$B638,1,0)</f>
        <v>0</v>
      </c>
      <c r="BF638" s="12">
        <f>IF(Verso!$B$15=Voies!$B638,1,0)</f>
        <v>0</v>
      </c>
      <c r="BG638" s="12">
        <f>IF(Verso!$B$16=Voies!$B638,1,0)</f>
        <v>0</v>
      </c>
      <c r="BH638" s="12">
        <f>IF(Verso!$B$17=Voies!$B638,1,0)</f>
        <v>0</v>
      </c>
      <c r="BI638" s="557">
        <f t="shared" si="67"/>
        <v>0</v>
      </c>
      <c r="BJ638" s="196" t="str">
        <f t="shared" si="68"/>
        <v/>
      </c>
      <c r="BK638" s="196" t="str">
        <f t="shared" si="69"/>
        <v/>
      </c>
      <c r="BL638" s="295" t="str">
        <f t="shared" si="70"/>
        <v/>
      </c>
    </row>
    <row r="639" spans="1:65" ht="47.25" customHeight="1" x14ac:dyDescent="0.25">
      <c r="A639" s="162" t="str">
        <f>IF(AND(Réputation&gt;Voies!E639-1,OR(C639=TRUE,Calculs!$I$8&gt;0),Air&gt;Voies!J639-1,Eau&gt;Voies!K639-1,Feu&gt;Voies!L639-1,Terre&gt;Voies!M639-1,Vide&gt;Voies!N639-1,Constitution&gt;Voies!O639-1,Volonté&gt;Voies!P639-1,Force&gt;Voies!Q639-1,Perception&gt;Voies!R639-1,Reflexes&gt;Voies!S639-1,Agilité&gt;Voies!T639-1,Intuition&gt;Voies!U639-1,Intelligence&gt;Voies!V639-1,Souillure&gt;Voies!W639-1,Honneur&gt;X639-1,Statut&gt;Y639-1,Gloire&gt;Z639-1,AV639=TRUE),Voies!B639,"")</f>
        <v/>
      </c>
      <c r="B639" s="162" t="s">
        <v>1193</v>
      </c>
      <c r="C639" s="162" t="b">
        <f>IF(Clan=Voies!D639,TRUE,FALSE)</f>
        <v>0</v>
      </c>
      <c r="D639" s="387" t="s">
        <v>178</v>
      </c>
      <c r="E639" s="13">
        <v>0</v>
      </c>
      <c r="F639" s="199">
        <v>0</v>
      </c>
      <c r="G639" s="13" t="s">
        <v>2049</v>
      </c>
      <c r="H639" s="162" t="s">
        <v>422</v>
      </c>
      <c r="I639" s="129" t="str">
        <f t="shared" ref="I639:I647" si="72">IF(B639="","","Rien")</f>
        <v>Rien</v>
      </c>
      <c r="J639" s="146">
        <v>0</v>
      </c>
      <c r="K639" s="147">
        <v>3</v>
      </c>
      <c r="L639" s="148">
        <v>0</v>
      </c>
      <c r="M639" s="149">
        <v>0</v>
      </c>
      <c r="N639" s="150">
        <v>0</v>
      </c>
      <c r="O639" s="130">
        <v>0</v>
      </c>
      <c r="P639" s="130">
        <v>0</v>
      </c>
      <c r="Q639" s="130">
        <v>0</v>
      </c>
      <c r="R639" s="130">
        <v>0</v>
      </c>
      <c r="S639" s="130">
        <v>0</v>
      </c>
      <c r="T639" s="130">
        <v>0</v>
      </c>
      <c r="U639" s="130">
        <v>0</v>
      </c>
      <c r="V639" s="524">
        <v>0</v>
      </c>
      <c r="W639" s="130">
        <v>0</v>
      </c>
      <c r="X639" s="130">
        <v>0</v>
      </c>
      <c r="Y639" s="130">
        <v>0</v>
      </c>
      <c r="Z639" s="130">
        <v>0</v>
      </c>
      <c r="AA639" s="159" t="s">
        <v>2683</v>
      </c>
      <c r="AB639" s="159" t="s">
        <v>311</v>
      </c>
      <c r="AD639" s="159">
        <v>4</v>
      </c>
      <c r="AE639" s="158" t="b">
        <f>IF(AB639="",TRUE,IF(IF(AC639="",VLOOKUP(AB639,Calculs!$A$19:$S$425,19,FALSE),VLOOKUP(AC639,Calculs!$A$19:$S$425,19,FALSE))&gt;=AD639,TRUE,FALSE))</f>
        <v>0</v>
      </c>
      <c r="AF639" s="159" t="s">
        <v>1273</v>
      </c>
      <c r="AH639" s="159">
        <v>3</v>
      </c>
      <c r="AI639" s="158" t="b">
        <f>IF(AF639="",TRUE,IF(IF(AG639="",VLOOKUP(AF639,Calculs!$A$19:$S$425,19,FALSE),VLOOKUP(AG639,Calculs!$A$19:$S$425,19,FALSE))&gt;=AH639,TRUE,FALSE))</f>
        <v>0</v>
      </c>
      <c r="AJ639" s="159" t="s">
        <v>3324</v>
      </c>
      <c r="AL639" s="159">
        <v>4</v>
      </c>
      <c r="AM639" s="158" t="b">
        <f>IF(AJ639="",TRUE,IF(IF(AK639="",VLOOKUP(AJ639,Calculs!$A$19:$S$425,19,FALSE),VLOOKUP(AK639,Calculs!$A$19:$S$425,19,FALSE))&gt;=AL639,TRUE,FALSE))</f>
        <v>0</v>
      </c>
      <c r="AQ639" s="158" t="b">
        <f>IF(AN639="",TRUE,IF(IF(AO639="",VLOOKUP(AN639,Calculs!$A$19:$S$425,19,FALSE),VLOOKUP(AO639,Calculs!$A$19:$S$425,19,FALSE))&gt;=AP639,TRUE,FALSE))</f>
        <v>1</v>
      </c>
      <c r="AR639" s="158" t="s">
        <v>678</v>
      </c>
      <c r="AS639" s="158" t="b">
        <f>IF(AR639="",TRUE,IF(VLOOKUP(AR639,Calculs!$A$427:$G$738,7,FALSE)&gt;0,TRUE,FALSE))</f>
        <v>0</v>
      </c>
      <c r="AT639" s="158"/>
      <c r="AU639" s="158" t="b">
        <f>IF(AT639="",TRUE,IF(VLOOKUP(AT639,Calculs!$A$740:$G$912,7,FALSE)&gt;0,TRUE,FALSE))</f>
        <v>1</v>
      </c>
      <c r="AV639" s="158" t="b">
        <f t="shared" si="66"/>
        <v>0</v>
      </c>
      <c r="AW639" s="159" t="s">
        <v>3410</v>
      </c>
      <c r="AX639" s="162" t="s">
        <v>5202</v>
      </c>
      <c r="AY639" s="15">
        <v>144</v>
      </c>
      <c r="AZ639" s="555" t="s">
        <v>8640</v>
      </c>
      <c r="BA639" s="559">
        <f>IF(Verso!$B$10=Voies!$B639,1,0)</f>
        <v>0</v>
      </c>
      <c r="BB639" s="12">
        <f>IF(Verso!$B$11=Voies!$B639,1,0)</f>
        <v>0</v>
      </c>
      <c r="BC639" s="12">
        <f>IF(Verso!$B$12=Voies!$B639,1,0)</f>
        <v>0</v>
      </c>
      <c r="BD639" s="12">
        <f>IF(Verso!$B$13=Voies!$B639,1,0)</f>
        <v>0</v>
      </c>
      <c r="BE639" s="12">
        <f>IF(Verso!$B$14=Voies!$B639,1,0)</f>
        <v>0</v>
      </c>
      <c r="BF639" s="12">
        <f>IF(Verso!$B$15=Voies!$B639,1,0)</f>
        <v>0</v>
      </c>
      <c r="BG639" s="12">
        <f>IF(Verso!$B$16=Voies!$B639,1,0)</f>
        <v>0</v>
      </c>
      <c r="BH639" s="12">
        <f>IF(Verso!$B$17=Voies!$B639,1,0)</f>
        <v>0</v>
      </c>
      <c r="BI639" s="557">
        <f t="shared" si="67"/>
        <v>0</v>
      </c>
      <c r="BJ639" s="196" t="str">
        <f t="shared" si="68"/>
        <v/>
      </c>
      <c r="BK639" s="196" t="str">
        <f t="shared" si="69"/>
        <v/>
      </c>
      <c r="BL639" s="295" t="str">
        <f t="shared" si="70"/>
        <v/>
      </c>
    </row>
    <row r="640" spans="1:65" ht="47.25" customHeight="1" x14ac:dyDescent="0.25">
      <c r="A640" s="162" t="str">
        <f>IF(AND(Réputation&gt;Voies!E640-1,OR(C640=TRUE,Calculs!$I$8&gt;0),Air&gt;Voies!J640-1,Eau&gt;Voies!K640-1,Feu&gt;Voies!L640-1,Terre&gt;Voies!M640-1,Vide&gt;Voies!N640-1,Constitution&gt;Voies!O640-1,Volonté&gt;Voies!P640-1,Force&gt;Voies!Q640-1,Perception&gt;Voies!R640-1,Reflexes&gt;Voies!S640-1,Agilité&gt;Voies!T640-1,Intuition&gt;Voies!U640-1,Intelligence&gt;Voies!V640-1,Souillure&gt;Voies!W640-1,Honneur&gt;X640-1,Statut&gt;Y640-1,Gloire&gt;Z640-1,AV640=TRUE),Voies!B640,"")</f>
        <v/>
      </c>
      <c r="B640" s="162" t="s">
        <v>2685</v>
      </c>
      <c r="C640" s="162" t="b">
        <f>IF(Clan=Voies!D640,TRUE,FALSE)</f>
        <v>0</v>
      </c>
      <c r="D640" s="387" t="s">
        <v>178</v>
      </c>
      <c r="E640" s="13">
        <v>0</v>
      </c>
      <c r="F640" s="199">
        <v>0</v>
      </c>
      <c r="G640" s="199" t="s">
        <v>2049</v>
      </c>
      <c r="H640" s="162" t="s">
        <v>422</v>
      </c>
      <c r="I640" s="129" t="str">
        <f t="shared" si="72"/>
        <v>Rien</v>
      </c>
      <c r="J640" s="146">
        <v>0</v>
      </c>
      <c r="K640" s="147">
        <v>3</v>
      </c>
      <c r="L640" s="148">
        <v>0</v>
      </c>
      <c r="M640" s="149">
        <v>0</v>
      </c>
      <c r="N640" s="150">
        <v>0</v>
      </c>
      <c r="O640" s="130">
        <v>0</v>
      </c>
      <c r="P640" s="130">
        <v>0</v>
      </c>
      <c r="Q640" s="130">
        <v>0</v>
      </c>
      <c r="R640" s="130">
        <v>0</v>
      </c>
      <c r="S640" s="130">
        <v>0</v>
      </c>
      <c r="T640" s="130">
        <v>0</v>
      </c>
      <c r="U640" s="130">
        <v>0</v>
      </c>
      <c r="V640" s="524">
        <v>0</v>
      </c>
      <c r="W640" s="130">
        <v>0</v>
      </c>
      <c r="X640" s="130">
        <v>0</v>
      </c>
      <c r="Y640" s="130">
        <v>0</v>
      </c>
      <c r="Z640" s="130">
        <v>0</v>
      </c>
      <c r="AA640" s="159" t="s">
        <v>2683</v>
      </c>
      <c r="AB640" s="159" t="s">
        <v>311</v>
      </c>
      <c r="AD640" s="159">
        <v>4</v>
      </c>
      <c r="AE640" s="158" t="b">
        <f>IF(AB640="",TRUE,IF(IF(AC640="",VLOOKUP(AB640,Calculs!$A$19:$S$425,19,FALSE),VLOOKUP(AC640,Calculs!$A$19:$S$425,19,FALSE))&gt;=AD640,TRUE,FALSE))</f>
        <v>0</v>
      </c>
      <c r="AF640" s="159" t="s">
        <v>1273</v>
      </c>
      <c r="AH640" s="159">
        <v>3</v>
      </c>
      <c r="AI640" s="158" t="b">
        <f>IF(AF640="",TRUE,IF(IF(AG640="",VLOOKUP(AF640,Calculs!$A$19:$S$425,19,FALSE),VLOOKUP(AG640,Calculs!$A$19:$S$425,19,FALSE))&gt;=AH640,TRUE,FALSE))</f>
        <v>0</v>
      </c>
      <c r="AJ640" s="159" t="s">
        <v>3324</v>
      </c>
      <c r="AL640" s="159">
        <v>4</v>
      </c>
      <c r="AM640" s="158" t="b">
        <f>IF(AJ640="",TRUE,IF(IF(AK640="",VLOOKUP(AJ640,Calculs!$A$19:$S$425,19,FALSE),VLOOKUP(AK640,Calculs!$A$19:$S$425,19,FALSE))&gt;=AL640,TRUE,FALSE))</f>
        <v>0</v>
      </c>
      <c r="AQ640" s="158" t="b">
        <f>IF(AN640="",TRUE,IF(IF(AO640="",VLOOKUP(AN640,Calculs!$A$19:$S$425,19,FALSE),VLOOKUP(AO640,Calculs!$A$19:$S$425,19,FALSE))&gt;=AP640,TRUE,FALSE))</f>
        <v>1</v>
      </c>
      <c r="AR640" s="158" t="s">
        <v>678</v>
      </c>
      <c r="AS640" s="158" t="b">
        <f>IF(AR640="",TRUE,IF(VLOOKUP(AR640,Calculs!$A$427:$G$738,7,FALSE)&gt;0,TRUE,FALSE))</f>
        <v>0</v>
      </c>
      <c r="AT640" s="158"/>
      <c r="AU640" s="158" t="b">
        <f>IF(AT640="",TRUE,IF(VLOOKUP(AT640,Calculs!$A$740:$G$912,7,FALSE)&gt;0,TRUE,FALSE))</f>
        <v>1</v>
      </c>
      <c r="AV640" s="158" t="b">
        <f t="shared" si="66"/>
        <v>0</v>
      </c>
      <c r="AW640" s="159" t="s">
        <v>3410</v>
      </c>
      <c r="AX640" s="162" t="s">
        <v>5202</v>
      </c>
      <c r="AY640" s="15">
        <v>144</v>
      </c>
      <c r="AZ640" s="555" t="s">
        <v>2686</v>
      </c>
      <c r="BA640" s="559">
        <f>IF(Verso!$B$10=Voies!$B640,1,0)</f>
        <v>0</v>
      </c>
      <c r="BB640" s="12">
        <f>IF(Verso!$B$11=Voies!$B640,1,0)</f>
        <v>0</v>
      </c>
      <c r="BC640" s="12">
        <f>IF(Verso!$B$12=Voies!$B640,1,0)</f>
        <v>0</v>
      </c>
      <c r="BD640" s="12">
        <f>IF(Verso!$B$13=Voies!$B640,1,0)</f>
        <v>0</v>
      </c>
      <c r="BE640" s="12">
        <f>IF(Verso!$B$14=Voies!$B640,1,0)</f>
        <v>0</v>
      </c>
      <c r="BF640" s="12">
        <f>IF(Verso!$B$15=Voies!$B640,1,0)</f>
        <v>0</v>
      </c>
      <c r="BG640" s="12">
        <f>IF(Verso!$B$16=Voies!$B640,1,0)</f>
        <v>0</v>
      </c>
      <c r="BH640" s="12">
        <f>IF(Verso!$B$17=Voies!$B640,1,0)</f>
        <v>0</v>
      </c>
      <c r="BI640" s="557">
        <f t="shared" si="67"/>
        <v>0</v>
      </c>
      <c r="BJ640" s="196" t="str">
        <f t="shared" si="68"/>
        <v/>
      </c>
      <c r="BK640" s="196" t="str">
        <f t="shared" si="69"/>
        <v/>
      </c>
      <c r="BL640" s="295" t="str">
        <f t="shared" si="70"/>
        <v/>
      </c>
    </row>
    <row r="641" spans="1:64" ht="47.25" customHeight="1" x14ac:dyDescent="0.25">
      <c r="A641" s="162" t="str">
        <f>IF(AND(Réputation&gt;Voies!E641-1,OR(C641=TRUE,Calculs!$I$8&gt;0),Air&gt;Voies!J641-1,Eau&gt;Voies!K641-1,Feu&gt;Voies!L641-1,Terre&gt;Voies!M641-1,Vide&gt;Voies!N641-1,Constitution&gt;Voies!O641-1,Volonté&gt;Voies!P641-1,Force&gt;Voies!Q641-1,Perception&gt;Voies!R641-1,Reflexes&gt;Voies!S641-1,Agilité&gt;Voies!T641-1,Intuition&gt;Voies!U641-1,Intelligence&gt;Voies!V641-1,Souillure&gt;Voies!W641-1,Honneur&gt;X641-1,Statut&gt;Y641-1,Gloire&gt;Z641-1,AV641=TRUE),Voies!B641,"")</f>
        <v/>
      </c>
      <c r="B641" s="162" t="s">
        <v>2569</v>
      </c>
      <c r="C641" s="162" t="b">
        <f>IF(Clan=Voies!D641,TRUE,FALSE)</f>
        <v>0</v>
      </c>
      <c r="D641" s="387" t="s">
        <v>178</v>
      </c>
      <c r="E641" s="13">
        <v>0</v>
      </c>
      <c r="F641" s="199">
        <v>0</v>
      </c>
      <c r="G641" s="199" t="s">
        <v>2048</v>
      </c>
      <c r="H641" s="162" t="s">
        <v>2568</v>
      </c>
      <c r="I641" s="129" t="str">
        <f t="shared" si="72"/>
        <v>Rien</v>
      </c>
      <c r="J641" s="146">
        <v>3</v>
      </c>
      <c r="K641" s="147">
        <v>5</v>
      </c>
      <c r="L641" s="148">
        <v>3</v>
      </c>
      <c r="M641" s="149">
        <v>0</v>
      </c>
      <c r="N641" s="150">
        <v>0</v>
      </c>
      <c r="O641" s="130">
        <v>0</v>
      </c>
      <c r="P641" s="130">
        <v>0</v>
      </c>
      <c r="Q641" s="130">
        <v>0</v>
      </c>
      <c r="R641" s="130">
        <v>0</v>
      </c>
      <c r="S641" s="130">
        <v>0</v>
      </c>
      <c r="T641" s="130">
        <v>0</v>
      </c>
      <c r="U641" s="130">
        <v>0</v>
      </c>
      <c r="V641" s="524">
        <v>0</v>
      </c>
      <c r="W641" s="130">
        <v>0</v>
      </c>
      <c r="X641" s="130">
        <v>0</v>
      </c>
      <c r="Y641" s="130">
        <v>0</v>
      </c>
      <c r="Z641" s="130">
        <v>0</v>
      </c>
      <c r="AA641" s="159" t="s">
        <v>6343</v>
      </c>
      <c r="AB641" s="159" t="s">
        <v>3325</v>
      </c>
      <c r="AC641" s="159" t="s">
        <v>3211</v>
      </c>
      <c r="AD641" s="159">
        <v>5</v>
      </c>
      <c r="AE641" s="158" t="b">
        <f>IF(AB641="",TRUE,IF(IF(AC641="",VLOOKUP(AB641,Calculs!$A$19:$S$425,19,FALSE),VLOOKUP(AC641,Calculs!$A$19:$S$425,19,FALSE))&gt;=AD641,TRUE,FALSE))</f>
        <v>0</v>
      </c>
      <c r="AF641" s="159" t="s">
        <v>3324</v>
      </c>
      <c r="AH641" s="159">
        <v>3</v>
      </c>
      <c r="AI641" s="158" t="b">
        <f>IF(AF641="",TRUE,IF(IF(AG641="",VLOOKUP(AF641,Calculs!$A$19:$S$425,19,FALSE),VLOOKUP(AG641,Calculs!$A$19:$S$425,19,FALSE))&gt;=AH641,TRUE,FALSE))</f>
        <v>0</v>
      </c>
      <c r="AJ641" s="159" t="s">
        <v>1260</v>
      </c>
      <c r="AL641" s="159">
        <v>3</v>
      </c>
      <c r="AM641" s="158" t="b">
        <f>IF(AJ641="",TRUE,IF(IF(AK641="",VLOOKUP(AJ641,Calculs!$A$19:$S$425,19,FALSE),VLOOKUP(AK641,Calculs!$A$19:$S$425,19,FALSE))&gt;=AL641,TRUE,FALSE))</f>
        <v>0</v>
      </c>
      <c r="AN641" s="159" t="s">
        <v>3325</v>
      </c>
      <c r="AO641" s="159" t="s">
        <v>3214</v>
      </c>
      <c r="AP641" s="159">
        <v>3</v>
      </c>
      <c r="AQ641" s="158" t="b">
        <f>IF(AN641="",TRUE,IF(IF(AO641="",VLOOKUP(AN641,Calculs!$A$19:$S$425,19,FALSE),VLOOKUP(AO641,Calculs!$A$19:$S$425,19,FALSE))&gt;=AP641,TRUE,FALSE))</f>
        <v>0</v>
      </c>
      <c r="AR641" s="158" t="s">
        <v>8242</v>
      </c>
      <c r="AS641" s="158" t="b">
        <f>IF(AR641="",TRUE,IF(VLOOKUP(AR641,Calculs!$A$427:$G$738,7,FALSE)&gt;0,TRUE,FALSE))</f>
        <v>0</v>
      </c>
      <c r="AT641" s="158"/>
      <c r="AU641" s="158" t="b">
        <f>IF(AT641="",TRUE,IF(VLOOKUP(AT641,Calculs!$A$740:$G$912,7,FALSE)&gt;0,TRUE,FALSE))</f>
        <v>1</v>
      </c>
      <c r="AV641" s="158" t="b">
        <f t="shared" si="66"/>
        <v>0</v>
      </c>
      <c r="AW641" s="159" t="s">
        <v>3408</v>
      </c>
      <c r="AX641" s="162" t="s">
        <v>3</v>
      </c>
      <c r="AY641" s="15">
        <v>249</v>
      </c>
      <c r="AZ641" s="555" t="str">
        <f>CONCATENATE("Rg. d'Ecole est considéré comme d'un rang supérieur pour incanter des sorts d'Eau. Vous pouvez dépenser un Pvide et une Act.G pour cibler un adversaire à ",Eau*3,"m et lui infliger ",Eau,"g",Eau," dommages +1g0 par Emplacement de Sort sacrifié")</f>
        <v>Rg. d'Ecole est considéré comme d'un rang supérieur pour incanter des sorts d'Eau. Vous pouvez dépenser un Pvide et une Act.G pour cibler un adversaire à 6m et lui infliger 2g2 dommages +1g0 par Emplacement de Sort sacrifié</v>
      </c>
      <c r="BA641" s="559">
        <f>IF(Verso!$B$10=Voies!$B641,1,0)</f>
        <v>0</v>
      </c>
      <c r="BB641" s="12">
        <f>IF(Verso!$B$11=Voies!$B641,1,0)</f>
        <v>0</v>
      </c>
      <c r="BC641" s="12">
        <f>IF(Verso!$B$12=Voies!$B641,1,0)</f>
        <v>0</v>
      </c>
      <c r="BD641" s="12">
        <f>IF(Verso!$B$13=Voies!$B641,1,0)</f>
        <v>0</v>
      </c>
      <c r="BE641" s="12">
        <f>IF(Verso!$B$14=Voies!$B641,1,0)</f>
        <v>0</v>
      </c>
      <c r="BF641" s="12">
        <f>IF(Verso!$B$15=Voies!$B641,1,0)</f>
        <v>0</v>
      </c>
      <c r="BG641" s="12">
        <f>IF(Verso!$B$16=Voies!$B641,1,0)</f>
        <v>0</v>
      </c>
      <c r="BH641" s="12">
        <f>IF(Verso!$B$17=Voies!$B641,1,0)</f>
        <v>0</v>
      </c>
      <c r="BI641" s="557">
        <f t="shared" si="67"/>
        <v>0</v>
      </c>
      <c r="BJ641" s="196" t="str">
        <f t="shared" si="68"/>
        <v/>
      </c>
      <c r="BK641" s="196" t="str">
        <f t="shared" si="69"/>
        <v/>
      </c>
      <c r="BL641" s="295" t="str">
        <f t="shared" si="70"/>
        <v/>
      </c>
    </row>
    <row r="642" spans="1:64" ht="47.25" customHeight="1" x14ac:dyDescent="0.25">
      <c r="A642" s="162" t="str">
        <f>IF(AND(Réputation&gt;Voies!E642-1,OR(C642=TRUE,Calculs!$I$8&gt;0),Air&gt;Voies!J642-1,Eau&gt;Voies!K642-1,Feu&gt;Voies!L642-1,Terre&gt;Voies!M642-1,Vide&gt;Voies!N642-1,Constitution&gt;Voies!O642-1,Volonté&gt;Voies!P642-1,Force&gt;Voies!Q642-1,Perception&gt;Voies!R642-1,Reflexes&gt;Voies!S642-1,Agilité&gt;Voies!T642-1,Intuition&gt;Voies!U642-1,Intelligence&gt;Voies!V642-1,Souillure&gt;Voies!W642-1,Honneur&gt;X642-1,Statut&gt;Y642-1,Gloire&gt;Z642-1,AV642=TRUE),Voies!B642,"")</f>
        <v/>
      </c>
      <c r="B642" s="162" t="s">
        <v>2570</v>
      </c>
      <c r="C642" s="162" t="b">
        <f>IF(Clan=Voies!D642,TRUE,FALSE)</f>
        <v>0</v>
      </c>
      <c r="D642" s="387" t="s">
        <v>178</v>
      </c>
      <c r="E642" s="13">
        <v>0</v>
      </c>
      <c r="F642" s="199">
        <v>0</v>
      </c>
      <c r="G642" s="199" t="s">
        <v>2048</v>
      </c>
      <c r="H642" s="162" t="s">
        <v>2568</v>
      </c>
      <c r="I642" s="129" t="str">
        <f t="shared" si="72"/>
        <v>Rien</v>
      </c>
      <c r="J642" s="146">
        <v>3</v>
      </c>
      <c r="K642" s="147">
        <v>5</v>
      </c>
      <c r="L642" s="148">
        <v>3</v>
      </c>
      <c r="M642" s="149">
        <v>0</v>
      </c>
      <c r="N642" s="150">
        <v>0</v>
      </c>
      <c r="O642" s="130">
        <v>0</v>
      </c>
      <c r="P642" s="130">
        <v>0</v>
      </c>
      <c r="Q642" s="130">
        <v>0</v>
      </c>
      <c r="R642" s="130">
        <v>0</v>
      </c>
      <c r="S642" s="130">
        <v>0</v>
      </c>
      <c r="T642" s="130">
        <v>0</v>
      </c>
      <c r="U642" s="130">
        <v>0</v>
      </c>
      <c r="V642" s="524">
        <v>0</v>
      </c>
      <c r="W642" s="130">
        <v>0</v>
      </c>
      <c r="X642" s="130">
        <v>0</v>
      </c>
      <c r="Y642" s="130">
        <v>0</v>
      </c>
      <c r="Z642" s="130">
        <v>0</v>
      </c>
      <c r="AA642" s="159" t="s">
        <v>6343</v>
      </c>
      <c r="AB642" s="159" t="s">
        <v>3325</v>
      </c>
      <c r="AC642" s="159" t="s">
        <v>3211</v>
      </c>
      <c r="AD642" s="159">
        <v>5</v>
      </c>
      <c r="AE642" s="158" t="b">
        <f>IF(AB642="",TRUE,IF(IF(AC642="",VLOOKUP(AB642,Calculs!$A$19:$S$425,19,FALSE),VLOOKUP(AC642,Calculs!$A$19:$S$425,19,FALSE))&gt;=AD642,TRUE,FALSE))</f>
        <v>0</v>
      </c>
      <c r="AF642" s="159" t="s">
        <v>3324</v>
      </c>
      <c r="AH642" s="159">
        <v>3</v>
      </c>
      <c r="AI642" s="158" t="b">
        <f>IF(AF642="",TRUE,IF(IF(AG642="",VLOOKUP(AF642,Calculs!$A$19:$S$425,19,FALSE),VLOOKUP(AG642,Calculs!$A$19:$S$425,19,FALSE))&gt;=AH642,TRUE,FALSE))</f>
        <v>0</v>
      </c>
      <c r="AJ642" s="159" t="s">
        <v>1260</v>
      </c>
      <c r="AL642" s="159">
        <v>3</v>
      </c>
      <c r="AM642" s="158" t="b">
        <f>IF(AJ642="",TRUE,IF(IF(AK642="",VLOOKUP(AJ642,Calculs!$A$19:$S$425,19,FALSE),VLOOKUP(AK642,Calculs!$A$19:$S$425,19,FALSE))&gt;=AL642,TRUE,FALSE))</f>
        <v>0</v>
      </c>
      <c r="AN642" s="159" t="s">
        <v>3325</v>
      </c>
      <c r="AO642" s="159" t="s">
        <v>3214</v>
      </c>
      <c r="AQ642" s="158" t="b">
        <f>IF(AN642="",TRUE,IF(IF(AO642="",VLOOKUP(AN642,Calculs!$A$19:$S$425,19,FALSE),VLOOKUP(AO642,Calculs!$A$19:$S$425,19,FALSE))&gt;=AP642,TRUE,FALSE))</f>
        <v>1</v>
      </c>
      <c r="AR642" s="158" t="s">
        <v>8242</v>
      </c>
      <c r="AS642" s="158" t="b">
        <f>IF(AR642="",TRUE,IF(VLOOKUP(AR642,Calculs!$A$427:$G$738,7,FALSE)&gt;0,TRUE,FALSE))</f>
        <v>0</v>
      </c>
      <c r="AT642" s="158"/>
      <c r="AU642" s="158" t="b">
        <f>IF(AT642="",TRUE,IF(VLOOKUP(AT642,Calculs!$A$740:$G$912,7,FALSE)&gt;0,TRUE,FALSE))</f>
        <v>1</v>
      </c>
      <c r="AV642" s="158" t="b">
        <f t="shared" si="66"/>
        <v>0</v>
      </c>
      <c r="AW642" s="159" t="s">
        <v>3408</v>
      </c>
      <c r="AX642" s="162" t="s">
        <v>3</v>
      </c>
      <c r="AY642" s="15">
        <v>249</v>
      </c>
      <c r="AZ642" s="555" t="s">
        <v>2656</v>
      </c>
      <c r="BA642" s="559">
        <f>IF(Verso!$B$10=Voies!$B642,1,0)</f>
        <v>0</v>
      </c>
      <c r="BB642" s="12">
        <f>IF(Verso!$B$11=Voies!$B642,1,0)</f>
        <v>0</v>
      </c>
      <c r="BC642" s="12">
        <f>IF(Verso!$B$12=Voies!$B642,1,0)</f>
        <v>0</v>
      </c>
      <c r="BD642" s="12">
        <f>IF(Verso!$B$13=Voies!$B642,1,0)</f>
        <v>0</v>
      </c>
      <c r="BE642" s="12">
        <f>IF(Verso!$B$14=Voies!$B642,1,0)</f>
        <v>0</v>
      </c>
      <c r="BF642" s="12">
        <f>IF(Verso!$B$15=Voies!$B642,1,0)</f>
        <v>0</v>
      </c>
      <c r="BG642" s="12">
        <f>IF(Verso!$B$16=Voies!$B642,1,0)</f>
        <v>0</v>
      </c>
      <c r="BH642" s="12">
        <f>IF(Verso!$B$17=Voies!$B642,1,0)</f>
        <v>0</v>
      </c>
      <c r="BI642" s="557">
        <f t="shared" si="67"/>
        <v>0</v>
      </c>
      <c r="BJ642" s="196" t="str">
        <f t="shared" si="68"/>
        <v/>
      </c>
      <c r="BK642" s="196" t="str">
        <f t="shared" si="69"/>
        <v/>
      </c>
      <c r="BL642" s="295" t="str">
        <f t="shared" si="70"/>
        <v/>
      </c>
    </row>
    <row r="643" spans="1:64" ht="47.25" customHeight="1" x14ac:dyDescent="0.25">
      <c r="A643" s="162" t="str">
        <f>IF(AND(Réputation&gt;Voies!E643-1,OR(C643=TRUE,Calculs!$I$8&gt;0),Air&gt;Voies!J643-1,Eau&gt;Voies!K643-1,Feu&gt;Voies!L643-1,Terre&gt;Voies!M643-1,Vide&gt;Voies!N643-1,Constitution&gt;Voies!O643-1,Volonté&gt;Voies!P643-1,Force&gt;Voies!Q643-1,Perception&gt;Voies!R643-1,Reflexes&gt;Voies!S643-1,Agilité&gt;Voies!T643-1,Intuition&gt;Voies!U643-1,Intelligence&gt;Voies!V643-1,Souillure&gt;Voies!W643-1,Honneur&gt;X643-1,Statut&gt;Y643-1,Gloire&gt;Z643-1,AV643=TRUE),Voies!B643,"")</f>
        <v/>
      </c>
      <c r="B643" s="162" t="s">
        <v>2571</v>
      </c>
      <c r="C643" s="162" t="b">
        <f>IF(Clan=Voies!D643,TRUE,FALSE)</f>
        <v>0</v>
      </c>
      <c r="D643" s="387" t="s">
        <v>178</v>
      </c>
      <c r="E643" s="13">
        <v>0</v>
      </c>
      <c r="F643" s="199">
        <v>0</v>
      </c>
      <c r="G643" s="199" t="s">
        <v>2048</v>
      </c>
      <c r="H643" s="162" t="s">
        <v>2568</v>
      </c>
      <c r="I643" s="129" t="str">
        <f t="shared" si="72"/>
        <v>Rien</v>
      </c>
      <c r="J643" s="146">
        <v>3</v>
      </c>
      <c r="K643" s="147">
        <v>5</v>
      </c>
      <c r="L643" s="148">
        <v>3</v>
      </c>
      <c r="M643" s="149">
        <v>0</v>
      </c>
      <c r="N643" s="150">
        <v>0</v>
      </c>
      <c r="O643" s="130">
        <v>0</v>
      </c>
      <c r="P643" s="130">
        <v>0</v>
      </c>
      <c r="Q643" s="130">
        <v>0</v>
      </c>
      <c r="R643" s="130">
        <v>0</v>
      </c>
      <c r="S643" s="130">
        <v>0</v>
      </c>
      <c r="T643" s="130">
        <v>0</v>
      </c>
      <c r="U643" s="130">
        <v>0</v>
      </c>
      <c r="V643" s="524">
        <v>0</v>
      </c>
      <c r="W643" s="130">
        <v>0</v>
      </c>
      <c r="X643" s="130">
        <v>0</v>
      </c>
      <c r="Y643" s="130">
        <v>0</v>
      </c>
      <c r="Z643" s="130">
        <v>0</v>
      </c>
      <c r="AA643" s="159" t="s">
        <v>6343</v>
      </c>
      <c r="AB643" s="159" t="s">
        <v>3325</v>
      </c>
      <c r="AC643" s="159" t="s">
        <v>3211</v>
      </c>
      <c r="AD643" s="159">
        <v>5</v>
      </c>
      <c r="AE643" s="158" t="b">
        <f>IF(AB643="",TRUE,IF(IF(AC643="",VLOOKUP(AB643,Calculs!$A$19:$S$425,19,FALSE),VLOOKUP(AC643,Calculs!$A$19:$S$425,19,FALSE))&gt;=AD643,TRUE,FALSE))</f>
        <v>0</v>
      </c>
      <c r="AF643" s="159" t="s">
        <v>3324</v>
      </c>
      <c r="AH643" s="159">
        <v>3</v>
      </c>
      <c r="AI643" s="158" t="b">
        <f>IF(AF643="",TRUE,IF(IF(AG643="",VLOOKUP(AF643,Calculs!$A$19:$S$425,19,FALSE),VLOOKUP(AG643,Calculs!$A$19:$S$425,19,FALSE))&gt;=AH643,TRUE,FALSE))</f>
        <v>0</v>
      </c>
      <c r="AJ643" s="159" t="s">
        <v>1260</v>
      </c>
      <c r="AL643" s="159">
        <v>3</v>
      </c>
      <c r="AM643" s="158" t="b">
        <f>IF(AJ643="",TRUE,IF(IF(AK643="",VLOOKUP(AJ643,Calculs!$A$19:$S$425,19,FALSE),VLOOKUP(AK643,Calculs!$A$19:$S$425,19,FALSE))&gt;=AL643,TRUE,FALSE))</f>
        <v>0</v>
      </c>
      <c r="AN643" s="159" t="s">
        <v>3325</v>
      </c>
      <c r="AO643" s="159" t="s">
        <v>3214</v>
      </c>
      <c r="AQ643" s="158" t="b">
        <f>IF(AN643="",TRUE,IF(IF(AO643="",VLOOKUP(AN643,Calculs!$A$19:$S$425,19,FALSE),VLOOKUP(AO643,Calculs!$A$19:$S$425,19,FALSE))&gt;=AP643,TRUE,FALSE))</f>
        <v>1</v>
      </c>
      <c r="AR643" s="158" t="s">
        <v>8242</v>
      </c>
      <c r="AS643" s="158" t="b">
        <f>IF(AR643="",TRUE,IF(VLOOKUP(AR643,Calculs!$A$427:$G$738,7,FALSE)&gt;0,TRUE,FALSE))</f>
        <v>0</v>
      </c>
      <c r="AT643" s="158"/>
      <c r="AU643" s="158" t="b">
        <f>IF(AT643="",TRUE,IF(VLOOKUP(AT643,Calculs!$A$740:$G$912,7,FALSE)&gt;0,TRUE,FALSE))</f>
        <v>1</v>
      </c>
      <c r="AV643" s="158" t="b">
        <f t="shared" ref="AV643:AV706" si="73">IF(AND(AE643=TRUE,AI643=TRUE,AM643=TRUE,AQ643=TRUE,AS643=TRUE,AU643=TRUE),TRUE,FALSE)</f>
        <v>0</v>
      </c>
      <c r="AW643" s="159" t="s">
        <v>3408</v>
      </c>
      <c r="AX643" s="162" t="s">
        <v>3</v>
      </c>
      <c r="AY643" s="15">
        <v>249</v>
      </c>
      <c r="AZ643" s="555" t="s">
        <v>2596</v>
      </c>
      <c r="BA643" s="559">
        <f>IF(Verso!$B$10=Voies!$B643,1,0)</f>
        <v>0</v>
      </c>
      <c r="BB643" s="12">
        <f>IF(Verso!$B$11=Voies!$B643,1,0)</f>
        <v>0</v>
      </c>
      <c r="BC643" s="12">
        <f>IF(Verso!$B$12=Voies!$B643,1,0)</f>
        <v>0</v>
      </c>
      <c r="BD643" s="12">
        <f>IF(Verso!$B$13=Voies!$B643,1,0)</f>
        <v>0</v>
      </c>
      <c r="BE643" s="12">
        <f>IF(Verso!$B$14=Voies!$B643,1,0)</f>
        <v>0</v>
      </c>
      <c r="BF643" s="12">
        <f>IF(Verso!$B$15=Voies!$B643,1,0)</f>
        <v>0</v>
      </c>
      <c r="BG643" s="12">
        <f>IF(Verso!$B$16=Voies!$B643,1,0)</f>
        <v>0</v>
      </c>
      <c r="BH643" s="12">
        <f>IF(Verso!$B$17=Voies!$B643,1,0)</f>
        <v>0</v>
      </c>
      <c r="BI643" s="557">
        <f t="shared" ref="BI643:BI706" si="74">SUM(BA643:BH643)</f>
        <v>0</v>
      </c>
      <c r="BJ643" s="196" t="str">
        <f t="shared" si="68"/>
        <v/>
      </c>
      <c r="BK643" s="196" t="str">
        <f t="shared" si="69"/>
        <v/>
      </c>
      <c r="BL643" s="295" t="str">
        <f t="shared" si="70"/>
        <v/>
      </c>
    </row>
    <row r="644" spans="1:64" ht="47.25" customHeight="1" x14ac:dyDescent="0.25">
      <c r="A644" s="162" t="str">
        <f>IF(AND(Réputation&gt;Voies!E644-1,OR(C644=TRUE,Calculs!$I$8&gt;0),Air&gt;Voies!J644-1,Eau&gt;Voies!K644-1,Feu&gt;Voies!L644-1,Terre&gt;Voies!M644-1,Vide&gt;Voies!N644-1,Constitution&gt;Voies!O644-1,Volonté&gt;Voies!P644-1,Force&gt;Voies!Q644-1,Perception&gt;Voies!R644-1,Reflexes&gt;Voies!S644-1,Agilité&gt;Voies!T644-1,Intuition&gt;Voies!U644-1,Intelligence&gt;Voies!V644-1,Souillure&gt;Voies!W644-1,Honneur&gt;X644-1,Statut&gt;Y644-1,Gloire&gt;Z644-1,AV644=TRUE),Voies!B644,"")</f>
        <v/>
      </c>
      <c r="B644" s="162" t="s">
        <v>2488</v>
      </c>
      <c r="C644" s="162" t="b">
        <f>IF(Clan=Voies!D644,TRUE,FALSE)</f>
        <v>0</v>
      </c>
      <c r="D644" s="387" t="s">
        <v>178</v>
      </c>
      <c r="E644" s="13">
        <v>1</v>
      </c>
      <c r="F644" s="199">
        <v>1</v>
      </c>
      <c r="G644" s="199" t="s">
        <v>2049</v>
      </c>
      <c r="H644" s="162" t="s">
        <v>209</v>
      </c>
      <c r="I644" s="129" t="str">
        <f t="shared" si="72"/>
        <v>Rien</v>
      </c>
      <c r="J644" s="146">
        <v>0</v>
      </c>
      <c r="K644" s="147">
        <v>0</v>
      </c>
      <c r="L644" s="148">
        <v>0</v>
      </c>
      <c r="M644" s="149">
        <v>0</v>
      </c>
      <c r="N644" s="150">
        <v>0</v>
      </c>
      <c r="O644" s="130">
        <v>0</v>
      </c>
      <c r="P644" s="130">
        <v>0</v>
      </c>
      <c r="Q644" s="130">
        <v>0</v>
      </c>
      <c r="R644" s="130">
        <v>0</v>
      </c>
      <c r="S644" s="130">
        <v>0</v>
      </c>
      <c r="T644" s="130">
        <v>0</v>
      </c>
      <c r="U644" s="130">
        <v>0</v>
      </c>
      <c r="V644" s="524">
        <v>0</v>
      </c>
      <c r="W644" s="130">
        <v>0</v>
      </c>
      <c r="X644" s="130">
        <v>0</v>
      </c>
      <c r="Y644" s="130">
        <v>0</v>
      </c>
      <c r="Z644" s="130">
        <v>0</v>
      </c>
      <c r="AA644" s="158" t="s">
        <v>2078</v>
      </c>
      <c r="AB644" s="158"/>
      <c r="AC644" s="158"/>
      <c r="AD644" s="158"/>
      <c r="AE644" s="158" t="b">
        <f>IF(AB644="",TRUE,IF(IF(AC644="",VLOOKUP(AB644,Calculs!$A$19:$S$425,19,FALSE),VLOOKUP(AC644,Calculs!$A$19:$S$425,19,FALSE))&gt;=AD644,TRUE,FALSE))</f>
        <v>1</v>
      </c>
      <c r="AF644" s="158"/>
      <c r="AG644" s="158"/>
      <c r="AH644" s="158"/>
      <c r="AI644" s="158" t="b">
        <f>IF(AF644="",TRUE,IF(IF(AG644="",VLOOKUP(AF644,Calculs!$A$19:$S$425,19,FALSE),VLOOKUP(AG644,Calculs!$A$19:$S$425,19,FALSE))&gt;=AH644,TRUE,FALSE))</f>
        <v>1</v>
      </c>
      <c r="AJ644" s="158"/>
      <c r="AK644" s="158"/>
      <c r="AL644" s="158"/>
      <c r="AM644" s="158" t="b">
        <f>IF(AJ644="",TRUE,IF(IF(AK644="",VLOOKUP(AJ644,Calculs!$A$19:$S$425,19,FALSE),VLOOKUP(AK644,Calculs!$A$19:$S$425,19,FALSE))&gt;=AL644,TRUE,FALSE))</f>
        <v>1</v>
      </c>
      <c r="AN644" s="158"/>
      <c r="AO644" s="158"/>
      <c r="AP644" s="158"/>
      <c r="AQ644" s="158" t="b">
        <f>IF(AN644="",TRUE,IF(IF(AO644="",VLOOKUP(AN644,Calculs!$A$19:$S$425,19,FALSE),VLOOKUP(AO644,Calculs!$A$19:$S$425,19,FALSE))&gt;=AP644,TRUE,FALSE))</f>
        <v>1</v>
      </c>
      <c r="AR644" s="158"/>
      <c r="AS644" s="158" t="b">
        <f>IF(AR644="",TRUE,IF(VLOOKUP(AR644,Calculs!$A$427:$G$738,7,FALSE)&gt;0,TRUE,FALSE))</f>
        <v>1</v>
      </c>
      <c r="AT644" s="158"/>
      <c r="AU644" s="158" t="b">
        <f>IF(AT644="",TRUE,IF(VLOOKUP(AT644,Calculs!$A$740:$G$912,7,FALSE)&gt;0,TRUE,FALSE))</f>
        <v>1</v>
      </c>
      <c r="AV644" s="158" t="b">
        <f t="shared" si="73"/>
        <v>1</v>
      </c>
      <c r="AW644" s="158" t="s">
        <v>2078</v>
      </c>
      <c r="AX644" s="162" t="s">
        <v>3</v>
      </c>
      <c r="AY644" s="15">
        <v>125</v>
      </c>
      <c r="AZ644" s="566" t="s">
        <v>2523</v>
      </c>
      <c r="BA644" s="559">
        <f>IF(Verso!$B$10=Voies!$B644,1,0)</f>
        <v>0</v>
      </c>
      <c r="BB644" s="12">
        <f>IF(Verso!$B$11=Voies!$B644,1,0)</f>
        <v>0</v>
      </c>
      <c r="BC644" s="12">
        <f>IF(Verso!$B$12=Voies!$B644,1,0)</f>
        <v>0</v>
      </c>
      <c r="BD644" s="12">
        <f>IF(Verso!$B$13=Voies!$B644,1,0)</f>
        <v>0</v>
      </c>
      <c r="BE644" s="12">
        <f>IF(Verso!$B$14=Voies!$B644,1,0)</f>
        <v>0</v>
      </c>
      <c r="BF644" s="12">
        <f>IF(Verso!$B$15=Voies!$B644,1,0)</f>
        <v>0</v>
      </c>
      <c r="BG644" s="12">
        <f>IF(Verso!$B$16=Voies!$B644,1,0)</f>
        <v>0</v>
      </c>
      <c r="BH644" s="12">
        <f>IF(Verso!$B$17=Voies!$B644,1,0)</f>
        <v>0</v>
      </c>
      <c r="BI644" s="557">
        <f t="shared" si="74"/>
        <v>0</v>
      </c>
      <c r="BJ644" s="196" t="str">
        <f t="shared" ref="BJ644:BJ707" si="75">IF(A644="","",ROW())</f>
        <v/>
      </c>
      <c r="BK644" s="196" t="str">
        <f t="shared" ref="BK644:BK707" si="76">IFERROR(SMALL(BJ:BJ,ROW()-2),"")</f>
        <v/>
      </c>
      <c r="BL644" s="295" t="str">
        <f t="shared" ref="BL644:BL707" si="77">IFERROR(INDEX(A:A,BK644),"")</f>
        <v/>
      </c>
    </row>
    <row r="645" spans="1:64" ht="47.25" customHeight="1" x14ac:dyDescent="0.25">
      <c r="A645" s="162" t="str">
        <f>IF(AND(Réputation&gt;Voies!E645-1,OR(C645=TRUE,Calculs!$I$8&gt;0),Air&gt;Voies!J645-1,Eau&gt;Voies!K645-1,Feu&gt;Voies!L645-1,Terre&gt;Voies!M645-1,Vide&gt;Voies!N645-1,Constitution&gt;Voies!O645-1,Volonté&gt;Voies!P645-1,Force&gt;Voies!Q645-1,Perception&gt;Voies!R645-1,Reflexes&gt;Voies!S645-1,Agilité&gt;Voies!T645-1,Intuition&gt;Voies!U645-1,Intelligence&gt;Voies!V645-1,Souillure&gt;Voies!W645-1,Honneur&gt;X645-1,Statut&gt;Y645-1,Gloire&gt;Z645-1,AV645=TRUE),Voies!B645,"")</f>
        <v/>
      </c>
      <c r="B645" s="162" t="s">
        <v>2468</v>
      </c>
      <c r="C645" s="162" t="b">
        <f>IF(Clan=Voies!D645,TRUE,FALSE)</f>
        <v>0</v>
      </c>
      <c r="D645" s="387" t="s">
        <v>178</v>
      </c>
      <c r="E645" s="13">
        <v>1</v>
      </c>
      <c r="F645" s="199">
        <v>1</v>
      </c>
      <c r="G645" s="13" t="s">
        <v>2049</v>
      </c>
      <c r="H645" s="162" t="s">
        <v>210</v>
      </c>
      <c r="I645" s="129" t="str">
        <f t="shared" si="72"/>
        <v>Rien</v>
      </c>
      <c r="J645" s="146">
        <v>0</v>
      </c>
      <c r="K645" s="147">
        <v>0</v>
      </c>
      <c r="L645" s="148">
        <v>0</v>
      </c>
      <c r="M645" s="149">
        <v>0</v>
      </c>
      <c r="N645" s="150">
        <v>0</v>
      </c>
      <c r="O645" s="130">
        <v>0</v>
      </c>
      <c r="P645" s="130">
        <v>0</v>
      </c>
      <c r="Q645" s="130">
        <v>0</v>
      </c>
      <c r="R645" s="130">
        <v>0</v>
      </c>
      <c r="S645" s="130">
        <v>0</v>
      </c>
      <c r="T645" s="130">
        <v>0</v>
      </c>
      <c r="U645" s="130">
        <v>0</v>
      </c>
      <c r="V645" s="524">
        <v>0</v>
      </c>
      <c r="W645" s="130">
        <v>0</v>
      </c>
      <c r="X645" s="130">
        <v>0</v>
      </c>
      <c r="Y645" s="130">
        <v>0</v>
      </c>
      <c r="Z645" s="130">
        <v>0</v>
      </c>
      <c r="AA645" s="158" t="s">
        <v>2078</v>
      </c>
      <c r="AB645" s="158"/>
      <c r="AC645" s="158"/>
      <c r="AD645" s="158"/>
      <c r="AE645" s="158" t="b">
        <f>IF(AB645="",TRUE,IF(IF(AC645="",VLOOKUP(AB645,Calculs!$A$19:$S$425,19,FALSE),VLOOKUP(AC645,Calculs!$A$19:$S$425,19,FALSE))&gt;=AD645,TRUE,FALSE))</f>
        <v>1</v>
      </c>
      <c r="AF645" s="158"/>
      <c r="AG645" s="158"/>
      <c r="AH645" s="158"/>
      <c r="AI645" s="158" t="b">
        <f>IF(AF645="",TRUE,IF(IF(AG645="",VLOOKUP(AF645,Calculs!$A$19:$S$425,19,FALSE),VLOOKUP(AG645,Calculs!$A$19:$S$425,19,FALSE))&gt;=AH645,TRUE,FALSE))</f>
        <v>1</v>
      </c>
      <c r="AJ645" s="158"/>
      <c r="AK645" s="158"/>
      <c r="AL645" s="158"/>
      <c r="AM645" s="158" t="b">
        <f>IF(AJ645="",TRUE,IF(IF(AK645="",VLOOKUP(AJ645,Calculs!$A$19:$S$425,19,FALSE),VLOOKUP(AK645,Calculs!$A$19:$S$425,19,FALSE))&gt;=AL645,TRUE,FALSE))</f>
        <v>1</v>
      </c>
      <c r="AN645" s="158"/>
      <c r="AO645" s="158"/>
      <c r="AP645" s="158"/>
      <c r="AQ645" s="158" t="b">
        <f>IF(AN645="",TRUE,IF(IF(AO645="",VLOOKUP(AN645,Calculs!$A$19:$S$425,19,FALSE),VLOOKUP(AO645,Calculs!$A$19:$S$425,19,FALSE))&gt;=AP645,TRUE,FALSE))</f>
        <v>1</v>
      </c>
      <c r="AR645" s="158"/>
      <c r="AS645" s="158" t="b">
        <f>IF(AR645="",TRUE,IF(VLOOKUP(AR645,Calculs!$A$427:$G$738,7,FALSE)&gt;0,TRUE,FALSE))</f>
        <v>1</v>
      </c>
      <c r="AT645" s="158"/>
      <c r="AU645" s="158" t="b">
        <f>IF(AT645="",TRUE,IF(VLOOKUP(AT645,Calculs!$A$740:$G$912,7,FALSE)&gt;0,TRUE,FALSE))</f>
        <v>1</v>
      </c>
      <c r="AV645" s="158" t="b">
        <f t="shared" si="73"/>
        <v>1</v>
      </c>
      <c r="AW645" s="158" t="s">
        <v>2078</v>
      </c>
      <c r="AX645" s="162" t="s">
        <v>3</v>
      </c>
      <c r="AY645" s="15">
        <v>123</v>
      </c>
      <c r="AZ645" s="555" t="s">
        <v>8641</v>
      </c>
      <c r="BA645" s="559">
        <f>IF(Verso!$B$10=Voies!$B645,1,0)</f>
        <v>0</v>
      </c>
      <c r="BB645" s="12">
        <f>IF(Verso!$B$11=Voies!$B645,1,0)</f>
        <v>0</v>
      </c>
      <c r="BC645" s="12">
        <f>IF(Verso!$B$12=Voies!$B645,1,0)</f>
        <v>0</v>
      </c>
      <c r="BD645" s="12">
        <f>IF(Verso!$B$13=Voies!$B645,1,0)</f>
        <v>0</v>
      </c>
      <c r="BE645" s="12">
        <f>IF(Verso!$B$14=Voies!$B645,1,0)</f>
        <v>0</v>
      </c>
      <c r="BF645" s="12">
        <f>IF(Verso!$B$15=Voies!$B645,1,0)</f>
        <v>0</v>
      </c>
      <c r="BG645" s="12">
        <f>IF(Verso!$B$16=Voies!$B645,1,0)</f>
        <v>0</v>
      </c>
      <c r="BH645" s="12">
        <f>IF(Verso!$B$17=Voies!$B645,1,0)</f>
        <v>0</v>
      </c>
      <c r="BI645" s="557">
        <f t="shared" si="74"/>
        <v>0</v>
      </c>
      <c r="BJ645" s="196" t="str">
        <f t="shared" si="75"/>
        <v/>
      </c>
      <c r="BK645" s="196" t="str">
        <f t="shared" si="76"/>
        <v/>
      </c>
      <c r="BL645" s="295" t="str">
        <f t="shared" si="77"/>
        <v/>
      </c>
    </row>
    <row r="646" spans="1:64" ht="47.25" customHeight="1" x14ac:dyDescent="0.25">
      <c r="A646" s="162" t="str">
        <f>IF(AND(Réputation&gt;Voies!E646-1,OR(C646=TRUE,Calculs!$I$8&gt;0),Air&gt;Voies!J646-1,Eau&gt;Voies!K646-1,Feu&gt;Voies!L646-1,Terre&gt;Voies!M646-1,Vide&gt;Voies!N646-1,Constitution&gt;Voies!O646-1,Volonté&gt;Voies!P646-1,Force&gt;Voies!Q646-1,Perception&gt;Voies!R646-1,Reflexes&gt;Voies!S646-1,Agilité&gt;Voies!T646-1,Intuition&gt;Voies!U646-1,Intelligence&gt;Voies!V646-1,Souillure&gt;Voies!W646-1,Honneur&gt;X646-1,Statut&gt;Y646-1,Gloire&gt;Z646-1,AV646=TRUE),Voies!B646,"")</f>
        <v/>
      </c>
      <c r="B646" s="162" t="s">
        <v>6095</v>
      </c>
      <c r="C646" s="162" t="b">
        <f>IF(Clan=Voies!D646,TRUE,FALSE)</f>
        <v>0</v>
      </c>
      <c r="D646" s="387" t="s">
        <v>178</v>
      </c>
      <c r="E646" s="13">
        <v>1</v>
      </c>
      <c r="F646" s="199">
        <v>1</v>
      </c>
      <c r="G646" s="13" t="s">
        <v>2049</v>
      </c>
      <c r="H646" s="162" t="s">
        <v>2865</v>
      </c>
      <c r="I646" s="129" t="str">
        <f t="shared" si="72"/>
        <v>Rien</v>
      </c>
      <c r="J646" s="146">
        <v>0</v>
      </c>
      <c r="K646" s="147">
        <v>0</v>
      </c>
      <c r="L646" s="148">
        <v>0</v>
      </c>
      <c r="M646" s="149">
        <v>0</v>
      </c>
      <c r="N646" s="150">
        <v>0</v>
      </c>
      <c r="O646" s="130">
        <v>0</v>
      </c>
      <c r="P646" s="130">
        <v>0</v>
      </c>
      <c r="Q646" s="130">
        <v>0</v>
      </c>
      <c r="R646" s="130">
        <v>0</v>
      </c>
      <c r="S646" s="130">
        <v>0</v>
      </c>
      <c r="T646" s="130">
        <v>0</v>
      </c>
      <c r="U646" s="130">
        <v>0</v>
      </c>
      <c r="V646" s="524">
        <v>0</v>
      </c>
      <c r="W646" s="130">
        <v>0</v>
      </c>
      <c r="X646" s="130">
        <v>0</v>
      </c>
      <c r="Y646" s="130">
        <v>0</v>
      </c>
      <c r="Z646" s="130">
        <v>0</v>
      </c>
      <c r="AA646" s="158" t="s">
        <v>2078</v>
      </c>
      <c r="AB646" s="158"/>
      <c r="AC646" s="158"/>
      <c r="AD646" s="158"/>
      <c r="AE646" s="158" t="b">
        <f>IF(AB646="",TRUE,IF(IF(AC646="",VLOOKUP(AB646,Calculs!$A$19:$S$425,19,FALSE),VLOOKUP(AC646,Calculs!$A$19:$S$425,19,FALSE))&gt;=AD646,TRUE,FALSE))</f>
        <v>1</v>
      </c>
      <c r="AF646" s="158"/>
      <c r="AG646" s="158"/>
      <c r="AH646" s="158"/>
      <c r="AI646" s="158" t="b">
        <f>IF(AF646="",TRUE,IF(IF(AG646="",VLOOKUP(AF646,Calculs!$A$19:$S$425,19,FALSE),VLOOKUP(AG646,Calculs!$A$19:$S$425,19,FALSE))&gt;=AH646,TRUE,FALSE))</f>
        <v>1</v>
      </c>
      <c r="AJ646" s="158"/>
      <c r="AK646" s="158"/>
      <c r="AL646" s="158"/>
      <c r="AM646" s="158" t="b">
        <f>IF(AJ646="",TRUE,IF(IF(AK646="",VLOOKUP(AJ646,Calculs!$A$19:$S$425,19,FALSE),VLOOKUP(AK646,Calculs!$A$19:$S$425,19,FALSE))&gt;=AL646,TRUE,FALSE))</f>
        <v>1</v>
      </c>
      <c r="AN646" s="158"/>
      <c r="AO646" s="158"/>
      <c r="AP646" s="158"/>
      <c r="AQ646" s="158" t="b">
        <f>IF(AN646="",TRUE,IF(IF(AO646="",VLOOKUP(AN646,Calculs!$A$19:$S$425,19,FALSE),VLOOKUP(AO646,Calculs!$A$19:$S$425,19,FALSE))&gt;=AP646,TRUE,FALSE))</f>
        <v>1</v>
      </c>
      <c r="AR646" s="158"/>
      <c r="AS646" s="158" t="b">
        <f>IF(AR646="",TRUE,IF(VLOOKUP(AR646,Calculs!$A$427:$G$738,7,FALSE)&gt;0,TRUE,FALSE))</f>
        <v>1</v>
      </c>
      <c r="AT646" s="158"/>
      <c r="AU646" s="158" t="b">
        <f>IF(AT646="",TRUE,IF(VLOOKUP(AT646,Calculs!$A$740:$G$912,7,FALSE)&gt;0,TRUE,FALSE))</f>
        <v>1</v>
      </c>
      <c r="AV646" s="158" t="b">
        <f t="shared" si="73"/>
        <v>1</v>
      </c>
      <c r="AW646" s="158" t="s">
        <v>2078</v>
      </c>
      <c r="AX646" s="162" t="s">
        <v>6061</v>
      </c>
      <c r="AY646" s="15">
        <v>196</v>
      </c>
      <c r="AZ646" s="566" t="s">
        <v>8642</v>
      </c>
      <c r="BA646" s="559">
        <f>IF(Verso!$B$10=Voies!$B646,1,0)</f>
        <v>0</v>
      </c>
      <c r="BB646" s="12">
        <f>IF(Verso!$B$11=Voies!$B646,1,0)</f>
        <v>0</v>
      </c>
      <c r="BC646" s="12">
        <f>IF(Verso!$B$12=Voies!$B646,1,0)</f>
        <v>0</v>
      </c>
      <c r="BD646" s="12">
        <f>IF(Verso!$B$13=Voies!$B646,1,0)</f>
        <v>0</v>
      </c>
      <c r="BE646" s="12">
        <f>IF(Verso!$B$14=Voies!$B646,1,0)</f>
        <v>0</v>
      </c>
      <c r="BF646" s="12">
        <f>IF(Verso!$B$15=Voies!$B646,1,0)</f>
        <v>0</v>
      </c>
      <c r="BG646" s="12">
        <f>IF(Verso!$B$16=Voies!$B646,1,0)</f>
        <v>0</v>
      </c>
      <c r="BH646" s="12">
        <f>IF(Verso!$B$17=Voies!$B646,1,0)</f>
        <v>0</v>
      </c>
      <c r="BI646" s="557">
        <f t="shared" si="74"/>
        <v>0</v>
      </c>
      <c r="BJ646" s="196" t="str">
        <f t="shared" si="75"/>
        <v/>
      </c>
      <c r="BK646" s="196" t="str">
        <f t="shared" si="76"/>
        <v/>
      </c>
      <c r="BL646" s="295" t="str">
        <f t="shared" si="77"/>
        <v/>
      </c>
    </row>
    <row r="647" spans="1:64" ht="47.25" customHeight="1" x14ac:dyDescent="0.25">
      <c r="A647" s="162" t="str">
        <f>IF(AND(Réputation&gt;Voies!E647-1,OR(C647=TRUE,Calculs!$I$8&gt;0),Air&gt;Voies!J647-1,Eau&gt;Voies!K647-1,Feu&gt;Voies!L647-1,Terre&gt;Voies!M647-1,Vide&gt;Voies!N647-1,Constitution&gt;Voies!O647-1,Volonté&gt;Voies!P647-1,Force&gt;Voies!Q647-1,Perception&gt;Voies!R647-1,Reflexes&gt;Voies!S647-1,Agilité&gt;Voies!T647-1,Intuition&gt;Voies!U647-1,Intelligence&gt;Voies!V647-1,Souillure&gt;Voies!W647-1,Honneur&gt;X647-1,Statut&gt;Y647-1,Gloire&gt;Z647-1,AV647=TRUE),Voies!B647,"")</f>
        <v/>
      </c>
      <c r="B647" s="162" t="s">
        <v>2882</v>
      </c>
      <c r="C647" s="162" t="b">
        <f>IF(Clan=Voies!D647,TRUE,FALSE)</f>
        <v>0</v>
      </c>
      <c r="D647" s="387" t="s">
        <v>178</v>
      </c>
      <c r="E647" s="13">
        <v>1</v>
      </c>
      <c r="F647" s="199">
        <v>1</v>
      </c>
      <c r="G647" s="199" t="s">
        <v>2049</v>
      </c>
      <c r="H647" s="162" t="s">
        <v>6090</v>
      </c>
      <c r="I647" s="129" t="str">
        <f t="shared" si="72"/>
        <v>Rien</v>
      </c>
      <c r="J647" s="146">
        <v>0</v>
      </c>
      <c r="K647" s="147">
        <v>0</v>
      </c>
      <c r="L647" s="148">
        <v>0</v>
      </c>
      <c r="M647" s="149">
        <v>0</v>
      </c>
      <c r="N647" s="150">
        <v>0</v>
      </c>
      <c r="O647" s="130">
        <v>0</v>
      </c>
      <c r="P647" s="130">
        <v>0</v>
      </c>
      <c r="Q647" s="130">
        <v>0</v>
      </c>
      <c r="R647" s="130">
        <v>0</v>
      </c>
      <c r="S647" s="130">
        <v>0</v>
      </c>
      <c r="T647" s="130">
        <v>0</v>
      </c>
      <c r="U647" s="130">
        <v>0</v>
      </c>
      <c r="V647" s="524">
        <v>0</v>
      </c>
      <c r="W647" s="130">
        <v>0</v>
      </c>
      <c r="X647" s="130">
        <v>0</v>
      </c>
      <c r="Y647" s="130">
        <v>0</v>
      </c>
      <c r="Z647" s="130">
        <v>0</v>
      </c>
      <c r="AA647" s="158" t="s">
        <v>2078</v>
      </c>
      <c r="AB647" s="158"/>
      <c r="AC647" s="158"/>
      <c r="AD647" s="158"/>
      <c r="AE647" s="158" t="b">
        <f>IF(AB647="",TRUE,IF(IF(AC647="",VLOOKUP(AB647,Calculs!$A$19:$S$425,19,FALSE),VLOOKUP(AC647,Calculs!$A$19:$S$425,19,FALSE))&gt;=AD647,TRUE,FALSE))</f>
        <v>1</v>
      </c>
      <c r="AF647" s="158"/>
      <c r="AG647" s="158"/>
      <c r="AH647" s="158"/>
      <c r="AI647" s="158" t="b">
        <f>IF(AF647="",TRUE,IF(IF(AG647="",VLOOKUP(AF647,Calculs!$A$19:$S$425,19,FALSE),VLOOKUP(AG647,Calculs!$A$19:$S$425,19,FALSE))&gt;=AH647,TRUE,FALSE))</f>
        <v>1</v>
      </c>
      <c r="AJ647" s="158"/>
      <c r="AK647" s="158"/>
      <c r="AL647" s="158"/>
      <c r="AM647" s="158" t="b">
        <f>IF(AJ647="",TRUE,IF(IF(AK647="",VLOOKUP(AJ647,Calculs!$A$19:$S$425,19,FALSE),VLOOKUP(AK647,Calculs!$A$19:$S$425,19,FALSE))&gt;=AL647,TRUE,FALSE))</f>
        <v>1</v>
      </c>
      <c r="AN647" s="158"/>
      <c r="AO647" s="158"/>
      <c r="AP647" s="158"/>
      <c r="AQ647" s="158" t="b">
        <f>IF(AN647="",TRUE,IF(IF(AO647="",VLOOKUP(AN647,Calculs!$A$19:$S$425,19,FALSE),VLOOKUP(AO647,Calculs!$A$19:$S$425,19,FALSE))&gt;=AP647,TRUE,FALSE))</f>
        <v>1</v>
      </c>
      <c r="AR647" s="158"/>
      <c r="AS647" s="158" t="b">
        <f>IF(AR647="",TRUE,IF(VLOOKUP(AR647,Calculs!$A$427:$G$738,7,FALSE)&gt;0,TRUE,FALSE))</f>
        <v>1</v>
      </c>
      <c r="AT647" s="158"/>
      <c r="AU647" s="158" t="b">
        <f>IF(AT647="",TRUE,IF(VLOOKUP(AT647,Calculs!$A$740:$G$912,7,FALSE)&gt;0,TRUE,FALSE))</f>
        <v>1</v>
      </c>
      <c r="AV647" s="158" t="b">
        <f t="shared" si="73"/>
        <v>1</v>
      </c>
      <c r="AW647" s="158" t="s">
        <v>2078</v>
      </c>
      <c r="AX647" s="162" t="s">
        <v>6061</v>
      </c>
      <c r="AY647" s="15">
        <v>194</v>
      </c>
      <c r="AZ647" s="555" t="s">
        <v>8643</v>
      </c>
      <c r="BA647" s="559">
        <f>IF(Verso!$B$10=Voies!$B647,1,0)</f>
        <v>0</v>
      </c>
      <c r="BB647" s="12">
        <f>IF(Verso!$B$11=Voies!$B647,1,0)</f>
        <v>0</v>
      </c>
      <c r="BC647" s="12">
        <f>IF(Verso!$B$12=Voies!$B647,1,0)</f>
        <v>0</v>
      </c>
      <c r="BD647" s="12">
        <f>IF(Verso!$B$13=Voies!$B647,1,0)</f>
        <v>0</v>
      </c>
      <c r="BE647" s="12">
        <f>IF(Verso!$B$14=Voies!$B647,1,0)</f>
        <v>0</v>
      </c>
      <c r="BF647" s="12">
        <f>IF(Verso!$B$15=Voies!$B647,1,0)</f>
        <v>0</v>
      </c>
      <c r="BG647" s="12">
        <f>IF(Verso!$B$16=Voies!$B647,1,0)</f>
        <v>0</v>
      </c>
      <c r="BH647" s="12">
        <f>IF(Verso!$B$17=Voies!$B647,1,0)</f>
        <v>0</v>
      </c>
      <c r="BI647" s="557">
        <f t="shared" si="74"/>
        <v>0</v>
      </c>
      <c r="BJ647" s="196" t="str">
        <f t="shared" si="75"/>
        <v/>
      </c>
      <c r="BK647" s="196" t="str">
        <f t="shared" si="76"/>
        <v/>
      </c>
      <c r="BL647" s="295" t="str">
        <f t="shared" si="77"/>
        <v/>
      </c>
    </row>
    <row r="648" spans="1:64" ht="47.25" customHeight="1" x14ac:dyDescent="0.25">
      <c r="A648" s="162" t="str">
        <f>IF(AND(Réputation&gt;Voies!E648-1,OR(C648=TRUE,Calculs!$I$8&gt;0),Air&gt;Voies!J648-1,Eau&gt;Voies!K648-1,Feu&gt;Voies!L648-1,Terre&gt;Voies!M648-1,Vide&gt;Voies!N648-1,Constitution&gt;Voies!O648-1,Volonté&gt;Voies!P648-1,Force&gt;Voies!Q648-1,Perception&gt;Voies!R648-1,Reflexes&gt;Voies!S648-1,Agilité&gt;Voies!T648-1,Intuition&gt;Voies!U648-1,Intelligence&gt;Voies!V648-1,Souillure&gt;Voies!W648-1,Honneur&gt;X648-1,Statut&gt;Y648-1,Gloire&gt;Z648-1,AV648=TRUE),Voies!B648,"")</f>
        <v/>
      </c>
      <c r="B648" s="162" t="s">
        <v>6100</v>
      </c>
      <c r="C648" s="162" t="b">
        <f>IF(Clan=Voies!D648,TRUE,FALSE)</f>
        <v>0</v>
      </c>
      <c r="D648" s="387" t="s">
        <v>178</v>
      </c>
      <c r="E648" s="13">
        <v>1</v>
      </c>
      <c r="F648" s="199">
        <v>1</v>
      </c>
      <c r="G648" s="157" t="s">
        <v>2049</v>
      </c>
      <c r="H648" s="162" t="s">
        <v>467</v>
      </c>
      <c r="I648" s="129" t="s">
        <v>3630</v>
      </c>
      <c r="J648" s="146">
        <v>0</v>
      </c>
      <c r="K648" s="147">
        <v>0</v>
      </c>
      <c r="L648" s="148">
        <v>0</v>
      </c>
      <c r="M648" s="149">
        <v>0</v>
      </c>
      <c r="N648" s="150">
        <v>0</v>
      </c>
      <c r="O648" s="130">
        <v>0</v>
      </c>
      <c r="P648" s="130">
        <v>0</v>
      </c>
      <c r="Q648" s="130">
        <v>0</v>
      </c>
      <c r="R648" s="130">
        <v>0</v>
      </c>
      <c r="S648" s="130">
        <v>0</v>
      </c>
      <c r="T648" s="130">
        <v>0</v>
      </c>
      <c r="U648" s="130">
        <v>0</v>
      </c>
      <c r="V648" s="524">
        <v>0</v>
      </c>
      <c r="W648" s="130">
        <v>0</v>
      </c>
      <c r="X648" s="130">
        <v>0</v>
      </c>
      <c r="Y648" s="130">
        <v>0</v>
      </c>
      <c r="Z648" s="130">
        <v>0</v>
      </c>
      <c r="AA648" s="158" t="s">
        <v>2078</v>
      </c>
      <c r="AB648" s="158"/>
      <c r="AC648" s="158"/>
      <c r="AD648" s="158"/>
      <c r="AE648" s="158" t="b">
        <f>IF(AB648="",TRUE,IF(IF(AC648="",VLOOKUP(AB648,Calculs!$A$19:$S$425,19,FALSE),VLOOKUP(AC648,Calculs!$A$19:$S$425,19,FALSE))&gt;=AD648,TRUE,FALSE))</f>
        <v>1</v>
      </c>
      <c r="AF648" s="158"/>
      <c r="AG648" s="158"/>
      <c r="AH648" s="158"/>
      <c r="AI648" s="158" t="b">
        <f>IF(AF648="",TRUE,IF(IF(AG648="",VLOOKUP(AF648,Calculs!$A$19:$S$425,19,FALSE),VLOOKUP(AG648,Calculs!$A$19:$S$425,19,FALSE))&gt;=AH648,TRUE,FALSE))</f>
        <v>1</v>
      </c>
      <c r="AJ648" s="158"/>
      <c r="AK648" s="158"/>
      <c r="AL648" s="158"/>
      <c r="AM648" s="158" t="b">
        <f>IF(AJ648="",TRUE,IF(IF(AK648="",VLOOKUP(AJ648,Calculs!$A$19:$S$425,19,FALSE),VLOOKUP(AK648,Calculs!$A$19:$S$425,19,FALSE))&gt;=AL648,TRUE,FALSE))</f>
        <v>1</v>
      </c>
      <c r="AN648" s="158"/>
      <c r="AO648" s="158"/>
      <c r="AP648" s="158"/>
      <c r="AQ648" s="158" t="b">
        <f>IF(AN648="",TRUE,IF(IF(AO648="",VLOOKUP(AN648,Calculs!$A$19:$S$425,19,FALSE),VLOOKUP(AO648,Calculs!$A$19:$S$425,19,FALSE))&gt;=AP648,TRUE,FALSE))</f>
        <v>1</v>
      </c>
      <c r="AR648" s="158"/>
      <c r="AS648" s="158" t="b">
        <f>IF(AR648="",TRUE,IF(VLOOKUP(AR648,Calculs!$A$427:$G$738,7,FALSE)&gt;0,TRUE,FALSE))</f>
        <v>1</v>
      </c>
      <c r="AT648" s="158"/>
      <c r="AU648" s="158" t="b">
        <f>IF(AT648="",TRUE,IF(VLOOKUP(AT648,Calculs!$A$740:$G$912,7,FALSE)&gt;0,TRUE,FALSE))</f>
        <v>1</v>
      </c>
      <c r="AV648" s="158" t="b">
        <f t="shared" si="73"/>
        <v>1</v>
      </c>
      <c r="AW648" s="158" t="s">
        <v>2078</v>
      </c>
      <c r="AX648" s="162" t="s">
        <v>6061</v>
      </c>
      <c r="AY648" s="15">
        <v>198</v>
      </c>
      <c r="AZ648" s="555" t="s">
        <v>8644</v>
      </c>
      <c r="BA648" s="559">
        <f>IF(Verso!$B$10=Voies!$B648,1,0)</f>
        <v>0</v>
      </c>
      <c r="BB648" s="12">
        <f>IF(Verso!$B$11=Voies!$B648,1,0)</f>
        <v>0</v>
      </c>
      <c r="BC648" s="12">
        <f>IF(Verso!$B$12=Voies!$B648,1,0)</f>
        <v>0</v>
      </c>
      <c r="BD648" s="12">
        <f>IF(Verso!$B$13=Voies!$B648,1,0)</f>
        <v>0</v>
      </c>
      <c r="BE648" s="12">
        <f>IF(Verso!$B$14=Voies!$B648,1,0)</f>
        <v>0</v>
      </c>
      <c r="BF648" s="12">
        <f>IF(Verso!$B$15=Voies!$B648,1,0)</f>
        <v>0</v>
      </c>
      <c r="BG648" s="12">
        <f>IF(Verso!$B$16=Voies!$B648,1,0)</f>
        <v>0</v>
      </c>
      <c r="BH648" s="12">
        <f>IF(Verso!$B$17=Voies!$B648,1,0)</f>
        <v>0</v>
      </c>
      <c r="BI648" s="557">
        <f t="shared" si="74"/>
        <v>0</v>
      </c>
      <c r="BJ648" s="196" t="str">
        <f t="shared" si="75"/>
        <v/>
      </c>
      <c r="BK648" s="196" t="str">
        <f t="shared" si="76"/>
        <v/>
      </c>
      <c r="BL648" s="295" t="str">
        <f t="shared" si="77"/>
        <v/>
      </c>
    </row>
    <row r="649" spans="1:64" ht="47.25" customHeight="1" x14ac:dyDescent="0.25">
      <c r="A649" s="162" t="str">
        <f>IF(AND(Réputation&gt;Voies!E649-1,OR(C649=TRUE,Calculs!$I$8&gt;0),Air&gt;Voies!J649-1,Eau&gt;Voies!K649-1,Feu&gt;Voies!L649-1,Terre&gt;Voies!M649-1,Vide&gt;Voies!N649-1,Constitution&gt;Voies!O649-1,Volonté&gt;Voies!P649-1,Force&gt;Voies!Q649-1,Perception&gt;Voies!R649-1,Reflexes&gt;Voies!S649-1,Agilité&gt;Voies!T649-1,Intuition&gt;Voies!U649-1,Intelligence&gt;Voies!V649-1,Souillure&gt;Voies!W649-1,Honneur&gt;X649-1,Statut&gt;Y649-1,Gloire&gt;Z649-1,AV649=TRUE),Voies!B649,"")</f>
        <v/>
      </c>
      <c r="B649" s="162" t="s">
        <v>2483</v>
      </c>
      <c r="C649" s="162" t="b">
        <f>IF(Clan=Voies!D649,TRUE,FALSE)</f>
        <v>0</v>
      </c>
      <c r="D649" s="387" t="s">
        <v>178</v>
      </c>
      <c r="E649" s="13">
        <v>1</v>
      </c>
      <c r="F649" s="199">
        <v>1</v>
      </c>
      <c r="G649" s="13" t="s">
        <v>2052</v>
      </c>
      <c r="H649" s="162" t="s">
        <v>2482</v>
      </c>
      <c r="I649" s="129" t="str">
        <f>IF(B649="","","Rien")</f>
        <v>Rien</v>
      </c>
      <c r="J649" s="146">
        <v>0</v>
      </c>
      <c r="K649" s="147">
        <v>0</v>
      </c>
      <c r="L649" s="148">
        <v>0</v>
      </c>
      <c r="M649" s="149">
        <v>0</v>
      </c>
      <c r="N649" s="150">
        <v>0</v>
      </c>
      <c r="O649" s="130">
        <v>0</v>
      </c>
      <c r="P649" s="130">
        <v>0</v>
      </c>
      <c r="Q649" s="130">
        <v>0</v>
      </c>
      <c r="R649" s="130">
        <v>0</v>
      </c>
      <c r="S649" s="130">
        <v>0</v>
      </c>
      <c r="T649" s="130">
        <v>0</v>
      </c>
      <c r="U649" s="130">
        <v>0</v>
      </c>
      <c r="V649" s="524">
        <v>0</v>
      </c>
      <c r="W649" s="130">
        <v>0</v>
      </c>
      <c r="X649" s="130">
        <v>0</v>
      </c>
      <c r="Y649" s="130">
        <v>0</v>
      </c>
      <c r="Z649" s="130">
        <v>0</v>
      </c>
      <c r="AA649" s="158" t="s">
        <v>2078</v>
      </c>
      <c r="AB649" s="158"/>
      <c r="AC649" s="158"/>
      <c r="AD649" s="158"/>
      <c r="AE649" s="158" t="b">
        <f>IF(AB649="",TRUE,IF(IF(AC649="",VLOOKUP(AB649,Calculs!$A$19:$S$425,19,FALSE),VLOOKUP(AC649,Calculs!$A$19:$S$425,19,FALSE))&gt;=AD649,TRUE,FALSE))</f>
        <v>1</v>
      </c>
      <c r="AF649" s="158"/>
      <c r="AG649" s="158"/>
      <c r="AH649" s="158"/>
      <c r="AI649" s="158" t="b">
        <f>IF(AF649="",TRUE,IF(IF(AG649="",VLOOKUP(AF649,Calculs!$A$19:$S$425,19,FALSE),VLOOKUP(AG649,Calculs!$A$19:$S$425,19,FALSE))&gt;=AH649,TRUE,FALSE))</f>
        <v>1</v>
      </c>
      <c r="AJ649" s="158"/>
      <c r="AK649" s="158"/>
      <c r="AL649" s="158"/>
      <c r="AM649" s="158" t="b">
        <f>IF(AJ649="",TRUE,IF(IF(AK649="",VLOOKUP(AJ649,Calculs!$A$19:$S$425,19,FALSE),VLOOKUP(AK649,Calculs!$A$19:$S$425,19,FALSE))&gt;=AL649,TRUE,FALSE))</f>
        <v>1</v>
      </c>
      <c r="AN649" s="158"/>
      <c r="AO649" s="158"/>
      <c r="AP649" s="158"/>
      <c r="AQ649" s="158" t="b">
        <f>IF(AN649="",TRUE,IF(IF(AO649="",VLOOKUP(AN649,Calculs!$A$19:$S$425,19,FALSE),VLOOKUP(AO649,Calculs!$A$19:$S$425,19,FALSE))&gt;=AP649,TRUE,FALSE))</f>
        <v>1</v>
      </c>
      <c r="AR649" s="158"/>
      <c r="AS649" s="158" t="b">
        <f>IF(AR649="",TRUE,IF(VLOOKUP(AR649,Calculs!$A$427:$G$738,7,FALSE)&gt;0,TRUE,FALSE))</f>
        <v>1</v>
      </c>
      <c r="AT649" s="158"/>
      <c r="AU649" s="158" t="b">
        <f>IF(AT649="",TRUE,IF(VLOOKUP(AT649,Calculs!$A$740:$G$912,7,FALSE)&gt;0,TRUE,FALSE))</f>
        <v>1</v>
      </c>
      <c r="AV649" s="158" t="b">
        <f t="shared" si="73"/>
        <v>1</v>
      </c>
      <c r="AW649" s="158" t="s">
        <v>2078</v>
      </c>
      <c r="AX649" s="162" t="s">
        <v>3</v>
      </c>
      <c r="AY649" s="15">
        <v>125</v>
      </c>
      <c r="AZ649" s="555" t="s">
        <v>8390</v>
      </c>
      <c r="BA649" s="559">
        <f>IF(Verso!$B$10=Voies!$B649,1,0)</f>
        <v>0</v>
      </c>
      <c r="BB649" s="12">
        <f>IF(Verso!$B$11=Voies!$B649,1,0)</f>
        <v>0</v>
      </c>
      <c r="BC649" s="12">
        <f>IF(Verso!$B$12=Voies!$B649,1,0)</f>
        <v>0</v>
      </c>
      <c r="BD649" s="12">
        <f>IF(Verso!$B$13=Voies!$B649,1,0)</f>
        <v>0</v>
      </c>
      <c r="BE649" s="12">
        <f>IF(Verso!$B$14=Voies!$B649,1,0)</f>
        <v>0</v>
      </c>
      <c r="BF649" s="12">
        <f>IF(Verso!$B$15=Voies!$B649,1,0)</f>
        <v>0</v>
      </c>
      <c r="BG649" s="12">
        <f>IF(Verso!$B$16=Voies!$B649,1,0)</f>
        <v>0</v>
      </c>
      <c r="BH649" s="12">
        <f>IF(Verso!$B$17=Voies!$B649,1,0)</f>
        <v>0</v>
      </c>
      <c r="BI649" s="557">
        <f t="shared" si="74"/>
        <v>0</v>
      </c>
      <c r="BJ649" s="196" t="str">
        <f t="shared" si="75"/>
        <v/>
      </c>
      <c r="BK649" s="196" t="str">
        <f t="shared" si="76"/>
        <v/>
      </c>
      <c r="BL649" s="295" t="str">
        <f t="shared" si="77"/>
        <v/>
      </c>
    </row>
    <row r="650" spans="1:64" ht="47.25" customHeight="1" x14ac:dyDescent="0.25">
      <c r="A650" s="162" t="str">
        <f>IF(AND(Réputation&gt;Voies!E650-1,OR(C650=TRUE,Calculs!$I$8&gt;0),Air&gt;Voies!J650-1,Eau&gt;Voies!K650-1,Feu&gt;Voies!L650-1,Terre&gt;Voies!M650-1,Vide&gt;Voies!N650-1,Constitution&gt;Voies!O650-1,Volonté&gt;Voies!P650-1,Force&gt;Voies!Q650-1,Perception&gt;Voies!R650-1,Reflexes&gt;Voies!S650-1,Agilité&gt;Voies!T650-1,Intuition&gt;Voies!U650-1,Intelligence&gt;Voies!V650-1,Souillure&gt;Voies!W650-1,Honneur&gt;X650-1,Statut&gt;Y650-1,Gloire&gt;Z650-1,AV650=TRUE),Voies!B650,"")</f>
        <v/>
      </c>
      <c r="B650" s="162" t="s">
        <v>2477</v>
      </c>
      <c r="C650" s="162" t="b">
        <f>IF(Clan=Voies!D650,TRUE,FALSE)</f>
        <v>0</v>
      </c>
      <c r="D650" s="387" t="s">
        <v>178</v>
      </c>
      <c r="E650" s="13">
        <v>1</v>
      </c>
      <c r="F650" s="199">
        <v>1</v>
      </c>
      <c r="G650" s="13" t="s">
        <v>2048</v>
      </c>
      <c r="H650" s="162" t="s">
        <v>312</v>
      </c>
      <c r="I650" s="129" t="str">
        <f>IF(B650="","","Rien")</f>
        <v>Rien</v>
      </c>
      <c r="J650" s="146">
        <v>0</v>
      </c>
      <c r="K650" s="147">
        <v>0</v>
      </c>
      <c r="L650" s="148">
        <v>0</v>
      </c>
      <c r="M650" s="149">
        <v>0</v>
      </c>
      <c r="N650" s="150">
        <v>0</v>
      </c>
      <c r="O650" s="130">
        <v>0</v>
      </c>
      <c r="P650" s="130">
        <v>0</v>
      </c>
      <c r="Q650" s="130">
        <v>0</v>
      </c>
      <c r="R650" s="130">
        <v>0</v>
      </c>
      <c r="S650" s="130">
        <v>0</v>
      </c>
      <c r="T650" s="130">
        <v>0</v>
      </c>
      <c r="U650" s="130">
        <v>0</v>
      </c>
      <c r="V650" s="524">
        <v>0</v>
      </c>
      <c r="W650" s="130">
        <v>0</v>
      </c>
      <c r="X650" s="130">
        <v>0</v>
      </c>
      <c r="Y650" s="130">
        <v>0</v>
      </c>
      <c r="Z650" s="130">
        <v>0</v>
      </c>
      <c r="AA650" s="158" t="s">
        <v>2078</v>
      </c>
      <c r="AB650" s="158"/>
      <c r="AC650" s="158"/>
      <c r="AD650" s="158"/>
      <c r="AE650" s="158" t="b">
        <f>IF(AB650="",TRUE,IF(IF(AC650="",VLOOKUP(AB650,Calculs!$A$19:$S$425,19,FALSE),VLOOKUP(AC650,Calculs!$A$19:$S$425,19,FALSE))&gt;=AD650,TRUE,FALSE))</f>
        <v>1</v>
      </c>
      <c r="AF650" s="158"/>
      <c r="AG650" s="158"/>
      <c r="AH650" s="158"/>
      <c r="AI650" s="158" t="b">
        <f>IF(AF650="",TRUE,IF(IF(AG650="",VLOOKUP(AF650,Calculs!$A$19:$S$425,19,FALSE),VLOOKUP(AG650,Calculs!$A$19:$S$425,19,FALSE))&gt;=AH650,TRUE,FALSE))</f>
        <v>1</v>
      </c>
      <c r="AJ650" s="158"/>
      <c r="AK650" s="158"/>
      <c r="AL650" s="158"/>
      <c r="AM650" s="158" t="b">
        <f>IF(AJ650="",TRUE,IF(IF(AK650="",VLOOKUP(AJ650,Calculs!$A$19:$S$425,19,FALSE),VLOOKUP(AK650,Calculs!$A$19:$S$425,19,FALSE))&gt;=AL650,TRUE,FALSE))</f>
        <v>1</v>
      </c>
      <c r="AN650" s="158"/>
      <c r="AO650" s="158"/>
      <c r="AP650" s="158"/>
      <c r="AQ650" s="158" t="b">
        <f>IF(AN650="",TRUE,IF(IF(AO650="",VLOOKUP(AN650,Calculs!$A$19:$S$425,19,FALSE),VLOOKUP(AO650,Calculs!$A$19:$S$425,19,FALSE))&gt;=AP650,TRUE,FALSE))</f>
        <v>1</v>
      </c>
      <c r="AR650" s="158"/>
      <c r="AS650" s="158" t="b">
        <f>IF(AR650="",TRUE,IF(VLOOKUP(AR650,Calculs!$A$427:$G$738,7,FALSE)&gt;0,TRUE,FALSE))</f>
        <v>1</v>
      </c>
      <c r="AT650" s="158"/>
      <c r="AU650" s="158" t="b">
        <f>IF(AT650="",TRUE,IF(VLOOKUP(AT650,Calculs!$A$740:$G$912,7,FALSE)&gt;0,TRUE,FALSE))</f>
        <v>1</v>
      </c>
      <c r="AV650" s="158" t="b">
        <f t="shared" si="73"/>
        <v>1</v>
      </c>
      <c r="AW650" s="158" t="s">
        <v>2078</v>
      </c>
      <c r="AX650" s="162" t="s">
        <v>3</v>
      </c>
      <c r="AY650" s="15">
        <v>124</v>
      </c>
      <c r="AZ650" s="555" t="s">
        <v>2478</v>
      </c>
      <c r="BA650" s="559">
        <f>IF(Verso!$B$10=Voies!$B650,1,0)</f>
        <v>0</v>
      </c>
      <c r="BB650" s="12">
        <f>IF(Verso!$B$11=Voies!$B650,1,0)</f>
        <v>0</v>
      </c>
      <c r="BC650" s="12">
        <f>IF(Verso!$B$12=Voies!$B650,1,0)</f>
        <v>0</v>
      </c>
      <c r="BD650" s="12">
        <f>IF(Verso!$B$13=Voies!$B650,1,0)</f>
        <v>0</v>
      </c>
      <c r="BE650" s="12">
        <f>IF(Verso!$B$14=Voies!$B650,1,0)</f>
        <v>0</v>
      </c>
      <c r="BF650" s="12">
        <f>IF(Verso!$B$15=Voies!$B650,1,0)</f>
        <v>0</v>
      </c>
      <c r="BG650" s="12">
        <f>IF(Verso!$B$16=Voies!$B650,1,0)</f>
        <v>0</v>
      </c>
      <c r="BH650" s="12">
        <f>IF(Verso!$B$17=Voies!$B650,1,0)</f>
        <v>0</v>
      </c>
      <c r="BI650" s="557">
        <f t="shared" si="74"/>
        <v>0</v>
      </c>
      <c r="BJ650" s="196" t="str">
        <f t="shared" si="75"/>
        <v/>
      </c>
      <c r="BK650" s="196" t="str">
        <f t="shared" si="76"/>
        <v/>
      </c>
      <c r="BL650" s="295" t="str">
        <f t="shared" si="77"/>
        <v/>
      </c>
    </row>
    <row r="651" spans="1:64" ht="47.25" customHeight="1" x14ac:dyDescent="0.25">
      <c r="A651" s="162" t="str">
        <f>IF(AND(Réputation&gt;Voies!E651-1,OR(C651=TRUE,Calculs!$I$8&gt;0),Air&gt;Voies!J651-1,Eau&gt;Voies!K651-1,Feu&gt;Voies!L651-1,Terre&gt;Voies!M651-1,Vide&gt;Voies!N651-1,Constitution&gt;Voies!O651-1,Volonté&gt;Voies!P651-1,Force&gt;Voies!Q651-1,Perception&gt;Voies!R651-1,Reflexes&gt;Voies!S651-1,Agilité&gt;Voies!T651-1,Intuition&gt;Voies!U651-1,Intelligence&gt;Voies!V651-1,Souillure&gt;Voies!W651-1,Honneur&gt;X651-1,Statut&gt;Y651-1,Gloire&gt;Z651-1,AV651=TRUE),Voies!B651,"")</f>
        <v/>
      </c>
      <c r="B651" s="162" t="s">
        <v>2871</v>
      </c>
      <c r="C651" s="162" t="b">
        <f>IF(Clan=Voies!D651,TRUE,FALSE)</f>
        <v>0</v>
      </c>
      <c r="D651" s="387" t="s">
        <v>178</v>
      </c>
      <c r="E651" s="13">
        <v>1</v>
      </c>
      <c r="F651" s="199">
        <v>1</v>
      </c>
      <c r="G651" s="13" t="s">
        <v>2048</v>
      </c>
      <c r="H651" s="162" t="s">
        <v>2870</v>
      </c>
      <c r="I651" s="129" t="str">
        <f>IF(B651="","","Rien")</f>
        <v>Rien</v>
      </c>
      <c r="J651" s="146">
        <v>0</v>
      </c>
      <c r="K651" s="147">
        <v>0</v>
      </c>
      <c r="L651" s="148">
        <v>0</v>
      </c>
      <c r="M651" s="149">
        <v>0</v>
      </c>
      <c r="N651" s="150">
        <v>0</v>
      </c>
      <c r="O651" s="130">
        <v>0</v>
      </c>
      <c r="P651" s="130">
        <v>0</v>
      </c>
      <c r="Q651" s="130">
        <v>0</v>
      </c>
      <c r="R651" s="130">
        <v>0</v>
      </c>
      <c r="S651" s="130">
        <v>0</v>
      </c>
      <c r="T651" s="130">
        <v>0</v>
      </c>
      <c r="U651" s="130">
        <v>0</v>
      </c>
      <c r="V651" s="524">
        <v>0</v>
      </c>
      <c r="W651" s="130">
        <v>0</v>
      </c>
      <c r="X651" s="130">
        <v>0</v>
      </c>
      <c r="Y651" s="130">
        <v>0</v>
      </c>
      <c r="Z651" s="130">
        <v>0</v>
      </c>
      <c r="AA651" s="158" t="s">
        <v>2078</v>
      </c>
      <c r="AB651" s="158"/>
      <c r="AC651" s="158"/>
      <c r="AD651" s="158"/>
      <c r="AE651" s="158" t="b">
        <f>IF(AB651="",TRUE,IF(IF(AC651="",VLOOKUP(AB651,Calculs!$A$19:$S$425,19,FALSE),VLOOKUP(AC651,Calculs!$A$19:$S$425,19,FALSE))&gt;=AD651,TRUE,FALSE))</f>
        <v>1</v>
      </c>
      <c r="AF651" s="158"/>
      <c r="AG651" s="158"/>
      <c r="AH651" s="158"/>
      <c r="AI651" s="158" t="b">
        <f>IF(AF651="",TRUE,IF(IF(AG651="",VLOOKUP(AF651,Calculs!$A$19:$S$425,19,FALSE),VLOOKUP(AG651,Calculs!$A$19:$S$425,19,FALSE))&gt;=AH651,TRUE,FALSE))</f>
        <v>1</v>
      </c>
      <c r="AJ651" s="158"/>
      <c r="AK651" s="158"/>
      <c r="AL651" s="158"/>
      <c r="AM651" s="158" t="b">
        <f>IF(AJ651="",TRUE,IF(IF(AK651="",VLOOKUP(AJ651,Calculs!$A$19:$S$425,19,FALSE),VLOOKUP(AK651,Calculs!$A$19:$S$425,19,FALSE))&gt;=AL651,TRUE,FALSE))</f>
        <v>1</v>
      </c>
      <c r="AN651" s="158"/>
      <c r="AO651" s="158"/>
      <c r="AP651" s="158"/>
      <c r="AQ651" s="158" t="b">
        <f>IF(AN651="",TRUE,IF(IF(AO651="",VLOOKUP(AN651,Calculs!$A$19:$S$425,19,FALSE),VLOOKUP(AO651,Calculs!$A$19:$S$425,19,FALSE))&gt;=AP651,TRUE,FALSE))</f>
        <v>1</v>
      </c>
      <c r="AR651" s="158"/>
      <c r="AS651" s="158" t="b">
        <f>IF(AR651="",TRUE,IF(VLOOKUP(AR651,Calculs!$A$427:$G$738,7,FALSE)&gt;0,TRUE,FALSE))</f>
        <v>1</v>
      </c>
      <c r="AT651" s="158"/>
      <c r="AU651" s="158" t="b">
        <f>IF(AT651="",TRUE,IF(VLOOKUP(AT651,Calculs!$A$740:$G$912,7,FALSE)&gt;0,TRUE,FALSE))</f>
        <v>1</v>
      </c>
      <c r="AV651" s="158" t="b">
        <f t="shared" si="73"/>
        <v>1</v>
      </c>
      <c r="AW651" s="158" t="s">
        <v>2078</v>
      </c>
      <c r="AX651" s="162" t="s">
        <v>6061</v>
      </c>
      <c r="AY651" s="15">
        <v>198</v>
      </c>
      <c r="AZ651" s="555" t="s">
        <v>2876</v>
      </c>
      <c r="BA651" s="559">
        <f>IF(Verso!$B$10=Voies!$B651,1,0)</f>
        <v>0</v>
      </c>
      <c r="BB651" s="12">
        <f>IF(Verso!$B$11=Voies!$B651,1,0)</f>
        <v>0</v>
      </c>
      <c r="BC651" s="12">
        <f>IF(Verso!$B$12=Voies!$B651,1,0)</f>
        <v>0</v>
      </c>
      <c r="BD651" s="12">
        <f>IF(Verso!$B$13=Voies!$B651,1,0)</f>
        <v>0</v>
      </c>
      <c r="BE651" s="12">
        <f>IF(Verso!$B$14=Voies!$B651,1,0)</f>
        <v>0</v>
      </c>
      <c r="BF651" s="12">
        <f>IF(Verso!$B$15=Voies!$B651,1,0)</f>
        <v>0</v>
      </c>
      <c r="BG651" s="12">
        <f>IF(Verso!$B$16=Voies!$B651,1,0)</f>
        <v>0</v>
      </c>
      <c r="BH651" s="12">
        <f>IF(Verso!$B$17=Voies!$B651,1,0)</f>
        <v>0</v>
      </c>
      <c r="BI651" s="557">
        <f t="shared" si="74"/>
        <v>0</v>
      </c>
      <c r="BJ651" s="196" t="str">
        <f t="shared" si="75"/>
        <v/>
      </c>
      <c r="BK651" s="196" t="str">
        <f t="shared" si="76"/>
        <v/>
      </c>
      <c r="BL651" s="295" t="str">
        <f t="shared" si="77"/>
        <v/>
      </c>
    </row>
    <row r="652" spans="1:64" ht="47.25" customHeight="1" x14ac:dyDescent="0.25">
      <c r="A652" s="162" t="str">
        <f>IF(AND(Réputation&gt;Voies!E652-1,OR(C652=TRUE,Calculs!$I$8&gt;0),Air&gt;Voies!J652-1,Eau&gt;Voies!K652-1,Feu&gt;Voies!L652-1,Terre&gt;Voies!M652-1,Vide&gt;Voies!N652-1,Constitution&gt;Voies!O652-1,Volonté&gt;Voies!P652-1,Force&gt;Voies!Q652-1,Perception&gt;Voies!R652-1,Reflexes&gt;Voies!S652-1,Agilité&gt;Voies!T652-1,Intuition&gt;Voies!U652-1,Intelligence&gt;Voies!V652-1,Souillure&gt;Voies!W652-1,Honneur&gt;X652-1,Statut&gt;Y652-1,Gloire&gt;Z652-1,AV652=TRUE),Voies!B652,"")</f>
        <v/>
      </c>
      <c r="B652" s="162" t="s">
        <v>3460</v>
      </c>
      <c r="C652" s="162" t="b">
        <f>IF(Clan=Voies!D652,TRUE,FALSE)</f>
        <v>0</v>
      </c>
      <c r="D652" s="387" t="s">
        <v>178</v>
      </c>
      <c r="E652" s="13">
        <v>2</v>
      </c>
      <c r="F652" s="199">
        <v>2</v>
      </c>
      <c r="G652" s="13" t="s">
        <v>2057</v>
      </c>
      <c r="H652" s="162" t="s">
        <v>591</v>
      </c>
      <c r="I652" s="129" t="s">
        <v>3459</v>
      </c>
      <c r="J652" s="146">
        <v>0</v>
      </c>
      <c r="K652" s="147">
        <v>0</v>
      </c>
      <c r="L652" s="148">
        <v>0</v>
      </c>
      <c r="M652" s="149">
        <v>0</v>
      </c>
      <c r="N652" s="150">
        <v>0</v>
      </c>
      <c r="O652" s="130">
        <v>0</v>
      </c>
      <c r="P652" s="130">
        <v>0</v>
      </c>
      <c r="Q652" s="130">
        <v>0</v>
      </c>
      <c r="R652" s="130">
        <v>0</v>
      </c>
      <c r="S652" s="130">
        <v>0</v>
      </c>
      <c r="T652" s="130">
        <v>0</v>
      </c>
      <c r="U652" s="130">
        <v>0</v>
      </c>
      <c r="V652" s="524">
        <v>0</v>
      </c>
      <c r="W652" s="130">
        <v>0</v>
      </c>
      <c r="X652" s="130">
        <v>0</v>
      </c>
      <c r="Y652" s="130">
        <v>0</v>
      </c>
      <c r="Z652" s="130">
        <v>0</v>
      </c>
      <c r="AA652" s="159" t="s">
        <v>6384</v>
      </c>
      <c r="AB652" s="159" t="s">
        <v>3327</v>
      </c>
      <c r="AC652" s="159" t="s">
        <v>3296</v>
      </c>
      <c r="AD652" s="159">
        <v>4</v>
      </c>
      <c r="AE652" s="158" t="b">
        <f>IF(AB652="",TRUE,IF(IF(AC652="",VLOOKUP(AB652,Calculs!$A$19:$S$425,19,FALSE),VLOOKUP(AC652,Calculs!$A$19:$S$425,19,FALSE))&gt;=AD652,TRUE,FALSE))</f>
        <v>0</v>
      </c>
      <c r="AF652" s="159" t="s">
        <v>1262</v>
      </c>
      <c r="AG652" s="159" t="s">
        <v>6420</v>
      </c>
      <c r="AH652" s="159">
        <v>4</v>
      </c>
      <c r="AI652" s="158" t="b">
        <f>IF(AF652="",TRUE,IF(IF(AG652="",VLOOKUP(AF652,Calculs!$A$19:$S$425,19,FALSE),VLOOKUP(AG652,Calculs!$A$19:$S$425,19,FALSE))&gt;=AH652,TRUE,FALSE))</f>
        <v>0</v>
      </c>
      <c r="AM652" s="158" t="b">
        <f>IF(AJ652="",TRUE,IF(IF(AK652="",VLOOKUP(AJ652,Calculs!$A$19:$S$425,19,FALSE),VLOOKUP(AK652,Calculs!$A$19:$S$425,19,FALSE))&gt;=AL652,TRUE,FALSE))</f>
        <v>1</v>
      </c>
      <c r="AQ652" s="158" t="b">
        <f>IF(AN652="",TRUE,IF(IF(AO652="",VLOOKUP(AN652,Calculs!$A$19:$S$425,19,FALSE),VLOOKUP(AO652,Calculs!$A$19:$S$425,19,FALSE))&gt;=AP652,TRUE,FALSE))</f>
        <v>1</v>
      </c>
      <c r="AR652" s="158"/>
      <c r="AS652" s="158" t="b">
        <f>IF(AR652="",TRUE,IF(VLOOKUP(AR652,Calculs!$A$427:$G$738,7,FALSE)&gt;0,TRUE,FALSE))</f>
        <v>1</v>
      </c>
      <c r="AT652" s="158"/>
      <c r="AU652" s="158" t="b">
        <f>IF(AT652="",TRUE,IF(VLOOKUP(AT652,Calculs!$A$740:$G$912,7,FALSE)&gt;0,TRUE,FALSE))</f>
        <v>1</v>
      </c>
      <c r="AV652" s="158" t="b">
        <f t="shared" si="73"/>
        <v>0</v>
      </c>
      <c r="AW652" s="158" t="s">
        <v>2078</v>
      </c>
      <c r="AX652" s="162" t="s">
        <v>158</v>
      </c>
      <c r="AY652" s="15">
        <v>202</v>
      </c>
      <c r="AZ652" s="566" t="s">
        <v>3461</v>
      </c>
      <c r="BA652" s="559">
        <f>IF(Verso!$B$10=Voies!$B652,1,0)</f>
        <v>0</v>
      </c>
      <c r="BB652" s="12">
        <f>IF(Verso!$B$11=Voies!$B652,1,0)</f>
        <v>0</v>
      </c>
      <c r="BC652" s="12">
        <f>IF(Verso!$B$12=Voies!$B652,1,0)</f>
        <v>0</v>
      </c>
      <c r="BD652" s="12">
        <f>IF(Verso!$B$13=Voies!$B652,1,0)</f>
        <v>0</v>
      </c>
      <c r="BE652" s="12">
        <f>IF(Verso!$B$14=Voies!$B652,1,0)</f>
        <v>0</v>
      </c>
      <c r="BF652" s="12">
        <f>IF(Verso!$B$15=Voies!$B652,1,0)</f>
        <v>0</v>
      </c>
      <c r="BG652" s="12">
        <f>IF(Verso!$B$16=Voies!$B652,1,0)</f>
        <v>0</v>
      </c>
      <c r="BH652" s="12">
        <f>IF(Verso!$B$17=Voies!$B652,1,0)</f>
        <v>0</v>
      </c>
      <c r="BI652" s="557">
        <f t="shared" si="74"/>
        <v>0</v>
      </c>
      <c r="BJ652" s="196" t="str">
        <f t="shared" si="75"/>
        <v/>
      </c>
      <c r="BK652" s="196" t="str">
        <f t="shared" si="76"/>
        <v/>
      </c>
      <c r="BL652" s="295" t="str">
        <f t="shared" si="77"/>
        <v/>
      </c>
    </row>
    <row r="653" spans="1:64" ht="47.25" customHeight="1" x14ac:dyDescent="0.25">
      <c r="A653" s="162" t="str">
        <f>IF(AND(Réputation&gt;Voies!E653-1,OR(C653=TRUE,Calculs!$I$8&gt;0),Air&gt;Voies!J653-1,Eau&gt;Voies!K653-1,Feu&gt;Voies!L653-1,Terre&gt;Voies!M653-1,Vide&gt;Voies!N653-1,Constitution&gt;Voies!O653-1,Volonté&gt;Voies!P653-1,Force&gt;Voies!Q653-1,Perception&gt;Voies!R653-1,Reflexes&gt;Voies!S653-1,Agilité&gt;Voies!T653-1,Intuition&gt;Voies!U653-1,Intelligence&gt;Voies!V653-1,Souillure&gt;Voies!W653-1,Honneur&gt;X653-1,Statut&gt;Y653-1,Gloire&gt;Z653-1,AV653=TRUE),Voies!B653,"")</f>
        <v/>
      </c>
      <c r="B653" s="162" t="s">
        <v>2489</v>
      </c>
      <c r="C653" s="162" t="b">
        <f>IF(Clan=Voies!D653,TRUE,FALSE)</f>
        <v>0</v>
      </c>
      <c r="D653" s="387" t="s">
        <v>178</v>
      </c>
      <c r="E653" s="13">
        <v>2</v>
      </c>
      <c r="F653" s="199">
        <v>2</v>
      </c>
      <c r="G653" s="13" t="s">
        <v>2049</v>
      </c>
      <c r="H653" s="162" t="s">
        <v>209</v>
      </c>
      <c r="I653" s="129" t="str">
        <f>IF(B653="","","Rien")</f>
        <v>Rien</v>
      </c>
      <c r="J653" s="146">
        <v>0</v>
      </c>
      <c r="K653" s="147">
        <v>0</v>
      </c>
      <c r="L653" s="148">
        <v>0</v>
      </c>
      <c r="M653" s="149">
        <v>0</v>
      </c>
      <c r="N653" s="150">
        <v>0</v>
      </c>
      <c r="O653" s="130">
        <v>0</v>
      </c>
      <c r="P653" s="130">
        <v>0</v>
      </c>
      <c r="Q653" s="130">
        <v>0</v>
      </c>
      <c r="R653" s="130">
        <v>0</v>
      </c>
      <c r="S653" s="130">
        <v>0</v>
      </c>
      <c r="T653" s="130">
        <v>0</v>
      </c>
      <c r="U653" s="130">
        <v>0</v>
      </c>
      <c r="V653" s="524">
        <v>0</v>
      </c>
      <c r="W653" s="130">
        <v>0</v>
      </c>
      <c r="X653" s="130">
        <v>0</v>
      </c>
      <c r="Y653" s="130">
        <v>0</v>
      </c>
      <c r="Z653" s="130">
        <v>0</v>
      </c>
      <c r="AA653" s="158" t="s">
        <v>2078</v>
      </c>
      <c r="AB653" s="158"/>
      <c r="AC653" s="158"/>
      <c r="AD653" s="158"/>
      <c r="AE653" s="158" t="b">
        <f>IF(AB653="",TRUE,IF(IF(AC653="",VLOOKUP(AB653,Calculs!$A$19:$S$425,19,FALSE),VLOOKUP(AC653,Calculs!$A$19:$S$425,19,FALSE))&gt;=AD653,TRUE,FALSE))</f>
        <v>1</v>
      </c>
      <c r="AF653" s="158"/>
      <c r="AG653" s="158"/>
      <c r="AH653" s="158"/>
      <c r="AI653" s="158" t="b">
        <f>IF(AF653="",TRUE,IF(IF(AG653="",VLOOKUP(AF653,Calculs!$A$19:$S$425,19,FALSE),VLOOKUP(AG653,Calculs!$A$19:$S$425,19,FALSE))&gt;=AH653,TRUE,FALSE))</f>
        <v>1</v>
      </c>
      <c r="AJ653" s="158"/>
      <c r="AK653" s="158"/>
      <c r="AL653" s="158"/>
      <c r="AM653" s="158" t="b">
        <f>IF(AJ653="",TRUE,IF(IF(AK653="",VLOOKUP(AJ653,Calculs!$A$19:$S$425,19,FALSE),VLOOKUP(AK653,Calculs!$A$19:$S$425,19,FALSE))&gt;=AL653,TRUE,FALSE))</f>
        <v>1</v>
      </c>
      <c r="AN653" s="158"/>
      <c r="AO653" s="158"/>
      <c r="AP653" s="158"/>
      <c r="AQ653" s="158" t="b">
        <f>IF(AN653="",TRUE,IF(IF(AO653="",VLOOKUP(AN653,Calculs!$A$19:$S$425,19,FALSE),VLOOKUP(AO653,Calculs!$A$19:$S$425,19,FALSE))&gt;=AP653,TRUE,FALSE))</f>
        <v>1</v>
      </c>
      <c r="AR653" s="158"/>
      <c r="AS653" s="158" t="b">
        <f>IF(AR653="",TRUE,IF(VLOOKUP(AR653,Calculs!$A$427:$G$738,7,FALSE)&gt;0,TRUE,FALSE))</f>
        <v>1</v>
      </c>
      <c r="AT653" s="158"/>
      <c r="AU653" s="158" t="b">
        <f>IF(AT653="",TRUE,IF(VLOOKUP(AT653,Calculs!$A$740:$G$912,7,FALSE)&gt;0,TRUE,FALSE))</f>
        <v>1</v>
      </c>
      <c r="AV653" s="158" t="b">
        <f t="shared" si="73"/>
        <v>1</v>
      </c>
      <c r="AW653" s="158" t="s">
        <v>2078</v>
      </c>
      <c r="AX653" s="162" t="s">
        <v>3</v>
      </c>
      <c r="AY653" s="15">
        <v>125</v>
      </c>
      <c r="AZ653" s="555" t="s">
        <v>8645</v>
      </c>
      <c r="BA653" s="559">
        <f>IF(Verso!$B$10=Voies!$B653,1,0)</f>
        <v>0</v>
      </c>
      <c r="BB653" s="12">
        <f>IF(Verso!$B$11=Voies!$B653,1,0)</f>
        <v>0</v>
      </c>
      <c r="BC653" s="12">
        <f>IF(Verso!$B$12=Voies!$B653,1,0)</f>
        <v>0</v>
      </c>
      <c r="BD653" s="12">
        <f>IF(Verso!$B$13=Voies!$B653,1,0)</f>
        <v>0</v>
      </c>
      <c r="BE653" s="12">
        <f>IF(Verso!$B$14=Voies!$B653,1,0)</f>
        <v>0</v>
      </c>
      <c r="BF653" s="12">
        <f>IF(Verso!$B$15=Voies!$B653,1,0)</f>
        <v>0</v>
      </c>
      <c r="BG653" s="12">
        <f>IF(Verso!$B$16=Voies!$B653,1,0)</f>
        <v>0</v>
      </c>
      <c r="BH653" s="12">
        <f>IF(Verso!$B$17=Voies!$B653,1,0)</f>
        <v>0</v>
      </c>
      <c r="BI653" s="557">
        <f t="shared" si="74"/>
        <v>0</v>
      </c>
      <c r="BJ653" s="196" t="str">
        <f t="shared" si="75"/>
        <v/>
      </c>
      <c r="BK653" s="196" t="str">
        <f t="shared" si="76"/>
        <v/>
      </c>
      <c r="BL653" s="295" t="str">
        <f t="shared" si="77"/>
        <v/>
      </c>
    </row>
    <row r="654" spans="1:64" ht="47.25" customHeight="1" x14ac:dyDescent="0.25">
      <c r="A654" s="162" t="str">
        <f>IF(AND(Réputation&gt;Voies!E654-1,OR(C654=TRUE,Calculs!$I$8&gt;0),Air&gt;Voies!J654-1,Eau&gt;Voies!K654-1,Feu&gt;Voies!L654-1,Terre&gt;Voies!M654-1,Vide&gt;Voies!N654-1,Constitution&gt;Voies!O654-1,Volonté&gt;Voies!P654-1,Force&gt;Voies!Q654-1,Perception&gt;Voies!R654-1,Reflexes&gt;Voies!S654-1,Agilité&gt;Voies!T654-1,Intuition&gt;Voies!U654-1,Intelligence&gt;Voies!V654-1,Souillure&gt;Voies!W654-1,Honneur&gt;X654-1,Statut&gt;Y654-1,Gloire&gt;Z654-1,AV654=TRUE),Voies!B654,"")</f>
        <v/>
      </c>
      <c r="B654" s="162" t="s">
        <v>2469</v>
      </c>
      <c r="C654" s="162" t="b">
        <f>IF(Clan=Voies!D654,TRUE,FALSE)</f>
        <v>0</v>
      </c>
      <c r="D654" s="387" t="s">
        <v>178</v>
      </c>
      <c r="E654" s="13">
        <v>2</v>
      </c>
      <c r="F654" s="199">
        <v>2</v>
      </c>
      <c r="G654" s="13" t="s">
        <v>2049</v>
      </c>
      <c r="H654" s="162" t="s">
        <v>210</v>
      </c>
      <c r="I654" s="129" t="str">
        <f>IF(B654="","","Rien")</f>
        <v>Rien</v>
      </c>
      <c r="J654" s="146">
        <v>0</v>
      </c>
      <c r="K654" s="147">
        <v>0</v>
      </c>
      <c r="L654" s="148">
        <v>0</v>
      </c>
      <c r="M654" s="149">
        <v>0</v>
      </c>
      <c r="N654" s="150">
        <v>0</v>
      </c>
      <c r="O654" s="130">
        <v>0</v>
      </c>
      <c r="P654" s="130">
        <v>0</v>
      </c>
      <c r="Q654" s="130">
        <v>0</v>
      </c>
      <c r="R654" s="130">
        <v>0</v>
      </c>
      <c r="S654" s="130">
        <v>0</v>
      </c>
      <c r="T654" s="130">
        <v>0</v>
      </c>
      <c r="U654" s="130">
        <v>0</v>
      </c>
      <c r="V654" s="524">
        <v>0</v>
      </c>
      <c r="W654" s="130">
        <v>0</v>
      </c>
      <c r="X654" s="130">
        <v>0</v>
      </c>
      <c r="Y654" s="130">
        <v>0</v>
      </c>
      <c r="Z654" s="130">
        <v>0</v>
      </c>
      <c r="AA654" s="158" t="s">
        <v>2078</v>
      </c>
      <c r="AB654" s="158"/>
      <c r="AC654" s="158"/>
      <c r="AD654" s="158"/>
      <c r="AE654" s="158" t="b">
        <f>IF(AB654="",TRUE,IF(IF(AC654="",VLOOKUP(AB654,Calculs!$A$19:$S$425,19,FALSE),VLOOKUP(AC654,Calculs!$A$19:$S$425,19,FALSE))&gt;=AD654,TRUE,FALSE))</f>
        <v>1</v>
      </c>
      <c r="AF654" s="158"/>
      <c r="AG654" s="158"/>
      <c r="AH654" s="158"/>
      <c r="AI654" s="158" t="b">
        <f>IF(AF654="",TRUE,IF(IF(AG654="",VLOOKUP(AF654,Calculs!$A$19:$S$425,19,FALSE),VLOOKUP(AG654,Calculs!$A$19:$S$425,19,FALSE))&gt;=AH654,TRUE,FALSE))</f>
        <v>1</v>
      </c>
      <c r="AJ654" s="158"/>
      <c r="AK654" s="158"/>
      <c r="AL654" s="158"/>
      <c r="AM654" s="158" t="b">
        <f>IF(AJ654="",TRUE,IF(IF(AK654="",VLOOKUP(AJ654,Calculs!$A$19:$S$425,19,FALSE),VLOOKUP(AK654,Calculs!$A$19:$S$425,19,FALSE))&gt;=AL654,TRUE,FALSE))</f>
        <v>1</v>
      </c>
      <c r="AN654" s="158"/>
      <c r="AO654" s="158"/>
      <c r="AP654" s="158"/>
      <c r="AQ654" s="158" t="b">
        <f>IF(AN654="",TRUE,IF(IF(AO654="",VLOOKUP(AN654,Calculs!$A$19:$S$425,19,FALSE),VLOOKUP(AO654,Calculs!$A$19:$S$425,19,FALSE))&gt;=AP654,TRUE,FALSE))</f>
        <v>1</v>
      </c>
      <c r="AR654" s="158"/>
      <c r="AS654" s="158" t="b">
        <f>IF(AR654="",TRUE,IF(VLOOKUP(AR654,Calculs!$A$427:$G$738,7,FALSE)&gt;0,TRUE,FALSE))</f>
        <v>1</v>
      </c>
      <c r="AT654" s="158"/>
      <c r="AU654" s="158" t="b">
        <f>IF(AT654="",TRUE,IF(VLOOKUP(AT654,Calculs!$A$740:$G$912,7,FALSE)&gt;0,TRUE,FALSE))</f>
        <v>1</v>
      </c>
      <c r="AV654" s="158" t="b">
        <f t="shared" si="73"/>
        <v>1</v>
      </c>
      <c r="AW654" s="158" t="s">
        <v>2078</v>
      </c>
      <c r="AX654" s="162" t="s">
        <v>3</v>
      </c>
      <c r="AY654" s="15">
        <v>123</v>
      </c>
      <c r="AZ654" s="555" t="s">
        <v>8646</v>
      </c>
      <c r="BA654" s="559">
        <f>IF(Verso!$B$10=Voies!$B654,1,0)</f>
        <v>0</v>
      </c>
      <c r="BB654" s="12">
        <f>IF(Verso!$B$11=Voies!$B654,1,0)</f>
        <v>0</v>
      </c>
      <c r="BC654" s="12">
        <f>IF(Verso!$B$12=Voies!$B654,1,0)</f>
        <v>0</v>
      </c>
      <c r="BD654" s="12">
        <f>IF(Verso!$B$13=Voies!$B654,1,0)</f>
        <v>0</v>
      </c>
      <c r="BE654" s="12">
        <f>IF(Verso!$B$14=Voies!$B654,1,0)</f>
        <v>0</v>
      </c>
      <c r="BF654" s="12">
        <f>IF(Verso!$B$15=Voies!$B654,1,0)</f>
        <v>0</v>
      </c>
      <c r="BG654" s="12">
        <f>IF(Verso!$B$16=Voies!$B654,1,0)</f>
        <v>0</v>
      </c>
      <c r="BH654" s="12">
        <f>IF(Verso!$B$17=Voies!$B654,1,0)</f>
        <v>0</v>
      </c>
      <c r="BI654" s="557">
        <f t="shared" si="74"/>
        <v>0</v>
      </c>
      <c r="BJ654" s="196" t="str">
        <f t="shared" si="75"/>
        <v/>
      </c>
      <c r="BK654" s="196" t="str">
        <f t="shared" si="76"/>
        <v/>
      </c>
      <c r="BL654" s="295" t="str">
        <f t="shared" si="77"/>
        <v/>
      </c>
    </row>
    <row r="655" spans="1:64" ht="47.25" customHeight="1" x14ac:dyDescent="0.25">
      <c r="A655" s="162" t="str">
        <f>IF(AND(Réputation&gt;Voies!E655-1,OR(C655=TRUE,Calculs!$I$8&gt;0),Air&gt;Voies!J655-1,Eau&gt;Voies!K655-1,Feu&gt;Voies!L655-1,Terre&gt;Voies!M655-1,Vide&gt;Voies!N655-1,Constitution&gt;Voies!O655-1,Volonté&gt;Voies!P655-1,Force&gt;Voies!Q655-1,Perception&gt;Voies!R655-1,Reflexes&gt;Voies!S655-1,Agilité&gt;Voies!T655-1,Intuition&gt;Voies!U655-1,Intelligence&gt;Voies!V655-1,Souillure&gt;Voies!W655-1,Honneur&gt;X655-1,Statut&gt;Y655-1,Gloire&gt;Z655-1,AV655=TRUE),Voies!B655,"")</f>
        <v/>
      </c>
      <c r="B655" s="162" t="s">
        <v>6096</v>
      </c>
      <c r="C655" s="162" t="b">
        <f>IF(Clan=Voies!D655,TRUE,FALSE)</f>
        <v>0</v>
      </c>
      <c r="D655" s="387" t="s">
        <v>178</v>
      </c>
      <c r="E655" s="199">
        <v>2</v>
      </c>
      <c r="F655" s="199">
        <v>2</v>
      </c>
      <c r="G655" s="199" t="s">
        <v>2049</v>
      </c>
      <c r="H655" s="162" t="s">
        <v>2865</v>
      </c>
      <c r="I655" s="129" t="str">
        <f>IF(B655="","","Rien")</f>
        <v>Rien</v>
      </c>
      <c r="J655" s="146">
        <v>0</v>
      </c>
      <c r="K655" s="147">
        <v>0</v>
      </c>
      <c r="L655" s="148">
        <v>0</v>
      </c>
      <c r="M655" s="149">
        <v>0</v>
      </c>
      <c r="N655" s="150">
        <v>0</v>
      </c>
      <c r="O655" s="130">
        <v>0</v>
      </c>
      <c r="P655" s="130">
        <v>0</v>
      </c>
      <c r="Q655" s="130">
        <v>0</v>
      </c>
      <c r="R655" s="130">
        <v>0</v>
      </c>
      <c r="S655" s="130">
        <v>0</v>
      </c>
      <c r="T655" s="130">
        <v>0</v>
      </c>
      <c r="U655" s="130">
        <v>0</v>
      </c>
      <c r="V655" s="524">
        <v>0</v>
      </c>
      <c r="W655" s="130">
        <v>0</v>
      </c>
      <c r="X655" s="130">
        <v>0</v>
      </c>
      <c r="Y655" s="130">
        <v>0</v>
      </c>
      <c r="Z655" s="130">
        <v>0</v>
      </c>
      <c r="AA655" s="158" t="s">
        <v>2078</v>
      </c>
      <c r="AB655" s="158"/>
      <c r="AC655" s="158"/>
      <c r="AD655" s="158"/>
      <c r="AE655" s="158" t="b">
        <f>IF(AB655="",TRUE,IF(IF(AC655="",VLOOKUP(AB655,Calculs!$A$19:$S$425,19,FALSE),VLOOKUP(AC655,Calculs!$A$19:$S$425,19,FALSE))&gt;=AD655,TRUE,FALSE))</f>
        <v>1</v>
      </c>
      <c r="AF655" s="158"/>
      <c r="AG655" s="158"/>
      <c r="AH655" s="158"/>
      <c r="AI655" s="158" t="b">
        <f>IF(AF655="",TRUE,IF(IF(AG655="",VLOOKUP(AF655,Calculs!$A$19:$S$425,19,FALSE),VLOOKUP(AG655,Calculs!$A$19:$S$425,19,FALSE))&gt;=AH655,TRUE,FALSE))</f>
        <v>1</v>
      </c>
      <c r="AJ655" s="158"/>
      <c r="AK655" s="158"/>
      <c r="AL655" s="158"/>
      <c r="AM655" s="158" t="b">
        <f>IF(AJ655="",TRUE,IF(IF(AK655="",VLOOKUP(AJ655,Calculs!$A$19:$S$425,19,FALSE),VLOOKUP(AK655,Calculs!$A$19:$S$425,19,FALSE))&gt;=AL655,TRUE,FALSE))</f>
        <v>1</v>
      </c>
      <c r="AN655" s="158"/>
      <c r="AO655" s="158"/>
      <c r="AP655" s="158"/>
      <c r="AQ655" s="158" t="b">
        <f>IF(AN655="",TRUE,IF(IF(AO655="",VLOOKUP(AN655,Calculs!$A$19:$S$425,19,FALSE),VLOOKUP(AO655,Calculs!$A$19:$S$425,19,FALSE))&gt;=AP655,TRUE,FALSE))</f>
        <v>1</v>
      </c>
      <c r="AR655" s="158"/>
      <c r="AS655" s="158" t="b">
        <f>IF(AR655="",TRUE,IF(VLOOKUP(AR655,Calculs!$A$427:$G$738,7,FALSE)&gt;0,TRUE,FALSE))</f>
        <v>1</v>
      </c>
      <c r="AT655" s="158"/>
      <c r="AU655" s="158" t="b">
        <f>IF(AT655="",TRUE,IF(VLOOKUP(AT655,Calculs!$A$740:$G$912,7,FALSE)&gt;0,TRUE,FALSE))</f>
        <v>1</v>
      </c>
      <c r="AV655" s="158" t="b">
        <f t="shared" si="73"/>
        <v>1</v>
      </c>
      <c r="AW655" s="158" t="s">
        <v>2078</v>
      </c>
      <c r="AX655" s="162" t="s">
        <v>6061</v>
      </c>
      <c r="AY655" s="15">
        <v>197</v>
      </c>
      <c r="AZ655" s="555" t="s">
        <v>2877</v>
      </c>
      <c r="BA655" s="559">
        <f>IF(Verso!$B$10=Voies!$B655,1,0)</f>
        <v>0</v>
      </c>
      <c r="BB655" s="12">
        <f>IF(Verso!$B$11=Voies!$B655,1,0)</f>
        <v>0</v>
      </c>
      <c r="BC655" s="12">
        <f>IF(Verso!$B$12=Voies!$B655,1,0)</f>
        <v>0</v>
      </c>
      <c r="BD655" s="12">
        <f>IF(Verso!$B$13=Voies!$B655,1,0)</f>
        <v>0</v>
      </c>
      <c r="BE655" s="12">
        <f>IF(Verso!$B$14=Voies!$B655,1,0)</f>
        <v>0</v>
      </c>
      <c r="BF655" s="12">
        <f>IF(Verso!$B$15=Voies!$B655,1,0)</f>
        <v>0</v>
      </c>
      <c r="BG655" s="12">
        <f>IF(Verso!$B$16=Voies!$B655,1,0)</f>
        <v>0</v>
      </c>
      <c r="BH655" s="12">
        <f>IF(Verso!$B$17=Voies!$B655,1,0)</f>
        <v>0</v>
      </c>
      <c r="BI655" s="557">
        <f t="shared" si="74"/>
        <v>0</v>
      </c>
      <c r="BJ655" s="196" t="str">
        <f t="shared" si="75"/>
        <v/>
      </c>
      <c r="BK655" s="196" t="str">
        <f t="shared" si="76"/>
        <v/>
      </c>
      <c r="BL655" s="295" t="str">
        <f t="shared" si="77"/>
        <v/>
      </c>
    </row>
    <row r="656" spans="1:64" ht="47.25" customHeight="1" x14ac:dyDescent="0.25">
      <c r="A656" s="162" t="str">
        <f>IF(AND(Réputation&gt;Voies!E656-1,OR(C656=TRUE,Calculs!$I$8&gt;0),Air&gt;Voies!J656-1,Eau&gt;Voies!K656-1,Feu&gt;Voies!L656-1,Terre&gt;Voies!M656-1,Vide&gt;Voies!N656-1,Constitution&gt;Voies!O656-1,Volonté&gt;Voies!P656-1,Force&gt;Voies!Q656-1,Perception&gt;Voies!R656-1,Reflexes&gt;Voies!S656-1,Agilité&gt;Voies!T656-1,Intuition&gt;Voies!U656-1,Intelligence&gt;Voies!V656-1,Souillure&gt;Voies!W656-1,Honneur&gt;X656-1,Statut&gt;Y656-1,Gloire&gt;Z656-1,AV656=TRUE),Voies!B656,"")</f>
        <v/>
      </c>
      <c r="B656" s="162" t="s">
        <v>6091</v>
      </c>
      <c r="C656" s="162" t="b">
        <f>IF(Clan=Voies!D656,TRUE,FALSE)</f>
        <v>0</v>
      </c>
      <c r="D656" s="387" t="s">
        <v>178</v>
      </c>
      <c r="E656" s="13">
        <v>2</v>
      </c>
      <c r="F656" s="199">
        <v>2</v>
      </c>
      <c r="G656" s="13" t="s">
        <v>2049</v>
      </c>
      <c r="H656" s="162" t="s">
        <v>6090</v>
      </c>
      <c r="I656" s="129" t="str">
        <f>IF(B656="","","Rien")</f>
        <v>Rien</v>
      </c>
      <c r="J656" s="146">
        <v>0</v>
      </c>
      <c r="K656" s="147">
        <v>0</v>
      </c>
      <c r="L656" s="148">
        <v>0</v>
      </c>
      <c r="M656" s="149">
        <v>0</v>
      </c>
      <c r="N656" s="150">
        <v>0</v>
      </c>
      <c r="O656" s="130">
        <v>0</v>
      </c>
      <c r="P656" s="130">
        <v>0</v>
      </c>
      <c r="Q656" s="130">
        <v>0</v>
      </c>
      <c r="R656" s="130">
        <v>0</v>
      </c>
      <c r="S656" s="130">
        <v>0</v>
      </c>
      <c r="T656" s="130">
        <v>0</v>
      </c>
      <c r="U656" s="130">
        <v>0</v>
      </c>
      <c r="V656" s="524">
        <v>0</v>
      </c>
      <c r="W656" s="130">
        <v>0</v>
      </c>
      <c r="X656" s="130">
        <v>0</v>
      </c>
      <c r="Y656" s="130">
        <v>0</v>
      </c>
      <c r="Z656" s="130">
        <v>0</v>
      </c>
      <c r="AA656" s="158" t="s">
        <v>2078</v>
      </c>
      <c r="AB656" s="158"/>
      <c r="AC656" s="158"/>
      <c r="AD656" s="158"/>
      <c r="AE656" s="158" t="b">
        <f>IF(AB656="",TRUE,IF(IF(AC656="",VLOOKUP(AB656,Calculs!$A$19:$S$425,19,FALSE),VLOOKUP(AC656,Calculs!$A$19:$S$425,19,FALSE))&gt;=AD656,TRUE,FALSE))</f>
        <v>1</v>
      </c>
      <c r="AF656" s="158"/>
      <c r="AG656" s="158"/>
      <c r="AH656" s="158"/>
      <c r="AI656" s="158" t="b">
        <f>IF(AF656="",TRUE,IF(IF(AG656="",VLOOKUP(AF656,Calculs!$A$19:$S$425,19,FALSE),VLOOKUP(AG656,Calculs!$A$19:$S$425,19,FALSE))&gt;=AH656,TRUE,FALSE))</f>
        <v>1</v>
      </c>
      <c r="AJ656" s="158"/>
      <c r="AK656" s="158"/>
      <c r="AL656" s="158"/>
      <c r="AM656" s="158" t="b">
        <f>IF(AJ656="",TRUE,IF(IF(AK656="",VLOOKUP(AJ656,Calculs!$A$19:$S$425,19,FALSE),VLOOKUP(AK656,Calculs!$A$19:$S$425,19,FALSE))&gt;=AL656,TRUE,FALSE))</f>
        <v>1</v>
      </c>
      <c r="AN656" s="158"/>
      <c r="AO656" s="158"/>
      <c r="AP656" s="158"/>
      <c r="AQ656" s="158" t="b">
        <f>IF(AN656="",TRUE,IF(IF(AO656="",VLOOKUP(AN656,Calculs!$A$19:$S$425,19,FALSE),VLOOKUP(AO656,Calculs!$A$19:$S$425,19,FALSE))&gt;=AP656,TRUE,FALSE))</f>
        <v>1</v>
      </c>
      <c r="AR656" s="158"/>
      <c r="AS656" s="158" t="b">
        <f>IF(AR656="",TRUE,IF(VLOOKUP(AR656,Calculs!$A$427:$G$738,7,FALSE)&gt;0,TRUE,FALSE))</f>
        <v>1</v>
      </c>
      <c r="AT656" s="158"/>
      <c r="AU656" s="158" t="b">
        <f>IF(AT656="",TRUE,IF(VLOOKUP(AT656,Calculs!$A$740:$G$912,7,FALSE)&gt;0,TRUE,FALSE))</f>
        <v>1</v>
      </c>
      <c r="AV656" s="158" t="b">
        <f t="shared" si="73"/>
        <v>1</v>
      </c>
      <c r="AW656" s="158" t="s">
        <v>2078</v>
      </c>
      <c r="AX656" s="162" t="s">
        <v>6061</v>
      </c>
      <c r="AY656" s="15">
        <v>195</v>
      </c>
      <c r="AZ656" s="555" t="s">
        <v>8647</v>
      </c>
      <c r="BA656" s="559">
        <f>IF(Verso!$B$10=Voies!$B656,1,0)</f>
        <v>0</v>
      </c>
      <c r="BB656" s="12">
        <f>IF(Verso!$B$11=Voies!$B656,1,0)</f>
        <v>0</v>
      </c>
      <c r="BC656" s="12">
        <f>IF(Verso!$B$12=Voies!$B656,1,0)</f>
        <v>0</v>
      </c>
      <c r="BD656" s="12">
        <f>IF(Verso!$B$13=Voies!$B656,1,0)</f>
        <v>0</v>
      </c>
      <c r="BE656" s="12">
        <f>IF(Verso!$B$14=Voies!$B656,1,0)</f>
        <v>0</v>
      </c>
      <c r="BF656" s="12">
        <f>IF(Verso!$B$15=Voies!$B656,1,0)</f>
        <v>0</v>
      </c>
      <c r="BG656" s="12">
        <f>IF(Verso!$B$16=Voies!$B656,1,0)</f>
        <v>0</v>
      </c>
      <c r="BH656" s="12">
        <f>IF(Verso!$B$17=Voies!$B656,1,0)</f>
        <v>0</v>
      </c>
      <c r="BI656" s="557">
        <f t="shared" si="74"/>
        <v>0</v>
      </c>
      <c r="BJ656" s="196" t="str">
        <f t="shared" si="75"/>
        <v/>
      </c>
      <c r="BK656" s="196" t="str">
        <f t="shared" si="76"/>
        <v/>
      </c>
      <c r="BL656" s="295" t="str">
        <f t="shared" si="77"/>
        <v/>
      </c>
    </row>
    <row r="657" spans="1:64" ht="47.25" customHeight="1" x14ac:dyDescent="0.25">
      <c r="A657" s="162" t="str">
        <f>IF(AND(Réputation&gt;Voies!E657-1,OR(C657=TRUE,Calculs!$I$8&gt;0),Air&gt;Voies!J657-1,Eau&gt;Voies!K657-1,Feu&gt;Voies!L657-1,Terre&gt;Voies!M657-1,Vide&gt;Voies!N657-1,Constitution&gt;Voies!O657-1,Volonté&gt;Voies!P657-1,Force&gt;Voies!Q657-1,Perception&gt;Voies!R657-1,Reflexes&gt;Voies!S657-1,Agilité&gt;Voies!T657-1,Intuition&gt;Voies!U657-1,Intelligence&gt;Voies!V657-1,Souillure&gt;Voies!W657-1,Honneur&gt;X657-1,Statut&gt;Y657-1,Gloire&gt;Z657-1,AV657=TRUE),Voies!B657,"")</f>
        <v/>
      </c>
      <c r="B657" s="162" t="s">
        <v>6102</v>
      </c>
      <c r="C657" s="162" t="b">
        <f>IF(Clan=Voies!D657,TRUE,FALSE)</f>
        <v>0</v>
      </c>
      <c r="D657" s="387" t="s">
        <v>178</v>
      </c>
      <c r="E657" s="13">
        <v>2</v>
      </c>
      <c r="F657" s="199">
        <v>2</v>
      </c>
      <c r="G657" s="13" t="s">
        <v>2049</v>
      </c>
      <c r="H657" s="162" t="s">
        <v>6101</v>
      </c>
      <c r="I657" s="129" t="s">
        <v>3632</v>
      </c>
      <c r="J657" s="146">
        <v>0</v>
      </c>
      <c r="K657" s="147">
        <v>0</v>
      </c>
      <c r="L657" s="148">
        <v>0</v>
      </c>
      <c r="M657" s="149">
        <v>0</v>
      </c>
      <c r="N657" s="150">
        <v>0</v>
      </c>
      <c r="O657" s="130">
        <v>0</v>
      </c>
      <c r="P657" s="130">
        <v>0</v>
      </c>
      <c r="Q657" s="130">
        <v>0</v>
      </c>
      <c r="R657" s="130">
        <v>0</v>
      </c>
      <c r="S657" s="130">
        <v>0</v>
      </c>
      <c r="T657" s="130">
        <v>0</v>
      </c>
      <c r="U657" s="130">
        <v>0</v>
      </c>
      <c r="V657" s="524">
        <v>0</v>
      </c>
      <c r="W657" s="130">
        <v>0</v>
      </c>
      <c r="X657" s="130">
        <v>0</v>
      </c>
      <c r="Y657" s="130">
        <v>0</v>
      </c>
      <c r="Z657" s="130">
        <v>0</v>
      </c>
      <c r="AA657" s="159" t="s">
        <v>3631</v>
      </c>
      <c r="AB657" s="159" t="s">
        <v>1269</v>
      </c>
      <c r="AD657" s="159">
        <v>3</v>
      </c>
      <c r="AE657" s="158" t="b">
        <f>IF(AB657="",TRUE,IF(IF(AC657="",VLOOKUP(AB657,Calculs!$A$19:$S$425,19,FALSE),VLOOKUP(AC657,Calculs!$A$19:$S$425,19,FALSE))&gt;=AD657,TRUE,FALSE))</f>
        <v>0</v>
      </c>
      <c r="AI657" s="158" t="b">
        <f>IF(AF657="",TRUE,IF(IF(AG657="",VLOOKUP(AF657,Calculs!$A$19:$S$425,19,FALSE),VLOOKUP(AG657,Calculs!$A$19:$S$425,19,FALSE))&gt;=AH657,TRUE,FALSE))</f>
        <v>1</v>
      </c>
      <c r="AM657" s="158" t="b">
        <f>IF(AJ657="",TRUE,IF(IF(AK657="",VLOOKUP(AJ657,Calculs!$A$19:$S$425,19,FALSE),VLOOKUP(AK657,Calculs!$A$19:$S$425,19,FALSE))&gt;=AL657,TRUE,FALSE))</f>
        <v>1</v>
      </c>
      <c r="AQ657" s="158" t="b">
        <f>IF(AN657="",TRUE,IF(IF(AO657="",VLOOKUP(AN657,Calculs!$A$19:$S$425,19,FALSE),VLOOKUP(AO657,Calculs!$A$19:$S$425,19,FALSE))&gt;=AP657,TRUE,FALSE))</f>
        <v>1</v>
      </c>
      <c r="AR657" s="158"/>
      <c r="AS657" s="158" t="b">
        <f>IF(AR657="",TRUE,IF(VLOOKUP(AR657,Calculs!$A$427:$G$738,7,FALSE)&gt;0,TRUE,FALSE))</f>
        <v>1</v>
      </c>
      <c r="AT657" s="158"/>
      <c r="AU657" s="158" t="b">
        <f>IF(AT657="",TRUE,IF(VLOOKUP(AT657,Calculs!$A$740:$G$912,7,FALSE)&gt;0,TRUE,FALSE))</f>
        <v>1</v>
      </c>
      <c r="AV657" s="158" t="b">
        <f t="shared" si="73"/>
        <v>0</v>
      </c>
      <c r="AW657" s="158" t="s">
        <v>2078</v>
      </c>
      <c r="AX657" s="162" t="s">
        <v>6061</v>
      </c>
      <c r="AY657" s="15">
        <v>199</v>
      </c>
      <c r="AZ657" s="555" t="s">
        <v>8648</v>
      </c>
      <c r="BA657" s="559">
        <f>IF(Verso!$B$10=Voies!$B657,1,0)</f>
        <v>0</v>
      </c>
      <c r="BB657" s="12">
        <f>IF(Verso!$B$11=Voies!$B657,1,0)</f>
        <v>0</v>
      </c>
      <c r="BC657" s="12">
        <f>IF(Verso!$B$12=Voies!$B657,1,0)</f>
        <v>0</v>
      </c>
      <c r="BD657" s="12">
        <f>IF(Verso!$B$13=Voies!$B657,1,0)</f>
        <v>0</v>
      </c>
      <c r="BE657" s="12">
        <f>IF(Verso!$B$14=Voies!$B657,1,0)</f>
        <v>0</v>
      </c>
      <c r="BF657" s="12">
        <f>IF(Verso!$B$15=Voies!$B657,1,0)</f>
        <v>0</v>
      </c>
      <c r="BG657" s="12">
        <f>IF(Verso!$B$16=Voies!$B657,1,0)</f>
        <v>0</v>
      </c>
      <c r="BH657" s="12">
        <f>IF(Verso!$B$17=Voies!$B657,1,0)</f>
        <v>0</v>
      </c>
      <c r="BI657" s="557">
        <f t="shared" si="74"/>
        <v>0</v>
      </c>
      <c r="BJ657" s="196" t="str">
        <f t="shared" si="75"/>
        <v/>
      </c>
      <c r="BK657" s="196" t="str">
        <f t="shared" si="76"/>
        <v/>
      </c>
      <c r="BL657" s="295" t="str">
        <f t="shared" si="77"/>
        <v/>
      </c>
    </row>
    <row r="658" spans="1:64" ht="47.25" customHeight="1" x14ac:dyDescent="0.25">
      <c r="A658" s="162" t="str">
        <f>IF(AND(Réputation&gt;Voies!E658-1,OR(C658=TRUE,Calculs!$I$8&gt;0),Air&gt;Voies!J658-1,Eau&gt;Voies!K658-1,Feu&gt;Voies!L658-1,Terre&gt;Voies!M658-1,Vide&gt;Voies!N658-1,Constitution&gt;Voies!O658-1,Volonté&gt;Voies!P658-1,Force&gt;Voies!Q658-1,Perception&gt;Voies!R658-1,Reflexes&gt;Voies!S658-1,Agilité&gt;Voies!T658-1,Intuition&gt;Voies!U658-1,Intelligence&gt;Voies!V658-1,Souillure&gt;Voies!W658-1,Honneur&gt;X658-1,Statut&gt;Y658-1,Gloire&gt;Z658-1,AV658=TRUE),Voies!B658,"")</f>
        <v/>
      </c>
      <c r="B658" s="162" t="s">
        <v>3163</v>
      </c>
      <c r="C658" s="162" t="b">
        <f>IF(Clan=Voies!D658,TRUE,FALSE)</f>
        <v>0</v>
      </c>
      <c r="D658" s="387" t="s">
        <v>178</v>
      </c>
      <c r="E658" s="13">
        <v>2</v>
      </c>
      <c r="F658" s="199">
        <v>2</v>
      </c>
      <c r="G658" s="13" t="s">
        <v>2049</v>
      </c>
      <c r="H658" s="162" t="s">
        <v>592</v>
      </c>
      <c r="I658" s="129" t="s">
        <v>3162</v>
      </c>
      <c r="J658" s="146">
        <v>0</v>
      </c>
      <c r="K658" s="147">
        <v>0</v>
      </c>
      <c r="L658" s="148">
        <v>0</v>
      </c>
      <c r="M658" s="149">
        <v>0</v>
      </c>
      <c r="N658" s="150">
        <v>0</v>
      </c>
      <c r="O658" s="130">
        <v>0</v>
      </c>
      <c r="P658" s="130">
        <v>0</v>
      </c>
      <c r="Q658" s="130">
        <v>0</v>
      </c>
      <c r="R658" s="130">
        <v>0</v>
      </c>
      <c r="S658" s="130">
        <v>0</v>
      </c>
      <c r="T658" s="130">
        <v>0</v>
      </c>
      <c r="U658" s="130">
        <v>0</v>
      </c>
      <c r="V658" s="524">
        <v>0</v>
      </c>
      <c r="W658" s="130">
        <v>0</v>
      </c>
      <c r="X658" s="130">
        <v>0</v>
      </c>
      <c r="Y658" s="130">
        <v>0</v>
      </c>
      <c r="Z658" s="130">
        <v>0</v>
      </c>
      <c r="AA658" s="159" t="s">
        <v>3164</v>
      </c>
      <c r="AB658" s="159" t="s">
        <v>311</v>
      </c>
      <c r="AD658" s="159">
        <v>2</v>
      </c>
      <c r="AE658" s="158" t="b">
        <f>IF(AB658="",TRUE,IF(IF(AC658="",VLOOKUP(AB658,Calculs!$A$19:$S$425,19,FALSE),VLOOKUP(AC658,Calculs!$A$19:$S$425,19,FALSE))&gt;=AD658,TRUE,FALSE))</f>
        <v>0</v>
      </c>
      <c r="AF658" s="159" t="s">
        <v>3324</v>
      </c>
      <c r="AH658" s="159">
        <v>2</v>
      </c>
      <c r="AI658" s="158" t="b">
        <f>IF(AF658="",TRUE,IF(IF(AG658="",VLOOKUP(AF658,Calculs!$A$19:$S$425,19,FALSE),VLOOKUP(AG658,Calculs!$A$19:$S$425,19,FALSE))&gt;=AH658,TRUE,FALSE))</f>
        <v>0</v>
      </c>
      <c r="AM658" s="158" t="b">
        <f>IF(AJ658="",TRUE,IF(IF(AK658="",VLOOKUP(AJ658,Calculs!$A$19:$S$425,19,FALSE),VLOOKUP(AK658,Calculs!$A$19:$S$425,19,FALSE))&gt;=AL658,TRUE,FALSE))</f>
        <v>1</v>
      </c>
      <c r="AQ658" s="158" t="b">
        <f>IF(AN658="",TRUE,IF(IF(AO658="",VLOOKUP(AN658,Calculs!$A$19:$S$425,19,FALSE),VLOOKUP(AO658,Calculs!$A$19:$S$425,19,FALSE))&gt;=AP658,TRUE,FALSE))</f>
        <v>1</v>
      </c>
      <c r="AR658" s="158"/>
      <c r="AS658" s="158" t="b">
        <f>IF(AR658="",TRUE,IF(VLOOKUP(AR658,Calculs!$A$427:$G$738,7,FALSE)&gt;0,TRUE,FALSE))</f>
        <v>1</v>
      </c>
      <c r="AT658" s="158"/>
      <c r="AU658" s="158" t="b">
        <f>IF(AT658="",TRUE,IF(VLOOKUP(AT658,Calculs!$A$740:$G$912,7,FALSE)&gt;0,TRUE,FALSE))</f>
        <v>1</v>
      </c>
      <c r="AV658" s="158" t="b">
        <f t="shared" si="73"/>
        <v>0</v>
      </c>
      <c r="AW658" s="158" t="s">
        <v>2078</v>
      </c>
      <c r="AX658" s="162" t="s">
        <v>3</v>
      </c>
      <c r="AY658" s="15">
        <v>253</v>
      </c>
      <c r="AZ658" s="555" t="s">
        <v>8649</v>
      </c>
      <c r="BA658" s="559">
        <f>IF(Verso!$B$10=Voies!$B658,1,0)</f>
        <v>0</v>
      </c>
      <c r="BB658" s="12">
        <f>IF(Verso!$B$11=Voies!$B658,1,0)</f>
        <v>0</v>
      </c>
      <c r="BC658" s="12">
        <f>IF(Verso!$B$12=Voies!$B658,1,0)</f>
        <v>0</v>
      </c>
      <c r="BD658" s="12">
        <f>IF(Verso!$B$13=Voies!$B658,1,0)</f>
        <v>0</v>
      </c>
      <c r="BE658" s="12">
        <f>IF(Verso!$B$14=Voies!$B658,1,0)</f>
        <v>0</v>
      </c>
      <c r="BF658" s="12">
        <f>IF(Verso!$B$15=Voies!$B658,1,0)</f>
        <v>0</v>
      </c>
      <c r="BG658" s="12">
        <f>IF(Verso!$B$16=Voies!$B658,1,0)</f>
        <v>0</v>
      </c>
      <c r="BH658" s="12">
        <f>IF(Verso!$B$17=Voies!$B658,1,0)</f>
        <v>0</v>
      </c>
      <c r="BI658" s="557">
        <f t="shared" si="74"/>
        <v>0</v>
      </c>
      <c r="BJ658" s="196" t="str">
        <f t="shared" si="75"/>
        <v/>
      </c>
      <c r="BK658" s="196" t="str">
        <f t="shared" si="76"/>
        <v/>
      </c>
      <c r="BL658" s="295" t="str">
        <f t="shared" si="77"/>
        <v/>
      </c>
    </row>
    <row r="659" spans="1:64" ht="47.25" customHeight="1" x14ac:dyDescent="0.25">
      <c r="A659" s="162" t="str">
        <f>IF(AND(Réputation&gt;Voies!E659-1,OR(C659=TRUE,Calculs!$I$8&gt;0),Air&gt;Voies!J659-1,Eau&gt;Voies!K659-1,Feu&gt;Voies!L659-1,Terre&gt;Voies!M659-1,Vide&gt;Voies!N659-1,Constitution&gt;Voies!O659-1,Volonté&gt;Voies!P659-1,Force&gt;Voies!Q659-1,Perception&gt;Voies!R659-1,Reflexes&gt;Voies!S659-1,Agilité&gt;Voies!T659-1,Intuition&gt;Voies!U659-1,Intelligence&gt;Voies!V659-1,Souillure&gt;Voies!W659-1,Honneur&gt;X659-1,Statut&gt;Y659-1,Gloire&gt;Z659-1,AV659=TRUE),Voies!B659,"")</f>
        <v/>
      </c>
      <c r="B659" s="162" t="s">
        <v>5880</v>
      </c>
      <c r="C659" s="162" t="b">
        <f>IF(OR(Clan="Guêpe",Clan="Mante"),TRUE,FALSE)</f>
        <v>0</v>
      </c>
      <c r="D659" s="387" t="s">
        <v>178</v>
      </c>
      <c r="E659" s="199">
        <v>2</v>
      </c>
      <c r="F659" s="199">
        <v>2</v>
      </c>
      <c r="G659" s="199" t="s">
        <v>2049</v>
      </c>
      <c r="H659" s="162" t="s">
        <v>468</v>
      </c>
      <c r="I659" s="129" t="s">
        <v>3648</v>
      </c>
      <c r="J659" s="146">
        <v>0</v>
      </c>
      <c r="K659" s="147">
        <v>0</v>
      </c>
      <c r="L659" s="148">
        <v>0</v>
      </c>
      <c r="M659" s="149">
        <v>0</v>
      </c>
      <c r="N659" s="150">
        <v>0</v>
      </c>
      <c r="O659" s="130">
        <v>0</v>
      </c>
      <c r="P659" s="130">
        <v>0</v>
      </c>
      <c r="Q659" s="130">
        <v>0</v>
      </c>
      <c r="R659" s="130">
        <v>0</v>
      </c>
      <c r="S659" s="130">
        <v>0</v>
      </c>
      <c r="T659" s="130">
        <v>0</v>
      </c>
      <c r="U659" s="130">
        <v>0</v>
      </c>
      <c r="V659" s="524">
        <v>0</v>
      </c>
      <c r="W659" s="130">
        <v>0</v>
      </c>
      <c r="X659" s="130">
        <v>0</v>
      </c>
      <c r="Y659" s="130">
        <v>0</v>
      </c>
      <c r="Z659" s="130">
        <v>0</v>
      </c>
      <c r="AA659" s="159" t="s">
        <v>3646</v>
      </c>
      <c r="AB659" s="159" t="s">
        <v>231</v>
      </c>
      <c r="AD659" s="159">
        <v>2</v>
      </c>
      <c r="AE659" s="158" t="b">
        <f>IF(AB659="",TRUE,IF(IF(AC659="",VLOOKUP(AB659,Calculs!$A$19:$S$425,19,FALSE),VLOOKUP(AC659,Calculs!$A$19:$S$425,19,FALSE))&gt;=AD659,TRUE,FALSE))</f>
        <v>0</v>
      </c>
      <c r="AI659" s="158" t="b">
        <f>IF(AF659="",TRUE,IF(IF(AG659="",VLOOKUP(AF659,Calculs!$A$19:$S$425,19,FALSE),VLOOKUP(AG659,Calculs!$A$19:$S$425,19,FALSE))&gt;=AH659,TRUE,FALSE))</f>
        <v>1</v>
      </c>
      <c r="AM659" s="158" t="b">
        <f>IF(AJ659="",TRUE,IF(IF(AK659="",VLOOKUP(AJ659,Calculs!$A$19:$S$425,19,FALSE),VLOOKUP(AK659,Calculs!$A$19:$S$425,19,FALSE))&gt;=AL659,TRUE,FALSE))</f>
        <v>1</v>
      </c>
      <c r="AQ659" s="158" t="b">
        <f>IF(AN659="",TRUE,IF(IF(AO659="",VLOOKUP(AN659,Calculs!$A$19:$S$425,19,FALSE),VLOOKUP(AO659,Calculs!$A$19:$S$425,19,FALSE))&gt;=AP659,TRUE,FALSE))</f>
        <v>1</v>
      </c>
      <c r="AR659" s="158"/>
      <c r="AS659" s="158" t="b">
        <f>IF(AR659="",TRUE,IF(VLOOKUP(AR659,Calculs!$A$427:$G$738,7,FALSE)&gt;0,TRUE,FALSE))</f>
        <v>1</v>
      </c>
      <c r="AT659" s="158"/>
      <c r="AU659" s="158" t="b">
        <f>IF(AT659="",TRUE,IF(VLOOKUP(AT659,Calculs!$A$740:$G$912,7,FALSE)&gt;0,TRUE,FALSE))</f>
        <v>1</v>
      </c>
      <c r="AV659" s="158" t="b">
        <f t="shared" si="73"/>
        <v>0</v>
      </c>
      <c r="AW659" s="158" t="s">
        <v>2078</v>
      </c>
      <c r="AX659" s="162" t="s">
        <v>2077</v>
      </c>
      <c r="AY659" s="15">
        <v>149</v>
      </c>
      <c r="AZ659" s="555" t="str">
        <f>CONCATENATE("Quand vous combattez un adversaire ayant un Rg de Gloire supérieur à ",Gloire,", dépensez un Pvide pour garder 0gX à votre attaque où X est égal à la différence de vos Rg. de Gloire et ceux de votre adversaire. Bonus maximum= votre Rg. d'Ecole.")</f>
        <v>Quand vous combattez un adversaire ayant un Rg de Gloire supérieur à 1, dépensez un Pvide pour garder 0gX à votre attaque où X est égal à la différence de vos Rg. de Gloire et ceux de votre adversaire. Bonus maximum= votre Rg. d'Ecole.</v>
      </c>
      <c r="BA659" s="559">
        <f>IF(Verso!$B$10=Voies!$B659,1,0)</f>
        <v>0</v>
      </c>
      <c r="BB659" s="12">
        <f>IF(Verso!$B$11=Voies!$B659,1,0)</f>
        <v>0</v>
      </c>
      <c r="BC659" s="12">
        <f>IF(Verso!$B$12=Voies!$B659,1,0)</f>
        <v>0</v>
      </c>
      <c r="BD659" s="12">
        <f>IF(Verso!$B$13=Voies!$B659,1,0)</f>
        <v>0</v>
      </c>
      <c r="BE659" s="12">
        <f>IF(Verso!$B$14=Voies!$B659,1,0)</f>
        <v>0</v>
      </c>
      <c r="BF659" s="12">
        <f>IF(Verso!$B$15=Voies!$B659,1,0)</f>
        <v>0</v>
      </c>
      <c r="BG659" s="12">
        <f>IF(Verso!$B$16=Voies!$B659,1,0)</f>
        <v>0</v>
      </c>
      <c r="BH659" s="12">
        <f>IF(Verso!$B$17=Voies!$B659,1,0)</f>
        <v>0</v>
      </c>
      <c r="BI659" s="557">
        <f t="shared" si="74"/>
        <v>0</v>
      </c>
      <c r="BJ659" s="196" t="str">
        <f t="shared" si="75"/>
        <v/>
      </c>
      <c r="BK659" s="196" t="str">
        <f t="shared" si="76"/>
        <v/>
      </c>
      <c r="BL659" s="295" t="str">
        <f t="shared" si="77"/>
        <v/>
      </c>
    </row>
    <row r="660" spans="1:64" ht="47.25" customHeight="1" x14ac:dyDescent="0.25">
      <c r="A660" s="162" t="str">
        <f>IF(AND(Réputation&gt;Voies!E660-1,OR(C660=TRUE,Calculs!$I$8&gt;0),Air&gt;Voies!J660-1,Eau&gt;Voies!K660-1,Feu&gt;Voies!L660-1,Terre&gt;Voies!M660-1,Vide&gt;Voies!N660-1,Constitution&gt;Voies!O660-1,Volonté&gt;Voies!P660-1,Force&gt;Voies!Q660-1,Perception&gt;Voies!R660-1,Reflexes&gt;Voies!S660-1,Agilité&gt;Voies!T660-1,Intuition&gt;Voies!U660-1,Intelligence&gt;Voies!V660-1,Souillure&gt;Voies!W660-1,Honneur&gt;X660-1,Statut&gt;Y660-1,Gloire&gt;Z660-1,AV660=TRUE),Voies!B660,"")</f>
        <v/>
      </c>
      <c r="B660" s="162" t="s">
        <v>3520</v>
      </c>
      <c r="C660" s="162" t="b">
        <f>IF(Clan=Voies!D660,TRUE,FALSE)</f>
        <v>0</v>
      </c>
      <c r="D660" s="387" t="s">
        <v>178</v>
      </c>
      <c r="E660" s="13">
        <v>2</v>
      </c>
      <c r="F660" s="199">
        <v>2</v>
      </c>
      <c r="G660" s="13" t="s">
        <v>2052</v>
      </c>
      <c r="H660" s="162" t="s">
        <v>515</v>
      </c>
      <c r="I660" s="129" t="s">
        <v>3341</v>
      </c>
      <c r="J660" s="146">
        <v>0</v>
      </c>
      <c r="K660" s="147">
        <v>0</v>
      </c>
      <c r="L660" s="148">
        <v>3</v>
      </c>
      <c r="M660" s="149">
        <v>0</v>
      </c>
      <c r="N660" s="150">
        <v>0</v>
      </c>
      <c r="O660" s="130">
        <v>0</v>
      </c>
      <c r="P660" s="130">
        <v>0</v>
      </c>
      <c r="Q660" s="130">
        <v>0</v>
      </c>
      <c r="R660" s="130">
        <v>0</v>
      </c>
      <c r="S660" s="130">
        <v>0</v>
      </c>
      <c r="T660" s="130">
        <v>0</v>
      </c>
      <c r="U660" s="130">
        <v>0</v>
      </c>
      <c r="V660" s="524">
        <v>0</v>
      </c>
      <c r="W660" s="130">
        <v>0</v>
      </c>
      <c r="X660" s="130">
        <v>0</v>
      </c>
      <c r="Y660" s="130">
        <v>0</v>
      </c>
      <c r="Z660" s="130">
        <v>0</v>
      </c>
      <c r="AA660" s="159" t="s">
        <v>3519</v>
      </c>
      <c r="AB660" s="159" t="s">
        <v>1265</v>
      </c>
      <c r="AD660" s="159">
        <v>2</v>
      </c>
      <c r="AE660" s="158" t="b">
        <f>IF(AB660="",TRUE,IF(IF(AC660="",VLOOKUP(AB660,Calculs!$A$19:$S$425,19,FALSE),VLOOKUP(AC660,Calculs!$A$19:$S$425,19,FALSE))&gt;=AD660,TRUE,FALSE))</f>
        <v>0</v>
      </c>
      <c r="AI660" s="158" t="b">
        <f>IF(AF660="",TRUE,IF(IF(AG660="",VLOOKUP(AF660,Calculs!$A$19:$S$425,19,FALSE),VLOOKUP(AG660,Calculs!$A$19:$S$425,19,FALSE))&gt;=AH660,TRUE,FALSE))</f>
        <v>1</v>
      </c>
      <c r="AM660" s="158" t="b">
        <f>IF(AJ660="",TRUE,IF(IF(AK660="",VLOOKUP(AJ660,Calculs!$A$19:$S$425,19,FALSE),VLOOKUP(AK660,Calculs!$A$19:$S$425,19,FALSE))&gt;=AL660,TRUE,FALSE))</f>
        <v>1</v>
      </c>
      <c r="AQ660" s="158" t="b">
        <f>IF(AN660="",TRUE,IF(IF(AO660="",VLOOKUP(AN660,Calculs!$A$19:$S$425,19,FALSE),VLOOKUP(AO660,Calculs!$A$19:$S$425,19,FALSE))&gt;=AP660,TRUE,FALSE))</f>
        <v>1</v>
      </c>
      <c r="AR660" s="158"/>
      <c r="AS660" s="158" t="b">
        <f>IF(AR660="",TRUE,IF(VLOOKUP(AR660,Calculs!$A$427:$G$738,7,FALSE)&gt;0,TRUE,FALSE))</f>
        <v>1</v>
      </c>
      <c r="AT660" s="158"/>
      <c r="AU660" s="158" t="b">
        <f>IF(AT660="",TRUE,IF(VLOOKUP(AT660,Calculs!$A$740:$G$912,7,FALSE)&gt;0,TRUE,FALSE))</f>
        <v>1</v>
      </c>
      <c r="AV660" s="158" t="b">
        <f t="shared" si="73"/>
        <v>0</v>
      </c>
      <c r="AW660" s="158" t="s">
        <v>2078</v>
      </c>
      <c r="AX660" s="162" t="s">
        <v>160</v>
      </c>
      <c r="AY660" s="15">
        <v>181</v>
      </c>
      <c r="AZ660" s="555" t="str">
        <f>CONCATENATE("Test de Méditation/Feu ND 15 après 1h. En cas de succès vous gagnez les Avantages Excellente Mémoire et Clairvoyant pendant ",Feu,"h. Si vous avez déjà ces avantages: +1g0 à leurs bonus.")</f>
        <v>Test de Méditation/Feu ND 15 après 1h. En cas de succès vous gagnez les Avantages Excellente Mémoire et Clairvoyant pendant 2h. Si vous avez déjà ces avantages: +1g0 à leurs bonus.</v>
      </c>
      <c r="BA660" s="559">
        <f>IF(Verso!$B$10=Voies!$B660,1,0)</f>
        <v>0</v>
      </c>
      <c r="BB660" s="12">
        <f>IF(Verso!$B$11=Voies!$B660,1,0)</f>
        <v>0</v>
      </c>
      <c r="BC660" s="12">
        <f>IF(Verso!$B$12=Voies!$B660,1,0)</f>
        <v>0</v>
      </c>
      <c r="BD660" s="12">
        <f>IF(Verso!$B$13=Voies!$B660,1,0)</f>
        <v>0</v>
      </c>
      <c r="BE660" s="12">
        <f>IF(Verso!$B$14=Voies!$B660,1,0)</f>
        <v>0</v>
      </c>
      <c r="BF660" s="12">
        <f>IF(Verso!$B$15=Voies!$B660,1,0)</f>
        <v>0</v>
      </c>
      <c r="BG660" s="12">
        <f>IF(Verso!$B$16=Voies!$B660,1,0)</f>
        <v>0</v>
      </c>
      <c r="BH660" s="12">
        <f>IF(Verso!$B$17=Voies!$B660,1,0)</f>
        <v>0</v>
      </c>
      <c r="BI660" s="557">
        <f t="shared" si="74"/>
        <v>0</v>
      </c>
      <c r="BJ660" s="196" t="str">
        <f t="shared" si="75"/>
        <v/>
      </c>
      <c r="BK660" s="196" t="str">
        <f t="shared" si="76"/>
        <v/>
      </c>
      <c r="BL660" s="295" t="str">
        <f t="shared" si="77"/>
        <v/>
      </c>
    </row>
    <row r="661" spans="1:64" ht="47.25" customHeight="1" x14ac:dyDescent="0.25">
      <c r="A661" s="162" t="str">
        <f>IF(AND(Réputation&gt;Voies!E661-1,OR(C661=TRUE,Calculs!$I$8&gt;0),Air&gt;Voies!J661-1,Eau&gt;Voies!K661-1,Feu&gt;Voies!L661-1,Terre&gt;Voies!M661-1,Vide&gt;Voies!N661-1,Constitution&gt;Voies!O661-1,Volonté&gt;Voies!P661-1,Force&gt;Voies!Q661-1,Perception&gt;Voies!R661-1,Reflexes&gt;Voies!S661-1,Agilité&gt;Voies!T661-1,Intuition&gt;Voies!U661-1,Intelligence&gt;Voies!V661-1,Souillure&gt;Voies!W661-1,Honneur&gt;X661-1,Statut&gt;Y661-1,Gloire&gt;Z661-1,AV661=TRUE),Voies!B661,"")</f>
        <v/>
      </c>
      <c r="B661" s="162" t="s">
        <v>2484</v>
      </c>
      <c r="C661" s="162" t="b">
        <f>IF(Clan=Voies!D661,TRUE,FALSE)</f>
        <v>0</v>
      </c>
      <c r="D661" s="387" t="s">
        <v>178</v>
      </c>
      <c r="E661" s="13">
        <v>2</v>
      </c>
      <c r="F661" s="199">
        <v>2</v>
      </c>
      <c r="G661" s="13" t="s">
        <v>2052</v>
      </c>
      <c r="H661" s="162" t="s">
        <v>2482</v>
      </c>
      <c r="I661" s="129" t="str">
        <f>IF(B661="","","Rien")</f>
        <v>Rien</v>
      </c>
      <c r="J661" s="146">
        <v>0</v>
      </c>
      <c r="K661" s="147">
        <v>0</v>
      </c>
      <c r="L661" s="148">
        <v>0</v>
      </c>
      <c r="M661" s="149">
        <v>0</v>
      </c>
      <c r="N661" s="150">
        <v>0</v>
      </c>
      <c r="O661" s="130">
        <v>0</v>
      </c>
      <c r="P661" s="130">
        <v>0</v>
      </c>
      <c r="Q661" s="130">
        <v>0</v>
      </c>
      <c r="R661" s="130">
        <v>0</v>
      </c>
      <c r="S661" s="130">
        <v>0</v>
      </c>
      <c r="T661" s="130">
        <v>0</v>
      </c>
      <c r="U661" s="130">
        <v>0</v>
      </c>
      <c r="V661" s="524">
        <v>0</v>
      </c>
      <c r="W661" s="130">
        <v>0</v>
      </c>
      <c r="X661" s="130">
        <v>0</v>
      </c>
      <c r="Y661" s="130">
        <v>0</v>
      </c>
      <c r="Z661" s="130">
        <v>0</v>
      </c>
      <c r="AA661" s="158" t="s">
        <v>2078</v>
      </c>
      <c r="AB661" s="158"/>
      <c r="AC661" s="158"/>
      <c r="AD661" s="158"/>
      <c r="AE661" s="158" t="b">
        <f>IF(AB661="",TRUE,IF(IF(AC661="",VLOOKUP(AB661,Calculs!$A$19:$S$425,19,FALSE),VLOOKUP(AC661,Calculs!$A$19:$S$425,19,FALSE))&gt;=AD661,TRUE,FALSE))</f>
        <v>1</v>
      </c>
      <c r="AF661" s="158"/>
      <c r="AG661" s="158"/>
      <c r="AH661" s="158"/>
      <c r="AI661" s="158" t="b">
        <f>IF(AF661="",TRUE,IF(IF(AG661="",VLOOKUP(AF661,Calculs!$A$19:$S$425,19,FALSE),VLOOKUP(AG661,Calculs!$A$19:$S$425,19,FALSE))&gt;=AH661,TRUE,FALSE))</f>
        <v>1</v>
      </c>
      <c r="AJ661" s="158"/>
      <c r="AK661" s="158"/>
      <c r="AL661" s="158"/>
      <c r="AM661" s="158" t="b">
        <f>IF(AJ661="",TRUE,IF(IF(AK661="",VLOOKUP(AJ661,Calculs!$A$19:$S$425,19,FALSE),VLOOKUP(AK661,Calculs!$A$19:$S$425,19,FALSE))&gt;=AL661,TRUE,FALSE))</f>
        <v>1</v>
      </c>
      <c r="AN661" s="158"/>
      <c r="AO661" s="158"/>
      <c r="AP661" s="158"/>
      <c r="AQ661" s="158" t="b">
        <f>IF(AN661="",TRUE,IF(IF(AO661="",VLOOKUP(AN661,Calculs!$A$19:$S$425,19,FALSE),VLOOKUP(AO661,Calculs!$A$19:$S$425,19,FALSE))&gt;=AP661,TRUE,FALSE))</f>
        <v>1</v>
      </c>
      <c r="AR661" s="158"/>
      <c r="AS661" s="158" t="b">
        <f>IF(AR661="",TRUE,IF(VLOOKUP(AR661,Calculs!$A$427:$G$738,7,FALSE)&gt;0,TRUE,FALSE))</f>
        <v>1</v>
      </c>
      <c r="AT661" s="158"/>
      <c r="AU661" s="158" t="b">
        <f>IF(AT661="",TRUE,IF(VLOOKUP(AT661,Calculs!$A$740:$G$912,7,FALSE)&gt;0,TRUE,FALSE))</f>
        <v>1</v>
      </c>
      <c r="AV661" s="158" t="b">
        <f t="shared" si="73"/>
        <v>1</v>
      </c>
      <c r="AW661" s="158" t="s">
        <v>2078</v>
      </c>
      <c r="AX661" s="162" t="s">
        <v>3</v>
      </c>
      <c r="AY661" s="15">
        <v>125</v>
      </c>
      <c r="AZ661" s="555" t="str">
        <f>CONCATENATE("Quand vous utilisez Intimidation (Contrôle) votre Volonté est égale à ",Volonté+1," (ou ",Volonté+2," à la place si vous l'utilisez contre un Samurai de Statut inférieur au vôtre)")</f>
        <v>Quand vous utilisez Intimidation (Contrôle) votre Volonté est égale à 3 (ou 4 à la place si vous l'utilisez contre un Samurai de Statut inférieur au vôtre)</v>
      </c>
      <c r="BA661" s="559">
        <f>IF(Verso!$B$10=Voies!$B661,1,0)</f>
        <v>0</v>
      </c>
      <c r="BB661" s="12">
        <f>IF(Verso!$B$11=Voies!$B661,1,0)</f>
        <v>0</v>
      </c>
      <c r="BC661" s="12">
        <f>IF(Verso!$B$12=Voies!$B661,1,0)</f>
        <v>0</v>
      </c>
      <c r="BD661" s="12">
        <f>IF(Verso!$B$13=Voies!$B661,1,0)</f>
        <v>0</v>
      </c>
      <c r="BE661" s="12">
        <f>IF(Verso!$B$14=Voies!$B661,1,0)</f>
        <v>0</v>
      </c>
      <c r="BF661" s="12">
        <f>IF(Verso!$B$15=Voies!$B661,1,0)</f>
        <v>0</v>
      </c>
      <c r="BG661" s="12">
        <f>IF(Verso!$B$16=Voies!$B661,1,0)</f>
        <v>0</v>
      </c>
      <c r="BH661" s="12">
        <f>IF(Verso!$B$17=Voies!$B661,1,0)</f>
        <v>0</v>
      </c>
      <c r="BI661" s="557">
        <f t="shared" si="74"/>
        <v>0</v>
      </c>
      <c r="BJ661" s="196" t="str">
        <f t="shared" si="75"/>
        <v/>
      </c>
      <c r="BK661" s="196" t="str">
        <f t="shared" si="76"/>
        <v/>
      </c>
      <c r="BL661" s="295" t="str">
        <f t="shared" si="77"/>
        <v/>
      </c>
    </row>
    <row r="662" spans="1:64" ht="47.25" customHeight="1" x14ac:dyDescent="0.25">
      <c r="A662" s="162" t="str">
        <f>IF(AND(Réputation&gt;Voies!E662-1,OR(C662=TRUE,Calculs!$I$8&gt;0),Air&gt;Voies!J662-1,Eau&gt;Voies!K662-1,Feu&gt;Voies!L662-1,Terre&gt;Voies!M662-1,Vide&gt;Voies!N662-1,Constitution&gt;Voies!O662-1,Volonté&gt;Voies!P662-1,Force&gt;Voies!Q662-1,Perception&gt;Voies!R662-1,Reflexes&gt;Voies!S662-1,Agilité&gt;Voies!T662-1,Intuition&gt;Voies!U662-1,Intelligence&gt;Voies!V662-1,Souillure&gt;Voies!W662-1,Honneur&gt;X662-1,Statut&gt;Y662-1,Gloire&gt;Z662-1,AV662=TRUE),Voies!B662,"")</f>
        <v/>
      </c>
      <c r="B662" s="162" t="s">
        <v>2490</v>
      </c>
      <c r="C662" s="162" t="b">
        <f>IF(Clan=Voies!D662,TRUE,FALSE)</f>
        <v>0</v>
      </c>
      <c r="D662" s="387" t="s">
        <v>178</v>
      </c>
      <c r="E662" s="13">
        <v>3</v>
      </c>
      <c r="F662" s="199">
        <v>3</v>
      </c>
      <c r="G662" s="13" t="s">
        <v>2049</v>
      </c>
      <c r="H662" s="162" t="s">
        <v>209</v>
      </c>
      <c r="I662" s="129" t="str">
        <f>IF(B662="","","Rien")</f>
        <v>Rien</v>
      </c>
      <c r="J662" s="146">
        <v>0</v>
      </c>
      <c r="K662" s="147">
        <v>0</v>
      </c>
      <c r="L662" s="148">
        <v>0</v>
      </c>
      <c r="M662" s="149">
        <v>0</v>
      </c>
      <c r="N662" s="150">
        <v>0</v>
      </c>
      <c r="O662" s="130">
        <v>0</v>
      </c>
      <c r="P662" s="130">
        <v>0</v>
      </c>
      <c r="Q662" s="130">
        <v>0</v>
      </c>
      <c r="R662" s="130">
        <v>0</v>
      </c>
      <c r="S662" s="130">
        <v>0</v>
      </c>
      <c r="T662" s="130">
        <v>0</v>
      </c>
      <c r="U662" s="130">
        <v>0</v>
      </c>
      <c r="V662" s="524">
        <v>0</v>
      </c>
      <c r="W662" s="130">
        <v>0</v>
      </c>
      <c r="X662" s="130">
        <v>0</v>
      </c>
      <c r="Y662" s="130">
        <v>0</v>
      </c>
      <c r="Z662" s="130">
        <v>0</v>
      </c>
      <c r="AA662" s="158" t="s">
        <v>2078</v>
      </c>
      <c r="AB662" s="158"/>
      <c r="AC662" s="158"/>
      <c r="AD662" s="158"/>
      <c r="AE662" s="158" t="b">
        <f>IF(AB662="",TRUE,IF(IF(AC662="",VLOOKUP(AB662,Calculs!$A$19:$S$425,19,FALSE),VLOOKUP(AC662,Calculs!$A$19:$S$425,19,FALSE))&gt;=AD662,TRUE,FALSE))</f>
        <v>1</v>
      </c>
      <c r="AF662" s="158"/>
      <c r="AG662" s="158"/>
      <c r="AH662" s="158"/>
      <c r="AI662" s="158" t="b">
        <f>IF(AF662="",TRUE,IF(IF(AG662="",VLOOKUP(AF662,Calculs!$A$19:$S$425,19,FALSE),VLOOKUP(AG662,Calculs!$A$19:$S$425,19,FALSE))&gt;=AH662,TRUE,FALSE))</f>
        <v>1</v>
      </c>
      <c r="AJ662" s="158"/>
      <c r="AK662" s="158"/>
      <c r="AL662" s="158"/>
      <c r="AM662" s="158" t="b">
        <f>IF(AJ662="",TRUE,IF(IF(AK662="",VLOOKUP(AJ662,Calculs!$A$19:$S$425,19,FALSE),VLOOKUP(AK662,Calculs!$A$19:$S$425,19,FALSE))&gt;=AL662,TRUE,FALSE))</f>
        <v>1</v>
      </c>
      <c r="AN662" s="158"/>
      <c r="AO662" s="158"/>
      <c r="AP662" s="158"/>
      <c r="AQ662" s="158" t="b">
        <f>IF(AN662="",TRUE,IF(IF(AO662="",VLOOKUP(AN662,Calculs!$A$19:$S$425,19,FALSE),VLOOKUP(AO662,Calculs!$A$19:$S$425,19,FALSE))&gt;=AP662,TRUE,FALSE))</f>
        <v>1</v>
      </c>
      <c r="AR662" s="158"/>
      <c r="AS662" s="158" t="b">
        <f>IF(AR662="",TRUE,IF(VLOOKUP(AR662,Calculs!$A$427:$G$738,7,FALSE)&gt;0,TRUE,FALSE))</f>
        <v>1</v>
      </c>
      <c r="AT662" s="158"/>
      <c r="AU662" s="158" t="b">
        <f>IF(AT662="",TRUE,IF(VLOOKUP(AT662,Calculs!$A$740:$G$912,7,FALSE)&gt;0,TRUE,FALSE))</f>
        <v>1</v>
      </c>
      <c r="AV662" s="158" t="b">
        <f t="shared" si="73"/>
        <v>1</v>
      </c>
      <c r="AW662" s="158" t="s">
        <v>2078</v>
      </c>
      <c r="AX662" s="162" t="s">
        <v>3</v>
      </c>
      <c r="AY662" s="15">
        <v>125</v>
      </c>
      <c r="AZ662" s="555" t="s">
        <v>2494</v>
      </c>
      <c r="BA662" s="559">
        <f>IF(Verso!$B$10=Voies!$B662,1,0)</f>
        <v>0</v>
      </c>
      <c r="BB662" s="12">
        <f>IF(Verso!$B$11=Voies!$B662,1,0)</f>
        <v>0</v>
      </c>
      <c r="BC662" s="12">
        <f>IF(Verso!$B$12=Voies!$B662,1,0)</f>
        <v>0</v>
      </c>
      <c r="BD662" s="12">
        <f>IF(Verso!$B$13=Voies!$B662,1,0)</f>
        <v>0</v>
      </c>
      <c r="BE662" s="12">
        <f>IF(Verso!$B$14=Voies!$B662,1,0)</f>
        <v>0</v>
      </c>
      <c r="BF662" s="12">
        <f>IF(Verso!$B$15=Voies!$B662,1,0)</f>
        <v>0</v>
      </c>
      <c r="BG662" s="12">
        <f>IF(Verso!$B$16=Voies!$B662,1,0)</f>
        <v>0</v>
      </c>
      <c r="BH662" s="12">
        <f>IF(Verso!$B$17=Voies!$B662,1,0)</f>
        <v>0</v>
      </c>
      <c r="BI662" s="557">
        <f t="shared" si="74"/>
        <v>0</v>
      </c>
      <c r="BJ662" s="196" t="str">
        <f t="shared" si="75"/>
        <v/>
      </c>
      <c r="BK662" s="196" t="str">
        <f t="shared" si="76"/>
        <v/>
      </c>
      <c r="BL662" s="295" t="str">
        <f t="shared" si="77"/>
        <v/>
      </c>
    </row>
    <row r="663" spans="1:64" ht="47.25" customHeight="1" x14ac:dyDescent="0.25">
      <c r="A663" s="162" t="str">
        <f>IF(AND(Réputation&gt;Voies!E663-1,OR(C663=TRUE,Calculs!$I$8&gt;0),Air&gt;Voies!J663-1,Eau&gt;Voies!K663-1,Feu&gt;Voies!L663-1,Terre&gt;Voies!M663-1,Vide&gt;Voies!N663-1,Constitution&gt;Voies!O663-1,Volonté&gt;Voies!P663-1,Force&gt;Voies!Q663-1,Perception&gt;Voies!R663-1,Reflexes&gt;Voies!S663-1,Agilité&gt;Voies!T663-1,Intuition&gt;Voies!U663-1,Intelligence&gt;Voies!V663-1,Souillure&gt;Voies!W663-1,Honneur&gt;X663-1,Statut&gt;Y663-1,Gloire&gt;Z663-1,AV663=TRUE),Voies!B663,"")</f>
        <v/>
      </c>
      <c r="B663" s="162" t="s">
        <v>2470</v>
      </c>
      <c r="C663" s="162" t="b">
        <f>IF(Clan=Voies!D663,TRUE,FALSE)</f>
        <v>0</v>
      </c>
      <c r="D663" s="387" t="s">
        <v>178</v>
      </c>
      <c r="E663" s="13">
        <v>3</v>
      </c>
      <c r="F663" s="199">
        <v>3</v>
      </c>
      <c r="G663" s="13" t="s">
        <v>2049</v>
      </c>
      <c r="H663" s="162" t="s">
        <v>210</v>
      </c>
      <c r="I663" s="129" t="str">
        <f>IF(B663="","","Rien")</f>
        <v>Rien</v>
      </c>
      <c r="J663" s="146">
        <v>0</v>
      </c>
      <c r="K663" s="147">
        <v>0</v>
      </c>
      <c r="L663" s="148">
        <v>0</v>
      </c>
      <c r="M663" s="149">
        <v>0</v>
      </c>
      <c r="N663" s="150">
        <v>0</v>
      </c>
      <c r="O663" s="130">
        <v>0</v>
      </c>
      <c r="P663" s="130">
        <v>0</v>
      </c>
      <c r="Q663" s="130">
        <v>0</v>
      </c>
      <c r="R663" s="130">
        <v>0</v>
      </c>
      <c r="S663" s="130">
        <v>0</v>
      </c>
      <c r="T663" s="130">
        <v>0</v>
      </c>
      <c r="U663" s="130">
        <v>0</v>
      </c>
      <c r="V663" s="524">
        <v>0</v>
      </c>
      <c r="W663" s="130">
        <v>0</v>
      </c>
      <c r="X663" s="130">
        <v>0</v>
      </c>
      <c r="Y663" s="130">
        <v>0</v>
      </c>
      <c r="Z663" s="130">
        <v>0</v>
      </c>
      <c r="AA663" s="158" t="s">
        <v>2078</v>
      </c>
      <c r="AB663" s="158"/>
      <c r="AC663" s="158"/>
      <c r="AD663" s="158"/>
      <c r="AE663" s="158" t="b">
        <f>IF(AB663="",TRUE,IF(IF(AC663="",VLOOKUP(AB663,Calculs!$A$19:$S$425,19,FALSE),VLOOKUP(AC663,Calculs!$A$19:$S$425,19,FALSE))&gt;=AD663,TRUE,FALSE))</f>
        <v>1</v>
      </c>
      <c r="AF663" s="158"/>
      <c r="AG663" s="158"/>
      <c r="AH663" s="158"/>
      <c r="AI663" s="158" t="b">
        <f>IF(AF663="",TRUE,IF(IF(AG663="",VLOOKUP(AF663,Calculs!$A$19:$S$425,19,FALSE),VLOOKUP(AG663,Calculs!$A$19:$S$425,19,FALSE))&gt;=AH663,TRUE,FALSE))</f>
        <v>1</v>
      </c>
      <c r="AJ663" s="158"/>
      <c r="AK663" s="158"/>
      <c r="AL663" s="158"/>
      <c r="AM663" s="158" t="b">
        <f>IF(AJ663="",TRUE,IF(IF(AK663="",VLOOKUP(AJ663,Calculs!$A$19:$S$425,19,FALSE),VLOOKUP(AK663,Calculs!$A$19:$S$425,19,FALSE))&gt;=AL663,TRUE,FALSE))</f>
        <v>1</v>
      </c>
      <c r="AN663" s="158"/>
      <c r="AO663" s="158"/>
      <c r="AP663" s="158"/>
      <c r="AQ663" s="158" t="b">
        <f>IF(AN663="",TRUE,IF(IF(AO663="",VLOOKUP(AN663,Calculs!$A$19:$S$425,19,FALSE),VLOOKUP(AO663,Calculs!$A$19:$S$425,19,FALSE))&gt;=AP663,TRUE,FALSE))</f>
        <v>1</v>
      </c>
      <c r="AR663" s="158"/>
      <c r="AS663" s="158" t="b">
        <f>IF(AR663="",TRUE,IF(VLOOKUP(AR663,Calculs!$A$427:$G$738,7,FALSE)&gt;0,TRUE,FALSE))</f>
        <v>1</v>
      </c>
      <c r="AT663" s="158"/>
      <c r="AU663" s="158" t="b">
        <f>IF(AT663="",TRUE,IF(VLOOKUP(AT663,Calculs!$A$740:$G$912,7,FALSE)&gt;0,TRUE,FALSE))</f>
        <v>1</v>
      </c>
      <c r="AV663" s="158" t="b">
        <f t="shared" si="73"/>
        <v>1</v>
      </c>
      <c r="AW663" s="158" t="s">
        <v>2078</v>
      </c>
      <c r="AX663" s="162" t="s">
        <v>3</v>
      </c>
      <c r="AY663" s="15">
        <v>123</v>
      </c>
      <c r="AZ663" s="555" t="s">
        <v>2475</v>
      </c>
      <c r="BA663" s="559">
        <f>IF(Verso!$B$10=Voies!$B663,1,0)</f>
        <v>0</v>
      </c>
      <c r="BB663" s="12">
        <f>IF(Verso!$B$11=Voies!$B663,1,0)</f>
        <v>0</v>
      </c>
      <c r="BC663" s="12">
        <f>IF(Verso!$B$12=Voies!$B663,1,0)</f>
        <v>0</v>
      </c>
      <c r="BD663" s="12">
        <f>IF(Verso!$B$13=Voies!$B663,1,0)</f>
        <v>0</v>
      </c>
      <c r="BE663" s="12">
        <f>IF(Verso!$B$14=Voies!$B663,1,0)</f>
        <v>0</v>
      </c>
      <c r="BF663" s="12">
        <f>IF(Verso!$B$15=Voies!$B663,1,0)</f>
        <v>0</v>
      </c>
      <c r="BG663" s="12">
        <f>IF(Verso!$B$16=Voies!$B663,1,0)</f>
        <v>0</v>
      </c>
      <c r="BH663" s="12">
        <f>IF(Verso!$B$17=Voies!$B663,1,0)</f>
        <v>0</v>
      </c>
      <c r="BI663" s="557">
        <f t="shared" si="74"/>
        <v>0</v>
      </c>
      <c r="BJ663" s="196" t="str">
        <f t="shared" si="75"/>
        <v/>
      </c>
      <c r="BK663" s="196" t="str">
        <f t="shared" si="76"/>
        <v/>
      </c>
      <c r="BL663" s="295" t="str">
        <f t="shared" si="77"/>
        <v/>
      </c>
    </row>
    <row r="664" spans="1:64" ht="47.25" customHeight="1" x14ac:dyDescent="0.25">
      <c r="A664" s="162" t="str">
        <f>IF(AND(Réputation&gt;Voies!E664-1,OR(C664=TRUE,Calculs!$I$8&gt;0),Air&gt;Voies!J664-1,Eau&gt;Voies!K664-1,Feu&gt;Voies!L664-1,Terre&gt;Voies!M664-1,Vide&gt;Voies!N664-1,Constitution&gt;Voies!O664-1,Volonté&gt;Voies!P664-1,Force&gt;Voies!Q664-1,Perception&gt;Voies!R664-1,Reflexes&gt;Voies!S664-1,Agilité&gt;Voies!T664-1,Intuition&gt;Voies!U664-1,Intelligence&gt;Voies!V664-1,Souillure&gt;Voies!W664-1,Honneur&gt;X664-1,Statut&gt;Y664-1,Gloire&gt;Z664-1,AV664=TRUE),Voies!B664,"")</f>
        <v/>
      </c>
      <c r="B664" s="162" t="s">
        <v>6097</v>
      </c>
      <c r="C664" s="162" t="b">
        <f>IF(Clan=Voies!D664,TRUE,FALSE)</f>
        <v>0</v>
      </c>
      <c r="D664" s="387" t="s">
        <v>178</v>
      </c>
      <c r="E664" s="13">
        <v>3</v>
      </c>
      <c r="F664" s="199">
        <v>3</v>
      </c>
      <c r="G664" s="13" t="s">
        <v>2049</v>
      </c>
      <c r="H664" s="162" t="s">
        <v>2865</v>
      </c>
      <c r="I664" s="129" t="str">
        <f>IF(B664="","","Rien")</f>
        <v>Rien</v>
      </c>
      <c r="J664" s="146">
        <v>0</v>
      </c>
      <c r="K664" s="147">
        <v>0</v>
      </c>
      <c r="L664" s="148">
        <v>0</v>
      </c>
      <c r="M664" s="149">
        <v>0</v>
      </c>
      <c r="N664" s="150">
        <v>0</v>
      </c>
      <c r="O664" s="130">
        <v>0</v>
      </c>
      <c r="P664" s="130">
        <v>0</v>
      </c>
      <c r="Q664" s="130">
        <v>0</v>
      </c>
      <c r="R664" s="130">
        <v>0</v>
      </c>
      <c r="S664" s="130">
        <v>0</v>
      </c>
      <c r="T664" s="130">
        <v>0</v>
      </c>
      <c r="U664" s="130">
        <v>0</v>
      </c>
      <c r="V664" s="524">
        <v>0</v>
      </c>
      <c r="W664" s="130">
        <v>0</v>
      </c>
      <c r="X664" s="130">
        <v>0</v>
      </c>
      <c r="Y664" s="130">
        <v>0</v>
      </c>
      <c r="Z664" s="130">
        <v>0</v>
      </c>
      <c r="AA664" s="158" t="s">
        <v>2078</v>
      </c>
      <c r="AB664" s="158"/>
      <c r="AC664" s="158"/>
      <c r="AD664" s="158"/>
      <c r="AE664" s="158" t="b">
        <f>IF(AB664="",TRUE,IF(IF(AC664="",VLOOKUP(AB664,Calculs!$A$19:$S$425,19,FALSE),VLOOKUP(AC664,Calculs!$A$19:$S$425,19,FALSE))&gt;=AD664,TRUE,FALSE))</f>
        <v>1</v>
      </c>
      <c r="AF664" s="158"/>
      <c r="AG664" s="158"/>
      <c r="AH664" s="158"/>
      <c r="AI664" s="158" t="b">
        <f>IF(AF664="",TRUE,IF(IF(AG664="",VLOOKUP(AF664,Calculs!$A$19:$S$425,19,FALSE),VLOOKUP(AG664,Calculs!$A$19:$S$425,19,FALSE))&gt;=AH664,TRUE,FALSE))</f>
        <v>1</v>
      </c>
      <c r="AJ664" s="158"/>
      <c r="AK664" s="158"/>
      <c r="AL664" s="158"/>
      <c r="AM664" s="158" t="b">
        <f>IF(AJ664="",TRUE,IF(IF(AK664="",VLOOKUP(AJ664,Calculs!$A$19:$S$425,19,FALSE),VLOOKUP(AK664,Calculs!$A$19:$S$425,19,FALSE))&gt;=AL664,TRUE,FALSE))</f>
        <v>1</v>
      </c>
      <c r="AN664" s="158"/>
      <c r="AO664" s="158"/>
      <c r="AP664" s="158"/>
      <c r="AQ664" s="158" t="b">
        <f>IF(AN664="",TRUE,IF(IF(AO664="",VLOOKUP(AN664,Calculs!$A$19:$S$425,19,FALSE),VLOOKUP(AO664,Calculs!$A$19:$S$425,19,FALSE))&gt;=AP664,TRUE,FALSE))</f>
        <v>1</v>
      </c>
      <c r="AR664" s="158"/>
      <c r="AS664" s="158" t="b">
        <f>IF(AR664="",TRUE,IF(VLOOKUP(AR664,Calculs!$A$427:$G$738,7,FALSE)&gt;0,TRUE,FALSE))</f>
        <v>1</v>
      </c>
      <c r="AT664" s="158"/>
      <c r="AU664" s="158" t="b">
        <f>IF(AT664="",TRUE,IF(VLOOKUP(AT664,Calculs!$A$740:$G$912,7,FALSE)&gt;0,TRUE,FALSE))</f>
        <v>1</v>
      </c>
      <c r="AV664" s="158" t="b">
        <f t="shared" si="73"/>
        <v>1</v>
      </c>
      <c r="AW664" s="158" t="s">
        <v>2078</v>
      </c>
      <c r="AX664" s="162" t="s">
        <v>6061</v>
      </c>
      <c r="AY664" s="15">
        <v>197</v>
      </c>
      <c r="AZ664" s="555" t="s">
        <v>2878</v>
      </c>
      <c r="BA664" s="559">
        <f>IF(Verso!$B$10=Voies!$B664,1,0)</f>
        <v>0</v>
      </c>
      <c r="BB664" s="12">
        <f>IF(Verso!$B$11=Voies!$B664,1,0)</f>
        <v>0</v>
      </c>
      <c r="BC664" s="12">
        <f>IF(Verso!$B$12=Voies!$B664,1,0)</f>
        <v>0</v>
      </c>
      <c r="BD664" s="12">
        <f>IF(Verso!$B$13=Voies!$B664,1,0)</f>
        <v>0</v>
      </c>
      <c r="BE664" s="12">
        <f>IF(Verso!$B$14=Voies!$B664,1,0)</f>
        <v>0</v>
      </c>
      <c r="BF664" s="12">
        <f>IF(Verso!$B$15=Voies!$B664,1,0)</f>
        <v>0</v>
      </c>
      <c r="BG664" s="12">
        <f>IF(Verso!$B$16=Voies!$B664,1,0)</f>
        <v>0</v>
      </c>
      <c r="BH664" s="12">
        <f>IF(Verso!$B$17=Voies!$B664,1,0)</f>
        <v>0</v>
      </c>
      <c r="BI664" s="557">
        <f t="shared" si="74"/>
        <v>0</v>
      </c>
      <c r="BJ664" s="196" t="str">
        <f t="shared" si="75"/>
        <v/>
      </c>
      <c r="BK664" s="196" t="str">
        <f t="shared" si="76"/>
        <v/>
      </c>
      <c r="BL664" s="295" t="str">
        <f t="shared" si="77"/>
        <v/>
      </c>
    </row>
    <row r="665" spans="1:64" ht="47.25" customHeight="1" x14ac:dyDescent="0.25">
      <c r="A665" s="162" t="str">
        <f>IF(AND(Réputation&gt;Voies!E665-1,OR(C665=TRUE,Calculs!$I$8&gt;0),Air&gt;Voies!J665-1,Eau&gt;Voies!K665-1,Feu&gt;Voies!L665-1,Terre&gt;Voies!M665-1,Vide&gt;Voies!N665-1,Constitution&gt;Voies!O665-1,Volonté&gt;Voies!P665-1,Force&gt;Voies!Q665-1,Perception&gt;Voies!R665-1,Reflexes&gt;Voies!S665-1,Agilité&gt;Voies!T665-1,Intuition&gt;Voies!U665-1,Intelligence&gt;Voies!V665-1,Souillure&gt;Voies!W665-1,Honneur&gt;X665-1,Statut&gt;Y665-1,Gloire&gt;Z665-1,AV665=TRUE),Voies!B665,"")</f>
        <v/>
      </c>
      <c r="B665" s="162" t="s">
        <v>6092</v>
      </c>
      <c r="C665" s="162" t="b">
        <f>IF(Clan=Voies!D665,TRUE,FALSE)</f>
        <v>0</v>
      </c>
      <c r="D665" s="387" t="s">
        <v>178</v>
      </c>
      <c r="E665" s="13">
        <v>3</v>
      </c>
      <c r="F665" s="199">
        <v>3</v>
      </c>
      <c r="G665" s="13" t="s">
        <v>2049</v>
      </c>
      <c r="H665" s="162" t="s">
        <v>6090</v>
      </c>
      <c r="I665" s="129" t="str">
        <f>IF(B665="","","Rien")</f>
        <v>Rien</v>
      </c>
      <c r="J665" s="146">
        <v>0</v>
      </c>
      <c r="K665" s="147">
        <v>0</v>
      </c>
      <c r="L665" s="148">
        <v>0</v>
      </c>
      <c r="M665" s="149">
        <v>0</v>
      </c>
      <c r="N665" s="150">
        <v>0</v>
      </c>
      <c r="O665" s="130">
        <v>0</v>
      </c>
      <c r="P665" s="130">
        <v>0</v>
      </c>
      <c r="Q665" s="130">
        <v>0</v>
      </c>
      <c r="R665" s="130">
        <v>0</v>
      </c>
      <c r="S665" s="130">
        <v>0</v>
      </c>
      <c r="T665" s="130">
        <v>0</v>
      </c>
      <c r="U665" s="130">
        <v>0</v>
      </c>
      <c r="V665" s="524">
        <v>0</v>
      </c>
      <c r="W665" s="130">
        <v>0</v>
      </c>
      <c r="X665" s="130">
        <v>0</v>
      </c>
      <c r="Y665" s="130">
        <v>0</v>
      </c>
      <c r="Z665" s="130">
        <v>0</v>
      </c>
      <c r="AA665" s="158" t="s">
        <v>2078</v>
      </c>
      <c r="AB665" s="158"/>
      <c r="AC665" s="158"/>
      <c r="AD665" s="158"/>
      <c r="AE665" s="158" t="b">
        <f>IF(AB665="",TRUE,IF(IF(AC665="",VLOOKUP(AB665,Calculs!$A$19:$S$425,19,FALSE),VLOOKUP(AC665,Calculs!$A$19:$S$425,19,FALSE))&gt;=AD665,TRUE,FALSE))</f>
        <v>1</v>
      </c>
      <c r="AF665" s="158"/>
      <c r="AG665" s="158"/>
      <c r="AH665" s="158"/>
      <c r="AI665" s="158" t="b">
        <f>IF(AF665="",TRUE,IF(IF(AG665="",VLOOKUP(AF665,Calculs!$A$19:$S$425,19,FALSE),VLOOKUP(AG665,Calculs!$A$19:$S$425,19,FALSE))&gt;=AH665,TRUE,FALSE))</f>
        <v>1</v>
      </c>
      <c r="AJ665" s="158"/>
      <c r="AK665" s="158"/>
      <c r="AL665" s="158"/>
      <c r="AM665" s="158" t="b">
        <f>IF(AJ665="",TRUE,IF(IF(AK665="",VLOOKUP(AJ665,Calculs!$A$19:$S$425,19,FALSE),VLOOKUP(AK665,Calculs!$A$19:$S$425,19,FALSE))&gt;=AL665,TRUE,FALSE))</f>
        <v>1</v>
      </c>
      <c r="AN665" s="158"/>
      <c r="AO665" s="158"/>
      <c r="AP665" s="158"/>
      <c r="AQ665" s="158" t="b">
        <f>IF(AN665="",TRUE,IF(IF(AO665="",VLOOKUP(AN665,Calculs!$A$19:$S$425,19,FALSE),VLOOKUP(AO665,Calculs!$A$19:$S$425,19,FALSE))&gt;=AP665,TRUE,FALSE))</f>
        <v>1</v>
      </c>
      <c r="AR665" s="158"/>
      <c r="AS665" s="158" t="b">
        <f>IF(AR665="",TRUE,IF(VLOOKUP(AR665,Calculs!$A$427:$G$738,7,FALSE)&gt;0,TRUE,FALSE))</f>
        <v>1</v>
      </c>
      <c r="AT665" s="158"/>
      <c r="AU665" s="158" t="b">
        <f>IF(AT665="",TRUE,IF(VLOOKUP(AT665,Calculs!$A$740:$G$912,7,FALSE)&gt;0,TRUE,FALSE))</f>
        <v>1</v>
      </c>
      <c r="AV665" s="158" t="b">
        <f t="shared" si="73"/>
        <v>1</v>
      </c>
      <c r="AW665" s="158" t="s">
        <v>2078</v>
      </c>
      <c r="AX665" s="162" t="s">
        <v>6061</v>
      </c>
      <c r="AY665" s="15">
        <v>195</v>
      </c>
      <c r="AZ665" s="555" t="s">
        <v>8650</v>
      </c>
      <c r="BA665" s="559">
        <f>IF(Verso!$B$10=Voies!$B665,1,0)</f>
        <v>0</v>
      </c>
      <c r="BB665" s="12">
        <f>IF(Verso!$B$11=Voies!$B665,1,0)</f>
        <v>0</v>
      </c>
      <c r="BC665" s="12">
        <f>IF(Verso!$B$12=Voies!$B665,1,0)</f>
        <v>0</v>
      </c>
      <c r="BD665" s="12">
        <f>IF(Verso!$B$13=Voies!$B665,1,0)</f>
        <v>0</v>
      </c>
      <c r="BE665" s="12">
        <f>IF(Verso!$B$14=Voies!$B665,1,0)</f>
        <v>0</v>
      </c>
      <c r="BF665" s="12">
        <f>IF(Verso!$B$15=Voies!$B665,1,0)</f>
        <v>0</v>
      </c>
      <c r="BG665" s="12">
        <f>IF(Verso!$B$16=Voies!$B665,1,0)</f>
        <v>0</v>
      </c>
      <c r="BH665" s="12">
        <f>IF(Verso!$B$17=Voies!$B665,1,0)</f>
        <v>0</v>
      </c>
      <c r="BI665" s="557">
        <f t="shared" si="74"/>
        <v>0</v>
      </c>
      <c r="BJ665" s="196" t="str">
        <f t="shared" si="75"/>
        <v/>
      </c>
      <c r="BK665" s="196" t="str">
        <f t="shared" si="76"/>
        <v/>
      </c>
      <c r="BL665" s="295" t="str">
        <f t="shared" si="77"/>
        <v/>
      </c>
    </row>
    <row r="666" spans="1:64" ht="47.25" customHeight="1" x14ac:dyDescent="0.25">
      <c r="A666" s="162" t="str">
        <f>IF(AND(Réputation&gt;Voies!E666-1,OR(C666=TRUE,Calculs!$I$8&gt;0),Air&gt;Voies!J666-1,Eau&gt;Voies!K666-1,Feu&gt;Voies!L666-1,Terre&gt;Voies!M666-1,Vide&gt;Voies!N666-1,Constitution&gt;Voies!O666-1,Volonté&gt;Voies!P666-1,Force&gt;Voies!Q666-1,Perception&gt;Voies!R666-1,Reflexes&gt;Voies!S666-1,Agilité&gt;Voies!T666-1,Intuition&gt;Voies!U666-1,Intelligence&gt;Voies!V666-1,Souillure&gt;Voies!W666-1,Honneur&gt;X666-1,Statut&gt;Y666-1,Gloire&gt;Z666-1,AV666=TRUE),Voies!B666,"")</f>
        <v/>
      </c>
      <c r="B666" s="162" t="s">
        <v>5864</v>
      </c>
      <c r="C666" s="162" t="b">
        <f>IF(OR(Clan="Guêpe",Clan="Mante"),TRUE,FALSE)</f>
        <v>0</v>
      </c>
      <c r="D666" s="387" t="s">
        <v>178</v>
      </c>
      <c r="E666" s="13">
        <v>3</v>
      </c>
      <c r="F666" s="199" t="s">
        <v>625</v>
      </c>
      <c r="G666" s="13" t="s">
        <v>2049</v>
      </c>
      <c r="H666" s="162" t="s">
        <v>4769</v>
      </c>
      <c r="I666" s="129" t="s">
        <v>5863</v>
      </c>
      <c r="J666" s="146">
        <v>0</v>
      </c>
      <c r="K666" s="147">
        <v>0</v>
      </c>
      <c r="L666" s="148">
        <v>0</v>
      </c>
      <c r="M666" s="149">
        <v>0</v>
      </c>
      <c r="N666" s="150">
        <v>0</v>
      </c>
      <c r="O666" s="130">
        <v>0</v>
      </c>
      <c r="P666" s="130">
        <v>0</v>
      </c>
      <c r="Q666" s="130">
        <v>0</v>
      </c>
      <c r="R666" s="130">
        <v>0</v>
      </c>
      <c r="S666" s="130">
        <v>0</v>
      </c>
      <c r="T666" s="130">
        <v>4</v>
      </c>
      <c r="U666" s="130">
        <v>0</v>
      </c>
      <c r="V666" s="524">
        <v>0</v>
      </c>
      <c r="W666" s="130">
        <v>0</v>
      </c>
      <c r="X666" s="130">
        <v>0</v>
      </c>
      <c r="Y666" s="130">
        <v>0</v>
      </c>
      <c r="Z666" s="130">
        <v>0</v>
      </c>
      <c r="AA666" s="159" t="s">
        <v>5867</v>
      </c>
      <c r="AB666" s="159" t="s">
        <v>1271</v>
      </c>
      <c r="AD666" s="159">
        <v>6</v>
      </c>
      <c r="AE666" s="158" t="b">
        <f>IF(AB666="",TRUE,IF(IF(AC666="",VLOOKUP(AB666,Calculs!$A$19:$S$425,19,FALSE),VLOOKUP(AC666,Calculs!$A$19:$S$425,19,FALSE))&gt;=AD666,TRUE,FALSE))</f>
        <v>0</v>
      </c>
      <c r="AI666" s="158" t="b">
        <f>IF(AF666="",TRUE,IF(IF(AG666="",VLOOKUP(AF666,Calculs!$A$19:$S$425,19,FALSE),VLOOKUP(AG666,Calculs!$A$19:$S$425,19,FALSE))&gt;=AH666,TRUE,FALSE))</f>
        <v>1</v>
      </c>
      <c r="AM666" s="158" t="b">
        <f>IF(AJ666="",TRUE,IF(IF(AK666="",VLOOKUP(AJ666,Calculs!$A$19:$S$425,19,FALSE),VLOOKUP(AK666,Calculs!$A$19:$S$425,19,FALSE))&gt;=AL666,TRUE,FALSE))</f>
        <v>1</v>
      </c>
      <c r="AQ666" s="158" t="b">
        <f>IF(AN666="",TRUE,IF(IF(AO666="",VLOOKUP(AN666,Calculs!$A$19:$S$425,19,FALSE),VLOOKUP(AO666,Calculs!$A$19:$S$425,19,FALSE))&gt;=AP666,TRUE,FALSE))</f>
        <v>1</v>
      </c>
      <c r="AR666" s="158"/>
      <c r="AS666" s="158" t="b">
        <f>IF(AR666="",TRUE,IF(VLOOKUP(AR666,Calculs!$A$427:$G$738,7,FALSE)&gt;0,TRUE,FALSE))</f>
        <v>1</v>
      </c>
      <c r="AT666" s="158"/>
      <c r="AU666" s="158" t="b">
        <f>IF(AT666="",TRUE,IF(VLOOKUP(AT666,Calculs!$A$740:$G$912,7,FALSE)&gt;0,TRUE,FALSE))</f>
        <v>1</v>
      </c>
      <c r="AV666" s="158" t="b">
        <f t="shared" si="73"/>
        <v>0</v>
      </c>
      <c r="AW666" s="158" t="s">
        <v>2078</v>
      </c>
      <c r="AX666" s="162" t="s">
        <v>4403</v>
      </c>
      <c r="AY666" s="15">
        <v>176</v>
      </c>
      <c r="AZ666" s="555" t="s">
        <v>8651</v>
      </c>
      <c r="BA666" s="559">
        <f>IF(Verso!$B$10=Voies!$B666,1,0)</f>
        <v>0</v>
      </c>
      <c r="BB666" s="12">
        <f>IF(Verso!$B$11=Voies!$B666,1,0)</f>
        <v>0</v>
      </c>
      <c r="BC666" s="12">
        <f>IF(Verso!$B$12=Voies!$B666,1,0)</f>
        <v>0</v>
      </c>
      <c r="BD666" s="12">
        <f>IF(Verso!$B$13=Voies!$B666,1,0)</f>
        <v>0</v>
      </c>
      <c r="BE666" s="12">
        <f>IF(Verso!$B$14=Voies!$B666,1,0)</f>
        <v>0</v>
      </c>
      <c r="BF666" s="12">
        <f>IF(Verso!$B$15=Voies!$B666,1,0)</f>
        <v>0</v>
      </c>
      <c r="BG666" s="12">
        <f>IF(Verso!$B$16=Voies!$B666,1,0)</f>
        <v>0</v>
      </c>
      <c r="BH666" s="12">
        <f>IF(Verso!$B$17=Voies!$B666,1,0)</f>
        <v>0</v>
      </c>
      <c r="BI666" s="557">
        <f t="shared" si="74"/>
        <v>0</v>
      </c>
      <c r="BJ666" s="196" t="str">
        <f t="shared" si="75"/>
        <v/>
      </c>
      <c r="BK666" s="196" t="str">
        <f t="shared" si="76"/>
        <v/>
      </c>
      <c r="BL666" s="295" t="str">
        <f t="shared" si="77"/>
        <v/>
      </c>
    </row>
    <row r="667" spans="1:64" ht="47.25" customHeight="1" x14ac:dyDescent="0.25">
      <c r="A667" s="162" t="str">
        <f>IF(AND(Réputation&gt;Voies!E667-1,OR(C667=TRUE,Calculs!$I$8&gt;0),Air&gt;Voies!J667-1,Eau&gt;Voies!K667-1,Feu&gt;Voies!L667-1,Terre&gt;Voies!M667-1,Vide&gt;Voies!N667-1,Constitution&gt;Voies!O667-1,Volonté&gt;Voies!P667-1,Force&gt;Voies!Q667-1,Perception&gt;Voies!R667-1,Reflexes&gt;Voies!S667-1,Agilité&gt;Voies!T667-1,Intuition&gt;Voies!U667-1,Intelligence&gt;Voies!V667-1,Souillure&gt;Voies!W667-1,Honneur&gt;X667-1,Statut&gt;Y667-1,Gloire&gt;Z667-1,AV667=TRUE),Voies!B667,"")</f>
        <v/>
      </c>
      <c r="B667" s="162" t="s">
        <v>2485</v>
      </c>
      <c r="C667" s="162" t="b">
        <f>IF(Clan=Voies!D667,TRUE,FALSE)</f>
        <v>0</v>
      </c>
      <c r="D667" s="387" t="s">
        <v>178</v>
      </c>
      <c r="E667" s="13">
        <v>3</v>
      </c>
      <c r="F667" s="199">
        <v>3</v>
      </c>
      <c r="G667" s="13" t="s">
        <v>2052</v>
      </c>
      <c r="H667" s="162" t="s">
        <v>2482</v>
      </c>
      <c r="I667" s="129" t="str">
        <f>IF(B667="","","Rien")</f>
        <v>Rien</v>
      </c>
      <c r="J667" s="146">
        <v>0</v>
      </c>
      <c r="K667" s="147">
        <v>0</v>
      </c>
      <c r="L667" s="148">
        <v>0</v>
      </c>
      <c r="M667" s="149">
        <v>0</v>
      </c>
      <c r="N667" s="150">
        <v>0</v>
      </c>
      <c r="O667" s="130">
        <v>0</v>
      </c>
      <c r="P667" s="130">
        <v>0</v>
      </c>
      <c r="Q667" s="130">
        <v>0</v>
      </c>
      <c r="R667" s="130">
        <v>0</v>
      </c>
      <c r="S667" s="130">
        <v>0</v>
      </c>
      <c r="T667" s="130">
        <v>0</v>
      </c>
      <c r="U667" s="130">
        <v>0</v>
      </c>
      <c r="V667" s="524">
        <v>0</v>
      </c>
      <c r="W667" s="130">
        <v>0</v>
      </c>
      <c r="X667" s="130">
        <v>0</v>
      </c>
      <c r="Y667" s="130">
        <v>0</v>
      </c>
      <c r="Z667" s="130">
        <v>0</v>
      </c>
      <c r="AA667" s="158" t="s">
        <v>2078</v>
      </c>
      <c r="AB667" s="158"/>
      <c r="AC667" s="158"/>
      <c r="AD667" s="158"/>
      <c r="AE667" s="158" t="b">
        <f>IF(AB667="",TRUE,IF(IF(AC667="",VLOOKUP(AB667,Calculs!$A$19:$S$425,19,FALSE),VLOOKUP(AC667,Calculs!$A$19:$S$425,19,FALSE))&gt;=AD667,TRUE,FALSE))</f>
        <v>1</v>
      </c>
      <c r="AF667" s="158"/>
      <c r="AG667" s="158"/>
      <c r="AH667" s="158"/>
      <c r="AI667" s="158" t="b">
        <f>IF(AF667="",TRUE,IF(IF(AG667="",VLOOKUP(AF667,Calculs!$A$19:$S$425,19,FALSE),VLOOKUP(AG667,Calculs!$A$19:$S$425,19,FALSE))&gt;=AH667,TRUE,FALSE))</f>
        <v>1</v>
      </c>
      <c r="AJ667" s="158"/>
      <c r="AK667" s="158"/>
      <c r="AL667" s="158"/>
      <c r="AM667" s="158" t="b">
        <f>IF(AJ667="",TRUE,IF(IF(AK667="",VLOOKUP(AJ667,Calculs!$A$19:$S$425,19,FALSE),VLOOKUP(AK667,Calculs!$A$19:$S$425,19,FALSE))&gt;=AL667,TRUE,FALSE))</f>
        <v>1</v>
      </c>
      <c r="AN667" s="158"/>
      <c r="AO667" s="158"/>
      <c r="AP667" s="158"/>
      <c r="AQ667" s="158" t="b">
        <f>IF(AN667="",TRUE,IF(IF(AO667="",VLOOKUP(AN667,Calculs!$A$19:$S$425,19,FALSE),VLOOKUP(AO667,Calculs!$A$19:$S$425,19,FALSE))&gt;=AP667,TRUE,FALSE))</f>
        <v>1</v>
      </c>
      <c r="AR667" s="158"/>
      <c r="AS667" s="158" t="b">
        <f>IF(AR667="",TRUE,IF(VLOOKUP(AR667,Calculs!$A$427:$G$738,7,FALSE)&gt;0,TRUE,FALSE))</f>
        <v>1</v>
      </c>
      <c r="AT667" s="158"/>
      <c r="AU667" s="158" t="b">
        <f>IF(AT667="",TRUE,IF(VLOOKUP(AT667,Calculs!$A$740:$G$912,7,FALSE)&gt;0,TRUE,FALSE))</f>
        <v>1</v>
      </c>
      <c r="AV667" s="158" t="b">
        <f t="shared" si="73"/>
        <v>1</v>
      </c>
      <c r="AW667" s="158" t="s">
        <v>2078</v>
      </c>
      <c r="AX667" s="162" t="s">
        <v>3</v>
      </c>
      <c r="AY667" s="15">
        <v>125</v>
      </c>
      <c r="AZ667" s="555" t="s">
        <v>8652</v>
      </c>
      <c r="BA667" s="559">
        <f>IF(Verso!$B$10=Voies!$B667,1,0)</f>
        <v>0</v>
      </c>
      <c r="BB667" s="12">
        <f>IF(Verso!$B$11=Voies!$B667,1,0)</f>
        <v>0</v>
      </c>
      <c r="BC667" s="12">
        <f>IF(Verso!$B$12=Voies!$B667,1,0)</f>
        <v>0</v>
      </c>
      <c r="BD667" s="12">
        <f>IF(Verso!$B$13=Voies!$B667,1,0)</f>
        <v>0</v>
      </c>
      <c r="BE667" s="12">
        <f>IF(Verso!$B$14=Voies!$B667,1,0)</f>
        <v>0</v>
      </c>
      <c r="BF667" s="12">
        <f>IF(Verso!$B$15=Voies!$B667,1,0)</f>
        <v>0</v>
      </c>
      <c r="BG667" s="12">
        <f>IF(Verso!$B$16=Voies!$B667,1,0)</f>
        <v>0</v>
      </c>
      <c r="BH667" s="12">
        <f>IF(Verso!$B$17=Voies!$B667,1,0)</f>
        <v>0</v>
      </c>
      <c r="BI667" s="557">
        <f t="shared" si="74"/>
        <v>0</v>
      </c>
      <c r="BJ667" s="196" t="str">
        <f t="shared" si="75"/>
        <v/>
      </c>
      <c r="BK667" s="196" t="str">
        <f t="shared" si="76"/>
        <v/>
      </c>
      <c r="BL667" s="295" t="str">
        <f t="shared" si="77"/>
        <v/>
      </c>
    </row>
    <row r="668" spans="1:64" ht="47.25" customHeight="1" x14ac:dyDescent="0.25">
      <c r="A668" s="162" t="str">
        <f>IF(AND(Réputation&gt;Voies!E668-1,OR(C668=TRUE,Calculs!$I$8&gt;0),Air&gt;Voies!J668-1,Eau&gt;Voies!K668-1,Feu&gt;Voies!L668-1,Terre&gt;Voies!M668-1,Vide&gt;Voies!N668-1,Constitution&gt;Voies!O668-1,Volonté&gt;Voies!P668-1,Force&gt;Voies!Q668-1,Perception&gt;Voies!R668-1,Reflexes&gt;Voies!S668-1,Agilité&gt;Voies!T668-1,Intuition&gt;Voies!U668-1,Intelligence&gt;Voies!V668-1,Souillure&gt;Voies!W668-1,Honneur&gt;X668-1,Statut&gt;Y668-1,Gloire&gt;Z668-1,AV668=TRUE),Voies!B668,"")</f>
        <v/>
      </c>
      <c r="B668" s="162" t="s">
        <v>5878</v>
      </c>
      <c r="C668" s="162" t="b">
        <f>IF(Clan=Voies!D668,TRUE,FALSE)</f>
        <v>0</v>
      </c>
      <c r="D668" s="387" t="s">
        <v>178</v>
      </c>
      <c r="E668" s="199">
        <v>3</v>
      </c>
      <c r="F668" s="199">
        <v>3</v>
      </c>
      <c r="G668" s="199" t="s">
        <v>2048</v>
      </c>
      <c r="H668" s="162" t="s">
        <v>511</v>
      </c>
      <c r="I668" s="129" t="s">
        <v>3445</v>
      </c>
      <c r="J668" s="146">
        <v>0</v>
      </c>
      <c r="K668" s="147">
        <v>0</v>
      </c>
      <c r="L668" s="148">
        <v>0</v>
      </c>
      <c r="M668" s="149">
        <v>0</v>
      </c>
      <c r="N668" s="150">
        <v>0</v>
      </c>
      <c r="O668" s="130">
        <v>0</v>
      </c>
      <c r="P668" s="130">
        <v>0</v>
      </c>
      <c r="Q668" s="130">
        <v>0</v>
      </c>
      <c r="R668" s="130">
        <v>0</v>
      </c>
      <c r="S668" s="130">
        <v>0</v>
      </c>
      <c r="T668" s="130">
        <v>0</v>
      </c>
      <c r="U668" s="130">
        <v>0</v>
      </c>
      <c r="V668" s="524">
        <v>0</v>
      </c>
      <c r="W668" s="130">
        <v>0</v>
      </c>
      <c r="X668" s="130">
        <v>0</v>
      </c>
      <c r="Y668" s="130">
        <v>0</v>
      </c>
      <c r="Z668" s="130">
        <v>0</v>
      </c>
      <c r="AA668" s="159" t="s">
        <v>6385</v>
      </c>
      <c r="AB668" s="159" t="s">
        <v>1269</v>
      </c>
      <c r="AD668" s="159">
        <v>3</v>
      </c>
      <c r="AE668" s="158" t="b">
        <f>IF(AB668="",TRUE,IF(IF(AC668="",VLOOKUP(AB668,Calculs!$A$19:$S$425,19,FALSE),VLOOKUP(AC668,Calculs!$A$19:$S$425,19,FALSE))&gt;=AD668,TRUE,FALSE))</f>
        <v>0</v>
      </c>
      <c r="AF668" s="159" t="s">
        <v>1922</v>
      </c>
      <c r="AG668" s="159" t="s">
        <v>115</v>
      </c>
      <c r="AH668" s="159">
        <v>2</v>
      </c>
      <c r="AI668" s="158" t="b">
        <f>IF(AF668="",TRUE,IF(IF(AG668="",VLOOKUP(AF668,Calculs!$A$19:$S$425,19,FALSE),VLOOKUP(AG668,Calculs!$A$19:$S$425,19,FALSE))&gt;=AH668,TRUE,FALSE))</f>
        <v>0</v>
      </c>
      <c r="AM668" s="158" t="b">
        <f>IF(AJ668="",TRUE,IF(IF(AK668="",VLOOKUP(AJ668,Calculs!$A$19:$S$425,19,FALSE),VLOOKUP(AK668,Calculs!$A$19:$S$425,19,FALSE))&gt;=AL668,TRUE,FALSE))</f>
        <v>1</v>
      </c>
      <c r="AQ668" s="158" t="b">
        <f>IF(AN668="",TRUE,IF(IF(AO668="",VLOOKUP(AN668,Calculs!$A$19:$S$425,19,FALSE),VLOOKUP(AO668,Calculs!$A$19:$S$425,19,FALSE))&gt;=AP668,TRUE,FALSE))</f>
        <v>1</v>
      </c>
      <c r="AR668" s="158"/>
      <c r="AS668" s="158" t="b">
        <f>IF(AR668="",TRUE,IF(VLOOKUP(AR668,Calculs!$A$427:$G$738,7,FALSE)&gt;0,TRUE,FALSE))</f>
        <v>1</v>
      </c>
      <c r="AT668" s="158"/>
      <c r="AU668" s="158" t="b">
        <f>IF(AT668="",TRUE,IF(VLOOKUP(AT668,Calculs!$A$740:$G$912,7,FALSE)&gt;0,TRUE,FALSE))</f>
        <v>1</v>
      </c>
      <c r="AV668" s="158" t="b">
        <f t="shared" si="73"/>
        <v>0</v>
      </c>
      <c r="AW668" s="158" t="s">
        <v>2078</v>
      </c>
      <c r="AX668" s="162" t="s">
        <v>158</v>
      </c>
      <c r="AY668" s="151">
        <v>196</v>
      </c>
      <c r="AZ668" s="555" t="s">
        <v>3446</v>
      </c>
      <c r="BA668" s="559">
        <f>IF(Verso!$B$10=Voies!$B668,1,0)</f>
        <v>0</v>
      </c>
      <c r="BB668" s="12">
        <f>IF(Verso!$B$11=Voies!$B668,1,0)</f>
        <v>0</v>
      </c>
      <c r="BC668" s="12">
        <f>IF(Verso!$B$12=Voies!$B668,1,0)</f>
        <v>0</v>
      </c>
      <c r="BD668" s="12">
        <f>IF(Verso!$B$13=Voies!$B668,1,0)</f>
        <v>0</v>
      </c>
      <c r="BE668" s="12">
        <f>IF(Verso!$B$14=Voies!$B668,1,0)</f>
        <v>0</v>
      </c>
      <c r="BF668" s="12">
        <f>IF(Verso!$B$15=Voies!$B668,1,0)</f>
        <v>0</v>
      </c>
      <c r="BG668" s="12">
        <f>IF(Verso!$B$16=Voies!$B668,1,0)</f>
        <v>0</v>
      </c>
      <c r="BH668" s="12">
        <f>IF(Verso!$B$17=Voies!$B668,1,0)</f>
        <v>0</v>
      </c>
      <c r="BI668" s="557">
        <f t="shared" si="74"/>
        <v>0</v>
      </c>
      <c r="BJ668" s="196" t="str">
        <f t="shared" si="75"/>
        <v/>
      </c>
      <c r="BK668" s="196" t="str">
        <f t="shared" si="76"/>
        <v/>
      </c>
      <c r="BL668" s="295" t="str">
        <f t="shared" si="77"/>
        <v/>
      </c>
    </row>
    <row r="669" spans="1:64" ht="47.25" customHeight="1" x14ac:dyDescent="0.25">
      <c r="A669" s="162" t="str">
        <f>IF(AND(Réputation&gt;Voies!E669-1,OR(C669=TRUE,Calculs!$I$8&gt;0),Air&gt;Voies!J669-1,Eau&gt;Voies!K669-1,Feu&gt;Voies!L669-1,Terre&gt;Voies!M669-1,Vide&gt;Voies!N669-1,Constitution&gt;Voies!O669-1,Volonté&gt;Voies!P669-1,Force&gt;Voies!Q669-1,Perception&gt;Voies!R669-1,Reflexes&gt;Voies!S669-1,Agilité&gt;Voies!T669-1,Intuition&gt;Voies!U669-1,Intelligence&gt;Voies!V669-1,Souillure&gt;Voies!W669-1,Honneur&gt;X669-1,Statut&gt;Y669-1,Gloire&gt;Z669-1,AV669=TRUE),Voies!B669,"")</f>
        <v/>
      </c>
      <c r="B669" s="162" t="s">
        <v>3167</v>
      </c>
      <c r="C669" s="162" t="b">
        <f>IF(Clan=Voies!D669,TRUE,FALSE)</f>
        <v>0</v>
      </c>
      <c r="D669" s="387" t="s">
        <v>178</v>
      </c>
      <c r="E669" s="199">
        <v>3</v>
      </c>
      <c r="F669" s="199">
        <v>3</v>
      </c>
      <c r="G669" s="199" t="s">
        <v>2048</v>
      </c>
      <c r="H669" s="162" t="s">
        <v>513</v>
      </c>
      <c r="I669" s="129" t="s">
        <v>3165</v>
      </c>
      <c r="J669" s="146">
        <v>0</v>
      </c>
      <c r="K669" s="147">
        <v>0</v>
      </c>
      <c r="L669" s="148">
        <v>0</v>
      </c>
      <c r="M669" s="149">
        <v>0</v>
      </c>
      <c r="N669" s="150">
        <v>0</v>
      </c>
      <c r="O669" s="130">
        <v>0</v>
      </c>
      <c r="P669" s="130">
        <v>0</v>
      </c>
      <c r="Q669" s="130">
        <v>0</v>
      </c>
      <c r="R669" s="130">
        <v>0</v>
      </c>
      <c r="S669" s="130">
        <v>0</v>
      </c>
      <c r="T669" s="130">
        <v>0</v>
      </c>
      <c r="U669" s="130">
        <v>0</v>
      </c>
      <c r="V669" s="524">
        <v>0</v>
      </c>
      <c r="W669" s="130">
        <v>0</v>
      </c>
      <c r="X669" s="130">
        <v>0</v>
      </c>
      <c r="Y669" s="130">
        <v>0</v>
      </c>
      <c r="Z669" s="130">
        <v>0</v>
      </c>
      <c r="AA669" s="159" t="s">
        <v>3166</v>
      </c>
      <c r="AE669" s="158" t="b">
        <f>IF(AB669="",TRUE,IF(IF(AC669="",VLOOKUP(AB669,Calculs!$A$19:$S$425,19,FALSE),VLOOKUP(AC669,Calculs!$A$19:$S$425,19,FALSE))&gt;=AD669,TRUE,FALSE))</f>
        <v>1</v>
      </c>
      <c r="AI669" s="158" t="b">
        <f>IF(AF669="",TRUE,IF(IF(AG669="",VLOOKUP(AF669,Calculs!$A$19:$S$425,19,FALSE),VLOOKUP(AG669,Calculs!$A$19:$S$425,19,FALSE))&gt;=AH669,TRUE,FALSE))</f>
        <v>1</v>
      </c>
      <c r="AM669" s="158" t="b">
        <f>IF(AJ669="",TRUE,IF(IF(AK669="",VLOOKUP(AJ669,Calculs!$A$19:$S$425,19,FALSE),VLOOKUP(AK669,Calculs!$A$19:$S$425,19,FALSE))&gt;=AL669,TRUE,FALSE))</f>
        <v>1</v>
      </c>
      <c r="AQ669" s="158" t="b">
        <f>IF(AN669="",TRUE,IF(IF(AO669="",VLOOKUP(AN669,Calculs!$A$19:$S$425,19,FALSE),VLOOKUP(AO669,Calculs!$A$19:$S$425,19,FALSE))&gt;=AP669,TRUE,FALSE))</f>
        <v>1</v>
      </c>
      <c r="AR669" s="158"/>
      <c r="AS669" s="158" t="b">
        <f>IF(AR669="",TRUE,IF(VLOOKUP(AR669,Calculs!$A$427:$G$738,7,FALSE)&gt;0,TRUE,FALSE))</f>
        <v>1</v>
      </c>
      <c r="AT669" s="158"/>
      <c r="AU669" s="158" t="b">
        <f>IF(AT669="",TRUE,IF(VLOOKUP(AT669,Calculs!$A$740:$G$912,7,FALSE)&gt;0,TRUE,FALSE))</f>
        <v>1</v>
      </c>
      <c r="AV669" s="158" t="b">
        <f t="shared" si="73"/>
        <v>1</v>
      </c>
      <c r="AW669" s="158" t="s">
        <v>2078</v>
      </c>
      <c r="AX669" s="162" t="s">
        <v>3</v>
      </c>
      <c r="AY669" s="15">
        <v>253</v>
      </c>
      <c r="AZ669" s="555" t="s">
        <v>8653</v>
      </c>
      <c r="BA669" s="559">
        <f>IF(Verso!$B$10=Voies!$B669,1,0)</f>
        <v>0</v>
      </c>
      <c r="BB669" s="12">
        <f>IF(Verso!$B$11=Voies!$B669,1,0)</f>
        <v>0</v>
      </c>
      <c r="BC669" s="12">
        <f>IF(Verso!$B$12=Voies!$B669,1,0)</f>
        <v>0</v>
      </c>
      <c r="BD669" s="12">
        <f>IF(Verso!$B$13=Voies!$B669,1,0)</f>
        <v>0</v>
      </c>
      <c r="BE669" s="12">
        <f>IF(Verso!$B$14=Voies!$B669,1,0)</f>
        <v>0</v>
      </c>
      <c r="BF669" s="12">
        <f>IF(Verso!$B$15=Voies!$B669,1,0)</f>
        <v>0</v>
      </c>
      <c r="BG669" s="12">
        <f>IF(Verso!$B$16=Voies!$B669,1,0)</f>
        <v>0</v>
      </c>
      <c r="BH669" s="12">
        <f>IF(Verso!$B$17=Voies!$B669,1,0)</f>
        <v>0</v>
      </c>
      <c r="BI669" s="557">
        <f t="shared" si="74"/>
        <v>0</v>
      </c>
      <c r="BJ669" s="196" t="str">
        <f t="shared" si="75"/>
        <v/>
      </c>
      <c r="BK669" s="196" t="str">
        <f t="shared" si="76"/>
        <v/>
      </c>
      <c r="BL669" s="295" t="str">
        <f t="shared" si="77"/>
        <v/>
      </c>
    </row>
    <row r="670" spans="1:64" ht="47.25" customHeight="1" x14ac:dyDescent="0.25">
      <c r="A670" s="162" t="str">
        <f>IF(AND(Réputation&gt;Voies!E670-1,OR(C670=TRUE,Calculs!$I$8&gt;0),Air&gt;Voies!J670-1,Eau&gt;Voies!K670-1,Feu&gt;Voies!L670-1,Terre&gt;Voies!M670-1,Vide&gt;Voies!N670-1,Constitution&gt;Voies!O670-1,Volonté&gt;Voies!P670-1,Force&gt;Voies!Q670-1,Perception&gt;Voies!R670-1,Reflexes&gt;Voies!S670-1,Agilité&gt;Voies!T670-1,Intuition&gt;Voies!U670-1,Intelligence&gt;Voies!V670-1,Souillure&gt;Voies!W670-1,Honneur&gt;X670-1,Statut&gt;Y670-1,Gloire&gt;Z670-1,AV670=TRUE),Voies!B670,"")</f>
        <v/>
      </c>
      <c r="B670" s="162" t="s">
        <v>5877</v>
      </c>
      <c r="C670" s="162" t="b">
        <f>IF(Clan=Voies!D670,TRUE,FALSE)</f>
        <v>0</v>
      </c>
      <c r="D670" s="387" t="s">
        <v>178</v>
      </c>
      <c r="E670" s="199">
        <v>3</v>
      </c>
      <c r="F670" s="199" t="s">
        <v>625</v>
      </c>
      <c r="G670" s="199" t="s">
        <v>2048</v>
      </c>
      <c r="H670" s="162" t="s">
        <v>512</v>
      </c>
      <c r="I670" s="129" t="s">
        <v>3730</v>
      </c>
      <c r="J670" s="146">
        <v>0</v>
      </c>
      <c r="K670" s="147">
        <v>0</v>
      </c>
      <c r="L670" s="148">
        <v>0</v>
      </c>
      <c r="M670" s="149">
        <v>0</v>
      </c>
      <c r="N670" s="150">
        <v>0</v>
      </c>
      <c r="O670" s="130">
        <v>0</v>
      </c>
      <c r="P670" s="130">
        <v>0</v>
      </c>
      <c r="Q670" s="130">
        <v>0</v>
      </c>
      <c r="R670" s="130">
        <v>0</v>
      </c>
      <c r="S670" s="130">
        <v>0</v>
      </c>
      <c r="T670" s="130">
        <v>0</v>
      </c>
      <c r="U670" s="130">
        <v>0</v>
      </c>
      <c r="V670" s="524">
        <v>0</v>
      </c>
      <c r="W670" s="130">
        <v>0</v>
      </c>
      <c r="X670" s="130">
        <v>0</v>
      </c>
      <c r="Y670" s="130">
        <v>0</v>
      </c>
      <c r="Z670" s="130">
        <v>0</v>
      </c>
      <c r="AA670" s="159" t="s">
        <v>3731</v>
      </c>
      <c r="AB670" s="159" t="s">
        <v>1269</v>
      </c>
      <c r="AD670" s="159">
        <v>2</v>
      </c>
      <c r="AE670" s="158" t="b">
        <f>IF(AB670="",TRUE,IF(IF(AC670="",VLOOKUP(AB670,Calculs!$A$19:$S$425,19,FALSE),VLOOKUP(AC670,Calculs!$A$19:$S$425,19,FALSE))&gt;=AD670,TRUE,FALSE))</f>
        <v>0</v>
      </c>
      <c r="AF670" s="159" t="s">
        <v>1278</v>
      </c>
      <c r="AH670" s="159">
        <v>3</v>
      </c>
      <c r="AI670" s="158" t="b">
        <f>IF(AF670="",TRUE,IF(IF(AG670="",VLOOKUP(AF670,Calculs!$A$19:$S$425,19,FALSE),VLOOKUP(AG670,Calculs!$A$19:$S$425,19,FALSE))&gt;=AH670,TRUE,FALSE))</f>
        <v>0</v>
      </c>
      <c r="AM670" s="158" t="b">
        <f>IF(AJ670="",TRUE,IF(IF(AK670="",VLOOKUP(AJ670,Calculs!$A$19:$S$425,19,FALSE),VLOOKUP(AK670,Calculs!$A$19:$S$425,19,FALSE))&gt;=AL670,TRUE,FALSE))</f>
        <v>1</v>
      </c>
      <c r="AQ670" s="158" t="b">
        <f>IF(AN670="",TRUE,IF(IF(AO670="",VLOOKUP(AN670,Calculs!$A$19:$S$425,19,FALSE),VLOOKUP(AO670,Calculs!$A$19:$S$425,19,FALSE))&gt;=AP670,TRUE,FALSE))</f>
        <v>1</v>
      </c>
      <c r="AR670" s="158"/>
      <c r="AS670" s="158" t="b">
        <f>IF(AR670="",TRUE,IF(VLOOKUP(AR670,Calculs!$A$427:$G$738,7,FALSE)&gt;0,TRUE,FALSE))</f>
        <v>1</v>
      </c>
      <c r="AT670" s="158"/>
      <c r="AU670" s="158" t="b">
        <f>IF(AT670="",TRUE,IF(VLOOKUP(AT670,Calculs!$A$740:$G$912,7,FALSE)&gt;0,TRUE,FALSE))</f>
        <v>1</v>
      </c>
      <c r="AV670" s="158" t="b">
        <f t="shared" si="73"/>
        <v>0</v>
      </c>
      <c r="AW670" s="158" t="s">
        <v>2078</v>
      </c>
      <c r="AX670" s="162" t="s">
        <v>2921</v>
      </c>
      <c r="AY670" s="15">
        <v>99</v>
      </c>
      <c r="AZ670" s="555" t="str">
        <f>CONCATENATE("Dépensez un empl. De Sort de Terre et réussissez un test d'Incantation de 5+(5X le trait de Terre de l'animal invoqué) pour invoquer un esprit animal. Cet esprit est votre allié mais pas un serviteur. Il ne reste sur Nigen-do que pendant ",Terre," heures.")</f>
        <v>Dépensez un empl. De Sort de Terre et réussissez un test d'Incantation de 5+(5X le trait de Terre de l'animal invoqué) pour invoquer un esprit animal. Cet esprit est votre allié mais pas un serviteur. Il ne reste sur Nigen-do que pendant 2 heures.</v>
      </c>
      <c r="BA670" s="559">
        <f>IF(Verso!$B$10=Voies!$B670,1,0)</f>
        <v>0</v>
      </c>
      <c r="BB670" s="12">
        <f>IF(Verso!$B$11=Voies!$B670,1,0)</f>
        <v>0</v>
      </c>
      <c r="BC670" s="12">
        <f>IF(Verso!$B$12=Voies!$B670,1,0)</f>
        <v>0</v>
      </c>
      <c r="BD670" s="12">
        <f>IF(Verso!$B$13=Voies!$B670,1,0)</f>
        <v>0</v>
      </c>
      <c r="BE670" s="12">
        <f>IF(Verso!$B$14=Voies!$B670,1,0)</f>
        <v>0</v>
      </c>
      <c r="BF670" s="12">
        <f>IF(Verso!$B$15=Voies!$B670,1,0)</f>
        <v>0</v>
      </c>
      <c r="BG670" s="12">
        <f>IF(Verso!$B$16=Voies!$B670,1,0)</f>
        <v>0</v>
      </c>
      <c r="BH670" s="12">
        <f>IF(Verso!$B$17=Voies!$B670,1,0)</f>
        <v>0</v>
      </c>
      <c r="BI670" s="557">
        <f t="shared" si="74"/>
        <v>0</v>
      </c>
      <c r="BJ670" s="196" t="str">
        <f t="shared" si="75"/>
        <v/>
      </c>
      <c r="BK670" s="196" t="str">
        <f t="shared" si="76"/>
        <v/>
      </c>
      <c r="BL670" s="295" t="str">
        <f t="shared" si="77"/>
        <v/>
      </c>
    </row>
    <row r="671" spans="1:64" ht="47.25" customHeight="1" x14ac:dyDescent="0.25">
      <c r="A671" s="162" t="str">
        <f>IF(AND(Réputation&gt;Voies!E671-1,OR(C671=TRUE,Calculs!$I$8&gt;0),Air&gt;Voies!J671-1,Eau&gt;Voies!K671-1,Feu&gt;Voies!L671-1,Terre&gt;Voies!M671-1,Vide&gt;Voies!N671-1,Constitution&gt;Voies!O671-1,Volonté&gt;Voies!P671-1,Force&gt;Voies!Q671-1,Perception&gt;Voies!R671-1,Reflexes&gt;Voies!S671-1,Agilité&gt;Voies!T671-1,Intuition&gt;Voies!U671-1,Intelligence&gt;Voies!V671-1,Souillure&gt;Voies!W671-1,Honneur&gt;X671-1,Statut&gt;Y671-1,Gloire&gt;Z671-1,AV671=TRUE),Voies!B671,"")</f>
        <v/>
      </c>
      <c r="B671" s="162" t="s">
        <v>2491</v>
      </c>
      <c r="C671" s="162" t="b">
        <f>IF(Clan=Voies!D671,TRUE,FALSE)</f>
        <v>0</v>
      </c>
      <c r="D671" s="387" t="s">
        <v>178</v>
      </c>
      <c r="E671" s="199">
        <v>4</v>
      </c>
      <c r="F671" s="199">
        <v>4</v>
      </c>
      <c r="G671" s="199" t="s">
        <v>2049</v>
      </c>
      <c r="H671" s="162" t="s">
        <v>209</v>
      </c>
      <c r="I671" s="129" t="str">
        <f>IF(B671="","","Rien")</f>
        <v>Rien</v>
      </c>
      <c r="J671" s="146">
        <v>0</v>
      </c>
      <c r="K671" s="147">
        <v>0</v>
      </c>
      <c r="L671" s="148">
        <v>0</v>
      </c>
      <c r="M671" s="149">
        <v>0</v>
      </c>
      <c r="N671" s="150">
        <v>0</v>
      </c>
      <c r="O671" s="130">
        <v>0</v>
      </c>
      <c r="P671" s="130">
        <v>0</v>
      </c>
      <c r="Q671" s="130">
        <v>0</v>
      </c>
      <c r="R671" s="130">
        <v>0</v>
      </c>
      <c r="S671" s="130">
        <v>0</v>
      </c>
      <c r="T671" s="130">
        <v>0</v>
      </c>
      <c r="U671" s="130">
        <v>0</v>
      </c>
      <c r="V671" s="524">
        <v>0</v>
      </c>
      <c r="W671" s="130">
        <v>0</v>
      </c>
      <c r="X671" s="130">
        <v>0</v>
      </c>
      <c r="Y671" s="130">
        <v>0</v>
      </c>
      <c r="Z671" s="130">
        <v>0</v>
      </c>
      <c r="AA671" s="158" t="s">
        <v>2078</v>
      </c>
      <c r="AB671" s="158"/>
      <c r="AC671" s="158"/>
      <c r="AD671" s="158"/>
      <c r="AE671" s="158" t="b">
        <f>IF(AB671="",TRUE,IF(IF(AC671="",VLOOKUP(AB671,Calculs!$A$19:$S$425,19,FALSE),VLOOKUP(AC671,Calculs!$A$19:$S$425,19,FALSE))&gt;=AD671,TRUE,FALSE))</f>
        <v>1</v>
      </c>
      <c r="AF671" s="158"/>
      <c r="AG671" s="158"/>
      <c r="AH671" s="158"/>
      <c r="AI671" s="158" t="b">
        <f>IF(AF671="",TRUE,IF(IF(AG671="",VLOOKUP(AF671,Calculs!$A$19:$S$425,19,FALSE),VLOOKUP(AG671,Calculs!$A$19:$S$425,19,FALSE))&gt;=AH671,TRUE,FALSE))</f>
        <v>1</v>
      </c>
      <c r="AJ671" s="158"/>
      <c r="AK671" s="158"/>
      <c r="AL671" s="158"/>
      <c r="AM671" s="158" t="b">
        <f>IF(AJ671="",TRUE,IF(IF(AK671="",VLOOKUP(AJ671,Calculs!$A$19:$S$425,19,FALSE),VLOOKUP(AK671,Calculs!$A$19:$S$425,19,FALSE))&gt;=AL671,TRUE,FALSE))</f>
        <v>1</v>
      </c>
      <c r="AN671" s="158"/>
      <c r="AO671" s="158"/>
      <c r="AP671" s="158"/>
      <c r="AQ671" s="158" t="b">
        <f>IF(AN671="",TRUE,IF(IF(AO671="",VLOOKUP(AN671,Calculs!$A$19:$S$425,19,FALSE),VLOOKUP(AO671,Calculs!$A$19:$S$425,19,FALSE))&gt;=AP671,TRUE,FALSE))</f>
        <v>1</v>
      </c>
      <c r="AR671" s="158"/>
      <c r="AS671" s="158" t="b">
        <f>IF(AR671="",TRUE,IF(VLOOKUP(AR671,Calculs!$A$427:$G$738,7,FALSE)&gt;0,TRUE,FALSE))</f>
        <v>1</v>
      </c>
      <c r="AT671" s="158"/>
      <c r="AU671" s="158" t="b">
        <f>IF(AT671="",TRUE,IF(VLOOKUP(AT671,Calculs!$A$740:$G$912,7,FALSE)&gt;0,TRUE,FALSE))</f>
        <v>1</v>
      </c>
      <c r="AV671" s="158" t="b">
        <f t="shared" si="73"/>
        <v>1</v>
      </c>
      <c r="AW671" s="158" t="s">
        <v>2078</v>
      </c>
      <c r="AX671" s="162" t="s">
        <v>3</v>
      </c>
      <c r="AY671" s="15">
        <v>125</v>
      </c>
      <c r="AZ671" s="555" t="s">
        <v>8654</v>
      </c>
      <c r="BA671" s="559">
        <f>IF(Verso!$B$10=Voies!$B671,1,0)</f>
        <v>0</v>
      </c>
      <c r="BB671" s="12">
        <f>IF(Verso!$B$11=Voies!$B671,1,0)</f>
        <v>0</v>
      </c>
      <c r="BC671" s="12">
        <f>IF(Verso!$B$12=Voies!$B671,1,0)</f>
        <v>0</v>
      </c>
      <c r="BD671" s="12">
        <f>IF(Verso!$B$13=Voies!$B671,1,0)</f>
        <v>0</v>
      </c>
      <c r="BE671" s="12">
        <f>IF(Verso!$B$14=Voies!$B671,1,0)</f>
        <v>0</v>
      </c>
      <c r="BF671" s="12">
        <f>IF(Verso!$B$15=Voies!$B671,1,0)</f>
        <v>0</v>
      </c>
      <c r="BG671" s="12">
        <f>IF(Verso!$B$16=Voies!$B671,1,0)</f>
        <v>0</v>
      </c>
      <c r="BH671" s="12">
        <f>IF(Verso!$B$17=Voies!$B671,1,0)</f>
        <v>0</v>
      </c>
      <c r="BI671" s="557">
        <f t="shared" si="74"/>
        <v>0</v>
      </c>
      <c r="BJ671" s="196" t="str">
        <f t="shared" si="75"/>
        <v/>
      </c>
      <c r="BK671" s="196" t="str">
        <f t="shared" si="76"/>
        <v/>
      </c>
      <c r="BL671" s="295" t="str">
        <f t="shared" si="77"/>
        <v/>
      </c>
    </row>
    <row r="672" spans="1:64" ht="47.25" customHeight="1" x14ac:dyDescent="0.25">
      <c r="A672" s="162" t="str">
        <f>IF(AND(Réputation&gt;Voies!E672-1,OR(C672=TRUE,Calculs!$I$8&gt;0),Air&gt;Voies!J672-1,Eau&gt;Voies!K672-1,Feu&gt;Voies!L672-1,Terre&gt;Voies!M672-1,Vide&gt;Voies!N672-1,Constitution&gt;Voies!O672-1,Volonté&gt;Voies!P672-1,Force&gt;Voies!Q672-1,Perception&gt;Voies!R672-1,Reflexes&gt;Voies!S672-1,Agilité&gt;Voies!T672-1,Intuition&gt;Voies!U672-1,Intelligence&gt;Voies!V672-1,Souillure&gt;Voies!W672-1,Honneur&gt;X672-1,Statut&gt;Y672-1,Gloire&gt;Z672-1,AV672=TRUE),Voies!B672,"")</f>
        <v/>
      </c>
      <c r="B672" s="162" t="s">
        <v>2471</v>
      </c>
      <c r="C672" s="162" t="b">
        <f>IF(Clan=Voies!D672,TRUE,FALSE)</f>
        <v>0</v>
      </c>
      <c r="D672" s="387" t="s">
        <v>178</v>
      </c>
      <c r="E672" s="199">
        <v>4</v>
      </c>
      <c r="F672" s="199">
        <v>4</v>
      </c>
      <c r="G672" s="199" t="s">
        <v>2049</v>
      </c>
      <c r="H672" s="162" t="s">
        <v>210</v>
      </c>
      <c r="I672" s="129" t="str">
        <f>IF(B672="","","Rien")</f>
        <v>Rien</v>
      </c>
      <c r="J672" s="146">
        <v>0</v>
      </c>
      <c r="K672" s="147">
        <v>0</v>
      </c>
      <c r="L672" s="148">
        <v>0</v>
      </c>
      <c r="M672" s="149">
        <v>0</v>
      </c>
      <c r="N672" s="150">
        <v>0</v>
      </c>
      <c r="O672" s="130">
        <v>0</v>
      </c>
      <c r="P672" s="130">
        <v>0</v>
      </c>
      <c r="Q672" s="130">
        <v>0</v>
      </c>
      <c r="R672" s="130">
        <v>0</v>
      </c>
      <c r="S672" s="130">
        <v>0</v>
      </c>
      <c r="T672" s="130">
        <v>0</v>
      </c>
      <c r="U672" s="130">
        <v>0</v>
      </c>
      <c r="V672" s="524">
        <v>0</v>
      </c>
      <c r="W672" s="130">
        <v>0</v>
      </c>
      <c r="X672" s="130">
        <v>0</v>
      </c>
      <c r="Y672" s="130">
        <v>0</v>
      </c>
      <c r="Z672" s="130">
        <v>0</v>
      </c>
      <c r="AA672" s="158" t="s">
        <v>2078</v>
      </c>
      <c r="AB672" s="158"/>
      <c r="AC672" s="158"/>
      <c r="AD672" s="158"/>
      <c r="AE672" s="158" t="b">
        <f>IF(AB672="",TRUE,IF(IF(AC672="",VLOOKUP(AB672,Calculs!$A$19:$S$425,19,FALSE),VLOOKUP(AC672,Calculs!$A$19:$S$425,19,FALSE))&gt;=AD672,TRUE,FALSE))</f>
        <v>1</v>
      </c>
      <c r="AF672" s="158"/>
      <c r="AG672" s="158"/>
      <c r="AH672" s="158"/>
      <c r="AI672" s="158" t="b">
        <f>IF(AF672="",TRUE,IF(IF(AG672="",VLOOKUP(AF672,Calculs!$A$19:$S$425,19,FALSE),VLOOKUP(AG672,Calculs!$A$19:$S$425,19,FALSE))&gt;=AH672,TRUE,FALSE))</f>
        <v>1</v>
      </c>
      <c r="AJ672" s="158"/>
      <c r="AK672" s="158"/>
      <c r="AL672" s="158"/>
      <c r="AM672" s="158" t="b">
        <f>IF(AJ672="",TRUE,IF(IF(AK672="",VLOOKUP(AJ672,Calculs!$A$19:$S$425,19,FALSE),VLOOKUP(AK672,Calculs!$A$19:$S$425,19,FALSE))&gt;=AL672,TRUE,FALSE))</f>
        <v>1</v>
      </c>
      <c r="AN672" s="158"/>
      <c r="AO672" s="158"/>
      <c r="AP672" s="158"/>
      <c r="AQ672" s="158" t="b">
        <f>IF(AN672="",TRUE,IF(IF(AO672="",VLOOKUP(AN672,Calculs!$A$19:$S$425,19,FALSE),VLOOKUP(AO672,Calculs!$A$19:$S$425,19,FALSE))&gt;=AP672,TRUE,FALSE))</f>
        <v>1</v>
      </c>
      <c r="AR672" s="158"/>
      <c r="AS672" s="158" t="b">
        <f>IF(AR672="",TRUE,IF(VLOOKUP(AR672,Calculs!$A$427:$G$738,7,FALSE)&gt;0,TRUE,FALSE))</f>
        <v>1</v>
      </c>
      <c r="AT672" s="158"/>
      <c r="AU672" s="158" t="b">
        <f>IF(AT672="",TRUE,IF(VLOOKUP(AT672,Calculs!$A$740:$G$912,7,FALSE)&gt;0,TRUE,FALSE))</f>
        <v>1</v>
      </c>
      <c r="AV672" s="158" t="b">
        <f t="shared" si="73"/>
        <v>1</v>
      </c>
      <c r="AW672" s="158" t="s">
        <v>2078</v>
      </c>
      <c r="AX672" s="162" t="s">
        <v>3</v>
      </c>
      <c r="AY672" s="15">
        <v>123</v>
      </c>
      <c r="AZ672" s="555" t="s">
        <v>2476</v>
      </c>
      <c r="BA672" s="559">
        <f>IF(Verso!$B$10=Voies!$B672,1,0)</f>
        <v>0</v>
      </c>
      <c r="BB672" s="12">
        <f>IF(Verso!$B$11=Voies!$B672,1,0)</f>
        <v>0</v>
      </c>
      <c r="BC672" s="12">
        <f>IF(Verso!$B$12=Voies!$B672,1,0)</f>
        <v>0</v>
      </c>
      <c r="BD672" s="12">
        <f>IF(Verso!$B$13=Voies!$B672,1,0)</f>
        <v>0</v>
      </c>
      <c r="BE672" s="12">
        <f>IF(Verso!$B$14=Voies!$B672,1,0)</f>
        <v>0</v>
      </c>
      <c r="BF672" s="12">
        <f>IF(Verso!$B$15=Voies!$B672,1,0)</f>
        <v>0</v>
      </c>
      <c r="BG672" s="12">
        <f>IF(Verso!$B$16=Voies!$B672,1,0)</f>
        <v>0</v>
      </c>
      <c r="BH672" s="12">
        <f>IF(Verso!$B$17=Voies!$B672,1,0)</f>
        <v>0</v>
      </c>
      <c r="BI672" s="557">
        <f t="shared" si="74"/>
        <v>0</v>
      </c>
      <c r="BJ672" s="196" t="str">
        <f t="shared" si="75"/>
        <v/>
      </c>
      <c r="BK672" s="196" t="str">
        <f t="shared" si="76"/>
        <v/>
      </c>
      <c r="BL672" s="295" t="str">
        <f t="shared" si="77"/>
        <v/>
      </c>
    </row>
    <row r="673" spans="1:65" ht="47.25" customHeight="1" x14ac:dyDescent="0.25">
      <c r="A673" s="162" t="str">
        <f>IF(AND(Réputation&gt;Voies!E673-1,OR(C673=TRUE,Calculs!$I$8&gt;0),Air&gt;Voies!J673-1,Eau&gt;Voies!K673-1,Feu&gt;Voies!L673-1,Terre&gt;Voies!M673-1,Vide&gt;Voies!N673-1,Constitution&gt;Voies!O673-1,Volonté&gt;Voies!P673-1,Force&gt;Voies!Q673-1,Perception&gt;Voies!R673-1,Reflexes&gt;Voies!S673-1,Agilité&gt;Voies!T673-1,Intuition&gt;Voies!U673-1,Intelligence&gt;Voies!V673-1,Souillure&gt;Voies!W673-1,Honneur&gt;X673-1,Statut&gt;Y673-1,Gloire&gt;Z673-1,AV673=TRUE),Voies!B673,"")</f>
        <v/>
      </c>
      <c r="B673" s="162" t="s">
        <v>6098</v>
      </c>
      <c r="C673" s="162" t="b">
        <f>IF(Clan=Voies!D673,TRUE,FALSE)</f>
        <v>0</v>
      </c>
      <c r="D673" s="387" t="s">
        <v>178</v>
      </c>
      <c r="E673" s="199">
        <v>4</v>
      </c>
      <c r="F673" s="199">
        <v>4</v>
      </c>
      <c r="G673" s="199" t="s">
        <v>2049</v>
      </c>
      <c r="H673" s="162" t="s">
        <v>2865</v>
      </c>
      <c r="I673" s="129" t="str">
        <f>IF(B673="","","Rien")</f>
        <v>Rien</v>
      </c>
      <c r="J673" s="146">
        <v>0</v>
      </c>
      <c r="K673" s="147">
        <v>0</v>
      </c>
      <c r="L673" s="148">
        <v>0</v>
      </c>
      <c r="M673" s="149">
        <v>0</v>
      </c>
      <c r="N673" s="150">
        <v>0</v>
      </c>
      <c r="O673" s="130">
        <v>0</v>
      </c>
      <c r="P673" s="130">
        <v>0</v>
      </c>
      <c r="Q673" s="130">
        <v>0</v>
      </c>
      <c r="R673" s="130">
        <v>0</v>
      </c>
      <c r="S673" s="130">
        <v>0</v>
      </c>
      <c r="T673" s="130">
        <v>0</v>
      </c>
      <c r="U673" s="130">
        <v>0</v>
      </c>
      <c r="V673" s="524">
        <v>0</v>
      </c>
      <c r="W673" s="130">
        <v>0</v>
      </c>
      <c r="X673" s="130">
        <v>0</v>
      </c>
      <c r="Y673" s="130">
        <v>0</v>
      </c>
      <c r="Z673" s="130">
        <v>0</v>
      </c>
      <c r="AA673" s="158" t="s">
        <v>2078</v>
      </c>
      <c r="AB673" s="158"/>
      <c r="AC673" s="158"/>
      <c r="AD673" s="158"/>
      <c r="AE673" s="158" t="b">
        <f>IF(AB673="",TRUE,IF(IF(AC673="",VLOOKUP(AB673,Calculs!$A$19:$S$425,19,FALSE),VLOOKUP(AC673,Calculs!$A$19:$S$425,19,FALSE))&gt;=AD673,TRUE,FALSE))</f>
        <v>1</v>
      </c>
      <c r="AF673" s="158"/>
      <c r="AG673" s="158"/>
      <c r="AH673" s="158"/>
      <c r="AI673" s="158" t="b">
        <f>IF(AF673="",TRUE,IF(IF(AG673="",VLOOKUP(AF673,Calculs!$A$19:$S$425,19,FALSE),VLOOKUP(AG673,Calculs!$A$19:$S$425,19,FALSE))&gt;=AH673,TRUE,FALSE))</f>
        <v>1</v>
      </c>
      <c r="AJ673" s="158"/>
      <c r="AK673" s="158"/>
      <c r="AL673" s="158"/>
      <c r="AM673" s="158" t="b">
        <f>IF(AJ673="",TRUE,IF(IF(AK673="",VLOOKUP(AJ673,Calculs!$A$19:$S$425,19,FALSE),VLOOKUP(AK673,Calculs!$A$19:$S$425,19,FALSE))&gt;=AL673,TRUE,FALSE))</f>
        <v>1</v>
      </c>
      <c r="AN673" s="158"/>
      <c r="AO673" s="158"/>
      <c r="AP673" s="158"/>
      <c r="AQ673" s="158" t="b">
        <f>IF(AN673="",TRUE,IF(IF(AO673="",VLOOKUP(AN673,Calculs!$A$19:$S$425,19,FALSE),VLOOKUP(AO673,Calculs!$A$19:$S$425,19,FALSE))&gt;=AP673,TRUE,FALSE))</f>
        <v>1</v>
      </c>
      <c r="AR673" s="158"/>
      <c r="AS673" s="158" t="b">
        <f>IF(AR673="",TRUE,IF(VLOOKUP(AR673,Calculs!$A$427:$G$738,7,FALSE)&gt;0,TRUE,FALSE))</f>
        <v>1</v>
      </c>
      <c r="AT673" s="158"/>
      <c r="AU673" s="158" t="b">
        <f>IF(AT673="",TRUE,IF(VLOOKUP(AT673,Calculs!$A$740:$G$912,7,FALSE)&gt;0,TRUE,FALSE))</f>
        <v>1</v>
      </c>
      <c r="AV673" s="158" t="b">
        <f t="shared" si="73"/>
        <v>1</v>
      </c>
      <c r="AW673" s="158" t="s">
        <v>2078</v>
      </c>
      <c r="AX673" s="162" t="s">
        <v>6061</v>
      </c>
      <c r="AY673" s="15">
        <v>197</v>
      </c>
      <c r="AZ673" s="555" t="s">
        <v>2879</v>
      </c>
      <c r="BA673" s="559">
        <f>IF(Verso!$B$10=Voies!$B673,1,0)</f>
        <v>0</v>
      </c>
      <c r="BB673" s="12">
        <f>IF(Verso!$B$11=Voies!$B673,1,0)</f>
        <v>0</v>
      </c>
      <c r="BC673" s="12">
        <f>IF(Verso!$B$12=Voies!$B673,1,0)</f>
        <v>0</v>
      </c>
      <c r="BD673" s="12">
        <f>IF(Verso!$B$13=Voies!$B673,1,0)</f>
        <v>0</v>
      </c>
      <c r="BE673" s="12">
        <f>IF(Verso!$B$14=Voies!$B673,1,0)</f>
        <v>0</v>
      </c>
      <c r="BF673" s="12">
        <f>IF(Verso!$B$15=Voies!$B673,1,0)</f>
        <v>0</v>
      </c>
      <c r="BG673" s="12">
        <f>IF(Verso!$B$16=Voies!$B673,1,0)</f>
        <v>0</v>
      </c>
      <c r="BH673" s="12">
        <f>IF(Verso!$B$17=Voies!$B673,1,0)</f>
        <v>0</v>
      </c>
      <c r="BI673" s="557">
        <f t="shared" si="74"/>
        <v>0</v>
      </c>
      <c r="BJ673" s="196" t="str">
        <f t="shared" si="75"/>
        <v/>
      </c>
      <c r="BK673" s="196" t="str">
        <f t="shared" si="76"/>
        <v/>
      </c>
      <c r="BL673" s="295" t="str">
        <f t="shared" si="77"/>
        <v/>
      </c>
    </row>
    <row r="674" spans="1:65" ht="47.25" customHeight="1" x14ac:dyDescent="0.25">
      <c r="A674" s="162" t="str">
        <f>IF(AND(Réputation&gt;Voies!E674-1,OR(C674=TRUE,Calculs!$I$8&gt;0),Air&gt;Voies!J674-1,Eau&gt;Voies!K674-1,Feu&gt;Voies!L674-1,Terre&gt;Voies!M674-1,Vide&gt;Voies!N674-1,Constitution&gt;Voies!O674-1,Volonté&gt;Voies!P674-1,Force&gt;Voies!Q674-1,Perception&gt;Voies!R674-1,Reflexes&gt;Voies!S674-1,Agilité&gt;Voies!T674-1,Intuition&gt;Voies!U674-1,Intelligence&gt;Voies!V674-1,Souillure&gt;Voies!W674-1,Honneur&gt;X674-1,Statut&gt;Y674-1,Gloire&gt;Z674-1,AV674=TRUE),Voies!B674,"")</f>
        <v/>
      </c>
      <c r="B674" s="162" t="s">
        <v>6093</v>
      </c>
      <c r="C674" s="162" t="b">
        <f>IF(Clan=Voies!D674,TRUE,FALSE)</f>
        <v>0</v>
      </c>
      <c r="D674" s="387" t="s">
        <v>178</v>
      </c>
      <c r="E674" s="199">
        <v>4</v>
      </c>
      <c r="F674" s="199">
        <v>4</v>
      </c>
      <c r="G674" s="199" t="s">
        <v>2049</v>
      </c>
      <c r="H674" s="162" t="s">
        <v>6090</v>
      </c>
      <c r="I674" s="129" t="str">
        <f>IF(B674="","","Rien")</f>
        <v>Rien</v>
      </c>
      <c r="J674" s="146">
        <v>0</v>
      </c>
      <c r="K674" s="147">
        <v>0</v>
      </c>
      <c r="L674" s="148">
        <v>0</v>
      </c>
      <c r="M674" s="149">
        <v>0</v>
      </c>
      <c r="N674" s="150">
        <v>0</v>
      </c>
      <c r="O674" s="130">
        <v>0</v>
      </c>
      <c r="P674" s="130">
        <v>0</v>
      </c>
      <c r="Q674" s="130">
        <v>0</v>
      </c>
      <c r="R674" s="130">
        <v>0</v>
      </c>
      <c r="S674" s="130">
        <v>0</v>
      </c>
      <c r="T674" s="130">
        <v>0</v>
      </c>
      <c r="U674" s="130">
        <v>0</v>
      </c>
      <c r="V674" s="524">
        <v>0</v>
      </c>
      <c r="W674" s="130">
        <v>0</v>
      </c>
      <c r="X674" s="130">
        <v>0</v>
      </c>
      <c r="Y674" s="130">
        <v>0</v>
      </c>
      <c r="Z674" s="130">
        <v>0</v>
      </c>
      <c r="AA674" s="158" t="s">
        <v>2078</v>
      </c>
      <c r="AB674" s="158"/>
      <c r="AC674" s="158"/>
      <c r="AD674" s="158"/>
      <c r="AE674" s="158" t="b">
        <f>IF(AB674="",TRUE,IF(IF(AC674="",VLOOKUP(AB674,Calculs!$A$19:$S$425,19,FALSE),VLOOKUP(AC674,Calculs!$A$19:$S$425,19,FALSE))&gt;=AD674,TRUE,FALSE))</f>
        <v>1</v>
      </c>
      <c r="AF674" s="158"/>
      <c r="AG674" s="158"/>
      <c r="AH674" s="158"/>
      <c r="AI674" s="158" t="b">
        <f>IF(AF674="",TRUE,IF(IF(AG674="",VLOOKUP(AF674,Calculs!$A$19:$S$425,19,FALSE),VLOOKUP(AG674,Calculs!$A$19:$S$425,19,FALSE))&gt;=AH674,TRUE,FALSE))</f>
        <v>1</v>
      </c>
      <c r="AJ674" s="158"/>
      <c r="AK674" s="158"/>
      <c r="AL674" s="158"/>
      <c r="AM674" s="158" t="b">
        <f>IF(AJ674="",TRUE,IF(IF(AK674="",VLOOKUP(AJ674,Calculs!$A$19:$S$425,19,FALSE),VLOOKUP(AK674,Calculs!$A$19:$S$425,19,FALSE))&gt;=AL674,TRUE,FALSE))</f>
        <v>1</v>
      </c>
      <c r="AN674" s="158"/>
      <c r="AO674" s="158"/>
      <c r="AP674" s="158"/>
      <c r="AQ674" s="158" t="b">
        <f>IF(AN674="",TRUE,IF(IF(AO674="",VLOOKUP(AN674,Calculs!$A$19:$S$425,19,FALSE),VLOOKUP(AO674,Calculs!$A$19:$S$425,19,FALSE))&gt;=AP674,TRUE,FALSE))</f>
        <v>1</v>
      </c>
      <c r="AR674" s="158"/>
      <c r="AS674" s="158" t="b">
        <f>IF(AR674="",TRUE,IF(VLOOKUP(AR674,Calculs!$A$427:$G$738,7,FALSE)&gt;0,TRUE,FALSE))</f>
        <v>1</v>
      </c>
      <c r="AT674" s="158"/>
      <c r="AU674" s="158" t="b">
        <f>IF(AT674="",TRUE,IF(VLOOKUP(AT674,Calculs!$A$740:$G$912,7,FALSE)&gt;0,TRUE,FALSE))</f>
        <v>1</v>
      </c>
      <c r="AV674" s="158" t="b">
        <f t="shared" si="73"/>
        <v>1</v>
      </c>
      <c r="AW674" s="158" t="s">
        <v>2078</v>
      </c>
      <c r="AX674" s="162" t="s">
        <v>6061</v>
      </c>
      <c r="AY674" s="15">
        <v>195</v>
      </c>
      <c r="AZ674" s="555" t="s">
        <v>2884</v>
      </c>
      <c r="BA674" s="559">
        <f>IF(Verso!$B$10=Voies!$B674,1,0)</f>
        <v>0</v>
      </c>
      <c r="BB674" s="12">
        <f>IF(Verso!$B$11=Voies!$B674,1,0)</f>
        <v>0</v>
      </c>
      <c r="BC674" s="12">
        <f>IF(Verso!$B$12=Voies!$B674,1,0)</f>
        <v>0</v>
      </c>
      <c r="BD674" s="12">
        <f>IF(Verso!$B$13=Voies!$B674,1,0)</f>
        <v>0</v>
      </c>
      <c r="BE674" s="12">
        <f>IF(Verso!$B$14=Voies!$B674,1,0)</f>
        <v>0</v>
      </c>
      <c r="BF674" s="12">
        <f>IF(Verso!$B$15=Voies!$B674,1,0)</f>
        <v>0</v>
      </c>
      <c r="BG674" s="12">
        <f>IF(Verso!$B$16=Voies!$B674,1,0)</f>
        <v>0</v>
      </c>
      <c r="BH674" s="12">
        <f>IF(Verso!$B$17=Voies!$B674,1,0)</f>
        <v>0</v>
      </c>
      <c r="BI674" s="557">
        <f t="shared" si="74"/>
        <v>0</v>
      </c>
      <c r="BJ674" s="196" t="str">
        <f t="shared" si="75"/>
        <v/>
      </c>
      <c r="BK674" s="196" t="str">
        <f t="shared" si="76"/>
        <v/>
      </c>
      <c r="BL674" s="295" t="str">
        <f t="shared" si="77"/>
        <v/>
      </c>
    </row>
    <row r="675" spans="1:65" ht="47.25" customHeight="1" x14ac:dyDescent="0.25">
      <c r="A675" s="162" t="str">
        <f>IF(AND(Réputation&gt;Voies!E675-1,OR(C675=TRUE,Calculs!$I$8&gt;0),Air&gt;Voies!J675-1,Eau&gt;Voies!K675-1,Feu&gt;Voies!L675-1,Terre&gt;Voies!M675-1,Vide&gt;Voies!N675-1,Constitution&gt;Voies!O675-1,Volonté&gt;Voies!P675-1,Force&gt;Voies!Q675-1,Perception&gt;Voies!R675-1,Reflexes&gt;Voies!S675-1,Agilité&gt;Voies!T675-1,Intuition&gt;Voies!U675-1,Intelligence&gt;Voies!V675-1,Souillure&gt;Voies!W675-1,Honneur&gt;X675-1,Statut&gt;Y675-1,Gloire&gt;Z675-1,AV675=TRUE),Voies!B675,"")</f>
        <v/>
      </c>
      <c r="B675" s="162" t="s">
        <v>3482</v>
      </c>
      <c r="C675" s="162" t="b">
        <f>IF(Clan=Voies!D675,TRUE,FALSE)</f>
        <v>0</v>
      </c>
      <c r="D675" s="387" t="s">
        <v>178</v>
      </c>
      <c r="E675" s="199">
        <v>4</v>
      </c>
      <c r="F675" s="199">
        <v>4</v>
      </c>
      <c r="G675" s="199" t="s">
        <v>2049</v>
      </c>
      <c r="H675" s="162" t="s">
        <v>3480</v>
      </c>
      <c r="I675" s="129" t="str">
        <f>IF(B675="","","Rien")</f>
        <v>Rien</v>
      </c>
      <c r="J675" s="146">
        <v>0</v>
      </c>
      <c r="K675" s="147">
        <v>0</v>
      </c>
      <c r="L675" s="148">
        <v>0</v>
      </c>
      <c r="M675" s="149">
        <v>0</v>
      </c>
      <c r="N675" s="150">
        <v>0</v>
      </c>
      <c r="O675" s="130">
        <v>0</v>
      </c>
      <c r="P675" s="130">
        <v>0</v>
      </c>
      <c r="Q675" s="130">
        <v>0</v>
      </c>
      <c r="R675" s="130">
        <v>0</v>
      </c>
      <c r="S675" s="130">
        <v>0</v>
      </c>
      <c r="T675" s="130">
        <v>0</v>
      </c>
      <c r="U675" s="130">
        <v>0</v>
      </c>
      <c r="V675" s="524">
        <v>0</v>
      </c>
      <c r="W675" s="130">
        <v>0</v>
      </c>
      <c r="X675" s="130">
        <v>0</v>
      </c>
      <c r="Y675" s="130">
        <v>0</v>
      </c>
      <c r="Z675" s="130">
        <v>0</v>
      </c>
      <c r="AA675" s="159" t="s">
        <v>3481</v>
      </c>
      <c r="AB675" s="159" t="s">
        <v>1273</v>
      </c>
      <c r="AC675" s="159" t="s">
        <v>1372</v>
      </c>
      <c r="AD675" s="159">
        <v>4</v>
      </c>
      <c r="AE675" s="158" t="b">
        <f>IF(AB675="",TRUE,IF(IF(AC675="",VLOOKUP(AB675,Calculs!$A$19:$S$425,19,FALSE),VLOOKUP(AC675,Calculs!$A$19:$S$425,19,FALSE))&gt;=AD675,TRUE,FALSE))</f>
        <v>0</v>
      </c>
      <c r="AI675" s="158" t="b">
        <f>IF(AF675="",TRUE,IF(IF(AG675="",VLOOKUP(AF675,Calculs!$A$19:$S$425,19,FALSE),VLOOKUP(AG675,Calculs!$A$19:$S$425,19,FALSE))&gt;=AH675,TRUE,FALSE))</f>
        <v>1</v>
      </c>
      <c r="AM675" s="158" t="b">
        <f>IF(AJ675="",TRUE,IF(IF(AK675="",VLOOKUP(AJ675,Calculs!$A$19:$S$425,19,FALSE),VLOOKUP(AK675,Calculs!$A$19:$S$425,19,FALSE))&gt;=AL675,TRUE,FALSE))</f>
        <v>1</v>
      </c>
      <c r="AQ675" s="158" t="b">
        <f>IF(AN675="",TRUE,IF(IF(AO675="",VLOOKUP(AN675,Calculs!$A$19:$S$425,19,FALSE),VLOOKUP(AO675,Calculs!$A$19:$S$425,19,FALSE))&gt;=AP675,TRUE,FALSE))</f>
        <v>1</v>
      </c>
      <c r="AR675" s="158"/>
      <c r="AS675" s="158" t="b">
        <f>IF(AR675="",TRUE,IF(VLOOKUP(AR675,Calculs!$A$427:$G$738,7,FALSE)&gt;0,TRUE,FALSE))</f>
        <v>1</v>
      </c>
      <c r="AT675" s="158"/>
      <c r="AU675" s="158" t="b">
        <f>IF(AT675="",TRUE,IF(VLOOKUP(AT675,Calculs!$A$740:$G$912,7,FALSE)&gt;0,TRUE,FALSE))</f>
        <v>1</v>
      </c>
      <c r="AV675" s="158" t="b">
        <f t="shared" si="73"/>
        <v>0</v>
      </c>
      <c r="AW675" s="158" t="s">
        <v>2078</v>
      </c>
      <c r="AX675" s="162" t="s">
        <v>160</v>
      </c>
      <c r="AY675" s="15">
        <v>178</v>
      </c>
      <c r="AZ675" s="555" t="s">
        <v>3483</v>
      </c>
      <c r="BA675" s="559">
        <f>IF(Verso!$B$10=Voies!$B675,1,0)</f>
        <v>0</v>
      </c>
      <c r="BB675" s="12">
        <f>IF(Verso!$B$11=Voies!$B675,1,0)</f>
        <v>0</v>
      </c>
      <c r="BC675" s="12">
        <f>IF(Verso!$B$12=Voies!$B675,1,0)</f>
        <v>0</v>
      </c>
      <c r="BD675" s="12">
        <f>IF(Verso!$B$13=Voies!$B675,1,0)</f>
        <v>0</v>
      </c>
      <c r="BE675" s="12">
        <f>IF(Verso!$B$14=Voies!$B675,1,0)</f>
        <v>0</v>
      </c>
      <c r="BF675" s="12">
        <f>IF(Verso!$B$15=Voies!$B675,1,0)</f>
        <v>0</v>
      </c>
      <c r="BG675" s="12">
        <f>IF(Verso!$B$16=Voies!$B675,1,0)</f>
        <v>0</v>
      </c>
      <c r="BH675" s="12">
        <f>IF(Verso!$B$17=Voies!$B675,1,0)</f>
        <v>0</v>
      </c>
      <c r="BI675" s="557">
        <f t="shared" si="74"/>
        <v>0</v>
      </c>
      <c r="BJ675" s="196" t="str">
        <f t="shared" si="75"/>
        <v/>
      </c>
      <c r="BK675" s="196" t="str">
        <f t="shared" si="76"/>
        <v/>
      </c>
      <c r="BL675" s="295" t="str">
        <f t="shared" si="77"/>
        <v/>
      </c>
    </row>
    <row r="676" spans="1:65" ht="47.25" customHeight="1" x14ac:dyDescent="0.25">
      <c r="A676" s="162" t="str">
        <f>IF(AND(Réputation&gt;Voies!E676-1,OR(C676=TRUE,Calculs!$I$8&gt;0),Air&gt;Voies!J676-1,Eau&gt;Voies!K676-1,Feu&gt;Voies!L676-1,Terre&gt;Voies!M676-1,Vide&gt;Voies!N676-1,Constitution&gt;Voies!O676-1,Volonté&gt;Voies!P676-1,Force&gt;Voies!Q676-1,Perception&gt;Voies!R676-1,Reflexes&gt;Voies!S676-1,Agilité&gt;Voies!T676-1,Intuition&gt;Voies!U676-1,Intelligence&gt;Voies!V676-1,Souillure&gt;Voies!W676-1,Honneur&gt;X676-1,Statut&gt;Y676-1,Gloire&gt;Z676-1,AV676=TRUE),Voies!B676,"")</f>
        <v/>
      </c>
      <c r="B676" s="162" t="s">
        <v>5883</v>
      </c>
      <c r="C676" s="162" t="b">
        <f>IF(OR(Clan="Guêpe",Clan="Mante"),TRUE,FALSE)</f>
        <v>0</v>
      </c>
      <c r="D676" s="387" t="s">
        <v>178</v>
      </c>
      <c r="E676" s="201">
        <v>4</v>
      </c>
      <c r="F676" s="201">
        <v>4</v>
      </c>
      <c r="G676" s="201" t="s">
        <v>2049</v>
      </c>
      <c r="H676" s="219" t="s">
        <v>473</v>
      </c>
      <c r="I676" s="129" t="s">
        <v>3840</v>
      </c>
      <c r="J676" s="146">
        <v>0</v>
      </c>
      <c r="K676" s="147">
        <v>0</v>
      </c>
      <c r="L676" s="148">
        <v>0</v>
      </c>
      <c r="M676" s="149">
        <v>0</v>
      </c>
      <c r="N676" s="150">
        <v>0</v>
      </c>
      <c r="O676" s="130">
        <v>0</v>
      </c>
      <c r="P676" s="130">
        <v>0</v>
      </c>
      <c r="Q676" s="130">
        <v>0</v>
      </c>
      <c r="R676" s="130">
        <v>0</v>
      </c>
      <c r="S676" s="130">
        <v>0</v>
      </c>
      <c r="T676" s="130">
        <v>0</v>
      </c>
      <c r="U676" s="130">
        <v>0</v>
      </c>
      <c r="V676" s="524">
        <v>0</v>
      </c>
      <c r="W676" s="130">
        <v>0</v>
      </c>
      <c r="X676" s="130">
        <v>0</v>
      </c>
      <c r="Y676" s="130">
        <v>0</v>
      </c>
      <c r="Z676" s="130">
        <v>0</v>
      </c>
      <c r="AA676" s="159" t="s">
        <v>3229</v>
      </c>
      <c r="AB676" s="159" t="s">
        <v>351</v>
      </c>
      <c r="AD676" s="159">
        <v>3</v>
      </c>
      <c r="AE676" s="158" t="b">
        <f>IF(AB676="",TRUE,IF(IF(AC676="",VLOOKUP(AB676,Calculs!$A$19:$S$425,19,FALSE),VLOOKUP(AC676,Calculs!$A$19:$S$425,19,FALSE))&gt;=AD676,TRUE,FALSE))</f>
        <v>0</v>
      </c>
      <c r="AI676" s="158" t="b">
        <f>IF(AF676="",TRUE,IF(IF(AG676="",VLOOKUP(AF676,Calculs!$A$19:$S$425,19,FALSE),VLOOKUP(AG676,Calculs!$A$19:$S$425,19,FALSE))&gt;=AH676,TRUE,FALSE))</f>
        <v>1</v>
      </c>
      <c r="AM676" s="158" t="b">
        <f>IF(AJ676="",TRUE,IF(IF(AK676="",VLOOKUP(AJ676,Calculs!$A$19:$S$425,19,FALSE),VLOOKUP(AK676,Calculs!$A$19:$S$425,19,FALSE))&gt;=AL676,TRUE,FALSE))</f>
        <v>1</v>
      </c>
      <c r="AQ676" s="158" t="b">
        <f>IF(AN676="",TRUE,IF(IF(AO676="",VLOOKUP(AN676,Calculs!$A$19:$S$425,19,FALSE),VLOOKUP(AO676,Calculs!$A$19:$S$425,19,FALSE))&gt;=AP676,TRUE,FALSE))</f>
        <v>1</v>
      </c>
      <c r="AR676" s="158"/>
      <c r="AS676" s="158" t="b">
        <f>IF(AR676="",TRUE,IF(VLOOKUP(AR676,Calculs!$A$427:$G$738,7,FALSE)&gt;0,TRUE,FALSE))</f>
        <v>1</v>
      </c>
      <c r="AT676" s="158"/>
      <c r="AU676" s="158" t="b">
        <f>IF(AT676="",TRUE,IF(VLOOKUP(AT676,Calculs!$A$740:$G$912,7,FALSE)&gt;0,TRUE,FALSE))</f>
        <v>1</v>
      </c>
      <c r="AV676" s="158" t="b">
        <f t="shared" si="73"/>
        <v>0</v>
      </c>
      <c r="AW676" s="158" t="s">
        <v>2078</v>
      </c>
      <c r="AX676" s="162" t="s">
        <v>2087</v>
      </c>
      <c r="AY676" s="15">
        <v>25</v>
      </c>
      <c r="AZ676" s="555" t="s">
        <v>3841</v>
      </c>
      <c r="BA676" s="559">
        <f>IF(Verso!$B$10=Voies!$B676,1,0)</f>
        <v>0</v>
      </c>
      <c r="BB676" s="12">
        <f>IF(Verso!$B$11=Voies!$B676,1,0)</f>
        <v>0</v>
      </c>
      <c r="BC676" s="12">
        <f>IF(Verso!$B$12=Voies!$B676,1,0)</f>
        <v>0</v>
      </c>
      <c r="BD676" s="12">
        <f>IF(Verso!$B$13=Voies!$B676,1,0)</f>
        <v>0</v>
      </c>
      <c r="BE676" s="12">
        <f>IF(Verso!$B$14=Voies!$B676,1,0)</f>
        <v>0</v>
      </c>
      <c r="BF676" s="12">
        <f>IF(Verso!$B$15=Voies!$B676,1,0)</f>
        <v>0</v>
      </c>
      <c r="BG676" s="12">
        <f>IF(Verso!$B$16=Voies!$B676,1,0)</f>
        <v>0</v>
      </c>
      <c r="BH676" s="12">
        <f>IF(Verso!$B$17=Voies!$B676,1,0)</f>
        <v>0</v>
      </c>
      <c r="BI676" s="557">
        <f t="shared" si="74"/>
        <v>0</v>
      </c>
      <c r="BJ676" s="196" t="str">
        <f t="shared" si="75"/>
        <v/>
      </c>
      <c r="BK676" s="196" t="str">
        <f t="shared" si="76"/>
        <v/>
      </c>
      <c r="BL676" s="295" t="str">
        <f t="shared" si="77"/>
        <v/>
      </c>
    </row>
    <row r="677" spans="1:65" s="196" customFormat="1" ht="47.25" customHeight="1" x14ac:dyDescent="0.25">
      <c r="A677" s="162" t="str">
        <f>IF(AND(Réputation&gt;Voies!E677-1,OR(C677=TRUE,Calculs!$I$8&gt;0),Air&gt;Voies!J677-1,Eau&gt;Voies!K677-1,Feu&gt;Voies!L677-1,Terre&gt;Voies!M677-1,Vide&gt;Voies!N677-1,Constitution&gt;Voies!O677-1,Volonté&gt;Voies!P677-1,Force&gt;Voies!Q677-1,Perception&gt;Voies!R677-1,Reflexes&gt;Voies!S677-1,Agilité&gt;Voies!T677-1,Intuition&gt;Voies!U677-1,Intelligence&gt;Voies!V677-1,Souillure&gt;Voies!W677-1,Honneur&gt;X677-1,Statut&gt;Y677-1,Gloire&gt;Z677-1,AV677=TRUE),Voies!B677,"")</f>
        <v/>
      </c>
      <c r="B677" s="162" t="s">
        <v>8083</v>
      </c>
      <c r="C677" s="162" t="b">
        <f>IF(Clan=Voies!D677,TRUE,FALSE)</f>
        <v>0</v>
      </c>
      <c r="D677" s="387" t="s">
        <v>178</v>
      </c>
      <c r="E677" s="201">
        <v>4</v>
      </c>
      <c r="F677" s="201">
        <v>4</v>
      </c>
      <c r="G677" s="201" t="s">
        <v>2049</v>
      </c>
      <c r="H677" s="219" t="s">
        <v>8082</v>
      </c>
      <c r="I677" s="129" t="s">
        <v>8084</v>
      </c>
      <c r="J677" s="146">
        <v>0</v>
      </c>
      <c r="K677" s="147">
        <v>0</v>
      </c>
      <c r="L677" s="148">
        <v>0</v>
      </c>
      <c r="M677" s="149">
        <v>0</v>
      </c>
      <c r="N677" s="150">
        <v>0</v>
      </c>
      <c r="O677" s="130">
        <v>0</v>
      </c>
      <c r="P677" s="130">
        <v>0</v>
      </c>
      <c r="Q677" s="130">
        <v>0</v>
      </c>
      <c r="R677" s="130">
        <v>0</v>
      </c>
      <c r="S677" s="130">
        <v>0</v>
      </c>
      <c r="T677" s="130">
        <v>0</v>
      </c>
      <c r="U677" s="130">
        <v>0</v>
      </c>
      <c r="V677" s="524">
        <v>0</v>
      </c>
      <c r="W677" s="130">
        <v>0</v>
      </c>
      <c r="X677" s="130">
        <v>0</v>
      </c>
      <c r="Y677" s="130">
        <v>0</v>
      </c>
      <c r="Z677" s="130">
        <v>0</v>
      </c>
      <c r="AA677" s="158" t="s">
        <v>2078</v>
      </c>
      <c r="AB677" s="158"/>
      <c r="AC677" s="158"/>
      <c r="AD677" s="158"/>
      <c r="AE677" s="158" t="b">
        <f>IF(AB677="",TRUE,IF(IF(AC677="",VLOOKUP(AB677,Calculs!$A$19:$S$425,19,FALSE),VLOOKUP(AC677,Calculs!$A$19:$S$425,19,FALSE))&gt;=AD677,TRUE,FALSE))</f>
        <v>1</v>
      </c>
      <c r="AF677" s="158"/>
      <c r="AG677" s="158"/>
      <c r="AH677" s="158"/>
      <c r="AI677" s="158" t="b">
        <f>IF(AF677="",TRUE,IF(IF(AG677="",VLOOKUP(AF677,Calculs!$A$19:$S$425,19,FALSE),VLOOKUP(AG677,Calculs!$A$19:$S$425,19,FALSE))&gt;=AH677,TRUE,FALSE))</f>
        <v>1</v>
      </c>
      <c r="AJ677" s="158"/>
      <c r="AK677" s="158"/>
      <c r="AL677" s="158"/>
      <c r="AM677" s="158" t="b">
        <f>IF(AJ677="",TRUE,IF(IF(AK677="",VLOOKUP(AJ677,Calculs!$A$19:$S$425,19,FALSE),VLOOKUP(AK677,Calculs!$A$19:$S$425,19,FALSE))&gt;=AL677,TRUE,FALSE))</f>
        <v>1</v>
      </c>
      <c r="AN677" s="158"/>
      <c r="AO677" s="158"/>
      <c r="AP677" s="158"/>
      <c r="AQ677" s="158" t="b">
        <f>IF(AN677="",TRUE,IF(IF(AO677="",VLOOKUP(AN677,Calculs!$A$19:$S$425,19,FALSE),VLOOKUP(AO677,Calculs!$A$19:$S$425,19,FALSE))&gt;=AP677,TRUE,FALSE))</f>
        <v>1</v>
      </c>
      <c r="AR677" s="158"/>
      <c r="AS677" s="158" t="b">
        <f>IF(AR677="",TRUE,IF(VLOOKUP(AR677,Calculs!$A$427:$G$738,7,FALSE)&gt;0,TRUE,FALSE))</f>
        <v>1</v>
      </c>
      <c r="AT677" s="158"/>
      <c r="AU677" s="158" t="b">
        <f>IF(AT677="",TRUE,IF(VLOOKUP(AT677,Calculs!$A$740:$G$912,7,FALSE)&gt;0,TRUE,FALSE))</f>
        <v>1</v>
      </c>
      <c r="AV677" s="158" t="b">
        <f t="shared" si="73"/>
        <v>1</v>
      </c>
      <c r="AW677" s="158" t="s">
        <v>2078</v>
      </c>
      <c r="AX677" s="162" t="s">
        <v>8021</v>
      </c>
      <c r="AY677" s="15">
        <v>20</v>
      </c>
      <c r="AZ677" s="555" t="s">
        <v>8655</v>
      </c>
      <c r="BA677" s="559">
        <f>IF(Verso!$B$10=Voies!$B677,1,0)</f>
        <v>0</v>
      </c>
      <c r="BB677" s="12">
        <f>IF(Verso!$B$11=Voies!$B677,1,0)</f>
        <v>0</v>
      </c>
      <c r="BC677" s="12">
        <f>IF(Verso!$B$12=Voies!$B677,1,0)</f>
        <v>0</v>
      </c>
      <c r="BD677" s="12">
        <f>IF(Verso!$B$13=Voies!$B677,1,0)</f>
        <v>0</v>
      </c>
      <c r="BE677" s="12">
        <f>IF(Verso!$B$14=Voies!$B677,1,0)</f>
        <v>0</v>
      </c>
      <c r="BF677" s="12">
        <f>IF(Verso!$B$15=Voies!$B677,1,0)</f>
        <v>0</v>
      </c>
      <c r="BG677" s="12">
        <f>IF(Verso!$B$16=Voies!$B677,1,0)</f>
        <v>0</v>
      </c>
      <c r="BH677" s="12">
        <f>IF(Verso!$B$17=Voies!$B677,1,0)</f>
        <v>0</v>
      </c>
      <c r="BI677" s="557">
        <f t="shared" si="74"/>
        <v>0</v>
      </c>
      <c r="BJ677" s="196" t="str">
        <f t="shared" si="75"/>
        <v/>
      </c>
      <c r="BK677" s="196" t="str">
        <f t="shared" si="76"/>
        <v/>
      </c>
      <c r="BL677" s="295" t="str">
        <f t="shared" si="77"/>
        <v/>
      </c>
      <c r="BM677" s="91"/>
    </row>
    <row r="678" spans="1:65" ht="47.25" customHeight="1" x14ac:dyDescent="0.25">
      <c r="A678" s="162" t="str">
        <f>IF(AND(Réputation&gt;Voies!E678-1,OR(C678=TRUE,Calculs!$I$8&gt;0),Air&gt;Voies!J678-1,Eau&gt;Voies!K678-1,Feu&gt;Voies!L678-1,Terre&gt;Voies!M678-1,Vide&gt;Voies!N678-1,Constitution&gt;Voies!O678-1,Volonté&gt;Voies!P678-1,Force&gt;Voies!Q678-1,Perception&gt;Voies!R678-1,Reflexes&gt;Voies!S678-1,Agilité&gt;Voies!T678-1,Intuition&gt;Voies!U678-1,Intelligence&gt;Voies!V678-1,Souillure&gt;Voies!W678-1,Honneur&gt;X678-1,Statut&gt;Y678-1,Gloire&gt;Z678-1,AV678=TRUE),Voies!B678,"")</f>
        <v/>
      </c>
      <c r="B678" s="162" t="s">
        <v>2486</v>
      </c>
      <c r="C678" s="162" t="b">
        <f>IF(Clan=Voies!D678,TRUE,FALSE)</f>
        <v>0</v>
      </c>
      <c r="D678" s="387" t="s">
        <v>178</v>
      </c>
      <c r="E678" s="13">
        <v>4</v>
      </c>
      <c r="F678" s="199">
        <v>4</v>
      </c>
      <c r="G678" s="13" t="s">
        <v>2052</v>
      </c>
      <c r="H678" s="162" t="s">
        <v>2482</v>
      </c>
      <c r="I678" s="129" t="str">
        <f>IF(B678="","","Rien")</f>
        <v>Rien</v>
      </c>
      <c r="J678" s="146">
        <v>0</v>
      </c>
      <c r="K678" s="147">
        <v>0</v>
      </c>
      <c r="L678" s="148">
        <v>0</v>
      </c>
      <c r="M678" s="149">
        <v>0</v>
      </c>
      <c r="N678" s="150">
        <v>0</v>
      </c>
      <c r="O678" s="130">
        <v>0</v>
      </c>
      <c r="P678" s="130">
        <v>0</v>
      </c>
      <c r="Q678" s="130">
        <v>0</v>
      </c>
      <c r="R678" s="130">
        <v>0</v>
      </c>
      <c r="S678" s="130">
        <v>0</v>
      </c>
      <c r="T678" s="130">
        <v>0</v>
      </c>
      <c r="U678" s="130">
        <v>0</v>
      </c>
      <c r="V678" s="524">
        <v>0</v>
      </c>
      <c r="W678" s="130">
        <v>0</v>
      </c>
      <c r="X678" s="130">
        <v>0</v>
      </c>
      <c r="Y678" s="130">
        <v>0</v>
      </c>
      <c r="Z678" s="130">
        <v>0</v>
      </c>
      <c r="AA678" s="158" t="s">
        <v>2078</v>
      </c>
      <c r="AB678" s="158"/>
      <c r="AC678" s="158"/>
      <c r="AD678" s="158"/>
      <c r="AE678" s="158" t="b">
        <f>IF(AB678="",TRUE,IF(IF(AC678="",VLOOKUP(AB678,Calculs!$A$19:$S$425,19,FALSE),VLOOKUP(AC678,Calculs!$A$19:$S$425,19,FALSE))&gt;=AD678,TRUE,FALSE))</f>
        <v>1</v>
      </c>
      <c r="AF678" s="158"/>
      <c r="AG678" s="158"/>
      <c r="AH678" s="158"/>
      <c r="AI678" s="158" t="b">
        <f>IF(AF678="",TRUE,IF(IF(AG678="",VLOOKUP(AF678,Calculs!$A$19:$S$425,19,FALSE),VLOOKUP(AG678,Calculs!$A$19:$S$425,19,FALSE))&gt;=AH678,TRUE,FALSE))</f>
        <v>1</v>
      </c>
      <c r="AJ678" s="158"/>
      <c r="AK678" s="158"/>
      <c r="AL678" s="158"/>
      <c r="AM678" s="158" t="b">
        <f>IF(AJ678="",TRUE,IF(IF(AK678="",VLOOKUP(AJ678,Calculs!$A$19:$S$425,19,FALSE),VLOOKUP(AK678,Calculs!$A$19:$S$425,19,FALSE))&gt;=AL678,TRUE,FALSE))</f>
        <v>1</v>
      </c>
      <c r="AN678" s="158"/>
      <c r="AO678" s="158"/>
      <c r="AP678" s="158"/>
      <c r="AQ678" s="158" t="b">
        <f>IF(AN678="",TRUE,IF(IF(AO678="",VLOOKUP(AN678,Calculs!$A$19:$S$425,19,FALSE),VLOOKUP(AO678,Calculs!$A$19:$S$425,19,FALSE))&gt;=AP678,TRUE,FALSE))</f>
        <v>1</v>
      </c>
      <c r="AR678" s="158"/>
      <c r="AS678" s="158" t="b">
        <f>IF(AR678="",TRUE,IF(VLOOKUP(AR678,Calculs!$A$427:$G$738,7,FALSE)&gt;0,TRUE,FALSE))</f>
        <v>1</v>
      </c>
      <c r="AT678" s="158"/>
      <c r="AU678" s="158" t="b">
        <f>IF(AT678="",TRUE,IF(VLOOKUP(AT678,Calculs!$A$740:$G$912,7,FALSE)&gt;0,TRUE,FALSE))</f>
        <v>1</v>
      </c>
      <c r="AV678" s="158" t="b">
        <f t="shared" si="73"/>
        <v>1</v>
      </c>
      <c r="AW678" s="158" t="s">
        <v>2078</v>
      </c>
      <c r="AX678" s="162" t="s">
        <v>3</v>
      </c>
      <c r="AY678" s="15">
        <v>125</v>
      </c>
      <c r="AZ678" s="555" t="s">
        <v>8656</v>
      </c>
      <c r="BA678" s="559">
        <f>IF(Verso!$B$10=Voies!$B678,1,0)</f>
        <v>0</v>
      </c>
      <c r="BB678" s="12">
        <f>IF(Verso!$B$11=Voies!$B678,1,0)</f>
        <v>0</v>
      </c>
      <c r="BC678" s="12">
        <f>IF(Verso!$B$12=Voies!$B678,1,0)</f>
        <v>0</v>
      </c>
      <c r="BD678" s="12">
        <f>IF(Verso!$B$13=Voies!$B678,1,0)</f>
        <v>0</v>
      </c>
      <c r="BE678" s="12">
        <f>IF(Verso!$B$14=Voies!$B678,1,0)</f>
        <v>0</v>
      </c>
      <c r="BF678" s="12">
        <f>IF(Verso!$B$15=Voies!$B678,1,0)</f>
        <v>0</v>
      </c>
      <c r="BG678" s="12">
        <f>IF(Verso!$B$16=Voies!$B678,1,0)</f>
        <v>0</v>
      </c>
      <c r="BH678" s="12">
        <f>IF(Verso!$B$17=Voies!$B678,1,0)</f>
        <v>0</v>
      </c>
      <c r="BI678" s="557">
        <f t="shared" si="74"/>
        <v>0</v>
      </c>
      <c r="BJ678" s="196" t="str">
        <f t="shared" si="75"/>
        <v/>
      </c>
      <c r="BK678" s="196" t="str">
        <f t="shared" si="76"/>
        <v/>
      </c>
      <c r="BL678" s="295" t="str">
        <f t="shared" si="77"/>
        <v/>
      </c>
    </row>
    <row r="679" spans="1:65" ht="47.25" customHeight="1" x14ac:dyDescent="0.25">
      <c r="A679" s="162" t="str">
        <f>IF(AND(Réputation&gt;Voies!E679-1,OR(C679=TRUE,Calculs!$I$8&gt;0),Air&gt;Voies!J679-1,Eau&gt;Voies!K679-1,Feu&gt;Voies!L679-1,Terre&gt;Voies!M679-1,Vide&gt;Voies!N679-1,Constitution&gt;Voies!O679-1,Volonté&gt;Voies!P679-1,Force&gt;Voies!Q679-1,Perception&gt;Voies!R679-1,Reflexes&gt;Voies!S679-1,Agilité&gt;Voies!T679-1,Intuition&gt;Voies!U679-1,Intelligence&gt;Voies!V679-1,Souillure&gt;Voies!W679-1,Honneur&gt;X679-1,Statut&gt;Y679-1,Gloire&gt;Z679-1,AV679=TRUE),Voies!B679,"")</f>
        <v/>
      </c>
      <c r="B679" s="162" t="s">
        <v>3464</v>
      </c>
      <c r="C679" s="162" t="b">
        <f>IF(Clan=Voies!D679,TRUE,FALSE)</f>
        <v>0</v>
      </c>
      <c r="D679" s="387" t="s">
        <v>178</v>
      </c>
      <c r="E679" s="199">
        <v>4</v>
      </c>
      <c r="F679" s="199">
        <v>4</v>
      </c>
      <c r="G679" s="199" t="s">
        <v>2052</v>
      </c>
      <c r="H679" s="162" t="s">
        <v>516</v>
      </c>
      <c r="I679" s="129" t="s">
        <v>3462</v>
      </c>
      <c r="J679" s="146">
        <v>0</v>
      </c>
      <c r="K679" s="147">
        <v>0</v>
      </c>
      <c r="L679" s="148">
        <v>0</v>
      </c>
      <c r="M679" s="149">
        <v>0</v>
      </c>
      <c r="N679" s="150">
        <v>0</v>
      </c>
      <c r="O679" s="130">
        <v>0</v>
      </c>
      <c r="P679" s="130">
        <v>0</v>
      </c>
      <c r="Q679" s="130">
        <v>0</v>
      </c>
      <c r="R679" s="130">
        <v>0</v>
      </c>
      <c r="S679" s="130">
        <v>0</v>
      </c>
      <c r="T679" s="130">
        <v>0</v>
      </c>
      <c r="U679" s="130">
        <v>0</v>
      </c>
      <c r="V679" s="524">
        <v>0</v>
      </c>
      <c r="W679" s="130">
        <v>0</v>
      </c>
      <c r="X679" s="130">
        <v>0</v>
      </c>
      <c r="Y679" s="130">
        <v>0</v>
      </c>
      <c r="Z679" s="130">
        <v>0</v>
      </c>
      <c r="AA679" s="159" t="s">
        <v>3463</v>
      </c>
      <c r="AB679" s="159" t="s">
        <v>1208</v>
      </c>
      <c r="AC679" s="159" t="s">
        <v>1300</v>
      </c>
      <c r="AD679" s="159">
        <v>4</v>
      </c>
      <c r="AE679" s="158" t="b">
        <f>IF(AB679="",TRUE,IF(IF(AC679="",VLOOKUP(AB679,Calculs!$A$19:$S$425,19,FALSE),VLOOKUP(AC679,Calculs!$A$19:$S$425,19,FALSE))&gt;=AD679,TRUE,FALSE))</f>
        <v>0</v>
      </c>
      <c r="AI679" s="158" t="b">
        <f>IF(AF679="",TRUE,IF(IF(AG679="",VLOOKUP(AF679,Calculs!$A$19:$S$425,19,FALSE),VLOOKUP(AG679,Calculs!$A$19:$S$425,19,FALSE))&gt;=AH679,TRUE,FALSE))</f>
        <v>1</v>
      </c>
      <c r="AM679" s="158" t="b">
        <f>IF(AJ679="",TRUE,IF(IF(AK679="",VLOOKUP(AJ679,Calculs!$A$19:$S$425,19,FALSE),VLOOKUP(AK679,Calculs!$A$19:$S$425,19,FALSE))&gt;=AL679,TRUE,FALSE))</f>
        <v>1</v>
      </c>
      <c r="AQ679" s="158" t="b">
        <f>IF(AN679="",TRUE,IF(IF(AO679="",VLOOKUP(AN679,Calculs!$A$19:$S$425,19,FALSE),VLOOKUP(AO679,Calculs!$A$19:$S$425,19,FALSE))&gt;=AP679,TRUE,FALSE))</f>
        <v>1</v>
      </c>
      <c r="AR679" s="158"/>
      <c r="AS679" s="158" t="b">
        <f>IF(AR679="",TRUE,IF(VLOOKUP(AR679,Calculs!$A$427:$G$738,7,FALSE)&gt;0,TRUE,FALSE))</f>
        <v>1</v>
      </c>
      <c r="AT679" s="158"/>
      <c r="AU679" s="158" t="b">
        <f>IF(AT679="",TRUE,IF(VLOOKUP(AT679,Calculs!$A$740:$G$912,7,FALSE)&gt;0,TRUE,FALSE))</f>
        <v>1</v>
      </c>
      <c r="AV679" s="158" t="b">
        <f t="shared" si="73"/>
        <v>0</v>
      </c>
      <c r="AW679" s="158" t="s">
        <v>2078</v>
      </c>
      <c r="AX679" s="162" t="s">
        <v>158</v>
      </c>
      <c r="AY679" s="15">
        <v>203</v>
      </c>
      <c r="AZ679" s="555" t="str">
        <f>CONCATENATE("Lorsque vous faites un test d'Etiquette ou de Sincérité, dépensez un PVide pour ajouter +",Volonté,"g0. Si le résultat utilise Etiquette (Courtoisie), vous ajoutez +0g",Volonté," à la place.")</f>
        <v>Lorsque vous faites un test d'Etiquette ou de Sincérité, dépensez un PVide pour ajouter +2g0. Si le résultat utilise Etiquette (Courtoisie), vous ajoutez +0g2 à la place.</v>
      </c>
      <c r="BA679" s="559">
        <f>IF(Verso!$B$10=Voies!$B679,1,0)</f>
        <v>0</v>
      </c>
      <c r="BB679" s="12">
        <f>IF(Verso!$B$11=Voies!$B679,1,0)</f>
        <v>0</v>
      </c>
      <c r="BC679" s="12">
        <f>IF(Verso!$B$12=Voies!$B679,1,0)</f>
        <v>0</v>
      </c>
      <c r="BD679" s="12">
        <f>IF(Verso!$B$13=Voies!$B679,1,0)</f>
        <v>0</v>
      </c>
      <c r="BE679" s="12">
        <f>IF(Verso!$B$14=Voies!$B679,1,0)</f>
        <v>0</v>
      </c>
      <c r="BF679" s="12">
        <f>IF(Verso!$B$15=Voies!$B679,1,0)</f>
        <v>0</v>
      </c>
      <c r="BG679" s="12">
        <f>IF(Verso!$B$16=Voies!$B679,1,0)</f>
        <v>0</v>
      </c>
      <c r="BH679" s="12">
        <f>IF(Verso!$B$17=Voies!$B679,1,0)</f>
        <v>0</v>
      </c>
      <c r="BI679" s="557">
        <f t="shared" si="74"/>
        <v>0</v>
      </c>
      <c r="BJ679" s="196" t="str">
        <f t="shared" si="75"/>
        <v/>
      </c>
      <c r="BK679" s="196" t="str">
        <f t="shared" si="76"/>
        <v/>
      </c>
      <c r="BL679" s="295" t="str">
        <f t="shared" si="77"/>
        <v/>
      </c>
    </row>
    <row r="680" spans="1:65" ht="47.25" customHeight="1" x14ac:dyDescent="0.25">
      <c r="A680" s="162" t="str">
        <f>IF(AND(Réputation&gt;Voies!E680-1,OR(C680=TRUE,Calculs!$I$8&gt;0),Air&gt;Voies!J680-1,Eau&gt;Voies!K680-1,Feu&gt;Voies!L680-1,Terre&gt;Voies!M680-1,Vide&gt;Voies!N680-1,Constitution&gt;Voies!O680-1,Volonté&gt;Voies!P680-1,Force&gt;Voies!Q680-1,Perception&gt;Voies!R680-1,Reflexes&gt;Voies!S680-1,Agilité&gt;Voies!T680-1,Intuition&gt;Voies!U680-1,Intelligence&gt;Voies!V680-1,Souillure&gt;Voies!W680-1,Honneur&gt;X680-1,Statut&gt;Y680-1,Gloire&gt;Z680-1,AV680=TRUE),Voies!B680,"")</f>
        <v/>
      </c>
      <c r="B680" s="162" t="s">
        <v>3663</v>
      </c>
      <c r="C680" s="162" t="b">
        <f>IF(Clan=Voies!D680,TRUE,FALSE)</f>
        <v>0</v>
      </c>
      <c r="D680" s="387" t="s">
        <v>178</v>
      </c>
      <c r="E680" s="199">
        <v>4</v>
      </c>
      <c r="F680" s="199">
        <v>4</v>
      </c>
      <c r="G680" s="199" t="s">
        <v>2048</v>
      </c>
      <c r="H680" s="162" t="s">
        <v>510</v>
      </c>
      <c r="I680" s="129" t="s">
        <v>3662</v>
      </c>
      <c r="J680" s="146">
        <v>0</v>
      </c>
      <c r="K680" s="147">
        <v>0</v>
      </c>
      <c r="L680" s="148">
        <v>3</v>
      </c>
      <c r="M680" s="149">
        <v>0</v>
      </c>
      <c r="N680" s="150">
        <v>4</v>
      </c>
      <c r="O680" s="130">
        <v>0</v>
      </c>
      <c r="P680" s="130">
        <v>0</v>
      </c>
      <c r="Q680" s="130">
        <v>0</v>
      </c>
      <c r="R680" s="130">
        <v>0</v>
      </c>
      <c r="S680" s="130">
        <v>0</v>
      </c>
      <c r="T680" s="130">
        <v>0</v>
      </c>
      <c r="U680" s="130">
        <v>0</v>
      </c>
      <c r="V680" s="524">
        <v>0</v>
      </c>
      <c r="W680" s="130">
        <v>0</v>
      </c>
      <c r="X680" s="130">
        <v>0</v>
      </c>
      <c r="Y680" s="130">
        <v>0</v>
      </c>
      <c r="Z680" s="130">
        <v>0</v>
      </c>
      <c r="AA680" s="158" t="s">
        <v>2078</v>
      </c>
      <c r="AB680" s="158"/>
      <c r="AC680" s="158"/>
      <c r="AD680" s="158"/>
      <c r="AE680" s="158" t="b">
        <f>IF(AB680="",TRUE,IF(IF(AC680="",VLOOKUP(AB680,Calculs!$A$19:$S$425,19,FALSE),VLOOKUP(AC680,Calculs!$A$19:$S$425,19,FALSE))&gt;=AD680,TRUE,FALSE))</f>
        <v>1</v>
      </c>
      <c r="AF680" s="158"/>
      <c r="AG680" s="158"/>
      <c r="AH680" s="158"/>
      <c r="AI680" s="158" t="b">
        <f>IF(AF680="",TRUE,IF(IF(AG680="",VLOOKUP(AF680,Calculs!$A$19:$S$425,19,FALSE),VLOOKUP(AG680,Calculs!$A$19:$S$425,19,FALSE))&gt;=AH680,TRUE,FALSE))</f>
        <v>1</v>
      </c>
      <c r="AJ680" s="158"/>
      <c r="AK680" s="158"/>
      <c r="AL680" s="158"/>
      <c r="AM680" s="158" t="b">
        <f>IF(AJ680="",TRUE,IF(IF(AK680="",VLOOKUP(AJ680,Calculs!$A$19:$S$425,19,FALSE),VLOOKUP(AK680,Calculs!$A$19:$S$425,19,FALSE))&gt;=AL680,TRUE,FALSE))</f>
        <v>1</v>
      </c>
      <c r="AN680" s="158"/>
      <c r="AO680" s="158"/>
      <c r="AP680" s="158"/>
      <c r="AQ680" s="158" t="b">
        <f>IF(AN680="",TRUE,IF(IF(AO680="",VLOOKUP(AN680,Calculs!$A$19:$S$425,19,FALSE),VLOOKUP(AO680,Calculs!$A$19:$S$425,19,FALSE))&gt;=AP680,TRUE,FALSE))</f>
        <v>1</v>
      </c>
      <c r="AR680" s="158"/>
      <c r="AS680" s="158" t="b">
        <f>IF(AR680="",TRUE,IF(VLOOKUP(AR680,Calculs!$A$427:$G$738,7,FALSE)&gt;0,TRUE,FALSE))</f>
        <v>1</v>
      </c>
      <c r="AT680" s="158"/>
      <c r="AU680" s="158" t="b">
        <f>IF(AT680="",TRUE,IF(VLOOKUP(AT680,Calculs!$A$740:$G$912,7,FALSE)&gt;0,TRUE,FALSE))</f>
        <v>1</v>
      </c>
      <c r="AV680" s="158" t="b">
        <f t="shared" si="73"/>
        <v>1</v>
      </c>
      <c r="AW680" s="158" t="s">
        <v>2078</v>
      </c>
      <c r="AX680" s="162" t="s">
        <v>2077</v>
      </c>
      <c r="AY680" s="15">
        <v>306</v>
      </c>
      <c r="AZ680" s="555" t="s">
        <v>8657</v>
      </c>
      <c r="BA680" s="559">
        <f>IF(Verso!$B$10=Voies!$B680,1,0)</f>
        <v>0</v>
      </c>
      <c r="BB680" s="12">
        <f>IF(Verso!$B$11=Voies!$B680,1,0)</f>
        <v>0</v>
      </c>
      <c r="BC680" s="12">
        <f>IF(Verso!$B$12=Voies!$B680,1,0)</f>
        <v>0</v>
      </c>
      <c r="BD680" s="12">
        <f>IF(Verso!$B$13=Voies!$B680,1,0)</f>
        <v>0</v>
      </c>
      <c r="BE680" s="12">
        <f>IF(Verso!$B$14=Voies!$B680,1,0)</f>
        <v>0</v>
      </c>
      <c r="BF680" s="12">
        <f>IF(Verso!$B$15=Voies!$B680,1,0)</f>
        <v>0</v>
      </c>
      <c r="BG680" s="12">
        <f>IF(Verso!$B$16=Voies!$B680,1,0)</f>
        <v>0</v>
      </c>
      <c r="BH680" s="12">
        <f>IF(Verso!$B$17=Voies!$B680,1,0)</f>
        <v>0</v>
      </c>
      <c r="BI680" s="557">
        <f t="shared" si="74"/>
        <v>0</v>
      </c>
      <c r="BJ680" s="196" t="str">
        <f t="shared" si="75"/>
        <v/>
      </c>
      <c r="BK680" s="196" t="str">
        <f t="shared" si="76"/>
        <v/>
      </c>
      <c r="BL680" s="295" t="str">
        <f t="shared" si="77"/>
        <v/>
      </c>
    </row>
    <row r="681" spans="1:65" s="196" customFormat="1" ht="47.25" customHeight="1" x14ac:dyDescent="0.25">
      <c r="A681" s="162" t="str">
        <f>IF(AND(Réputation&gt;Voies!E681-1,OR(C681=TRUE,Calculs!$I$8&gt;0),Air&gt;Voies!J681-1,Eau&gt;Voies!K681-1,Feu&gt;Voies!L681-1,Terre&gt;Voies!M681-1,Vide&gt;Voies!N681-1,Constitution&gt;Voies!O681-1,Volonté&gt;Voies!P681-1,Force&gt;Voies!Q681-1,Perception&gt;Voies!R681-1,Reflexes&gt;Voies!S681-1,Agilité&gt;Voies!T681-1,Intuition&gt;Voies!U681-1,Intelligence&gt;Voies!V681-1,Souillure&gt;Voies!W681-1,Honneur&gt;X681-1,Statut&gt;Y681-1,Gloire&gt;Z681-1,AV681=TRUE),Voies!B681,"")</f>
        <v/>
      </c>
      <c r="B681" s="162" t="s">
        <v>5876</v>
      </c>
      <c r="C681" s="162" t="b">
        <f>IF(OR(Clan="Renard",Clan="Mante"),TRUE,FALSE)</f>
        <v>0</v>
      </c>
      <c r="D681" s="387" t="s">
        <v>178</v>
      </c>
      <c r="E681" s="201">
        <v>4</v>
      </c>
      <c r="F681" s="201">
        <v>4</v>
      </c>
      <c r="G681" s="201" t="s">
        <v>2048</v>
      </c>
      <c r="H681" s="219" t="s">
        <v>465</v>
      </c>
      <c r="I681" s="129" t="s">
        <v>3838</v>
      </c>
      <c r="J681" s="146">
        <v>0</v>
      </c>
      <c r="K681" s="147">
        <v>0</v>
      </c>
      <c r="L681" s="148">
        <v>0</v>
      </c>
      <c r="M681" s="149">
        <v>0</v>
      </c>
      <c r="N681" s="150">
        <v>0</v>
      </c>
      <c r="O681" s="130">
        <v>0</v>
      </c>
      <c r="P681" s="130">
        <v>0</v>
      </c>
      <c r="Q681" s="130">
        <v>0</v>
      </c>
      <c r="R681" s="130">
        <v>0</v>
      </c>
      <c r="S681" s="130">
        <v>0</v>
      </c>
      <c r="T681" s="130">
        <v>0</v>
      </c>
      <c r="U681" s="130">
        <v>0</v>
      </c>
      <c r="V681" s="524">
        <v>0</v>
      </c>
      <c r="W681" s="130">
        <v>0</v>
      </c>
      <c r="X681" s="130">
        <v>0</v>
      </c>
      <c r="Y681" s="130">
        <v>0</v>
      </c>
      <c r="Z681" s="130">
        <v>0</v>
      </c>
      <c r="AA681" s="159" t="s">
        <v>3818</v>
      </c>
      <c r="AB681" s="159" t="s">
        <v>1262</v>
      </c>
      <c r="AC681" s="159"/>
      <c r="AD681" s="159">
        <v>3</v>
      </c>
      <c r="AE681" s="158" t="b">
        <f>IF(AB681="",TRUE,IF(IF(AC681="",VLOOKUP(AB681,Calculs!$A$19:$S$425,19,FALSE),VLOOKUP(AC681,Calculs!$A$19:$S$425,19,FALSE))&gt;=AD681,TRUE,FALSE))</f>
        <v>0</v>
      </c>
      <c r="AF681" s="159" t="s">
        <v>3328</v>
      </c>
      <c r="AG681" s="159"/>
      <c r="AH681" s="159">
        <v>3</v>
      </c>
      <c r="AI681" s="158" t="b">
        <f>IF(AF681="",TRUE,IF(IF(AG681="",VLOOKUP(AF681,Calculs!$A$19:$S$425,19,FALSE),VLOOKUP(AG681,Calculs!$A$19:$S$425,19,FALSE))&gt;=AH681,TRUE,FALSE))</f>
        <v>0</v>
      </c>
      <c r="AJ681" s="159" t="s">
        <v>3326</v>
      </c>
      <c r="AK681" s="159"/>
      <c r="AL681" s="159">
        <v>3</v>
      </c>
      <c r="AM681" s="158" t="b">
        <f>IF(AJ681="",TRUE,IF(IF(AK681="",VLOOKUP(AJ681,Calculs!$A$19:$S$425,19,FALSE),VLOOKUP(AK681,Calculs!$A$19:$S$425,19,FALSE))&gt;=AL681,TRUE,FALSE))</f>
        <v>0</v>
      </c>
      <c r="AN681" s="159" t="s">
        <v>3327</v>
      </c>
      <c r="AO681" s="159"/>
      <c r="AP681" s="159">
        <v>3</v>
      </c>
      <c r="AQ681" s="158" t="b">
        <f>IF(AN681="",TRUE,IF(IF(AO681="",VLOOKUP(AN681,Calculs!$A$19:$S$425,19,FALSE),VLOOKUP(AO681,Calculs!$A$19:$S$425,19,FALSE))&gt;=AP681,TRUE,FALSE))</f>
        <v>0</v>
      </c>
      <c r="AR681" s="158"/>
      <c r="AS681" s="158" t="b">
        <f>IF(AR681="",TRUE,IF(VLOOKUP(AR681,Calculs!$A$427:$G$738,7,FALSE)&gt;0,TRUE,FALSE))</f>
        <v>1</v>
      </c>
      <c r="AT681" s="158"/>
      <c r="AU681" s="158" t="b">
        <f>IF(AT681="",TRUE,IF(VLOOKUP(AT681,Calculs!$A$740:$G$912,7,FALSE)&gt;0,TRUE,FALSE))</f>
        <v>1</v>
      </c>
      <c r="AV681" s="158" t="b">
        <f t="shared" si="73"/>
        <v>0</v>
      </c>
      <c r="AW681" s="158" t="s">
        <v>2078</v>
      </c>
      <c r="AX681" s="162" t="s">
        <v>2087</v>
      </c>
      <c r="AY681" s="15">
        <v>25</v>
      </c>
      <c r="AZ681" s="555" t="s">
        <v>3839</v>
      </c>
      <c r="BA681" s="559">
        <f>IF(Verso!$B$10=Voies!$B681,1,0)</f>
        <v>0</v>
      </c>
      <c r="BB681" s="12">
        <f>IF(Verso!$B$11=Voies!$B681,1,0)</f>
        <v>0</v>
      </c>
      <c r="BC681" s="12">
        <f>IF(Verso!$B$12=Voies!$B681,1,0)</f>
        <v>0</v>
      </c>
      <c r="BD681" s="12">
        <f>IF(Verso!$B$13=Voies!$B681,1,0)</f>
        <v>0</v>
      </c>
      <c r="BE681" s="12">
        <f>IF(Verso!$B$14=Voies!$B681,1,0)</f>
        <v>0</v>
      </c>
      <c r="BF681" s="12">
        <f>IF(Verso!$B$15=Voies!$B681,1,0)</f>
        <v>0</v>
      </c>
      <c r="BG681" s="12">
        <f>IF(Verso!$B$16=Voies!$B681,1,0)</f>
        <v>0</v>
      </c>
      <c r="BH681" s="12">
        <f>IF(Verso!$B$17=Voies!$B681,1,0)</f>
        <v>0</v>
      </c>
      <c r="BI681" s="557">
        <f t="shared" si="74"/>
        <v>0</v>
      </c>
      <c r="BJ681" s="196" t="str">
        <f t="shared" si="75"/>
        <v/>
      </c>
      <c r="BK681" s="196" t="str">
        <f t="shared" si="76"/>
        <v/>
      </c>
      <c r="BL681" s="295" t="str">
        <f t="shared" si="77"/>
        <v/>
      </c>
      <c r="BM681" s="91"/>
    </row>
    <row r="682" spans="1:65" ht="47.25" customHeight="1" x14ac:dyDescent="0.25">
      <c r="A682" s="162" t="str">
        <f>IF(AND(Réputation&gt;Voies!E682-1,OR(C682=TRUE,Calculs!$I$8&gt;0),Air&gt;Voies!J682-1,Eau&gt;Voies!K682-1,Feu&gt;Voies!L682-1,Terre&gt;Voies!M682-1,Vide&gt;Voies!N682-1,Constitution&gt;Voies!O682-1,Volonté&gt;Voies!P682-1,Force&gt;Voies!Q682-1,Perception&gt;Voies!R682-1,Reflexes&gt;Voies!S682-1,Agilité&gt;Voies!T682-1,Intuition&gt;Voies!U682-1,Intelligence&gt;Voies!V682-1,Souillure&gt;Voies!W682-1,Honneur&gt;X682-1,Statut&gt;Y682-1,Gloire&gt;Z682-1,AV682=TRUE),Voies!B682,"")</f>
        <v/>
      </c>
      <c r="B682" s="162" t="s">
        <v>2492</v>
      </c>
      <c r="C682" s="162" t="b">
        <f>IF(Clan=Voies!D682,TRUE,FALSE)</f>
        <v>0</v>
      </c>
      <c r="D682" s="387" t="s">
        <v>178</v>
      </c>
      <c r="E682" s="199">
        <v>5</v>
      </c>
      <c r="F682" s="199">
        <v>5</v>
      </c>
      <c r="G682" s="13" t="s">
        <v>2049</v>
      </c>
      <c r="H682" s="162" t="s">
        <v>209</v>
      </c>
      <c r="I682" s="129" t="str">
        <f>IF(B682="","","Rien")</f>
        <v>Rien</v>
      </c>
      <c r="J682" s="146">
        <v>0</v>
      </c>
      <c r="K682" s="147">
        <v>0</v>
      </c>
      <c r="L682" s="148">
        <v>0</v>
      </c>
      <c r="M682" s="149">
        <v>0</v>
      </c>
      <c r="N682" s="150">
        <v>0</v>
      </c>
      <c r="O682" s="130">
        <v>0</v>
      </c>
      <c r="P682" s="130">
        <v>0</v>
      </c>
      <c r="Q682" s="130">
        <v>0</v>
      </c>
      <c r="R682" s="130">
        <v>0</v>
      </c>
      <c r="S682" s="130">
        <v>0</v>
      </c>
      <c r="T682" s="130">
        <v>0</v>
      </c>
      <c r="U682" s="130">
        <v>0</v>
      </c>
      <c r="V682" s="524">
        <v>0</v>
      </c>
      <c r="W682" s="130">
        <v>0</v>
      </c>
      <c r="X682" s="130">
        <v>0</v>
      </c>
      <c r="Y682" s="130">
        <v>0</v>
      </c>
      <c r="Z682" s="130">
        <v>0</v>
      </c>
      <c r="AA682" s="158" t="s">
        <v>2078</v>
      </c>
      <c r="AB682" s="158"/>
      <c r="AC682" s="158"/>
      <c r="AD682" s="158"/>
      <c r="AE682" s="158" t="b">
        <f>IF(AB682="",TRUE,IF(IF(AC682="",VLOOKUP(AB682,Calculs!$A$19:$S$425,19,FALSE),VLOOKUP(AC682,Calculs!$A$19:$S$425,19,FALSE))&gt;=AD682,TRUE,FALSE))</f>
        <v>1</v>
      </c>
      <c r="AF682" s="158"/>
      <c r="AG682" s="158"/>
      <c r="AH682" s="158"/>
      <c r="AI682" s="158" t="b">
        <f>IF(AF682="",TRUE,IF(IF(AG682="",VLOOKUP(AF682,Calculs!$A$19:$S$425,19,FALSE),VLOOKUP(AG682,Calculs!$A$19:$S$425,19,FALSE))&gt;=AH682,TRUE,FALSE))</f>
        <v>1</v>
      </c>
      <c r="AJ682" s="158"/>
      <c r="AK682" s="158"/>
      <c r="AL682" s="158"/>
      <c r="AM682" s="158" t="b">
        <f>IF(AJ682="",TRUE,IF(IF(AK682="",VLOOKUP(AJ682,Calculs!$A$19:$S$425,19,FALSE),VLOOKUP(AK682,Calculs!$A$19:$S$425,19,FALSE))&gt;=AL682,TRUE,FALSE))</f>
        <v>1</v>
      </c>
      <c r="AN682" s="158"/>
      <c r="AO682" s="158"/>
      <c r="AP682" s="158"/>
      <c r="AQ682" s="158" t="b">
        <f>IF(AN682="",TRUE,IF(IF(AO682="",VLOOKUP(AN682,Calculs!$A$19:$S$425,19,FALSE),VLOOKUP(AO682,Calculs!$A$19:$S$425,19,FALSE))&gt;=AP682,TRUE,FALSE))</f>
        <v>1</v>
      </c>
      <c r="AR682" s="158"/>
      <c r="AS682" s="158" t="b">
        <f>IF(AR682="",TRUE,IF(VLOOKUP(AR682,Calculs!$A$427:$G$738,7,FALSE)&gt;0,TRUE,FALSE))</f>
        <v>1</v>
      </c>
      <c r="AT682" s="158"/>
      <c r="AU682" s="158" t="b">
        <f>IF(AT682="",TRUE,IF(VLOOKUP(AT682,Calculs!$A$740:$G$912,7,FALSE)&gt;0,TRUE,FALSE))</f>
        <v>1</v>
      </c>
      <c r="AV682" s="158" t="b">
        <f t="shared" si="73"/>
        <v>1</v>
      </c>
      <c r="AW682" s="158" t="s">
        <v>2078</v>
      </c>
      <c r="AX682" s="162" t="s">
        <v>3</v>
      </c>
      <c r="AY682" s="15">
        <v>125</v>
      </c>
      <c r="AZ682" s="555" t="s">
        <v>2524</v>
      </c>
      <c r="BA682" s="559">
        <f>IF(Verso!$B$10=Voies!$B682,1,0)</f>
        <v>0</v>
      </c>
      <c r="BB682" s="12">
        <f>IF(Verso!$B$11=Voies!$B682,1,0)</f>
        <v>0</v>
      </c>
      <c r="BC682" s="12">
        <f>IF(Verso!$B$12=Voies!$B682,1,0)</f>
        <v>0</v>
      </c>
      <c r="BD682" s="12">
        <f>IF(Verso!$B$13=Voies!$B682,1,0)</f>
        <v>0</v>
      </c>
      <c r="BE682" s="12">
        <f>IF(Verso!$B$14=Voies!$B682,1,0)</f>
        <v>0</v>
      </c>
      <c r="BF682" s="12">
        <f>IF(Verso!$B$15=Voies!$B682,1,0)</f>
        <v>0</v>
      </c>
      <c r="BG682" s="12">
        <f>IF(Verso!$B$16=Voies!$B682,1,0)</f>
        <v>0</v>
      </c>
      <c r="BH682" s="12">
        <f>IF(Verso!$B$17=Voies!$B682,1,0)</f>
        <v>0</v>
      </c>
      <c r="BI682" s="557">
        <f t="shared" si="74"/>
        <v>0</v>
      </c>
      <c r="BJ682" s="196" t="str">
        <f t="shared" si="75"/>
        <v/>
      </c>
      <c r="BK682" s="196" t="str">
        <f t="shared" si="76"/>
        <v/>
      </c>
      <c r="BL682" s="295" t="str">
        <f t="shared" si="77"/>
        <v/>
      </c>
    </row>
    <row r="683" spans="1:65" ht="47.25" customHeight="1" x14ac:dyDescent="0.25">
      <c r="A683" s="162" t="str">
        <f>IF(AND(Réputation&gt;Voies!E683-1,OR(C683=TRUE,Calculs!$I$8&gt;0),Air&gt;Voies!J683-1,Eau&gt;Voies!K683-1,Feu&gt;Voies!L683-1,Terre&gt;Voies!M683-1,Vide&gt;Voies!N683-1,Constitution&gt;Voies!O683-1,Volonté&gt;Voies!P683-1,Force&gt;Voies!Q683-1,Perception&gt;Voies!R683-1,Reflexes&gt;Voies!S683-1,Agilité&gt;Voies!T683-1,Intuition&gt;Voies!U683-1,Intelligence&gt;Voies!V683-1,Souillure&gt;Voies!W683-1,Honneur&gt;X683-1,Statut&gt;Y683-1,Gloire&gt;Z683-1,AV683=TRUE),Voies!B683,"")</f>
        <v/>
      </c>
      <c r="B683" s="162" t="s">
        <v>2472</v>
      </c>
      <c r="C683" s="162" t="b">
        <f>IF(Clan=Voies!D683,TRUE,FALSE)</f>
        <v>0</v>
      </c>
      <c r="D683" s="387" t="s">
        <v>178</v>
      </c>
      <c r="E683" s="199">
        <v>5</v>
      </c>
      <c r="F683" s="199">
        <v>5</v>
      </c>
      <c r="G683" s="13" t="s">
        <v>2049</v>
      </c>
      <c r="H683" s="162" t="s">
        <v>210</v>
      </c>
      <c r="I683" s="129" t="str">
        <f>IF(B683="","","Rien")</f>
        <v>Rien</v>
      </c>
      <c r="J683" s="146">
        <v>0</v>
      </c>
      <c r="K683" s="147">
        <v>0</v>
      </c>
      <c r="L683" s="148">
        <v>0</v>
      </c>
      <c r="M683" s="149">
        <v>0</v>
      </c>
      <c r="N683" s="150">
        <v>0</v>
      </c>
      <c r="O683" s="130">
        <v>0</v>
      </c>
      <c r="P683" s="130">
        <v>0</v>
      </c>
      <c r="Q683" s="130">
        <v>0</v>
      </c>
      <c r="R683" s="130">
        <v>0</v>
      </c>
      <c r="S683" s="130">
        <v>0</v>
      </c>
      <c r="T683" s="130">
        <v>0</v>
      </c>
      <c r="U683" s="130">
        <v>0</v>
      </c>
      <c r="V683" s="524">
        <v>0</v>
      </c>
      <c r="W683" s="130">
        <v>0</v>
      </c>
      <c r="X683" s="130">
        <v>0</v>
      </c>
      <c r="Y683" s="130">
        <v>0</v>
      </c>
      <c r="Z683" s="130">
        <v>0</v>
      </c>
      <c r="AA683" s="158" t="s">
        <v>2078</v>
      </c>
      <c r="AB683" s="158"/>
      <c r="AC683" s="158"/>
      <c r="AD683" s="158"/>
      <c r="AE683" s="158" t="b">
        <f>IF(AB683="",TRUE,IF(IF(AC683="",VLOOKUP(AB683,Calculs!$A$19:$S$425,19,FALSE),VLOOKUP(AC683,Calculs!$A$19:$S$425,19,FALSE))&gt;=AD683,TRUE,FALSE))</f>
        <v>1</v>
      </c>
      <c r="AF683" s="158"/>
      <c r="AG683" s="158"/>
      <c r="AH683" s="158"/>
      <c r="AI683" s="158" t="b">
        <f>IF(AF683="",TRUE,IF(IF(AG683="",VLOOKUP(AF683,Calculs!$A$19:$S$425,19,FALSE),VLOOKUP(AG683,Calculs!$A$19:$S$425,19,FALSE))&gt;=AH683,TRUE,FALSE))</f>
        <v>1</v>
      </c>
      <c r="AJ683" s="158"/>
      <c r="AK683" s="158"/>
      <c r="AL683" s="158"/>
      <c r="AM683" s="158" t="b">
        <f>IF(AJ683="",TRUE,IF(IF(AK683="",VLOOKUP(AJ683,Calculs!$A$19:$S$425,19,FALSE),VLOOKUP(AK683,Calculs!$A$19:$S$425,19,FALSE))&gt;=AL683,TRUE,FALSE))</f>
        <v>1</v>
      </c>
      <c r="AN683" s="158"/>
      <c r="AO683" s="158"/>
      <c r="AP683" s="158"/>
      <c r="AQ683" s="158" t="b">
        <f>IF(AN683="",TRUE,IF(IF(AO683="",VLOOKUP(AN683,Calculs!$A$19:$S$425,19,FALSE),VLOOKUP(AO683,Calculs!$A$19:$S$425,19,FALSE))&gt;=AP683,TRUE,FALSE))</f>
        <v>1</v>
      </c>
      <c r="AR683" s="158"/>
      <c r="AS683" s="158" t="b">
        <f>IF(AR683="",TRUE,IF(VLOOKUP(AR683,Calculs!$A$427:$G$738,7,FALSE)&gt;0,TRUE,FALSE))</f>
        <v>1</v>
      </c>
      <c r="AT683" s="158"/>
      <c r="AU683" s="158" t="b">
        <f>IF(AT683="",TRUE,IF(VLOOKUP(AT683,Calculs!$A$740:$G$912,7,FALSE)&gt;0,TRUE,FALSE))</f>
        <v>1</v>
      </c>
      <c r="AV683" s="158" t="b">
        <f t="shared" si="73"/>
        <v>1</v>
      </c>
      <c r="AW683" s="158" t="s">
        <v>2078</v>
      </c>
      <c r="AX683" s="162" t="s">
        <v>3</v>
      </c>
      <c r="AY683" s="15">
        <v>123</v>
      </c>
      <c r="AZ683" s="555" t="str">
        <f>CONCATENATE("Dépensez un Pvide et une Act.G: +0g",Force," de Dommages supplémentaires pendant 1 Round. Si la cible est Au Sol, ajoute en plus +2g0 aux Dommages.")</f>
        <v>Dépensez un Pvide et une Act.G: +0g2 de Dommages supplémentaires pendant 1 Round. Si la cible est Au Sol, ajoute en plus +2g0 aux Dommages.</v>
      </c>
      <c r="BA683" s="559">
        <f>IF(Verso!$B$10=Voies!$B683,1,0)</f>
        <v>0</v>
      </c>
      <c r="BB683" s="12">
        <f>IF(Verso!$B$11=Voies!$B683,1,0)</f>
        <v>0</v>
      </c>
      <c r="BC683" s="12">
        <f>IF(Verso!$B$12=Voies!$B683,1,0)</f>
        <v>0</v>
      </c>
      <c r="BD683" s="12">
        <f>IF(Verso!$B$13=Voies!$B683,1,0)</f>
        <v>0</v>
      </c>
      <c r="BE683" s="12">
        <f>IF(Verso!$B$14=Voies!$B683,1,0)</f>
        <v>0</v>
      </c>
      <c r="BF683" s="12">
        <f>IF(Verso!$B$15=Voies!$B683,1,0)</f>
        <v>0</v>
      </c>
      <c r="BG683" s="12">
        <f>IF(Verso!$B$16=Voies!$B683,1,0)</f>
        <v>0</v>
      </c>
      <c r="BH683" s="12">
        <f>IF(Verso!$B$17=Voies!$B683,1,0)</f>
        <v>0</v>
      </c>
      <c r="BI683" s="557">
        <f t="shared" si="74"/>
        <v>0</v>
      </c>
      <c r="BJ683" s="196" t="str">
        <f t="shared" si="75"/>
        <v/>
      </c>
      <c r="BK683" s="196" t="str">
        <f t="shared" si="76"/>
        <v/>
      </c>
      <c r="BL683" s="295" t="str">
        <f t="shared" si="77"/>
        <v/>
      </c>
    </row>
    <row r="684" spans="1:65" ht="47.25" customHeight="1" x14ac:dyDescent="0.25">
      <c r="A684" s="162" t="str">
        <f>IF(AND(Réputation&gt;Voies!E684-1,OR(C684=TRUE,Calculs!$I$8&gt;0),Air&gt;Voies!J684-1,Eau&gt;Voies!K684-1,Feu&gt;Voies!L684-1,Terre&gt;Voies!M684-1,Vide&gt;Voies!N684-1,Constitution&gt;Voies!O684-1,Volonté&gt;Voies!P684-1,Force&gt;Voies!Q684-1,Perception&gt;Voies!R684-1,Reflexes&gt;Voies!S684-1,Agilité&gt;Voies!T684-1,Intuition&gt;Voies!U684-1,Intelligence&gt;Voies!V684-1,Souillure&gt;Voies!W684-1,Honneur&gt;X684-1,Statut&gt;Y684-1,Gloire&gt;Z684-1,AV684=TRUE),Voies!B684,"")</f>
        <v/>
      </c>
      <c r="B684" s="162" t="s">
        <v>6099</v>
      </c>
      <c r="C684" s="162" t="b">
        <f>IF(Clan=Voies!D684,TRUE,FALSE)</f>
        <v>0</v>
      </c>
      <c r="D684" s="387" t="s">
        <v>178</v>
      </c>
      <c r="E684" s="199">
        <v>5</v>
      </c>
      <c r="F684" s="199">
        <v>5</v>
      </c>
      <c r="G684" s="13" t="s">
        <v>2049</v>
      </c>
      <c r="H684" s="162" t="s">
        <v>2865</v>
      </c>
      <c r="I684" s="129" t="str">
        <f>IF(B684="","","Rien")</f>
        <v>Rien</v>
      </c>
      <c r="J684" s="146">
        <v>0</v>
      </c>
      <c r="K684" s="147">
        <v>0</v>
      </c>
      <c r="L684" s="148">
        <v>0</v>
      </c>
      <c r="M684" s="149">
        <v>0</v>
      </c>
      <c r="N684" s="150">
        <v>0</v>
      </c>
      <c r="O684" s="130">
        <v>0</v>
      </c>
      <c r="P684" s="130">
        <v>0</v>
      </c>
      <c r="Q684" s="130">
        <v>0</v>
      </c>
      <c r="R684" s="130">
        <v>0</v>
      </c>
      <c r="S684" s="130">
        <v>0</v>
      </c>
      <c r="T684" s="130">
        <v>0</v>
      </c>
      <c r="U684" s="130">
        <v>0</v>
      </c>
      <c r="V684" s="524">
        <v>0</v>
      </c>
      <c r="W684" s="130">
        <v>0</v>
      </c>
      <c r="X684" s="130">
        <v>0</v>
      </c>
      <c r="Y684" s="130">
        <v>0</v>
      </c>
      <c r="Z684" s="130">
        <v>0</v>
      </c>
      <c r="AA684" s="158" t="s">
        <v>2078</v>
      </c>
      <c r="AB684" s="158"/>
      <c r="AC684" s="158"/>
      <c r="AD684" s="158"/>
      <c r="AE684" s="158" t="b">
        <f>IF(AB684="",TRUE,IF(IF(AC684="",VLOOKUP(AB684,Calculs!$A$19:$S$425,19,FALSE),VLOOKUP(AC684,Calculs!$A$19:$S$425,19,FALSE))&gt;=AD684,TRUE,FALSE))</f>
        <v>1</v>
      </c>
      <c r="AF684" s="158"/>
      <c r="AG684" s="158"/>
      <c r="AH684" s="158"/>
      <c r="AI684" s="158" t="b">
        <f>IF(AF684="",TRUE,IF(IF(AG684="",VLOOKUP(AF684,Calculs!$A$19:$S$425,19,FALSE),VLOOKUP(AG684,Calculs!$A$19:$S$425,19,FALSE))&gt;=AH684,TRUE,FALSE))</f>
        <v>1</v>
      </c>
      <c r="AJ684" s="158"/>
      <c r="AK684" s="158"/>
      <c r="AL684" s="158"/>
      <c r="AM684" s="158" t="b">
        <f>IF(AJ684="",TRUE,IF(IF(AK684="",VLOOKUP(AJ684,Calculs!$A$19:$S$425,19,FALSE),VLOOKUP(AK684,Calculs!$A$19:$S$425,19,FALSE))&gt;=AL684,TRUE,FALSE))</f>
        <v>1</v>
      </c>
      <c r="AN684" s="158"/>
      <c r="AO684" s="158"/>
      <c r="AP684" s="158"/>
      <c r="AQ684" s="158" t="b">
        <f>IF(AN684="",TRUE,IF(IF(AO684="",VLOOKUP(AN684,Calculs!$A$19:$S$425,19,FALSE),VLOOKUP(AO684,Calculs!$A$19:$S$425,19,FALSE))&gt;=AP684,TRUE,FALSE))</f>
        <v>1</v>
      </c>
      <c r="AR684" s="158"/>
      <c r="AS684" s="158" t="b">
        <f>IF(AR684="",TRUE,IF(VLOOKUP(AR684,Calculs!$A$427:$G$738,7,FALSE)&gt;0,TRUE,FALSE))</f>
        <v>1</v>
      </c>
      <c r="AT684" s="158"/>
      <c r="AU684" s="158" t="b">
        <f>IF(AT684="",TRUE,IF(VLOOKUP(AT684,Calculs!$A$740:$G$912,7,FALSE)&gt;0,TRUE,FALSE))</f>
        <v>1</v>
      </c>
      <c r="AV684" s="158" t="b">
        <f t="shared" si="73"/>
        <v>1</v>
      </c>
      <c r="AW684" s="158" t="s">
        <v>2078</v>
      </c>
      <c r="AX684" s="162" t="s">
        <v>6061</v>
      </c>
      <c r="AY684" s="15">
        <v>197</v>
      </c>
      <c r="AZ684" s="555" t="s">
        <v>2880</v>
      </c>
      <c r="BA684" s="559">
        <f>IF(Verso!$B$10=Voies!$B684,1,0)</f>
        <v>0</v>
      </c>
      <c r="BB684" s="12">
        <f>IF(Verso!$B$11=Voies!$B684,1,0)</f>
        <v>0</v>
      </c>
      <c r="BC684" s="12">
        <f>IF(Verso!$B$12=Voies!$B684,1,0)</f>
        <v>0</v>
      </c>
      <c r="BD684" s="12">
        <f>IF(Verso!$B$13=Voies!$B684,1,0)</f>
        <v>0</v>
      </c>
      <c r="BE684" s="12">
        <f>IF(Verso!$B$14=Voies!$B684,1,0)</f>
        <v>0</v>
      </c>
      <c r="BF684" s="12">
        <f>IF(Verso!$B$15=Voies!$B684,1,0)</f>
        <v>0</v>
      </c>
      <c r="BG684" s="12">
        <f>IF(Verso!$B$16=Voies!$B684,1,0)</f>
        <v>0</v>
      </c>
      <c r="BH684" s="12">
        <f>IF(Verso!$B$17=Voies!$B684,1,0)</f>
        <v>0</v>
      </c>
      <c r="BI684" s="557">
        <f t="shared" si="74"/>
        <v>0</v>
      </c>
      <c r="BJ684" s="196" t="str">
        <f t="shared" si="75"/>
        <v/>
      </c>
      <c r="BK684" s="196" t="str">
        <f t="shared" si="76"/>
        <v/>
      </c>
      <c r="BL684" s="295" t="str">
        <f t="shared" si="77"/>
        <v/>
      </c>
    </row>
    <row r="685" spans="1:65" ht="47.25" customHeight="1" x14ac:dyDescent="0.25">
      <c r="A685" s="162" t="str">
        <f>IF(AND(Réputation&gt;Voies!E685-1,OR(C685=TRUE,Calculs!$I$8&gt;0),Air&gt;Voies!J685-1,Eau&gt;Voies!K685-1,Feu&gt;Voies!L685-1,Terre&gt;Voies!M685-1,Vide&gt;Voies!N685-1,Constitution&gt;Voies!O685-1,Volonté&gt;Voies!P685-1,Force&gt;Voies!Q685-1,Perception&gt;Voies!R685-1,Reflexes&gt;Voies!S685-1,Agilité&gt;Voies!T685-1,Intuition&gt;Voies!U685-1,Intelligence&gt;Voies!V685-1,Souillure&gt;Voies!W685-1,Honneur&gt;X685-1,Statut&gt;Y685-1,Gloire&gt;Z685-1,AV685=TRUE),Voies!B685,"")</f>
        <v/>
      </c>
      <c r="B685" s="162" t="s">
        <v>6094</v>
      </c>
      <c r="C685" s="162" t="b">
        <f>IF(Clan=Voies!D685,TRUE,FALSE)</f>
        <v>0</v>
      </c>
      <c r="D685" s="387" t="s">
        <v>178</v>
      </c>
      <c r="E685" s="199">
        <v>5</v>
      </c>
      <c r="F685" s="199">
        <v>5</v>
      </c>
      <c r="G685" s="13" t="s">
        <v>2049</v>
      </c>
      <c r="H685" s="162" t="s">
        <v>6090</v>
      </c>
      <c r="I685" s="129" t="str">
        <f>IF(B685="","","Rien")</f>
        <v>Rien</v>
      </c>
      <c r="J685" s="146">
        <v>0</v>
      </c>
      <c r="K685" s="147">
        <v>0</v>
      </c>
      <c r="L685" s="148">
        <v>0</v>
      </c>
      <c r="M685" s="149">
        <v>0</v>
      </c>
      <c r="N685" s="150">
        <v>0</v>
      </c>
      <c r="O685" s="130">
        <v>0</v>
      </c>
      <c r="P685" s="130">
        <v>0</v>
      </c>
      <c r="Q685" s="130">
        <v>0</v>
      </c>
      <c r="R685" s="130">
        <v>0</v>
      </c>
      <c r="S685" s="130">
        <v>0</v>
      </c>
      <c r="T685" s="130">
        <v>0</v>
      </c>
      <c r="U685" s="130">
        <v>0</v>
      </c>
      <c r="V685" s="524">
        <v>0</v>
      </c>
      <c r="W685" s="130">
        <v>0</v>
      </c>
      <c r="X685" s="130">
        <v>0</v>
      </c>
      <c r="Y685" s="130">
        <v>0</v>
      </c>
      <c r="Z685" s="130">
        <v>0</v>
      </c>
      <c r="AA685" s="158" t="s">
        <v>2078</v>
      </c>
      <c r="AB685" s="158"/>
      <c r="AC685" s="158"/>
      <c r="AD685" s="158"/>
      <c r="AE685" s="158" t="b">
        <f>IF(AB685="",TRUE,IF(IF(AC685="",VLOOKUP(AB685,Calculs!$A$19:$S$425,19,FALSE),VLOOKUP(AC685,Calculs!$A$19:$S$425,19,FALSE))&gt;=AD685,TRUE,FALSE))</f>
        <v>1</v>
      </c>
      <c r="AF685" s="158"/>
      <c r="AG685" s="158"/>
      <c r="AH685" s="158"/>
      <c r="AI685" s="158" t="b">
        <f>IF(AF685="",TRUE,IF(IF(AG685="",VLOOKUP(AF685,Calculs!$A$19:$S$425,19,FALSE),VLOOKUP(AG685,Calculs!$A$19:$S$425,19,FALSE))&gt;=AH685,TRUE,FALSE))</f>
        <v>1</v>
      </c>
      <c r="AJ685" s="158"/>
      <c r="AK685" s="158"/>
      <c r="AL685" s="158"/>
      <c r="AM685" s="158" t="b">
        <f>IF(AJ685="",TRUE,IF(IF(AK685="",VLOOKUP(AJ685,Calculs!$A$19:$S$425,19,FALSE),VLOOKUP(AK685,Calculs!$A$19:$S$425,19,FALSE))&gt;=AL685,TRUE,FALSE))</f>
        <v>1</v>
      </c>
      <c r="AN685" s="158"/>
      <c r="AO685" s="158"/>
      <c r="AP685" s="158"/>
      <c r="AQ685" s="158" t="b">
        <f>IF(AN685="",TRUE,IF(IF(AO685="",VLOOKUP(AN685,Calculs!$A$19:$S$425,19,FALSE),VLOOKUP(AO685,Calculs!$A$19:$S$425,19,FALSE))&gt;=AP685,TRUE,FALSE))</f>
        <v>1</v>
      </c>
      <c r="AR685" s="158"/>
      <c r="AS685" s="158" t="b">
        <f>IF(AR685="",TRUE,IF(VLOOKUP(AR685,Calculs!$A$427:$G$738,7,FALSE)&gt;0,TRUE,FALSE))</f>
        <v>1</v>
      </c>
      <c r="AT685" s="158"/>
      <c r="AU685" s="158" t="b">
        <f>IF(AT685="",TRUE,IF(VLOOKUP(AT685,Calculs!$A$740:$G$912,7,FALSE)&gt;0,TRUE,FALSE))</f>
        <v>1</v>
      </c>
      <c r="AV685" s="158" t="b">
        <f t="shared" si="73"/>
        <v>1</v>
      </c>
      <c r="AW685" s="158" t="s">
        <v>2078</v>
      </c>
      <c r="AX685" s="162" t="s">
        <v>6061</v>
      </c>
      <c r="AY685" s="15">
        <v>195</v>
      </c>
      <c r="AZ685" s="555" t="s">
        <v>2885</v>
      </c>
      <c r="BA685" s="559">
        <f>IF(Verso!$B$10=Voies!$B685,1,0)</f>
        <v>0</v>
      </c>
      <c r="BB685" s="12">
        <f>IF(Verso!$B$11=Voies!$B685,1,0)</f>
        <v>0</v>
      </c>
      <c r="BC685" s="12">
        <f>IF(Verso!$B$12=Voies!$B685,1,0)</f>
        <v>0</v>
      </c>
      <c r="BD685" s="12">
        <f>IF(Verso!$B$13=Voies!$B685,1,0)</f>
        <v>0</v>
      </c>
      <c r="BE685" s="12">
        <f>IF(Verso!$B$14=Voies!$B685,1,0)</f>
        <v>0</v>
      </c>
      <c r="BF685" s="12">
        <f>IF(Verso!$B$15=Voies!$B685,1,0)</f>
        <v>0</v>
      </c>
      <c r="BG685" s="12">
        <f>IF(Verso!$B$16=Voies!$B685,1,0)</f>
        <v>0</v>
      </c>
      <c r="BH685" s="12">
        <f>IF(Verso!$B$17=Voies!$B685,1,0)</f>
        <v>0</v>
      </c>
      <c r="BI685" s="557">
        <f t="shared" si="74"/>
        <v>0</v>
      </c>
      <c r="BJ685" s="196" t="str">
        <f t="shared" si="75"/>
        <v/>
      </c>
      <c r="BK685" s="196" t="str">
        <f t="shared" si="76"/>
        <v/>
      </c>
      <c r="BL685" s="295" t="str">
        <f t="shared" si="77"/>
        <v/>
      </c>
    </row>
    <row r="686" spans="1:65" ht="47.25" customHeight="1" x14ac:dyDescent="0.25">
      <c r="A686" s="162" t="str">
        <f>IF(AND(Réputation&gt;Voies!E686-1,OR(C686=TRUE,Calculs!$I$8&gt;0),Air&gt;Voies!J686-1,Eau&gt;Voies!K686-1,Feu&gt;Voies!L686-1,Terre&gt;Voies!M686-1,Vide&gt;Voies!N686-1,Constitution&gt;Voies!O686-1,Volonté&gt;Voies!P686-1,Force&gt;Voies!Q686-1,Perception&gt;Voies!R686-1,Reflexes&gt;Voies!S686-1,Agilité&gt;Voies!T686-1,Intuition&gt;Voies!U686-1,Intelligence&gt;Voies!V686-1,Souillure&gt;Voies!W686-1,Honneur&gt;X686-1,Statut&gt;Y686-1,Gloire&gt;Z686-1,AV686=TRUE),Voies!B686,"")</f>
        <v/>
      </c>
      <c r="B686" s="162" t="s">
        <v>6166</v>
      </c>
      <c r="C686" s="162" t="b">
        <f>IF(Clan=Voies!D686,TRUE,FALSE)</f>
        <v>0</v>
      </c>
      <c r="D686" s="387" t="s">
        <v>178</v>
      </c>
      <c r="E686" s="201">
        <v>5</v>
      </c>
      <c r="F686" s="201" t="s">
        <v>6163</v>
      </c>
      <c r="G686" s="201" t="s">
        <v>6168</v>
      </c>
      <c r="H686" s="219" t="s">
        <v>6164</v>
      </c>
      <c r="I686" s="129" t="s">
        <v>6165</v>
      </c>
      <c r="J686" s="146">
        <v>0</v>
      </c>
      <c r="K686" s="147">
        <v>4</v>
      </c>
      <c r="L686" s="148">
        <v>0</v>
      </c>
      <c r="M686" s="149">
        <v>0</v>
      </c>
      <c r="N686" s="150">
        <v>0</v>
      </c>
      <c r="O686" s="130">
        <v>0</v>
      </c>
      <c r="P686" s="130">
        <v>0</v>
      </c>
      <c r="Q686" s="130">
        <v>0</v>
      </c>
      <c r="R686" s="130">
        <v>0</v>
      </c>
      <c r="S686" s="130">
        <v>0</v>
      </c>
      <c r="T686" s="130">
        <v>0</v>
      </c>
      <c r="U686" s="130">
        <v>0</v>
      </c>
      <c r="V686" s="524">
        <v>0</v>
      </c>
      <c r="W686" s="130">
        <v>0</v>
      </c>
      <c r="X686" s="130">
        <v>0</v>
      </c>
      <c r="Y686" s="130">
        <v>0</v>
      </c>
      <c r="Z686" s="130">
        <v>0</v>
      </c>
      <c r="AA686" s="159" t="s">
        <v>6386</v>
      </c>
      <c r="AB686" s="159" t="s">
        <v>1267</v>
      </c>
      <c r="AD686" s="159">
        <v>5</v>
      </c>
      <c r="AE686" s="158" t="b">
        <f>IF(AB686="",TRUE,IF(IF(AC686="",VLOOKUP(AB686,Calculs!$A$19:$S$425,19,FALSE),VLOOKUP(AC686,Calculs!$A$19:$S$425,19,FALSE))&gt;=AD686,TRUE,FALSE))</f>
        <v>0</v>
      </c>
      <c r="AF686" s="159" t="s">
        <v>1922</v>
      </c>
      <c r="AH686" s="159">
        <v>5</v>
      </c>
      <c r="AI686" s="158" t="b">
        <f>IF(AF686="",TRUE,IF(IF(AG686="",VLOOKUP(AF686,Calculs!$A$19:$S$425,19,FALSE),VLOOKUP(AG686,Calculs!$A$19:$S$425,19,FALSE))&gt;=AH686,TRUE,FALSE))</f>
        <v>0</v>
      </c>
      <c r="AM686" s="158" t="b">
        <f>IF(AJ686="",TRUE,IF(IF(AK686="",VLOOKUP(AJ686,Calculs!$A$19:$S$425,19,FALSE),VLOOKUP(AK686,Calculs!$A$19:$S$425,19,FALSE))&gt;=AL686,TRUE,FALSE))</f>
        <v>1</v>
      </c>
      <c r="AQ686" s="158" t="b">
        <f>IF(AN686="",TRUE,IF(IF(AO686="",VLOOKUP(AN686,Calculs!$A$19:$S$425,19,FALSE),VLOOKUP(AO686,Calculs!$A$19:$S$425,19,FALSE))&gt;=AP686,TRUE,FALSE))</f>
        <v>1</v>
      </c>
      <c r="AR686" s="158"/>
      <c r="AS686" s="158" t="b">
        <f>IF(AR686="",TRUE,IF(VLOOKUP(AR686,Calculs!$A$427:$G$738,7,FALSE)&gt;0,TRUE,FALSE))</f>
        <v>1</v>
      </c>
      <c r="AT686" s="158"/>
      <c r="AU686" s="158" t="b">
        <f>IF(AT686="",TRUE,IF(VLOOKUP(AT686,Calculs!$A$740:$G$912,7,FALSE)&gt;0,TRUE,FALSE))</f>
        <v>1</v>
      </c>
      <c r="AV686" s="158" t="b">
        <f t="shared" si="73"/>
        <v>0</v>
      </c>
      <c r="AW686" s="158" t="s">
        <v>6167</v>
      </c>
      <c r="AX686" s="162" t="s">
        <v>6010</v>
      </c>
      <c r="AY686" s="15">
        <v>206</v>
      </c>
      <c r="AZ686" s="555" t="s">
        <v>8658</v>
      </c>
      <c r="BA686" s="559">
        <f>IF(Verso!$B$10=Voies!$B686,1,0)</f>
        <v>0</v>
      </c>
      <c r="BB686" s="12">
        <f>IF(Verso!$B$11=Voies!$B686,1,0)</f>
        <v>0</v>
      </c>
      <c r="BC686" s="12">
        <f>IF(Verso!$B$12=Voies!$B686,1,0)</f>
        <v>0</v>
      </c>
      <c r="BD686" s="12">
        <f>IF(Verso!$B$13=Voies!$B686,1,0)</f>
        <v>0</v>
      </c>
      <c r="BE686" s="12">
        <f>IF(Verso!$B$14=Voies!$B686,1,0)</f>
        <v>0</v>
      </c>
      <c r="BF686" s="12">
        <f>IF(Verso!$B$15=Voies!$B686,1,0)</f>
        <v>0</v>
      </c>
      <c r="BG686" s="12">
        <f>IF(Verso!$B$16=Voies!$B686,1,0)</f>
        <v>0</v>
      </c>
      <c r="BH686" s="12">
        <f>IF(Verso!$B$17=Voies!$B686,1,0)</f>
        <v>0</v>
      </c>
      <c r="BI686" s="557">
        <f t="shared" si="74"/>
        <v>0</v>
      </c>
      <c r="BJ686" s="196" t="str">
        <f t="shared" si="75"/>
        <v/>
      </c>
      <c r="BK686" s="196" t="str">
        <f t="shared" si="76"/>
        <v/>
      </c>
      <c r="BL686" s="295" t="str">
        <f t="shared" si="77"/>
        <v/>
      </c>
    </row>
    <row r="687" spans="1:65" ht="47.25" customHeight="1" x14ac:dyDescent="0.25">
      <c r="A687" s="162" t="str">
        <f>IF(AND(Réputation&gt;Voies!E687-1,OR(C687=TRUE,Calculs!$I$8&gt;0),Air&gt;Voies!J687-1,Eau&gt;Voies!K687-1,Feu&gt;Voies!L687-1,Terre&gt;Voies!M687-1,Vide&gt;Voies!N687-1,Constitution&gt;Voies!O687-1,Volonté&gt;Voies!P687-1,Force&gt;Voies!Q687-1,Perception&gt;Voies!R687-1,Reflexes&gt;Voies!S687-1,Agilité&gt;Voies!T687-1,Intuition&gt;Voies!U687-1,Intelligence&gt;Voies!V687-1,Souillure&gt;Voies!W687-1,Honneur&gt;X687-1,Statut&gt;Y687-1,Gloire&gt;Z687-1,AV687=TRUE),Voies!B687,"")</f>
        <v/>
      </c>
      <c r="B687" s="162" t="s">
        <v>2487</v>
      </c>
      <c r="C687" s="162" t="b">
        <f>IF(Clan=Voies!D687,TRUE,FALSE)</f>
        <v>0</v>
      </c>
      <c r="D687" s="387" t="s">
        <v>178</v>
      </c>
      <c r="E687" s="199">
        <v>5</v>
      </c>
      <c r="F687" s="199">
        <v>5</v>
      </c>
      <c r="G687" s="199" t="s">
        <v>2052</v>
      </c>
      <c r="H687" s="162" t="s">
        <v>2482</v>
      </c>
      <c r="I687" s="129" t="str">
        <f>IF(B687="","","Rien")</f>
        <v>Rien</v>
      </c>
      <c r="J687" s="146">
        <v>0</v>
      </c>
      <c r="K687" s="147">
        <v>0</v>
      </c>
      <c r="L687" s="148">
        <v>0</v>
      </c>
      <c r="M687" s="149">
        <v>0</v>
      </c>
      <c r="N687" s="150">
        <v>0</v>
      </c>
      <c r="O687" s="130">
        <v>0</v>
      </c>
      <c r="P687" s="130">
        <v>0</v>
      </c>
      <c r="Q687" s="130">
        <v>0</v>
      </c>
      <c r="R687" s="130">
        <v>0</v>
      </c>
      <c r="S687" s="130">
        <v>0</v>
      </c>
      <c r="T687" s="130">
        <v>0</v>
      </c>
      <c r="U687" s="130">
        <v>0</v>
      </c>
      <c r="V687" s="524">
        <v>0</v>
      </c>
      <c r="W687" s="130">
        <v>0</v>
      </c>
      <c r="X687" s="130">
        <v>0</v>
      </c>
      <c r="Y687" s="130">
        <v>0</v>
      </c>
      <c r="Z687" s="130">
        <v>0</v>
      </c>
      <c r="AA687" s="158" t="s">
        <v>2078</v>
      </c>
      <c r="AB687" s="158"/>
      <c r="AC687" s="158"/>
      <c r="AD687" s="158"/>
      <c r="AE687" s="158" t="b">
        <f>IF(AB687="",TRUE,IF(IF(AC687="",VLOOKUP(AB687,Calculs!$A$19:$S$425,19,FALSE),VLOOKUP(AC687,Calculs!$A$19:$S$425,19,FALSE))&gt;=AD687,TRUE,FALSE))</f>
        <v>1</v>
      </c>
      <c r="AF687" s="158"/>
      <c r="AG687" s="158"/>
      <c r="AH687" s="158"/>
      <c r="AI687" s="158" t="b">
        <f>IF(AF687="",TRUE,IF(IF(AG687="",VLOOKUP(AF687,Calculs!$A$19:$S$425,19,FALSE),VLOOKUP(AG687,Calculs!$A$19:$S$425,19,FALSE))&gt;=AH687,TRUE,FALSE))</f>
        <v>1</v>
      </c>
      <c r="AJ687" s="158"/>
      <c r="AK687" s="158"/>
      <c r="AL687" s="158"/>
      <c r="AM687" s="158" t="b">
        <f>IF(AJ687="",TRUE,IF(IF(AK687="",VLOOKUP(AJ687,Calculs!$A$19:$S$425,19,FALSE),VLOOKUP(AK687,Calculs!$A$19:$S$425,19,FALSE))&gt;=AL687,TRUE,FALSE))</f>
        <v>1</v>
      </c>
      <c r="AN687" s="158"/>
      <c r="AO687" s="158"/>
      <c r="AP687" s="158"/>
      <c r="AQ687" s="158" t="b">
        <f>IF(AN687="",TRUE,IF(IF(AO687="",VLOOKUP(AN687,Calculs!$A$19:$S$425,19,FALSE),VLOOKUP(AO687,Calculs!$A$19:$S$425,19,FALSE))&gt;=AP687,TRUE,FALSE))</f>
        <v>1</v>
      </c>
      <c r="AR687" s="158"/>
      <c r="AS687" s="158" t="b">
        <f>IF(AR687="",TRUE,IF(VLOOKUP(AR687,Calculs!$A$427:$G$738,7,FALSE)&gt;0,TRUE,FALSE))</f>
        <v>1</v>
      </c>
      <c r="AT687" s="158"/>
      <c r="AU687" s="158" t="b">
        <f>IF(AT687="",TRUE,IF(VLOOKUP(AT687,Calculs!$A$740:$G$912,7,FALSE)&gt;0,TRUE,FALSE))</f>
        <v>1</v>
      </c>
      <c r="AV687" s="158" t="b">
        <f t="shared" si="73"/>
        <v>1</v>
      </c>
      <c r="AW687" s="158" t="s">
        <v>2078</v>
      </c>
      <c r="AX687" s="162" t="s">
        <v>3</v>
      </c>
      <c r="AY687" s="15">
        <v>125</v>
      </c>
      <c r="AZ687" s="566" t="s">
        <v>2522</v>
      </c>
      <c r="BA687" s="559">
        <f>IF(Verso!$B$10=Voies!$B687,1,0)</f>
        <v>0</v>
      </c>
      <c r="BB687" s="12">
        <f>IF(Verso!$B$11=Voies!$B687,1,0)</f>
        <v>0</v>
      </c>
      <c r="BC687" s="12">
        <f>IF(Verso!$B$12=Voies!$B687,1,0)</f>
        <v>0</v>
      </c>
      <c r="BD687" s="12">
        <f>IF(Verso!$B$13=Voies!$B687,1,0)</f>
        <v>0</v>
      </c>
      <c r="BE687" s="12">
        <f>IF(Verso!$B$14=Voies!$B687,1,0)</f>
        <v>0</v>
      </c>
      <c r="BF687" s="12">
        <f>IF(Verso!$B$15=Voies!$B687,1,0)</f>
        <v>0</v>
      </c>
      <c r="BG687" s="12">
        <f>IF(Verso!$B$16=Voies!$B687,1,0)</f>
        <v>0</v>
      </c>
      <c r="BH687" s="12">
        <f>IF(Verso!$B$17=Voies!$B687,1,0)</f>
        <v>0</v>
      </c>
      <c r="BI687" s="557">
        <f t="shared" si="74"/>
        <v>0</v>
      </c>
      <c r="BJ687" s="196" t="str">
        <f t="shared" si="75"/>
        <v/>
      </c>
      <c r="BK687" s="196" t="str">
        <f t="shared" si="76"/>
        <v/>
      </c>
      <c r="BL687" s="295" t="str">
        <f t="shared" si="77"/>
        <v/>
      </c>
    </row>
    <row r="688" spans="1:65" ht="47.25" customHeight="1" x14ac:dyDescent="0.25">
      <c r="A688" s="162" t="str">
        <f>IF(AND(Réputation&gt;Voies!E688-1,OR(C688=TRUE,Calculs!$I$8&gt;0),Air&gt;Voies!J688-1,Eau&gt;Voies!K688-1,Feu&gt;Voies!L688-1,Terre&gt;Voies!M688-1,Vide&gt;Voies!N688-1,Constitution&gt;Voies!O688-1,Volonté&gt;Voies!P688-1,Force&gt;Voies!Q688-1,Perception&gt;Voies!R688-1,Reflexes&gt;Voies!S688-1,Agilité&gt;Voies!T688-1,Intuition&gt;Voies!U688-1,Intelligence&gt;Voies!V688-1,Souillure&gt;Voies!W688-1,Honneur&gt;X688-1,Statut&gt;Y688-1,Gloire&gt;Z688-1,AV688=TRUE),Voies!B688,"")</f>
        <v/>
      </c>
      <c r="B688" s="162" t="s">
        <v>5881</v>
      </c>
      <c r="C688" s="162" t="b">
        <f>IF(OR(Clan="Mille-Pattes",Clan="Mante"),TRUE,FALSE)</f>
        <v>0</v>
      </c>
      <c r="D688" s="387" t="s">
        <v>322</v>
      </c>
      <c r="E688" s="13">
        <v>1</v>
      </c>
      <c r="F688" s="199">
        <v>1</v>
      </c>
      <c r="G688" s="157" t="s">
        <v>2049</v>
      </c>
      <c r="H688" s="162" t="s">
        <v>467</v>
      </c>
      <c r="I688" s="129" t="s">
        <v>3633</v>
      </c>
      <c r="J688" s="146">
        <v>0</v>
      </c>
      <c r="K688" s="147">
        <v>0</v>
      </c>
      <c r="L688" s="148">
        <v>0</v>
      </c>
      <c r="M688" s="149">
        <v>0</v>
      </c>
      <c r="N688" s="150">
        <v>0</v>
      </c>
      <c r="O688" s="130">
        <v>0</v>
      </c>
      <c r="P688" s="130">
        <v>0</v>
      </c>
      <c r="Q688" s="130">
        <v>0</v>
      </c>
      <c r="R688" s="130">
        <v>0</v>
      </c>
      <c r="S688" s="130">
        <v>0</v>
      </c>
      <c r="T688" s="130">
        <v>0</v>
      </c>
      <c r="U688" s="130">
        <v>0</v>
      </c>
      <c r="V688" s="524">
        <v>0</v>
      </c>
      <c r="W688" s="130">
        <v>0</v>
      </c>
      <c r="X688" s="130">
        <v>0</v>
      </c>
      <c r="Y688" s="130">
        <v>0</v>
      </c>
      <c r="Z688" s="130">
        <v>0</v>
      </c>
      <c r="AA688" s="158" t="s">
        <v>2078</v>
      </c>
      <c r="AB688" s="158"/>
      <c r="AC688" s="158"/>
      <c r="AD688" s="158"/>
      <c r="AE688" s="158" t="b">
        <f>IF(AB688="",TRUE,IF(IF(AC688="",VLOOKUP(AB688,Calculs!$A$19:$S$425,19,FALSE),VLOOKUP(AC688,Calculs!$A$19:$S$425,19,FALSE))&gt;=AD688,TRUE,FALSE))</f>
        <v>1</v>
      </c>
      <c r="AF688" s="158"/>
      <c r="AG688" s="158"/>
      <c r="AH688" s="158"/>
      <c r="AI688" s="158" t="b">
        <f>IF(AF688="",TRUE,IF(IF(AG688="",VLOOKUP(AF688,Calculs!$A$19:$S$425,19,FALSE),VLOOKUP(AG688,Calculs!$A$19:$S$425,19,FALSE))&gt;=AH688,TRUE,FALSE))</f>
        <v>1</v>
      </c>
      <c r="AJ688" s="158"/>
      <c r="AK688" s="158"/>
      <c r="AL688" s="158"/>
      <c r="AM688" s="158" t="b">
        <f>IF(AJ688="",TRUE,IF(IF(AK688="",VLOOKUP(AJ688,Calculs!$A$19:$S$425,19,FALSE),VLOOKUP(AK688,Calculs!$A$19:$S$425,19,FALSE))&gt;=AL688,TRUE,FALSE))</f>
        <v>1</v>
      </c>
      <c r="AN688" s="158"/>
      <c r="AO688" s="158"/>
      <c r="AP688" s="158"/>
      <c r="AQ688" s="158" t="b">
        <f>IF(AN688="",TRUE,IF(IF(AO688="",VLOOKUP(AN688,Calculs!$A$19:$S$425,19,FALSE),VLOOKUP(AO688,Calculs!$A$19:$S$425,19,FALSE))&gt;=AP688,TRUE,FALSE))</f>
        <v>1</v>
      </c>
      <c r="AR688" s="158"/>
      <c r="AS688" s="158" t="b">
        <f>IF(AR688="",TRUE,IF(VLOOKUP(AR688,Calculs!$A$427:$G$738,7,FALSE)&gt;0,TRUE,FALSE))</f>
        <v>1</v>
      </c>
      <c r="AT688" s="158"/>
      <c r="AU688" s="158" t="b">
        <f>IF(AT688="",TRUE,IF(VLOOKUP(AT688,Calculs!$A$740:$G$912,7,FALSE)&gt;0,TRUE,FALSE))</f>
        <v>1</v>
      </c>
      <c r="AV688" s="158" t="b">
        <f t="shared" si="73"/>
        <v>1</v>
      </c>
      <c r="AW688" s="158" t="s">
        <v>2078</v>
      </c>
      <c r="AX688" s="162" t="s">
        <v>6061</v>
      </c>
      <c r="AY688" s="15">
        <v>171</v>
      </c>
      <c r="AZ688" s="555" t="s">
        <v>8644</v>
      </c>
      <c r="BA688" s="559">
        <f>IF(Verso!$B$10=Voies!$B688,1,0)</f>
        <v>0</v>
      </c>
      <c r="BB688" s="12">
        <f>IF(Verso!$B$11=Voies!$B688,1,0)</f>
        <v>0</v>
      </c>
      <c r="BC688" s="12">
        <f>IF(Verso!$B$12=Voies!$B688,1,0)</f>
        <v>0</v>
      </c>
      <c r="BD688" s="12">
        <f>IF(Verso!$B$13=Voies!$B688,1,0)</f>
        <v>0</v>
      </c>
      <c r="BE688" s="12">
        <f>IF(Verso!$B$14=Voies!$B688,1,0)</f>
        <v>0</v>
      </c>
      <c r="BF688" s="12">
        <f>IF(Verso!$B$15=Voies!$B688,1,0)</f>
        <v>0</v>
      </c>
      <c r="BG688" s="12">
        <f>IF(Verso!$B$16=Voies!$B688,1,0)</f>
        <v>0</v>
      </c>
      <c r="BH688" s="12">
        <f>IF(Verso!$B$17=Voies!$B688,1,0)</f>
        <v>0</v>
      </c>
      <c r="BI688" s="557">
        <f t="shared" si="74"/>
        <v>0</v>
      </c>
      <c r="BJ688" s="196" t="str">
        <f t="shared" si="75"/>
        <v/>
      </c>
      <c r="BK688" s="196" t="str">
        <f t="shared" si="76"/>
        <v/>
      </c>
      <c r="BL688" s="295" t="str">
        <f t="shared" si="77"/>
        <v/>
      </c>
    </row>
    <row r="689" spans="1:65" ht="47.25" customHeight="1" x14ac:dyDescent="0.25">
      <c r="A689" s="162" t="str">
        <f>IF(AND(Réputation&gt;Voies!E689-1,OR(C689=TRUE,Calculs!$I$8&gt;0),Air&gt;Voies!J689-1,Eau&gt;Voies!K689-1,Feu&gt;Voies!L689-1,Terre&gt;Voies!M689-1,Vide&gt;Voies!N689-1,Constitution&gt;Voies!O689-1,Volonté&gt;Voies!P689-1,Force&gt;Voies!Q689-1,Perception&gt;Voies!R689-1,Reflexes&gt;Voies!S689-1,Agilité&gt;Voies!T689-1,Intuition&gt;Voies!U689-1,Intelligence&gt;Voies!V689-1,Souillure&gt;Voies!W689-1,Honneur&gt;X689-1,Statut&gt;Y689-1,Gloire&gt;Z689-1,AV689=TRUE),Voies!B689,"")</f>
        <v/>
      </c>
      <c r="B689" s="162" t="s">
        <v>2477</v>
      </c>
      <c r="C689" s="162" t="b">
        <f>IF(OR(Clan="Mille-Pattes",Clan="Mante"),TRUE,FALSE)</f>
        <v>0</v>
      </c>
      <c r="D689" s="387" t="s">
        <v>322</v>
      </c>
      <c r="E689" s="199">
        <v>1</v>
      </c>
      <c r="F689" s="199">
        <v>1</v>
      </c>
      <c r="G689" s="199" t="s">
        <v>2048</v>
      </c>
      <c r="H689" s="162" t="s">
        <v>312</v>
      </c>
      <c r="I689" s="129" t="str">
        <f>IF(B689="","","Rien")</f>
        <v>Rien</v>
      </c>
      <c r="J689" s="146">
        <v>0</v>
      </c>
      <c r="K689" s="147">
        <v>0</v>
      </c>
      <c r="L689" s="148">
        <v>0</v>
      </c>
      <c r="M689" s="149">
        <v>0</v>
      </c>
      <c r="N689" s="150">
        <v>0</v>
      </c>
      <c r="O689" s="130">
        <v>0</v>
      </c>
      <c r="P689" s="130">
        <v>0</v>
      </c>
      <c r="Q689" s="130">
        <v>0</v>
      </c>
      <c r="R689" s="130">
        <v>0</v>
      </c>
      <c r="S689" s="130">
        <v>0</v>
      </c>
      <c r="T689" s="130">
        <v>0</v>
      </c>
      <c r="U689" s="130">
        <v>0</v>
      </c>
      <c r="V689" s="524">
        <v>0</v>
      </c>
      <c r="W689" s="130">
        <v>0</v>
      </c>
      <c r="X689" s="130">
        <v>0</v>
      </c>
      <c r="Y689" s="130">
        <v>0</v>
      </c>
      <c r="Z689" s="130">
        <v>0</v>
      </c>
      <c r="AA689" s="158" t="s">
        <v>2078</v>
      </c>
      <c r="AB689" s="158"/>
      <c r="AC689" s="158"/>
      <c r="AD689" s="158"/>
      <c r="AE689" s="158" t="b">
        <f>IF(AB689="",TRUE,IF(IF(AC689="",VLOOKUP(AB689,Calculs!$A$19:$S$425,19,FALSE),VLOOKUP(AC689,Calculs!$A$19:$S$425,19,FALSE))&gt;=AD689,TRUE,FALSE))</f>
        <v>1</v>
      </c>
      <c r="AF689" s="158"/>
      <c r="AG689" s="158"/>
      <c r="AH689" s="158"/>
      <c r="AI689" s="158" t="b">
        <f>IF(AF689="",TRUE,IF(IF(AG689="",VLOOKUP(AF689,Calculs!$A$19:$S$425,19,FALSE),VLOOKUP(AG689,Calculs!$A$19:$S$425,19,FALSE))&gt;=AH689,TRUE,FALSE))</f>
        <v>1</v>
      </c>
      <c r="AJ689" s="158"/>
      <c r="AK689" s="158"/>
      <c r="AL689" s="158"/>
      <c r="AM689" s="158" t="b">
        <f>IF(AJ689="",TRUE,IF(IF(AK689="",VLOOKUP(AJ689,Calculs!$A$19:$S$425,19,FALSE),VLOOKUP(AK689,Calculs!$A$19:$S$425,19,FALSE))&gt;=AL689,TRUE,FALSE))</f>
        <v>1</v>
      </c>
      <c r="AN689" s="158"/>
      <c r="AO689" s="158"/>
      <c r="AP689" s="158"/>
      <c r="AQ689" s="158" t="b">
        <f>IF(AN689="",TRUE,IF(IF(AO689="",VLOOKUP(AN689,Calculs!$A$19:$S$425,19,FALSE),VLOOKUP(AO689,Calculs!$A$19:$S$425,19,FALSE))&gt;=AP689,TRUE,FALSE))</f>
        <v>1</v>
      </c>
      <c r="AR689" s="158"/>
      <c r="AS689" s="158" t="b">
        <f>IF(AR689="",TRUE,IF(VLOOKUP(AR689,Calculs!$A$427:$G$738,7,FALSE)&gt;0,TRUE,FALSE))</f>
        <v>1</v>
      </c>
      <c r="AT689" s="158"/>
      <c r="AU689" s="158" t="b">
        <f>IF(AT689="",TRUE,IF(VLOOKUP(AT689,Calculs!$A$740:$G$912,7,FALSE)&gt;0,TRUE,FALSE))</f>
        <v>1</v>
      </c>
      <c r="AV689" s="158" t="b">
        <f t="shared" si="73"/>
        <v>1</v>
      </c>
      <c r="AW689" s="158" t="s">
        <v>2078</v>
      </c>
      <c r="AX689" s="162" t="s">
        <v>3</v>
      </c>
      <c r="AY689" s="15">
        <v>124</v>
      </c>
      <c r="AZ689" s="555" t="s">
        <v>2478</v>
      </c>
      <c r="BA689" s="559">
        <f>IF(Verso!$B$10=Voies!$B689,1,0)</f>
        <v>0</v>
      </c>
      <c r="BB689" s="12">
        <f>IF(Verso!$B$11=Voies!$B689,1,0)</f>
        <v>0</v>
      </c>
      <c r="BC689" s="12">
        <f>IF(Verso!$B$12=Voies!$B689,1,0)</f>
        <v>0</v>
      </c>
      <c r="BD689" s="12">
        <f>IF(Verso!$B$13=Voies!$B689,1,0)</f>
        <v>0</v>
      </c>
      <c r="BE689" s="12">
        <f>IF(Verso!$B$14=Voies!$B689,1,0)</f>
        <v>0</v>
      </c>
      <c r="BF689" s="12">
        <f>IF(Verso!$B$15=Voies!$B689,1,0)</f>
        <v>0</v>
      </c>
      <c r="BG689" s="12">
        <f>IF(Verso!$B$16=Voies!$B689,1,0)</f>
        <v>0</v>
      </c>
      <c r="BH689" s="12">
        <f>IF(Verso!$B$17=Voies!$B689,1,0)</f>
        <v>0</v>
      </c>
      <c r="BI689" s="557">
        <f t="shared" si="74"/>
        <v>0</v>
      </c>
      <c r="BJ689" s="196" t="str">
        <f t="shared" si="75"/>
        <v/>
      </c>
      <c r="BK689" s="196" t="str">
        <f t="shared" si="76"/>
        <v/>
      </c>
      <c r="BL689" s="295" t="str">
        <f t="shared" si="77"/>
        <v/>
      </c>
    </row>
    <row r="690" spans="1:65" ht="47.25" customHeight="1" x14ac:dyDescent="0.25">
      <c r="A690" s="162" t="str">
        <f>IF(AND(Réputation&gt;Voies!E690-1,OR(C690=TRUE,Calculs!$I$8&gt;0),Air&gt;Voies!J690-1,Eau&gt;Voies!K690-1,Feu&gt;Voies!L690-1,Terre&gt;Voies!M690-1,Vide&gt;Voies!N690-1,Constitution&gt;Voies!O690-1,Volonté&gt;Voies!P690-1,Force&gt;Voies!Q690-1,Perception&gt;Voies!R690-1,Reflexes&gt;Voies!S690-1,Agilité&gt;Voies!T690-1,Intuition&gt;Voies!U690-1,Intelligence&gt;Voies!V690-1,Souillure&gt;Voies!W690-1,Honneur&gt;X690-1,Statut&gt;Y690-1,Gloire&gt;Z690-1,AV690=TRUE),Voies!B690,"")</f>
        <v/>
      </c>
      <c r="B690" s="162" t="s">
        <v>3856</v>
      </c>
      <c r="C690" s="162" t="b">
        <f>IF(OR(Clan&lt;&gt;"Scorpion",Clan&lt;&gt;"Lion",Clan&lt;&gt;"Grue",Clan&lt;&gt;"Phénix",Clan&lt;&gt;"Licorne",Clan&lt;&gt;"Dragon",Clan&lt;&gt;"Crabe"),TRUE,FALSE)</f>
        <v>1</v>
      </c>
      <c r="D690" s="387" t="s">
        <v>398</v>
      </c>
      <c r="E690" s="201">
        <v>4</v>
      </c>
      <c r="F690" s="201">
        <v>4</v>
      </c>
      <c r="G690" s="201" t="s">
        <v>2052</v>
      </c>
      <c r="H690" s="219" t="s">
        <v>542</v>
      </c>
      <c r="I690" s="129" t="s">
        <v>3847</v>
      </c>
      <c r="J690" s="146">
        <v>0</v>
      </c>
      <c r="K690" s="147">
        <v>0</v>
      </c>
      <c r="L690" s="148">
        <v>0</v>
      </c>
      <c r="M690" s="149">
        <v>0</v>
      </c>
      <c r="N690" s="150">
        <v>0</v>
      </c>
      <c r="O690" s="130">
        <v>0</v>
      </c>
      <c r="P690" s="130">
        <v>0</v>
      </c>
      <c r="Q690" s="130">
        <v>0</v>
      </c>
      <c r="R690" s="130">
        <v>0</v>
      </c>
      <c r="S690" s="130">
        <v>0</v>
      </c>
      <c r="T690" s="130">
        <v>0</v>
      </c>
      <c r="U690" s="130">
        <v>0</v>
      </c>
      <c r="V690" s="524">
        <v>0</v>
      </c>
      <c r="W690" s="130">
        <v>0</v>
      </c>
      <c r="X690" s="130">
        <v>0</v>
      </c>
      <c r="Y690" s="130">
        <v>0</v>
      </c>
      <c r="Z690" s="130">
        <v>0</v>
      </c>
      <c r="AA690" s="158" t="s">
        <v>2078</v>
      </c>
      <c r="AB690" s="158"/>
      <c r="AC690" s="158"/>
      <c r="AD690" s="158"/>
      <c r="AE690" s="158" t="b">
        <f>IF(AB690="",TRUE,IF(IF(AC690="",VLOOKUP(AB690,Calculs!$A$19:$S$425,19,FALSE),VLOOKUP(AC690,Calculs!$A$19:$S$425,19,FALSE))&gt;=AD690,TRUE,FALSE))</f>
        <v>1</v>
      </c>
      <c r="AF690" s="158"/>
      <c r="AG690" s="158"/>
      <c r="AH690" s="158"/>
      <c r="AI690" s="158" t="b">
        <f>IF(AF690="",TRUE,IF(IF(AG690="",VLOOKUP(AF690,Calculs!$A$19:$S$425,19,FALSE),VLOOKUP(AG690,Calculs!$A$19:$S$425,19,FALSE))&gt;=AH690,TRUE,FALSE))</f>
        <v>1</v>
      </c>
      <c r="AJ690" s="158"/>
      <c r="AK690" s="158"/>
      <c r="AL690" s="158"/>
      <c r="AM690" s="158" t="b">
        <f>IF(AJ690="",TRUE,IF(IF(AK690="",VLOOKUP(AJ690,Calculs!$A$19:$S$425,19,FALSE),VLOOKUP(AK690,Calculs!$A$19:$S$425,19,FALSE))&gt;=AL690,TRUE,FALSE))</f>
        <v>1</v>
      </c>
      <c r="AN690" s="158"/>
      <c r="AO690" s="158"/>
      <c r="AP690" s="158"/>
      <c r="AQ690" s="158" t="b">
        <f>IF(AN690="",TRUE,IF(IF(AO690="",VLOOKUP(AN690,Calculs!$A$19:$S$425,19,FALSE),VLOOKUP(AO690,Calculs!$A$19:$S$425,19,FALSE))&gt;=AP690,TRUE,FALSE))</f>
        <v>1</v>
      </c>
      <c r="AR690" s="158"/>
      <c r="AS690" s="158" t="b">
        <f>IF(AR690="",TRUE,IF(VLOOKUP(AR690,Calculs!$A$427:$G$738,7,FALSE)&gt;0,TRUE,FALSE))</f>
        <v>1</v>
      </c>
      <c r="AT690" s="158"/>
      <c r="AU690" s="158" t="b">
        <f>IF(AT690="",TRUE,IF(VLOOKUP(AT690,Calculs!$A$740:$G$912,7,FALSE)&gt;0,TRUE,FALSE))</f>
        <v>1</v>
      </c>
      <c r="AV690" s="158" t="b">
        <f t="shared" si="73"/>
        <v>1</v>
      </c>
      <c r="AW690" s="159" t="s">
        <v>3848</v>
      </c>
      <c r="AX690" s="162" t="s">
        <v>2087</v>
      </c>
      <c r="AY690" s="15">
        <v>169</v>
      </c>
      <c r="AZ690" s="555" t="s">
        <v>3849</v>
      </c>
      <c r="BA690" s="559">
        <f>IF(Verso!$B$10=Voies!$B690,1,0)</f>
        <v>0</v>
      </c>
      <c r="BB690" s="12">
        <f>IF(Verso!$B$11=Voies!$B690,1,0)</f>
        <v>0</v>
      </c>
      <c r="BC690" s="12">
        <f>IF(Verso!$B$12=Voies!$B690,1,0)</f>
        <v>0</v>
      </c>
      <c r="BD690" s="12">
        <f>IF(Verso!$B$13=Voies!$B690,1,0)</f>
        <v>0</v>
      </c>
      <c r="BE690" s="12">
        <f>IF(Verso!$B$14=Voies!$B690,1,0)</f>
        <v>0</v>
      </c>
      <c r="BF690" s="12">
        <f>IF(Verso!$B$15=Voies!$B690,1,0)</f>
        <v>0</v>
      </c>
      <c r="BG690" s="12">
        <f>IF(Verso!$B$16=Voies!$B690,1,0)</f>
        <v>0</v>
      </c>
      <c r="BH690" s="12">
        <f>IF(Verso!$B$17=Voies!$B690,1,0)</f>
        <v>0</v>
      </c>
      <c r="BI690" s="557">
        <f t="shared" si="74"/>
        <v>0</v>
      </c>
      <c r="BJ690" s="196" t="str">
        <f t="shared" si="75"/>
        <v/>
      </c>
      <c r="BK690" s="196" t="str">
        <f t="shared" si="76"/>
        <v/>
      </c>
      <c r="BL690" s="295" t="str">
        <f t="shared" si="77"/>
        <v/>
      </c>
    </row>
    <row r="691" spans="1:65" ht="47.25" customHeight="1" x14ac:dyDescent="0.25">
      <c r="A691" s="162" t="str">
        <f>IF(AND(Réputation&gt;Voies!E691-1,OR(C691=TRUE,Calculs!$I$8&gt;0),Air&gt;Voies!J691-1,Eau&gt;Voies!K691-1,Feu&gt;Voies!L691-1,Terre&gt;Voies!M691-1,Vide&gt;Voies!N691-1,Constitution&gt;Voies!O691-1,Volonté&gt;Voies!P691-1,Force&gt;Voies!Q691-1,Perception&gt;Voies!R691-1,Reflexes&gt;Voies!S691-1,Agilité&gt;Voies!T691-1,Intuition&gt;Voies!U691-1,Intelligence&gt;Voies!V691-1,Souillure&gt;Voies!W691-1,Honneur&gt;X691-1,Statut&gt;Y691-1,Gloire&gt;Z691-1,AV691=TRUE),Voies!B691,"")</f>
        <v/>
      </c>
      <c r="B691" s="162" t="s">
        <v>2688</v>
      </c>
      <c r="C691" s="162" t="b">
        <f>IF(OR(Clan&lt;&gt;"Scorpion",Clan&lt;&gt;"Lion",Clan&lt;&gt;"Grue",Clan&lt;&gt;"Phénix",Clan&lt;&gt;"Licorne",Clan&lt;&gt;"Dragon",Clan&lt;&gt;"Crabe"),TRUE,FALSE)</f>
        <v>1</v>
      </c>
      <c r="D691" s="388" t="s">
        <v>398</v>
      </c>
      <c r="E691" s="199">
        <v>6</v>
      </c>
      <c r="F691" s="199">
        <v>6</v>
      </c>
      <c r="G691" s="199" t="s">
        <v>2049</v>
      </c>
      <c r="H691" s="162" t="s">
        <v>429</v>
      </c>
      <c r="I691" s="129" t="str">
        <f t="shared" ref="I691:I696" si="78">IF(B691="","","Rien")</f>
        <v>Rien</v>
      </c>
      <c r="J691" s="146">
        <v>0</v>
      </c>
      <c r="K691" s="147">
        <v>0</v>
      </c>
      <c r="L691" s="148">
        <v>0</v>
      </c>
      <c r="M691" s="149">
        <v>0</v>
      </c>
      <c r="N691" s="150">
        <v>0</v>
      </c>
      <c r="O691" s="130">
        <v>0</v>
      </c>
      <c r="P691" s="130">
        <v>0</v>
      </c>
      <c r="Q691" s="130">
        <v>4</v>
      </c>
      <c r="R691" s="130">
        <v>0</v>
      </c>
      <c r="S691" s="130">
        <v>0</v>
      </c>
      <c r="T691" s="130">
        <v>5</v>
      </c>
      <c r="U691" s="130">
        <v>0</v>
      </c>
      <c r="V691" s="524">
        <v>0</v>
      </c>
      <c r="W691" s="130">
        <v>0</v>
      </c>
      <c r="X691" s="130">
        <v>0</v>
      </c>
      <c r="Y691" s="130">
        <v>0</v>
      </c>
      <c r="Z691" s="130">
        <v>0</v>
      </c>
      <c r="AA691" s="159" t="s">
        <v>2687</v>
      </c>
      <c r="AE691" s="158" t="b">
        <f>IF(AB691="",TRUE,IF(IF(AC691="",VLOOKUP(AB691,Calculs!$A$19:$S$425,19,FALSE),VLOOKUP(AC691,Calculs!$A$19:$S$425,19,FALSE))&gt;=AD691,TRUE,FALSE))</f>
        <v>1</v>
      </c>
      <c r="AI691" s="158" t="b">
        <f>IF(AF691="",TRUE,IF(IF(AG691="",VLOOKUP(AF691,Calculs!$A$19:$S$425,19,FALSE),VLOOKUP(AG691,Calculs!$A$19:$S$425,19,FALSE))&gt;=AH691,TRUE,FALSE))</f>
        <v>1</v>
      </c>
      <c r="AM691" s="158" t="b">
        <f>IF(AJ691="",TRUE,IF(IF(AK691="",VLOOKUP(AJ691,Calculs!$A$19:$S$425,19,FALSE),VLOOKUP(AK691,Calculs!$A$19:$S$425,19,FALSE))&gt;=AL691,TRUE,FALSE))</f>
        <v>1</v>
      </c>
      <c r="AQ691" s="158" t="b">
        <f>IF(AN691="",TRUE,IF(IF(AO691="",VLOOKUP(AN691,Calculs!$A$19:$S$425,19,FALSE),VLOOKUP(AO691,Calculs!$A$19:$S$425,19,FALSE))&gt;=AP691,TRUE,FALSE))</f>
        <v>1</v>
      </c>
      <c r="AR691" s="158"/>
      <c r="AS691" s="158" t="b">
        <f>IF(Parangon&gt;0,TRUE,FALSE)</f>
        <v>0</v>
      </c>
      <c r="AT691" s="158"/>
      <c r="AU691" s="158" t="b">
        <f>IF(AT691="",TRUE,IF(VLOOKUP(AT691,Calculs!$A$740:$G$912,7,FALSE)&gt;0,TRUE,FALSE))</f>
        <v>1</v>
      </c>
      <c r="AV691" s="158" t="b">
        <f t="shared" si="73"/>
        <v>0</v>
      </c>
      <c r="AW691" s="159" t="s">
        <v>3411</v>
      </c>
      <c r="AX691" s="162" t="s">
        <v>5202</v>
      </c>
      <c r="AY691" s="15">
        <v>64</v>
      </c>
      <c r="AZ691" s="555" t="str">
        <f>CONCATENATE("Vous pouvez dépenser un Pvide pour que votre Statut soit égal à ",Statut+2," pendant 1h afin de forcer les autres à reconnaitre votre valeur")</f>
        <v>Vous pouvez dépenser un Pvide pour que votre Statut soit égal à 3 pendant 1h afin de forcer les autres à reconnaitre votre valeur</v>
      </c>
      <c r="BA691" s="559">
        <f>IF(Verso!$B$10=Voies!$B691,1,0)</f>
        <v>0</v>
      </c>
      <c r="BB691" s="12">
        <f>IF(Verso!$B$11=Voies!$B691,1,0)</f>
        <v>0</v>
      </c>
      <c r="BC691" s="12">
        <f>IF(Verso!$B$12=Voies!$B691,1,0)</f>
        <v>0</v>
      </c>
      <c r="BD691" s="12">
        <f>IF(Verso!$B$13=Voies!$B691,1,0)</f>
        <v>0</v>
      </c>
      <c r="BE691" s="12">
        <f>IF(Verso!$B$14=Voies!$B691,1,0)</f>
        <v>0</v>
      </c>
      <c r="BF691" s="12">
        <f>IF(Verso!$B$15=Voies!$B691,1,0)</f>
        <v>0</v>
      </c>
      <c r="BG691" s="12">
        <f>IF(Verso!$B$16=Voies!$B691,1,0)</f>
        <v>0</v>
      </c>
      <c r="BH691" s="12">
        <f>IF(Verso!$B$17=Voies!$B691,1,0)</f>
        <v>0</v>
      </c>
      <c r="BI691" s="557">
        <f t="shared" si="74"/>
        <v>0</v>
      </c>
      <c r="BJ691" s="196" t="str">
        <f t="shared" si="75"/>
        <v/>
      </c>
      <c r="BK691" s="196" t="str">
        <f t="shared" si="76"/>
        <v/>
      </c>
      <c r="BL691" s="295" t="str">
        <f t="shared" si="77"/>
        <v/>
      </c>
    </row>
    <row r="692" spans="1:65" ht="47.25" customHeight="1" x14ac:dyDescent="0.25">
      <c r="A692" s="162" t="str">
        <f>IF(AND(Réputation&gt;Voies!E692-1,OR(C692=TRUE,Calculs!$I$8&gt;0),Air&gt;Voies!J692-1,Eau&gt;Voies!K692-1,Feu&gt;Voies!L692-1,Terre&gt;Voies!M692-1,Vide&gt;Voies!N692-1,Constitution&gt;Voies!O692-1,Volonté&gt;Voies!P692-1,Force&gt;Voies!Q692-1,Perception&gt;Voies!R692-1,Reflexes&gt;Voies!S692-1,Agilité&gt;Voies!T692-1,Intuition&gt;Voies!U692-1,Intelligence&gt;Voies!V692-1,Souillure&gt;Voies!W692-1,Honneur&gt;X692-1,Statut&gt;Y692-1,Gloire&gt;Z692-1,AV692=TRUE),Voies!B692,"")</f>
        <v/>
      </c>
      <c r="B692" s="162" t="s">
        <v>2689</v>
      </c>
      <c r="C692" s="162" t="b">
        <f>IF(OR(Clan&lt;&gt;"Scorpion",Clan&lt;&gt;"Lion",Clan&lt;&gt;"Grue",Clan&lt;&gt;"Phénix",Clan&lt;&gt;"Licorne",Clan&lt;&gt;"Dragon",Clan&lt;&gt;"Crabe"),TRUE,FALSE)</f>
        <v>1</v>
      </c>
      <c r="D692" s="388" t="s">
        <v>398</v>
      </c>
      <c r="E692" s="199">
        <v>7</v>
      </c>
      <c r="F692" s="199">
        <v>7</v>
      </c>
      <c r="G692" s="199" t="s">
        <v>2049</v>
      </c>
      <c r="H692" s="162" t="s">
        <v>429</v>
      </c>
      <c r="I692" s="129" t="str">
        <f t="shared" si="78"/>
        <v>Rien</v>
      </c>
      <c r="J692" s="146">
        <v>0</v>
      </c>
      <c r="K692" s="147">
        <v>0</v>
      </c>
      <c r="L692" s="148">
        <v>0</v>
      </c>
      <c r="M692" s="149">
        <v>0</v>
      </c>
      <c r="N692" s="150">
        <v>0</v>
      </c>
      <c r="O692" s="130">
        <v>0</v>
      </c>
      <c r="P692" s="130">
        <v>0</v>
      </c>
      <c r="Q692" s="130">
        <v>4</v>
      </c>
      <c r="R692" s="130">
        <v>0</v>
      </c>
      <c r="S692" s="130">
        <v>0</v>
      </c>
      <c r="T692" s="130">
        <v>5</v>
      </c>
      <c r="U692" s="130">
        <v>0</v>
      </c>
      <c r="V692" s="524">
        <v>0</v>
      </c>
      <c r="W692" s="130">
        <v>0</v>
      </c>
      <c r="X692" s="130">
        <v>0</v>
      </c>
      <c r="Y692" s="130">
        <v>0</v>
      </c>
      <c r="Z692" s="130">
        <v>0</v>
      </c>
      <c r="AA692" s="159" t="s">
        <v>2687</v>
      </c>
      <c r="AE692" s="158" t="b">
        <f>IF(AB692="",TRUE,IF(IF(AC692="",VLOOKUP(AB692,Calculs!$A$19:$S$425,19,FALSE),VLOOKUP(AC692,Calculs!$A$19:$S$425,19,FALSE))&gt;=AD692,TRUE,FALSE))</f>
        <v>1</v>
      </c>
      <c r="AI692" s="158" t="b">
        <f>IF(AF692="",TRUE,IF(IF(AG692="",VLOOKUP(AF692,Calculs!$A$19:$S$425,19,FALSE),VLOOKUP(AG692,Calculs!$A$19:$S$425,19,FALSE))&gt;=AH692,TRUE,FALSE))</f>
        <v>1</v>
      </c>
      <c r="AM692" s="158" t="b">
        <f>IF(AJ692="",TRUE,IF(IF(AK692="",VLOOKUP(AJ692,Calculs!$A$19:$S$425,19,FALSE),VLOOKUP(AK692,Calculs!$A$19:$S$425,19,FALSE))&gt;=AL692,TRUE,FALSE))</f>
        <v>1</v>
      </c>
      <c r="AQ692" s="158" t="b">
        <f>IF(AN692="",TRUE,IF(IF(AO692="",VLOOKUP(AN692,Calculs!$A$19:$S$425,19,FALSE),VLOOKUP(AO692,Calculs!$A$19:$S$425,19,FALSE))&gt;=AP692,TRUE,FALSE))</f>
        <v>1</v>
      </c>
      <c r="AR692" s="158"/>
      <c r="AS692" s="158" t="b">
        <f>IF(Parangon&gt;0,TRUE,FALSE)</f>
        <v>0</v>
      </c>
      <c r="AT692" s="158"/>
      <c r="AU692" s="158" t="b">
        <f>IF(AT692="",TRUE,IF(VLOOKUP(AT692,Calculs!$A$740:$G$912,7,FALSE)&gt;0,TRUE,FALSE))</f>
        <v>1</v>
      </c>
      <c r="AV692" s="158" t="b">
        <f t="shared" si="73"/>
        <v>0</v>
      </c>
      <c r="AW692" s="159" t="s">
        <v>3411</v>
      </c>
      <c r="AX692" s="162" t="s">
        <v>5202</v>
      </c>
      <c r="AY692" s="15">
        <v>64</v>
      </c>
      <c r="AZ692" s="555" t="s">
        <v>2691</v>
      </c>
      <c r="BA692" s="559">
        <f>IF(Verso!$B$10=Voies!$B692,1,0)</f>
        <v>0</v>
      </c>
      <c r="BB692" s="12">
        <f>IF(Verso!$B$11=Voies!$B692,1,0)</f>
        <v>0</v>
      </c>
      <c r="BC692" s="12">
        <f>IF(Verso!$B$12=Voies!$B692,1,0)</f>
        <v>0</v>
      </c>
      <c r="BD692" s="12">
        <f>IF(Verso!$B$13=Voies!$B692,1,0)</f>
        <v>0</v>
      </c>
      <c r="BE692" s="12">
        <f>IF(Verso!$B$14=Voies!$B692,1,0)</f>
        <v>0</v>
      </c>
      <c r="BF692" s="12">
        <f>IF(Verso!$B$15=Voies!$B692,1,0)</f>
        <v>0</v>
      </c>
      <c r="BG692" s="12">
        <f>IF(Verso!$B$16=Voies!$B692,1,0)</f>
        <v>0</v>
      </c>
      <c r="BH692" s="12">
        <f>IF(Verso!$B$17=Voies!$B692,1,0)</f>
        <v>0</v>
      </c>
      <c r="BI692" s="557">
        <f t="shared" si="74"/>
        <v>0</v>
      </c>
      <c r="BJ692" s="196" t="str">
        <f t="shared" si="75"/>
        <v/>
      </c>
      <c r="BK692" s="196" t="str">
        <f t="shared" si="76"/>
        <v/>
      </c>
      <c r="BL692" s="295" t="str">
        <f t="shared" si="77"/>
        <v/>
      </c>
    </row>
    <row r="693" spans="1:65" ht="47.25" customHeight="1" x14ac:dyDescent="0.25">
      <c r="A693" s="162" t="str">
        <f>IF(AND(Réputation&gt;Voies!E693-1,OR(C693=TRUE,Calculs!$I$8&gt;0),Air&gt;Voies!J693-1,Eau&gt;Voies!K693-1,Feu&gt;Voies!L693-1,Terre&gt;Voies!M693-1,Vide&gt;Voies!N693-1,Constitution&gt;Voies!O693-1,Volonté&gt;Voies!P693-1,Force&gt;Voies!Q693-1,Perception&gt;Voies!R693-1,Reflexes&gt;Voies!S693-1,Agilité&gt;Voies!T693-1,Intuition&gt;Voies!U693-1,Intelligence&gt;Voies!V693-1,Souillure&gt;Voies!W693-1,Honneur&gt;X693-1,Statut&gt;Y693-1,Gloire&gt;Z693-1,AV693=TRUE),Voies!B693,"")</f>
        <v/>
      </c>
      <c r="B693" s="162" t="s">
        <v>2690</v>
      </c>
      <c r="C693" s="162" t="b">
        <f>IF(OR(Clan&lt;&gt;"Scorpion",Clan&lt;&gt;"Lion",Clan&lt;&gt;"Grue",Clan&lt;&gt;"Phénix",Clan&lt;&gt;"Licorne",Clan&lt;&gt;"Dragon",Clan&lt;&gt;"Crabe"),TRUE,FALSE)</f>
        <v>1</v>
      </c>
      <c r="D693" s="388" t="s">
        <v>398</v>
      </c>
      <c r="E693" s="199">
        <v>8</v>
      </c>
      <c r="F693" s="199">
        <v>8</v>
      </c>
      <c r="G693" s="199" t="s">
        <v>2049</v>
      </c>
      <c r="H693" s="162" t="s">
        <v>429</v>
      </c>
      <c r="I693" s="129" t="str">
        <f t="shared" si="78"/>
        <v>Rien</v>
      </c>
      <c r="J693" s="146">
        <v>0</v>
      </c>
      <c r="K693" s="147">
        <v>0</v>
      </c>
      <c r="L693" s="148">
        <v>0</v>
      </c>
      <c r="M693" s="149">
        <v>0</v>
      </c>
      <c r="N693" s="150">
        <v>0</v>
      </c>
      <c r="O693" s="130">
        <v>0</v>
      </c>
      <c r="P693" s="130">
        <v>0</v>
      </c>
      <c r="Q693" s="130">
        <v>4</v>
      </c>
      <c r="R693" s="130">
        <v>0</v>
      </c>
      <c r="S693" s="130">
        <v>0</v>
      </c>
      <c r="T693" s="130">
        <v>5</v>
      </c>
      <c r="U693" s="130">
        <v>0</v>
      </c>
      <c r="V693" s="524">
        <v>0</v>
      </c>
      <c r="W693" s="130">
        <v>0</v>
      </c>
      <c r="X693" s="130">
        <v>0</v>
      </c>
      <c r="Y693" s="130">
        <v>0</v>
      </c>
      <c r="Z693" s="130">
        <v>0</v>
      </c>
      <c r="AA693" s="159" t="s">
        <v>2687</v>
      </c>
      <c r="AE693" s="158" t="b">
        <f>IF(AB693="",TRUE,IF(IF(AC693="",VLOOKUP(AB693,Calculs!$A$19:$S$425,19,FALSE),VLOOKUP(AC693,Calculs!$A$19:$S$425,19,FALSE))&gt;=AD693,TRUE,FALSE))</f>
        <v>1</v>
      </c>
      <c r="AI693" s="158" t="b">
        <f>IF(AF693="",TRUE,IF(IF(AG693="",VLOOKUP(AF693,Calculs!$A$19:$S$425,19,FALSE),VLOOKUP(AG693,Calculs!$A$19:$S$425,19,FALSE))&gt;=AH693,TRUE,FALSE))</f>
        <v>1</v>
      </c>
      <c r="AM693" s="158" t="b">
        <f>IF(AJ693="",TRUE,IF(IF(AK693="",VLOOKUP(AJ693,Calculs!$A$19:$S$425,19,FALSE),VLOOKUP(AK693,Calculs!$A$19:$S$425,19,FALSE))&gt;=AL693,TRUE,FALSE))</f>
        <v>1</v>
      </c>
      <c r="AQ693" s="158" t="b">
        <f>IF(AN693="",TRUE,IF(IF(AO693="",VLOOKUP(AN693,Calculs!$A$19:$S$425,19,FALSE),VLOOKUP(AO693,Calculs!$A$19:$S$425,19,FALSE))&gt;=AP693,TRUE,FALSE))</f>
        <v>1</v>
      </c>
      <c r="AR693" s="158"/>
      <c r="AS693" s="158" t="b">
        <f>IF(Parangon&gt;0,TRUE,FALSE)</f>
        <v>0</v>
      </c>
      <c r="AT693" s="158"/>
      <c r="AU693" s="158" t="b">
        <f>IF(AT693="",TRUE,IF(VLOOKUP(AT693,Calculs!$A$740:$G$912,7,FALSE)&gt;0,TRUE,FALSE))</f>
        <v>1</v>
      </c>
      <c r="AV693" s="158" t="b">
        <f t="shared" si="73"/>
        <v>0</v>
      </c>
      <c r="AW693" s="159" t="s">
        <v>3411</v>
      </c>
      <c r="AX693" s="162" t="s">
        <v>5202</v>
      </c>
      <c r="AY693" s="15">
        <v>64</v>
      </c>
      <c r="AZ693" s="555" t="s">
        <v>2692</v>
      </c>
      <c r="BA693" s="559">
        <f>IF(Verso!$B$10=Voies!$B693,1,0)</f>
        <v>0</v>
      </c>
      <c r="BB693" s="12">
        <f>IF(Verso!$B$11=Voies!$B693,1,0)</f>
        <v>0</v>
      </c>
      <c r="BC693" s="12">
        <f>IF(Verso!$B$12=Voies!$B693,1,0)</f>
        <v>0</v>
      </c>
      <c r="BD693" s="12">
        <f>IF(Verso!$B$13=Voies!$B693,1,0)</f>
        <v>0</v>
      </c>
      <c r="BE693" s="12">
        <f>IF(Verso!$B$14=Voies!$B693,1,0)</f>
        <v>0</v>
      </c>
      <c r="BF693" s="12">
        <f>IF(Verso!$B$15=Voies!$B693,1,0)</f>
        <v>0</v>
      </c>
      <c r="BG693" s="12">
        <f>IF(Verso!$B$16=Voies!$B693,1,0)</f>
        <v>0</v>
      </c>
      <c r="BH693" s="12">
        <f>IF(Verso!$B$17=Voies!$B693,1,0)</f>
        <v>0</v>
      </c>
      <c r="BI693" s="557">
        <f t="shared" si="74"/>
        <v>0</v>
      </c>
      <c r="BJ693" s="196" t="str">
        <f t="shared" si="75"/>
        <v/>
      </c>
      <c r="BK693" s="196" t="str">
        <f t="shared" si="76"/>
        <v/>
      </c>
      <c r="BL693" s="295" t="str">
        <f t="shared" si="77"/>
        <v/>
      </c>
    </row>
    <row r="694" spans="1:65" s="196" customFormat="1" ht="47.25" customHeight="1" x14ac:dyDescent="0.25">
      <c r="A694" s="162" t="str">
        <f>IF(AND(Réputation&gt;Voies!E694-1,OR(C694=TRUE,Calculs!$I$8&gt;0),Air&gt;Voies!J694-1,Eau&gt;Voies!K694-1,Feu&gt;Voies!L694-1,Terre&gt;Voies!M694-1,Vide&gt;Voies!N694-1,Constitution&gt;Voies!O694-1,Volonté&gt;Voies!P694-1,Force&gt;Voies!Q694-1,Perception&gt;Voies!R694-1,Reflexes&gt;Voies!S694-1,Agilité&gt;Voies!T694-1,Intuition&gt;Voies!U694-1,Intelligence&gt;Voies!V694-1,Souillure&gt;Voies!W694-1,Honneur&gt;X694-1,Statut&gt;Y694-1,Gloire&gt;Z694-1,AV694=TRUE),Voies!B694,"")</f>
        <v/>
      </c>
      <c r="B694" s="162" t="s">
        <v>6940</v>
      </c>
      <c r="C694" s="162" t="b">
        <f>IF(Clan=Voies!D694,TRUE,FALSE)</f>
        <v>0</v>
      </c>
      <c r="D694" s="466" t="s">
        <v>6773</v>
      </c>
      <c r="E694" s="199">
        <v>1</v>
      </c>
      <c r="F694" s="199">
        <v>1</v>
      </c>
      <c r="G694" s="199" t="s">
        <v>2048</v>
      </c>
      <c r="H694" s="162" t="s">
        <v>6887</v>
      </c>
      <c r="I694" s="129" t="str">
        <f t="shared" si="78"/>
        <v>Rien</v>
      </c>
      <c r="J694" s="146">
        <v>0</v>
      </c>
      <c r="K694" s="147">
        <v>0</v>
      </c>
      <c r="L694" s="148">
        <v>0</v>
      </c>
      <c r="M694" s="149">
        <v>0</v>
      </c>
      <c r="N694" s="150">
        <v>0</v>
      </c>
      <c r="O694" s="130">
        <v>0</v>
      </c>
      <c r="P694" s="130">
        <v>0</v>
      </c>
      <c r="Q694" s="130">
        <v>0</v>
      </c>
      <c r="R694" s="130">
        <v>0</v>
      </c>
      <c r="S694" s="130">
        <v>0</v>
      </c>
      <c r="T694" s="130">
        <v>0</v>
      </c>
      <c r="U694" s="130">
        <v>0</v>
      </c>
      <c r="V694" s="524">
        <v>0</v>
      </c>
      <c r="W694" s="130">
        <v>0</v>
      </c>
      <c r="X694" s="130">
        <v>0</v>
      </c>
      <c r="Y694" s="130">
        <v>0</v>
      </c>
      <c r="Z694" s="130">
        <v>0</v>
      </c>
      <c r="AA694" s="158" t="s">
        <v>2078</v>
      </c>
      <c r="AB694" s="158"/>
      <c r="AC694" s="158"/>
      <c r="AD694" s="158"/>
      <c r="AE694" s="158" t="b">
        <f>IF(AB694="",TRUE,IF(IF(AC694="",VLOOKUP(AB694,Calculs!$A$19:$S$425,19,FALSE),VLOOKUP(AC694,Calculs!$A$19:$S$425,19,FALSE))&gt;=AD694,TRUE,FALSE))</f>
        <v>1</v>
      </c>
      <c r="AF694" s="158"/>
      <c r="AG694" s="158"/>
      <c r="AH694" s="158"/>
      <c r="AI694" s="158" t="b">
        <f>IF(AF694="",TRUE,IF(IF(AG694="",VLOOKUP(AF694,Calculs!$A$19:$S$425,19,FALSE),VLOOKUP(AG694,Calculs!$A$19:$S$425,19,FALSE))&gt;=AH694,TRUE,FALSE))</f>
        <v>1</v>
      </c>
      <c r="AJ694" s="158"/>
      <c r="AK694" s="158"/>
      <c r="AL694" s="158"/>
      <c r="AM694" s="158" t="b">
        <f>IF(AJ694="",TRUE,IF(IF(AK694="",VLOOKUP(AJ694,Calculs!$A$19:$S$425,19,FALSE),VLOOKUP(AK694,Calculs!$A$19:$S$425,19,FALSE))&gt;=AL694,TRUE,FALSE))</f>
        <v>1</v>
      </c>
      <c r="AN694" s="158"/>
      <c r="AO694" s="158"/>
      <c r="AP694" s="158"/>
      <c r="AQ694" s="158" t="b">
        <f>IF(AN694="",TRUE,IF(IF(AO694="",VLOOKUP(AN694,Calculs!$A$19:$S$425,19,FALSE),VLOOKUP(AO694,Calculs!$A$19:$S$425,19,FALSE))&gt;=AP694,TRUE,FALSE))</f>
        <v>1</v>
      </c>
      <c r="AR694" s="158"/>
      <c r="AS694" s="158" t="b">
        <f>IF(AR694="",TRUE,IF(VLOOKUP(AR694,Calculs!$A$427:$G$738,7,FALSE)&gt;0,TRUE,FALSE))</f>
        <v>1</v>
      </c>
      <c r="AT694" s="158"/>
      <c r="AU694" s="158" t="b">
        <f>IF(AT694="",TRUE,IF(VLOOKUP(AT694,Calculs!$A$740:$G$912,7,FALSE)&gt;0,TRUE,FALSE))</f>
        <v>1</v>
      </c>
      <c r="AV694" s="158" t="b">
        <f t="shared" si="73"/>
        <v>1</v>
      </c>
      <c r="AW694" s="158" t="s">
        <v>2078</v>
      </c>
      <c r="AX694" s="162" t="s">
        <v>6816</v>
      </c>
      <c r="AY694" s="15">
        <v>69</v>
      </c>
      <c r="AZ694" s="555" t="s">
        <v>6941</v>
      </c>
      <c r="BA694" s="559">
        <f>IF(Verso!$B$10=Voies!$B694,1,0)</f>
        <v>0</v>
      </c>
      <c r="BB694" s="12">
        <f>IF(Verso!$B$11=Voies!$B694,1,0)</f>
        <v>0</v>
      </c>
      <c r="BC694" s="12">
        <f>IF(Verso!$B$12=Voies!$B694,1,0)</f>
        <v>0</v>
      </c>
      <c r="BD694" s="12">
        <f>IF(Verso!$B$13=Voies!$B694,1,0)</f>
        <v>0</v>
      </c>
      <c r="BE694" s="12">
        <f>IF(Verso!$B$14=Voies!$B694,1,0)</f>
        <v>0</v>
      </c>
      <c r="BF694" s="12">
        <f>IF(Verso!$B$15=Voies!$B694,1,0)</f>
        <v>0</v>
      </c>
      <c r="BG694" s="12">
        <f>IF(Verso!$B$16=Voies!$B694,1,0)</f>
        <v>0</v>
      </c>
      <c r="BH694" s="12">
        <f>IF(Verso!$B$17=Voies!$B694,1,0)</f>
        <v>0</v>
      </c>
      <c r="BI694" s="557">
        <f t="shared" si="74"/>
        <v>0</v>
      </c>
      <c r="BJ694" s="196" t="str">
        <f t="shared" si="75"/>
        <v/>
      </c>
      <c r="BK694" s="196" t="str">
        <f t="shared" si="76"/>
        <v/>
      </c>
      <c r="BL694" s="295" t="str">
        <f t="shared" si="77"/>
        <v/>
      </c>
      <c r="BM694" s="91"/>
    </row>
    <row r="695" spans="1:65" ht="47.25" customHeight="1" x14ac:dyDescent="0.25">
      <c r="A695" s="162" t="str">
        <f>IF(AND(Réputation&gt;Voies!E695-1,OR(C695=TRUE,Calculs!$I$8&gt;0),Air&gt;Voies!J695-1,Eau&gt;Voies!K695-1,Feu&gt;Voies!L695-1,Terre&gt;Voies!M695-1,Vide&gt;Voies!N695-1,Constitution&gt;Voies!O695-1,Volonté&gt;Voies!P695-1,Force&gt;Voies!Q695-1,Perception&gt;Voies!R695-1,Reflexes&gt;Voies!S695-1,Agilité&gt;Voies!T695-1,Intuition&gt;Voies!U695-1,Intelligence&gt;Voies!V695-1,Souillure&gt;Voies!W695-1,Honneur&gt;X695-1,Statut&gt;Y695-1,Gloire&gt;Z695-1,AV695=TRUE),Voies!B695,"")</f>
        <v/>
      </c>
      <c r="B695" s="162" t="s">
        <v>2174</v>
      </c>
      <c r="C695" s="162" t="b">
        <f>IF(Clan=Voies!D695,TRUE,FALSE)</f>
        <v>0</v>
      </c>
      <c r="D695" s="388" t="s">
        <v>339</v>
      </c>
      <c r="E695" s="13">
        <v>1</v>
      </c>
      <c r="F695" s="199">
        <v>1</v>
      </c>
      <c r="G695" s="199" t="s">
        <v>2049</v>
      </c>
      <c r="H695" s="162" t="s">
        <v>405</v>
      </c>
      <c r="I695" s="129" t="str">
        <f t="shared" si="78"/>
        <v>Rien</v>
      </c>
      <c r="J695" s="146">
        <v>0</v>
      </c>
      <c r="K695" s="147">
        <v>0</v>
      </c>
      <c r="L695" s="148">
        <v>0</v>
      </c>
      <c r="M695" s="149">
        <v>0</v>
      </c>
      <c r="N695" s="150">
        <v>0</v>
      </c>
      <c r="O695" s="130">
        <v>0</v>
      </c>
      <c r="P695" s="130">
        <v>0</v>
      </c>
      <c r="Q695" s="130">
        <v>0</v>
      </c>
      <c r="R695" s="130">
        <v>0</v>
      </c>
      <c r="S695" s="130">
        <v>0</v>
      </c>
      <c r="T695" s="130">
        <v>0</v>
      </c>
      <c r="U695" s="130">
        <v>0</v>
      </c>
      <c r="V695" s="524">
        <v>0</v>
      </c>
      <c r="W695" s="130">
        <v>0</v>
      </c>
      <c r="X695" s="130">
        <v>0</v>
      </c>
      <c r="Y695" s="130">
        <v>0</v>
      </c>
      <c r="Z695" s="130">
        <v>0</v>
      </c>
      <c r="AA695" s="158" t="s">
        <v>2078</v>
      </c>
      <c r="AB695" s="158"/>
      <c r="AC695" s="158"/>
      <c r="AD695" s="158"/>
      <c r="AE695" s="158" t="b">
        <f>IF(AB695="",TRUE,IF(IF(AC695="",VLOOKUP(AB695,Calculs!$A$19:$S$425,19,FALSE),VLOOKUP(AC695,Calculs!$A$19:$S$425,19,FALSE))&gt;=AD695,TRUE,FALSE))</f>
        <v>1</v>
      </c>
      <c r="AF695" s="158"/>
      <c r="AG695" s="158"/>
      <c r="AH695" s="158"/>
      <c r="AI695" s="158" t="b">
        <f>IF(AF695="",TRUE,IF(IF(AG695="",VLOOKUP(AF695,Calculs!$A$19:$S$425,19,FALSE),VLOOKUP(AG695,Calculs!$A$19:$S$425,19,FALSE))&gt;=AH695,TRUE,FALSE))</f>
        <v>1</v>
      </c>
      <c r="AJ695" s="158"/>
      <c r="AK695" s="158"/>
      <c r="AL695" s="158"/>
      <c r="AM695" s="158" t="b">
        <f>IF(AJ695="",TRUE,IF(IF(AK695="",VLOOKUP(AJ695,Calculs!$A$19:$S$425,19,FALSE),VLOOKUP(AK695,Calculs!$A$19:$S$425,19,FALSE))&gt;=AL695,TRUE,FALSE))</f>
        <v>1</v>
      </c>
      <c r="AN695" s="158"/>
      <c r="AO695" s="158"/>
      <c r="AP695" s="158"/>
      <c r="AQ695" s="158" t="b">
        <f>IF(AN695="",TRUE,IF(IF(AO695="",VLOOKUP(AN695,Calculs!$A$19:$S$425,19,FALSE),VLOOKUP(AO695,Calculs!$A$19:$S$425,19,FALSE))&gt;=AP695,TRUE,FALSE))</f>
        <v>1</v>
      </c>
      <c r="AR695" s="158"/>
      <c r="AS695" s="158" t="b">
        <f>IF(AR695="",TRUE,IF(VLOOKUP(AR695,Calculs!$A$427:$G$738,7,FALSE)&gt;0,TRUE,FALSE))</f>
        <v>1</v>
      </c>
      <c r="AT695" s="158"/>
      <c r="AU695" s="158" t="b">
        <f>IF(AT695="",TRUE,IF(VLOOKUP(AT695,Calculs!$A$740:$G$912,7,FALSE)&gt;0,TRUE,FALSE))</f>
        <v>1</v>
      </c>
      <c r="AV695" s="158" t="b">
        <f t="shared" si="73"/>
        <v>1</v>
      </c>
      <c r="AW695" s="158" t="s">
        <v>2078</v>
      </c>
      <c r="AX695" s="162" t="s">
        <v>3</v>
      </c>
      <c r="AY695" s="15">
        <v>222</v>
      </c>
      <c r="AZ695" s="555" t="s">
        <v>8659</v>
      </c>
      <c r="BA695" s="559">
        <f>IF(Verso!$B$10=Voies!$B695,1,0)</f>
        <v>0</v>
      </c>
      <c r="BB695" s="12">
        <f>IF(Verso!$B$11=Voies!$B695,1,0)</f>
        <v>0</v>
      </c>
      <c r="BC695" s="12">
        <f>IF(Verso!$B$12=Voies!$B695,1,0)</f>
        <v>0</v>
      </c>
      <c r="BD695" s="12">
        <f>IF(Verso!$B$13=Voies!$B695,1,0)</f>
        <v>0</v>
      </c>
      <c r="BE695" s="12">
        <f>IF(Verso!$B$14=Voies!$B695,1,0)</f>
        <v>0</v>
      </c>
      <c r="BF695" s="12">
        <f>IF(Verso!$B$15=Voies!$B695,1,0)</f>
        <v>0</v>
      </c>
      <c r="BG695" s="12">
        <f>IF(Verso!$B$16=Voies!$B695,1,0)</f>
        <v>0</v>
      </c>
      <c r="BH695" s="12">
        <f>IF(Verso!$B$17=Voies!$B695,1,0)</f>
        <v>0</v>
      </c>
      <c r="BI695" s="557">
        <f t="shared" si="74"/>
        <v>0</v>
      </c>
      <c r="BJ695" s="196" t="str">
        <f t="shared" si="75"/>
        <v/>
      </c>
      <c r="BK695" s="196" t="str">
        <f t="shared" si="76"/>
        <v/>
      </c>
      <c r="BL695" s="295" t="str">
        <f t="shared" si="77"/>
        <v/>
      </c>
    </row>
    <row r="696" spans="1:65" ht="47.25" customHeight="1" x14ac:dyDescent="0.25">
      <c r="A696" s="162" t="str">
        <f>IF(AND(Réputation&gt;Voies!E696-1,OR(C696=TRUE,Calculs!$I$8&gt;0),Air&gt;Voies!J696-1,Eau&gt;Voies!K696-1,Feu&gt;Voies!L696-1,Terre&gt;Voies!M696-1,Vide&gt;Voies!N696-1,Constitution&gt;Voies!O696-1,Volonté&gt;Voies!P696-1,Force&gt;Voies!Q696-1,Perception&gt;Voies!R696-1,Reflexes&gt;Voies!S696-1,Agilité&gt;Voies!T696-1,Intuition&gt;Voies!U696-1,Intelligence&gt;Voies!V696-1,Souillure&gt;Voies!W696-1,Honneur&gt;X696-1,Statut&gt;Y696-1,Gloire&gt;Z696-1,AV696=TRUE),Voies!B696,"")</f>
        <v/>
      </c>
      <c r="B696" s="162" t="s">
        <v>2175</v>
      </c>
      <c r="C696" s="162" t="b">
        <f>IF(Clan=Voies!D696,TRUE,FALSE)</f>
        <v>0</v>
      </c>
      <c r="D696" s="388" t="s">
        <v>339</v>
      </c>
      <c r="E696" s="13">
        <v>2</v>
      </c>
      <c r="F696" s="199">
        <v>2</v>
      </c>
      <c r="G696" s="13" t="s">
        <v>2049</v>
      </c>
      <c r="H696" s="162" t="s">
        <v>405</v>
      </c>
      <c r="I696" s="129" t="str">
        <f t="shared" si="78"/>
        <v>Rien</v>
      </c>
      <c r="J696" s="146">
        <v>0</v>
      </c>
      <c r="K696" s="147">
        <v>0</v>
      </c>
      <c r="L696" s="148">
        <v>0</v>
      </c>
      <c r="M696" s="149">
        <v>0</v>
      </c>
      <c r="N696" s="150">
        <v>0</v>
      </c>
      <c r="O696" s="130">
        <v>0</v>
      </c>
      <c r="P696" s="130">
        <v>0</v>
      </c>
      <c r="Q696" s="130">
        <v>0</v>
      </c>
      <c r="R696" s="130">
        <v>0</v>
      </c>
      <c r="S696" s="130">
        <v>0</v>
      </c>
      <c r="T696" s="130">
        <v>0</v>
      </c>
      <c r="U696" s="130">
        <v>0</v>
      </c>
      <c r="V696" s="524">
        <v>0</v>
      </c>
      <c r="W696" s="130">
        <v>0</v>
      </c>
      <c r="X696" s="130">
        <v>0</v>
      </c>
      <c r="Y696" s="130">
        <v>0</v>
      </c>
      <c r="Z696" s="130">
        <v>0</v>
      </c>
      <c r="AA696" s="158" t="s">
        <v>2078</v>
      </c>
      <c r="AB696" s="158"/>
      <c r="AC696" s="158"/>
      <c r="AD696" s="158"/>
      <c r="AE696" s="158" t="b">
        <f>IF(AB696="",TRUE,IF(IF(AC696="",VLOOKUP(AB696,Calculs!$A$19:$S$425,19,FALSE),VLOOKUP(AC696,Calculs!$A$19:$S$425,19,FALSE))&gt;=AD696,TRUE,FALSE))</f>
        <v>1</v>
      </c>
      <c r="AF696" s="158"/>
      <c r="AG696" s="158"/>
      <c r="AH696" s="158"/>
      <c r="AI696" s="158" t="b">
        <f>IF(AF696="",TRUE,IF(IF(AG696="",VLOOKUP(AF696,Calculs!$A$19:$S$425,19,FALSE),VLOOKUP(AG696,Calculs!$A$19:$S$425,19,FALSE))&gt;=AH696,TRUE,FALSE))</f>
        <v>1</v>
      </c>
      <c r="AJ696" s="158"/>
      <c r="AK696" s="158"/>
      <c r="AL696" s="158"/>
      <c r="AM696" s="158" t="b">
        <f>IF(AJ696="",TRUE,IF(IF(AK696="",VLOOKUP(AJ696,Calculs!$A$19:$S$425,19,FALSE),VLOOKUP(AK696,Calculs!$A$19:$S$425,19,FALSE))&gt;=AL696,TRUE,FALSE))</f>
        <v>1</v>
      </c>
      <c r="AN696" s="158"/>
      <c r="AO696" s="158"/>
      <c r="AP696" s="158"/>
      <c r="AQ696" s="158" t="b">
        <f>IF(AN696="",TRUE,IF(IF(AO696="",VLOOKUP(AN696,Calculs!$A$19:$S$425,19,FALSE),VLOOKUP(AO696,Calculs!$A$19:$S$425,19,FALSE))&gt;=AP696,TRUE,FALSE))</f>
        <v>1</v>
      </c>
      <c r="AR696" s="158"/>
      <c r="AS696" s="158" t="b">
        <f>IF(AR696="",TRUE,IF(VLOOKUP(AR696,Calculs!$A$427:$G$738,7,FALSE)&gt;0,TRUE,FALSE))</f>
        <v>1</v>
      </c>
      <c r="AT696" s="158"/>
      <c r="AU696" s="158" t="b">
        <f>IF(AT696="",TRUE,IF(VLOOKUP(AT696,Calculs!$A$740:$G$912,7,FALSE)&gt;0,TRUE,FALSE))</f>
        <v>1</v>
      </c>
      <c r="AV696" s="158" t="b">
        <f t="shared" si="73"/>
        <v>1</v>
      </c>
      <c r="AW696" s="158" t="s">
        <v>2078</v>
      </c>
      <c r="AX696" s="162" t="s">
        <v>3</v>
      </c>
      <c r="AY696" s="15">
        <v>222</v>
      </c>
      <c r="AZ696" s="566" t="str">
        <f>CONCATENATE("+5 à votre ND d'Armure contre les créatures et adversaires humains ayant un Honneur inférieur à ",Honneur)</f>
        <v>+5 à votre ND d'Armure contre les créatures et adversaires humains ayant un Honneur inférieur à 0</v>
      </c>
      <c r="BA696" s="559">
        <f>IF(Verso!$B$10=Voies!$B696,1,0)</f>
        <v>0</v>
      </c>
      <c r="BB696" s="12">
        <f>IF(Verso!$B$11=Voies!$B696,1,0)</f>
        <v>0</v>
      </c>
      <c r="BC696" s="12">
        <f>IF(Verso!$B$12=Voies!$B696,1,0)</f>
        <v>0</v>
      </c>
      <c r="BD696" s="12">
        <f>IF(Verso!$B$13=Voies!$B696,1,0)</f>
        <v>0</v>
      </c>
      <c r="BE696" s="12">
        <f>IF(Verso!$B$14=Voies!$B696,1,0)</f>
        <v>0</v>
      </c>
      <c r="BF696" s="12">
        <f>IF(Verso!$B$15=Voies!$B696,1,0)</f>
        <v>0</v>
      </c>
      <c r="BG696" s="12">
        <f>IF(Verso!$B$16=Voies!$B696,1,0)</f>
        <v>0</v>
      </c>
      <c r="BH696" s="12">
        <f>IF(Verso!$B$17=Voies!$B696,1,0)</f>
        <v>0</v>
      </c>
      <c r="BI696" s="557">
        <f t="shared" si="74"/>
        <v>0</v>
      </c>
      <c r="BJ696" s="196" t="str">
        <f t="shared" si="75"/>
        <v/>
      </c>
      <c r="BK696" s="196" t="str">
        <f t="shared" si="76"/>
        <v/>
      </c>
      <c r="BL696" s="295" t="str">
        <f t="shared" si="77"/>
        <v/>
      </c>
    </row>
    <row r="697" spans="1:65" ht="47.25" customHeight="1" x14ac:dyDescent="0.25">
      <c r="A697" s="162" t="str">
        <f>IF(AND(Réputation&gt;Voies!E697-1,OR(C697=TRUE,Calculs!$I$8&gt;0),Air&gt;Voies!J697-1,Eau&gt;Voies!K697-1,Feu&gt;Voies!L697-1,Terre&gt;Voies!M697-1,Vide&gt;Voies!N697-1,Constitution&gt;Voies!O697-1,Volonté&gt;Voies!P697-1,Force&gt;Voies!Q697-1,Perception&gt;Voies!R697-1,Reflexes&gt;Voies!S697-1,Agilité&gt;Voies!T697-1,Intuition&gt;Voies!U697-1,Intelligence&gt;Voies!V697-1,Souillure&gt;Voies!W697-1,Honneur&gt;X697-1,Statut&gt;Y697-1,Gloire&gt;Z697-1,AV697=TRUE),Voies!B697,"")</f>
        <v/>
      </c>
      <c r="B697" s="162" t="s">
        <v>5880</v>
      </c>
      <c r="C697" s="162" t="b">
        <f>IF(Clan=Voies!D697,TRUE,FALSE)</f>
        <v>0</v>
      </c>
      <c r="D697" s="388" t="s">
        <v>339</v>
      </c>
      <c r="E697" s="199">
        <v>2</v>
      </c>
      <c r="F697" s="199">
        <v>2</v>
      </c>
      <c r="G697" s="199" t="s">
        <v>2049</v>
      </c>
      <c r="H697" s="162" t="s">
        <v>468</v>
      </c>
      <c r="I697" s="129" t="s">
        <v>3647</v>
      </c>
      <c r="J697" s="146">
        <v>0</v>
      </c>
      <c r="K697" s="147">
        <v>0</v>
      </c>
      <c r="L697" s="148">
        <v>0</v>
      </c>
      <c r="M697" s="149">
        <v>0</v>
      </c>
      <c r="N697" s="150">
        <v>0</v>
      </c>
      <c r="O697" s="130">
        <v>0</v>
      </c>
      <c r="P697" s="130">
        <v>0</v>
      </c>
      <c r="Q697" s="130">
        <v>0</v>
      </c>
      <c r="R697" s="130">
        <v>0</v>
      </c>
      <c r="S697" s="130">
        <v>0</v>
      </c>
      <c r="T697" s="130">
        <v>0</v>
      </c>
      <c r="U697" s="130">
        <v>0</v>
      </c>
      <c r="V697" s="524">
        <v>0</v>
      </c>
      <c r="W697" s="130">
        <v>0</v>
      </c>
      <c r="X697" s="130">
        <v>0</v>
      </c>
      <c r="Y697" s="130">
        <v>0</v>
      </c>
      <c r="Z697" s="130">
        <v>0</v>
      </c>
      <c r="AA697" s="159" t="s">
        <v>3646</v>
      </c>
      <c r="AB697" s="159" t="s">
        <v>231</v>
      </c>
      <c r="AD697" s="159">
        <v>2</v>
      </c>
      <c r="AE697" s="158" t="b">
        <f>IF(AB697="",TRUE,IF(IF(AC697="",VLOOKUP(AB697,Calculs!$A$19:$S$425,19,FALSE),VLOOKUP(AC697,Calculs!$A$19:$S$425,19,FALSE))&gt;=AD697,TRUE,FALSE))</f>
        <v>0</v>
      </c>
      <c r="AI697" s="158" t="b">
        <f>IF(AF697="",TRUE,IF(IF(AG697="",VLOOKUP(AF697,Calculs!$A$19:$S$425,19,FALSE),VLOOKUP(AG697,Calculs!$A$19:$S$425,19,FALSE))&gt;=AH697,TRUE,FALSE))</f>
        <v>1</v>
      </c>
      <c r="AM697" s="158" t="b">
        <f>IF(AJ697="",TRUE,IF(IF(AK697="",VLOOKUP(AJ697,Calculs!$A$19:$S$425,19,FALSE),VLOOKUP(AK697,Calculs!$A$19:$S$425,19,FALSE))&gt;=AL697,TRUE,FALSE))</f>
        <v>1</v>
      </c>
      <c r="AQ697" s="158" t="b">
        <f>IF(AN697="",TRUE,IF(IF(AO697="",VLOOKUP(AN697,Calculs!$A$19:$S$425,19,FALSE),VLOOKUP(AO697,Calculs!$A$19:$S$425,19,FALSE))&gt;=AP697,TRUE,FALSE))</f>
        <v>1</v>
      </c>
      <c r="AR697" s="158"/>
      <c r="AS697" s="158" t="b">
        <f>IF(AR697="",TRUE,IF(VLOOKUP(AR697,Calculs!$A$427:$G$738,7,FALSE)&gt;0,TRUE,FALSE))</f>
        <v>1</v>
      </c>
      <c r="AT697" s="158"/>
      <c r="AU697" s="158" t="b">
        <f>IF(AT697="",TRUE,IF(VLOOKUP(AT697,Calculs!$A$740:$G$912,7,FALSE)&gt;0,TRUE,FALSE))</f>
        <v>1</v>
      </c>
      <c r="AV697" s="158" t="b">
        <f t="shared" si="73"/>
        <v>0</v>
      </c>
      <c r="AW697" s="158" t="s">
        <v>2078</v>
      </c>
      <c r="AX697" s="162" t="s">
        <v>2077</v>
      </c>
      <c r="AY697" s="15">
        <v>149</v>
      </c>
      <c r="AZ697" s="555" t="str">
        <f>CONCATENATE("Quand vous combattez un adversaire ayant un Rg de Gloire supérieur à ",Gloire,", dépensez un Pvide pour garder 0gX à votre attaque où X est égal à la différence de vos Rg. de Gloire et ceux de votre adversaire. Bonus maximum= votre Rg. d'Ecole.")</f>
        <v>Quand vous combattez un adversaire ayant un Rg de Gloire supérieur à 1, dépensez un Pvide pour garder 0gX à votre attaque où X est égal à la différence de vos Rg. de Gloire et ceux de votre adversaire. Bonus maximum= votre Rg. d'Ecole.</v>
      </c>
      <c r="BA697" s="559">
        <f>IF(Verso!$B$10=Voies!$B697,1,0)</f>
        <v>0</v>
      </c>
      <c r="BB697" s="12">
        <f>IF(Verso!$B$11=Voies!$B697,1,0)</f>
        <v>0</v>
      </c>
      <c r="BC697" s="12">
        <f>IF(Verso!$B$12=Voies!$B697,1,0)</f>
        <v>0</v>
      </c>
      <c r="BD697" s="12">
        <f>IF(Verso!$B$13=Voies!$B697,1,0)</f>
        <v>0</v>
      </c>
      <c r="BE697" s="12">
        <f>IF(Verso!$B$14=Voies!$B697,1,0)</f>
        <v>0</v>
      </c>
      <c r="BF697" s="12">
        <f>IF(Verso!$B$15=Voies!$B697,1,0)</f>
        <v>0</v>
      </c>
      <c r="BG697" s="12">
        <f>IF(Verso!$B$16=Voies!$B697,1,0)</f>
        <v>0</v>
      </c>
      <c r="BH697" s="12">
        <f>IF(Verso!$B$17=Voies!$B697,1,0)</f>
        <v>0</v>
      </c>
      <c r="BI697" s="557">
        <f t="shared" si="74"/>
        <v>0</v>
      </c>
      <c r="BJ697" s="196" t="str">
        <f t="shared" si="75"/>
        <v/>
      </c>
      <c r="BK697" s="196" t="str">
        <f t="shared" si="76"/>
        <v/>
      </c>
      <c r="BL697" s="295" t="str">
        <f t="shared" si="77"/>
        <v/>
      </c>
    </row>
    <row r="698" spans="1:65" s="196" customFormat="1" ht="47.25" customHeight="1" x14ac:dyDescent="0.25">
      <c r="A698" s="162" t="str">
        <f>IF(AND(Réputation&gt;Voies!E698-1,OR(C698=TRUE,Calculs!$I$8&gt;0),Air&gt;Voies!J698-1,Eau&gt;Voies!K698-1,Feu&gt;Voies!L698-1,Terre&gt;Voies!M698-1,Vide&gt;Voies!N698-1,Constitution&gt;Voies!O698-1,Volonté&gt;Voies!P698-1,Force&gt;Voies!Q698-1,Perception&gt;Voies!R698-1,Reflexes&gt;Voies!S698-1,Agilité&gt;Voies!T698-1,Intuition&gt;Voies!U698-1,Intelligence&gt;Voies!V698-1,Souillure&gt;Voies!W698-1,Honneur&gt;X698-1,Statut&gt;Y698-1,Gloire&gt;Z698-1,AV698=TRUE),Voies!B698,"")</f>
        <v/>
      </c>
      <c r="B698" s="162" t="s">
        <v>9102</v>
      </c>
      <c r="C698" s="162" t="b">
        <f>IF(Clan=Voies!D698,TRUE,FALSE)</f>
        <v>0</v>
      </c>
      <c r="D698" s="388" t="s">
        <v>339</v>
      </c>
      <c r="E698" s="199">
        <v>2</v>
      </c>
      <c r="F698" s="199">
        <v>2</v>
      </c>
      <c r="G698" s="199" t="s">
        <v>2049</v>
      </c>
      <c r="H698" s="162" t="s">
        <v>9101</v>
      </c>
      <c r="I698" s="129" t="s">
        <v>3647</v>
      </c>
      <c r="J698" s="146">
        <v>0</v>
      </c>
      <c r="K698" s="147">
        <v>0</v>
      </c>
      <c r="L698" s="148">
        <v>0</v>
      </c>
      <c r="M698" s="149">
        <v>0</v>
      </c>
      <c r="N698" s="150">
        <v>0</v>
      </c>
      <c r="O698" s="130">
        <v>0</v>
      </c>
      <c r="P698" s="130">
        <v>0</v>
      </c>
      <c r="Q698" s="130">
        <v>0</v>
      </c>
      <c r="R698" s="130">
        <v>0</v>
      </c>
      <c r="S698" s="130">
        <v>0</v>
      </c>
      <c r="T698" s="130">
        <v>0</v>
      </c>
      <c r="U698" s="130">
        <v>0</v>
      </c>
      <c r="V698" s="524">
        <v>0</v>
      </c>
      <c r="W698" s="130">
        <v>0</v>
      </c>
      <c r="X698" s="130">
        <v>0</v>
      </c>
      <c r="Y698" s="130">
        <v>0</v>
      </c>
      <c r="Z698" s="130">
        <v>0</v>
      </c>
      <c r="AA698" s="159" t="s">
        <v>9104</v>
      </c>
      <c r="AB698" s="159" t="s">
        <v>1278</v>
      </c>
      <c r="AC698" s="159"/>
      <c r="AD698" s="159">
        <v>2</v>
      </c>
      <c r="AE698" s="158" t="b">
        <f>IF(AB698="",TRUE,IF(IF(AC698="",VLOOKUP(AB698,Calculs!$A$19:$S$425,19,FALSE),VLOOKUP(AC698,Calculs!$A$19:$S$425,19,FALSE))&gt;=AD698,TRUE,FALSE))</f>
        <v>0</v>
      </c>
      <c r="AF698" s="159" t="s">
        <v>3326</v>
      </c>
      <c r="AG698" s="159" t="s">
        <v>9103</v>
      </c>
      <c r="AH698" s="159">
        <v>2</v>
      </c>
      <c r="AI698" s="158" t="b">
        <f>IF(AF698="",TRUE,IF(IF(AG698="",VLOOKUP(AF698,Calculs!$A$19:$S$425,19,FALSE),VLOOKUP(AG698,Calculs!$A$19:$S$425,19,FALSE))&gt;=AH698,TRUE,FALSE))</f>
        <v>0</v>
      </c>
      <c r="AJ698" s="159"/>
      <c r="AK698" s="159"/>
      <c r="AL698" s="159"/>
      <c r="AM698" s="158" t="b">
        <f>IF(AJ698="",TRUE,IF(IF(AK698="",VLOOKUP(AJ698,Calculs!$A$19:$S$425,19,FALSE),VLOOKUP(AK698,Calculs!$A$19:$S$425,19,FALSE))&gt;=AL698,TRUE,FALSE))</f>
        <v>1</v>
      </c>
      <c r="AN698" s="159"/>
      <c r="AO698" s="159"/>
      <c r="AP698" s="159"/>
      <c r="AQ698" s="158" t="b">
        <f>IF(AN698="",TRUE,IF(IF(AO698="",VLOOKUP(AN698,Calculs!$A$19:$S$425,19,FALSE),VLOOKUP(AO698,Calculs!$A$19:$S$425,19,FALSE))&gt;=AP698,TRUE,FALSE))</f>
        <v>1</v>
      </c>
      <c r="AR698" s="158"/>
      <c r="AS698" s="158" t="b">
        <f>IF(AR698="",TRUE,IF(VLOOKUP(AR698,Calculs!$A$427:$G$738,7,FALSE)&gt;0,TRUE,FALSE))</f>
        <v>1</v>
      </c>
      <c r="AT698" s="158"/>
      <c r="AU698" s="158" t="b">
        <f>IF(AT698="",TRUE,IF(VLOOKUP(AT698,Calculs!$A$740:$G$912,7,FALSE)&gt;0,TRUE,FALSE))</f>
        <v>1</v>
      </c>
      <c r="AV698" s="158" t="b">
        <f t="shared" si="73"/>
        <v>0</v>
      </c>
      <c r="AW698" s="158" t="s">
        <v>2078</v>
      </c>
      <c r="AX698" s="162" t="s">
        <v>9105</v>
      </c>
      <c r="AY698" s="15">
        <v>55</v>
      </c>
      <c r="AZ698" s="555" t="s">
        <v>9106</v>
      </c>
      <c r="BA698" s="559">
        <f>IF(Verso!$B$10=Voies!$B698,1,0)</f>
        <v>0</v>
      </c>
      <c r="BB698" s="12">
        <f>IF(Verso!$B$11=Voies!$B698,1,0)</f>
        <v>0</v>
      </c>
      <c r="BC698" s="12">
        <f>IF(Verso!$B$12=Voies!$B698,1,0)</f>
        <v>0</v>
      </c>
      <c r="BD698" s="12">
        <f>IF(Verso!$B$13=Voies!$B698,1,0)</f>
        <v>0</v>
      </c>
      <c r="BE698" s="12">
        <f>IF(Verso!$B$14=Voies!$B698,1,0)</f>
        <v>0</v>
      </c>
      <c r="BF698" s="12">
        <f>IF(Verso!$B$15=Voies!$B698,1,0)</f>
        <v>0</v>
      </c>
      <c r="BG698" s="12">
        <f>IF(Verso!$B$16=Voies!$B698,1,0)</f>
        <v>0</v>
      </c>
      <c r="BH698" s="12">
        <f>IF(Verso!$B$17=Voies!$B698,1,0)</f>
        <v>0</v>
      </c>
      <c r="BI698" s="557">
        <f t="shared" si="74"/>
        <v>0</v>
      </c>
      <c r="BJ698" s="196" t="str">
        <f t="shared" si="75"/>
        <v/>
      </c>
      <c r="BK698" s="196" t="str">
        <f t="shared" si="76"/>
        <v/>
      </c>
      <c r="BL698" s="295" t="str">
        <f t="shared" si="77"/>
        <v/>
      </c>
      <c r="BM698" s="91"/>
    </row>
    <row r="699" spans="1:65" ht="47.25" customHeight="1" x14ac:dyDescent="0.25">
      <c r="A699" s="162" t="str">
        <f>IF(AND(Réputation&gt;Voies!E699-1,OR(C699=TRUE,Calculs!$I$8&gt;0),Air&gt;Voies!J699-1,Eau&gt;Voies!K699-1,Feu&gt;Voies!L699-1,Terre&gt;Voies!M699-1,Vide&gt;Voies!N699-1,Constitution&gt;Voies!O699-1,Volonté&gt;Voies!P699-1,Force&gt;Voies!Q699-1,Perception&gt;Voies!R699-1,Reflexes&gt;Voies!S699-1,Agilité&gt;Voies!T699-1,Intuition&gt;Voies!U699-1,Intelligence&gt;Voies!V699-1,Souillure&gt;Voies!W699-1,Honneur&gt;X699-1,Statut&gt;Y699-1,Gloire&gt;Z699-1,AV699=TRUE),Voies!B699,"")</f>
        <v/>
      </c>
      <c r="B699" s="162" t="s">
        <v>3762</v>
      </c>
      <c r="C699" s="162" t="b">
        <f>IF(Clan=Voies!D699,TRUE,FALSE)</f>
        <v>0</v>
      </c>
      <c r="D699" s="388" t="s">
        <v>339</v>
      </c>
      <c r="E699" s="13">
        <v>2</v>
      </c>
      <c r="F699" s="199">
        <v>2</v>
      </c>
      <c r="G699" s="13" t="s">
        <v>2058</v>
      </c>
      <c r="H699" s="162" t="s">
        <v>607</v>
      </c>
      <c r="I699" s="129" t="s">
        <v>3647</v>
      </c>
      <c r="J699" s="146">
        <v>0</v>
      </c>
      <c r="K699" s="147">
        <v>0</v>
      </c>
      <c r="L699" s="148">
        <v>0</v>
      </c>
      <c r="M699" s="149">
        <v>0</v>
      </c>
      <c r="N699" s="150">
        <v>0</v>
      </c>
      <c r="O699" s="130">
        <v>0</v>
      </c>
      <c r="P699" s="130">
        <v>0</v>
      </c>
      <c r="Q699" s="130">
        <v>0</v>
      </c>
      <c r="R699" s="130">
        <v>0</v>
      </c>
      <c r="S699" s="130">
        <v>0</v>
      </c>
      <c r="T699" s="130">
        <v>0</v>
      </c>
      <c r="U699" s="130">
        <v>0</v>
      </c>
      <c r="V699" s="524">
        <v>0</v>
      </c>
      <c r="W699" s="130">
        <v>0</v>
      </c>
      <c r="X699" s="130">
        <v>0</v>
      </c>
      <c r="Y699" s="130">
        <v>0</v>
      </c>
      <c r="Z699" s="130">
        <v>0</v>
      </c>
      <c r="AA699" s="159" t="s">
        <v>3763</v>
      </c>
      <c r="AB699" s="159" t="s">
        <v>3268</v>
      </c>
      <c r="AC699" s="159" t="s">
        <v>3259</v>
      </c>
      <c r="AD699" s="159">
        <v>3</v>
      </c>
      <c r="AE699" s="158" t="b">
        <f>IF(AB699="",TRUE,IF(IF(AC699="",VLOOKUP(AB699,Calculs!$A$19:$S$425,19,FALSE),VLOOKUP(AC699,Calculs!$A$19:$S$425,19,FALSE))&gt;=AD699,TRUE,FALSE))</f>
        <v>0</v>
      </c>
      <c r="AI699" s="158" t="b">
        <f>IF(AF699="",TRUE,IF(IF(AG699="",VLOOKUP(AF699,Calculs!$A$19:$S$425,19,FALSE),VLOOKUP(AG699,Calculs!$A$19:$S$425,19,FALSE))&gt;=AH699,TRUE,FALSE))</f>
        <v>1</v>
      </c>
      <c r="AM699" s="158" t="b">
        <f>IF(AJ699="",TRUE,IF(IF(AK699="",VLOOKUP(AJ699,Calculs!$A$19:$S$425,19,FALSE),VLOOKUP(AK699,Calculs!$A$19:$S$425,19,FALSE))&gt;=AL699,TRUE,FALSE))</f>
        <v>1</v>
      </c>
      <c r="AQ699" s="158" t="b">
        <f>IF(AN699="",TRUE,IF(IF(AO699="",VLOOKUP(AN699,Calculs!$A$19:$S$425,19,FALSE),VLOOKUP(AO699,Calculs!$A$19:$S$425,19,FALSE))&gt;=AP699,TRUE,FALSE))</f>
        <v>1</v>
      </c>
      <c r="AR699" s="158" t="s">
        <v>661</v>
      </c>
      <c r="AS699" s="158" t="b">
        <f>IF(AR699="",TRUE,IF(VLOOKUP(AR699,Calculs!$A$427:$G$738,7,FALSE)&gt;0,TRUE,FALSE))</f>
        <v>0</v>
      </c>
      <c r="AT699" s="158"/>
      <c r="AU699" s="158" t="b">
        <f>IF(AT699="",TRUE,IF(VLOOKUP(AT699,Calculs!$A$740:$G$912,7,FALSE)&gt;0,TRUE,FALSE))</f>
        <v>1</v>
      </c>
      <c r="AV699" s="158" t="b">
        <f t="shared" si="73"/>
        <v>0</v>
      </c>
      <c r="AW699" s="159" t="s">
        <v>3766</v>
      </c>
      <c r="AX699" s="162" t="s">
        <v>2080</v>
      </c>
      <c r="AY699" s="15">
        <v>238</v>
      </c>
      <c r="AZ699" s="555" t="s">
        <v>3767</v>
      </c>
      <c r="BA699" s="559">
        <f>IF(Verso!$B$10=Voies!$B699,1,0)</f>
        <v>0</v>
      </c>
      <c r="BB699" s="12">
        <f>IF(Verso!$B$11=Voies!$B699,1,0)</f>
        <v>0</v>
      </c>
      <c r="BC699" s="12">
        <f>IF(Verso!$B$12=Voies!$B699,1,0)</f>
        <v>0</v>
      </c>
      <c r="BD699" s="12">
        <f>IF(Verso!$B$13=Voies!$B699,1,0)</f>
        <v>0</v>
      </c>
      <c r="BE699" s="12">
        <f>IF(Verso!$B$14=Voies!$B699,1,0)</f>
        <v>0</v>
      </c>
      <c r="BF699" s="12">
        <f>IF(Verso!$B$15=Voies!$B699,1,0)</f>
        <v>0</v>
      </c>
      <c r="BG699" s="12">
        <f>IF(Verso!$B$16=Voies!$B699,1,0)</f>
        <v>0</v>
      </c>
      <c r="BH699" s="12">
        <f>IF(Verso!$B$17=Voies!$B699,1,0)</f>
        <v>0</v>
      </c>
      <c r="BI699" s="557">
        <f t="shared" si="74"/>
        <v>0</v>
      </c>
      <c r="BJ699" s="196" t="str">
        <f t="shared" si="75"/>
        <v/>
      </c>
      <c r="BK699" s="196" t="str">
        <f t="shared" si="76"/>
        <v/>
      </c>
      <c r="BL699" s="295" t="str">
        <f t="shared" si="77"/>
        <v/>
      </c>
    </row>
    <row r="700" spans="1:65" ht="47.25" customHeight="1" x14ac:dyDescent="0.25">
      <c r="A700" s="162" t="str">
        <f>IF(AND(Réputation&gt;Voies!E700-1,OR(C700=TRUE,Calculs!$I$8&gt;0),Air&gt;Voies!J700-1,Eau&gt;Voies!K700-1,Feu&gt;Voies!L700-1,Terre&gt;Voies!M700-1,Vide&gt;Voies!N700-1,Constitution&gt;Voies!O700-1,Volonté&gt;Voies!P700-1,Force&gt;Voies!Q700-1,Perception&gt;Voies!R700-1,Reflexes&gt;Voies!S700-1,Agilité&gt;Voies!T700-1,Intuition&gt;Voies!U700-1,Intelligence&gt;Voies!V700-1,Souillure&gt;Voies!W700-1,Honneur&gt;X700-1,Statut&gt;Y700-1,Gloire&gt;Z700-1,AV700=TRUE),Voies!B700,"")</f>
        <v/>
      </c>
      <c r="B700" s="162" t="s">
        <v>2176</v>
      </c>
      <c r="C700" s="162" t="b">
        <f>IF(Clan=Voies!D700,TRUE,FALSE)</f>
        <v>0</v>
      </c>
      <c r="D700" s="388" t="s">
        <v>339</v>
      </c>
      <c r="E700" s="13">
        <v>3</v>
      </c>
      <c r="F700" s="199">
        <v>3</v>
      </c>
      <c r="G700" s="13" t="s">
        <v>2049</v>
      </c>
      <c r="H700" s="162" t="s">
        <v>405</v>
      </c>
      <c r="I700" s="129" t="str">
        <f t="shared" ref="I700:I708" si="79">IF(B700="","","Rien")</f>
        <v>Rien</v>
      </c>
      <c r="J700" s="146">
        <v>0</v>
      </c>
      <c r="K700" s="147">
        <v>0</v>
      </c>
      <c r="L700" s="148">
        <v>0</v>
      </c>
      <c r="M700" s="149">
        <v>0</v>
      </c>
      <c r="N700" s="150">
        <v>0</v>
      </c>
      <c r="O700" s="130">
        <v>0</v>
      </c>
      <c r="P700" s="130">
        <v>0</v>
      </c>
      <c r="Q700" s="130">
        <v>0</v>
      </c>
      <c r="R700" s="130">
        <v>0</v>
      </c>
      <c r="S700" s="130">
        <v>0</v>
      </c>
      <c r="T700" s="130">
        <v>0</v>
      </c>
      <c r="U700" s="130">
        <v>0</v>
      </c>
      <c r="V700" s="524">
        <v>0</v>
      </c>
      <c r="W700" s="130">
        <v>0</v>
      </c>
      <c r="X700" s="130">
        <v>0</v>
      </c>
      <c r="Y700" s="130">
        <v>0</v>
      </c>
      <c r="Z700" s="130">
        <v>0</v>
      </c>
      <c r="AA700" s="158" t="s">
        <v>2078</v>
      </c>
      <c r="AB700" s="158"/>
      <c r="AC700" s="158"/>
      <c r="AD700" s="158"/>
      <c r="AE700" s="158" t="b">
        <f>IF(AB700="",TRUE,IF(IF(AC700="",VLOOKUP(AB700,Calculs!$A$19:$S$425,19,FALSE),VLOOKUP(AC700,Calculs!$A$19:$S$425,19,FALSE))&gt;=AD700,TRUE,FALSE))</f>
        <v>1</v>
      </c>
      <c r="AF700" s="158"/>
      <c r="AG700" s="158"/>
      <c r="AH700" s="158"/>
      <c r="AI700" s="158" t="b">
        <f>IF(AF700="",TRUE,IF(IF(AG700="",VLOOKUP(AF700,Calculs!$A$19:$S$425,19,FALSE),VLOOKUP(AG700,Calculs!$A$19:$S$425,19,FALSE))&gt;=AH700,TRUE,FALSE))</f>
        <v>1</v>
      </c>
      <c r="AJ700" s="158"/>
      <c r="AK700" s="158"/>
      <c r="AL700" s="158"/>
      <c r="AM700" s="158" t="b">
        <f>IF(AJ700="",TRUE,IF(IF(AK700="",VLOOKUP(AJ700,Calculs!$A$19:$S$425,19,FALSE),VLOOKUP(AK700,Calculs!$A$19:$S$425,19,FALSE))&gt;=AL700,TRUE,FALSE))</f>
        <v>1</v>
      </c>
      <c r="AN700" s="158"/>
      <c r="AO700" s="158"/>
      <c r="AP700" s="158"/>
      <c r="AQ700" s="158" t="b">
        <f>IF(AN700="",TRUE,IF(IF(AO700="",VLOOKUP(AN700,Calculs!$A$19:$S$425,19,FALSE),VLOOKUP(AO700,Calculs!$A$19:$S$425,19,FALSE))&gt;=AP700,TRUE,FALSE))</f>
        <v>1</v>
      </c>
      <c r="AR700" s="158"/>
      <c r="AS700" s="158" t="b">
        <f>IF(AR700="",TRUE,IF(VLOOKUP(AR700,Calculs!$A$427:$G$738,7,FALSE)&gt;0,TRUE,FALSE))</f>
        <v>1</v>
      </c>
      <c r="AT700" s="158"/>
      <c r="AU700" s="158" t="b">
        <f>IF(AT700="",TRUE,IF(VLOOKUP(AT700,Calculs!$A$740:$G$912,7,FALSE)&gt;0,TRUE,FALSE))</f>
        <v>1</v>
      </c>
      <c r="AV700" s="158" t="b">
        <f t="shared" si="73"/>
        <v>1</v>
      </c>
      <c r="AW700" s="158" t="s">
        <v>2078</v>
      </c>
      <c r="AX700" s="162" t="s">
        <v>3</v>
      </c>
      <c r="AY700" s="15">
        <v>222</v>
      </c>
      <c r="AZ700" s="555" t="str">
        <f>CONCATENATE("Dépensez un Pvide: +",Honneur," à tout Jet de Compétence de Connaissance ou de Spectacle")</f>
        <v>Dépensez un Pvide: +0 à tout Jet de Compétence de Connaissance ou de Spectacle</v>
      </c>
      <c r="BA700" s="559">
        <f>IF(Verso!$B$10=Voies!$B700,1,0)</f>
        <v>0</v>
      </c>
      <c r="BB700" s="12">
        <f>IF(Verso!$B$11=Voies!$B700,1,0)</f>
        <v>0</v>
      </c>
      <c r="BC700" s="12">
        <f>IF(Verso!$B$12=Voies!$B700,1,0)</f>
        <v>0</v>
      </c>
      <c r="BD700" s="12">
        <f>IF(Verso!$B$13=Voies!$B700,1,0)</f>
        <v>0</v>
      </c>
      <c r="BE700" s="12">
        <f>IF(Verso!$B$14=Voies!$B700,1,0)</f>
        <v>0</v>
      </c>
      <c r="BF700" s="12">
        <f>IF(Verso!$B$15=Voies!$B700,1,0)</f>
        <v>0</v>
      </c>
      <c r="BG700" s="12">
        <f>IF(Verso!$B$16=Voies!$B700,1,0)</f>
        <v>0</v>
      </c>
      <c r="BH700" s="12">
        <f>IF(Verso!$B$17=Voies!$B700,1,0)</f>
        <v>0</v>
      </c>
      <c r="BI700" s="557">
        <f t="shared" si="74"/>
        <v>0</v>
      </c>
      <c r="BJ700" s="196" t="str">
        <f t="shared" si="75"/>
        <v/>
      </c>
      <c r="BK700" s="196" t="str">
        <f t="shared" si="76"/>
        <v/>
      </c>
      <c r="BL700" s="295" t="str">
        <f t="shared" si="77"/>
        <v/>
      </c>
    </row>
    <row r="701" spans="1:65" ht="47.25" customHeight="1" x14ac:dyDescent="0.25">
      <c r="A701" s="162" t="str">
        <f>IF(AND(Réputation&gt;Voies!E701-1,OR(C701=TRUE,Calculs!$I$8&gt;0),Air&gt;Voies!J701-1,Eau&gt;Voies!K701-1,Feu&gt;Voies!L701-1,Terre&gt;Voies!M701-1,Vide&gt;Voies!N701-1,Constitution&gt;Voies!O701-1,Volonté&gt;Voies!P701-1,Force&gt;Voies!Q701-1,Perception&gt;Voies!R701-1,Reflexes&gt;Voies!S701-1,Agilité&gt;Voies!T701-1,Intuition&gt;Voies!U701-1,Intelligence&gt;Voies!V701-1,Souillure&gt;Voies!W701-1,Honneur&gt;X701-1,Statut&gt;Y701-1,Gloire&gt;Z701-1,AV701=TRUE),Voies!B701,"")</f>
        <v/>
      </c>
      <c r="B701" s="162" t="s">
        <v>2177</v>
      </c>
      <c r="C701" s="162" t="b">
        <f>IF(Clan=Voies!D701,TRUE,FALSE)</f>
        <v>0</v>
      </c>
      <c r="D701" s="388" t="s">
        <v>339</v>
      </c>
      <c r="E701" s="13">
        <v>4</v>
      </c>
      <c r="F701" s="199">
        <v>4</v>
      </c>
      <c r="G701" s="13" t="s">
        <v>2049</v>
      </c>
      <c r="H701" s="162" t="s">
        <v>405</v>
      </c>
      <c r="I701" s="129" t="str">
        <f t="shared" si="79"/>
        <v>Rien</v>
      </c>
      <c r="J701" s="146">
        <v>0</v>
      </c>
      <c r="K701" s="147">
        <v>0</v>
      </c>
      <c r="L701" s="148">
        <v>0</v>
      </c>
      <c r="M701" s="149">
        <v>0</v>
      </c>
      <c r="N701" s="150">
        <v>0</v>
      </c>
      <c r="O701" s="130">
        <v>0</v>
      </c>
      <c r="P701" s="130">
        <v>0</v>
      </c>
      <c r="Q701" s="130">
        <v>0</v>
      </c>
      <c r="R701" s="130">
        <v>0</v>
      </c>
      <c r="S701" s="130">
        <v>0</v>
      </c>
      <c r="T701" s="130">
        <v>0</v>
      </c>
      <c r="U701" s="130">
        <v>0</v>
      </c>
      <c r="V701" s="524">
        <v>0</v>
      </c>
      <c r="W701" s="130">
        <v>0</v>
      </c>
      <c r="X701" s="130">
        <v>0</v>
      </c>
      <c r="Y701" s="130">
        <v>0</v>
      </c>
      <c r="Z701" s="130">
        <v>0</v>
      </c>
      <c r="AA701" s="158" t="s">
        <v>2078</v>
      </c>
      <c r="AB701" s="158"/>
      <c r="AC701" s="158"/>
      <c r="AD701" s="158"/>
      <c r="AE701" s="158" t="b">
        <f>IF(AB701="",TRUE,IF(IF(AC701="",VLOOKUP(AB701,Calculs!$A$19:$S$425,19,FALSE),VLOOKUP(AC701,Calculs!$A$19:$S$425,19,FALSE))&gt;=AD701,TRUE,FALSE))</f>
        <v>1</v>
      </c>
      <c r="AF701" s="158"/>
      <c r="AG701" s="158"/>
      <c r="AH701" s="158"/>
      <c r="AI701" s="158" t="b">
        <f>IF(AF701="",TRUE,IF(IF(AG701="",VLOOKUP(AF701,Calculs!$A$19:$S$425,19,FALSE),VLOOKUP(AG701,Calculs!$A$19:$S$425,19,FALSE))&gt;=AH701,TRUE,FALSE))</f>
        <v>1</v>
      </c>
      <c r="AJ701" s="158"/>
      <c r="AK701" s="158"/>
      <c r="AL701" s="158"/>
      <c r="AM701" s="158" t="b">
        <f>IF(AJ701="",TRUE,IF(IF(AK701="",VLOOKUP(AJ701,Calculs!$A$19:$S$425,19,FALSE),VLOOKUP(AK701,Calculs!$A$19:$S$425,19,FALSE))&gt;=AL701,TRUE,FALSE))</f>
        <v>1</v>
      </c>
      <c r="AN701" s="158"/>
      <c r="AO701" s="158"/>
      <c r="AP701" s="158"/>
      <c r="AQ701" s="158" t="b">
        <f>IF(AN701="",TRUE,IF(IF(AO701="",VLOOKUP(AN701,Calculs!$A$19:$S$425,19,FALSE),VLOOKUP(AO701,Calculs!$A$19:$S$425,19,FALSE))&gt;=AP701,TRUE,FALSE))</f>
        <v>1</v>
      </c>
      <c r="AR701" s="158"/>
      <c r="AS701" s="158" t="b">
        <f>IF(AR701="",TRUE,IF(VLOOKUP(AR701,Calculs!$A$427:$G$738,7,FALSE)&gt;0,TRUE,FALSE))</f>
        <v>1</v>
      </c>
      <c r="AT701" s="158"/>
      <c r="AU701" s="158" t="b">
        <f>IF(AT701="",TRUE,IF(VLOOKUP(AT701,Calculs!$A$740:$G$912,7,FALSE)&gt;0,TRUE,FALSE))</f>
        <v>1</v>
      </c>
      <c r="AV701" s="158" t="b">
        <f t="shared" si="73"/>
        <v>1</v>
      </c>
      <c r="AW701" s="158" t="s">
        <v>2078</v>
      </c>
      <c r="AX701" s="162" t="s">
        <v>3</v>
      </c>
      <c r="AY701" s="15">
        <v>222</v>
      </c>
      <c r="AZ701" s="555" t="s">
        <v>8660</v>
      </c>
      <c r="BA701" s="559">
        <f>IF(Verso!$B$10=Voies!$B701,1,0)</f>
        <v>0</v>
      </c>
      <c r="BB701" s="12">
        <f>IF(Verso!$B$11=Voies!$B701,1,0)</f>
        <v>0</v>
      </c>
      <c r="BC701" s="12">
        <f>IF(Verso!$B$12=Voies!$B701,1,0)</f>
        <v>0</v>
      </c>
      <c r="BD701" s="12">
        <f>IF(Verso!$B$13=Voies!$B701,1,0)</f>
        <v>0</v>
      </c>
      <c r="BE701" s="12">
        <f>IF(Verso!$B$14=Voies!$B701,1,0)</f>
        <v>0</v>
      </c>
      <c r="BF701" s="12">
        <f>IF(Verso!$B$15=Voies!$B701,1,0)</f>
        <v>0</v>
      </c>
      <c r="BG701" s="12">
        <f>IF(Verso!$B$16=Voies!$B701,1,0)</f>
        <v>0</v>
      </c>
      <c r="BH701" s="12">
        <f>IF(Verso!$B$17=Voies!$B701,1,0)</f>
        <v>0</v>
      </c>
      <c r="BI701" s="557">
        <f t="shared" si="74"/>
        <v>0</v>
      </c>
      <c r="BJ701" s="196" t="str">
        <f t="shared" si="75"/>
        <v/>
      </c>
      <c r="BK701" s="196" t="str">
        <f t="shared" si="76"/>
        <v/>
      </c>
      <c r="BL701" s="295" t="str">
        <f t="shared" si="77"/>
        <v/>
      </c>
    </row>
    <row r="702" spans="1:65" ht="47.25" customHeight="1" x14ac:dyDescent="0.25">
      <c r="A702" s="162" t="str">
        <f>IF(AND(Réputation&gt;Voies!E702-1,OR(C702=TRUE,Calculs!$I$8&gt;0),Air&gt;Voies!J702-1,Eau&gt;Voies!K702-1,Feu&gt;Voies!L702-1,Terre&gt;Voies!M702-1,Vide&gt;Voies!N702-1,Constitution&gt;Voies!O702-1,Volonté&gt;Voies!P702-1,Force&gt;Voies!Q702-1,Perception&gt;Voies!R702-1,Reflexes&gt;Voies!S702-1,Agilité&gt;Voies!T702-1,Intuition&gt;Voies!U702-1,Intelligence&gt;Voies!V702-1,Souillure&gt;Voies!W702-1,Honneur&gt;X702-1,Statut&gt;Y702-1,Gloire&gt;Z702-1,AV702=TRUE),Voies!B702,"")</f>
        <v/>
      </c>
      <c r="B702" s="162" t="s">
        <v>2178</v>
      </c>
      <c r="C702" s="162" t="b">
        <f>IF(Clan=Voies!D702,TRUE,FALSE)</f>
        <v>0</v>
      </c>
      <c r="D702" s="388" t="s">
        <v>339</v>
      </c>
      <c r="E702" s="13">
        <v>5</v>
      </c>
      <c r="F702" s="199">
        <v>5</v>
      </c>
      <c r="G702" s="13" t="s">
        <v>2049</v>
      </c>
      <c r="H702" s="162" t="s">
        <v>405</v>
      </c>
      <c r="I702" s="129" t="str">
        <f t="shared" si="79"/>
        <v>Rien</v>
      </c>
      <c r="J702" s="146">
        <v>0</v>
      </c>
      <c r="K702" s="147">
        <v>0</v>
      </c>
      <c r="L702" s="148">
        <v>0</v>
      </c>
      <c r="M702" s="149">
        <v>0</v>
      </c>
      <c r="N702" s="150">
        <v>0</v>
      </c>
      <c r="O702" s="130">
        <v>0</v>
      </c>
      <c r="P702" s="130">
        <v>0</v>
      </c>
      <c r="Q702" s="130">
        <v>0</v>
      </c>
      <c r="R702" s="130">
        <v>0</v>
      </c>
      <c r="S702" s="130">
        <v>0</v>
      </c>
      <c r="T702" s="130">
        <v>0</v>
      </c>
      <c r="U702" s="130">
        <v>0</v>
      </c>
      <c r="V702" s="524">
        <v>0</v>
      </c>
      <c r="W702" s="130">
        <v>0</v>
      </c>
      <c r="X702" s="130">
        <v>0</v>
      </c>
      <c r="Y702" s="130">
        <v>0</v>
      </c>
      <c r="Z702" s="130">
        <v>0</v>
      </c>
      <c r="AA702" s="158" t="s">
        <v>2078</v>
      </c>
      <c r="AB702" s="158"/>
      <c r="AC702" s="158"/>
      <c r="AD702" s="158"/>
      <c r="AE702" s="158" t="b">
        <f>IF(AB702="",TRUE,IF(IF(AC702="",VLOOKUP(AB702,Calculs!$A$19:$S$425,19,FALSE),VLOOKUP(AC702,Calculs!$A$19:$S$425,19,FALSE))&gt;=AD702,TRUE,FALSE))</f>
        <v>1</v>
      </c>
      <c r="AF702" s="158"/>
      <c r="AG702" s="158"/>
      <c r="AH702" s="158"/>
      <c r="AI702" s="158" t="b">
        <f>IF(AF702="",TRUE,IF(IF(AG702="",VLOOKUP(AF702,Calculs!$A$19:$S$425,19,FALSE),VLOOKUP(AG702,Calculs!$A$19:$S$425,19,FALSE))&gt;=AH702,TRUE,FALSE))</f>
        <v>1</v>
      </c>
      <c r="AJ702" s="158"/>
      <c r="AK702" s="158"/>
      <c r="AL702" s="158"/>
      <c r="AM702" s="158" t="b">
        <f>IF(AJ702="",TRUE,IF(IF(AK702="",VLOOKUP(AJ702,Calculs!$A$19:$S$425,19,FALSE),VLOOKUP(AK702,Calculs!$A$19:$S$425,19,FALSE))&gt;=AL702,TRUE,FALSE))</f>
        <v>1</v>
      </c>
      <c r="AN702" s="158"/>
      <c r="AO702" s="158"/>
      <c r="AP702" s="158"/>
      <c r="AQ702" s="158" t="b">
        <f>IF(AN702="",TRUE,IF(IF(AO702="",VLOOKUP(AN702,Calculs!$A$19:$S$425,19,FALSE),VLOOKUP(AO702,Calculs!$A$19:$S$425,19,FALSE))&gt;=AP702,TRUE,FALSE))</f>
        <v>1</v>
      </c>
      <c r="AR702" s="158"/>
      <c r="AS702" s="158" t="b">
        <f>IF(AR702="",TRUE,IF(VLOOKUP(AR702,Calculs!$A$427:$G$738,7,FALSE)&gt;0,TRUE,FALSE))</f>
        <v>1</v>
      </c>
      <c r="AT702" s="158"/>
      <c r="AU702" s="158" t="b">
        <f>IF(AT702="",TRUE,IF(VLOOKUP(AT702,Calculs!$A$740:$G$912,7,FALSE)&gt;0,TRUE,FALSE))</f>
        <v>1</v>
      </c>
      <c r="AV702" s="158" t="b">
        <f t="shared" si="73"/>
        <v>1</v>
      </c>
      <c r="AW702" s="158" t="s">
        <v>2078</v>
      </c>
      <c r="AX702" s="162" t="s">
        <v>3</v>
      </c>
      <c r="AY702" s="15">
        <v>222</v>
      </c>
      <c r="AZ702" s="555" t="s">
        <v>2179</v>
      </c>
      <c r="BA702" s="559">
        <f>IF(Verso!$B$10=Voies!$B702,1,0)</f>
        <v>0</v>
      </c>
      <c r="BB702" s="12">
        <f>IF(Verso!$B$11=Voies!$B702,1,0)</f>
        <v>0</v>
      </c>
      <c r="BC702" s="12">
        <f>IF(Verso!$B$12=Voies!$B702,1,0)</f>
        <v>0</v>
      </c>
      <c r="BD702" s="12">
        <f>IF(Verso!$B$13=Voies!$B702,1,0)</f>
        <v>0</v>
      </c>
      <c r="BE702" s="12">
        <f>IF(Verso!$B$14=Voies!$B702,1,0)</f>
        <v>0</v>
      </c>
      <c r="BF702" s="12">
        <f>IF(Verso!$B$15=Voies!$B702,1,0)</f>
        <v>0</v>
      </c>
      <c r="BG702" s="12">
        <f>IF(Verso!$B$16=Voies!$B702,1,0)</f>
        <v>0</v>
      </c>
      <c r="BH702" s="12">
        <f>IF(Verso!$B$17=Voies!$B702,1,0)</f>
        <v>0</v>
      </c>
      <c r="BI702" s="557">
        <f t="shared" si="74"/>
        <v>0</v>
      </c>
      <c r="BJ702" s="196" t="str">
        <f t="shared" si="75"/>
        <v/>
      </c>
      <c r="BK702" s="196" t="str">
        <f t="shared" si="76"/>
        <v/>
      </c>
      <c r="BL702" s="295" t="str">
        <f t="shared" si="77"/>
        <v/>
      </c>
    </row>
    <row r="703" spans="1:65" ht="47.25" customHeight="1" x14ac:dyDescent="0.25">
      <c r="A703" s="162" t="str">
        <f>IF(AND(Réputation&gt;Voies!E703-1,OR(C703=TRUE,Calculs!$I$8&gt;0),Air&gt;Voies!J703-1,Eau&gt;Voies!K703-1,Feu&gt;Voies!L703-1,Terre&gt;Voies!M703-1,Vide&gt;Voies!N703-1,Constitution&gt;Voies!O703-1,Volonté&gt;Voies!P703-1,Force&gt;Voies!Q703-1,Perception&gt;Voies!R703-1,Reflexes&gt;Voies!S703-1,Agilité&gt;Voies!T703-1,Intuition&gt;Voies!U703-1,Intelligence&gt;Voies!V703-1,Souillure&gt;Voies!W703-1,Honneur&gt;X703-1,Statut&gt;Y703-1,Gloire&gt;Z703-1,AV703=TRUE),Voies!B703,"")</f>
        <v/>
      </c>
      <c r="B703" s="162" t="s">
        <v>3024</v>
      </c>
      <c r="C703" s="162" t="b">
        <f>IF(Clan=Voies!D703,TRUE,FALSE)</f>
        <v>0</v>
      </c>
      <c r="D703" s="387" t="s">
        <v>53</v>
      </c>
      <c r="E703" s="13">
        <v>1</v>
      </c>
      <c r="F703" s="199">
        <v>1</v>
      </c>
      <c r="G703" s="13" t="s">
        <v>2049</v>
      </c>
      <c r="H703" s="162" t="s">
        <v>298</v>
      </c>
      <c r="I703" s="129" t="str">
        <f t="shared" si="79"/>
        <v>Rien</v>
      </c>
      <c r="J703" s="146">
        <v>0</v>
      </c>
      <c r="K703" s="147">
        <v>0</v>
      </c>
      <c r="L703" s="148">
        <v>0</v>
      </c>
      <c r="M703" s="149">
        <v>0</v>
      </c>
      <c r="N703" s="150">
        <v>0</v>
      </c>
      <c r="O703" s="130">
        <v>0</v>
      </c>
      <c r="P703" s="130">
        <v>0</v>
      </c>
      <c r="Q703" s="130">
        <v>0</v>
      </c>
      <c r="R703" s="130">
        <v>0</v>
      </c>
      <c r="S703" s="130">
        <v>0</v>
      </c>
      <c r="T703" s="130">
        <v>0</v>
      </c>
      <c r="U703" s="130">
        <v>0</v>
      </c>
      <c r="V703" s="524">
        <v>0</v>
      </c>
      <c r="W703" s="130">
        <v>0</v>
      </c>
      <c r="X703" s="130">
        <v>0</v>
      </c>
      <c r="Y703" s="130">
        <v>0</v>
      </c>
      <c r="Z703" s="130">
        <v>0</v>
      </c>
      <c r="AA703" s="158" t="s">
        <v>2078</v>
      </c>
      <c r="AB703" s="158"/>
      <c r="AC703" s="158"/>
      <c r="AD703" s="158"/>
      <c r="AE703" s="158" t="b">
        <f>IF(AB703="",TRUE,IF(IF(AC703="",VLOOKUP(AB703,Calculs!$A$19:$S$425,19,FALSE),VLOOKUP(AC703,Calculs!$A$19:$S$425,19,FALSE))&gt;=AD703,TRUE,FALSE))</f>
        <v>1</v>
      </c>
      <c r="AF703" s="158"/>
      <c r="AG703" s="158"/>
      <c r="AH703" s="158"/>
      <c r="AI703" s="158" t="b">
        <f>IF(AF703="",TRUE,IF(IF(AG703="",VLOOKUP(AF703,Calculs!$A$19:$S$425,19,FALSE),VLOOKUP(AG703,Calculs!$A$19:$S$425,19,FALSE))&gt;=AH703,TRUE,FALSE))</f>
        <v>1</v>
      </c>
      <c r="AJ703" s="158"/>
      <c r="AK703" s="158"/>
      <c r="AL703" s="158"/>
      <c r="AM703" s="158" t="b">
        <f>IF(AJ703="",TRUE,IF(IF(AK703="",VLOOKUP(AJ703,Calculs!$A$19:$S$425,19,FALSE),VLOOKUP(AK703,Calculs!$A$19:$S$425,19,FALSE))&gt;=AL703,TRUE,FALSE))</f>
        <v>1</v>
      </c>
      <c r="AN703" s="158"/>
      <c r="AO703" s="158"/>
      <c r="AP703" s="158"/>
      <c r="AQ703" s="158" t="b">
        <f>IF(AN703="",TRUE,IF(IF(AO703="",VLOOKUP(AN703,Calculs!$A$19:$S$425,19,FALSE),VLOOKUP(AO703,Calculs!$A$19:$S$425,19,FALSE))&gt;=AP703,TRUE,FALSE))</f>
        <v>1</v>
      </c>
      <c r="AR703" s="158"/>
      <c r="AS703" s="158" t="b">
        <f>IF(AR703="",TRUE,IF(VLOOKUP(AR703,Calculs!$A$427:$G$738,7,FALSE)&gt;0,TRUE,FALSE))</f>
        <v>1</v>
      </c>
      <c r="AT703" s="158"/>
      <c r="AU703" s="158" t="b">
        <f>IF(AT703="",TRUE,IF(VLOOKUP(AT703,Calculs!$A$740:$G$912,7,FALSE)&gt;0,TRUE,FALSE))</f>
        <v>1</v>
      </c>
      <c r="AV703" s="158" t="b">
        <f t="shared" si="73"/>
        <v>1</v>
      </c>
      <c r="AW703" s="158" t="s">
        <v>2078</v>
      </c>
      <c r="AX703" s="162" t="s">
        <v>2075</v>
      </c>
      <c r="AY703" s="15">
        <v>84</v>
      </c>
      <c r="AZ703" s="566" t="s">
        <v>3029</v>
      </c>
      <c r="BA703" s="559">
        <f>IF(Verso!$B$10=Voies!$B703,1,0)</f>
        <v>0</v>
      </c>
      <c r="BB703" s="12">
        <f>IF(Verso!$B$11=Voies!$B703,1,0)</f>
        <v>0</v>
      </c>
      <c r="BC703" s="12">
        <f>IF(Verso!$B$12=Voies!$B703,1,0)</f>
        <v>0</v>
      </c>
      <c r="BD703" s="12">
        <f>IF(Verso!$B$13=Voies!$B703,1,0)</f>
        <v>0</v>
      </c>
      <c r="BE703" s="12">
        <f>IF(Verso!$B$14=Voies!$B703,1,0)</f>
        <v>0</v>
      </c>
      <c r="BF703" s="12">
        <f>IF(Verso!$B$15=Voies!$B703,1,0)</f>
        <v>0</v>
      </c>
      <c r="BG703" s="12">
        <f>IF(Verso!$B$16=Voies!$B703,1,0)</f>
        <v>0</v>
      </c>
      <c r="BH703" s="12">
        <f>IF(Verso!$B$17=Voies!$B703,1,0)</f>
        <v>0</v>
      </c>
      <c r="BI703" s="557">
        <f t="shared" si="74"/>
        <v>0</v>
      </c>
      <c r="BJ703" s="196" t="str">
        <f t="shared" si="75"/>
        <v/>
      </c>
      <c r="BK703" s="196" t="str">
        <f t="shared" si="76"/>
        <v/>
      </c>
      <c r="BL703" s="295" t="str">
        <f t="shared" si="77"/>
        <v/>
      </c>
    </row>
    <row r="704" spans="1:65" ht="47.25" customHeight="1" x14ac:dyDescent="0.25">
      <c r="A704" s="162" t="str">
        <f>IF(AND(Réputation&gt;Voies!E704-1,OR(C704=TRUE,Calculs!$I$8&gt;0),Air&gt;Voies!J704-1,Eau&gt;Voies!K704-1,Feu&gt;Voies!L704-1,Terre&gt;Voies!M704-1,Vide&gt;Voies!N704-1,Constitution&gt;Voies!O704-1,Volonté&gt;Voies!P704-1,Force&gt;Voies!Q704-1,Perception&gt;Voies!R704-1,Reflexes&gt;Voies!S704-1,Agilité&gt;Voies!T704-1,Intuition&gt;Voies!U704-1,Intelligence&gt;Voies!V704-1,Souillure&gt;Voies!W704-1,Honneur&gt;X704-1,Statut&gt;Y704-1,Gloire&gt;Z704-1,AV704=TRUE),Voies!B704,"")</f>
        <v/>
      </c>
      <c r="B704" s="162" t="s">
        <v>3047</v>
      </c>
      <c r="C704" s="162" t="b">
        <f>IF(Clan=Voies!D704,TRUE,FALSE)</f>
        <v>0</v>
      </c>
      <c r="D704" s="387" t="s">
        <v>53</v>
      </c>
      <c r="E704" s="13">
        <v>1</v>
      </c>
      <c r="F704" s="199">
        <v>1</v>
      </c>
      <c r="G704" s="13" t="s">
        <v>2049</v>
      </c>
      <c r="H704" s="162" t="s">
        <v>299</v>
      </c>
      <c r="I704" s="129" t="str">
        <f t="shared" si="79"/>
        <v>Rien</v>
      </c>
      <c r="J704" s="146">
        <v>0</v>
      </c>
      <c r="K704" s="147">
        <v>0</v>
      </c>
      <c r="L704" s="148">
        <v>0</v>
      </c>
      <c r="M704" s="149">
        <v>0</v>
      </c>
      <c r="N704" s="150">
        <v>0</v>
      </c>
      <c r="O704" s="130">
        <v>0</v>
      </c>
      <c r="P704" s="130">
        <v>0</v>
      </c>
      <c r="Q704" s="130">
        <v>0</v>
      </c>
      <c r="R704" s="130">
        <v>0</v>
      </c>
      <c r="S704" s="130">
        <v>0</v>
      </c>
      <c r="T704" s="130">
        <v>0</v>
      </c>
      <c r="U704" s="130">
        <v>0</v>
      </c>
      <c r="V704" s="524">
        <v>0</v>
      </c>
      <c r="W704" s="130">
        <v>0</v>
      </c>
      <c r="X704" s="130">
        <v>0</v>
      </c>
      <c r="Y704" s="130">
        <v>0</v>
      </c>
      <c r="Z704" s="130">
        <v>0</v>
      </c>
      <c r="AA704" s="158" t="s">
        <v>2078</v>
      </c>
      <c r="AB704" s="158"/>
      <c r="AC704" s="158"/>
      <c r="AD704" s="158"/>
      <c r="AE704" s="158" t="b">
        <f>IF(AB704="",TRUE,IF(IF(AC704="",VLOOKUP(AB704,Calculs!$A$19:$S$425,19,FALSE),VLOOKUP(AC704,Calculs!$A$19:$S$425,19,FALSE))&gt;=AD704,TRUE,FALSE))</f>
        <v>1</v>
      </c>
      <c r="AF704" s="158"/>
      <c r="AG704" s="158"/>
      <c r="AH704" s="158"/>
      <c r="AI704" s="158" t="b">
        <f>IF(AF704="",TRUE,IF(IF(AG704="",VLOOKUP(AF704,Calculs!$A$19:$S$425,19,FALSE),VLOOKUP(AG704,Calculs!$A$19:$S$425,19,FALSE))&gt;=AH704,TRUE,FALSE))</f>
        <v>1</v>
      </c>
      <c r="AJ704" s="158"/>
      <c r="AK704" s="158"/>
      <c r="AL704" s="158"/>
      <c r="AM704" s="158" t="b">
        <f>IF(AJ704="",TRUE,IF(IF(AK704="",VLOOKUP(AJ704,Calculs!$A$19:$S$425,19,FALSE),VLOOKUP(AK704,Calculs!$A$19:$S$425,19,FALSE))&gt;=AL704,TRUE,FALSE))</f>
        <v>1</v>
      </c>
      <c r="AN704" s="158"/>
      <c r="AO704" s="158"/>
      <c r="AP704" s="158"/>
      <c r="AQ704" s="158" t="b">
        <f>IF(AN704="",TRUE,IF(IF(AO704="",VLOOKUP(AN704,Calculs!$A$19:$S$425,19,FALSE),VLOOKUP(AO704,Calculs!$A$19:$S$425,19,FALSE))&gt;=AP704,TRUE,FALSE))</f>
        <v>1</v>
      </c>
      <c r="AR704" s="158"/>
      <c r="AS704" s="158" t="b">
        <f>IF(AR704="",TRUE,IF(VLOOKUP(AR704,Calculs!$A$427:$G$738,7,FALSE)&gt;0,TRUE,FALSE))</f>
        <v>1</v>
      </c>
      <c r="AT704" s="158"/>
      <c r="AU704" s="158" t="b">
        <f>IF(AT704="",TRUE,IF(VLOOKUP(AT704,Calculs!$A$740:$G$912,7,FALSE)&gt;0,TRUE,FALSE))</f>
        <v>1</v>
      </c>
      <c r="AV704" s="158" t="b">
        <f t="shared" si="73"/>
        <v>1</v>
      </c>
      <c r="AW704" s="158" t="s">
        <v>2078</v>
      </c>
      <c r="AX704" s="162" t="s">
        <v>2075</v>
      </c>
      <c r="AY704" s="15">
        <v>85</v>
      </c>
      <c r="AZ704" s="555" t="str">
        <f>CONCATENATE("Une fois par tour +",Vide," au total de n'importe lequel de vos jets (sauf Dommages). Ce bonus passe à + ",Vide*2," s'il est utilisé contre l'Outremonde, le Néant ou les Ashalan")</f>
        <v>Une fois par tour +2 au total de n'importe lequel de vos jets (sauf Dommages). Ce bonus passe à + 4 s'il est utilisé contre l'Outremonde, le Néant ou les Ashalan</v>
      </c>
      <c r="BA704" s="559">
        <f>IF(Verso!$B$10=Voies!$B704,1,0)</f>
        <v>0</v>
      </c>
      <c r="BB704" s="12">
        <f>IF(Verso!$B$11=Voies!$B704,1,0)</f>
        <v>0</v>
      </c>
      <c r="BC704" s="12">
        <f>IF(Verso!$B$12=Voies!$B704,1,0)</f>
        <v>0</v>
      </c>
      <c r="BD704" s="12">
        <f>IF(Verso!$B$13=Voies!$B704,1,0)</f>
        <v>0</v>
      </c>
      <c r="BE704" s="12">
        <f>IF(Verso!$B$14=Voies!$B704,1,0)</f>
        <v>0</v>
      </c>
      <c r="BF704" s="12">
        <f>IF(Verso!$B$15=Voies!$B704,1,0)</f>
        <v>0</v>
      </c>
      <c r="BG704" s="12">
        <f>IF(Verso!$B$16=Voies!$B704,1,0)</f>
        <v>0</v>
      </c>
      <c r="BH704" s="12">
        <f>IF(Verso!$B$17=Voies!$B704,1,0)</f>
        <v>0</v>
      </c>
      <c r="BI704" s="557">
        <f t="shared" si="74"/>
        <v>0</v>
      </c>
      <c r="BJ704" s="196" t="str">
        <f t="shared" si="75"/>
        <v/>
      </c>
      <c r="BK704" s="196" t="str">
        <f t="shared" si="76"/>
        <v/>
      </c>
      <c r="BL704" s="295" t="str">
        <f t="shared" si="77"/>
        <v/>
      </c>
    </row>
    <row r="705" spans="1:64" ht="47.25" customHeight="1" x14ac:dyDescent="0.25">
      <c r="A705" s="162" t="str">
        <f>IF(AND(Réputation&gt;Voies!E705-1,OR(C705=TRUE,Calculs!$I$8&gt;0),Air&gt;Voies!J705-1,Eau&gt;Voies!K705-1,Feu&gt;Voies!L705-1,Terre&gt;Voies!M705-1,Vide&gt;Voies!N705-1,Constitution&gt;Voies!O705-1,Volonté&gt;Voies!P705-1,Force&gt;Voies!Q705-1,Perception&gt;Voies!R705-1,Reflexes&gt;Voies!S705-1,Agilité&gt;Voies!T705-1,Intuition&gt;Voies!U705-1,Intelligence&gt;Voies!V705-1,Souillure&gt;Voies!W705-1,Honneur&gt;X705-1,Statut&gt;Y705-1,Gloire&gt;Z705-1,AV705=TRUE),Voies!B705,"")</f>
        <v/>
      </c>
      <c r="B705" s="162" t="s">
        <v>3033</v>
      </c>
      <c r="C705" s="162" t="b">
        <f>IF(Clan=Voies!D705,TRUE,FALSE)</f>
        <v>0</v>
      </c>
      <c r="D705" s="387" t="s">
        <v>53</v>
      </c>
      <c r="E705" s="13">
        <v>1</v>
      </c>
      <c r="F705" s="199">
        <v>1</v>
      </c>
      <c r="G705" s="13" t="s">
        <v>2052</v>
      </c>
      <c r="H705" s="162" t="s">
        <v>581</v>
      </c>
      <c r="I705" s="129" t="str">
        <f t="shared" si="79"/>
        <v>Rien</v>
      </c>
      <c r="J705" s="146">
        <v>0</v>
      </c>
      <c r="K705" s="147">
        <v>0</v>
      </c>
      <c r="L705" s="148">
        <v>0</v>
      </c>
      <c r="M705" s="149">
        <v>0</v>
      </c>
      <c r="N705" s="150">
        <v>0</v>
      </c>
      <c r="O705" s="130">
        <v>0</v>
      </c>
      <c r="P705" s="130">
        <v>0</v>
      </c>
      <c r="Q705" s="130">
        <v>0</v>
      </c>
      <c r="R705" s="130">
        <v>0</v>
      </c>
      <c r="S705" s="130">
        <v>0</v>
      </c>
      <c r="T705" s="130">
        <v>0</v>
      </c>
      <c r="U705" s="130">
        <v>0</v>
      </c>
      <c r="V705" s="524">
        <v>0</v>
      </c>
      <c r="W705" s="130">
        <v>0</v>
      </c>
      <c r="X705" s="130">
        <v>0</v>
      </c>
      <c r="Y705" s="130">
        <v>0</v>
      </c>
      <c r="Z705" s="130">
        <v>0</v>
      </c>
      <c r="AA705" s="158" t="s">
        <v>2078</v>
      </c>
      <c r="AB705" s="158"/>
      <c r="AC705" s="158"/>
      <c r="AD705" s="158"/>
      <c r="AE705" s="158" t="b">
        <f>IF(AB705="",TRUE,IF(IF(AC705="",VLOOKUP(AB705,Calculs!$A$19:$S$425,19,FALSE),VLOOKUP(AC705,Calculs!$A$19:$S$425,19,FALSE))&gt;=AD705,TRUE,FALSE))</f>
        <v>1</v>
      </c>
      <c r="AF705" s="158"/>
      <c r="AG705" s="158"/>
      <c r="AH705" s="158"/>
      <c r="AI705" s="158" t="b">
        <f>IF(AF705="",TRUE,IF(IF(AG705="",VLOOKUP(AF705,Calculs!$A$19:$S$425,19,FALSE),VLOOKUP(AG705,Calculs!$A$19:$S$425,19,FALSE))&gt;=AH705,TRUE,FALSE))</f>
        <v>1</v>
      </c>
      <c r="AJ705" s="158"/>
      <c r="AK705" s="158"/>
      <c r="AL705" s="158"/>
      <c r="AM705" s="158" t="b">
        <f>IF(AJ705="",TRUE,IF(IF(AK705="",VLOOKUP(AJ705,Calculs!$A$19:$S$425,19,FALSE),VLOOKUP(AK705,Calculs!$A$19:$S$425,19,FALSE))&gt;=AL705,TRUE,FALSE))</f>
        <v>1</v>
      </c>
      <c r="AN705" s="158"/>
      <c r="AO705" s="158"/>
      <c r="AP705" s="158"/>
      <c r="AQ705" s="158" t="b">
        <f>IF(AN705="",TRUE,IF(IF(AO705="",VLOOKUP(AN705,Calculs!$A$19:$S$425,19,FALSE),VLOOKUP(AO705,Calculs!$A$19:$S$425,19,FALSE))&gt;=AP705,TRUE,FALSE))</f>
        <v>1</v>
      </c>
      <c r="AR705" s="158"/>
      <c r="AS705" s="158" t="b">
        <f>IF(AR705="",TRUE,IF(VLOOKUP(AR705,Calculs!$A$427:$G$738,7,FALSE)&gt;0,TRUE,FALSE))</f>
        <v>1</v>
      </c>
      <c r="AT705" s="158"/>
      <c r="AU705" s="158" t="b">
        <f>IF(AT705="",TRUE,IF(VLOOKUP(AT705,Calculs!$A$740:$G$912,7,FALSE)&gt;0,TRUE,FALSE))</f>
        <v>1</v>
      </c>
      <c r="AV705" s="158" t="b">
        <f t="shared" si="73"/>
        <v>1</v>
      </c>
      <c r="AW705" s="158" t="s">
        <v>2078</v>
      </c>
      <c r="AX705" s="162" t="s">
        <v>2075</v>
      </c>
      <c r="AY705" s="15">
        <v>84</v>
      </c>
      <c r="AZ705" s="555" t="s">
        <v>3041</v>
      </c>
      <c r="BA705" s="559">
        <f>IF(Verso!$B$10=Voies!$B705,1,0)</f>
        <v>0</v>
      </c>
      <c r="BB705" s="12">
        <f>IF(Verso!$B$11=Voies!$B705,1,0)</f>
        <v>0</v>
      </c>
      <c r="BC705" s="12">
        <f>IF(Verso!$B$12=Voies!$B705,1,0)</f>
        <v>0</v>
      </c>
      <c r="BD705" s="12">
        <f>IF(Verso!$B$13=Voies!$B705,1,0)</f>
        <v>0</v>
      </c>
      <c r="BE705" s="12">
        <f>IF(Verso!$B$14=Voies!$B705,1,0)</f>
        <v>0</v>
      </c>
      <c r="BF705" s="12">
        <f>IF(Verso!$B$15=Voies!$B705,1,0)</f>
        <v>0</v>
      </c>
      <c r="BG705" s="12">
        <f>IF(Verso!$B$16=Voies!$B705,1,0)</f>
        <v>0</v>
      </c>
      <c r="BH705" s="12">
        <f>IF(Verso!$B$17=Voies!$B705,1,0)</f>
        <v>0</v>
      </c>
      <c r="BI705" s="557">
        <f t="shared" si="74"/>
        <v>0</v>
      </c>
      <c r="BJ705" s="196" t="str">
        <f t="shared" si="75"/>
        <v/>
      </c>
      <c r="BK705" s="196" t="str">
        <f t="shared" si="76"/>
        <v/>
      </c>
      <c r="BL705" s="295" t="str">
        <f t="shared" si="77"/>
        <v/>
      </c>
    </row>
    <row r="706" spans="1:64" ht="47.25" customHeight="1" x14ac:dyDescent="0.25">
      <c r="A706" s="162" t="str">
        <f>IF(AND(Réputation&gt;Voies!E706-1,OR(C706=TRUE,Calculs!$I$8&gt;0),Air&gt;Voies!J706-1,Eau&gt;Voies!K706-1,Feu&gt;Voies!L706-1,Terre&gt;Voies!M706-1,Vide&gt;Voies!N706-1,Constitution&gt;Voies!O706-1,Volonté&gt;Voies!P706-1,Force&gt;Voies!Q706-1,Perception&gt;Voies!R706-1,Reflexes&gt;Voies!S706-1,Agilité&gt;Voies!T706-1,Intuition&gt;Voies!U706-1,Intelligence&gt;Voies!V706-1,Souillure&gt;Voies!W706-1,Honneur&gt;X706-1,Statut&gt;Y706-1,Gloire&gt;Z706-1,AV706=TRUE),Voies!B706,"")</f>
        <v/>
      </c>
      <c r="B706" s="162" t="s">
        <v>3016</v>
      </c>
      <c r="C706" s="162" t="b">
        <f>IF(Clan=Voies!D706,TRUE,FALSE)</f>
        <v>0</v>
      </c>
      <c r="D706" s="387" t="s">
        <v>53</v>
      </c>
      <c r="E706" s="13">
        <v>1</v>
      </c>
      <c r="F706" s="199">
        <v>1</v>
      </c>
      <c r="G706" s="13" t="s">
        <v>2048</v>
      </c>
      <c r="H706" s="162" t="s">
        <v>297</v>
      </c>
      <c r="I706" s="129" t="str">
        <f t="shared" si="79"/>
        <v>Rien</v>
      </c>
      <c r="J706" s="146">
        <v>0</v>
      </c>
      <c r="K706" s="147">
        <v>0</v>
      </c>
      <c r="L706" s="148">
        <v>0</v>
      </c>
      <c r="M706" s="149">
        <v>0</v>
      </c>
      <c r="N706" s="150">
        <v>0</v>
      </c>
      <c r="O706" s="130">
        <v>0</v>
      </c>
      <c r="P706" s="130">
        <v>0</v>
      </c>
      <c r="Q706" s="130">
        <v>0</v>
      </c>
      <c r="R706" s="130">
        <v>0</v>
      </c>
      <c r="S706" s="130">
        <v>0</v>
      </c>
      <c r="T706" s="130">
        <v>0</v>
      </c>
      <c r="U706" s="130">
        <v>0</v>
      </c>
      <c r="V706" s="524">
        <v>0</v>
      </c>
      <c r="W706" s="130">
        <v>0</v>
      </c>
      <c r="X706" s="130">
        <v>0</v>
      </c>
      <c r="Y706" s="130">
        <v>0</v>
      </c>
      <c r="Z706" s="130">
        <v>0</v>
      </c>
      <c r="AA706" s="158" t="s">
        <v>2078</v>
      </c>
      <c r="AB706" s="158"/>
      <c r="AC706" s="158"/>
      <c r="AD706" s="158"/>
      <c r="AE706" s="158" t="b">
        <f>IF(AB706="",TRUE,IF(IF(AC706="",VLOOKUP(AB706,Calculs!$A$19:$S$425,19,FALSE),VLOOKUP(AC706,Calculs!$A$19:$S$425,19,FALSE))&gt;=AD706,TRUE,FALSE))</f>
        <v>1</v>
      </c>
      <c r="AF706" s="158"/>
      <c r="AG706" s="158"/>
      <c r="AH706" s="158"/>
      <c r="AI706" s="158" t="b">
        <f>IF(AF706="",TRUE,IF(IF(AG706="",VLOOKUP(AF706,Calculs!$A$19:$S$425,19,FALSE),VLOOKUP(AG706,Calculs!$A$19:$S$425,19,FALSE))&gt;=AH706,TRUE,FALSE))</f>
        <v>1</v>
      </c>
      <c r="AJ706" s="158"/>
      <c r="AK706" s="158"/>
      <c r="AL706" s="158"/>
      <c r="AM706" s="158" t="b">
        <f>IF(AJ706="",TRUE,IF(IF(AK706="",VLOOKUP(AJ706,Calculs!$A$19:$S$425,19,FALSE),VLOOKUP(AK706,Calculs!$A$19:$S$425,19,FALSE))&gt;=AL706,TRUE,FALSE))</f>
        <v>1</v>
      </c>
      <c r="AN706" s="158"/>
      <c r="AO706" s="158"/>
      <c r="AP706" s="158"/>
      <c r="AQ706" s="158" t="b">
        <f>IF(AN706="",TRUE,IF(IF(AO706="",VLOOKUP(AN706,Calculs!$A$19:$S$425,19,FALSE),VLOOKUP(AO706,Calculs!$A$19:$S$425,19,FALSE))&gt;=AP706,TRUE,FALSE))</f>
        <v>1</v>
      </c>
      <c r="AR706" s="158"/>
      <c r="AS706" s="158" t="b">
        <f>IF(AR706="",TRUE,IF(VLOOKUP(AR706,Calculs!$A$427:$G$738,7,FALSE)&gt;0,TRUE,FALSE))</f>
        <v>1</v>
      </c>
      <c r="AT706" s="158"/>
      <c r="AU706" s="158" t="b">
        <f>IF(AT706="",TRUE,IF(VLOOKUP(AT706,Calculs!$A$740:$G$912,7,FALSE)&gt;0,TRUE,FALSE))</f>
        <v>1</v>
      </c>
      <c r="AV706" s="158" t="b">
        <f t="shared" si="73"/>
        <v>1</v>
      </c>
      <c r="AW706" s="158" t="s">
        <v>2078</v>
      </c>
      <c r="AX706" s="162" t="s">
        <v>2075</v>
      </c>
      <c r="AY706" s="15">
        <v>83</v>
      </c>
      <c r="AZ706" s="555" t="s">
        <v>3017</v>
      </c>
      <c r="BA706" s="559">
        <f>IF(Verso!$B$10=Voies!$B706,1,0)</f>
        <v>0</v>
      </c>
      <c r="BB706" s="12">
        <f>IF(Verso!$B$11=Voies!$B706,1,0)</f>
        <v>0</v>
      </c>
      <c r="BC706" s="12">
        <f>IF(Verso!$B$12=Voies!$B706,1,0)</f>
        <v>0</v>
      </c>
      <c r="BD706" s="12">
        <f>IF(Verso!$B$13=Voies!$B706,1,0)</f>
        <v>0</v>
      </c>
      <c r="BE706" s="12">
        <f>IF(Verso!$B$14=Voies!$B706,1,0)</f>
        <v>0</v>
      </c>
      <c r="BF706" s="12">
        <f>IF(Verso!$B$15=Voies!$B706,1,0)</f>
        <v>0</v>
      </c>
      <c r="BG706" s="12">
        <f>IF(Verso!$B$16=Voies!$B706,1,0)</f>
        <v>0</v>
      </c>
      <c r="BH706" s="12">
        <f>IF(Verso!$B$17=Voies!$B706,1,0)</f>
        <v>0</v>
      </c>
      <c r="BI706" s="557">
        <f t="shared" si="74"/>
        <v>0</v>
      </c>
      <c r="BJ706" s="196" t="str">
        <f t="shared" si="75"/>
        <v/>
      </c>
      <c r="BK706" s="196" t="str">
        <f t="shared" si="76"/>
        <v/>
      </c>
      <c r="BL706" s="295" t="str">
        <f t="shared" si="77"/>
        <v/>
      </c>
    </row>
    <row r="707" spans="1:64" ht="47.25" customHeight="1" x14ac:dyDescent="0.25">
      <c r="A707" s="162" t="str">
        <f>IF(AND(Réputation&gt;Voies!E707-1,OR(C707=TRUE,Calculs!$I$8&gt;0),Air&gt;Voies!J707-1,Eau&gt;Voies!K707-1,Feu&gt;Voies!L707-1,Terre&gt;Voies!M707-1,Vide&gt;Voies!N707-1,Constitution&gt;Voies!O707-1,Volonté&gt;Voies!P707-1,Force&gt;Voies!Q707-1,Perception&gt;Voies!R707-1,Reflexes&gt;Voies!S707-1,Agilité&gt;Voies!T707-1,Intuition&gt;Voies!U707-1,Intelligence&gt;Voies!V707-1,Souillure&gt;Voies!W707-1,Honneur&gt;X707-1,Statut&gt;Y707-1,Gloire&gt;Z707-1,AV707=TRUE),Voies!B707,"")</f>
        <v/>
      </c>
      <c r="B707" s="162" t="s">
        <v>3025</v>
      </c>
      <c r="C707" s="162" t="b">
        <f>IF(Clan=Voies!D707,TRUE,FALSE)</f>
        <v>0</v>
      </c>
      <c r="D707" s="387" t="s">
        <v>53</v>
      </c>
      <c r="E707" s="13">
        <v>2</v>
      </c>
      <c r="F707" s="199">
        <v>2</v>
      </c>
      <c r="G707" s="13" t="s">
        <v>2049</v>
      </c>
      <c r="H707" s="162" t="s">
        <v>298</v>
      </c>
      <c r="I707" s="129" t="str">
        <f t="shared" si="79"/>
        <v>Rien</v>
      </c>
      <c r="J707" s="146">
        <v>0</v>
      </c>
      <c r="K707" s="147">
        <v>0</v>
      </c>
      <c r="L707" s="148">
        <v>0</v>
      </c>
      <c r="M707" s="149">
        <v>0</v>
      </c>
      <c r="N707" s="150">
        <v>0</v>
      </c>
      <c r="O707" s="130">
        <v>0</v>
      </c>
      <c r="P707" s="130">
        <v>0</v>
      </c>
      <c r="Q707" s="130">
        <v>0</v>
      </c>
      <c r="R707" s="130">
        <v>0</v>
      </c>
      <c r="S707" s="130">
        <v>0</v>
      </c>
      <c r="T707" s="130">
        <v>0</v>
      </c>
      <c r="U707" s="130">
        <v>0</v>
      </c>
      <c r="V707" s="524">
        <v>0</v>
      </c>
      <c r="W707" s="130">
        <v>0</v>
      </c>
      <c r="X707" s="130">
        <v>0</v>
      </c>
      <c r="Y707" s="130">
        <v>0</v>
      </c>
      <c r="Z707" s="130">
        <v>0</v>
      </c>
      <c r="AA707" s="158" t="s">
        <v>2078</v>
      </c>
      <c r="AB707" s="158"/>
      <c r="AC707" s="158"/>
      <c r="AD707" s="158"/>
      <c r="AE707" s="158" t="b">
        <f>IF(AB707="",TRUE,IF(IF(AC707="",VLOOKUP(AB707,Calculs!$A$19:$S$425,19,FALSE),VLOOKUP(AC707,Calculs!$A$19:$S$425,19,FALSE))&gt;=AD707,TRUE,FALSE))</f>
        <v>1</v>
      </c>
      <c r="AF707" s="158"/>
      <c r="AG707" s="158"/>
      <c r="AH707" s="158"/>
      <c r="AI707" s="158" t="b">
        <f>IF(AF707="",TRUE,IF(IF(AG707="",VLOOKUP(AF707,Calculs!$A$19:$S$425,19,FALSE),VLOOKUP(AG707,Calculs!$A$19:$S$425,19,FALSE))&gt;=AH707,TRUE,FALSE))</f>
        <v>1</v>
      </c>
      <c r="AJ707" s="158"/>
      <c r="AK707" s="158"/>
      <c r="AL707" s="158"/>
      <c r="AM707" s="158" t="b">
        <f>IF(AJ707="",TRUE,IF(IF(AK707="",VLOOKUP(AJ707,Calculs!$A$19:$S$425,19,FALSE),VLOOKUP(AK707,Calculs!$A$19:$S$425,19,FALSE))&gt;=AL707,TRUE,FALSE))</f>
        <v>1</v>
      </c>
      <c r="AN707" s="158"/>
      <c r="AO707" s="158"/>
      <c r="AP707" s="158"/>
      <c r="AQ707" s="158" t="b">
        <f>IF(AN707="",TRUE,IF(IF(AO707="",VLOOKUP(AN707,Calculs!$A$19:$S$425,19,FALSE),VLOOKUP(AO707,Calculs!$A$19:$S$425,19,FALSE))&gt;=AP707,TRUE,FALSE))</f>
        <v>1</v>
      </c>
      <c r="AR707" s="158"/>
      <c r="AS707" s="158" t="b">
        <f>IF(AR707="",TRUE,IF(VLOOKUP(AR707,Calculs!$A$427:$G$738,7,FALSE)&gt;0,TRUE,FALSE))</f>
        <v>1</v>
      </c>
      <c r="AT707" s="158"/>
      <c r="AU707" s="158" t="b">
        <f>IF(AT707="",TRUE,IF(VLOOKUP(AT707,Calculs!$A$740:$G$912,7,FALSE)&gt;0,TRUE,FALSE))</f>
        <v>1</v>
      </c>
      <c r="AV707" s="158" t="b">
        <f t="shared" ref="AV707:AV770" si="80">IF(AND(AE707=TRUE,AI707=TRUE,AM707=TRUE,AQ707=TRUE,AS707=TRUE,AU707=TRUE),TRUE,FALSE)</f>
        <v>1</v>
      </c>
      <c r="AW707" s="158" t="s">
        <v>2078</v>
      </c>
      <c r="AX707" s="162" t="s">
        <v>2075</v>
      </c>
      <c r="AY707" s="15">
        <v>84</v>
      </c>
      <c r="AZ707" s="555" t="s">
        <v>3031</v>
      </c>
      <c r="BA707" s="559">
        <f>IF(Verso!$B$10=Voies!$B707,1,0)</f>
        <v>0</v>
      </c>
      <c r="BB707" s="12">
        <f>IF(Verso!$B$11=Voies!$B707,1,0)</f>
        <v>0</v>
      </c>
      <c r="BC707" s="12">
        <f>IF(Verso!$B$12=Voies!$B707,1,0)</f>
        <v>0</v>
      </c>
      <c r="BD707" s="12">
        <f>IF(Verso!$B$13=Voies!$B707,1,0)</f>
        <v>0</v>
      </c>
      <c r="BE707" s="12">
        <f>IF(Verso!$B$14=Voies!$B707,1,0)</f>
        <v>0</v>
      </c>
      <c r="BF707" s="12">
        <f>IF(Verso!$B$15=Voies!$B707,1,0)</f>
        <v>0</v>
      </c>
      <c r="BG707" s="12">
        <f>IF(Verso!$B$16=Voies!$B707,1,0)</f>
        <v>0</v>
      </c>
      <c r="BH707" s="12">
        <f>IF(Verso!$B$17=Voies!$B707,1,0)</f>
        <v>0</v>
      </c>
      <c r="BI707" s="557">
        <f t="shared" ref="BI707:BI770" si="81">SUM(BA707:BH707)</f>
        <v>0</v>
      </c>
      <c r="BJ707" s="196" t="str">
        <f t="shared" si="75"/>
        <v/>
      </c>
      <c r="BK707" s="196" t="str">
        <f t="shared" si="76"/>
        <v/>
      </c>
      <c r="BL707" s="295" t="str">
        <f t="shared" si="77"/>
        <v/>
      </c>
    </row>
    <row r="708" spans="1:64" ht="47.25" customHeight="1" x14ac:dyDescent="0.25">
      <c r="A708" s="162" t="str">
        <f>IF(AND(Réputation&gt;Voies!E708-1,OR(C708=TRUE,Calculs!$I$8&gt;0),Air&gt;Voies!J708-1,Eau&gt;Voies!K708-1,Feu&gt;Voies!L708-1,Terre&gt;Voies!M708-1,Vide&gt;Voies!N708-1,Constitution&gt;Voies!O708-1,Volonté&gt;Voies!P708-1,Force&gt;Voies!Q708-1,Perception&gt;Voies!R708-1,Reflexes&gt;Voies!S708-1,Agilité&gt;Voies!T708-1,Intuition&gt;Voies!U708-1,Intelligence&gt;Voies!V708-1,Souillure&gt;Voies!W708-1,Honneur&gt;X708-1,Statut&gt;Y708-1,Gloire&gt;Z708-1,AV708=TRUE),Voies!B708,"")</f>
        <v/>
      </c>
      <c r="B708" s="162" t="s">
        <v>3048</v>
      </c>
      <c r="C708" s="162" t="b">
        <f>IF(Clan=Voies!D708,TRUE,FALSE)</f>
        <v>0</v>
      </c>
      <c r="D708" s="387" t="s">
        <v>53</v>
      </c>
      <c r="E708" s="13">
        <v>2</v>
      </c>
      <c r="F708" s="199">
        <v>2</v>
      </c>
      <c r="G708" s="13" t="s">
        <v>2049</v>
      </c>
      <c r="H708" s="162" t="s">
        <v>299</v>
      </c>
      <c r="I708" s="129" t="str">
        <f t="shared" si="79"/>
        <v>Rien</v>
      </c>
      <c r="J708" s="146">
        <v>0</v>
      </c>
      <c r="K708" s="147">
        <v>0</v>
      </c>
      <c r="L708" s="148">
        <v>0</v>
      </c>
      <c r="M708" s="149">
        <v>0</v>
      </c>
      <c r="N708" s="150">
        <v>0</v>
      </c>
      <c r="O708" s="130">
        <v>0</v>
      </c>
      <c r="P708" s="130">
        <v>0</v>
      </c>
      <c r="Q708" s="130">
        <v>0</v>
      </c>
      <c r="R708" s="130">
        <v>0</v>
      </c>
      <c r="S708" s="130">
        <v>0</v>
      </c>
      <c r="T708" s="130">
        <v>0</v>
      </c>
      <c r="U708" s="130">
        <v>0</v>
      </c>
      <c r="V708" s="524">
        <v>0</v>
      </c>
      <c r="W708" s="130">
        <v>0</v>
      </c>
      <c r="X708" s="130">
        <v>0</v>
      </c>
      <c r="Y708" s="130">
        <v>0</v>
      </c>
      <c r="Z708" s="130">
        <v>0</v>
      </c>
      <c r="AA708" s="158" t="s">
        <v>2078</v>
      </c>
      <c r="AB708" s="158"/>
      <c r="AC708" s="158"/>
      <c r="AD708" s="158"/>
      <c r="AE708" s="158" t="b">
        <f>IF(AB708="",TRUE,IF(IF(AC708="",VLOOKUP(AB708,Calculs!$A$19:$S$425,19,FALSE),VLOOKUP(AC708,Calculs!$A$19:$S$425,19,FALSE))&gt;=AD708,TRUE,FALSE))</f>
        <v>1</v>
      </c>
      <c r="AF708" s="158"/>
      <c r="AG708" s="158"/>
      <c r="AH708" s="158"/>
      <c r="AI708" s="158" t="b">
        <f>IF(AF708="",TRUE,IF(IF(AG708="",VLOOKUP(AF708,Calculs!$A$19:$S$425,19,FALSE),VLOOKUP(AG708,Calculs!$A$19:$S$425,19,FALSE))&gt;=AH708,TRUE,FALSE))</f>
        <v>1</v>
      </c>
      <c r="AJ708" s="158"/>
      <c r="AK708" s="158"/>
      <c r="AL708" s="158"/>
      <c r="AM708" s="158" t="b">
        <f>IF(AJ708="",TRUE,IF(IF(AK708="",VLOOKUP(AJ708,Calculs!$A$19:$S$425,19,FALSE),VLOOKUP(AK708,Calculs!$A$19:$S$425,19,FALSE))&gt;=AL708,TRUE,FALSE))</f>
        <v>1</v>
      </c>
      <c r="AN708" s="158"/>
      <c r="AO708" s="158"/>
      <c r="AP708" s="158"/>
      <c r="AQ708" s="158" t="b">
        <f>IF(AN708="",TRUE,IF(IF(AO708="",VLOOKUP(AN708,Calculs!$A$19:$S$425,19,FALSE),VLOOKUP(AO708,Calculs!$A$19:$S$425,19,FALSE))&gt;=AP708,TRUE,FALSE))</f>
        <v>1</v>
      </c>
      <c r="AR708" s="158"/>
      <c r="AS708" s="158" t="b">
        <f>IF(AR708="",TRUE,IF(VLOOKUP(AR708,Calculs!$A$427:$G$738,7,FALSE)&gt;0,TRUE,FALSE))</f>
        <v>1</v>
      </c>
      <c r="AT708" s="158"/>
      <c r="AU708" s="158" t="b">
        <f>IF(AT708="",TRUE,IF(VLOOKUP(AT708,Calculs!$A$740:$G$912,7,FALSE)&gt;0,TRUE,FALSE))</f>
        <v>1</v>
      </c>
      <c r="AV708" s="158" t="b">
        <f t="shared" si="80"/>
        <v>1</v>
      </c>
      <c r="AW708" s="158" t="s">
        <v>2078</v>
      </c>
      <c r="AX708" s="162" t="s">
        <v>2075</v>
      </c>
      <c r="AY708" s="15">
        <v>85</v>
      </c>
      <c r="AZ708" s="555" t="s">
        <v>8661</v>
      </c>
      <c r="BA708" s="559">
        <f>IF(Verso!$B$10=Voies!$B708,1,0)</f>
        <v>0</v>
      </c>
      <c r="BB708" s="12">
        <f>IF(Verso!$B$11=Voies!$B708,1,0)</f>
        <v>0</v>
      </c>
      <c r="BC708" s="12">
        <f>IF(Verso!$B$12=Voies!$B708,1,0)</f>
        <v>0</v>
      </c>
      <c r="BD708" s="12">
        <f>IF(Verso!$B$13=Voies!$B708,1,0)</f>
        <v>0</v>
      </c>
      <c r="BE708" s="12">
        <f>IF(Verso!$B$14=Voies!$B708,1,0)</f>
        <v>0</v>
      </c>
      <c r="BF708" s="12">
        <f>IF(Verso!$B$15=Voies!$B708,1,0)</f>
        <v>0</v>
      </c>
      <c r="BG708" s="12">
        <f>IF(Verso!$B$16=Voies!$B708,1,0)</f>
        <v>0</v>
      </c>
      <c r="BH708" s="12">
        <f>IF(Verso!$B$17=Voies!$B708,1,0)</f>
        <v>0</v>
      </c>
      <c r="BI708" s="557">
        <f t="shared" si="81"/>
        <v>0</v>
      </c>
      <c r="BJ708" s="196" t="str">
        <f t="shared" ref="BJ708:BJ771" si="82">IF(A708="","",ROW())</f>
        <v/>
      </c>
      <c r="BK708" s="196" t="str">
        <f t="shared" ref="BK708:BK771" si="83">IFERROR(SMALL(BJ:BJ,ROW()-2),"")</f>
        <v/>
      </c>
      <c r="BL708" s="295" t="str">
        <f t="shared" ref="BL708:BL771" si="84">IFERROR(INDEX(A:A,BK708),"")</f>
        <v/>
      </c>
    </row>
    <row r="709" spans="1:64" ht="47.25" customHeight="1" x14ac:dyDescent="0.25">
      <c r="A709" s="162" t="str">
        <f>IF(AND(Réputation&gt;Voies!E709-1,OR(C709=TRUE,Calculs!$I$8&gt;0),Air&gt;Voies!J709-1,Eau&gt;Voies!K709-1,Feu&gt;Voies!L709-1,Terre&gt;Voies!M709-1,Vide&gt;Voies!N709-1,Constitution&gt;Voies!O709-1,Volonté&gt;Voies!P709-1,Force&gt;Voies!Q709-1,Perception&gt;Voies!R709-1,Reflexes&gt;Voies!S709-1,Agilité&gt;Voies!T709-1,Intuition&gt;Voies!U709-1,Intelligence&gt;Voies!V709-1,Souillure&gt;Voies!W709-1,Honneur&gt;X709-1,Statut&gt;Y709-1,Gloire&gt;Z709-1,AV709=TRUE),Voies!B709,"")</f>
        <v/>
      </c>
      <c r="B709" s="162" t="s">
        <v>3550</v>
      </c>
      <c r="C709" s="162" t="b">
        <f>IF(Clan=Voies!D709,TRUE,FALSE)</f>
        <v>0</v>
      </c>
      <c r="D709" s="387" t="s">
        <v>53</v>
      </c>
      <c r="E709" s="13">
        <v>2</v>
      </c>
      <c r="F709" s="199">
        <v>2</v>
      </c>
      <c r="G709" s="13" t="s">
        <v>2052</v>
      </c>
      <c r="H709" s="162" t="s">
        <v>600</v>
      </c>
      <c r="I709" s="129" t="s">
        <v>3549</v>
      </c>
      <c r="J709" s="146">
        <v>0</v>
      </c>
      <c r="K709" s="147">
        <v>0</v>
      </c>
      <c r="L709" s="148">
        <v>0</v>
      </c>
      <c r="M709" s="149">
        <v>0</v>
      </c>
      <c r="N709" s="150">
        <v>0</v>
      </c>
      <c r="O709" s="130">
        <v>0</v>
      </c>
      <c r="P709" s="130">
        <v>0</v>
      </c>
      <c r="Q709" s="130">
        <v>0</v>
      </c>
      <c r="R709" s="130">
        <v>0</v>
      </c>
      <c r="S709" s="130">
        <v>4</v>
      </c>
      <c r="T709" s="130">
        <v>4</v>
      </c>
      <c r="U709" s="130">
        <v>0</v>
      </c>
      <c r="V709" s="524">
        <v>0</v>
      </c>
      <c r="W709" s="130">
        <v>0</v>
      </c>
      <c r="X709" s="130">
        <v>0</v>
      </c>
      <c r="Y709" s="130">
        <v>0</v>
      </c>
      <c r="Z709" s="130">
        <v>0</v>
      </c>
      <c r="AA709" s="158" t="s">
        <v>2078</v>
      </c>
      <c r="AB709" s="158"/>
      <c r="AC709" s="158"/>
      <c r="AD709" s="158"/>
      <c r="AE709" s="158" t="b">
        <f>IF(AB709="",TRUE,IF(IF(AC709="",VLOOKUP(AB709,Calculs!$A$19:$S$425,19,FALSE),VLOOKUP(AC709,Calculs!$A$19:$S$425,19,FALSE))&gt;=AD709,TRUE,FALSE))</f>
        <v>1</v>
      </c>
      <c r="AF709" s="158"/>
      <c r="AG709" s="158"/>
      <c r="AH709" s="158"/>
      <c r="AI709" s="158" t="b">
        <f>IF(AF709="",TRUE,IF(IF(AG709="",VLOOKUP(AF709,Calculs!$A$19:$S$425,19,FALSE),VLOOKUP(AG709,Calculs!$A$19:$S$425,19,FALSE))&gt;=AH709,TRUE,FALSE))</f>
        <v>1</v>
      </c>
      <c r="AJ709" s="158"/>
      <c r="AK709" s="158"/>
      <c r="AL709" s="158"/>
      <c r="AM709" s="158" t="b">
        <f>IF(AJ709="",TRUE,IF(IF(AK709="",VLOOKUP(AJ709,Calculs!$A$19:$S$425,19,FALSE),VLOOKUP(AK709,Calculs!$A$19:$S$425,19,FALSE))&gt;=AL709,TRUE,FALSE))</f>
        <v>1</v>
      </c>
      <c r="AN709" s="158"/>
      <c r="AO709" s="158"/>
      <c r="AP709" s="158"/>
      <c r="AQ709" s="158" t="b">
        <f>IF(AN709="",TRUE,IF(IF(AO709="",VLOOKUP(AN709,Calculs!$A$19:$S$425,19,FALSE),VLOOKUP(AO709,Calculs!$A$19:$S$425,19,FALSE))&gt;=AP709,TRUE,FALSE))</f>
        <v>1</v>
      </c>
      <c r="AR709" s="158"/>
      <c r="AS709" s="158" t="b">
        <f>IF(AR709="",TRUE,IF(VLOOKUP(AR709,Calculs!$A$427:$G$738,7,FALSE)&gt;0,TRUE,FALSE))</f>
        <v>1</v>
      </c>
      <c r="AT709" s="158"/>
      <c r="AU709" s="158" t="b">
        <f>IF(AT709="",TRUE,IF(VLOOKUP(AT709,Calculs!$A$740:$G$912,7,FALSE)&gt;0,TRUE,FALSE))</f>
        <v>1</v>
      </c>
      <c r="AV709" s="158" t="b">
        <f t="shared" si="80"/>
        <v>1</v>
      </c>
      <c r="AW709" s="158" t="s">
        <v>2078</v>
      </c>
      <c r="AX709" s="162" t="s">
        <v>2075</v>
      </c>
      <c r="AY709" s="15">
        <v>85</v>
      </c>
      <c r="AZ709" s="566" t="s">
        <v>3551</v>
      </c>
      <c r="BA709" s="559">
        <f>IF(Verso!$B$10=Voies!$B709,1,0)</f>
        <v>0</v>
      </c>
      <c r="BB709" s="12">
        <f>IF(Verso!$B$11=Voies!$B709,1,0)</f>
        <v>0</v>
      </c>
      <c r="BC709" s="12">
        <f>IF(Verso!$B$12=Voies!$B709,1,0)</f>
        <v>0</v>
      </c>
      <c r="BD709" s="12">
        <f>IF(Verso!$B$13=Voies!$B709,1,0)</f>
        <v>0</v>
      </c>
      <c r="BE709" s="12">
        <f>IF(Verso!$B$14=Voies!$B709,1,0)</f>
        <v>0</v>
      </c>
      <c r="BF709" s="12">
        <f>IF(Verso!$B$15=Voies!$B709,1,0)</f>
        <v>0</v>
      </c>
      <c r="BG709" s="12">
        <f>IF(Verso!$B$16=Voies!$B709,1,0)</f>
        <v>0</v>
      </c>
      <c r="BH709" s="12">
        <f>IF(Verso!$B$17=Voies!$B709,1,0)</f>
        <v>0</v>
      </c>
      <c r="BI709" s="557">
        <f t="shared" si="81"/>
        <v>0</v>
      </c>
      <c r="BJ709" s="196" t="str">
        <f t="shared" si="82"/>
        <v/>
      </c>
      <c r="BK709" s="196" t="str">
        <f t="shared" si="83"/>
        <v/>
      </c>
      <c r="BL709" s="295" t="str">
        <f t="shared" si="84"/>
        <v/>
      </c>
    </row>
    <row r="710" spans="1:64" ht="47.25" customHeight="1" x14ac:dyDescent="0.25">
      <c r="A710" s="162" t="str">
        <f>IF(AND(Réputation&gt;Voies!E710-1,OR(C710=TRUE,Calculs!$I$8&gt;0),Air&gt;Voies!J710-1,Eau&gt;Voies!K710-1,Feu&gt;Voies!L710-1,Terre&gt;Voies!M710-1,Vide&gt;Voies!N710-1,Constitution&gt;Voies!O710-1,Volonté&gt;Voies!P710-1,Force&gt;Voies!Q710-1,Perception&gt;Voies!R710-1,Reflexes&gt;Voies!S710-1,Agilité&gt;Voies!T710-1,Intuition&gt;Voies!U710-1,Intelligence&gt;Voies!V710-1,Souillure&gt;Voies!W710-1,Honneur&gt;X710-1,Statut&gt;Y710-1,Gloire&gt;Z710-1,AV710=TRUE),Voies!B710,"")</f>
        <v/>
      </c>
      <c r="B710" s="162" t="s">
        <v>3034</v>
      </c>
      <c r="C710" s="162" t="b">
        <f>IF(Clan=Voies!D710,TRUE,FALSE)</f>
        <v>0</v>
      </c>
      <c r="D710" s="387" t="s">
        <v>53</v>
      </c>
      <c r="E710" s="13">
        <v>2</v>
      </c>
      <c r="F710" s="199">
        <v>2</v>
      </c>
      <c r="G710" s="13" t="s">
        <v>2052</v>
      </c>
      <c r="H710" s="162" t="s">
        <v>581</v>
      </c>
      <c r="I710" s="129" t="str">
        <f>IF(B710="","","Rien")</f>
        <v>Rien</v>
      </c>
      <c r="J710" s="146">
        <v>0</v>
      </c>
      <c r="K710" s="147">
        <v>0</v>
      </c>
      <c r="L710" s="148">
        <v>0</v>
      </c>
      <c r="M710" s="149">
        <v>0</v>
      </c>
      <c r="N710" s="150">
        <v>0</v>
      </c>
      <c r="O710" s="130">
        <v>0</v>
      </c>
      <c r="P710" s="130">
        <v>0</v>
      </c>
      <c r="Q710" s="130">
        <v>0</v>
      </c>
      <c r="R710" s="130">
        <v>0</v>
      </c>
      <c r="S710" s="130">
        <v>0</v>
      </c>
      <c r="T710" s="130">
        <v>0</v>
      </c>
      <c r="U710" s="130">
        <v>0</v>
      </c>
      <c r="V710" s="524">
        <v>0</v>
      </c>
      <c r="W710" s="130">
        <v>0</v>
      </c>
      <c r="X710" s="130">
        <v>0</v>
      </c>
      <c r="Y710" s="130">
        <v>0</v>
      </c>
      <c r="Z710" s="130">
        <v>0</v>
      </c>
      <c r="AA710" s="158" t="s">
        <v>2078</v>
      </c>
      <c r="AB710" s="158"/>
      <c r="AC710" s="158"/>
      <c r="AD710" s="158"/>
      <c r="AE710" s="158" t="b">
        <f>IF(AB710="",TRUE,IF(IF(AC710="",VLOOKUP(AB710,Calculs!$A$19:$S$425,19,FALSE),VLOOKUP(AC710,Calculs!$A$19:$S$425,19,FALSE))&gt;=AD710,TRUE,FALSE))</f>
        <v>1</v>
      </c>
      <c r="AF710" s="158"/>
      <c r="AG710" s="158"/>
      <c r="AH710" s="158"/>
      <c r="AI710" s="158" t="b">
        <f>IF(AF710="",TRUE,IF(IF(AG710="",VLOOKUP(AF710,Calculs!$A$19:$S$425,19,FALSE),VLOOKUP(AG710,Calculs!$A$19:$S$425,19,FALSE))&gt;=AH710,TRUE,FALSE))</f>
        <v>1</v>
      </c>
      <c r="AJ710" s="158"/>
      <c r="AK710" s="158"/>
      <c r="AL710" s="158"/>
      <c r="AM710" s="158" t="b">
        <f>IF(AJ710="",TRUE,IF(IF(AK710="",VLOOKUP(AJ710,Calculs!$A$19:$S$425,19,FALSE),VLOOKUP(AK710,Calculs!$A$19:$S$425,19,FALSE))&gt;=AL710,TRUE,FALSE))</f>
        <v>1</v>
      </c>
      <c r="AN710" s="158"/>
      <c r="AO710" s="158"/>
      <c r="AP710" s="158"/>
      <c r="AQ710" s="158" t="b">
        <f>IF(AN710="",TRUE,IF(IF(AO710="",VLOOKUP(AN710,Calculs!$A$19:$S$425,19,FALSE),VLOOKUP(AO710,Calculs!$A$19:$S$425,19,FALSE))&gt;=AP710,TRUE,FALSE))</f>
        <v>1</v>
      </c>
      <c r="AR710" s="158"/>
      <c r="AS710" s="158" t="b">
        <f>IF(AR710="",TRUE,IF(VLOOKUP(AR710,Calculs!$A$427:$G$738,7,FALSE)&gt;0,TRUE,FALSE))</f>
        <v>1</v>
      </c>
      <c r="AT710" s="158"/>
      <c r="AU710" s="158" t="b">
        <f>IF(AT710="",TRUE,IF(VLOOKUP(AT710,Calculs!$A$740:$G$912,7,FALSE)&gt;0,TRUE,FALSE))</f>
        <v>1</v>
      </c>
      <c r="AV710" s="158" t="b">
        <f t="shared" si="80"/>
        <v>1</v>
      </c>
      <c r="AW710" s="158" t="s">
        <v>2078</v>
      </c>
      <c r="AX710" s="162" t="s">
        <v>2075</v>
      </c>
      <c r="AY710" s="15">
        <v>84</v>
      </c>
      <c r="AZ710" s="566" t="s">
        <v>3042</v>
      </c>
      <c r="BA710" s="559">
        <f>IF(Verso!$B$10=Voies!$B710,1,0)</f>
        <v>0</v>
      </c>
      <c r="BB710" s="12">
        <f>IF(Verso!$B$11=Voies!$B710,1,0)</f>
        <v>0</v>
      </c>
      <c r="BC710" s="12">
        <f>IF(Verso!$B$12=Voies!$B710,1,0)</f>
        <v>0</v>
      </c>
      <c r="BD710" s="12">
        <f>IF(Verso!$B$13=Voies!$B710,1,0)</f>
        <v>0</v>
      </c>
      <c r="BE710" s="12">
        <f>IF(Verso!$B$14=Voies!$B710,1,0)</f>
        <v>0</v>
      </c>
      <c r="BF710" s="12">
        <f>IF(Verso!$B$15=Voies!$B710,1,0)</f>
        <v>0</v>
      </c>
      <c r="BG710" s="12">
        <f>IF(Verso!$B$16=Voies!$B710,1,0)</f>
        <v>0</v>
      </c>
      <c r="BH710" s="12">
        <f>IF(Verso!$B$17=Voies!$B710,1,0)</f>
        <v>0</v>
      </c>
      <c r="BI710" s="557">
        <f t="shared" si="81"/>
        <v>0</v>
      </c>
      <c r="BJ710" s="196" t="str">
        <f t="shared" si="82"/>
        <v/>
      </c>
      <c r="BK710" s="196" t="str">
        <f t="shared" si="83"/>
        <v/>
      </c>
      <c r="BL710" s="295" t="str">
        <f t="shared" si="84"/>
        <v/>
      </c>
    </row>
    <row r="711" spans="1:64" ht="47.25" customHeight="1" x14ac:dyDescent="0.25">
      <c r="A711" s="162" t="str">
        <f>IF(AND(Réputation&gt;Voies!E711-1,OR(C711=TRUE,Calculs!$I$8&gt;0),Air&gt;Voies!J711-1,Eau&gt;Voies!K711-1,Feu&gt;Voies!L711-1,Terre&gt;Voies!M711-1,Vide&gt;Voies!N711-1,Constitution&gt;Voies!O711-1,Volonté&gt;Voies!P711-1,Force&gt;Voies!Q711-1,Perception&gt;Voies!R711-1,Reflexes&gt;Voies!S711-1,Agilité&gt;Voies!T711-1,Intuition&gt;Voies!U711-1,Intelligence&gt;Voies!V711-1,Souillure&gt;Voies!W711-1,Honneur&gt;X711-1,Statut&gt;Y711-1,Gloire&gt;Z711-1,AV711=TRUE),Voies!B711,"")</f>
        <v/>
      </c>
      <c r="B711" s="162" t="s">
        <v>3552</v>
      </c>
      <c r="C711" s="162" t="b">
        <f>IF(Clan=Voies!D711,TRUE,FALSE)</f>
        <v>0</v>
      </c>
      <c r="D711" s="387" t="s">
        <v>53</v>
      </c>
      <c r="E711" s="13">
        <v>2</v>
      </c>
      <c r="F711" s="199">
        <v>2</v>
      </c>
      <c r="G711" s="13" t="s">
        <v>2048</v>
      </c>
      <c r="H711" s="162" t="s">
        <v>601</v>
      </c>
      <c r="I711" s="129" t="s">
        <v>3553</v>
      </c>
      <c r="J711" s="146">
        <v>0</v>
      </c>
      <c r="K711" s="147">
        <v>0</v>
      </c>
      <c r="L711" s="148">
        <v>0</v>
      </c>
      <c r="M711" s="149">
        <v>0</v>
      </c>
      <c r="N711" s="150">
        <v>0</v>
      </c>
      <c r="O711" s="130">
        <v>0</v>
      </c>
      <c r="P711" s="130">
        <v>0</v>
      </c>
      <c r="Q711" s="130">
        <v>0</v>
      </c>
      <c r="R711" s="130">
        <v>0</v>
      </c>
      <c r="S711" s="130">
        <v>0</v>
      </c>
      <c r="T711" s="130">
        <v>0</v>
      </c>
      <c r="U711" s="130">
        <v>0</v>
      </c>
      <c r="V711" s="524">
        <v>0</v>
      </c>
      <c r="W711" s="130">
        <v>0</v>
      </c>
      <c r="X711" s="130">
        <v>0</v>
      </c>
      <c r="Y711" s="130">
        <v>0</v>
      </c>
      <c r="Z711" s="130">
        <v>0</v>
      </c>
      <c r="AA711" s="158" t="s">
        <v>2078</v>
      </c>
      <c r="AB711" s="158"/>
      <c r="AC711" s="158"/>
      <c r="AD711" s="158"/>
      <c r="AE711" s="158" t="b">
        <f>IF(AB711="",TRUE,IF(IF(AC711="",VLOOKUP(AB711,Calculs!$A$19:$S$425,19,FALSE),VLOOKUP(AC711,Calculs!$A$19:$S$425,19,FALSE))&gt;=AD711,TRUE,FALSE))</f>
        <v>1</v>
      </c>
      <c r="AF711" s="158"/>
      <c r="AG711" s="158"/>
      <c r="AH711" s="158"/>
      <c r="AI711" s="158" t="b">
        <f>IF(AF711="",TRUE,IF(IF(AG711="",VLOOKUP(AF711,Calculs!$A$19:$S$425,19,FALSE),VLOOKUP(AG711,Calculs!$A$19:$S$425,19,FALSE))&gt;=AH711,TRUE,FALSE))</f>
        <v>1</v>
      </c>
      <c r="AJ711" s="158"/>
      <c r="AK711" s="158"/>
      <c r="AL711" s="158"/>
      <c r="AM711" s="158" t="b">
        <f>IF(AJ711="",TRUE,IF(IF(AK711="",VLOOKUP(AJ711,Calculs!$A$19:$S$425,19,FALSE),VLOOKUP(AK711,Calculs!$A$19:$S$425,19,FALSE))&gt;=AL711,TRUE,FALSE))</f>
        <v>1</v>
      </c>
      <c r="AN711" s="158"/>
      <c r="AO711" s="158"/>
      <c r="AP711" s="158"/>
      <c r="AQ711" s="158" t="b">
        <f>IF(AN711="",TRUE,IF(IF(AO711="",VLOOKUP(AN711,Calculs!$A$19:$S$425,19,FALSE),VLOOKUP(AO711,Calculs!$A$19:$S$425,19,FALSE))&gt;=AP711,TRUE,FALSE))</f>
        <v>1</v>
      </c>
      <c r="AR711" s="158"/>
      <c r="AS711" s="158" t="b">
        <f>IF(AR711="",TRUE,IF(VLOOKUP(AR711,Calculs!$A$427:$G$738,7,FALSE)&gt;0,TRUE,FALSE))</f>
        <v>1</v>
      </c>
      <c r="AT711" s="158"/>
      <c r="AU711" s="158" t="b">
        <f>IF(AT711="",TRUE,IF(VLOOKUP(AT711,Calculs!$A$740:$G$912,7,FALSE)&gt;0,TRUE,FALSE))</f>
        <v>1</v>
      </c>
      <c r="AV711" s="158" t="b">
        <f t="shared" si="80"/>
        <v>1</v>
      </c>
      <c r="AW711" s="158" t="s">
        <v>2078</v>
      </c>
      <c r="AX711" s="162" t="s">
        <v>2075</v>
      </c>
      <c r="AY711" s="15">
        <v>85</v>
      </c>
      <c r="AZ711" s="555" t="s">
        <v>8662</v>
      </c>
      <c r="BA711" s="559">
        <f>IF(Verso!$B$10=Voies!$B711,1,0)</f>
        <v>0</v>
      </c>
      <c r="BB711" s="12">
        <f>IF(Verso!$B$11=Voies!$B711,1,0)</f>
        <v>0</v>
      </c>
      <c r="BC711" s="12">
        <f>IF(Verso!$B$12=Voies!$B711,1,0)</f>
        <v>0</v>
      </c>
      <c r="BD711" s="12">
        <f>IF(Verso!$B$13=Voies!$B711,1,0)</f>
        <v>0</v>
      </c>
      <c r="BE711" s="12">
        <f>IF(Verso!$B$14=Voies!$B711,1,0)</f>
        <v>0</v>
      </c>
      <c r="BF711" s="12">
        <f>IF(Verso!$B$15=Voies!$B711,1,0)</f>
        <v>0</v>
      </c>
      <c r="BG711" s="12">
        <f>IF(Verso!$B$16=Voies!$B711,1,0)</f>
        <v>0</v>
      </c>
      <c r="BH711" s="12">
        <f>IF(Verso!$B$17=Voies!$B711,1,0)</f>
        <v>0</v>
      </c>
      <c r="BI711" s="557">
        <f t="shared" si="81"/>
        <v>0</v>
      </c>
      <c r="BJ711" s="196" t="str">
        <f t="shared" si="82"/>
        <v/>
      </c>
      <c r="BK711" s="196" t="str">
        <f t="shared" si="83"/>
        <v/>
      </c>
      <c r="BL711" s="295" t="str">
        <f t="shared" si="84"/>
        <v/>
      </c>
    </row>
    <row r="712" spans="1:64" ht="47.25" customHeight="1" x14ac:dyDescent="0.25">
      <c r="A712" s="162" t="str">
        <f>IF(AND(Réputation&gt;Voies!E712-1,OR(C712=TRUE,Calculs!$I$8&gt;0),Air&gt;Voies!J712-1,Eau&gt;Voies!K712-1,Feu&gt;Voies!L712-1,Terre&gt;Voies!M712-1,Vide&gt;Voies!N712-1,Constitution&gt;Voies!O712-1,Volonté&gt;Voies!P712-1,Force&gt;Voies!Q712-1,Perception&gt;Voies!R712-1,Reflexes&gt;Voies!S712-1,Agilité&gt;Voies!T712-1,Intuition&gt;Voies!U712-1,Intelligence&gt;Voies!V712-1,Souillure&gt;Voies!W712-1,Honneur&gt;X712-1,Statut&gt;Y712-1,Gloire&gt;Z712-1,AV712=TRUE),Voies!B712,"")</f>
        <v/>
      </c>
      <c r="B712" s="162" t="s">
        <v>3026</v>
      </c>
      <c r="C712" s="162" t="b">
        <f>IF(Clan=Voies!D712,TRUE,FALSE)</f>
        <v>0</v>
      </c>
      <c r="D712" s="387" t="s">
        <v>53</v>
      </c>
      <c r="E712" s="13">
        <v>3</v>
      </c>
      <c r="F712" s="199">
        <v>3</v>
      </c>
      <c r="G712" s="13" t="s">
        <v>2049</v>
      </c>
      <c r="H712" s="162" t="s">
        <v>298</v>
      </c>
      <c r="I712" s="129" t="str">
        <f>IF(B712="","","Rien")</f>
        <v>Rien</v>
      </c>
      <c r="J712" s="146">
        <v>0</v>
      </c>
      <c r="K712" s="147">
        <v>0</v>
      </c>
      <c r="L712" s="148">
        <v>0</v>
      </c>
      <c r="M712" s="149">
        <v>0</v>
      </c>
      <c r="N712" s="150">
        <v>0</v>
      </c>
      <c r="O712" s="130">
        <v>0</v>
      </c>
      <c r="P712" s="130">
        <v>0</v>
      </c>
      <c r="Q712" s="130">
        <v>0</v>
      </c>
      <c r="R712" s="130">
        <v>0</v>
      </c>
      <c r="S712" s="130">
        <v>0</v>
      </c>
      <c r="T712" s="130">
        <v>0</v>
      </c>
      <c r="U712" s="130">
        <v>0</v>
      </c>
      <c r="V712" s="524">
        <v>0</v>
      </c>
      <c r="W712" s="130">
        <v>0</v>
      </c>
      <c r="X712" s="130">
        <v>0</v>
      </c>
      <c r="Y712" s="130">
        <v>0</v>
      </c>
      <c r="Z712" s="130">
        <v>0</v>
      </c>
      <c r="AA712" s="158" t="s">
        <v>2078</v>
      </c>
      <c r="AB712" s="158"/>
      <c r="AC712" s="158"/>
      <c r="AD712" s="158"/>
      <c r="AE712" s="158" t="b">
        <f>IF(AB712="",TRUE,IF(IF(AC712="",VLOOKUP(AB712,Calculs!$A$19:$S$425,19,FALSE),VLOOKUP(AC712,Calculs!$A$19:$S$425,19,FALSE))&gt;=AD712,TRUE,FALSE))</f>
        <v>1</v>
      </c>
      <c r="AF712" s="158"/>
      <c r="AG712" s="158"/>
      <c r="AH712" s="158"/>
      <c r="AI712" s="158" t="b">
        <f>IF(AF712="",TRUE,IF(IF(AG712="",VLOOKUP(AF712,Calculs!$A$19:$S$425,19,FALSE),VLOOKUP(AG712,Calculs!$A$19:$S$425,19,FALSE))&gt;=AH712,TRUE,FALSE))</f>
        <v>1</v>
      </c>
      <c r="AJ712" s="158"/>
      <c r="AK712" s="158"/>
      <c r="AL712" s="158"/>
      <c r="AM712" s="158" t="b">
        <f>IF(AJ712="",TRUE,IF(IF(AK712="",VLOOKUP(AJ712,Calculs!$A$19:$S$425,19,FALSE),VLOOKUP(AK712,Calculs!$A$19:$S$425,19,FALSE))&gt;=AL712,TRUE,FALSE))</f>
        <v>1</v>
      </c>
      <c r="AN712" s="158"/>
      <c r="AO712" s="158"/>
      <c r="AP712" s="158"/>
      <c r="AQ712" s="158" t="b">
        <f>IF(AN712="",TRUE,IF(IF(AO712="",VLOOKUP(AN712,Calculs!$A$19:$S$425,19,FALSE),VLOOKUP(AO712,Calculs!$A$19:$S$425,19,FALSE))&gt;=AP712,TRUE,FALSE))</f>
        <v>1</v>
      </c>
      <c r="AR712" s="158"/>
      <c r="AS712" s="158" t="b">
        <f>IF(AR712="",TRUE,IF(VLOOKUP(AR712,Calculs!$A$427:$G$738,7,FALSE)&gt;0,TRUE,FALSE))</f>
        <v>1</v>
      </c>
      <c r="AT712" s="158"/>
      <c r="AU712" s="158" t="b">
        <f>IF(AT712="",TRUE,IF(VLOOKUP(AT712,Calculs!$A$740:$G$912,7,FALSE)&gt;0,TRUE,FALSE))</f>
        <v>1</v>
      </c>
      <c r="AV712" s="158" t="b">
        <f t="shared" si="80"/>
        <v>1</v>
      </c>
      <c r="AW712" s="158" t="s">
        <v>2078</v>
      </c>
      <c r="AX712" s="162" t="s">
        <v>2075</v>
      </c>
      <c r="AY712" s="15">
        <v>84</v>
      </c>
      <c r="AZ712" s="555" t="s">
        <v>3032</v>
      </c>
      <c r="BA712" s="559">
        <f>IF(Verso!$B$10=Voies!$B712,1,0)</f>
        <v>0</v>
      </c>
      <c r="BB712" s="12">
        <f>IF(Verso!$B$11=Voies!$B712,1,0)</f>
        <v>0</v>
      </c>
      <c r="BC712" s="12">
        <f>IF(Verso!$B$12=Voies!$B712,1,0)</f>
        <v>0</v>
      </c>
      <c r="BD712" s="12">
        <f>IF(Verso!$B$13=Voies!$B712,1,0)</f>
        <v>0</v>
      </c>
      <c r="BE712" s="12">
        <f>IF(Verso!$B$14=Voies!$B712,1,0)</f>
        <v>0</v>
      </c>
      <c r="BF712" s="12">
        <f>IF(Verso!$B$15=Voies!$B712,1,0)</f>
        <v>0</v>
      </c>
      <c r="BG712" s="12">
        <f>IF(Verso!$B$16=Voies!$B712,1,0)</f>
        <v>0</v>
      </c>
      <c r="BH712" s="12">
        <f>IF(Verso!$B$17=Voies!$B712,1,0)</f>
        <v>0</v>
      </c>
      <c r="BI712" s="557">
        <f t="shared" si="81"/>
        <v>0</v>
      </c>
      <c r="BJ712" s="196" t="str">
        <f t="shared" si="82"/>
        <v/>
      </c>
      <c r="BK712" s="196" t="str">
        <f t="shared" si="83"/>
        <v/>
      </c>
      <c r="BL712" s="295" t="str">
        <f t="shared" si="84"/>
        <v/>
      </c>
    </row>
    <row r="713" spans="1:64" ht="47.25" customHeight="1" x14ac:dyDescent="0.25">
      <c r="A713" s="162" t="str">
        <f>IF(AND(Réputation&gt;Voies!E713-1,OR(C713=TRUE,Calculs!$I$8&gt;0),Air&gt;Voies!J713-1,Eau&gt;Voies!K713-1,Feu&gt;Voies!L713-1,Terre&gt;Voies!M713-1,Vide&gt;Voies!N713-1,Constitution&gt;Voies!O713-1,Volonté&gt;Voies!P713-1,Force&gt;Voies!Q713-1,Perception&gt;Voies!R713-1,Reflexes&gt;Voies!S713-1,Agilité&gt;Voies!T713-1,Intuition&gt;Voies!U713-1,Intelligence&gt;Voies!V713-1,Souillure&gt;Voies!W713-1,Honneur&gt;X713-1,Statut&gt;Y713-1,Gloire&gt;Z713-1,AV713=TRUE),Voies!B713,"")</f>
        <v/>
      </c>
      <c r="B713" s="162" t="s">
        <v>3049</v>
      </c>
      <c r="C713" s="162" t="b">
        <f>IF(Clan=Voies!D713,TRUE,FALSE)</f>
        <v>0</v>
      </c>
      <c r="D713" s="387" t="s">
        <v>53</v>
      </c>
      <c r="E713" s="13">
        <v>3</v>
      </c>
      <c r="F713" s="199">
        <v>3</v>
      </c>
      <c r="G713" s="13" t="s">
        <v>2049</v>
      </c>
      <c r="H713" s="162" t="s">
        <v>299</v>
      </c>
      <c r="I713" s="129" t="str">
        <f>IF(B713="","","Rien")</f>
        <v>Rien</v>
      </c>
      <c r="J713" s="146">
        <v>0</v>
      </c>
      <c r="K713" s="147">
        <v>0</v>
      </c>
      <c r="L713" s="148">
        <v>0</v>
      </c>
      <c r="M713" s="149">
        <v>0</v>
      </c>
      <c r="N713" s="150">
        <v>0</v>
      </c>
      <c r="O713" s="130">
        <v>0</v>
      </c>
      <c r="P713" s="130">
        <v>0</v>
      </c>
      <c r="Q713" s="130">
        <v>0</v>
      </c>
      <c r="R713" s="130">
        <v>0</v>
      </c>
      <c r="S713" s="130">
        <v>0</v>
      </c>
      <c r="T713" s="130">
        <v>0</v>
      </c>
      <c r="U713" s="130">
        <v>0</v>
      </c>
      <c r="V713" s="524">
        <v>0</v>
      </c>
      <c r="W713" s="130">
        <v>0</v>
      </c>
      <c r="X713" s="130">
        <v>0</v>
      </c>
      <c r="Y713" s="130">
        <v>0</v>
      </c>
      <c r="Z713" s="130">
        <v>0</v>
      </c>
      <c r="AA713" s="158" t="s">
        <v>2078</v>
      </c>
      <c r="AB713" s="158"/>
      <c r="AC713" s="158"/>
      <c r="AD713" s="158"/>
      <c r="AE713" s="158" t="b">
        <f>IF(AB713="",TRUE,IF(IF(AC713="",VLOOKUP(AB713,Calculs!$A$19:$S$425,19,FALSE),VLOOKUP(AC713,Calculs!$A$19:$S$425,19,FALSE))&gt;=AD713,TRUE,FALSE))</f>
        <v>1</v>
      </c>
      <c r="AF713" s="158"/>
      <c r="AG713" s="158"/>
      <c r="AH713" s="158"/>
      <c r="AI713" s="158" t="b">
        <f>IF(AF713="",TRUE,IF(IF(AG713="",VLOOKUP(AF713,Calculs!$A$19:$S$425,19,FALSE),VLOOKUP(AG713,Calculs!$A$19:$S$425,19,FALSE))&gt;=AH713,TRUE,FALSE))</f>
        <v>1</v>
      </c>
      <c r="AJ713" s="158"/>
      <c r="AK713" s="158"/>
      <c r="AL713" s="158"/>
      <c r="AM713" s="158" t="b">
        <f>IF(AJ713="",TRUE,IF(IF(AK713="",VLOOKUP(AJ713,Calculs!$A$19:$S$425,19,FALSE),VLOOKUP(AK713,Calculs!$A$19:$S$425,19,FALSE))&gt;=AL713,TRUE,FALSE))</f>
        <v>1</v>
      </c>
      <c r="AN713" s="158"/>
      <c r="AO713" s="158"/>
      <c r="AP713" s="158"/>
      <c r="AQ713" s="158" t="b">
        <f>IF(AN713="",TRUE,IF(IF(AO713="",VLOOKUP(AN713,Calculs!$A$19:$S$425,19,FALSE),VLOOKUP(AO713,Calculs!$A$19:$S$425,19,FALSE))&gt;=AP713,TRUE,FALSE))</f>
        <v>1</v>
      </c>
      <c r="AR713" s="158"/>
      <c r="AS713" s="158" t="b">
        <f>IF(AR713="",TRUE,IF(VLOOKUP(AR713,Calculs!$A$427:$G$738,7,FALSE)&gt;0,TRUE,FALSE))</f>
        <v>1</v>
      </c>
      <c r="AT713" s="158"/>
      <c r="AU713" s="158" t="b">
        <f>IF(AT713="",TRUE,IF(VLOOKUP(AT713,Calculs!$A$740:$G$912,7,FALSE)&gt;0,TRUE,FALSE))</f>
        <v>1</v>
      </c>
      <c r="AV713" s="158" t="b">
        <f t="shared" si="80"/>
        <v>1</v>
      </c>
      <c r="AW713" s="158" t="s">
        <v>2078</v>
      </c>
      <c r="AX713" s="162" t="s">
        <v>2075</v>
      </c>
      <c r="AY713" s="15">
        <v>85</v>
      </c>
      <c r="AZ713" s="555" t="s">
        <v>3052</v>
      </c>
      <c r="BA713" s="559">
        <f>IF(Verso!$B$10=Voies!$B713,1,0)</f>
        <v>0</v>
      </c>
      <c r="BB713" s="12">
        <f>IF(Verso!$B$11=Voies!$B713,1,0)</f>
        <v>0</v>
      </c>
      <c r="BC713" s="12">
        <f>IF(Verso!$B$12=Voies!$B713,1,0)</f>
        <v>0</v>
      </c>
      <c r="BD713" s="12">
        <f>IF(Verso!$B$13=Voies!$B713,1,0)</f>
        <v>0</v>
      </c>
      <c r="BE713" s="12">
        <f>IF(Verso!$B$14=Voies!$B713,1,0)</f>
        <v>0</v>
      </c>
      <c r="BF713" s="12">
        <f>IF(Verso!$B$15=Voies!$B713,1,0)</f>
        <v>0</v>
      </c>
      <c r="BG713" s="12">
        <f>IF(Verso!$B$16=Voies!$B713,1,0)</f>
        <v>0</v>
      </c>
      <c r="BH713" s="12">
        <f>IF(Verso!$B$17=Voies!$B713,1,0)</f>
        <v>0</v>
      </c>
      <c r="BI713" s="557">
        <f t="shared" si="81"/>
        <v>0</v>
      </c>
      <c r="BJ713" s="196" t="str">
        <f t="shared" si="82"/>
        <v/>
      </c>
      <c r="BK713" s="196" t="str">
        <f t="shared" si="83"/>
        <v/>
      </c>
      <c r="BL713" s="295" t="str">
        <f t="shared" si="84"/>
        <v/>
      </c>
    </row>
    <row r="714" spans="1:64" ht="47.25" customHeight="1" x14ac:dyDescent="0.25">
      <c r="A714" s="162" t="str">
        <f>IF(AND(Réputation&gt;Voies!E714-1,OR(C714=TRUE,Calculs!$I$8&gt;0),Air&gt;Voies!J714-1,Eau&gt;Voies!K714-1,Feu&gt;Voies!L714-1,Terre&gt;Voies!M714-1,Vide&gt;Voies!N714-1,Constitution&gt;Voies!O714-1,Volonté&gt;Voies!P714-1,Force&gt;Voies!Q714-1,Perception&gt;Voies!R714-1,Reflexes&gt;Voies!S714-1,Agilité&gt;Voies!T714-1,Intuition&gt;Voies!U714-1,Intelligence&gt;Voies!V714-1,Souillure&gt;Voies!W714-1,Honneur&gt;X714-1,Statut&gt;Y714-1,Gloire&gt;Z714-1,AV714=TRUE),Voies!B714,"")</f>
        <v/>
      </c>
      <c r="B714" s="162" t="s">
        <v>3554</v>
      </c>
      <c r="C714" s="162" t="b">
        <f>IF(Clan=Voies!D714,TRUE,FALSE)</f>
        <v>0</v>
      </c>
      <c r="D714" s="387" t="s">
        <v>53</v>
      </c>
      <c r="E714" s="13">
        <v>3</v>
      </c>
      <c r="F714" s="199">
        <v>3</v>
      </c>
      <c r="G714" s="13" t="s">
        <v>2049</v>
      </c>
      <c r="H714" s="162" t="s">
        <v>602</v>
      </c>
      <c r="I714" s="129" t="s">
        <v>3555</v>
      </c>
      <c r="J714" s="146">
        <v>0</v>
      </c>
      <c r="K714" s="147">
        <v>0</v>
      </c>
      <c r="L714" s="148">
        <v>0</v>
      </c>
      <c r="M714" s="149">
        <v>0</v>
      </c>
      <c r="N714" s="150">
        <v>0</v>
      </c>
      <c r="O714" s="130">
        <v>0</v>
      </c>
      <c r="P714" s="130">
        <v>0</v>
      </c>
      <c r="Q714" s="130">
        <v>0</v>
      </c>
      <c r="R714" s="130">
        <v>0</v>
      </c>
      <c r="S714" s="130">
        <v>0</v>
      </c>
      <c r="T714" s="130">
        <v>0</v>
      </c>
      <c r="U714" s="130">
        <v>0</v>
      </c>
      <c r="V714" s="524">
        <v>0</v>
      </c>
      <c r="W714" s="130">
        <v>0</v>
      </c>
      <c r="X714" s="130">
        <v>0</v>
      </c>
      <c r="Y714" s="130">
        <v>0</v>
      </c>
      <c r="Z714" s="130">
        <v>0</v>
      </c>
      <c r="AA714" s="159" t="s">
        <v>6387</v>
      </c>
      <c r="AB714" s="159" t="s">
        <v>1228</v>
      </c>
      <c r="AD714" s="159">
        <v>5</v>
      </c>
      <c r="AE714" s="158" t="b">
        <f>IF(AB714="",TRUE,IF(IF(AC714="",VLOOKUP(AB714,Calculs!$A$19:$S$425,19,FALSE),VLOOKUP(AC714,Calculs!$A$19:$S$425,19,FALSE))&gt;=AD714,TRUE,FALSE))</f>
        <v>0</v>
      </c>
      <c r="AI714" s="158" t="b">
        <f>IF(AF714="",TRUE,IF(IF(AG714="",VLOOKUP(AF714,Calculs!$A$19:$S$425,19,FALSE),VLOOKUP(AG714,Calculs!$A$19:$S$425,19,FALSE))&gt;=AH714,TRUE,FALSE))</f>
        <v>1</v>
      </c>
      <c r="AM714" s="158" t="b">
        <f>IF(AJ714="",TRUE,IF(IF(AK714="",VLOOKUP(AJ714,Calculs!$A$19:$S$425,19,FALSE),VLOOKUP(AK714,Calculs!$A$19:$S$425,19,FALSE))&gt;=AL714,TRUE,FALSE))</f>
        <v>1</v>
      </c>
      <c r="AQ714" s="158" t="b">
        <f>IF(AN714="",TRUE,IF(IF(AO714="",VLOOKUP(AN714,Calculs!$A$19:$S$425,19,FALSE),VLOOKUP(AO714,Calculs!$A$19:$S$425,19,FALSE))&gt;=AP714,TRUE,FALSE))</f>
        <v>1</v>
      </c>
      <c r="AR714" s="158"/>
      <c r="AS714" s="158" t="b">
        <f>IF(AR714="",TRUE,IF(VLOOKUP(AR714,Calculs!$A$427:$G$738,7,FALSE)&gt;0,TRUE,FALSE))</f>
        <v>1</v>
      </c>
      <c r="AT714" s="158"/>
      <c r="AU714" s="158" t="b">
        <f>IF(AT714="",TRUE,IF(VLOOKUP(AT714,Calculs!$A$740:$G$912,7,FALSE)&gt;0,TRUE,FALSE))</f>
        <v>1</v>
      </c>
      <c r="AV714" s="158" t="b">
        <f t="shared" si="80"/>
        <v>0</v>
      </c>
      <c r="AW714" s="158" t="s">
        <v>2078</v>
      </c>
      <c r="AX714" s="162" t="s">
        <v>2075</v>
      </c>
      <c r="AY714" s="15">
        <v>85</v>
      </c>
      <c r="AZ714" s="555" t="s">
        <v>3556</v>
      </c>
      <c r="BA714" s="559">
        <f>IF(Verso!$B$10=Voies!$B714,1,0)</f>
        <v>0</v>
      </c>
      <c r="BB714" s="12">
        <f>IF(Verso!$B$11=Voies!$B714,1,0)</f>
        <v>0</v>
      </c>
      <c r="BC714" s="12">
        <f>IF(Verso!$B$12=Voies!$B714,1,0)</f>
        <v>0</v>
      </c>
      <c r="BD714" s="12">
        <f>IF(Verso!$B$13=Voies!$B714,1,0)</f>
        <v>0</v>
      </c>
      <c r="BE714" s="12">
        <f>IF(Verso!$B$14=Voies!$B714,1,0)</f>
        <v>0</v>
      </c>
      <c r="BF714" s="12">
        <f>IF(Verso!$B$15=Voies!$B714,1,0)</f>
        <v>0</v>
      </c>
      <c r="BG714" s="12">
        <f>IF(Verso!$B$16=Voies!$B714,1,0)</f>
        <v>0</v>
      </c>
      <c r="BH714" s="12">
        <f>IF(Verso!$B$17=Voies!$B714,1,0)</f>
        <v>0</v>
      </c>
      <c r="BI714" s="557">
        <f t="shared" si="81"/>
        <v>0</v>
      </c>
      <c r="BJ714" s="196" t="str">
        <f t="shared" si="82"/>
        <v/>
      </c>
      <c r="BK714" s="196" t="str">
        <f t="shared" si="83"/>
        <v/>
      </c>
      <c r="BL714" s="295" t="str">
        <f t="shared" si="84"/>
        <v/>
      </c>
    </row>
    <row r="715" spans="1:64" ht="47.25" customHeight="1" x14ac:dyDescent="0.25">
      <c r="A715" s="162" t="str">
        <f>IF(AND(Réputation&gt;Voies!E715-1,OR(C715=TRUE,Calculs!$I$8&gt;0),Air&gt;Voies!J715-1,Eau&gt;Voies!K715-1,Feu&gt;Voies!L715-1,Terre&gt;Voies!M715-1,Vide&gt;Voies!N715-1,Constitution&gt;Voies!O715-1,Volonté&gt;Voies!P715-1,Force&gt;Voies!Q715-1,Perception&gt;Voies!R715-1,Reflexes&gt;Voies!S715-1,Agilité&gt;Voies!T715-1,Intuition&gt;Voies!U715-1,Intelligence&gt;Voies!V715-1,Souillure&gt;Voies!W715-1,Honneur&gt;X715-1,Statut&gt;Y715-1,Gloire&gt;Z715-1,AV715=TRUE),Voies!B715,"")</f>
        <v/>
      </c>
      <c r="B715" s="162" t="s">
        <v>3035</v>
      </c>
      <c r="C715" s="162" t="b">
        <f>IF(Clan=Voies!D715,TRUE,FALSE)</f>
        <v>0</v>
      </c>
      <c r="D715" s="387" t="s">
        <v>53</v>
      </c>
      <c r="E715" s="13">
        <v>3</v>
      </c>
      <c r="F715" s="199">
        <v>3</v>
      </c>
      <c r="G715" s="13" t="s">
        <v>2052</v>
      </c>
      <c r="H715" s="162" t="s">
        <v>581</v>
      </c>
      <c r="I715" s="129" t="str">
        <f t="shared" ref="I715:I746" si="85">IF(B715="","","Rien")</f>
        <v>Rien</v>
      </c>
      <c r="J715" s="146">
        <v>0</v>
      </c>
      <c r="K715" s="147">
        <v>0</v>
      </c>
      <c r="L715" s="148">
        <v>0</v>
      </c>
      <c r="M715" s="149">
        <v>0</v>
      </c>
      <c r="N715" s="150">
        <v>0</v>
      </c>
      <c r="O715" s="130">
        <v>0</v>
      </c>
      <c r="P715" s="130">
        <v>0</v>
      </c>
      <c r="Q715" s="130">
        <v>0</v>
      </c>
      <c r="R715" s="130">
        <v>0</v>
      </c>
      <c r="S715" s="130">
        <v>0</v>
      </c>
      <c r="T715" s="130">
        <v>0</v>
      </c>
      <c r="U715" s="130">
        <v>0</v>
      </c>
      <c r="V715" s="524">
        <v>0</v>
      </c>
      <c r="W715" s="130">
        <v>0</v>
      </c>
      <c r="X715" s="130">
        <v>0</v>
      </c>
      <c r="Y715" s="130">
        <v>0</v>
      </c>
      <c r="Z715" s="130">
        <v>0</v>
      </c>
      <c r="AA715" s="158" t="s">
        <v>2078</v>
      </c>
      <c r="AB715" s="158"/>
      <c r="AC715" s="158"/>
      <c r="AD715" s="158"/>
      <c r="AE715" s="158" t="b">
        <f>IF(AB715="",TRUE,IF(IF(AC715="",VLOOKUP(AB715,Calculs!$A$19:$S$425,19,FALSE),VLOOKUP(AC715,Calculs!$A$19:$S$425,19,FALSE))&gt;=AD715,TRUE,FALSE))</f>
        <v>1</v>
      </c>
      <c r="AF715" s="158"/>
      <c r="AG715" s="158"/>
      <c r="AH715" s="158"/>
      <c r="AI715" s="158" t="b">
        <f>IF(AF715="",TRUE,IF(IF(AG715="",VLOOKUP(AF715,Calculs!$A$19:$S$425,19,FALSE),VLOOKUP(AG715,Calculs!$A$19:$S$425,19,FALSE))&gt;=AH715,TRUE,FALSE))</f>
        <v>1</v>
      </c>
      <c r="AJ715" s="158"/>
      <c r="AK715" s="158"/>
      <c r="AL715" s="158"/>
      <c r="AM715" s="158" t="b">
        <f>IF(AJ715="",TRUE,IF(IF(AK715="",VLOOKUP(AJ715,Calculs!$A$19:$S$425,19,FALSE),VLOOKUP(AK715,Calculs!$A$19:$S$425,19,FALSE))&gt;=AL715,TRUE,FALSE))</f>
        <v>1</v>
      </c>
      <c r="AN715" s="158"/>
      <c r="AO715" s="158"/>
      <c r="AP715" s="158"/>
      <c r="AQ715" s="158" t="b">
        <f>IF(AN715="",TRUE,IF(IF(AO715="",VLOOKUP(AN715,Calculs!$A$19:$S$425,19,FALSE),VLOOKUP(AO715,Calculs!$A$19:$S$425,19,FALSE))&gt;=AP715,TRUE,FALSE))</f>
        <v>1</v>
      </c>
      <c r="AR715" s="158"/>
      <c r="AS715" s="158" t="b">
        <f>IF(AR715="",TRUE,IF(VLOOKUP(AR715,Calculs!$A$427:$G$738,7,FALSE)&gt;0,TRUE,FALSE))</f>
        <v>1</v>
      </c>
      <c r="AT715" s="158"/>
      <c r="AU715" s="158" t="b">
        <f>IF(AT715="",TRUE,IF(VLOOKUP(AT715,Calculs!$A$740:$G$912,7,FALSE)&gt;0,TRUE,FALSE))</f>
        <v>1</v>
      </c>
      <c r="AV715" s="158" t="b">
        <f t="shared" si="80"/>
        <v>1</v>
      </c>
      <c r="AW715" s="158" t="s">
        <v>2078</v>
      </c>
      <c r="AX715" s="162" t="s">
        <v>2075</v>
      </c>
      <c r="AY715" s="15">
        <v>84</v>
      </c>
      <c r="AZ715" s="555" t="s">
        <v>3043</v>
      </c>
      <c r="BA715" s="559">
        <f>IF(Verso!$B$10=Voies!$B715,1,0)</f>
        <v>0</v>
      </c>
      <c r="BB715" s="12">
        <f>IF(Verso!$B$11=Voies!$B715,1,0)</f>
        <v>0</v>
      </c>
      <c r="BC715" s="12">
        <f>IF(Verso!$B$12=Voies!$B715,1,0)</f>
        <v>0</v>
      </c>
      <c r="BD715" s="12">
        <f>IF(Verso!$B$13=Voies!$B715,1,0)</f>
        <v>0</v>
      </c>
      <c r="BE715" s="12">
        <f>IF(Verso!$B$14=Voies!$B715,1,0)</f>
        <v>0</v>
      </c>
      <c r="BF715" s="12">
        <f>IF(Verso!$B$15=Voies!$B715,1,0)</f>
        <v>0</v>
      </c>
      <c r="BG715" s="12">
        <f>IF(Verso!$B$16=Voies!$B715,1,0)</f>
        <v>0</v>
      </c>
      <c r="BH715" s="12">
        <f>IF(Verso!$B$17=Voies!$B715,1,0)</f>
        <v>0</v>
      </c>
      <c r="BI715" s="557">
        <f t="shared" si="81"/>
        <v>0</v>
      </c>
      <c r="BJ715" s="196" t="str">
        <f t="shared" si="82"/>
        <v/>
      </c>
      <c r="BK715" s="196" t="str">
        <f t="shared" si="83"/>
        <v/>
      </c>
      <c r="BL715" s="295" t="str">
        <f t="shared" si="84"/>
        <v/>
      </c>
    </row>
    <row r="716" spans="1:64" ht="47.25" customHeight="1" x14ac:dyDescent="0.25">
      <c r="A716" s="162" t="str">
        <f>IF(AND(Réputation&gt;Voies!E716-1,OR(C716=TRUE,Calculs!$I$8&gt;0),Air&gt;Voies!J716-1,Eau&gt;Voies!K716-1,Feu&gt;Voies!L716-1,Terre&gt;Voies!M716-1,Vide&gt;Voies!N716-1,Constitution&gt;Voies!O716-1,Volonté&gt;Voies!P716-1,Force&gt;Voies!Q716-1,Perception&gt;Voies!R716-1,Reflexes&gt;Voies!S716-1,Agilité&gt;Voies!T716-1,Intuition&gt;Voies!U716-1,Intelligence&gt;Voies!V716-1,Souillure&gt;Voies!W716-1,Honneur&gt;X716-1,Statut&gt;Y716-1,Gloire&gt;Z716-1,AV716=TRUE),Voies!B716,"")</f>
        <v/>
      </c>
      <c r="B716" s="162" t="s">
        <v>3027</v>
      </c>
      <c r="C716" s="162" t="b">
        <f>IF(Clan=Voies!D716,TRUE,FALSE)</f>
        <v>0</v>
      </c>
      <c r="D716" s="387" t="s">
        <v>53</v>
      </c>
      <c r="E716" s="13">
        <v>4</v>
      </c>
      <c r="F716" s="199">
        <v>4</v>
      </c>
      <c r="G716" s="13" t="s">
        <v>2049</v>
      </c>
      <c r="H716" s="162" t="s">
        <v>298</v>
      </c>
      <c r="I716" s="129" t="str">
        <f t="shared" si="85"/>
        <v>Rien</v>
      </c>
      <c r="J716" s="146">
        <v>0</v>
      </c>
      <c r="K716" s="147">
        <v>0</v>
      </c>
      <c r="L716" s="148">
        <v>0</v>
      </c>
      <c r="M716" s="149">
        <v>0</v>
      </c>
      <c r="N716" s="150">
        <v>0</v>
      </c>
      <c r="O716" s="130">
        <v>0</v>
      </c>
      <c r="P716" s="130">
        <v>0</v>
      </c>
      <c r="Q716" s="130">
        <v>0</v>
      </c>
      <c r="R716" s="130">
        <v>0</v>
      </c>
      <c r="S716" s="130">
        <v>0</v>
      </c>
      <c r="T716" s="130">
        <v>0</v>
      </c>
      <c r="U716" s="130">
        <v>0</v>
      </c>
      <c r="V716" s="524">
        <v>0</v>
      </c>
      <c r="W716" s="130">
        <v>0</v>
      </c>
      <c r="X716" s="130">
        <v>0</v>
      </c>
      <c r="Y716" s="130">
        <v>0</v>
      </c>
      <c r="Z716" s="130">
        <v>0</v>
      </c>
      <c r="AA716" s="158" t="s">
        <v>2078</v>
      </c>
      <c r="AB716" s="158"/>
      <c r="AC716" s="158"/>
      <c r="AD716" s="158"/>
      <c r="AE716" s="158" t="b">
        <f>IF(AB716="",TRUE,IF(IF(AC716="",VLOOKUP(AB716,Calculs!$A$19:$S$425,19,FALSE),VLOOKUP(AC716,Calculs!$A$19:$S$425,19,FALSE))&gt;=AD716,TRUE,FALSE))</f>
        <v>1</v>
      </c>
      <c r="AF716" s="158"/>
      <c r="AG716" s="158"/>
      <c r="AH716" s="158"/>
      <c r="AI716" s="158" t="b">
        <f>IF(AF716="",TRUE,IF(IF(AG716="",VLOOKUP(AF716,Calculs!$A$19:$S$425,19,FALSE),VLOOKUP(AG716,Calculs!$A$19:$S$425,19,FALSE))&gt;=AH716,TRUE,FALSE))</f>
        <v>1</v>
      </c>
      <c r="AJ716" s="158"/>
      <c r="AK716" s="158"/>
      <c r="AL716" s="158"/>
      <c r="AM716" s="158" t="b">
        <f>IF(AJ716="",TRUE,IF(IF(AK716="",VLOOKUP(AJ716,Calculs!$A$19:$S$425,19,FALSE),VLOOKUP(AK716,Calculs!$A$19:$S$425,19,FALSE))&gt;=AL716,TRUE,FALSE))</f>
        <v>1</v>
      </c>
      <c r="AN716" s="158"/>
      <c r="AO716" s="158"/>
      <c r="AP716" s="158"/>
      <c r="AQ716" s="158" t="b">
        <f>IF(AN716="",TRUE,IF(IF(AO716="",VLOOKUP(AN716,Calculs!$A$19:$S$425,19,FALSE),VLOOKUP(AO716,Calculs!$A$19:$S$425,19,FALSE))&gt;=AP716,TRUE,FALSE))</f>
        <v>1</v>
      </c>
      <c r="AR716" s="158"/>
      <c r="AS716" s="158" t="b">
        <f>IF(AR716="",TRUE,IF(VLOOKUP(AR716,Calculs!$A$427:$G$738,7,FALSE)&gt;0,TRUE,FALSE))</f>
        <v>1</v>
      </c>
      <c r="AT716" s="158"/>
      <c r="AU716" s="158" t="b">
        <f>IF(AT716="",TRUE,IF(VLOOKUP(AT716,Calculs!$A$740:$G$912,7,FALSE)&gt;0,TRUE,FALSE))</f>
        <v>1</v>
      </c>
      <c r="AV716" s="158" t="b">
        <f t="shared" si="80"/>
        <v>1</v>
      </c>
      <c r="AW716" s="158" t="s">
        <v>2078</v>
      </c>
      <c r="AX716" s="162" t="s">
        <v>2075</v>
      </c>
      <c r="AY716" s="15">
        <v>84</v>
      </c>
      <c r="AZ716" s="555" t="s">
        <v>3030</v>
      </c>
      <c r="BA716" s="559">
        <f>IF(Verso!$B$10=Voies!$B716,1,0)</f>
        <v>0</v>
      </c>
      <c r="BB716" s="12">
        <f>IF(Verso!$B$11=Voies!$B716,1,0)</f>
        <v>0</v>
      </c>
      <c r="BC716" s="12">
        <f>IF(Verso!$B$12=Voies!$B716,1,0)</f>
        <v>0</v>
      </c>
      <c r="BD716" s="12">
        <f>IF(Verso!$B$13=Voies!$B716,1,0)</f>
        <v>0</v>
      </c>
      <c r="BE716" s="12">
        <f>IF(Verso!$B$14=Voies!$B716,1,0)</f>
        <v>0</v>
      </c>
      <c r="BF716" s="12">
        <f>IF(Verso!$B$15=Voies!$B716,1,0)</f>
        <v>0</v>
      </c>
      <c r="BG716" s="12">
        <f>IF(Verso!$B$16=Voies!$B716,1,0)</f>
        <v>0</v>
      </c>
      <c r="BH716" s="12">
        <f>IF(Verso!$B$17=Voies!$B716,1,0)</f>
        <v>0</v>
      </c>
      <c r="BI716" s="557">
        <f t="shared" si="81"/>
        <v>0</v>
      </c>
      <c r="BJ716" s="196" t="str">
        <f t="shared" si="82"/>
        <v/>
      </c>
      <c r="BK716" s="196" t="str">
        <f t="shared" si="83"/>
        <v/>
      </c>
      <c r="BL716" s="295" t="str">
        <f t="shared" si="84"/>
        <v/>
      </c>
    </row>
    <row r="717" spans="1:64" ht="47.25" customHeight="1" x14ac:dyDescent="0.25">
      <c r="A717" s="162" t="str">
        <f>IF(AND(Réputation&gt;Voies!E717-1,OR(C717=TRUE,Calculs!$I$8&gt;0),Air&gt;Voies!J717-1,Eau&gt;Voies!K717-1,Feu&gt;Voies!L717-1,Terre&gt;Voies!M717-1,Vide&gt;Voies!N717-1,Constitution&gt;Voies!O717-1,Volonté&gt;Voies!P717-1,Force&gt;Voies!Q717-1,Perception&gt;Voies!R717-1,Reflexes&gt;Voies!S717-1,Agilité&gt;Voies!T717-1,Intuition&gt;Voies!U717-1,Intelligence&gt;Voies!V717-1,Souillure&gt;Voies!W717-1,Honneur&gt;X717-1,Statut&gt;Y717-1,Gloire&gt;Z717-1,AV717=TRUE),Voies!B717,"")</f>
        <v/>
      </c>
      <c r="B717" s="162" t="s">
        <v>3050</v>
      </c>
      <c r="C717" s="162" t="b">
        <f>IF(Clan=Voies!D717,TRUE,FALSE)</f>
        <v>0</v>
      </c>
      <c r="D717" s="387" t="s">
        <v>53</v>
      </c>
      <c r="E717" s="13">
        <v>4</v>
      </c>
      <c r="F717" s="199">
        <v>4</v>
      </c>
      <c r="G717" s="13" t="s">
        <v>2049</v>
      </c>
      <c r="H717" s="162" t="s">
        <v>299</v>
      </c>
      <c r="I717" s="129" t="str">
        <f t="shared" si="85"/>
        <v>Rien</v>
      </c>
      <c r="J717" s="146">
        <v>0</v>
      </c>
      <c r="K717" s="147">
        <v>0</v>
      </c>
      <c r="L717" s="148">
        <v>0</v>
      </c>
      <c r="M717" s="149">
        <v>0</v>
      </c>
      <c r="N717" s="150">
        <v>0</v>
      </c>
      <c r="O717" s="130">
        <v>0</v>
      </c>
      <c r="P717" s="130">
        <v>0</v>
      </c>
      <c r="Q717" s="130">
        <v>0</v>
      </c>
      <c r="R717" s="130">
        <v>0</v>
      </c>
      <c r="S717" s="130">
        <v>0</v>
      </c>
      <c r="T717" s="130">
        <v>0</v>
      </c>
      <c r="U717" s="130">
        <v>0</v>
      </c>
      <c r="V717" s="524">
        <v>0</v>
      </c>
      <c r="W717" s="130">
        <v>0</v>
      </c>
      <c r="X717" s="130">
        <v>0</v>
      </c>
      <c r="Y717" s="130">
        <v>0</v>
      </c>
      <c r="Z717" s="130">
        <v>0</v>
      </c>
      <c r="AA717" s="158" t="s">
        <v>2078</v>
      </c>
      <c r="AB717" s="158"/>
      <c r="AC717" s="158"/>
      <c r="AD717" s="158"/>
      <c r="AE717" s="158" t="b">
        <f>IF(AB717="",TRUE,IF(IF(AC717="",VLOOKUP(AB717,Calculs!$A$19:$S$425,19,FALSE),VLOOKUP(AC717,Calculs!$A$19:$S$425,19,FALSE))&gt;=AD717,TRUE,FALSE))</f>
        <v>1</v>
      </c>
      <c r="AF717" s="158"/>
      <c r="AG717" s="158"/>
      <c r="AH717" s="158"/>
      <c r="AI717" s="158" t="b">
        <f>IF(AF717="",TRUE,IF(IF(AG717="",VLOOKUP(AF717,Calculs!$A$19:$S$425,19,FALSE),VLOOKUP(AG717,Calculs!$A$19:$S$425,19,FALSE))&gt;=AH717,TRUE,FALSE))</f>
        <v>1</v>
      </c>
      <c r="AJ717" s="158"/>
      <c r="AK717" s="158"/>
      <c r="AL717" s="158"/>
      <c r="AM717" s="158" t="b">
        <f>IF(AJ717="",TRUE,IF(IF(AK717="",VLOOKUP(AJ717,Calculs!$A$19:$S$425,19,FALSE),VLOOKUP(AK717,Calculs!$A$19:$S$425,19,FALSE))&gt;=AL717,TRUE,FALSE))</f>
        <v>1</v>
      </c>
      <c r="AN717" s="158"/>
      <c r="AO717" s="158"/>
      <c r="AP717" s="158"/>
      <c r="AQ717" s="158" t="b">
        <f>IF(AN717="",TRUE,IF(IF(AO717="",VLOOKUP(AN717,Calculs!$A$19:$S$425,19,FALSE),VLOOKUP(AO717,Calculs!$A$19:$S$425,19,FALSE))&gt;=AP717,TRUE,FALSE))</f>
        <v>1</v>
      </c>
      <c r="AR717" s="158"/>
      <c r="AS717" s="158" t="b">
        <f>IF(AR717="",TRUE,IF(VLOOKUP(AR717,Calculs!$A$427:$G$738,7,FALSE)&gt;0,TRUE,FALSE))</f>
        <v>1</v>
      </c>
      <c r="AT717" s="158"/>
      <c r="AU717" s="158" t="b">
        <f>IF(AT717="",TRUE,IF(VLOOKUP(AT717,Calculs!$A$740:$G$912,7,FALSE)&gt;0,TRUE,FALSE))</f>
        <v>1</v>
      </c>
      <c r="AV717" s="158" t="b">
        <f t="shared" si="80"/>
        <v>1</v>
      </c>
      <c r="AW717" s="158" t="s">
        <v>2078</v>
      </c>
      <c r="AX717" s="162" t="s">
        <v>2075</v>
      </c>
      <c r="AY717" s="15">
        <v>85</v>
      </c>
      <c r="AZ717" s="555" t="str">
        <f>CONCATENATE("ActG une fois par combat au début d'un Round: Durant les 3 Rounds qui suivent votre Réduction augmente de ",Vide)</f>
        <v>ActG une fois par combat au début d'un Round: Durant les 3 Rounds qui suivent votre Réduction augmente de 2</v>
      </c>
      <c r="BA717" s="559">
        <f>IF(Verso!$B$10=Voies!$B717,1,0)</f>
        <v>0</v>
      </c>
      <c r="BB717" s="12">
        <f>IF(Verso!$B$11=Voies!$B717,1,0)</f>
        <v>0</v>
      </c>
      <c r="BC717" s="12">
        <f>IF(Verso!$B$12=Voies!$B717,1,0)</f>
        <v>0</v>
      </c>
      <c r="BD717" s="12">
        <f>IF(Verso!$B$13=Voies!$B717,1,0)</f>
        <v>0</v>
      </c>
      <c r="BE717" s="12">
        <f>IF(Verso!$B$14=Voies!$B717,1,0)</f>
        <v>0</v>
      </c>
      <c r="BF717" s="12">
        <f>IF(Verso!$B$15=Voies!$B717,1,0)</f>
        <v>0</v>
      </c>
      <c r="BG717" s="12">
        <f>IF(Verso!$B$16=Voies!$B717,1,0)</f>
        <v>0</v>
      </c>
      <c r="BH717" s="12">
        <f>IF(Verso!$B$17=Voies!$B717,1,0)</f>
        <v>0</v>
      </c>
      <c r="BI717" s="557">
        <f t="shared" si="81"/>
        <v>0</v>
      </c>
      <c r="BJ717" s="196" t="str">
        <f t="shared" si="82"/>
        <v/>
      </c>
      <c r="BK717" s="196" t="str">
        <f t="shared" si="83"/>
        <v/>
      </c>
      <c r="BL717" s="295" t="str">
        <f t="shared" si="84"/>
        <v/>
      </c>
    </row>
    <row r="718" spans="1:64" ht="47.25" customHeight="1" x14ac:dyDescent="0.25">
      <c r="A718" s="162" t="str">
        <f>IF(AND(Réputation&gt;Voies!E718-1,OR(C718=TRUE,Calculs!$I$8&gt;0),Air&gt;Voies!J718-1,Eau&gt;Voies!K718-1,Feu&gt;Voies!L718-1,Terre&gt;Voies!M718-1,Vide&gt;Voies!N718-1,Constitution&gt;Voies!O718-1,Volonté&gt;Voies!P718-1,Force&gt;Voies!Q718-1,Perception&gt;Voies!R718-1,Reflexes&gt;Voies!S718-1,Agilité&gt;Voies!T718-1,Intuition&gt;Voies!U718-1,Intelligence&gt;Voies!V718-1,Souillure&gt;Voies!W718-1,Honneur&gt;X718-1,Statut&gt;Y718-1,Gloire&gt;Z718-1,AV718=TRUE),Voies!B718,"")</f>
        <v/>
      </c>
      <c r="B718" s="162" t="s">
        <v>3036</v>
      </c>
      <c r="C718" s="162" t="b">
        <f>IF(Clan=Voies!D718,TRUE,FALSE)</f>
        <v>0</v>
      </c>
      <c r="D718" s="387" t="s">
        <v>53</v>
      </c>
      <c r="E718" s="13">
        <v>4</v>
      </c>
      <c r="F718" s="199">
        <v>4</v>
      </c>
      <c r="G718" s="13" t="s">
        <v>2052</v>
      </c>
      <c r="H718" s="162" t="s">
        <v>581</v>
      </c>
      <c r="I718" s="129" t="str">
        <f t="shared" si="85"/>
        <v>Rien</v>
      </c>
      <c r="J718" s="146">
        <v>0</v>
      </c>
      <c r="K718" s="147">
        <v>0</v>
      </c>
      <c r="L718" s="148">
        <v>0</v>
      </c>
      <c r="M718" s="149">
        <v>0</v>
      </c>
      <c r="N718" s="150">
        <v>0</v>
      </c>
      <c r="O718" s="130">
        <v>0</v>
      </c>
      <c r="P718" s="130">
        <v>0</v>
      </c>
      <c r="Q718" s="130">
        <v>0</v>
      </c>
      <c r="R718" s="130">
        <v>0</v>
      </c>
      <c r="S718" s="130">
        <v>0</v>
      </c>
      <c r="T718" s="130">
        <v>0</v>
      </c>
      <c r="U718" s="130">
        <v>0</v>
      </c>
      <c r="V718" s="524">
        <v>0</v>
      </c>
      <c r="W718" s="130">
        <v>0</v>
      </c>
      <c r="X718" s="130">
        <v>0</v>
      </c>
      <c r="Y718" s="130">
        <v>0</v>
      </c>
      <c r="Z718" s="130">
        <v>0</v>
      </c>
      <c r="AA718" s="158" t="s">
        <v>2078</v>
      </c>
      <c r="AB718" s="158"/>
      <c r="AC718" s="158"/>
      <c r="AD718" s="158"/>
      <c r="AE718" s="158" t="b">
        <f>IF(AB718="",TRUE,IF(IF(AC718="",VLOOKUP(AB718,Calculs!$A$19:$S$425,19,FALSE),VLOOKUP(AC718,Calculs!$A$19:$S$425,19,FALSE))&gt;=AD718,TRUE,FALSE))</f>
        <v>1</v>
      </c>
      <c r="AF718" s="158"/>
      <c r="AG718" s="158"/>
      <c r="AH718" s="158"/>
      <c r="AI718" s="158" t="b">
        <f>IF(AF718="",TRUE,IF(IF(AG718="",VLOOKUP(AF718,Calculs!$A$19:$S$425,19,FALSE),VLOOKUP(AG718,Calculs!$A$19:$S$425,19,FALSE))&gt;=AH718,TRUE,FALSE))</f>
        <v>1</v>
      </c>
      <c r="AJ718" s="158"/>
      <c r="AK718" s="158"/>
      <c r="AL718" s="158"/>
      <c r="AM718" s="158" t="b">
        <f>IF(AJ718="",TRUE,IF(IF(AK718="",VLOOKUP(AJ718,Calculs!$A$19:$S$425,19,FALSE),VLOOKUP(AK718,Calculs!$A$19:$S$425,19,FALSE))&gt;=AL718,TRUE,FALSE))</f>
        <v>1</v>
      </c>
      <c r="AN718" s="158"/>
      <c r="AO718" s="158"/>
      <c r="AP718" s="158"/>
      <c r="AQ718" s="158" t="b">
        <f>IF(AN718="",TRUE,IF(IF(AO718="",VLOOKUP(AN718,Calculs!$A$19:$S$425,19,FALSE),VLOOKUP(AO718,Calculs!$A$19:$S$425,19,FALSE))&gt;=AP718,TRUE,FALSE))</f>
        <v>1</v>
      </c>
      <c r="AR718" s="158"/>
      <c r="AS718" s="158" t="b">
        <f>IF(AR718="",TRUE,IF(VLOOKUP(AR718,Calculs!$A$427:$G$738,7,FALSE)&gt;0,TRUE,FALSE))</f>
        <v>1</v>
      </c>
      <c r="AT718" s="158"/>
      <c r="AU718" s="158" t="b">
        <f>IF(AT718="",TRUE,IF(VLOOKUP(AT718,Calculs!$A$740:$G$912,7,FALSE)&gt;0,TRUE,FALSE))</f>
        <v>1</v>
      </c>
      <c r="AV718" s="158" t="b">
        <f t="shared" si="80"/>
        <v>1</v>
      </c>
      <c r="AW718" s="158" t="s">
        <v>2078</v>
      </c>
      <c r="AX718" s="162" t="s">
        <v>2075</v>
      </c>
      <c r="AY718" s="15">
        <v>84</v>
      </c>
      <c r="AZ718" s="566" t="s">
        <v>3044</v>
      </c>
      <c r="BA718" s="559">
        <f>IF(Verso!$B$10=Voies!$B718,1,0)</f>
        <v>0</v>
      </c>
      <c r="BB718" s="12">
        <f>IF(Verso!$B$11=Voies!$B718,1,0)</f>
        <v>0</v>
      </c>
      <c r="BC718" s="12">
        <f>IF(Verso!$B$12=Voies!$B718,1,0)</f>
        <v>0</v>
      </c>
      <c r="BD718" s="12">
        <f>IF(Verso!$B$13=Voies!$B718,1,0)</f>
        <v>0</v>
      </c>
      <c r="BE718" s="12">
        <f>IF(Verso!$B$14=Voies!$B718,1,0)</f>
        <v>0</v>
      </c>
      <c r="BF718" s="12">
        <f>IF(Verso!$B$15=Voies!$B718,1,0)</f>
        <v>0</v>
      </c>
      <c r="BG718" s="12">
        <f>IF(Verso!$B$16=Voies!$B718,1,0)</f>
        <v>0</v>
      </c>
      <c r="BH718" s="12">
        <f>IF(Verso!$B$17=Voies!$B718,1,0)</f>
        <v>0</v>
      </c>
      <c r="BI718" s="557">
        <f t="shared" si="81"/>
        <v>0</v>
      </c>
      <c r="BJ718" s="196" t="str">
        <f t="shared" si="82"/>
        <v/>
      </c>
      <c r="BK718" s="196" t="str">
        <f t="shared" si="83"/>
        <v/>
      </c>
      <c r="BL718" s="295" t="str">
        <f t="shared" si="84"/>
        <v/>
      </c>
    </row>
    <row r="719" spans="1:64" ht="47.25" customHeight="1" x14ac:dyDescent="0.25">
      <c r="A719" s="162" t="str">
        <f>IF(AND(Réputation&gt;Voies!E719-1,OR(C719=TRUE,Calculs!$I$8&gt;0),Air&gt;Voies!J719-1,Eau&gt;Voies!K719-1,Feu&gt;Voies!L719-1,Terre&gt;Voies!M719-1,Vide&gt;Voies!N719-1,Constitution&gt;Voies!O719-1,Volonté&gt;Voies!P719-1,Force&gt;Voies!Q719-1,Perception&gt;Voies!R719-1,Reflexes&gt;Voies!S719-1,Agilité&gt;Voies!T719-1,Intuition&gt;Voies!U719-1,Intelligence&gt;Voies!V719-1,Souillure&gt;Voies!W719-1,Honneur&gt;X719-1,Statut&gt;Y719-1,Gloire&gt;Z719-1,AV719=TRUE),Voies!B719,"")</f>
        <v/>
      </c>
      <c r="B719" s="162" t="s">
        <v>3028</v>
      </c>
      <c r="C719" s="162" t="b">
        <f>IF(Clan=Voies!D719,TRUE,FALSE)</f>
        <v>0</v>
      </c>
      <c r="D719" s="387" t="s">
        <v>53</v>
      </c>
      <c r="E719" s="13">
        <v>5</v>
      </c>
      <c r="F719" s="199">
        <v>5</v>
      </c>
      <c r="G719" s="13" t="s">
        <v>2049</v>
      </c>
      <c r="H719" s="162" t="s">
        <v>298</v>
      </c>
      <c r="I719" s="129" t="str">
        <f t="shared" si="85"/>
        <v>Rien</v>
      </c>
      <c r="J719" s="146">
        <v>0</v>
      </c>
      <c r="K719" s="147">
        <v>0</v>
      </c>
      <c r="L719" s="148">
        <v>0</v>
      </c>
      <c r="M719" s="149">
        <v>0</v>
      </c>
      <c r="N719" s="150">
        <v>0</v>
      </c>
      <c r="O719" s="130">
        <v>0</v>
      </c>
      <c r="P719" s="130">
        <v>0</v>
      </c>
      <c r="Q719" s="130">
        <v>0</v>
      </c>
      <c r="R719" s="130">
        <v>0</v>
      </c>
      <c r="S719" s="130">
        <v>0</v>
      </c>
      <c r="T719" s="130">
        <v>0</v>
      </c>
      <c r="U719" s="130">
        <v>0</v>
      </c>
      <c r="V719" s="524">
        <v>0</v>
      </c>
      <c r="W719" s="130">
        <v>0</v>
      </c>
      <c r="X719" s="130">
        <v>0</v>
      </c>
      <c r="Y719" s="130">
        <v>0</v>
      </c>
      <c r="Z719" s="130">
        <v>0</v>
      </c>
      <c r="AA719" s="158" t="s">
        <v>2078</v>
      </c>
      <c r="AB719" s="158"/>
      <c r="AC719" s="158"/>
      <c r="AD719" s="158"/>
      <c r="AE719" s="158" t="b">
        <f>IF(AB719="",TRUE,IF(IF(AC719="",VLOOKUP(AB719,Calculs!$A$19:$S$425,19,FALSE),VLOOKUP(AC719,Calculs!$A$19:$S$425,19,FALSE))&gt;=AD719,TRUE,FALSE))</f>
        <v>1</v>
      </c>
      <c r="AF719" s="158"/>
      <c r="AG719" s="158"/>
      <c r="AH719" s="158"/>
      <c r="AI719" s="158" t="b">
        <f>IF(AF719="",TRUE,IF(IF(AG719="",VLOOKUP(AF719,Calculs!$A$19:$S$425,19,FALSE),VLOOKUP(AG719,Calculs!$A$19:$S$425,19,FALSE))&gt;=AH719,TRUE,FALSE))</f>
        <v>1</v>
      </c>
      <c r="AJ719" s="158"/>
      <c r="AK719" s="158"/>
      <c r="AL719" s="158"/>
      <c r="AM719" s="158" t="b">
        <f>IF(AJ719="",TRUE,IF(IF(AK719="",VLOOKUP(AJ719,Calculs!$A$19:$S$425,19,FALSE),VLOOKUP(AK719,Calculs!$A$19:$S$425,19,FALSE))&gt;=AL719,TRUE,FALSE))</f>
        <v>1</v>
      </c>
      <c r="AN719" s="158"/>
      <c r="AO719" s="158"/>
      <c r="AP719" s="158"/>
      <c r="AQ719" s="158" t="b">
        <f>IF(AN719="",TRUE,IF(IF(AO719="",VLOOKUP(AN719,Calculs!$A$19:$S$425,19,FALSE),VLOOKUP(AO719,Calculs!$A$19:$S$425,19,FALSE))&gt;=AP719,TRUE,FALSE))</f>
        <v>1</v>
      </c>
      <c r="AR719" s="158"/>
      <c r="AS719" s="158" t="b">
        <f>IF(AR719="",TRUE,IF(VLOOKUP(AR719,Calculs!$A$427:$G$738,7,FALSE)&gt;0,TRUE,FALSE))</f>
        <v>1</v>
      </c>
      <c r="AT719" s="158"/>
      <c r="AU719" s="158" t="b">
        <f>IF(AT719="",TRUE,IF(VLOOKUP(AT719,Calculs!$A$740:$G$912,7,FALSE)&gt;0,TRUE,FALSE))</f>
        <v>1</v>
      </c>
      <c r="AV719" s="158" t="b">
        <f t="shared" si="80"/>
        <v>1</v>
      </c>
      <c r="AW719" s="158" t="s">
        <v>2078</v>
      </c>
      <c r="AX719" s="162" t="s">
        <v>2075</v>
      </c>
      <c r="AY719" s="15">
        <v>84</v>
      </c>
      <c r="AZ719" s="555" t="s">
        <v>8663</v>
      </c>
      <c r="BA719" s="559">
        <f>IF(Verso!$B$10=Voies!$B719,1,0)</f>
        <v>0</v>
      </c>
      <c r="BB719" s="12">
        <f>IF(Verso!$B$11=Voies!$B719,1,0)</f>
        <v>0</v>
      </c>
      <c r="BC719" s="12">
        <f>IF(Verso!$B$12=Voies!$B719,1,0)</f>
        <v>0</v>
      </c>
      <c r="BD719" s="12">
        <f>IF(Verso!$B$13=Voies!$B719,1,0)</f>
        <v>0</v>
      </c>
      <c r="BE719" s="12">
        <f>IF(Verso!$B$14=Voies!$B719,1,0)</f>
        <v>0</v>
      </c>
      <c r="BF719" s="12">
        <f>IF(Verso!$B$15=Voies!$B719,1,0)</f>
        <v>0</v>
      </c>
      <c r="BG719" s="12">
        <f>IF(Verso!$B$16=Voies!$B719,1,0)</f>
        <v>0</v>
      </c>
      <c r="BH719" s="12">
        <f>IF(Verso!$B$17=Voies!$B719,1,0)</f>
        <v>0</v>
      </c>
      <c r="BI719" s="557">
        <f t="shared" si="81"/>
        <v>0</v>
      </c>
      <c r="BJ719" s="196" t="str">
        <f t="shared" si="82"/>
        <v/>
      </c>
      <c r="BK719" s="196" t="str">
        <f t="shared" si="83"/>
        <v/>
      </c>
      <c r="BL719" s="295" t="str">
        <f t="shared" si="84"/>
        <v/>
      </c>
    </row>
    <row r="720" spans="1:64" ht="47.25" customHeight="1" x14ac:dyDescent="0.25">
      <c r="A720" s="162" t="str">
        <f>IF(AND(Réputation&gt;Voies!E720-1,OR(C720=TRUE,Calculs!$I$8&gt;0),Air&gt;Voies!J720-1,Eau&gt;Voies!K720-1,Feu&gt;Voies!L720-1,Terre&gt;Voies!M720-1,Vide&gt;Voies!N720-1,Constitution&gt;Voies!O720-1,Volonté&gt;Voies!P720-1,Force&gt;Voies!Q720-1,Perception&gt;Voies!R720-1,Reflexes&gt;Voies!S720-1,Agilité&gt;Voies!T720-1,Intuition&gt;Voies!U720-1,Intelligence&gt;Voies!V720-1,Souillure&gt;Voies!W720-1,Honneur&gt;X720-1,Statut&gt;Y720-1,Gloire&gt;Z720-1,AV720=TRUE),Voies!B720,"")</f>
        <v/>
      </c>
      <c r="B720" s="162" t="s">
        <v>3051</v>
      </c>
      <c r="C720" s="162" t="b">
        <f>IF(Clan=Voies!D720,TRUE,FALSE)</f>
        <v>0</v>
      </c>
      <c r="D720" s="387" t="s">
        <v>53</v>
      </c>
      <c r="E720" s="13">
        <v>5</v>
      </c>
      <c r="F720" s="199">
        <v>5</v>
      </c>
      <c r="G720" s="13" t="s">
        <v>2049</v>
      </c>
      <c r="H720" s="162" t="s">
        <v>299</v>
      </c>
      <c r="I720" s="129" t="str">
        <f t="shared" si="85"/>
        <v>Rien</v>
      </c>
      <c r="J720" s="146">
        <v>0</v>
      </c>
      <c r="K720" s="147">
        <v>0</v>
      </c>
      <c r="L720" s="148">
        <v>0</v>
      </c>
      <c r="M720" s="149">
        <v>0</v>
      </c>
      <c r="N720" s="150">
        <v>0</v>
      </c>
      <c r="O720" s="130">
        <v>0</v>
      </c>
      <c r="P720" s="130">
        <v>0</v>
      </c>
      <c r="Q720" s="130">
        <v>0</v>
      </c>
      <c r="R720" s="130">
        <v>0</v>
      </c>
      <c r="S720" s="130">
        <v>0</v>
      </c>
      <c r="T720" s="130">
        <v>0</v>
      </c>
      <c r="U720" s="130">
        <v>0</v>
      </c>
      <c r="V720" s="524">
        <v>0</v>
      </c>
      <c r="W720" s="130">
        <v>0</v>
      </c>
      <c r="X720" s="130">
        <v>0</v>
      </c>
      <c r="Y720" s="130">
        <v>0</v>
      </c>
      <c r="Z720" s="130">
        <v>0</v>
      </c>
      <c r="AA720" s="158" t="s">
        <v>2078</v>
      </c>
      <c r="AB720" s="158"/>
      <c r="AC720" s="158"/>
      <c r="AD720" s="158"/>
      <c r="AE720" s="158" t="b">
        <f>IF(AB720="",TRUE,IF(IF(AC720="",VLOOKUP(AB720,Calculs!$A$19:$S$425,19,FALSE),VLOOKUP(AC720,Calculs!$A$19:$S$425,19,FALSE))&gt;=AD720,TRUE,FALSE))</f>
        <v>1</v>
      </c>
      <c r="AF720" s="158"/>
      <c r="AG720" s="158"/>
      <c r="AH720" s="158"/>
      <c r="AI720" s="158" t="b">
        <f>IF(AF720="",TRUE,IF(IF(AG720="",VLOOKUP(AF720,Calculs!$A$19:$S$425,19,FALSE),VLOOKUP(AG720,Calculs!$A$19:$S$425,19,FALSE))&gt;=AH720,TRUE,FALSE))</f>
        <v>1</v>
      </c>
      <c r="AJ720" s="158"/>
      <c r="AK720" s="158"/>
      <c r="AL720" s="158"/>
      <c r="AM720" s="158" t="b">
        <f>IF(AJ720="",TRUE,IF(IF(AK720="",VLOOKUP(AJ720,Calculs!$A$19:$S$425,19,FALSE),VLOOKUP(AK720,Calculs!$A$19:$S$425,19,FALSE))&gt;=AL720,TRUE,FALSE))</f>
        <v>1</v>
      </c>
      <c r="AN720" s="158"/>
      <c r="AO720" s="158"/>
      <c r="AP720" s="158"/>
      <c r="AQ720" s="158" t="b">
        <f>IF(AN720="",TRUE,IF(IF(AO720="",VLOOKUP(AN720,Calculs!$A$19:$S$425,19,FALSE),VLOOKUP(AO720,Calculs!$A$19:$S$425,19,FALSE))&gt;=AP720,TRUE,FALSE))</f>
        <v>1</v>
      </c>
      <c r="AR720" s="158"/>
      <c r="AS720" s="158" t="b">
        <f>IF(AR720="",TRUE,IF(VLOOKUP(AR720,Calculs!$A$427:$G$738,7,FALSE)&gt;0,TRUE,FALSE))</f>
        <v>1</v>
      </c>
      <c r="AT720" s="158"/>
      <c r="AU720" s="158" t="b">
        <f>IF(AT720="",TRUE,IF(VLOOKUP(AT720,Calculs!$A$740:$G$912,7,FALSE)&gt;0,TRUE,FALSE))</f>
        <v>1</v>
      </c>
      <c r="AV720" s="158" t="b">
        <f t="shared" si="80"/>
        <v>1</v>
      </c>
      <c r="AW720" s="158" t="s">
        <v>2078</v>
      </c>
      <c r="AX720" s="162" t="s">
        <v>2075</v>
      </c>
      <c r="AY720" s="15">
        <v>85</v>
      </c>
      <c r="AZ720" s="555" t="s">
        <v>8664</v>
      </c>
      <c r="BA720" s="559">
        <f>IF(Verso!$B$10=Voies!$B720,1,0)</f>
        <v>0</v>
      </c>
      <c r="BB720" s="12">
        <f>IF(Verso!$B$11=Voies!$B720,1,0)</f>
        <v>0</v>
      </c>
      <c r="BC720" s="12">
        <f>IF(Verso!$B$12=Voies!$B720,1,0)</f>
        <v>0</v>
      </c>
      <c r="BD720" s="12">
        <f>IF(Verso!$B$13=Voies!$B720,1,0)</f>
        <v>0</v>
      </c>
      <c r="BE720" s="12">
        <f>IF(Verso!$B$14=Voies!$B720,1,0)</f>
        <v>0</v>
      </c>
      <c r="BF720" s="12">
        <f>IF(Verso!$B$15=Voies!$B720,1,0)</f>
        <v>0</v>
      </c>
      <c r="BG720" s="12">
        <f>IF(Verso!$B$16=Voies!$B720,1,0)</f>
        <v>0</v>
      </c>
      <c r="BH720" s="12">
        <f>IF(Verso!$B$17=Voies!$B720,1,0)</f>
        <v>0</v>
      </c>
      <c r="BI720" s="557">
        <f t="shared" si="81"/>
        <v>0</v>
      </c>
      <c r="BJ720" s="196" t="str">
        <f t="shared" si="82"/>
        <v/>
      </c>
      <c r="BK720" s="196" t="str">
        <f t="shared" si="83"/>
        <v/>
      </c>
      <c r="BL720" s="295" t="str">
        <f t="shared" si="84"/>
        <v/>
      </c>
    </row>
    <row r="721" spans="1:64" ht="47.25" customHeight="1" x14ac:dyDescent="0.25">
      <c r="A721" s="162" t="str">
        <f>IF(AND(Réputation&gt;Voies!E721-1,OR(C721=TRUE,Calculs!$I$8&gt;0),Air&gt;Voies!J721-1,Eau&gt;Voies!K721-1,Feu&gt;Voies!L721-1,Terre&gt;Voies!M721-1,Vide&gt;Voies!N721-1,Constitution&gt;Voies!O721-1,Volonté&gt;Voies!P721-1,Force&gt;Voies!Q721-1,Perception&gt;Voies!R721-1,Reflexes&gt;Voies!S721-1,Agilité&gt;Voies!T721-1,Intuition&gt;Voies!U721-1,Intelligence&gt;Voies!V721-1,Souillure&gt;Voies!W721-1,Honneur&gt;X721-1,Statut&gt;Y721-1,Gloire&gt;Z721-1,AV721=TRUE),Voies!B721,"")</f>
        <v/>
      </c>
      <c r="B721" s="162" t="s">
        <v>3037</v>
      </c>
      <c r="C721" s="162" t="b">
        <f>IF(Clan=Voies!D721,TRUE,FALSE)</f>
        <v>0</v>
      </c>
      <c r="D721" s="387" t="s">
        <v>53</v>
      </c>
      <c r="E721" s="13">
        <v>5</v>
      </c>
      <c r="F721" s="199">
        <v>5</v>
      </c>
      <c r="G721" s="199" t="s">
        <v>2052</v>
      </c>
      <c r="H721" s="162" t="s">
        <v>581</v>
      </c>
      <c r="I721" s="129" t="str">
        <f t="shared" si="85"/>
        <v>Rien</v>
      </c>
      <c r="J721" s="146">
        <v>0</v>
      </c>
      <c r="K721" s="147">
        <v>0</v>
      </c>
      <c r="L721" s="148">
        <v>0</v>
      </c>
      <c r="M721" s="149">
        <v>0</v>
      </c>
      <c r="N721" s="150">
        <v>0</v>
      </c>
      <c r="O721" s="130">
        <v>0</v>
      </c>
      <c r="P721" s="130">
        <v>0</v>
      </c>
      <c r="Q721" s="130">
        <v>0</v>
      </c>
      <c r="R721" s="130">
        <v>0</v>
      </c>
      <c r="S721" s="130">
        <v>0</v>
      </c>
      <c r="T721" s="130">
        <v>0</v>
      </c>
      <c r="U721" s="130">
        <v>0</v>
      </c>
      <c r="V721" s="524">
        <v>0</v>
      </c>
      <c r="W721" s="130">
        <v>0</v>
      </c>
      <c r="X721" s="130">
        <v>0</v>
      </c>
      <c r="Y721" s="130">
        <v>0</v>
      </c>
      <c r="Z721" s="130">
        <v>0</v>
      </c>
      <c r="AA721" s="158" t="s">
        <v>2078</v>
      </c>
      <c r="AB721" s="158"/>
      <c r="AC721" s="158"/>
      <c r="AD721" s="158"/>
      <c r="AE721" s="158" t="b">
        <f>IF(AB721="",TRUE,IF(IF(AC721="",VLOOKUP(AB721,Calculs!$A$19:$S$425,19,FALSE),VLOOKUP(AC721,Calculs!$A$19:$S$425,19,FALSE))&gt;=AD721,TRUE,FALSE))</f>
        <v>1</v>
      </c>
      <c r="AF721" s="158"/>
      <c r="AG721" s="158"/>
      <c r="AH721" s="158"/>
      <c r="AI721" s="158" t="b">
        <f>IF(AF721="",TRUE,IF(IF(AG721="",VLOOKUP(AF721,Calculs!$A$19:$S$425,19,FALSE),VLOOKUP(AG721,Calculs!$A$19:$S$425,19,FALSE))&gt;=AH721,TRUE,FALSE))</f>
        <v>1</v>
      </c>
      <c r="AJ721" s="158"/>
      <c r="AK721" s="158"/>
      <c r="AL721" s="158"/>
      <c r="AM721" s="158" t="b">
        <f>IF(AJ721="",TRUE,IF(IF(AK721="",VLOOKUP(AJ721,Calculs!$A$19:$S$425,19,FALSE),VLOOKUP(AK721,Calculs!$A$19:$S$425,19,FALSE))&gt;=AL721,TRUE,FALSE))</f>
        <v>1</v>
      </c>
      <c r="AN721" s="158"/>
      <c r="AO721" s="158"/>
      <c r="AP721" s="158"/>
      <c r="AQ721" s="158" t="b">
        <f>IF(AN721="",TRUE,IF(IF(AO721="",VLOOKUP(AN721,Calculs!$A$19:$S$425,19,FALSE),VLOOKUP(AO721,Calculs!$A$19:$S$425,19,FALSE))&gt;=AP721,TRUE,FALSE))</f>
        <v>1</v>
      </c>
      <c r="AR721" s="158"/>
      <c r="AS721" s="158" t="b">
        <f>IF(AR721="",TRUE,IF(VLOOKUP(AR721,Calculs!$A$427:$G$738,7,FALSE)&gt;0,TRUE,FALSE))</f>
        <v>1</v>
      </c>
      <c r="AT721" s="158"/>
      <c r="AU721" s="158" t="b">
        <f>IF(AT721="",TRUE,IF(VLOOKUP(AT721,Calculs!$A$740:$G$912,7,FALSE)&gt;0,TRUE,FALSE))</f>
        <v>1</v>
      </c>
      <c r="AV721" s="158" t="b">
        <f t="shared" si="80"/>
        <v>1</v>
      </c>
      <c r="AW721" s="158" t="s">
        <v>2078</v>
      </c>
      <c r="AX721" s="162" t="s">
        <v>2075</v>
      </c>
      <c r="AY721" s="15">
        <v>84</v>
      </c>
      <c r="AZ721" s="555" t="s">
        <v>3045</v>
      </c>
      <c r="BA721" s="559">
        <f>IF(Verso!$B$10=Voies!$B721,1,0)</f>
        <v>0</v>
      </c>
      <c r="BB721" s="12">
        <f>IF(Verso!$B$11=Voies!$B721,1,0)</f>
        <v>0</v>
      </c>
      <c r="BC721" s="12">
        <f>IF(Verso!$B$12=Voies!$B721,1,0)</f>
        <v>0</v>
      </c>
      <c r="BD721" s="12">
        <f>IF(Verso!$B$13=Voies!$B721,1,0)</f>
        <v>0</v>
      </c>
      <c r="BE721" s="12">
        <f>IF(Verso!$B$14=Voies!$B721,1,0)</f>
        <v>0</v>
      </c>
      <c r="BF721" s="12">
        <f>IF(Verso!$B$15=Voies!$B721,1,0)</f>
        <v>0</v>
      </c>
      <c r="BG721" s="12">
        <f>IF(Verso!$B$16=Voies!$B721,1,0)</f>
        <v>0</v>
      </c>
      <c r="BH721" s="12">
        <f>IF(Verso!$B$17=Voies!$B721,1,0)</f>
        <v>0</v>
      </c>
      <c r="BI721" s="557">
        <f t="shared" si="81"/>
        <v>0</v>
      </c>
      <c r="BJ721" s="196" t="str">
        <f t="shared" si="82"/>
        <v/>
      </c>
      <c r="BK721" s="196" t="str">
        <f t="shared" si="83"/>
        <v/>
      </c>
      <c r="BL721" s="295" t="str">
        <f t="shared" si="84"/>
        <v/>
      </c>
    </row>
    <row r="722" spans="1:64" ht="47.25" customHeight="1" x14ac:dyDescent="0.25">
      <c r="A722" s="162" t="str">
        <f>IF(AND(Réputation&gt;Voies!E722-1,OR(C722=TRUE,Calculs!$I$8&gt;0),Air&gt;Voies!J722-1,Eau&gt;Voies!K722-1,Feu&gt;Voies!L722-1,Terre&gt;Voies!M722-1,Vide&gt;Voies!N722-1,Constitution&gt;Voies!O722-1,Volonté&gt;Voies!P722-1,Force&gt;Voies!Q722-1,Perception&gt;Voies!R722-1,Reflexes&gt;Voies!S722-1,Agilité&gt;Voies!T722-1,Intuition&gt;Voies!U722-1,Intelligence&gt;Voies!V722-1,Souillure&gt;Voies!W722-1,Honneur&gt;X722-1,Statut&gt;Y722-1,Gloire&gt;Z722-1,AV722=TRUE),Voies!B722,"")</f>
        <v/>
      </c>
      <c r="B722" s="162" t="s">
        <v>3112</v>
      </c>
      <c r="C722" s="162" t="b">
        <f>IF(Clan=Voies!D722,TRUE,FALSE)</f>
        <v>0</v>
      </c>
      <c r="D722" s="388" t="s">
        <v>56</v>
      </c>
      <c r="E722" s="13">
        <v>0</v>
      </c>
      <c r="F722" s="199">
        <v>0</v>
      </c>
      <c r="G722" s="157" t="s">
        <v>2078</v>
      </c>
      <c r="H722" s="162" t="s">
        <v>585</v>
      </c>
      <c r="I722" s="129" t="str">
        <f t="shared" si="85"/>
        <v>Rien</v>
      </c>
      <c r="J722" s="146">
        <v>0</v>
      </c>
      <c r="K722" s="147">
        <v>0</v>
      </c>
      <c r="L722" s="148">
        <v>0</v>
      </c>
      <c r="M722" s="149">
        <v>4</v>
      </c>
      <c r="N722" s="150">
        <v>0</v>
      </c>
      <c r="O722" s="130">
        <v>0</v>
      </c>
      <c r="P722" s="130">
        <v>0</v>
      </c>
      <c r="Q722" s="130">
        <v>5</v>
      </c>
      <c r="R722" s="130">
        <v>0</v>
      </c>
      <c r="S722" s="130">
        <v>0</v>
      </c>
      <c r="T722" s="130">
        <v>4</v>
      </c>
      <c r="U722" s="130">
        <v>0</v>
      </c>
      <c r="V722" s="524">
        <v>0</v>
      </c>
      <c r="W722" s="130">
        <v>0</v>
      </c>
      <c r="X722" s="130">
        <v>0</v>
      </c>
      <c r="Y722" s="130">
        <v>0</v>
      </c>
      <c r="Z722" s="130">
        <v>0</v>
      </c>
      <c r="AA722" s="159" t="s">
        <v>3111</v>
      </c>
      <c r="AE722" s="158" t="b">
        <f>IF(AB722="",TRUE,IF(IF(AC722="",VLOOKUP(AB722,Calculs!$A$19:$S$425,19,FALSE),VLOOKUP(AC722,Calculs!$A$19:$S$425,19,FALSE))&gt;=AD722,TRUE,FALSE))</f>
        <v>1</v>
      </c>
      <c r="AI722" s="158" t="b">
        <f>IF(AF722="",TRUE,IF(IF(AG722="",VLOOKUP(AF722,Calculs!$A$19:$S$425,19,FALSE),VLOOKUP(AG722,Calculs!$A$19:$S$425,19,FALSE))&gt;=AH722,TRUE,FALSE))</f>
        <v>1</v>
      </c>
      <c r="AM722" s="158" t="b">
        <f>IF(AJ722="",TRUE,IF(IF(AK722="",VLOOKUP(AJ722,Calculs!$A$19:$S$425,19,FALSE),VLOOKUP(AK722,Calculs!$A$19:$S$425,19,FALSE))&gt;=AL722,TRUE,FALSE))</f>
        <v>1</v>
      </c>
      <c r="AQ722" s="158" t="b">
        <f>IF(AN722="",TRUE,IF(IF(AO722="",VLOOKUP(AN722,Calculs!$A$19:$S$425,19,FALSE),VLOOKUP(AO722,Calculs!$A$19:$S$425,19,FALSE))&gt;=AP722,TRUE,FALSE))</f>
        <v>1</v>
      </c>
      <c r="AR722" s="158" t="s">
        <v>814</v>
      </c>
      <c r="AS722" s="158" t="b">
        <f>IF(AR722="",TRUE,IF(VLOOKUP(AR722,Calculs!$A$427:$G$738,7,FALSE)&gt;0,TRUE,FALSE))</f>
        <v>0</v>
      </c>
      <c r="AT722" s="158"/>
      <c r="AU722" s="158" t="b">
        <f>IF(AT722="",TRUE,IF(VLOOKUP(AT722,Calculs!$A$740:$G$912,7,FALSE)&gt;0,TRUE,FALSE))</f>
        <v>1</v>
      </c>
      <c r="AV722" s="158" t="b">
        <f t="shared" si="80"/>
        <v>0</v>
      </c>
      <c r="AW722" s="159" t="s">
        <v>3412</v>
      </c>
      <c r="AX722" s="162" t="s">
        <v>2075</v>
      </c>
      <c r="AY722" s="15">
        <v>113</v>
      </c>
      <c r="AZ722" s="555" t="s">
        <v>3115</v>
      </c>
      <c r="BA722" s="559">
        <f>IF(Verso!$B$10=Voies!$B722,1,0)</f>
        <v>0</v>
      </c>
      <c r="BB722" s="12">
        <f>IF(Verso!$B$11=Voies!$B722,1,0)</f>
        <v>0</v>
      </c>
      <c r="BC722" s="12">
        <f>IF(Verso!$B$12=Voies!$B722,1,0)</f>
        <v>0</v>
      </c>
      <c r="BD722" s="12">
        <f>IF(Verso!$B$13=Voies!$B722,1,0)</f>
        <v>0</v>
      </c>
      <c r="BE722" s="12">
        <f>IF(Verso!$B$14=Voies!$B722,1,0)</f>
        <v>0</v>
      </c>
      <c r="BF722" s="12">
        <f>IF(Verso!$B$15=Voies!$B722,1,0)</f>
        <v>0</v>
      </c>
      <c r="BG722" s="12">
        <f>IF(Verso!$B$16=Voies!$B722,1,0)</f>
        <v>0</v>
      </c>
      <c r="BH722" s="12">
        <f>IF(Verso!$B$17=Voies!$B722,1,0)</f>
        <v>0</v>
      </c>
      <c r="BI722" s="557">
        <f t="shared" si="81"/>
        <v>0</v>
      </c>
      <c r="BJ722" s="196" t="str">
        <f t="shared" si="82"/>
        <v/>
      </c>
      <c r="BK722" s="196" t="str">
        <f t="shared" si="83"/>
        <v/>
      </c>
      <c r="BL722" s="295" t="str">
        <f t="shared" si="84"/>
        <v/>
      </c>
    </row>
    <row r="723" spans="1:64" ht="47.25" customHeight="1" x14ac:dyDescent="0.25">
      <c r="A723" s="162" t="str">
        <f>IF(AND(Réputation&gt;Voies!E723-1,OR(C723=TRUE,Calculs!$I$8&gt;0),Air&gt;Voies!J723-1,Eau&gt;Voies!K723-1,Feu&gt;Voies!L723-1,Terre&gt;Voies!M723-1,Vide&gt;Voies!N723-1,Constitution&gt;Voies!O723-1,Volonté&gt;Voies!P723-1,Force&gt;Voies!Q723-1,Perception&gt;Voies!R723-1,Reflexes&gt;Voies!S723-1,Agilité&gt;Voies!T723-1,Intuition&gt;Voies!U723-1,Intelligence&gt;Voies!V723-1,Souillure&gt;Voies!W723-1,Honneur&gt;X723-1,Statut&gt;Y723-1,Gloire&gt;Z723-1,AV723=TRUE),Voies!B723,"")</f>
        <v/>
      </c>
      <c r="B723" s="162" t="s">
        <v>3113</v>
      </c>
      <c r="C723" s="162" t="b">
        <f>IF(Clan=Voies!D723,TRUE,FALSE)</f>
        <v>0</v>
      </c>
      <c r="D723" s="388" t="s">
        <v>56</v>
      </c>
      <c r="E723" s="13">
        <v>0</v>
      </c>
      <c r="F723" s="199">
        <v>0</v>
      </c>
      <c r="G723" s="157" t="s">
        <v>2078</v>
      </c>
      <c r="H723" s="162" t="s">
        <v>585</v>
      </c>
      <c r="I723" s="129" t="str">
        <f t="shared" si="85"/>
        <v>Rien</v>
      </c>
      <c r="J723" s="146">
        <v>0</v>
      </c>
      <c r="K723" s="147">
        <v>0</v>
      </c>
      <c r="L723" s="148">
        <v>0</v>
      </c>
      <c r="M723" s="149">
        <v>4</v>
      </c>
      <c r="N723" s="150">
        <v>0</v>
      </c>
      <c r="O723" s="130">
        <v>0</v>
      </c>
      <c r="P723" s="130">
        <v>0</v>
      </c>
      <c r="Q723" s="130">
        <v>5</v>
      </c>
      <c r="R723" s="130">
        <v>0</v>
      </c>
      <c r="S723" s="130">
        <v>0</v>
      </c>
      <c r="T723" s="130">
        <v>4</v>
      </c>
      <c r="U723" s="130">
        <v>0</v>
      </c>
      <c r="V723" s="524">
        <v>0</v>
      </c>
      <c r="W723" s="130">
        <v>0</v>
      </c>
      <c r="X723" s="130">
        <v>0</v>
      </c>
      <c r="Y723" s="130">
        <v>0</v>
      </c>
      <c r="Z723" s="130">
        <v>0</v>
      </c>
      <c r="AA723" s="159" t="s">
        <v>3111</v>
      </c>
      <c r="AE723" s="158" t="b">
        <f>IF(AB723="",TRUE,IF(IF(AC723="",VLOOKUP(AB723,Calculs!$A$19:$S$425,19,FALSE),VLOOKUP(AC723,Calculs!$A$19:$S$425,19,FALSE))&gt;=AD723,TRUE,FALSE))</f>
        <v>1</v>
      </c>
      <c r="AI723" s="158" t="b">
        <f>IF(AF723="",TRUE,IF(IF(AG723="",VLOOKUP(AF723,Calculs!$A$19:$S$425,19,FALSE),VLOOKUP(AG723,Calculs!$A$19:$S$425,19,FALSE))&gt;=AH723,TRUE,FALSE))</f>
        <v>1</v>
      </c>
      <c r="AM723" s="158" t="b">
        <f>IF(AJ723="",TRUE,IF(IF(AK723="",VLOOKUP(AJ723,Calculs!$A$19:$S$425,19,FALSE),VLOOKUP(AK723,Calculs!$A$19:$S$425,19,FALSE))&gt;=AL723,TRUE,FALSE))</f>
        <v>1</v>
      </c>
      <c r="AQ723" s="158" t="b">
        <f>IF(AN723="",TRUE,IF(IF(AO723="",VLOOKUP(AN723,Calculs!$A$19:$S$425,19,FALSE),VLOOKUP(AO723,Calculs!$A$19:$S$425,19,FALSE))&gt;=AP723,TRUE,FALSE))</f>
        <v>1</v>
      </c>
      <c r="AR723" s="158" t="s">
        <v>814</v>
      </c>
      <c r="AS723" s="158" t="b">
        <f>IF(AR723="",TRUE,IF(VLOOKUP(AR723,Calculs!$A$427:$G$738,7,FALSE)&gt;0,TRUE,FALSE))</f>
        <v>0</v>
      </c>
      <c r="AT723" s="158"/>
      <c r="AU723" s="158" t="b">
        <f>IF(AT723="",TRUE,IF(VLOOKUP(AT723,Calculs!$A$740:$G$912,7,FALSE)&gt;0,TRUE,FALSE))</f>
        <v>1</v>
      </c>
      <c r="AV723" s="158" t="b">
        <f t="shared" si="80"/>
        <v>0</v>
      </c>
      <c r="AW723" s="159" t="s">
        <v>3412</v>
      </c>
      <c r="AX723" s="162" t="s">
        <v>2075</v>
      </c>
      <c r="AY723" s="15">
        <v>113</v>
      </c>
      <c r="AZ723" s="555" t="str">
        <f>CONCATENATE("1X par Combat, dépsensez une ActG au début de votre tour pour ignorer tous vos malus de Blessure (y compris Hors Combat et Epuisé), pendant ",Force," Rounds.")</f>
        <v>1X par Combat, dépsensez une ActG au début de votre tour pour ignorer tous vos malus de Blessure (y compris Hors Combat et Epuisé), pendant 2 Rounds.</v>
      </c>
      <c r="BA723" s="559">
        <f>IF(Verso!$B$10=Voies!$B723,1,0)</f>
        <v>0</v>
      </c>
      <c r="BB723" s="12">
        <f>IF(Verso!$B$11=Voies!$B723,1,0)</f>
        <v>0</v>
      </c>
      <c r="BC723" s="12">
        <f>IF(Verso!$B$12=Voies!$B723,1,0)</f>
        <v>0</v>
      </c>
      <c r="BD723" s="12">
        <f>IF(Verso!$B$13=Voies!$B723,1,0)</f>
        <v>0</v>
      </c>
      <c r="BE723" s="12">
        <f>IF(Verso!$B$14=Voies!$B723,1,0)</f>
        <v>0</v>
      </c>
      <c r="BF723" s="12">
        <f>IF(Verso!$B$15=Voies!$B723,1,0)</f>
        <v>0</v>
      </c>
      <c r="BG723" s="12">
        <f>IF(Verso!$B$16=Voies!$B723,1,0)</f>
        <v>0</v>
      </c>
      <c r="BH723" s="12">
        <f>IF(Verso!$B$17=Voies!$B723,1,0)</f>
        <v>0</v>
      </c>
      <c r="BI723" s="557">
        <f t="shared" si="81"/>
        <v>0</v>
      </c>
      <c r="BJ723" s="196" t="str">
        <f t="shared" si="82"/>
        <v/>
      </c>
      <c r="BK723" s="196" t="str">
        <f t="shared" si="83"/>
        <v/>
      </c>
      <c r="BL723" s="295" t="str">
        <f t="shared" si="84"/>
        <v/>
      </c>
    </row>
    <row r="724" spans="1:64" ht="47.25" customHeight="1" x14ac:dyDescent="0.25">
      <c r="A724" s="162" t="str">
        <f>IF(AND(Réputation&gt;Voies!E724-1,OR(C724=TRUE,Calculs!$I$8&gt;0),Air&gt;Voies!J724-1,Eau&gt;Voies!K724-1,Feu&gt;Voies!L724-1,Terre&gt;Voies!M724-1,Vide&gt;Voies!N724-1,Constitution&gt;Voies!O724-1,Volonté&gt;Voies!P724-1,Force&gt;Voies!Q724-1,Perception&gt;Voies!R724-1,Reflexes&gt;Voies!S724-1,Agilité&gt;Voies!T724-1,Intuition&gt;Voies!U724-1,Intelligence&gt;Voies!V724-1,Souillure&gt;Voies!W724-1,Honneur&gt;X724-1,Statut&gt;Y724-1,Gloire&gt;Z724-1,AV724=TRUE),Voies!B724,"")</f>
        <v/>
      </c>
      <c r="B724" s="162" t="s">
        <v>3114</v>
      </c>
      <c r="C724" s="162" t="b">
        <f>IF(Clan=Voies!D724,TRUE,FALSE)</f>
        <v>0</v>
      </c>
      <c r="D724" s="388" t="s">
        <v>56</v>
      </c>
      <c r="E724" s="13">
        <v>0</v>
      </c>
      <c r="F724" s="199">
        <v>0</v>
      </c>
      <c r="G724" s="157" t="s">
        <v>2078</v>
      </c>
      <c r="H724" s="162" t="s">
        <v>585</v>
      </c>
      <c r="I724" s="129" t="str">
        <f t="shared" si="85"/>
        <v>Rien</v>
      </c>
      <c r="J724" s="146">
        <v>0</v>
      </c>
      <c r="K724" s="147">
        <v>0</v>
      </c>
      <c r="L724" s="148">
        <v>0</v>
      </c>
      <c r="M724" s="149">
        <v>4</v>
      </c>
      <c r="N724" s="150">
        <v>0</v>
      </c>
      <c r="O724" s="130">
        <v>0</v>
      </c>
      <c r="P724" s="130">
        <v>0</v>
      </c>
      <c r="Q724" s="130">
        <v>5</v>
      </c>
      <c r="R724" s="130">
        <v>0</v>
      </c>
      <c r="S724" s="130">
        <v>0</v>
      </c>
      <c r="T724" s="130">
        <v>4</v>
      </c>
      <c r="U724" s="130">
        <v>0</v>
      </c>
      <c r="V724" s="524">
        <v>0</v>
      </c>
      <c r="W724" s="130">
        <v>0</v>
      </c>
      <c r="X724" s="130">
        <v>0</v>
      </c>
      <c r="Y724" s="130">
        <v>0</v>
      </c>
      <c r="Z724" s="130">
        <v>0</v>
      </c>
      <c r="AA724" s="159" t="s">
        <v>3111</v>
      </c>
      <c r="AE724" s="158" t="b">
        <f>IF(AB724="",TRUE,IF(IF(AC724="",VLOOKUP(AB724,Calculs!$A$19:$S$425,19,FALSE),VLOOKUP(AC724,Calculs!$A$19:$S$425,19,FALSE))&gt;=AD724,TRUE,FALSE))</f>
        <v>1</v>
      </c>
      <c r="AI724" s="158" t="b">
        <f>IF(AF724="",TRUE,IF(IF(AG724="",VLOOKUP(AF724,Calculs!$A$19:$S$425,19,FALSE),VLOOKUP(AG724,Calculs!$A$19:$S$425,19,FALSE))&gt;=AH724,TRUE,FALSE))</f>
        <v>1</v>
      </c>
      <c r="AM724" s="158" t="b">
        <f>IF(AJ724="",TRUE,IF(IF(AK724="",VLOOKUP(AJ724,Calculs!$A$19:$S$425,19,FALSE),VLOOKUP(AK724,Calculs!$A$19:$S$425,19,FALSE))&gt;=AL724,TRUE,FALSE))</f>
        <v>1</v>
      </c>
      <c r="AQ724" s="158" t="b">
        <f>IF(AN724="",TRUE,IF(IF(AO724="",VLOOKUP(AN724,Calculs!$A$19:$S$425,19,FALSE),VLOOKUP(AO724,Calculs!$A$19:$S$425,19,FALSE))&gt;=AP724,TRUE,FALSE))</f>
        <v>1</v>
      </c>
      <c r="AR724" s="158" t="s">
        <v>814</v>
      </c>
      <c r="AS724" s="158" t="b">
        <f>IF(AR724="",TRUE,IF(VLOOKUP(AR724,Calculs!$A$427:$G$738,7,FALSE)&gt;0,TRUE,FALSE))</f>
        <v>0</v>
      </c>
      <c r="AT724" s="158"/>
      <c r="AU724" s="158" t="b">
        <f>IF(AT724="",TRUE,IF(VLOOKUP(AT724,Calculs!$A$740:$G$912,7,FALSE)&gt;0,TRUE,FALSE))</f>
        <v>1</v>
      </c>
      <c r="AV724" s="158" t="b">
        <f t="shared" si="80"/>
        <v>0</v>
      </c>
      <c r="AW724" s="159" t="s">
        <v>3412</v>
      </c>
      <c r="AX724" s="162" t="s">
        <v>2075</v>
      </c>
      <c r="AY724" s="15">
        <v>113</v>
      </c>
      <c r="AZ724" s="555" t="s">
        <v>3116</v>
      </c>
      <c r="BA724" s="559">
        <f>IF(Verso!$B$10=Voies!$B724,1,0)</f>
        <v>0</v>
      </c>
      <c r="BB724" s="12">
        <f>IF(Verso!$B$11=Voies!$B724,1,0)</f>
        <v>0</v>
      </c>
      <c r="BC724" s="12">
        <f>IF(Verso!$B$12=Voies!$B724,1,0)</f>
        <v>0</v>
      </c>
      <c r="BD724" s="12">
        <f>IF(Verso!$B$13=Voies!$B724,1,0)</f>
        <v>0</v>
      </c>
      <c r="BE724" s="12">
        <f>IF(Verso!$B$14=Voies!$B724,1,0)</f>
        <v>0</v>
      </c>
      <c r="BF724" s="12">
        <f>IF(Verso!$B$15=Voies!$B724,1,0)</f>
        <v>0</v>
      </c>
      <c r="BG724" s="12">
        <f>IF(Verso!$B$16=Voies!$B724,1,0)</f>
        <v>0</v>
      </c>
      <c r="BH724" s="12">
        <f>IF(Verso!$B$17=Voies!$B724,1,0)</f>
        <v>0</v>
      </c>
      <c r="BI724" s="557">
        <f t="shared" si="81"/>
        <v>0</v>
      </c>
      <c r="BJ724" s="196" t="str">
        <f t="shared" si="82"/>
        <v/>
      </c>
      <c r="BK724" s="196" t="str">
        <f t="shared" si="83"/>
        <v/>
      </c>
      <c r="BL724" s="295" t="str">
        <f t="shared" si="84"/>
        <v/>
      </c>
    </row>
    <row r="725" spans="1:64" ht="47.25" customHeight="1" x14ac:dyDescent="0.25">
      <c r="A725" s="162" t="str">
        <f>IF(AND(Réputation&gt;Voies!E725-1,OR(C725=TRUE,Calculs!$I$8&gt;0),Air&gt;Voies!J725-1,Eau&gt;Voies!K725-1,Feu&gt;Voies!L725-1,Terre&gt;Voies!M725-1,Vide&gt;Voies!N725-1,Constitution&gt;Voies!O725-1,Volonté&gt;Voies!P725-1,Force&gt;Voies!Q725-1,Perception&gt;Voies!R725-1,Reflexes&gt;Voies!S725-1,Agilité&gt;Voies!T725-1,Intuition&gt;Voies!U725-1,Intelligence&gt;Voies!V725-1,Souillure&gt;Voies!W725-1,Honneur&gt;X725-1,Statut&gt;Y725-1,Gloire&gt;Z725-1,AV725=TRUE),Voies!B725,"")</f>
        <v/>
      </c>
      <c r="B725" s="162" t="s">
        <v>3084</v>
      </c>
      <c r="C725" s="162" t="b">
        <f>IF(Clan=Voies!D725,TRUE,FALSE)</f>
        <v>0</v>
      </c>
      <c r="D725" s="388" t="s">
        <v>56</v>
      </c>
      <c r="E725" s="13">
        <v>1</v>
      </c>
      <c r="F725" s="199">
        <v>1</v>
      </c>
      <c r="G725" s="13" t="s">
        <v>2049</v>
      </c>
      <c r="H725" s="162" t="s">
        <v>300</v>
      </c>
      <c r="I725" s="129" t="str">
        <f t="shared" si="85"/>
        <v>Rien</v>
      </c>
      <c r="J725" s="146">
        <v>0</v>
      </c>
      <c r="K725" s="147">
        <v>0</v>
      </c>
      <c r="L725" s="148">
        <v>0</v>
      </c>
      <c r="M725" s="149">
        <v>0</v>
      </c>
      <c r="N725" s="150">
        <v>0</v>
      </c>
      <c r="O725" s="130">
        <v>0</v>
      </c>
      <c r="P725" s="130">
        <v>0</v>
      </c>
      <c r="Q725" s="130">
        <v>0</v>
      </c>
      <c r="R725" s="130">
        <v>0</v>
      </c>
      <c r="S725" s="130">
        <v>0</v>
      </c>
      <c r="T725" s="130">
        <v>0</v>
      </c>
      <c r="U725" s="130">
        <v>0</v>
      </c>
      <c r="V725" s="524">
        <v>0</v>
      </c>
      <c r="W725" s="130">
        <v>0</v>
      </c>
      <c r="X725" s="130">
        <v>0</v>
      </c>
      <c r="Y725" s="130">
        <v>0</v>
      </c>
      <c r="Z725" s="130">
        <v>0</v>
      </c>
      <c r="AA725" s="158" t="s">
        <v>2078</v>
      </c>
      <c r="AB725" s="158"/>
      <c r="AC725" s="158"/>
      <c r="AD725" s="158"/>
      <c r="AE725" s="158" t="b">
        <f>IF(AB725="",TRUE,IF(IF(AC725="",VLOOKUP(AB725,Calculs!$A$19:$S$425,19,FALSE),VLOOKUP(AC725,Calculs!$A$19:$S$425,19,FALSE))&gt;=AD725,TRUE,FALSE))</f>
        <v>1</v>
      </c>
      <c r="AF725" s="158"/>
      <c r="AG725" s="158"/>
      <c r="AH725" s="158"/>
      <c r="AI725" s="158" t="b">
        <f>IF(AF725="",TRUE,IF(IF(AG725="",VLOOKUP(AF725,Calculs!$A$19:$S$425,19,FALSE),VLOOKUP(AG725,Calculs!$A$19:$S$425,19,FALSE))&gt;=AH725,TRUE,FALSE))</f>
        <v>1</v>
      </c>
      <c r="AJ725" s="158"/>
      <c r="AK725" s="158"/>
      <c r="AL725" s="158"/>
      <c r="AM725" s="158" t="b">
        <f>IF(AJ725="",TRUE,IF(IF(AK725="",VLOOKUP(AJ725,Calculs!$A$19:$S$425,19,FALSE),VLOOKUP(AK725,Calculs!$A$19:$S$425,19,FALSE))&gt;=AL725,TRUE,FALSE))</f>
        <v>1</v>
      </c>
      <c r="AN725" s="158"/>
      <c r="AO725" s="158"/>
      <c r="AP725" s="158"/>
      <c r="AQ725" s="158" t="b">
        <f>IF(AN725="",TRUE,IF(IF(AO725="",VLOOKUP(AN725,Calculs!$A$19:$S$425,19,FALSE),VLOOKUP(AO725,Calculs!$A$19:$S$425,19,FALSE))&gt;=AP725,TRUE,FALSE))</f>
        <v>1</v>
      </c>
      <c r="AR725" s="158"/>
      <c r="AS725" s="158" t="b">
        <f>IF(AR725="",TRUE,IF(VLOOKUP(AR725,Calculs!$A$427:$G$738,7,FALSE)&gt;0,TRUE,FALSE))</f>
        <v>1</v>
      </c>
      <c r="AT725" s="158"/>
      <c r="AU725" s="158" t="b">
        <f>IF(AT725="",TRUE,IF(VLOOKUP(AT725,Calculs!$A$740:$G$912,7,FALSE)&gt;0,TRUE,FALSE))</f>
        <v>1</v>
      </c>
      <c r="AV725" s="158" t="b">
        <f t="shared" si="80"/>
        <v>1</v>
      </c>
      <c r="AW725" s="158" t="s">
        <v>2078</v>
      </c>
      <c r="AX725" s="162" t="s">
        <v>2075</v>
      </c>
      <c r="AY725" s="15">
        <v>111</v>
      </c>
      <c r="AZ725" s="555" t="s">
        <v>8665</v>
      </c>
      <c r="BA725" s="559">
        <f>IF(Verso!$B$10=Voies!$B725,1,0)</f>
        <v>0</v>
      </c>
      <c r="BB725" s="12">
        <f>IF(Verso!$B$11=Voies!$B725,1,0)</f>
        <v>0</v>
      </c>
      <c r="BC725" s="12">
        <f>IF(Verso!$B$12=Voies!$B725,1,0)</f>
        <v>0</v>
      </c>
      <c r="BD725" s="12">
        <f>IF(Verso!$B$13=Voies!$B725,1,0)</f>
        <v>0</v>
      </c>
      <c r="BE725" s="12">
        <f>IF(Verso!$B$14=Voies!$B725,1,0)</f>
        <v>0</v>
      </c>
      <c r="BF725" s="12">
        <f>IF(Verso!$B$15=Voies!$B725,1,0)</f>
        <v>0</v>
      </c>
      <c r="BG725" s="12">
        <f>IF(Verso!$B$16=Voies!$B725,1,0)</f>
        <v>0</v>
      </c>
      <c r="BH725" s="12">
        <f>IF(Verso!$B$17=Voies!$B725,1,0)</f>
        <v>0</v>
      </c>
      <c r="BI725" s="557">
        <f t="shared" si="81"/>
        <v>0</v>
      </c>
      <c r="BJ725" s="196" t="str">
        <f t="shared" si="82"/>
        <v/>
      </c>
      <c r="BK725" s="196" t="str">
        <f t="shared" si="83"/>
        <v/>
      </c>
      <c r="BL725" s="295" t="str">
        <f t="shared" si="84"/>
        <v/>
      </c>
    </row>
    <row r="726" spans="1:64" ht="47.25" customHeight="1" x14ac:dyDescent="0.25">
      <c r="A726" s="162" t="str">
        <f>IF(AND(Réputation&gt;Voies!E726-1,OR(C726=TRUE,Calculs!$I$8&gt;0),Air&gt;Voies!J726-1,Eau&gt;Voies!K726-1,Feu&gt;Voies!L726-1,Terre&gt;Voies!M726-1,Vide&gt;Voies!N726-1,Constitution&gt;Voies!O726-1,Volonté&gt;Voies!P726-1,Force&gt;Voies!Q726-1,Perception&gt;Voies!R726-1,Reflexes&gt;Voies!S726-1,Agilité&gt;Voies!T726-1,Intuition&gt;Voies!U726-1,Intelligence&gt;Voies!V726-1,Souillure&gt;Voies!W726-1,Honneur&gt;X726-1,Statut&gt;Y726-1,Gloire&gt;Z726-1,AV726=TRUE),Voies!B726,"")</f>
        <v/>
      </c>
      <c r="B726" s="162" t="s">
        <v>3102</v>
      </c>
      <c r="C726" s="162" t="b">
        <f>IF(Clan=Voies!D726,TRUE,FALSE)</f>
        <v>0</v>
      </c>
      <c r="D726" s="388" t="s">
        <v>56</v>
      </c>
      <c r="E726" s="13">
        <v>1</v>
      </c>
      <c r="F726" s="199">
        <v>1</v>
      </c>
      <c r="G726" s="13" t="s">
        <v>2052</v>
      </c>
      <c r="H726" s="162" t="s">
        <v>584</v>
      </c>
      <c r="I726" s="129" t="str">
        <f t="shared" si="85"/>
        <v>Rien</v>
      </c>
      <c r="J726" s="146">
        <v>0</v>
      </c>
      <c r="K726" s="147">
        <v>0</v>
      </c>
      <c r="L726" s="148">
        <v>0</v>
      </c>
      <c r="M726" s="149">
        <v>0</v>
      </c>
      <c r="N726" s="150">
        <v>0</v>
      </c>
      <c r="O726" s="130">
        <v>0</v>
      </c>
      <c r="P726" s="130">
        <v>0</v>
      </c>
      <c r="Q726" s="130">
        <v>0</v>
      </c>
      <c r="R726" s="130">
        <v>0</v>
      </c>
      <c r="S726" s="130">
        <v>0</v>
      </c>
      <c r="T726" s="130">
        <v>0</v>
      </c>
      <c r="U726" s="130">
        <v>0</v>
      </c>
      <c r="V726" s="524">
        <v>0</v>
      </c>
      <c r="W726" s="130">
        <v>0</v>
      </c>
      <c r="X726" s="130">
        <v>0</v>
      </c>
      <c r="Y726" s="130">
        <v>0</v>
      </c>
      <c r="Z726" s="130">
        <v>0</v>
      </c>
      <c r="AA726" s="158" t="s">
        <v>2078</v>
      </c>
      <c r="AB726" s="158"/>
      <c r="AC726" s="158"/>
      <c r="AD726" s="158"/>
      <c r="AE726" s="158" t="b">
        <f>IF(AB726="",TRUE,IF(IF(AC726="",VLOOKUP(AB726,Calculs!$A$19:$S$425,19,FALSE),VLOOKUP(AC726,Calculs!$A$19:$S$425,19,FALSE))&gt;=AD726,TRUE,FALSE))</f>
        <v>1</v>
      </c>
      <c r="AF726" s="158"/>
      <c r="AG726" s="158"/>
      <c r="AH726" s="158"/>
      <c r="AI726" s="158" t="b">
        <f>IF(AF726="",TRUE,IF(IF(AG726="",VLOOKUP(AF726,Calculs!$A$19:$S$425,19,FALSE),VLOOKUP(AG726,Calculs!$A$19:$S$425,19,FALSE))&gt;=AH726,TRUE,FALSE))</f>
        <v>1</v>
      </c>
      <c r="AJ726" s="158"/>
      <c r="AK726" s="158"/>
      <c r="AL726" s="158"/>
      <c r="AM726" s="158" t="b">
        <f>IF(AJ726="",TRUE,IF(IF(AK726="",VLOOKUP(AJ726,Calculs!$A$19:$S$425,19,FALSE),VLOOKUP(AK726,Calculs!$A$19:$S$425,19,FALSE))&gt;=AL726,TRUE,FALSE))</f>
        <v>1</v>
      </c>
      <c r="AN726" s="158"/>
      <c r="AO726" s="158"/>
      <c r="AP726" s="158"/>
      <c r="AQ726" s="158" t="b">
        <f>IF(AN726="",TRUE,IF(IF(AO726="",VLOOKUP(AN726,Calculs!$A$19:$S$425,19,FALSE),VLOOKUP(AO726,Calculs!$A$19:$S$425,19,FALSE))&gt;=AP726,TRUE,FALSE))</f>
        <v>1</v>
      </c>
      <c r="AR726" s="158"/>
      <c r="AS726" s="158" t="b">
        <f>IF(AR726="",TRUE,IF(VLOOKUP(AR726,Calculs!$A$427:$G$738,7,FALSE)&gt;0,TRUE,FALSE))</f>
        <v>1</v>
      </c>
      <c r="AT726" s="158"/>
      <c r="AU726" s="158" t="b">
        <f>IF(AT726="",TRUE,IF(VLOOKUP(AT726,Calculs!$A$740:$G$912,7,FALSE)&gt;0,TRUE,FALSE))</f>
        <v>1</v>
      </c>
      <c r="AV726" s="158" t="b">
        <f t="shared" si="80"/>
        <v>1</v>
      </c>
      <c r="AW726" s="158" t="s">
        <v>2078</v>
      </c>
      <c r="AX726" s="162" t="s">
        <v>2075</v>
      </c>
      <c r="AY726" s="15">
        <v>112</v>
      </c>
      <c r="AZ726" s="555" t="s">
        <v>3110</v>
      </c>
      <c r="BA726" s="559">
        <f>IF(Verso!$B$10=Voies!$B726,1,0)</f>
        <v>0</v>
      </c>
      <c r="BB726" s="12">
        <f>IF(Verso!$B$11=Voies!$B726,1,0)</f>
        <v>0</v>
      </c>
      <c r="BC726" s="12">
        <f>IF(Verso!$B$12=Voies!$B726,1,0)</f>
        <v>0</v>
      </c>
      <c r="BD726" s="12">
        <f>IF(Verso!$B$13=Voies!$B726,1,0)</f>
        <v>0</v>
      </c>
      <c r="BE726" s="12">
        <f>IF(Verso!$B$14=Voies!$B726,1,0)</f>
        <v>0</v>
      </c>
      <c r="BF726" s="12">
        <f>IF(Verso!$B$15=Voies!$B726,1,0)</f>
        <v>0</v>
      </c>
      <c r="BG726" s="12">
        <f>IF(Verso!$B$16=Voies!$B726,1,0)</f>
        <v>0</v>
      </c>
      <c r="BH726" s="12">
        <f>IF(Verso!$B$17=Voies!$B726,1,0)</f>
        <v>0</v>
      </c>
      <c r="BI726" s="557">
        <f t="shared" si="81"/>
        <v>0</v>
      </c>
      <c r="BJ726" s="196" t="str">
        <f t="shared" si="82"/>
        <v/>
      </c>
      <c r="BK726" s="196" t="str">
        <f t="shared" si="83"/>
        <v/>
      </c>
      <c r="BL726" s="295" t="str">
        <f t="shared" si="84"/>
        <v/>
      </c>
    </row>
    <row r="727" spans="1:64" ht="47.25" customHeight="1" x14ac:dyDescent="0.25">
      <c r="A727" s="162" t="str">
        <f>IF(AND(Réputation&gt;Voies!E727-1,OR(C727=TRUE,Calculs!$I$8&gt;0),Air&gt;Voies!J727-1,Eau&gt;Voies!K727-1,Feu&gt;Voies!L727-1,Terre&gt;Voies!M727-1,Vide&gt;Voies!N727-1,Constitution&gt;Voies!O727-1,Volonté&gt;Voies!P727-1,Force&gt;Voies!Q727-1,Perception&gt;Voies!R727-1,Reflexes&gt;Voies!S727-1,Agilité&gt;Voies!T727-1,Intuition&gt;Voies!U727-1,Intelligence&gt;Voies!V727-1,Souillure&gt;Voies!W727-1,Honneur&gt;X727-1,Statut&gt;Y727-1,Gloire&gt;Z727-1,AV727=TRUE),Voies!B727,"")</f>
        <v/>
      </c>
      <c r="B727" s="162" t="s">
        <v>3090</v>
      </c>
      <c r="C727" s="162" t="b">
        <f>IF(Clan=Voies!D727,TRUE,FALSE)</f>
        <v>0</v>
      </c>
      <c r="D727" s="388" t="s">
        <v>56</v>
      </c>
      <c r="E727" s="13">
        <v>1</v>
      </c>
      <c r="F727" s="199">
        <v>1</v>
      </c>
      <c r="G727" s="13" t="s">
        <v>2060</v>
      </c>
      <c r="H727" s="162" t="s">
        <v>582</v>
      </c>
      <c r="I727" s="129" t="str">
        <f t="shared" si="85"/>
        <v>Rien</v>
      </c>
      <c r="J727" s="146">
        <v>0</v>
      </c>
      <c r="K727" s="147">
        <v>0</v>
      </c>
      <c r="L727" s="148">
        <v>0</v>
      </c>
      <c r="M727" s="149">
        <v>0</v>
      </c>
      <c r="N727" s="150">
        <v>0</v>
      </c>
      <c r="O727" s="130">
        <v>0</v>
      </c>
      <c r="P727" s="130">
        <v>0</v>
      </c>
      <c r="Q727" s="130">
        <v>0</v>
      </c>
      <c r="R727" s="130">
        <v>0</v>
      </c>
      <c r="S727" s="130">
        <v>0</v>
      </c>
      <c r="T727" s="130">
        <v>0</v>
      </c>
      <c r="U727" s="130">
        <v>0</v>
      </c>
      <c r="V727" s="524">
        <v>0</v>
      </c>
      <c r="W727" s="130">
        <v>0</v>
      </c>
      <c r="X727" s="130">
        <v>0</v>
      </c>
      <c r="Y727" s="130">
        <v>0</v>
      </c>
      <c r="Z727" s="130">
        <v>0</v>
      </c>
      <c r="AA727" s="158" t="s">
        <v>2078</v>
      </c>
      <c r="AB727" s="158"/>
      <c r="AC727" s="158"/>
      <c r="AD727" s="158"/>
      <c r="AE727" s="158" t="b">
        <f>IF(AB727="",TRUE,IF(IF(AC727="",VLOOKUP(AB727,Calculs!$A$19:$S$425,19,FALSE),VLOOKUP(AC727,Calculs!$A$19:$S$425,19,FALSE))&gt;=AD727,TRUE,FALSE))</f>
        <v>1</v>
      </c>
      <c r="AF727" s="158"/>
      <c r="AG727" s="158"/>
      <c r="AH727" s="158"/>
      <c r="AI727" s="158" t="b">
        <f>IF(AF727="",TRUE,IF(IF(AG727="",VLOOKUP(AF727,Calculs!$A$19:$S$425,19,FALSE),VLOOKUP(AG727,Calculs!$A$19:$S$425,19,FALSE))&gt;=AH727,TRUE,FALSE))</f>
        <v>1</v>
      </c>
      <c r="AJ727" s="158"/>
      <c r="AK727" s="158"/>
      <c r="AL727" s="158"/>
      <c r="AM727" s="158" t="b">
        <f>IF(AJ727="",TRUE,IF(IF(AK727="",VLOOKUP(AJ727,Calculs!$A$19:$S$425,19,FALSE),VLOOKUP(AK727,Calculs!$A$19:$S$425,19,FALSE))&gt;=AL727,TRUE,FALSE))</f>
        <v>1</v>
      </c>
      <c r="AN727" s="158"/>
      <c r="AO727" s="158"/>
      <c r="AP727" s="158"/>
      <c r="AQ727" s="158" t="b">
        <f>IF(AN727="",TRUE,IF(IF(AO727="",VLOOKUP(AN727,Calculs!$A$19:$S$425,19,FALSE),VLOOKUP(AO727,Calculs!$A$19:$S$425,19,FALSE))&gt;=AP727,TRUE,FALSE))</f>
        <v>1</v>
      </c>
      <c r="AR727" s="158"/>
      <c r="AS727" s="158" t="b">
        <f>IF(AR727="",TRUE,IF(VLOOKUP(AR727,Calculs!$A$427:$G$738,7,FALSE)&gt;0,TRUE,FALSE))</f>
        <v>1</v>
      </c>
      <c r="AT727" s="158"/>
      <c r="AU727" s="158" t="b">
        <f>IF(AT727="",TRUE,IF(VLOOKUP(AT727,Calculs!$A$740:$G$912,7,FALSE)&gt;0,TRUE,FALSE))</f>
        <v>1</v>
      </c>
      <c r="AV727" s="158" t="b">
        <f t="shared" si="80"/>
        <v>1</v>
      </c>
      <c r="AW727" s="158" t="s">
        <v>2078</v>
      </c>
      <c r="AX727" s="162" t="s">
        <v>2075</v>
      </c>
      <c r="AY727" s="15">
        <v>112</v>
      </c>
      <c r="AZ727" s="555" t="s">
        <v>3097</v>
      </c>
      <c r="BA727" s="559">
        <f>IF(Verso!$B$10=Voies!$B727,1,0)</f>
        <v>0</v>
      </c>
      <c r="BB727" s="12">
        <f>IF(Verso!$B$11=Voies!$B727,1,0)</f>
        <v>0</v>
      </c>
      <c r="BC727" s="12">
        <f>IF(Verso!$B$12=Voies!$B727,1,0)</f>
        <v>0</v>
      </c>
      <c r="BD727" s="12">
        <f>IF(Verso!$B$13=Voies!$B727,1,0)</f>
        <v>0</v>
      </c>
      <c r="BE727" s="12">
        <f>IF(Verso!$B$14=Voies!$B727,1,0)</f>
        <v>0</v>
      </c>
      <c r="BF727" s="12">
        <f>IF(Verso!$B$15=Voies!$B727,1,0)</f>
        <v>0</v>
      </c>
      <c r="BG727" s="12">
        <f>IF(Verso!$B$16=Voies!$B727,1,0)</f>
        <v>0</v>
      </c>
      <c r="BH727" s="12">
        <f>IF(Verso!$B$17=Voies!$B727,1,0)</f>
        <v>0</v>
      </c>
      <c r="BI727" s="557">
        <f t="shared" si="81"/>
        <v>0</v>
      </c>
      <c r="BJ727" s="196" t="str">
        <f t="shared" si="82"/>
        <v/>
      </c>
      <c r="BK727" s="196" t="str">
        <f t="shared" si="83"/>
        <v/>
      </c>
      <c r="BL727" s="295" t="str">
        <f t="shared" si="84"/>
        <v/>
      </c>
    </row>
    <row r="728" spans="1:64" ht="47.25" customHeight="1" x14ac:dyDescent="0.25">
      <c r="A728" s="162" t="str">
        <f>IF(AND(Réputation&gt;Voies!E728-1,OR(C728=TRUE,Calculs!$I$8&gt;0),Air&gt;Voies!J728-1,Eau&gt;Voies!K728-1,Feu&gt;Voies!L728-1,Terre&gt;Voies!M728-1,Vide&gt;Voies!N728-1,Constitution&gt;Voies!O728-1,Volonté&gt;Voies!P728-1,Force&gt;Voies!Q728-1,Perception&gt;Voies!R728-1,Reflexes&gt;Voies!S728-1,Agilité&gt;Voies!T728-1,Intuition&gt;Voies!U728-1,Intelligence&gt;Voies!V728-1,Souillure&gt;Voies!W728-1,Honneur&gt;X728-1,Statut&gt;Y728-1,Gloire&gt;Z728-1,AV728=TRUE),Voies!B728,"")</f>
        <v/>
      </c>
      <c r="B728" s="162" t="s">
        <v>3101</v>
      </c>
      <c r="C728" s="162" t="b">
        <f>IF(Clan=Voies!D728,TRUE,FALSE)</f>
        <v>0</v>
      </c>
      <c r="D728" s="388" t="s">
        <v>56</v>
      </c>
      <c r="E728" s="13">
        <v>1</v>
      </c>
      <c r="F728" s="199">
        <v>1</v>
      </c>
      <c r="G728" s="13" t="s">
        <v>2048</v>
      </c>
      <c r="H728" s="162" t="s">
        <v>583</v>
      </c>
      <c r="I728" s="129" t="str">
        <f t="shared" si="85"/>
        <v>Rien</v>
      </c>
      <c r="J728" s="146">
        <v>0</v>
      </c>
      <c r="K728" s="147">
        <v>0</v>
      </c>
      <c r="L728" s="148">
        <v>0</v>
      </c>
      <c r="M728" s="149">
        <v>0</v>
      </c>
      <c r="N728" s="150">
        <v>0</v>
      </c>
      <c r="O728" s="130">
        <v>0</v>
      </c>
      <c r="P728" s="130">
        <v>0</v>
      </c>
      <c r="Q728" s="130">
        <v>0</v>
      </c>
      <c r="R728" s="130">
        <v>0</v>
      </c>
      <c r="S728" s="130">
        <v>0</v>
      </c>
      <c r="T728" s="130">
        <v>0</v>
      </c>
      <c r="U728" s="130">
        <v>0</v>
      </c>
      <c r="V728" s="524">
        <v>0</v>
      </c>
      <c r="W728" s="130">
        <v>0</v>
      </c>
      <c r="X728" s="130">
        <v>0</v>
      </c>
      <c r="Y728" s="130">
        <v>0</v>
      </c>
      <c r="Z728" s="130">
        <v>0</v>
      </c>
      <c r="AA728" s="158" t="s">
        <v>2078</v>
      </c>
      <c r="AB728" s="158"/>
      <c r="AC728" s="158"/>
      <c r="AD728" s="158"/>
      <c r="AE728" s="158" t="b">
        <f>IF(AB728="",TRUE,IF(IF(AC728="",VLOOKUP(AB728,Calculs!$A$19:$S$425,19,FALSE),VLOOKUP(AC728,Calculs!$A$19:$S$425,19,FALSE))&gt;=AD728,TRUE,FALSE))</f>
        <v>1</v>
      </c>
      <c r="AF728" s="158"/>
      <c r="AG728" s="158"/>
      <c r="AH728" s="158"/>
      <c r="AI728" s="158" t="b">
        <f>IF(AF728="",TRUE,IF(IF(AG728="",VLOOKUP(AF728,Calculs!$A$19:$S$425,19,FALSE),VLOOKUP(AG728,Calculs!$A$19:$S$425,19,FALSE))&gt;=AH728,TRUE,FALSE))</f>
        <v>1</v>
      </c>
      <c r="AJ728" s="158"/>
      <c r="AK728" s="158"/>
      <c r="AL728" s="158"/>
      <c r="AM728" s="158" t="b">
        <f>IF(AJ728="",TRUE,IF(IF(AK728="",VLOOKUP(AJ728,Calculs!$A$19:$S$425,19,FALSE),VLOOKUP(AK728,Calculs!$A$19:$S$425,19,FALSE))&gt;=AL728,TRUE,FALSE))</f>
        <v>1</v>
      </c>
      <c r="AN728" s="158"/>
      <c r="AO728" s="158"/>
      <c r="AP728" s="158"/>
      <c r="AQ728" s="158" t="b">
        <f>IF(AN728="",TRUE,IF(IF(AO728="",VLOOKUP(AN728,Calculs!$A$19:$S$425,19,FALSE),VLOOKUP(AO728,Calculs!$A$19:$S$425,19,FALSE))&gt;=AP728,TRUE,FALSE))</f>
        <v>1</v>
      </c>
      <c r="AR728" s="158"/>
      <c r="AS728" s="158" t="b">
        <f>IF(AR728="",TRUE,IF(VLOOKUP(AR728,Calculs!$A$427:$G$738,7,FALSE)&gt;0,TRUE,FALSE))</f>
        <v>1</v>
      </c>
      <c r="AT728" s="158"/>
      <c r="AU728" s="158" t="b">
        <f>IF(AT728="",TRUE,IF(VLOOKUP(AT728,Calculs!$A$740:$G$912,7,FALSE)&gt;0,TRUE,FALSE))</f>
        <v>1</v>
      </c>
      <c r="AV728" s="158" t="b">
        <f t="shared" si="80"/>
        <v>1</v>
      </c>
      <c r="AW728" s="158" t="s">
        <v>2078</v>
      </c>
      <c r="AX728" s="162" t="s">
        <v>2075</v>
      </c>
      <c r="AY728" s="15">
        <v>112</v>
      </c>
      <c r="AZ728" s="555" t="s">
        <v>3106</v>
      </c>
      <c r="BA728" s="559">
        <f>IF(Verso!$B$10=Voies!$B728,1,0)</f>
        <v>0</v>
      </c>
      <c r="BB728" s="12">
        <f>IF(Verso!$B$11=Voies!$B728,1,0)</f>
        <v>0</v>
      </c>
      <c r="BC728" s="12">
        <f>IF(Verso!$B$12=Voies!$B728,1,0)</f>
        <v>0</v>
      </c>
      <c r="BD728" s="12">
        <f>IF(Verso!$B$13=Voies!$B728,1,0)</f>
        <v>0</v>
      </c>
      <c r="BE728" s="12">
        <f>IF(Verso!$B$14=Voies!$B728,1,0)</f>
        <v>0</v>
      </c>
      <c r="BF728" s="12">
        <f>IF(Verso!$B$15=Voies!$B728,1,0)</f>
        <v>0</v>
      </c>
      <c r="BG728" s="12">
        <f>IF(Verso!$B$16=Voies!$B728,1,0)</f>
        <v>0</v>
      </c>
      <c r="BH728" s="12">
        <f>IF(Verso!$B$17=Voies!$B728,1,0)</f>
        <v>0</v>
      </c>
      <c r="BI728" s="557">
        <f t="shared" si="81"/>
        <v>0</v>
      </c>
      <c r="BJ728" s="196" t="str">
        <f t="shared" si="82"/>
        <v/>
      </c>
      <c r="BK728" s="196" t="str">
        <f t="shared" si="83"/>
        <v/>
      </c>
      <c r="BL728" s="295" t="str">
        <f t="shared" si="84"/>
        <v/>
      </c>
    </row>
    <row r="729" spans="1:64" ht="47.25" customHeight="1" x14ac:dyDescent="0.25">
      <c r="A729" s="162" t="str">
        <f>IF(AND(Réputation&gt;Voies!E729-1,OR(C729=TRUE,Calculs!$I$8&gt;0),Air&gt;Voies!J729-1,Eau&gt;Voies!K729-1,Feu&gt;Voies!L729-1,Terre&gt;Voies!M729-1,Vide&gt;Voies!N729-1,Constitution&gt;Voies!O729-1,Volonté&gt;Voies!P729-1,Force&gt;Voies!Q729-1,Perception&gt;Voies!R729-1,Reflexes&gt;Voies!S729-1,Agilité&gt;Voies!T729-1,Intuition&gt;Voies!U729-1,Intelligence&gt;Voies!V729-1,Souillure&gt;Voies!W729-1,Honneur&gt;X729-1,Statut&gt;Y729-1,Gloire&gt;Z729-1,AV729=TRUE),Voies!B729,"")</f>
        <v/>
      </c>
      <c r="B729" s="162" t="s">
        <v>3085</v>
      </c>
      <c r="C729" s="162" t="b">
        <f>IF(Clan=Voies!D729,TRUE,FALSE)</f>
        <v>0</v>
      </c>
      <c r="D729" s="388" t="s">
        <v>56</v>
      </c>
      <c r="E729" s="13">
        <v>2</v>
      </c>
      <c r="F729" s="199">
        <v>2</v>
      </c>
      <c r="G729" s="13" t="s">
        <v>2049</v>
      </c>
      <c r="H729" s="162" t="s">
        <v>300</v>
      </c>
      <c r="I729" s="129" t="str">
        <f t="shared" si="85"/>
        <v>Rien</v>
      </c>
      <c r="J729" s="146">
        <v>0</v>
      </c>
      <c r="K729" s="147">
        <v>0</v>
      </c>
      <c r="L729" s="148">
        <v>0</v>
      </c>
      <c r="M729" s="149">
        <v>0</v>
      </c>
      <c r="N729" s="150">
        <v>0</v>
      </c>
      <c r="O729" s="130">
        <v>0</v>
      </c>
      <c r="P729" s="130">
        <v>0</v>
      </c>
      <c r="Q729" s="130">
        <v>0</v>
      </c>
      <c r="R729" s="130">
        <v>0</v>
      </c>
      <c r="S729" s="130">
        <v>0</v>
      </c>
      <c r="T729" s="130">
        <v>0</v>
      </c>
      <c r="U729" s="130">
        <v>0</v>
      </c>
      <c r="V729" s="524">
        <v>0</v>
      </c>
      <c r="W729" s="130">
        <v>0</v>
      </c>
      <c r="X729" s="130">
        <v>0</v>
      </c>
      <c r="Y729" s="130">
        <v>0</v>
      </c>
      <c r="Z729" s="130">
        <v>0</v>
      </c>
      <c r="AA729" s="158" t="s">
        <v>2078</v>
      </c>
      <c r="AB729" s="158"/>
      <c r="AC729" s="158"/>
      <c r="AD729" s="158"/>
      <c r="AE729" s="158" t="b">
        <f>IF(AB729="",TRUE,IF(IF(AC729="",VLOOKUP(AB729,Calculs!$A$19:$S$425,19,FALSE),VLOOKUP(AC729,Calculs!$A$19:$S$425,19,FALSE))&gt;=AD729,TRUE,FALSE))</f>
        <v>1</v>
      </c>
      <c r="AF729" s="158"/>
      <c r="AG729" s="158"/>
      <c r="AH729" s="158"/>
      <c r="AI729" s="158" t="b">
        <f>IF(AF729="",TRUE,IF(IF(AG729="",VLOOKUP(AF729,Calculs!$A$19:$S$425,19,FALSE),VLOOKUP(AG729,Calculs!$A$19:$S$425,19,FALSE))&gt;=AH729,TRUE,FALSE))</f>
        <v>1</v>
      </c>
      <c r="AJ729" s="158"/>
      <c r="AK729" s="158"/>
      <c r="AL729" s="158"/>
      <c r="AM729" s="158" t="b">
        <f>IF(AJ729="",TRUE,IF(IF(AK729="",VLOOKUP(AJ729,Calculs!$A$19:$S$425,19,FALSE),VLOOKUP(AK729,Calculs!$A$19:$S$425,19,FALSE))&gt;=AL729,TRUE,FALSE))</f>
        <v>1</v>
      </c>
      <c r="AN729" s="158"/>
      <c r="AO729" s="158"/>
      <c r="AP729" s="158"/>
      <c r="AQ729" s="158" t="b">
        <f>IF(AN729="",TRUE,IF(IF(AO729="",VLOOKUP(AN729,Calculs!$A$19:$S$425,19,FALSE),VLOOKUP(AO729,Calculs!$A$19:$S$425,19,FALSE))&gt;=AP729,TRUE,FALSE))</f>
        <v>1</v>
      </c>
      <c r="AR729" s="158"/>
      <c r="AS729" s="158" t="b">
        <f>IF(AR729="",TRUE,IF(VLOOKUP(AR729,Calculs!$A$427:$G$738,7,FALSE)&gt;0,TRUE,FALSE))</f>
        <v>1</v>
      </c>
      <c r="AT729" s="158"/>
      <c r="AU729" s="158" t="b">
        <f>IF(AT729="",TRUE,IF(VLOOKUP(AT729,Calculs!$A$740:$G$912,7,FALSE)&gt;0,TRUE,FALSE))</f>
        <v>1</v>
      </c>
      <c r="AV729" s="158" t="b">
        <f t="shared" si="80"/>
        <v>1</v>
      </c>
      <c r="AW729" s="158" t="s">
        <v>2078</v>
      </c>
      <c r="AX729" s="162" t="s">
        <v>2075</v>
      </c>
      <c r="AY729" s="15">
        <v>111</v>
      </c>
      <c r="AZ729" s="555" t="s">
        <v>3089</v>
      </c>
      <c r="BA729" s="559">
        <f>IF(Verso!$B$10=Voies!$B729,1,0)</f>
        <v>0</v>
      </c>
      <c r="BB729" s="12">
        <f>IF(Verso!$B$11=Voies!$B729,1,0)</f>
        <v>0</v>
      </c>
      <c r="BC729" s="12">
        <f>IF(Verso!$B$12=Voies!$B729,1,0)</f>
        <v>0</v>
      </c>
      <c r="BD729" s="12">
        <f>IF(Verso!$B$13=Voies!$B729,1,0)</f>
        <v>0</v>
      </c>
      <c r="BE729" s="12">
        <f>IF(Verso!$B$14=Voies!$B729,1,0)</f>
        <v>0</v>
      </c>
      <c r="BF729" s="12">
        <f>IF(Verso!$B$15=Voies!$B729,1,0)</f>
        <v>0</v>
      </c>
      <c r="BG729" s="12">
        <f>IF(Verso!$B$16=Voies!$B729,1,0)</f>
        <v>0</v>
      </c>
      <c r="BH729" s="12">
        <f>IF(Verso!$B$17=Voies!$B729,1,0)</f>
        <v>0</v>
      </c>
      <c r="BI729" s="557">
        <f t="shared" si="81"/>
        <v>0</v>
      </c>
      <c r="BJ729" s="196" t="str">
        <f t="shared" si="82"/>
        <v/>
      </c>
      <c r="BK729" s="196" t="str">
        <f t="shared" si="83"/>
        <v/>
      </c>
      <c r="BL729" s="295" t="str">
        <f t="shared" si="84"/>
        <v/>
      </c>
    </row>
    <row r="730" spans="1:64" ht="47.25" customHeight="1" x14ac:dyDescent="0.25">
      <c r="A730" s="162" t="str">
        <f>IF(AND(Réputation&gt;Voies!E730-1,OR(C730=TRUE,Calculs!$I$8&gt;0),Air&gt;Voies!J730-1,Eau&gt;Voies!K730-1,Feu&gt;Voies!L730-1,Terre&gt;Voies!M730-1,Vide&gt;Voies!N730-1,Constitution&gt;Voies!O730-1,Volonté&gt;Voies!P730-1,Force&gt;Voies!Q730-1,Perception&gt;Voies!R730-1,Reflexes&gt;Voies!S730-1,Agilité&gt;Voies!T730-1,Intuition&gt;Voies!U730-1,Intelligence&gt;Voies!V730-1,Souillure&gt;Voies!W730-1,Honneur&gt;X730-1,Statut&gt;Y730-1,Gloire&gt;Z730-1,AV730=TRUE),Voies!B730,"")</f>
        <v/>
      </c>
      <c r="B730" s="162" t="s">
        <v>3091</v>
      </c>
      <c r="C730" s="162" t="b">
        <f>IF(Clan=Voies!D730,TRUE,FALSE)</f>
        <v>0</v>
      </c>
      <c r="D730" s="388" t="s">
        <v>56</v>
      </c>
      <c r="E730" s="199">
        <v>2</v>
      </c>
      <c r="F730" s="199">
        <v>2</v>
      </c>
      <c r="G730" s="199" t="s">
        <v>2060</v>
      </c>
      <c r="H730" s="162" t="s">
        <v>582</v>
      </c>
      <c r="I730" s="129" t="str">
        <f t="shared" si="85"/>
        <v>Rien</v>
      </c>
      <c r="J730" s="146">
        <v>0</v>
      </c>
      <c r="K730" s="147">
        <v>0</v>
      </c>
      <c r="L730" s="148">
        <v>0</v>
      </c>
      <c r="M730" s="149">
        <v>0</v>
      </c>
      <c r="N730" s="150">
        <v>0</v>
      </c>
      <c r="O730" s="130">
        <v>0</v>
      </c>
      <c r="P730" s="130">
        <v>0</v>
      </c>
      <c r="Q730" s="130">
        <v>0</v>
      </c>
      <c r="R730" s="130">
        <v>0</v>
      </c>
      <c r="S730" s="130">
        <v>0</v>
      </c>
      <c r="T730" s="130">
        <v>0</v>
      </c>
      <c r="U730" s="130">
        <v>0</v>
      </c>
      <c r="V730" s="524">
        <v>0</v>
      </c>
      <c r="W730" s="130">
        <v>0</v>
      </c>
      <c r="X730" s="130">
        <v>0</v>
      </c>
      <c r="Y730" s="130">
        <v>0</v>
      </c>
      <c r="Z730" s="130">
        <v>0</v>
      </c>
      <c r="AA730" s="158" t="s">
        <v>2078</v>
      </c>
      <c r="AB730" s="158"/>
      <c r="AC730" s="158"/>
      <c r="AD730" s="158"/>
      <c r="AE730" s="158" t="b">
        <f>IF(AB730="",TRUE,IF(IF(AC730="",VLOOKUP(AB730,Calculs!$A$19:$S$425,19,FALSE),VLOOKUP(AC730,Calculs!$A$19:$S$425,19,FALSE))&gt;=AD730,TRUE,FALSE))</f>
        <v>1</v>
      </c>
      <c r="AF730" s="158"/>
      <c r="AG730" s="158"/>
      <c r="AH730" s="158"/>
      <c r="AI730" s="158" t="b">
        <f>IF(AF730="",TRUE,IF(IF(AG730="",VLOOKUP(AF730,Calculs!$A$19:$S$425,19,FALSE),VLOOKUP(AG730,Calculs!$A$19:$S$425,19,FALSE))&gt;=AH730,TRUE,FALSE))</f>
        <v>1</v>
      </c>
      <c r="AJ730" s="158"/>
      <c r="AK730" s="158"/>
      <c r="AL730" s="158"/>
      <c r="AM730" s="158" t="b">
        <f>IF(AJ730="",TRUE,IF(IF(AK730="",VLOOKUP(AJ730,Calculs!$A$19:$S$425,19,FALSE),VLOOKUP(AK730,Calculs!$A$19:$S$425,19,FALSE))&gt;=AL730,TRUE,FALSE))</f>
        <v>1</v>
      </c>
      <c r="AN730" s="158"/>
      <c r="AO730" s="158"/>
      <c r="AP730" s="158"/>
      <c r="AQ730" s="158" t="b">
        <f>IF(AN730="",TRUE,IF(IF(AO730="",VLOOKUP(AN730,Calculs!$A$19:$S$425,19,FALSE),VLOOKUP(AO730,Calculs!$A$19:$S$425,19,FALSE))&gt;=AP730,TRUE,FALSE))</f>
        <v>1</v>
      </c>
      <c r="AR730" s="158"/>
      <c r="AS730" s="158" t="b">
        <f>IF(AR730="",TRUE,IF(VLOOKUP(AR730,Calculs!$A$427:$G$738,7,FALSE)&gt;0,TRUE,FALSE))</f>
        <v>1</v>
      </c>
      <c r="AT730" s="158"/>
      <c r="AU730" s="158" t="b">
        <f>IF(AT730="",TRUE,IF(VLOOKUP(AT730,Calculs!$A$740:$G$912,7,FALSE)&gt;0,TRUE,FALSE))</f>
        <v>1</v>
      </c>
      <c r="AV730" s="158" t="b">
        <f t="shared" si="80"/>
        <v>1</v>
      </c>
      <c r="AW730" s="158" t="s">
        <v>2078</v>
      </c>
      <c r="AX730" s="162" t="s">
        <v>2075</v>
      </c>
      <c r="AY730" s="15">
        <v>112</v>
      </c>
      <c r="AZ730" s="555" t="s">
        <v>8666</v>
      </c>
      <c r="BA730" s="559">
        <f>IF(Verso!$B$10=Voies!$B730,1,0)</f>
        <v>0</v>
      </c>
      <c r="BB730" s="12">
        <f>IF(Verso!$B$11=Voies!$B730,1,0)</f>
        <v>0</v>
      </c>
      <c r="BC730" s="12">
        <f>IF(Verso!$B$12=Voies!$B730,1,0)</f>
        <v>0</v>
      </c>
      <c r="BD730" s="12">
        <f>IF(Verso!$B$13=Voies!$B730,1,0)</f>
        <v>0</v>
      </c>
      <c r="BE730" s="12">
        <f>IF(Verso!$B$14=Voies!$B730,1,0)</f>
        <v>0</v>
      </c>
      <c r="BF730" s="12">
        <f>IF(Verso!$B$15=Voies!$B730,1,0)</f>
        <v>0</v>
      </c>
      <c r="BG730" s="12">
        <f>IF(Verso!$B$16=Voies!$B730,1,0)</f>
        <v>0</v>
      </c>
      <c r="BH730" s="12">
        <f>IF(Verso!$B$17=Voies!$B730,1,0)</f>
        <v>0</v>
      </c>
      <c r="BI730" s="557">
        <f t="shared" si="81"/>
        <v>0</v>
      </c>
      <c r="BJ730" s="196" t="str">
        <f t="shared" si="82"/>
        <v/>
      </c>
      <c r="BK730" s="196" t="str">
        <f t="shared" si="83"/>
        <v/>
      </c>
      <c r="BL730" s="295" t="str">
        <f t="shared" si="84"/>
        <v/>
      </c>
    </row>
    <row r="731" spans="1:64" ht="47.25" customHeight="1" x14ac:dyDescent="0.25">
      <c r="A731" s="162" t="str">
        <f>IF(AND(Réputation&gt;Voies!E731-1,OR(C731=TRUE,Calculs!$I$8&gt;0),Air&gt;Voies!J731-1,Eau&gt;Voies!K731-1,Feu&gt;Voies!L731-1,Terre&gt;Voies!M731-1,Vide&gt;Voies!N731-1,Constitution&gt;Voies!O731-1,Volonté&gt;Voies!P731-1,Force&gt;Voies!Q731-1,Perception&gt;Voies!R731-1,Reflexes&gt;Voies!S731-1,Agilité&gt;Voies!T731-1,Intuition&gt;Voies!U731-1,Intelligence&gt;Voies!V731-1,Souillure&gt;Voies!W731-1,Honneur&gt;X731-1,Statut&gt;Y731-1,Gloire&gt;Z731-1,AV731=TRUE),Voies!B731,"")</f>
        <v/>
      </c>
      <c r="B731" s="162" t="s">
        <v>3086</v>
      </c>
      <c r="C731" s="162" t="b">
        <f>IF(Clan=Voies!D731,TRUE,FALSE)</f>
        <v>0</v>
      </c>
      <c r="D731" s="388" t="s">
        <v>56</v>
      </c>
      <c r="E731" s="199">
        <v>3</v>
      </c>
      <c r="F731" s="199">
        <v>3</v>
      </c>
      <c r="G731" s="199" t="s">
        <v>2049</v>
      </c>
      <c r="H731" s="162" t="s">
        <v>300</v>
      </c>
      <c r="I731" s="129" t="str">
        <f t="shared" si="85"/>
        <v>Rien</v>
      </c>
      <c r="J731" s="146">
        <v>0</v>
      </c>
      <c r="K731" s="147">
        <v>0</v>
      </c>
      <c r="L731" s="148">
        <v>0</v>
      </c>
      <c r="M731" s="149">
        <v>0</v>
      </c>
      <c r="N731" s="150">
        <v>0</v>
      </c>
      <c r="O731" s="130">
        <v>0</v>
      </c>
      <c r="P731" s="130">
        <v>0</v>
      </c>
      <c r="Q731" s="130">
        <v>0</v>
      </c>
      <c r="R731" s="130">
        <v>0</v>
      </c>
      <c r="S731" s="130">
        <v>0</v>
      </c>
      <c r="T731" s="130">
        <v>0</v>
      </c>
      <c r="U731" s="130">
        <v>0</v>
      </c>
      <c r="V731" s="524">
        <v>0</v>
      </c>
      <c r="W731" s="130">
        <v>0</v>
      </c>
      <c r="X731" s="130">
        <v>0</v>
      </c>
      <c r="Y731" s="130">
        <v>0</v>
      </c>
      <c r="Z731" s="130">
        <v>0</v>
      </c>
      <c r="AA731" s="158" t="s">
        <v>2078</v>
      </c>
      <c r="AB731" s="158"/>
      <c r="AC731" s="158"/>
      <c r="AD731" s="158"/>
      <c r="AE731" s="158" t="b">
        <f>IF(AB731="",TRUE,IF(IF(AC731="",VLOOKUP(AB731,Calculs!$A$19:$S$425,19,FALSE),VLOOKUP(AC731,Calculs!$A$19:$S$425,19,FALSE))&gt;=AD731,TRUE,FALSE))</f>
        <v>1</v>
      </c>
      <c r="AF731" s="158"/>
      <c r="AG731" s="158"/>
      <c r="AH731" s="158"/>
      <c r="AI731" s="158" t="b">
        <f>IF(AF731="",TRUE,IF(IF(AG731="",VLOOKUP(AF731,Calculs!$A$19:$S$425,19,FALSE),VLOOKUP(AG731,Calculs!$A$19:$S$425,19,FALSE))&gt;=AH731,TRUE,FALSE))</f>
        <v>1</v>
      </c>
      <c r="AJ731" s="158"/>
      <c r="AK731" s="158"/>
      <c r="AL731" s="158"/>
      <c r="AM731" s="158" t="b">
        <f>IF(AJ731="",TRUE,IF(IF(AK731="",VLOOKUP(AJ731,Calculs!$A$19:$S$425,19,FALSE),VLOOKUP(AK731,Calculs!$A$19:$S$425,19,FALSE))&gt;=AL731,TRUE,FALSE))</f>
        <v>1</v>
      </c>
      <c r="AN731" s="158"/>
      <c r="AO731" s="158"/>
      <c r="AP731" s="158"/>
      <c r="AQ731" s="158" t="b">
        <f>IF(AN731="",TRUE,IF(IF(AO731="",VLOOKUP(AN731,Calculs!$A$19:$S$425,19,FALSE),VLOOKUP(AO731,Calculs!$A$19:$S$425,19,FALSE))&gt;=AP731,TRUE,FALSE))</f>
        <v>1</v>
      </c>
      <c r="AR731" s="158"/>
      <c r="AS731" s="158" t="b">
        <f>IF(AR731="",TRUE,IF(VLOOKUP(AR731,Calculs!$A$427:$G$738,7,FALSE)&gt;0,TRUE,FALSE))</f>
        <v>1</v>
      </c>
      <c r="AT731" s="158"/>
      <c r="AU731" s="158" t="b">
        <f>IF(AT731="",TRUE,IF(VLOOKUP(AT731,Calculs!$A$740:$G$912,7,FALSE)&gt;0,TRUE,FALSE))</f>
        <v>1</v>
      </c>
      <c r="AV731" s="158" t="b">
        <f t="shared" si="80"/>
        <v>1</v>
      </c>
      <c r="AW731" s="158" t="s">
        <v>2078</v>
      </c>
      <c r="AX731" s="162" t="s">
        <v>2075</v>
      </c>
      <c r="AY731" s="15">
        <v>111</v>
      </c>
      <c r="AZ731" s="555" t="s">
        <v>2682</v>
      </c>
      <c r="BA731" s="559">
        <f>IF(Verso!$B$10=Voies!$B731,1,0)</f>
        <v>0</v>
      </c>
      <c r="BB731" s="12">
        <f>IF(Verso!$B$11=Voies!$B731,1,0)</f>
        <v>0</v>
      </c>
      <c r="BC731" s="12">
        <f>IF(Verso!$B$12=Voies!$B731,1,0)</f>
        <v>0</v>
      </c>
      <c r="BD731" s="12">
        <f>IF(Verso!$B$13=Voies!$B731,1,0)</f>
        <v>0</v>
      </c>
      <c r="BE731" s="12">
        <f>IF(Verso!$B$14=Voies!$B731,1,0)</f>
        <v>0</v>
      </c>
      <c r="BF731" s="12">
        <f>IF(Verso!$B$15=Voies!$B731,1,0)</f>
        <v>0</v>
      </c>
      <c r="BG731" s="12">
        <f>IF(Verso!$B$16=Voies!$B731,1,0)</f>
        <v>0</v>
      </c>
      <c r="BH731" s="12">
        <f>IF(Verso!$B$17=Voies!$B731,1,0)</f>
        <v>0</v>
      </c>
      <c r="BI731" s="557">
        <f t="shared" si="81"/>
        <v>0</v>
      </c>
      <c r="BJ731" s="196" t="str">
        <f t="shared" si="82"/>
        <v/>
      </c>
      <c r="BK731" s="196" t="str">
        <f t="shared" si="83"/>
        <v/>
      </c>
      <c r="BL731" s="295" t="str">
        <f t="shared" si="84"/>
        <v/>
      </c>
    </row>
    <row r="732" spans="1:64" ht="47.25" customHeight="1" x14ac:dyDescent="0.25">
      <c r="A732" s="162" t="str">
        <f>IF(AND(Réputation&gt;Voies!E732-1,OR(C732=TRUE,Calculs!$I$8&gt;0),Air&gt;Voies!J732-1,Eau&gt;Voies!K732-1,Feu&gt;Voies!L732-1,Terre&gt;Voies!M732-1,Vide&gt;Voies!N732-1,Constitution&gt;Voies!O732-1,Volonté&gt;Voies!P732-1,Force&gt;Voies!Q732-1,Perception&gt;Voies!R732-1,Reflexes&gt;Voies!S732-1,Agilité&gt;Voies!T732-1,Intuition&gt;Voies!U732-1,Intelligence&gt;Voies!V732-1,Souillure&gt;Voies!W732-1,Honneur&gt;X732-1,Statut&gt;Y732-1,Gloire&gt;Z732-1,AV732=TRUE),Voies!B732,"")</f>
        <v/>
      </c>
      <c r="B732" s="162" t="s">
        <v>3092</v>
      </c>
      <c r="C732" s="162" t="b">
        <f>IF(Clan=Voies!D732,TRUE,FALSE)</f>
        <v>0</v>
      </c>
      <c r="D732" s="388" t="s">
        <v>56</v>
      </c>
      <c r="E732" s="13">
        <v>3</v>
      </c>
      <c r="F732" s="199">
        <v>3</v>
      </c>
      <c r="G732" s="199" t="s">
        <v>2060</v>
      </c>
      <c r="H732" s="162" t="s">
        <v>582</v>
      </c>
      <c r="I732" s="129" t="str">
        <f t="shared" si="85"/>
        <v>Rien</v>
      </c>
      <c r="J732" s="146">
        <v>0</v>
      </c>
      <c r="K732" s="147">
        <v>0</v>
      </c>
      <c r="L732" s="148">
        <v>0</v>
      </c>
      <c r="M732" s="149">
        <v>0</v>
      </c>
      <c r="N732" s="150">
        <v>0</v>
      </c>
      <c r="O732" s="130">
        <v>0</v>
      </c>
      <c r="P732" s="130">
        <v>0</v>
      </c>
      <c r="Q732" s="130">
        <v>0</v>
      </c>
      <c r="R732" s="130">
        <v>0</v>
      </c>
      <c r="S732" s="130">
        <v>0</v>
      </c>
      <c r="T732" s="130">
        <v>0</v>
      </c>
      <c r="U732" s="130">
        <v>0</v>
      </c>
      <c r="V732" s="524">
        <v>0</v>
      </c>
      <c r="W732" s="130">
        <v>0</v>
      </c>
      <c r="X732" s="130">
        <v>0</v>
      </c>
      <c r="Y732" s="130">
        <v>0</v>
      </c>
      <c r="Z732" s="130">
        <v>0</v>
      </c>
      <c r="AA732" s="158" t="s">
        <v>2078</v>
      </c>
      <c r="AB732" s="158"/>
      <c r="AC732" s="158"/>
      <c r="AD732" s="158"/>
      <c r="AE732" s="158" t="b">
        <f>IF(AB732="",TRUE,IF(IF(AC732="",VLOOKUP(AB732,Calculs!$A$19:$S$425,19,FALSE),VLOOKUP(AC732,Calculs!$A$19:$S$425,19,FALSE))&gt;=AD732,TRUE,FALSE))</f>
        <v>1</v>
      </c>
      <c r="AF732" s="158"/>
      <c r="AG732" s="158"/>
      <c r="AH732" s="158"/>
      <c r="AI732" s="158" t="b">
        <f>IF(AF732="",TRUE,IF(IF(AG732="",VLOOKUP(AF732,Calculs!$A$19:$S$425,19,FALSE),VLOOKUP(AG732,Calculs!$A$19:$S$425,19,FALSE))&gt;=AH732,TRUE,FALSE))</f>
        <v>1</v>
      </c>
      <c r="AJ732" s="158"/>
      <c r="AK732" s="158"/>
      <c r="AL732" s="158"/>
      <c r="AM732" s="158" t="b">
        <f>IF(AJ732="",TRUE,IF(IF(AK732="",VLOOKUP(AJ732,Calculs!$A$19:$S$425,19,FALSE),VLOOKUP(AK732,Calculs!$A$19:$S$425,19,FALSE))&gt;=AL732,TRUE,FALSE))</f>
        <v>1</v>
      </c>
      <c r="AN732" s="158"/>
      <c r="AO732" s="158"/>
      <c r="AP732" s="158"/>
      <c r="AQ732" s="158" t="b">
        <f>IF(AN732="",TRUE,IF(IF(AO732="",VLOOKUP(AN732,Calculs!$A$19:$S$425,19,FALSE),VLOOKUP(AO732,Calculs!$A$19:$S$425,19,FALSE))&gt;=AP732,TRUE,FALSE))</f>
        <v>1</v>
      </c>
      <c r="AR732" s="158"/>
      <c r="AS732" s="158" t="b">
        <f>IF(AR732="",TRUE,IF(VLOOKUP(AR732,Calculs!$A$427:$G$738,7,FALSE)&gt;0,TRUE,FALSE))</f>
        <v>1</v>
      </c>
      <c r="AT732" s="158"/>
      <c r="AU732" s="158" t="b">
        <f>IF(AT732="",TRUE,IF(VLOOKUP(AT732,Calculs!$A$740:$G$912,7,FALSE)&gt;0,TRUE,FALSE))</f>
        <v>1</v>
      </c>
      <c r="AV732" s="158" t="b">
        <f t="shared" si="80"/>
        <v>1</v>
      </c>
      <c r="AW732" s="158" t="s">
        <v>2078</v>
      </c>
      <c r="AX732" s="162" t="s">
        <v>2075</v>
      </c>
      <c r="AY732" s="15">
        <v>112</v>
      </c>
      <c r="AZ732" s="555" t="s">
        <v>3098</v>
      </c>
      <c r="BA732" s="559">
        <f>IF(Verso!$B$10=Voies!$B732,1,0)</f>
        <v>0</v>
      </c>
      <c r="BB732" s="12">
        <f>IF(Verso!$B$11=Voies!$B732,1,0)</f>
        <v>0</v>
      </c>
      <c r="BC732" s="12">
        <f>IF(Verso!$B$12=Voies!$B732,1,0)</f>
        <v>0</v>
      </c>
      <c r="BD732" s="12">
        <f>IF(Verso!$B$13=Voies!$B732,1,0)</f>
        <v>0</v>
      </c>
      <c r="BE732" s="12">
        <f>IF(Verso!$B$14=Voies!$B732,1,0)</f>
        <v>0</v>
      </c>
      <c r="BF732" s="12">
        <f>IF(Verso!$B$15=Voies!$B732,1,0)</f>
        <v>0</v>
      </c>
      <c r="BG732" s="12">
        <f>IF(Verso!$B$16=Voies!$B732,1,0)</f>
        <v>0</v>
      </c>
      <c r="BH732" s="12">
        <f>IF(Verso!$B$17=Voies!$B732,1,0)</f>
        <v>0</v>
      </c>
      <c r="BI732" s="557">
        <f t="shared" si="81"/>
        <v>0</v>
      </c>
      <c r="BJ732" s="196" t="str">
        <f t="shared" si="82"/>
        <v/>
      </c>
      <c r="BK732" s="196" t="str">
        <f t="shared" si="83"/>
        <v/>
      </c>
      <c r="BL732" s="295" t="str">
        <f t="shared" si="84"/>
        <v/>
      </c>
    </row>
    <row r="733" spans="1:64" ht="47.25" customHeight="1" x14ac:dyDescent="0.25">
      <c r="A733" s="162" t="str">
        <f>IF(AND(Réputation&gt;Voies!E733-1,OR(C733=TRUE,Calculs!$I$8&gt;0),Air&gt;Voies!J733-1,Eau&gt;Voies!K733-1,Feu&gt;Voies!L733-1,Terre&gt;Voies!M733-1,Vide&gt;Voies!N733-1,Constitution&gt;Voies!O733-1,Volonté&gt;Voies!P733-1,Force&gt;Voies!Q733-1,Perception&gt;Voies!R733-1,Reflexes&gt;Voies!S733-1,Agilité&gt;Voies!T733-1,Intuition&gt;Voies!U733-1,Intelligence&gt;Voies!V733-1,Souillure&gt;Voies!W733-1,Honneur&gt;X733-1,Statut&gt;Y733-1,Gloire&gt;Z733-1,AV733=TRUE),Voies!B733,"")</f>
        <v/>
      </c>
      <c r="B733" s="162" t="s">
        <v>3087</v>
      </c>
      <c r="C733" s="162" t="b">
        <f>IF(Clan=Voies!D733,TRUE,FALSE)</f>
        <v>0</v>
      </c>
      <c r="D733" s="388" t="s">
        <v>56</v>
      </c>
      <c r="E733" s="13">
        <v>4</v>
      </c>
      <c r="F733" s="199">
        <v>4</v>
      </c>
      <c r="G733" s="199" t="s">
        <v>2049</v>
      </c>
      <c r="H733" s="162" t="s">
        <v>300</v>
      </c>
      <c r="I733" s="129" t="str">
        <f t="shared" si="85"/>
        <v>Rien</v>
      </c>
      <c r="J733" s="146">
        <v>0</v>
      </c>
      <c r="K733" s="147">
        <v>0</v>
      </c>
      <c r="L733" s="148">
        <v>0</v>
      </c>
      <c r="M733" s="149">
        <v>0</v>
      </c>
      <c r="N733" s="150">
        <v>0</v>
      </c>
      <c r="O733" s="130">
        <v>0</v>
      </c>
      <c r="P733" s="130">
        <v>0</v>
      </c>
      <c r="Q733" s="130">
        <v>0</v>
      </c>
      <c r="R733" s="130">
        <v>0</v>
      </c>
      <c r="S733" s="130">
        <v>0</v>
      </c>
      <c r="T733" s="130">
        <v>0</v>
      </c>
      <c r="U733" s="130">
        <v>0</v>
      </c>
      <c r="V733" s="524">
        <v>0</v>
      </c>
      <c r="W733" s="130">
        <v>0</v>
      </c>
      <c r="X733" s="130">
        <v>0</v>
      </c>
      <c r="Y733" s="130">
        <v>0</v>
      </c>
      <c r="Z733" s="130">
        <v>0</v>
      </c>
      <c r="AA733" s="158" t="s">
        <v>2078</v>
      </c>
      <c r="AB733" s="158"/>
      <c r="AC733" s="158"/>
      <c r="AD733" s="158"/>
      <c r="AE733" s="158" t="b">
        <f>IF(AB733="",TRUE,IF(IF(AC733="",VLOOKUP(AB733,Calculs!$A$19:$S$425,19,FALSE),VLOOKUP(AC733,Calculs!$A$19:$S$425,19,FALSE))&gt;=AD733,TRUE,FALSE))</f>
        <v>1</v>
      </c>
      <c r="AF733" s="158"/>
      <c r="AG733" s="158"/>
      <c r="AH733" s="158"/>
      <c r="AI733" s="158" t="b">
        <f>IF(AF733="",TRUE,IF(IF(AG733="",VLOOKUP(AF733,Calculs!$A$19:$S$425,19,FALSE),VLOOKUP(AG733,Calculs!$A$19:$S$425,19,FALSE))&gt;=AH733,TRUE,FALSE))</f>
        <v>1</v>
      </c>
      <c r="AJ733" s="158"/>
      <c r="AK733" s="158"/>
      <c r="AL733" s="158"/>
      <c r="AM733" s="158" t="b">
        <f>IF(AJ733="",TRUE,IF(IF(AK733="",VLOOKUP(AJ733,Calculs!$A$19:$S$425,19,FALSE),VLOOKUP(AK733,Calculs!$A$19:$S$425,19,FALSE))&gt;=AL733,TRUE,FALSE))</f>
        <v>1</v>
      </c>
      <c r="AN733" s="158"/>
      <c r="AO733" s="158"/>
      <c r="AP733" s="158"/>
      <c r="AQ733" s="158" t="b">
        <f>IF(AN733="",TRUE,IF(IF(AO733="",VLOOKUP(AN733,Calculs!$A$19:$S$425,19,FALSE),VLOOKUP(AO733,Calculs!$A$19:$S$425,19,FALSE))&gt;=AP733,TRUE,FALSE))</f>
        <v>1</v>
      </c>
      <c r="AR733" s="158"/>
      <c r="AS733" s="158" t="b">
        <f>IF(AR733="",TRUE,IF(VLOOKUP(AR733,Calculs!$A$427:$G$738,7,FALSE)&gt;0,TRUE,FALSE))</f>
        <v>1</v>
      </c>
      <c r="AT733" s="158"/>
      <c r="AU733" s="158" t="b">
        <f>IF(AT733="",TRUE,IF(VLOOKUP(AT733,Calculs!$A$740:$G$912,7,FALSE)&gt;0,TRUE,FALSE))</f>
        <v>1</v>
      </c>
      <c r="AV733" s="158" t="b">
        <f t="shared" si="80"/>
        <v>1</v>
      </c>
      <c r="AW733" s="158" t="s">
        <v>2078</v>
      </c>
      <c r="AX733" s="162" t="s">
        <v>2075</v>
      </c>
      <c r="AY733" s="15">
        <v>111</v>
      </c>
      <c r="AZ733" s="566" t="s">
        <v>8667</v>
      </c>
      <c r="BA733" s="559">
        <f>IF(Verso!$B$10=Voies!$B733,1,0)</f>
        <v>0</v>
      </c>
      <c r="BB733" s="12">
        <f>IF(Verso!$B$11=Voies!$B733,1,0)</f>
        <v>0</v>
      </c>
      <c r="BC733" s="12">
        <f>IF(Verso!$B$12=Voies!$B733,1,0)</f>
        <v>0</v>
      </c>
      <c r="BD733" s="12">
        <f>IF(Verso!$B$13=Voies!$B733,1,0)</f>
        <v>0</v>
      </c>
      <c r="BE733" s="12">
        <f>IF(Verso!$B$14=Voies!$B733,1,0)</f>
        <v>0</v>
      </c>
      <c r="BF733" s="12">
        <f>IF(Verso!$B$15=Voies!$B733,1,0)</f>
        <v>0</v>
      </c>
      <c r="BG733" s="12">
        <f>IF(Verso!$B$16=Voies!$B733,1,0)</f>
        <v>0</v>
      </c>
      <c r="BH733" s="12">
        <f>IF(Verso!$B$17=Voies!$B733,1,0)</f>
        <v>0</v>
      </c>
      <c r="BI733" s="557">
        <f t="shared" si="81"/>
        <v>0</v>
      </c>
      <c r="BJ733" s="196" t="str">
        <f t="shared" si="82"/>
        <v/>
      </c>
      <c r="BK733" s="196" t="str">
        <f t="shared" si="83"/>
        <v/>
      </c>
      <c r="BL733" s="295" t="str">
        <f t="shared" si="84"/>
        <v/>
      </c>
    </row>
    <row r="734" spans="1:64" ht="47.25" customHeight="1" x14ac:dyDescent="0.25">
      <c r="A734" s="162" t="str">
        <f>IF(AND(Réputation&gt;Voies!E734-1,OR(C734=TRUE,Calculs!$I$8&gt;0),Air&gt;Voies!J734-1,Eau&gt;Voies!K734-1,Feu&gt;Voies!L734-1,Terre&gt;Voies!M734-1,Vide&gt;Voies!N734-1,Constitution&gt;Voies!O734-1,Volonté&gt;Voies!P734-1,Force&gt;Voies!Q734-1,Perception&gt;Voies!R734-1,Reflexes&gt;Voies!S734-1,Agilité&gt;Voies!T734-1,Intuition&gt;Voies!U734-1,Intelligence&gt;Voies!V734-1,Souillure&gt;Voies!W734-1,Honneur&gt;X734-1,Statut&gt;Y734-1,Gloire&gt;Z734-1,AV734=TRUE),Voies!B734,"")</f>
        <v/>
      </c>
      <c r="B734" s="162" t="s">
        <v>3093</v>
      </c>
      <c r="C734" s="162" t="b">
        <f>IF(Clan=Voies!D734,TRUE,FALSE)</f>
        <v>0</v>
      </c>
      <c r="D734" s="388" t="s">
        <v>56</v>
      </c>
      <c r="E734" s="13">
        <v>4</v>
      </c>
      <c r="F734" s="199">
        <v>4</v>
      </c>
      <c r="G734" s="199" t="s">
        <v>2060</v>
      </c>
      <c r="H734" s="162" t="s">
        <v>582</v>
      </c>
      <c r="I734" s="129" t="str">
        <f t="shared" si="85"/>
        <v>Rien</v>
      </c>
      <c r="J734" s="146">
        <v>0</v>
      </c>
      <c r="K734" s="147">
        <v>0</v>
      </c>
      <c r="L734" s="148">
        <v>0</v>
      </c>
      <c r="M734" s="149">
        <v>0</v>
      </c>
      <c r="N734" s="150">
        <v>0</v>
      </c>
      <c r="O734" s="130">
        <v>0</v>
      </c>
      <c r="P734" s="130">
        <v>0</v>
      </c>
      <c r="Q734" s="130">
        <v>0</v>
      </c>
      <c r="R734" s="130">
        <v>0</v>
      </c>
      <c r="S734" s="130">
        <v>0</v>
      </c>
      <c r="T734" s="130">
        <v>0</v>
      </c>
      <c r="U734" s="130">
        <v>0</v>
      </c>
      <c r="V734" s="524">
        <v>0</v>
      </c>
      <c r="W734" s="130">
        <v>0</v>
      </c>
      <c r="X734" s="130">
        <v>0</v>
      </c>
      <c r="Y734" s="130">
        <v>0</v>
      </c>
      <c r="Z734" s="130">
        <v>0</v>
      </c>
      <c r="AA734" s="158" t="s">
        <v>2078</v>
      </c>
      <c r="AB734" s="158"/>
      <c r="AC734" s="158"/>
      <c r="AD734" s="158"/>
      <c r="AE734" s="158" t="b">
        <f>IF(AB734="",TRUE,IF(IF(AC734="",VLOOKUP(AB734,Calculs!$A$19:$S$425,19,FALSE),VLOOKUP(AC734,Calculs!$A$19:$S$425,19,FALSE))&gt;=AD734,TRUE,FALSE))</f>
        <v>1</v>
      </c>
      <c r="AF734" s="158"/>
      <c r="AG734" s="158"/>
      <c r="AH734" s="158"/>
      <c r="AI734" s="158" t="b">
        <f>IF(AF734="",TRUE,IF(IF(AG734="",VLOOKUP(AF734,Calculs!$A$19:$S$425,19,FALSE),VLOOKUP(AG734,Calculs!$A$19:$S$425,19,FALSE))&gt;=AH734,TRUE,FALSE))</f>
        <v>1</v>
      </c>
      <c r="AJ734" s="158"/>
      <c r="AK734" s="158"/>
      <c r="AL734" s="158"/>
      <c r="AM734" s="158" t="b">
        <f>IF(AJ734="",TRUE,IF(IF(AK734="",VLOOKUP(AJ734,Calculs!$A$19:$S$425,19,FALSE),VLOOKUP(AK734,Calculs!$A$19:$S$425,19,FALSE))&gt;=AL734,TRUE,FALSE))</f>
        <v>1</v>
      </c>
      <c r="AN734" s="158"/>
      <c r="AO734" s="158"/>
      <c r="AP734" s="158"/>
      <c r="AQ734" s="158" t="b">
        <f>IF(AN734="",TRUE,IF(IF(AO734="",VLOOKUP(AN734,Calculs!$A$19:$S$425,19,FALSE),VLOOKUP(AO734,Calculs!$A$19:$S$425,19,FALSE))&gt;=AP734,TRUE,FALSE))</f>
        <v>1</v>
      </c>
      <c r="AR734" s="158"/>
      <c r="AS734" s="158" t="b">
        <f>IF(AR734="",TRUE,IF(VLOOKUP(AR734,Calculs!$A$427:$G$738,7,FALSE)&gt;0,TRUE,FALSE))</f>
        <v>1</v>
      </c>
      <c r="AT734" s="158"/>
      <c r="AU734" s="158" t="b">
        <f>IF(AT734="",TRUE,IF(VLOOKUP(AT734,Calculs!$A$740:$G$912,7,FALSE)&gt;0,TRUE,FALSE))</f>
        <v>1</v>
      </c>
      <c r="AV734" s="158" t="b">
        <f t="shared" si="80"/>
        <v>1</v>
      </c>
      <c r="AW734" s="158" t="s">
        <v>2078</v>
      </c>
      <c r="AX734" s="162" t="s">
        <v>2075</v>
      </c>
      <c r="AY734" s="15">
        <v>112</v>
      </c>
      <c r="AZ734" s="555" t="s">
        <v>3099</v>
      </c>
      <c r="BA734" s="559">
        <f>IF(Verso!$B$10=Voies!$B734,1,0)</f>
        <v>0</v>
      </c>
      <c r="BB734" s="12">
        <f>IF(Verso!$B$11=Voies!$B734,1,0)</f>
        <v>0</v>
      </c>
      <c r="BC734" s="12">
        <f>IF(Verso!$B$12=Voies!$B734,1,0)</f>
        <v>0</v>
      </c>
      <c r="BD734" s="12">
        <f>IF(Verso!$B$13=Voies!$B734,1,0)</f>
        <v>0</v>
      </c>
      <c r="BE734" s="12">
        <f>IF(Verso!$B$14=Voies!$B734,1,0)</f>
        <v>0</v>
      </c>
      <c r="BF734" s="12">
        <f>IF(Verso!$B$15=Voies!$B734,1,0)</f>
        <v>0</v>
      </c>
      <c r="BG734" s="12">
        <f>IF(Verso!$B$16=Voies!$B734,1,0)</f>
        <v>0</v>
      </c>
      <c r="BH734" s="12">
        <f>IF(Verso!$B$17=Voies!$B734,1,0)</f>
        <v>0</v>
      </c>
      <c r="BI734" s="557">
        <f t="shared" si="81"/>
        <v>0</v>
      </c>
      <c r="BJ734" s="196" t="str">
        <f t="shared" si="82"/>
        <v/>
      </c>
      <c r="BK734" s="196" t="str">
        <f t="shared" si="83"/>
        <v/>
      </c>
      <c r="BL734" s="295" t="str">
        <f t="shared" si="84"/>
        <v/>
      </c>
    </row>
    <row r="735" spans="1:64" ht="47.25" customHeight="1" x14ac:dyDescent="0.25">
      <c r="A735" s="162" t="str">
        <f>IF(AND(Réputation&gt;Voies!E735-1,OR(C735=TRUE,Calculs!$I$8&gt;0),Air&gt;Voies!J735-1,Eau&gt;Voies!K735-1,Feu&gt;Voies!L735-1,Terre&gt;Voies!M735-1,Vide&gt;Voies!N735-1,Constitution&gt;Voies!O735-1,Volonté&gt;Voies!P735-1,Force&gt;Voies!Q735-1,Perception&gt;Voies!R735-1,Reflexes&gt;Voies!S735-1,Agilité&gt;Voies!T735-1,Intuition&gt;Voies!U735-1,Intelligence&gt;Voies!V735-1,Souillure&gt;Voies!W735-1,Honneur&gt;X735-1,Statut&gt;Y735-1,Gloire&gt;Z735-1,AV735=TRUE),Voies!B735,"")</f>
        <v/>
      </c>
      <c r="B735" s="162" t="s">
        <v>3088</v>
      </c>
      <c r="C735" s="162" t="b">
        <f>IF(Clan=Voies!D735,TRUE,FALSE)</f>
        <v>0</v>
      </c>
      <c r="D735" s="388" t="s">
        <v>56</v>
      </c>
      <c r="E735" s="13">
        <v>5</v>
      </c>
      <c r="F735" s="199">
        <v>5</v>
      </c>
      <c r="G735" s="199" t="s">
        <v>2049</v>
      </c>
      <c r="H735" s="162" t="s">
        <v>300</v>
      </c>
      <c r="I735" s="129" t="str">
        <f t="shared" si="85"/>
        <v>Rien</v>
      </c>
      <c r="J735" s="146">
        <v>0</v>
      </c>
      <c r="K735" s="147">
        <v>0</v>
      </c>
      <c r="L735" s="148">
        <v>0</v>
      </c>
      <c r="M735" s="149">
        <v>0</v>
      </c>
      <c r="N735" s="150">
        <v>0</v>
      </c>
      <c r="O735" s="130">
        <v>0</v>
      </c>
      <c r="P735" s="130">
        <v>0</v>
      </c>
      <c r="Q735" s="130">
        <v>0</v>
      </c>
      <c r="R735" s="130">
        <v>0</v>
      </c>
      <c r="S735" s="130">
        <v>0</v>
      </c>
      <c r="T735" s="130">
        <v>0</v>
      </c>
      <c r="U735" s="130">
        <v>0</v>
      </c>
      <c r="V735" s="524">
        <v>0</v>
      </c>
      <c r="W735" s="130">
        <v>0</v>
      </c>
      <c r="X735" s="130">
        <v>0</v>
      </c>
      <c r="Y735" s="130">
        <v>0</v>
      </c>
      <c r="Z735" s="130">
        <v>0</v>
      </c>
      <c r="AA735" s="158" t="s">
        <v>2078</v>
      </c>
      <c r="AB735" s="158"/>
      <c r="AC735" s="158"/>
      <c r="AD735" s="158"/>
      <c r="AE735" s="158" t="b">
        <f>IF(AB735="",TRUE,IF(IF(AC735="",VLOOKUP(AB735,Calculs!$A$19:$S$425,19,FALSE),VLOOKUP(AC735,Calculs!$A$19:$S$425,19,FALSE))&gt;=AD735,TRUE,FALSE))</f>
        <v>1</v>
      </c>
      <c r="AF735" s="158"/>
      <c r="AG735" s="158"/>
      <c r="AH735" s="158"/>
      <c r="AI735" s="158" t="b">
        <f>IF(AF735="",TRUE,IF(IF(AG735="",VLOOKUP(AF735,Calculs!$A$19:$S$425,19,FALSE),VLOOKUP(AG735,Calculs!$A$19:$S$425,19,FALSE))&gt;=AH735,TRUE,FALSE))</f>
        <v>1</v>
      </c>
      <c r="AJ735" s="158"/>
      <c r="AK735" s="158"/>
      <c r="AL735" s="158"/>
      <c r="AM735" s="158" t="b">
        <f>IF(AJ735="",TRUE,IF(IF(AK735="",VLOOKUP(AJ735,Calculs!$A$19:$S$425,19,FALSE),VLOOKUP(AK735,Calculs!$A$19:$S$425,19,FALSE))&gt;=AL735,TRUE,FALSE))</f>
        <v>1</v>
      </c>
      <c r="AN735" s="158"/>
      <c r="AO735" s="158"/>
      <c r="AP735" s="158"/>
      <c r="AQ735" s="158" t="b">
        <f>IF(AN735="",TRUE,IF(IF(AO735="",VLOOKUP(AN735,Calculs!$A$19:$S$425,19,FALSE),VLOOKUP(AO735,Calculs!$A$19:$S$425,19,FALSE))&gt;=AP735,TRUE,FALSE))</f>
        <v>1</v>
      </c>
      <c r="AR735" s="158"/>
      <c r="AS735" s="158" t="b">
        <f>IF(AR735="",TRUE,IF(VLOOKUP(AR735,Calculs!$A$427:$G$738,7,FALSE)&gt;0,TRUE,FALSE))</f>
        <v>1</v>
      </c>
      <c r="AT735" s="158"/>
      <c r="AU735" s="158" t="b">
        <f>IF(AT735="",TRUE,IF(VLOOKUP(AT735,Calculs!$A$740:$G$912,7,FALSE)&gt;0,TRUE,FALSE))</f>
        <v>1</v>
      </c>
      <c r="AV735" s="158" t="b">
        <f t="shared" si="80"/>
        <v>1</v>
      </c>
      <c r="AW735" s="158" t="s">
        <v>2078</v>
      </c>
      <c r="AX735" s="162" t="s">
        <v>2075</v>
      </c>
      <c r="AY735" s="15">
        <v>111</v>
      </c>
      <c r="AZ735" s="555" t="s">
        <v>3100</v>
      </c>
      <c r="BA735" s="559">
        <f>IF(Verso!$B$10=Voies!$B735,1,0)</f>
        <v>0</v>
      </c>
      <c r="BB735" s="12">
        <f>IF(Verso!$B$11=Voies!$B735,1,0)</f>
        <v>0</v>
      </c>
      <c r="BC735" s="12">
        <f>IF(Verso!$B$12=Voies!$B735,1,0)</f>
        <v>0</v>
      </c>
      <c r="BD735" s="12">
        <f>IF(Verso!$B$13=Voies!$B735,1,0)</f>
        <v>0</v>
      </c>
      <c r="BE735" s="12">
        <f>IF(Verso!$B$14=Voies!$B735,1,0)</f>
        <v>0</v>
      </c>
      <c r="BF735" s="12">
        <f>IF(Verso!$B$15=Voies!$B735,1,0)</f>
        <v>0</v>
      </c>
      <c r="BG735" s="12">
        <f>IF(Verso!$B$16=Voies!$B735,1,0)</f>
        <v>0</v>
      </c>
      <c r="BH735" s="12">
        <f>IF(Verso!$B$17=Voies!$B735,1,0)</f>
        <v>0</v>
      </c>
      <c r="BI735" s="557">
        <f t="shared" si="81"/>
        <v>0</v>
      </c>
      <c r="BJ735" s="196" t="str">
        <f t="shared" si="82"/>
        <v/>
      </c>
      <c r="BK735" s="196" t="str">
        <f t="shared" si="83"/>
        <v/>
      </c>
      <c r="BL735" s="295" t="str">
        <f t="shared" si="84"/>
        <v/>
      </c>
    </row>
    <row r="736" spans="1:64" ht="47.25" customHeight="1" x14ac:dyDescent="0.25">
      <c r="A736" s="162" t="str">
        <f>IF(AND(Réputation&gt;Voies!E736-1,OR(C736=TRUE,Calculs!$I$8&gt;0),Air&gt;Voies!J736-1,Eau&gt;Voies!K736-1,Feu&gt;Voies!L736-1,Terre&gt;Voies!M736-1,Vide&gt;Voies!N736-1,Constitution&gt;Voies!O736-1,Volonté&gt;Voies!P736-1,Force&gt;Voies!Q736-1,Perception&gt;Voies!R736-1,Reflexes&gt;Voies!S736-1,Agilité&gt;Voies!T736-1,Intuition&gt;Voies!U736-1,Intelligence&gt;Voies!V736-1,Souillure&gt;Voies!W736-1,Honneur&gt;X736-1,Statut&gt;Y736-1,Gloire&gt;Z736-1,AV736=TRUE),Voies!B736,"")</f>
        <v/>
      </c>
      <c r="B736" s="162" t="s">
        <v>3094</v>
      </c>
      <c r="C736" s="162" t="b">
        <f>IF(Clan=Voies!D736,TRUE,FALSE)</f>
        <v>0</v>
      </c>
      <c r="D736" s="388" t="s">
        <v>56</v>
      </c>
      <c r="E736" s="13">
        <v>5</v>
      </c>
      <c r="F736" s="199">
        <v>5</v>
      </c>
      <c r="G736" s="199" t="s">
        <v>2060</v>
      </c>
      <c r="H736" s="162" t="s">
        <v>582</v>
      </c>
      <c r="I736" s="129" t="str">
        <f t="shared" si="85"/>
        <v>Rien</v>
      </c>
      <c r="J736" s="146">
        <v>0</v>
      </c>
      <c r="K736" s="147">
        <v>0</v>
      </c>
      <c r="L736" s="148">
        <v>0</v>
      </c>
      <c r="M736" s="149">
        <v>0</v>
      </c>
      <c r="N736" s="150">
        <v>0</v>
      </c>
      <c r="O736" s="130">
        <v>0</v>
      </c>
      <c r="P736" s="130">
        <v>0</v>
      </c>
      <c r="Q736" s="130">
        <v>0</v>
      </c>
      <c r="R736" s="130">
        <v>0</v>
      </c>
      <c r="S736" s="130">
        <v>0</v>
      </c>
      <c r="T736" s="130">
        <v>0</v>
      </c>
      <c r="U736" s="130">
        <v>0</v>
      </c>
      <c r="V736" s="524">
        <v>0</v>
      </c>
      <c r="W736" s="130">
        <v>0</v>
      </c>
      <c r="X736" s="130">
        <v>0</v>
      </c>
      <c r="Y736" s="130">
        <v>0</v>
      </c>
      <c r="Z736" s="130">
        <v>0</v>
      </c>
      <c r="AA736" s="158" t="s">
        <v>2078</v>
      </c>
      <c r="AB736" s="158"/>
      <c r="AC736" s="158"/>
      <c r="AD736" s="158"/>
      <c r="AE736" s="158" t="b">
        <f>IF(AB736="",TRUE,IF(IF(AC736="",VLOOKUP(AB736,Calculs!$A$19:$S$425,19,FALSE),VLOOKUP(AC736,Calculs!$A$19:$S$425,19,FALSE))&gt;=AD736,TRUE,FALSE))</f>
        <v>1</v>
      </c>
      <c r="AF736" s="158"/>
      <c r="AG736" s="158"/>
      <c r="AH736" s="158"/>
      <c r="AI736" s="158" t="b">
        <f>IF(AF736="",TRUE,IF(IF(AG736="",VLOOKUP(AF736,Calculs!$A$19:$S$425,19,FALSE),VLOOKUP(AG736,Calculs!$A$19:$S$425,19,FALSE))&gt;=AH736,TRUE,FALSE))</f>
        <v>1</v>
      </c>
      <c r="AJ736" s="158"/>
      <c r="AK736" s="158"/>
      <c r="AL736" s="158"/>
      <c r="AM736" s="158" t="b">
        <f>IF(AJ736="",TRUE,IF(IF(AK736="",VLOOKUP(AJ736,Calculs!$A$19:$S$425,19,FALSE),VLOOKUP(AK736,Calculs!$A$19:$S$425,19,FALSE))&gt;=AL736,TRUE,FALSE))</f>
        <v>1</v>
      </c>
      <c r="AN736" s="158"/>
      <c r="AO736" s="158"/>
      <c r="AP736" s="158"/>
      <c r="AQ736" s="158" t="b">
        <f>IF(AN736="",TRUE,IF(IF(AO736="",VLOOKUP(AN736,Calculs!$A$19:$S$425,19,FALSE),VLOOKUP(AO736,Calculs!$A$19:$S$425,19,FALSE))&gt;=AP736,TRUE,FALSE))</f>
        <v>1</v>
      </c>
      <c r="AR736" s="158"/>
      <c r="AS736" s="158" t="b">
        <f>IF(AR736="",TRUE,IF(VLOOKUP(AR736,Calculs!$A$427:$G$738,7,FALSE)&gt;0,TRUE,FALSE))</f>
        <v>1</v>
      </c>
      <c r="AT736" s="158"/>
      <c r="AU736" s="158" t="b">
        <f>IF(AT736="",TRUE,IF(VLOOKUP(AT736,Calculs!$A$740:$G$912,7,FALSE)&gt;0,TRUE,FALSE))</f>
        <v>1</v>
      </c>
      <c r="AV736" s="158" t="b">
        <f t="shared" si="80"/>
        <v>1</v>
      </c>
      <c r="AW736" s="158" t="s">
        <v>2078</v>
      </c>
      <c r="AX736" s="162" t="s">
        <v>2075</v>
      </c>
      <c r="AY736" s="15">
        <v>112</v>
      </c>
      <c r="AZ736" s="555" t="s">
        <v>8668</v>
      </c>
      <c r="BA736" s="559">
        <f>IF(Verso!$B$10=Voies!$B736,1,0)</f>
        <v>0</v>
      </c>
      <c r="BB736" s="12">
        <f>IF(Verso!$B$11=Voies!$B736,1,0)</f>
        <v>0</v>
      </c>
      <c r="BC736" s="12">
        <f>IF(Verso!$B$12=Voies!$B736,1,0)</f>
        <v>0</v>
      </c>
      <c r="BD736" s="12">
        <f>IF(Verso!$B$13=Voies!$B736,1,0)</f>
        <v>0</v>
      </c>
      <c r="BE736" s="12">
        <f>IF(Verso!$B$14=Voies!$B736,1,0)</f>
        <v>0</v>
      </c>
      <c r="BF736" s="12">
        <f>IF(Verso!$B$15=Voies!$B736,1,0)</f>
        <v>0</v>
      </c>
      <c r="BG736" s="12">
        <f>IF(Verso!$B$16=Voies!$B736,1,0)</f>
        <v>0</v>
      </c>
      <c r="BH736" s="12">
        <f>IF(Verso!$B$17=Voies!$B736,1,0)</f>
        <v>0</v>
      </c>
      <c r="BI736" s="557">
        <f t="shared" si="81"/>
        <v>0</v>
      </c>
      <c r="BJ736" s="196" t="str">
        <f t="shared" si="82"/>
        <v/>
      </c>
      <c r="BK736" s="196" t="str">
        <f t="shared" si="83"/>
        <v/>
      </c>
      <c r="BL736" s="295" t="str">
        <f t="shared" si="84"/>
        <v/>
      </c>
    </row>
    <row r="737" spans="1:65" s="196" customFormat="1" ht="47.25" customHeight="1" x14ac:dyDescent="0.25">
      <c r="A737" s="162" t="str">
        <f>IF(AND(Réputation&gt;Voies!E737-1,OR(C737=TRUE,Calculs!$I$8&gt;0),Air&gt;Voies!J737-1,Eau&gt;Voies!K737-1,Feu&gt;Voies!L737-1,Terre&gt;Voies!M737-1,Vide&gt;Voies!N737-1,Constitution&gt;Voies!O737-1,Volonté&gt;Voies!P737-1,Force&gt;Voies!Q737-1,Perception&gt;Voies!R737-1,Reflexes&gt;Voies!S737-1,Agilité&gt;Voies!T737-1,Intuition&gt;Voies!U737-1,Intelligence&gt;Voies!V737-1,Souillure&gt;Voies!W737-1,Honneur&gt;X737-1,Statut&gt;Y737-1,Gloire&gt;Z737-1,AV737=TRUE),Voies!B737,"")</f>
        <v/>
      </c>
      <c r="B737" s="162" t="s">
        <v>7049</v>
      </c>
      <c r="C737" s="162" t="b">
        <f>IF(Clan=Voies!D737,TRUE,FALSE)</f>
        <v>0</v>
      </c>
      <c r="D737" s="388" t="s">
        <v>6775</v>
      </c>
      <c r="E737" s="199">
        <v>0</v>
      </c>
      <c r="F737" s="199">
        <v>0</v>
      </c>
      <c r="G737" s="157" t="s">
        <v>2050</v>
      </c>
      <c r="H737" s="162" t="s">
        <v>6890</v>
      </c>
      <c r="I737" s="129" t="str">
        <f t="shared" si="85"/>
        <v>Rien</v>
      </c>
      <c r="J737" s="146">
        <v>0</v>
      </c>
      <c r="K737" s="147">
        <v>0</v>
      </c>
      <c r="L737" s="148">
        <v>0</v>
      </c>
      <c r="M737" s="149">
        <v>0</v>
      </c>
      <c r="N737" s="150">
        <v>0</v>
      </c>
      <c r="O737" s="130">
        <v>0</v>
      </c>
      <c r="P737" s="130">
        <v>0</v>
      </c>
      <c r="Q737" s="130">
        <v>0</v>
      </c>
      <c r="R737" s="130">
        <v>0</v>
      </c>
      <c r="S737" s="130">
        <v>0</v>
      </c>
      <c r="T737" s="130">
        <v>0</v>
      </c>
      <c r="U737" s="130">
        <v>0</v>
      </c>
      <c r="V737" s="524">
        <v>0</v>
      </c>
      <c r="W737" s="130">
        <v>0</v>
      </c>
      <c r="X737" s="130">
        <v>0</v>
      </c>
      <c r="Y737" s="130">
        <v>0</v>
      </c>
      <c r="Z737" s="130">
        <v>0</v>
      </c>
      <c r="AA737" s="158" t="s">
        <v>2078</v>
      </c>
      <c r="AB737" s="158"/>
      <c r="AC737" s="158"/>
      <c r="AD737" s="158"/>
      <c r="AE737" s="158" t="b">
        <f>IF(AB737="",TRUE,IF(IF(AC737="",VLOOKUP(AB737,Calculs!$A$19:$S$425,19,FALSE),VLOOKUP(AC737,Calculs!$A$19:$S$425,19,FALSE))&gt;=AD737,TRUE,FALSE))</f>
        <v>1</v>
      </c>
      <c r="AF737" s="158"/>
      <c r="AG737" s="158"/>
      <c r="AH737" s="158"/>
      <c r="AI737" s="158" t="b">
        <f>IF(AF737="",TRUE,IF(IF(AG737="",VLOOKUP(AF737,Calculs!$A$19:$S$425,19,FALSE),VLOOKUP(AG737,Calculs!$A$19:$S$425,19,FALSE))&gt;=AH737,TRUE,FALSE))</f>
        <v>1</v>
      </c>
      <c r="AJ737" s="158"/>
      <c r="AK737" s="158"/>
      <c r="AL737" s="158"/>
      <c r="AM737" s="158" t="b">
        <f>IF(AJ737="",TRUE,IF(IF(AK737="",VLOOKUP(AJ737,Calculs!$A$19:$S$425,19,FALSE),VLOOKUP(AK737,Calculs!$A$19:$S$425,19,FALSE))&gt;=AL737,TRUE,FALSE))</f>
        <v>1</v>
      </c>
      <c r="AN737" s="158"/>
      <c r="AO737" s="158"/>
      <c r="AP737" s="158"/>
      <c r="AQ737" s="158" t="b">
        <f>IF(AN737="",TRUE,IF(IF(AO737="",VLOOKUP(AN737,Calculs!$A$19:$S$425,19,FALSE),VLOOKUP(AO737,Calculs!$A$19:$S$425,19,FALSE))&gt;=AP737,TRUE,FALSE))</f>
        <v>1</v>
      </c>
      <c r="AR737" s="158"/>
      <c r="AS737" s="158" t="b">
        <f>IF(AR737="",TRUE,IF(VLOOKUP(AR737,Calculs!$A$427:$G$738,7,FALSE)&gt;0,TRUE,FALSE))</f>
        <v>1</v>
      </c>
      <c r="AT737" s="158"/>
      <c r="AU737" s="158" t="b">
        <f>IF(AT737="",TRUE,IF(VLOOKUP(AT737,Calculs!$A$740:$G$912,7,FALSE)&gt;0,TRUE,FALSE))</f>
        <v>1</v>
      </c>
      <c r="AV737" s="158" t="b">
        <f t="shared" si="80"/>
        <v>1</v>
      </c>
      <c r="AW737" s="158" t="s">
        <v>2078</v>
      </c>
      <c r="AX737" s="162" t="s">
        <v>6816</v>
      </c>
      <c r="AY737" s="15">
        <v>79</v>
      </c>
      <c r="AZ737" s="566" t="s">
        <v>8669</v>
      </c>
      <c r="BA737" s="559">
        <f>IF(Verso!$B$10=Voies!$B737,1,0)</f>
        <v>0</v>
      </c>
      <c r="BB737" s="12">
        <f>IF(Verso!$B$11=Voies!$B737,1,0)</f>
        <v>0</v>
      </c>
      <c r="BC737" s="12">
        <f>IF(Verso!$B$12=Voies!$B737,1,0)</f>
        <v>0</v>
      </c>
      <c r="BD737" s="12">
        <f>IF(Verso!$B$13=Voies!$B737,1,0)</f>
        <v>0</v>
      </c>
      <c r="BE737" s="12">
        <f>IF(Verso!$B$14=Voies!$B737,1,0)</f>
        <v>0</v>
      </c>
      <c r="BF737" s="12">
        <f>IF(Verso!$B$15=Voies!$B737,1,0)</f>
        <v>0</v>
      </c>
      <c r="BG737" s="12">
        <f>IF(Verso!$B$16=Voies!$B737,1,0)</f>
        <v>0</v>
      </c>
      <c r="BH737" s="12">
        <f>IF(Verso!$B$17=Voies!$B737,1,0)</f>
        <v>0</v>
      </c>
      <c r="BI737" s="557">
        <f t="shared" si="81"/>
        <v>0</v>
      </c>
      <c r="BJ737" s="196" t="str">
        <f t="shared" si="82"/>
        <v/>
      </c>
      <c r="BK737" s="196" t="str">
        <f t="shared" si="83"/>
        <v/>
      </c>
      <c r="BL737" s="295" t="str">
        <f t="shared" si="84"/>
        <v/>
      </c>
      <c r="BM737" s="91"/>
    </row>
    <row r="738" spans="1:65" s="196" customFormat="1" ht="47.25" customHeight="1" x14ac:dyDescent="0.25">
      <c r="A738" s="162" t="str">
        <f>IF(AND(Réputation&gt;Voies!E738-1,OR(C738=TRUE,Calculs!$I$8&gt;0),Air&gt;Voies!J738-1,Eau&gt;Voies!K738-1,Feu&gt;Voies!L738-1,Terre&gt;Voies!M738-1,Vide&gt;Voies!N738-1,Constitution&gt;Voies!O738-1,Volonté&gt;Voies!P738-1,Force&gt;Voies!Q738-1,Perception&gt;Voies!R738-1,Reflexes&gt;Voies!S738-1,Agilité&gt;Voies!T738-1,Intuition&gt;Voies!U738-1,Intelligence&gt;Voies!V738-1,Souillure&gt;Voies!W738-1,Honneur&gt;X738-1,Statut&gt;Y738-1,Gloire&gt;Z738-1,AV738=TRUE),Voies!B738,"")</f>
        <v/>
      </c>
      <c r="B738" s="162" t="s">
        <v>7050</v>
      </c>
      <c r="C738" s="162" t="b">
        <f>IF(Clan=Voies!D738,TRUE,FALSE)</f>
        <v>0</v>
      </c>
      <c r="D738" s="388" t="s">
        <v>6775</v>
      </c>
      <c r="E738" s="199">
        <v>0</v>
      </c>
      <c r="F738" s="199">
        <v>0</v>
      </c>
      <c r="G738" s="157" t="s">
        <v>2050</v>
      </c>
      <c r="H738" s="162" t="s">
        <v>6890</v>
      </c>
      <c r="I738" s="129" t="str">
        <f t="shared" si="85"/>
        <v>Rien</v>
      </c>
      <c r="J738" s="146">
        <v>0</v>
      </c>
      <c r="K738" s="147">
        <v>0</v>
      </c>
      <c r="L738" s="148">
        <v>0</v>
      </c>
      <c r="M738" s="149">
        <v>0</v>
      </c>
      <c r="N738" s="150">
        <v>0</v>
      </c>
      <c r="O738" s="130">
        <v>0</v>
      </c>
      <c r="P738" s="130">
        <v>0</v>
      </c>
      <c r="Q738" s="130">
        <v>0</v>
      </c>
      <c r="R738" s="130">
        <v>0</v>
      </c>
      <c r="S738" s="130">
        <v>0</v>
      </c>
      <c r="T738" s="130">
        <v>0</v>
      </c>
      <c r="U738" s="130">
        <v>0</v>
      </c>
      <c r="V738" s="524">
        <v>0</v>
      </c>
      <c r="W738" s="130">
        <v>0</v>
      </c>
      <c r="X738" s="130">
        <v>0</v>
      </c>
      <c r="Y738" s="130">
        <v>0</v>
      </c>
      <c r="Z738" s="130">
        <v>0</v>
      </c>
      <c r="AA738" s="158" t="s">
        <v>2078</v>
      </c>
      <c r="AB738" s="158"/>
      <c r="AC738" s="158"/>
      <c r="AD738" s="158"/>
      <c r="AE738" s="158" t="b">
        <f>IF(AB738="",TRUE,IF(IF(AC738="",VLOOKUP(AB738,Calculs!$A$19:$S$425,19,FALSE),VLOOKUP(AC738,Calculs!$A$19:$S$425,19,FALSE))&gt;=AD738,TRUE,FALSE))</f>
        <v>1</v>
      </c>
      <c r="AF738" s="158"/>
      <c r="AG738" s="158"/>
      <c r="AH738" s="158"/>
      <c r="AI738" s="158" t="b">
        <f>IF(AF738="",TRUE,IF(IF(AG738="",VLOOKUP(AF738,Calculs!$A$19:$S$425,19,FALSE),VLOOKUP(AG738,Calculs!$A$19:$S$425,19,FALSE))&gt;=AH738,TRUE,FALSE))</f>
        <v>1</v>
      </c>
      <c r="AJ738" s="158"/>
      <c r="AK738" s="158"/>
      <c r="AL738" s="158"/>
      <c r="AM738" s="158" t="b">
        <f>IF(AJ738="",TRUE,IF(IF(AK738="",VLOOKUP(AJ738,Calculs!$A$19:$S$425,19,FALSE),VLOOKUP(AK738,Calculs!$A$19:$S$425,19,FALSE))&gt;=AL738,TRUE,FALSE))</f>
        <v>1</v>
      </c>
      <c r="AN738" s="158"/>
      <c r="AO738" s="158"/>
      <c r="AP738" s="158"/>
      <c r="AQ738" s="158" t="b">
        <f>IF(AN738="",TRUE,IF(IF(AO738="",VLOOKUP(AN738,Calculs!$A$19:$S$425,19,FALSE),VLOOKUP(AO738,Calculs!$A$19:$S$425,19,FALSE))&gt;=AP738,TRUE,FALSE))</f>
        <v>1</v>
      </c>
      <c r="AR738" s="158"/>
      <c r="AS738" s="158" t="b">
        <f>IF(AR738="",TRUE,IF(VLOOKUP(AR738,Calculs!$A$427:$G$738,7,FALSE)&gt;0,TRUE,FALSE))</f>
        <v>1</v>
      </c>
      <c r="AT738" s="158"/>
      <c r="AU738" s="158" t="b">
        <f>IF(AT738="",TRUE,IF(VLOOKUP(AT738,Calculs!$A$740:$G$912,7,FALSE)&gt;0,TRUE,FALSE))</f>
        <v>1</v>
      </c>
      <c r="AV738" s="158" t="b">
        <f t="shared" si="80"/>
        <v>1</v>
      </c>
      <c r="AW738" s="158" t="s">
        <v>2078</v>
      </c>
      <c r="AX738" s="162" t="s">
        <v>6816</v>
      </c>
      <c r="AY738" s="15">
        <v>79</v>
      </c>
      <c r="AZ738" s="555" t="s">
        <v>8670</v>
      </c>
      <c r="BA738" s="559">
        <f>IF(Verso!$B$10=Voies!$B738,1,0)</f>
        <v>0</v>
      </c>
      <c r="BB738" s="12">
        <f>IF(Verso!$B$11=Voies!$B738,1,0)</f>
        <v>0</v>
      </c>
      <c r="BC738" s="12">
        <f>IF(Verso!$B$12=Voies!$B738,1,0)</f>
        <v>0</v>
      </c>
      <c r="BD738" s="12">
        <f>IF(Verso!$B$13=Voies!$B738,1,0)</f>
        <v>0</v>
      </c>
      <c r="BE738" s="12">
        <f>IF(Verso!$B$14=Voies!$B738,1,0)</f>
        <v>0</v>
      </c>
      <c r="BF738" s="12">
        <f>IF(Verso!$B$15=Voies!$B738,1,0)</f>
        <v>0</v>
      </c>
      <c r="BG738" s="12">
        <f>IF(Verso!$B$16=Voies!$B738,1,0)</f>
        <v>0</v>
      </c>
      <c r="BH738" s="12">
        <f>IF(Verso!$B$17=Voies!$B738,1,0)</f>
        <v>0</v>
      </c>
      <c r="BI738" s="557">
        <f t="shared" si="81"/>
        <v>0</v>
      </c>
      <c r="BJ738" s="196" t="str">
        <f t="shared" si="82"/>
        <v/>
      </c>
      <c r="BK738" s="196" t="str">
        <f t="shared" si="83"/>
        <v/>
      </c>
      <c r="BL738" s="295" t="str">
        <f t="shared" si="84"/>
        <v/>
      </c>
      <c r="BM738" s="91"/>
    </row>
    <row r="739" spans="1:65" s="196" customFormat="1" ht="47.25" customHeight="1" x14ac:dyDescent="0.25">
      <c r="A739" s="162" t="str">
        <f>IF(AND(Réputation&gt;Voies!E739-1,OR(C739=TRUE,Calculs!$I$8&gt;0),Air&gt;Voies!J739-1,Eau&gt;Voies!K739-1,Feu&gt;Voies!L739-1,Terre&gt;Voies!M739-1,Vide&gt;Voies!N739-1,Constitution&gt;Voies!O739-1,Volonté&gt;Voies!P739-1,Force&gt;Voies!Q739-1,Perception&gt;Voies!R739-1,Reflexes&gt;Voies!S739-1,Agilité&gt;Voies!T739-1,Intuition&gt;Voies!U739-1,Intelligence&gt;Voies!V739-1,Souillure&gt;Voies!W739-1,Honneur&gt;X739-1,Statut&gt;Y739-1,Gloire&gt;Z739-1,AV739=TRUE),Voies!B739,"")</f>
        <v/>
      </c>
      <c r="B739" s="162" t="s">
        <v>7051</v>
      </c>
      <c r="C739" s="162" t="b">
        <f>IF(Clan=Voies!D739,TRUE,FALSE)</f>
        <v>0</v>
      </c>
      <c r="D739" s="388" t="s">
        <v>6775</v>
      </c>
      <c r="E739" s="199">
        <v>0</v>
      </c>
      <c r="F739" s="199">
        <v>0</v>
      </c>
      <c r="G739" s="157" t="s">
        <v>2050</v>
      </c>
      <c r="H739" s="162" t="s">
        <v>6890</v>
      </c>
      <c r="I739" s="129" t="str">
        <f t="shared" si="85"/>
        <v>Rien</v>
      </c>
      <c r="J739" s="146">
        <v>0</v>
      </c>
      <c r="K739" s="147">
        <v>0</v>
      </c>
      <c r="L739" s="148">
        <v>0</v>
      </c>
      <c r="M739" s="149">
        <v>0</v>
      </c>
      <c r="N739" s="150">
        <v>0</v>
      </c>
      <c r="O739" s="130">
        <v>0</v>
      </c>
      <c r="P739" s="130">
        <v>0</v>
      </c>
      <c r="Q739" s="130">
        <v>0</v>
      </c>
      <c r="R739" s="130">
        <v>0</v>
      </c>
      <c r="S739" s="130">
        <v>0</v>
      </c>
      <c r="T739" s="130">
        <v>0</v>
      </c>
      <c r="U739" s="130">
        <v>0</v>
      </c>
      <c r="V739" s="524">
        <v>0</v>
      </c>
      <c r="W739" s="130">
        <v>0</v>
      </c>
      <c r="X739" s="130">
        <v>0</v>
      </c>
      <c r="Y739" s="130">
        <v>0</v>
      </c>
      <c r="Z739" s="130">
        <v>0</v>
      </c>
      <c r="AA739" s="158" t="s">
        <v>2078</v>
      </c>
      <c r="AB739" s="158"/>
      <c r="AC739" s="158"/>
      <c r="AD739" s="158"/>
      <c r="AE739" s="158" t="b">
        <f>IF(AB739="",TRUE,IF(IF(AC739="",VLOOKUP(AB739,Calculs!$A$19:$S$425,19,FALSE),VLOOKUP(AC739,Calculs!$A$19:$S$425,19,FALSE))&gt;=AD739,TRUE,FALSE))</f>
        <v>1</v>
      </c>
      <c r="AF739" s="158"/>
      <c r="AG739" s="158"/>
      <c r="AH739" s="158"/>
      <c r="AI739" s="158" t="b">
        <f>IF(AF739="",TRUE,IF(IF(AG739="",VLOOKUP(AF739,Calculs!$A$19:$S$425,19,FALSE),VLOOKUP(AG739,Calculs!$A$19:$S$425,19,FALSE))&gt;=AH739,TRUE,FALSE))</f>
        <v>1</v>
      </c>
      <c r="AJ739" s="158"/>
      <c r="AK739" s="158"/>
      <c r="AL739" s="158"/>
      <c r="AM739" s="158" t="b">
        <f>IF(AJ739="",TRUE,IF(IF(AK739="",VLOOKUP(AJ739,Calculs!$A$19:$S$425,19,FALSE),VLOOKUP(AK739,Calculs!$A$19:$S$425,19,FALSE))&gt;=AL739,TRUE,FALSE))</f>
        <v>1</v>
      </c>
      <c r="AN739" s="158"/>
      <c r="AO739" s="158"/>
      <c r="AP739" s="158"/>
      <c r="AQ739" s="158" t="b">
        <f>IF(AN739="",TRUE,IF(IF(AO739="",VLOOKUP(AN739,Calculs!$A$19:$S$425,19,FALSE),VLOOKUP(AO739,Calculs!$A$19:$S$425,19,FALSE))&gt;=AP739,TRUE,FALSE))</f>
        <v>1</v>
      </c>
      <c r="AR739" s="158"/>
      <c r="AS739" s="158" t="b">
        <f>IF(AR739="",TRUE,IF(VLOOKUP(AR739,Calculs!$A$427:$G$738,7,FALSE)&gt;0,TRUE,FALSE))</f>
        <v>1</v>
      </c>
      <c r="AT739" s="158"/>
      <c r="AU739" s="158" t="b">
        <f>IF(AT739="",TRUE,IF(VLOOKUP(AT739,Calculs!$A$740:$G$912,7,FALSE)&gt;0,TRUE,FALSE))</f>
        <v>1</v>
      </c>
      <c r="AV739" s="158" t="b">
        <f t="shared" si="80"/>
        <v>1</v>
      </c>
      <c r="AW739" s="158" t="s">
        <v>2078</v>
      </c>
      <c r="AX739" s="162" t="s">
        <v>6816</v>
      </c>
      <c r="AY739" s="15">
        <v>79</v>
      </c>
      <c r="AZ739" s="555" t="str">
        <f>CONCATENATE("Réussir une atk contre un M-V ou un Esprit et dépenser un Pvide pour que tous ses jets subissent un malus de -2g0 pdt. 3 rounds. Détruire alors un talisman en AC pr en prendre le contrôle durant ",Air," rounds")</f>
        <v>Réussir une atk contre un M-V ou un Esprit et dépenser un Pvide pour que tous ses jets subissent un malus de -2g0 pdt. 3 rounds. Détruire alors un talisman en AC pr en prendre le contrôle durant 2 rounds</v>
      </c>
      <c r="BA739" s="559">
        <f>IF(Verso!$B$10=Voies!$B739,1,0)</f>
        <v>0</v>
      </c>
      <c r="BB739" s="12">
        <f>IF(Verso!$B$11=Voies!$B739,1,0)</f>
        <v>0</v>
      </c>
      <c r="BC739" s="12">
        <f>IF(Verso!$B$12=Voies!$B739,1,0)</f>
        <v>0</v>
      </c>
      <c r="BD739" s="12">
        <f>IF(Verso!$B$13=Voies!$B739,1,0)</f>
        <v>0</v>
      </c>
      <c r="BE739" s="12">
        <f>IF(Verso!$B$14=Voies!$B739,1,0)</f>
        <v>0</v>
      </c>
      <c r="BF739" s="12">
        <f>IF(Verso!$B$15=Voies!$B739,1,0)</f>
        <v>0</v>
      </c>
      <c r="BG739" s="12">
        <f>IF(Verso!$B$16=Voies!$B739,1,0)</f>
        <v>0</v>
      </c>
      <c r="BH739" s="12">
        <f>IF(Verso!$B$17=Voies!$B739,1,0)</f>
        <v>0</v>
      </c>
      <c r="BI739" s="557">
        <f t="shared" si="81"/>
        <v>0</v>
      </c>
      <c r="BJ739" s="196" t="str">
        <f t="shared" si="82"/>
        <v/>
      </c>
      <c r="BK739" s="196" t="str">
        <f t="shared" si="83"/>
        <v/>
      </c>
      <c r="BL739" s="295" t="str">
        <f t="shared" si="84"/>
        <v/>
      </c>
      <c r="BM739" s="91"/>
    </row>
    <row r="740" spans="1:65" s="196" customFormat="1" ht="47.25" customHeight="1" x14ac:dyDescent="0.25">
      <c r="A740" s="162" t="str">
        <f>IF(AND(Réputation&gt;Voies!E740-1,OR(C740=TRUE,Calculs!$I$8&gt;0),Air&gt;Voies!J740-1,Eau&gt;Voies!K740-1,Feu&gt;Voies!L740-1,Terre&gt;Voies!M740-1,Vide&gt;Voies!N740-1,Constitution&gt;Voies!O740-1,Volonté&gt;Voies!P740-1,Force&gt;Voies!Q740-1,Perception&gt;Voies!R740-1,Reflexes&gt;Voies!S740-1,Agilité&gt;Voies!T740-1,Intuition&gt;Voies!U740-1,Intelligence&gt;Voies!V740-1,Souillure&gt;Voies!W740-1,Honneur&gt;X740-1,Statut&gt;Y740-1,Gloire&gt;Z740-1,AV740=TRUE),Voies!B740,"")</f>
        <v/>
      </c>
      <c r="B740" s="162" t="s">
        <v>7052</v>
      </c>
      <c r="C740" s="162" t="b">
        <f>IF(Clan=Voies!D740,TRUE,FALSE)</f>
        <v>0</v>
      </c>
      <c r="D740" s="388" t="s">
        <v>6775</v>
      </c>
      <c r="E740" s="199">
        <v>0</v>
      </c>
      <c r="F740" s="199">
        <v>0</v>
      </c>
      <c r="G740" s="157" t="s">
        <v>2050</v>
      </c>
      <c r="H740" s="162" t="s">
        <v>6890</v>
      </c>
      <c r="I740" s="129" t="str">
        <f t="shared" si="85"/>
        <v>Rien</v>
      </c>
      <c r="J740" s="146">
        <v>0</v>
      </c>
      <c r="K740" s="147">
        <v>0</v>
      </c>
      <c r="L740" s="148">
        <v>0</v>
      </c>
      <c r="M740" s="149">
        <v>0</v>
      </c>
      <c r="N740" s="150">
        <v>0</v>
      </c>
      <c r="O740" s="130">
        <v>0</v>
      </c>
      <c r="P740" s="130">
        <v>0</v>
      </c>
      <c r="Q740" s="130">
        <v>0</v>
      </c>
      <c r="R740" s="130">
        <v>0</v>
      </c>
      <c r="S740" s="130">
        <v>0</v>
      </c>
      <c r="T740" s="130">
        <v>0</v>
      </c>
      <c r="U740" s="130">
        <v>0</v>
      </c>
      <c r="V740" s="524">
        <v>0</v>
      </c>
      <c r="W740" s="130">
        <v>0</v>
      </c>
      <c r="X740" s="130">
        <v>0</v>
      </c>
      <c r="Y740" s="130">
        <v>0</v>
      </c>
      <c r="Z740" s="130">
        <v>0</v>
      </c>
      <c r="AA740" s="158" t="s">
        <v>2078</v>
      </c>
      <c r="AB740" s="158"/>
      <c r="AC740" s="158"/>
      <c r="AD740" s="158"/>
      <c r="AE740" s="158" t="b">
        <f>IF(AB740="",TRUE,IF(IF(AC740="",VLOOKUP(AB740,Calculs!$A$19:$S$425,19,FALSE),VLOOKUP(AC740,Calculs!$A$19:$S$425,19,FALSE))&gt;=AD740,TRUE,FALSE))</f>
        <v>1</v>
      </c>
      <c r="AF740" s="158"/>
      <c r="AG740" s="158"/>
      <c r="AH740" s="158"/>
      <c r="AI740" s="158" t="b">
        <f>IF(AF740="",TRUE,IF(IF(AG740="",VLOOKUP(AF740,Calculs!$A$19:$S$425,19,FALSE),VLOOKUP(AG740,Calculs!$A$19:$S$425,19,FALSE))&gt;=AH740,TRUE,FALSE))</f>
        <v>1</v>
      </c>
      <c r="AJ740" s="158"/>
      <c r="AK740" s="158"/>
      <c r="AL740" s="158"/>
      <c r="AM740" s="158" t="b">
        <f>IF(AJ740="",TRUE,IF(IF(AK740="",VLOOKUP(AJ740,Calculs!$A$19:$S$425,19,FALSE),VLOOKUP(AK740,Calculs!$A$19:$S$425,19,FALSE))&gt;=AL740,TRUE,FALSE))</f>
        <v>1</v>
      </c>
      <c r="AN740" s="158"/>
      <c r="AO740" s="158"/>
      <c r="AP740" s="158"/>
      <c r="AQ740" s="158" t="b">
        <f>IF(AN740="",TRUE,IF(IF(AO740="",VLOOKUP(AN740,Calculs!$A$19:$S$425,19,FALSE),VLOOKUP(AO740,Calculs!$A$19:$S$425,19,FALSE))&gt;=AP740,TRUE,FALSE))</f>
        <v>1</v>
      </c>
      <c r="AR740" s="158"/>
      <c r="AS740" s="158" t="b">
        <f>IF(AR740="",TRUE,IF(VLOOKUP(AR740,Calculs!$A$427:$G$738,7,FALSE)&gt;0,TRUE,FALSE))</f>
        <v>1</v>
      </c>
      <c r="AT740" s="158"/>
      <c r="AU740" s="158" t="b">
        <f>IF(AT740="",TRUE,IF(VLOOKUP(AT740,Calculs!$A$740:$G$912,7,FALSE)&gt;0,TRUE,FALSE))</f>
        <v>1</v>
      </c>
      <c r="AV740" s="158" t="b">
        <f t="shared" si="80"/>
        <v>1</v>
      </c>
      <c r="AW740" s="158" t="s">
        <v>2078</v>
      </c>
      <c r="AX740" s="162" t="s">
        <v>6816</v>
      </c>
      <c r="AY740" s="15">
        <v>79</v>
      </c>
      <c r="AZ740" s="555" t="s">
        <v>7053</v>
      </c>
      <c r="BA740" s="559">
        <f>IF(Verso!$B$10=Voies!$B740,1,0)</f>
        <v>0</v>
      </c>
      <c r="BB740" s="12">
        <f>IF(Verso!$B$11=Voies!$B740,1,0)</f>
        <v>0</v>
      </c>
      <c r="BC740" s="12">
        <f>IF(Verso!$B$12=Voies!$B740,1,0)</f>
        <v>0</v>
      </c>
      <c r="BD740" s="12">
        <f>IF(Verso!$B$13=Voies!$B740,1,0)</f>
        <v>0</v>
      </c>
      <c r="BE740" s="12">
        <f>IF(Verso!$B$14=Voies!$B740,1,0)</f>
        <v>0</v>
      </c>
      <c r="BF740" s="12">
        <f>IF(Verso!$B$15=Voies!$B740,1,0)</f>
        <v>0</v>
      </c>
      <c r="BG740" s="12">
        <f>IF(Verso!$B$16=Voies!$B740,1,0)</f>
        <v>0</v>
      </c>
      <c r="BH740" s="12">
        <f>IF(Verso!$B$17=Voies!$B740,1,0)</f>
        <v>0</v>
      </c>
      <c r="BI740" s="557">
        <f t="shared" si="81"/>
        <v>0</v>
      </c>
      <c r="BJ740" s="196" t="str">
        <f t="shared" si="82"/>
        <v/>
      </c>
      <c r="BK740" s="196" t="str">
        <f t="shared" si="83"/>
        <v/>
      </c>
      <c r="BL740" s="295" t="str">
        <f t="shared" si="84"/>
        <v/>
      </c>
      <c r="BM740" s="91"/>
    </row>
    <row r="741" spans="1:65" s="196" customFormat="1" ht="47.25" customHeight="1" x14ac:dyDescent="0.25">
      <c r="A741" s="162" t="str">
        <f>IF(AND(Réputation&gt;Voies!E741-1,OR(C741=TRUE,Calculs!$I$8&gt;0),Air&gt;Voies!J741-1,Eau&gt;Voies!K741-1,Feu&gt;Voies!L741-1,Terre&gt;Voies!M741-1,Vide&gt;Voies!N741-1,Constitution&gt;Voies!O741-1,Volonté&gt;Voies!P741-1,Force&gt;Voies!Q741-1,Perception&gt;Voies!R741-1,Reflexes&gt;Voies!S741-1,Agilité&gt;Voies!T741-1,Intuition&gt;Voies!U741-1,Intelligence&gt;Voies!V741-1,Souillure&gt;Voies!W741-1,Honneur&gt;X741-1,Statut&gt;Y741-1,Gloire&gt;Z741-1,AV741=TRUE),Voies!B741,"")</f>
        <v/>
      </c>
      <c r="B741" s="162" t="s">
        <v>7054</v>
      </c>
      <c r="C741" s="162" t="b">
        <f>IF(Clan=Voies!D741,TRUE,FALSE)</f>
        <v>0</v>
      </c>
      <c r="D741" s="388" t="s">
        <v>6775</v>
      </c>
      <c r="E741" s="199">
        <v>0</v>
      </c>
      <c r="F741" s="199">
        <v>0</v>
      </c>
      <c r="G741" s="157" t="s">
        <v>2050</v>
      </c>
      <c r="H741" s="162" t="s">
        <v>6890</v>
      </c>
      <c r="I741" s="129" t="str">
        <f t="shared" si="85"/>
        <v>Rien</v>
      </c>
      <c r="J741" s="146">
        <v>0</v>
      </c>
      <c r="K741" s="147">
        <v>0</v>
      </c>
      <c r="L741" s="148">
        <v>0</v>
      </c>
      <c r="M741" s="149">
        <v>0</v>
      </c>
      <c r="N741" s="150">
        <v>0</v>
      </c>
      <c r="O741" s="130">
        <v>0</v>
      </c>
      <c r="P741" s="130">
        <v>0</v>
      </c>
      <c r="Q741" s="130">
        <v>0</v>
      </c>
      <c r="R741" s="130">
        <v>0</v>
      </c>
      <c r="S741" s="130">
        <v>0</v>
      </c>
      <c r="T741" s="130">
        <v>0</v>
      </c>
      <c r="U741" s="130">
        <v>0</v>
      </c>
      <c r="V741" s="524">
        <v>0</v>
      </c>
      <c r="W741" s="130">
        <v>0</v>
      </c>
      <c r="X741" s="130">
        <v>0</v>
      </c>
      <c r="Y741" s="130">
        <v>0</v>
      </c>
      <c r="Z741" s="130">
        <v>0</v>
      </c>
      <c r="AA741" s="158" t="s">
        <v>2078</v>
      </c>
      <c r="AB741" s="158"/>
      <c r="AC741" s="158"/>
      <c r="AD741" s="158"/>
      <c r="AE741" s="158" t="b">
        <f>IF(AB741="",TRUE,IF(IF(AC741="",VLOOKUP(AB741,Calculs!$A$19:$S$425,19,FALSE),VLOOKUP(AC741,Calculs!$A$19:$S$425,19,FALSE))&gt;=AD741,TRUE,FALSE))</f>
        <v>1</v>
      </c>
      <c r="AF741" s="158"/>
      <c r="AG741" s="158"/>
      <c r="AH741" s="158"/>
      <c r="AI741" s="158" t="b">
        <f>IF(AF741="",TRUE,IF(IF(AG741="",VLOOKUP(AF741,Calculs!$A$19:$S$425,19,FALSE),VLOOKUP(AG741,Calculs!$A$19:$S$425,19,FALSE))&gt;=AH741,TRUE,FALSE))</f>
        <v>1</v>
      </c>
      <c r="AJ741" s="158"/>
      <c r="AK741" s="158"/>
      <c r="AL741" s="158"/>
      <c r="AM741" s="158" t="b">
        <f>IF(AJ741="",TRUE,IF(IF(AK741="",VLOOKUP(AJ741,Calculs!$A$19:$S$425,19,FALSE),VLOOKUP(AK741,Calculs!$A$19:$S$425,19,FALSE))&gt;=AL741,TRUE,FALSE))</f>
        <v>1</v>
      </c>
      <c r="AN741" s="158"/>
      <c r="AO741" s="158"/>
      <c r="AP741" s="158"/>
      <c r="AQ741" s="158" t="b">
        <f>IF(AN741="",TRUE,IF(IF(AO741="",VLOOKUP(AN741,Calculs!$A$19:$S$425,19,FALSE),VLOOKUP(AO741,Calculs!$A$19:$S$425,19,FALSE))&gt;=AP741,TRUE,FALSE))</f>
        <v>1</v>
      </c>
      <c r="AR741" s="158"/>
      <c r="AS741" s="158" t="b">
        <f>IF(AR741="",TRUE,IF(VLOOKUP(AR741,Calculs!$A$427:$G$738,7,FALSE)&gt;0,TRUE,FALSE))</f>
        <v>1</v>
      </c>
      <c r="AT741" s="158"/>
      <c r="AU741" s="158" t="b">
        <f>IF(AT741="",TRUE,IF(VLOOKUP(AT741,Calculs!$A$740:$G$912,7,FALSE)&gt;0,TRUE,FALSE))</f>
        <v>1</v>
      </c>
      <c r="AV741" s="158" t="b">
        <f t="shared" si="80"/>
        <v>1</v>
      </c>
      <c r="AW741" s="158" t="s">
        <v>2078</v>
      </c>
      <c r="AX741" s="162" t="s">
        <v>6816</v>
      </c>
      <c r="AY741" s="15">
        <v>79</v>
      </c>
      <c r="AZ741" s="555" t="str">
        <f>CONCATENATE("Détruire un talisman en AC: atk qui touche tous les esprits et M-V dans un rayon de 9m et leur fait ",Eau," points de dégâts. Dépensez 2 Pvide: Effet de Peur 5 contre eux dans un rayon de 6m.")</f>
        <v>Détruire un talisman en AC: atk qui touche tous les esprits et M-V dans un rayon de 9m et leur fait 2 points de dégâts. Dépensez 2 Pvide: Effet de Peur 5 contre eux dans un rayon de 6m.</v>
      </c>
      <c r="BA741" s="559">
        <f>IF(Verso!$B$10=Voies!$B741,1,0)</f>
        <v>0</v>
      </c>
      <c r="BB741" s="12">
        <f>IF(Verso!$B$11=Voies!$B741,1,0)</f>
        <v>0</v>
      </c>
      <c r="BC741" s="12">
        <f>IF(Verso!$B$12=Voies!$B741,1,0)</f>
        <v>0</v>
      </c>
      <c r="BD741" s="12">
        <f>IF(Verso!$B$13=Voies!$B741,1,0)</f>
        <v>0</v>
      </c>
      <c r="BE741" s="12">
        <f>IF(Verso!$B$14=Voies!$B741,1,0)</f>
        <v>0</v>
      </c>
      <c r="BF741" s="12">
        <f>IF(Verso!$B$15=Voies!$B741,1,0)</f>
        <v>0</v>
      </c>
      <c r="BG741" s="12">
        <f>IF(Verso!$B$16=Voies!$B741,1,0)</f>
        <v>0</v>
      </c>
      <c r="BH741" s="12">
        <f>IF(Verso!$B$17=Voies!$B741,1,0)</f>
        <v>0</v>
      </c>
      <c r="BI741" s="557">
        <f t="shared" si="81"/>
        <v>0</v>
      </c>
      <c r="BJ741" s="196" t="str">
        <f t="shared" si="82"/>
        <v/>
      </c>
      <c r="BK741" s="196" t="str">
        <f t="shared" si="83"/>
        <v/>
      </c>
      <c r="BL741" s="295" t="str">
        <f t="shared" si="84"/>
        <v/>
      </c>
      <c r="BM741" s="91"/>
    </row>
    <row r="742" spans="1:65" ht="47.25" customHeight="1" x14ac:dyDescent="0.25">
      <c r="A742" s="162" t="str">
        <f>IF(AND(Réputation&gt;Voies!E742-1,OR(C742=TRUE,Calculs!$I$8&gt;0),Air&gt;Voies!J742-1,Eau&gt;Voies!K742-1,Feu&gt;Voies!L742-1,Terre&gt;Voies!M742-1,Vide&gt;Voies!N742-1,Constitution&gt;Voies!O742-1,Volonté&gt;Voies!P742-1,Force&gt;Voies!Q742-1,Perception&gt;Voies!R742-1,Reflexes&gt;Voies!S742-1,Agilité&gt;Voies!T742-1,Intuition&gt;Voies!U742-1,Intelligence&gt;Voies!V742-1,Souillure&gt;Voies!W742-1,Honneur&gt;X742-1,Statut&gt;Y742-1,Gloire&gt;Z742-1,AV742=TRUE),Voies!B742,"")</f>
        <v/>
      </c>
      <c r="B742" s="162" t="s">
        <v>3120</v>
      </c>
      <c r="C742" s="162" t="b">
        <f>IF(Clan=Voies!D742,TRUE,FALSE)</f>
        <v>0</v>
      </c>
      <c r="D742" s="388" t="s">
        <v>1939</v>
      </c>
      <c r="E742" s="13">
        <v>1</v>
      </c>
      <c r="F742" s="199">
        <v>1</v>
      </c>
      <c r="G742" s="199" t="s">
        <v>2049</v>
      </c>
      <c r="H742" s="162" t="s">
        <v>303</v>
      </c>
      <c r="I742" s="129" t="str">
        <f t="shared" si="85"/>
        <v>Rien</v>
      </c>
      <c r="J742" s="146">
        <v>0</v>
      </c>
      <c r="K742" s="147">
        <v>0</v>
      </c>
      <c r="L742" s="148">
        <v>0</v>
      </c>
      <c r="M742" s="149">
        <v>0</v>
      </c>
      <c r="N742" s="150">
        <v>0</v>
      </c>
      <c r="O742" s="130">
        <v>0</v>
      </c>
      <c r="P742" s="130">
        <v>0</v>
      </c>
      <c r="Q742" s="130">
        <v>0</v>
      </c>
      <c r="R742" s="130">
        <v>0</v>
      </c>
      <c r="S742" s="130">
        <v>0</v>
      </c>
      <c r="T742" s="130">
        <v>0</v>
      </c>
      <c r="U742" s="130">
        <v>0</v>
      </c>
      <c r="V742" s="524">
        <v>0</v>
      </c>
      <c r="W742" s="130">
        <v>0</v>
      </c>
      <c r="X742" s="130">
        <v>0</v>
      </c>
      <c r="Y742" s="130">
        <v>0</v>
      </c>
      <c r="Z742" s="130">
        <v>0</v>
      </c>
      <c r="AA742" s="158" t="s">
        <v>2078</v>
      </c>
      <c r="AB742" s="158"/>
      <c r="AC742" s="158"/>
      <c r="AD742" s="158"/>
      <c r="AE742" s="158" t="b">
        <f>IF(AB742="",TRUE,IF(IF(AC742="",VLOOKUP(AB742,Calculs!$A$19:$S$425,19,FALSE),VLOOKUP(AC742,Calculs!$A$19:$S$425,19,FALSE))&gt;=AD742,TRUE,FALSE))</f>
        <v>1</v>
      </c>
      <c r="AF742" s="158"/>
      <c r="AG742" s="158"/>
      <c r="AH742" s="158"/>
      <c r="AI742" s="158" t="b">
        <f>IF(AF742="",TRUE,IF(IF(AG742="",VLOOKUP(AF742,Calculs!$A$19:$S$425,19,FALSE),VLOOKUP(AG742,Calculs!$A$19:$S$425,19,FALSE))&gt;=AH742,TRUE,FALSE))</f>
        <v>1</v>
      </c>
      <c r="AJ742" s="158"/>
      <c r="AK742" s="158"/>
      <c r="AL742" s="158"/>
      <c r="AM742" s="158" t="b">
        <f>IF(AJ742="",TRUE,IF(IF(AK742="",VLOOKUP(AJ742,Calculs!$A$19:$S$425,19,FALSE),VLOOKUP(AK742,Calculs!$A$19:$S$425,19,FALSE))&gt;=AL742,TRUE,FALSE))</f>
        <v>1</v>
      </c>
      <c r="AN742" s="158"/>
      <c r="AO742" s="158"/>
      <c r="AP742" s="158"/>
      <c r="AQ742" s="158" t="b">
        <f>IF(AN742="",TRUE,IF(IF(AO742="",VLOOKUP(AN742,Calculs!$A$19:$S$425,19,FALSE),VLOOKUP(AO742,Calculs!$A$19:$S$425,19,FALSE))&gt;=AP742,TRUE,FALSE))</f>
        <v>1</v>
      </c>
      <c r="AR742" s="158"/>
      <c r="AS742" s="158" t="b">
        <f>IF(AR742="",TRUE,IF(VLOOKUP(AR742,Calculs!$A$427:$G$738,7,FALSE)&gt;0,TRUE,FALSE))</f>
        <v>1</v>
      </c>
      <c r="AT742" s="158"/>
      <c r="AU742" s="158" t="b">
        <f>IF(AT742="",TRUE,IF(VLOOKUP(AT742,Calculs!$A$740:$G$912,7,FALSE)&gt;0,TRUE,FALSE))</f>
        <v>1</v>
      </c>
      <c r="AV742" s="158" t="b">
        <f t="shared" si="80"/>
        <v>1</v>
      </c>
      <c r="AW742" s="158" t="s">
        <v>2078</v>
      </c>
      <c r="AX742" s="162" t="s">
        <v>2075</v>
      </c>
      <c r="AY742" s="15">
        <v>230</v>
      </c>
      <c r="AZ742" s="555" t="s">
        <v>3128</v>
      </c>
      <c r="BA742" s="559">
        <f>IF(Verso!$B$10=Voies!$B742,1,0)</f>
        <v>0</v>
      </c>
      <c r="BB742" s="12">
        <f>IF(Verso!$B$11=Voies!$B742,1,0)</f>
        <v>0</v>
      </c>
      <c r="BC742" s="12">
        <f>IF(Verso!$B$12=Voies!$B742,1,0)</f>
        <v>0</v>
      </c>
      <c r="BD742" s="12">
        <f>IF(Verso!$B$13=Voies!$B742,1,0)</f>
        <v>0</v>
      </c>
      <c r="BE742" s="12">
        <f>IF(Verso!$B$14=Voies!$B742,1,0)</f>
        <v>0</v>
      </c>
      <c r="BF742" s="12">
        <f>IF(Verso!$B$15=Voies!$B742,1,0)</f>
        <v>0</v>
      </c>
      <c r="BG742" s="12">
        <f>IF(Verso!$B$16=Voies!$B742,1,0)</f>
        <v>0</v>
      </c>
      <c r="BH742" s="12">
        <f>IF(Verso!$B$17=Voies!$B742,1,0)</f>
        <v>0</v>
      </c>
      <c r="BI742" s="557">
        <f t="shared" si="81"/>
        <v>0</v>
      </c>
      <c r="BJ742" s="196" t="str">
        <f t="shared" si="82"/>
        <v/>
      </c>
      <c r="BK742" s="196" t="str">
        <f t="shared" si="83"/>
        <v/>
      </c>
      <c r="BL742" s="295" t="str">
        <f t="shared" si="84"/>
        <v/>
      </c>
    </row>
    <row r="743" spans="1:65" ht="47.25" customHeight="1" x14ac:dyDescent="0.25">
      <c r="A743" s="162" t="str">
        <f>IF(AND(Réputation&gt;Voies!E743-1,OR(C743=TRUE,Calculs!$I$8&gt;0),Air&gt;Voies!J743-1,Eau&gt;Voies!K743-1,Feu&gt;Voies!L743-1,Terre&gt;Voies!M743-1,Vide&gt;Voies!N743-1,Constitution&gt;Voies!O743-1,Volonté&gt;Voies!P743-1,Force&gt;Voies!Q743-1,Perception&gt;Voies!R743-1,Reflexes&gt;Voies!S743-1,Agilité&gt;Voies!T743-1,Intuition&gt;Voies!U743-1,Intelligence&gt;Voies!V743-1,Souillure&gt;Voies!W743-1,Honneur&gt;X743-1,Statut&gt;Y743-1,Gloire&gt;Z743-1,AV743=TRUE),Voies!B743,"")</f>
        <v/>
      </c>
      <c r="B743" s="162" t="s">
        <v>3119</v>
      </c>
      <c r="C743" s="162" t="b">
        <f>IF(Clan=Voies!D743,TRUE,FALSE)</f>
        <v>0</v>
      </c>
      <c r="D743" s="388" t="s">
        <v>1939</v>
      </c>
      <c r="E743" s="13">
        <v>1</v>
      </c>
      <c r="F743" s="199">
        <v>1</v>
      </c>
      <c r="G743" s="199" t="s">
        <v>2048</v>
      </c>
      <c r="H743" s="162" t="s">
        <v>304</v>
      </c>
      <c r="I743" s="129" t="str">
        <f t="shared" si="85"/>
        <v>Rien</v>
      </c>
      <c r="J743" s="146">
        <v>0</v>
      </c>
      <c r="K743" s="147">
        <v>0</v>
      </c>
      <c r="L743" s="148">
        <v>0</v>
      </c>
      <c r="M743" s="149">
        <v>0</v>
      </c>
      <c r="N743" s="150">
        <v>0</v>
      </c>
      <c r="O743" s="130">
        <v>0</v>
      </c>
      <c r="P743" s="130">
        <v>0</v>
      </c>
      <c r="Q743" s="130">
        <v>0</v>
      </c>
      <c r="R743" s="130">
        <v>0</v>
      </c>
      <c r="S743" s="130">
        <v>0</v>
      </c>
      <c r="T743" s="130">
        <v>0</v>
      </c>
      <c r="U743" s="130">
        <v>0</v>
      </c>
      <c r="V743" s="524">
        <v>0</v>
      </c>
      <c r="W743" s="130">
        <v>0</v>
      </c>
      <c r="X743" s="130">
        <v>0</v>
      </c>
      <c r="Y743" s="130">
        <v>0</v>
      </c>
      <c r="Z743" s="130">
        <v>0</v>
      </c>
      <c r="AA743" s="158" t="s">
        <v>2078</v>
      </c>
      <c r="AB743" s="158"/>
      <c r="AC743" s="158"/>
      <c r="AD743" s="158"/>
      <c r="AE743" s="158" t="b">
        <f>IF(AB743="",TRUE,IF(IF(AC743="",VLOOKUP(AB743,Calculs!$A$19:$S$425,19,FALSE),VLOOKUP(AC743,Calculs!$A$19:$S$425,19,FALSE))&gt;=AD743,TRUE,FALSE))</f>
        <v>1</v>
      </c>
      <c r="AF743" s="158"/>
      <c r="AG743" s="158"/>
      <c r="AH743" s="158"/>
      <c r="AI743" s="158" t="b">
        <f>IF(AF743="",TRUE,IF(IF(AG743="",VLOOKUP(AF743,Calculs!$A$19:$S$425,19,FALSE),VLOOKUP(AG743,Calculs!$A$19:$S$425,19,FALSE))&gt;=AH743,TRUE,FALSE))</f>
        <v>1</v>
      </c>
      <c r="AJ743" s="158"/>
      <c r="AK743" s="158"/>
      <c r="AL743" s="158"/>
      <c r="AM743" s="158" t="b">
        <f>IF(AJ743="",TRUE,IF(IF(AK743="",VLOOKUP(AJ743,Calculs!$A$19:$S$425,19,FALSE),VLOOKUP(AK743,Calculs!$A$19:$S$425,19,FALSE))&gt;=AL743,TRUE,FALSE))</f>
        <v>1</v>
      </c>
      <c r="AN743" s="158"/>
      <c r="AO743" s="158"/>
      <c r="AP743" s="158"/>
      <c r="AQ743" s="158" t="b">
        <f>IF(AN743="",TRUE,IF(IF(AO743="",VLOOKUP(AN743,Calculs!$A$19:$S$425,19,FALSE),VLOOKUP(AO743,Calculs!$A$19:$S$425,19,FALSE))&gt;=AP743,TRUE,FALSE))</f>
        <v>1</v>
      </c>
      <c r="AR743" s="158"/>
      <c r="AS743" s="158" t="b">
        <f>IF(AR743="",TRUE,IF(VLOOKUP(AR743,Calculs!$A$427:$G$738,7,FALSE)&gt;0,TRUE,FALSE))</f>
        <v>1</v>
      </c>
      <c r="AT743" s="158"/>
      <c r="AU743" s="158" t="b">
        <f>IF(AT743="",TRUE,IF(VLOOKUP(AT743,Calculs!$A$740:$G$912,7,FALSE)&gt;0,TRUE,FALSE))</f>
        <v>1</v>
      </c>
      <c r="AV743" s="158" t="b">
        <f t="shared" si="80"/>
        <v>1</v>
      </c>
      <c r="AW743" s="158" t="s">
        <v>2078</v>
      </c>
      <c r="AX743" s="162" t="s">
        <v>2075</v>
      </c>
      <c r="AY743" s="15">
        <v>230</v>
      </c>
      <c r="AZ743" s="555" t="s">
        <v>8671</v>
      </c>
      <c r="BA743" s="559">
        <f>IF(Verso!$B$10=Voies!$B743,1,0)</f>
        <v>0</v>
      </c>
      <c r="BB743" s="12">
        <f>IF(Verso!$B$11=Voies!$B743,1,0)</f>
        <v>0</v>
      </c>
      <c r="BC743" s="12">
        <f>IF(Verso!$B$12=Voies!$B743,1,0)</f>
        <v>0</v>
      </c>
      <c r="BD743" s="12">
        <f>IF(Verso!$B$13=Voies!$B743,1,0)</f>
        <v>0</v>
      </c>
      <c r="BE743" s="12">
        <f>IF(Verso!$B$14=Voies!$B743,1,0)</f>
        <v>0</v>
      </c>
      <c r="BF743" s="12">
        <f>IF(Verso!$B$15=Voies!$B743,1,0)</f>
        <v>0</v>
      </c>
      <c r="BG743" s="12">
        <f>IF(Verso!$B$16=Voies!$B743,1,0)</f>
        <v>0</v>
      </c>
      <c r="BH743" s="12">
        <f>IF(Verso!$B$17=Voies!$B743,1,0)</f>
        <v>0</v>
      </c>
      <c r="BI743" s="557">
        <f t="shared" si="81"/>
        <v>0</v>
      </c>
      <c r="BJ743" s="196" t="str">
        <f t="shared" si="82"/>
        <v/>
      </c>
      <c r="BK743" s="196" t="str">
        <f t="shared" si="83"/>
        <v/>
      </c>
      <c r="BL743" s="295" t="str">
        <f t="shared" si="84"/>
        <v/>
      </c>
    </row>
    <row r="744" spans="1:65" ht="47.25" customHeight="1" x14ac:dyDescent="0.25">
      <c r="A744" s="162" t="str">
        <f>IF(AND(Réputation&gt;Voies!E744-1,OR(C744=TRUE,Calculs!$I$8&gt;0),Air&gt;Voies!J744-1,Eau&gt;Voies!K744-1,Feu&gt;Voies!L744-1,Terre&gt;Voies!M744-1,Vide&gt;Voies!N744-1,Constitution&gt;Voies!O744-1,Volonté&gt;Voies!P744-1,Force&gt;Voies!Q744-1,Perception&gt;Voies!R744-1,Reflexes&gt;Voies!S744-1,Agilité&gt;Voies!T744-1,Intuition&gt;Voies!U744-1,Intelligence&gt;Voies!V744-1,Souillure&gt;Voies!W744-1,Honneur&gt;X744-1,Statut&gt;Y744-1,Gloire&gt;Z744-1,AV744=TRUE),Voies!B744,"")</f>
        <v/>
      </c>
      <c r="B744" s="162" t="s">
        <v>3121</v>
      </c>
      <c r="C744" s="162" t="b">
        <f>IF(Clan=Voies!D744,TRUE,FALSE)</f>
        <v>0</v>
      </c>
      <c r="D744" s="388" t="s">
        <v>1939</v>
      </c>
      <c r="E744" s="13">
        <v>2</v>
      </c>
      <c r="F744" s="199">
        <v>2</v>
      </c>
      <c r="G744" s="199" t="s">
        <v>2049</v>
      </c>
      <c r="H744" s="162" t="s">
        <v>303</v>
      </c>
      <c r="I744" s="129" t="str">
        <f t="shared" si="85"/>
        <v>Rien</v>
      </c>
      <c r="J744" s="146">
        <v>0</v>
      </c>
      <c r="K744" s="147">
        <v>0</v>
      </c>
      <c r="L744" s="148">
        <v>0</v>
      </c>
      <c r="M744" s="149">
        <v>0</v>
      </c>
      <c r="N744" s="150">
        <v>0</v>
      </c>
      <c r="O744" s="130">
        <v>0</v>
      </c>
      <c r="P744" s="130">
        <v>0</v>
      </c>
      <c r="Q744" s="130">
        <v>0</v>
      </c>
      <c r="R744" s="130">
        <v>0</v>
      </c>
      <c r="S744" s="130">
        <v>0</v>
      </c>
      <c r="T744" s="130">
        <v>0</v>
      </c>
      <c r="U744" s="130">
        <v>0</v>
      </c>
      <c r="V744" s="524">
        <v>0</v>
      </c>
      <c r="W744" s="130">
        <v>0</v>
      </c>
      <c r="X744" s="130">
        <v>0</v>
      </c>
      <c r="Y744" s="130">
        <v>0</v>
      </c>
      <c r="Z744" s="130">
        <v>0</v>
      </c>
      <c r="AA744" s="158" t="s">
        <v>2078</v>
      </c>
      <c r="AB744" s="158"/>
      <c r="AC744" s="158"/>
      <c r="AD744" s="158"/>
      <c r="AE744" s="158" t="b">
        <f>IF(AB744="",TRUE,IF(IF(AC744="",VLOOKUP(AB744,Calculs!$A$19:$S$425,19,FALSE),VLOOKUP(AC744,Calculs!$A$19:$S$425,19,FALSE))&gt;=AD744,TRUE,FALSE))</f>
        <v>1</v>
      </c>
      <c r="AF744" s="158"/>
      <c r="AG744" s="158"/>
      <c r="AH744" s="158"/>
      <c r="AI744" s="158" t="b">
        <f>IF(AF744="",TRUE,IF(IF(AG744="",VLOOKUP(AF744,Calculs!$A$19:$S$425,19,FALSE),VLOOKUP(AG744,Calculs!$A$19:$S$425,19,FALSE))&gt;=AH744,TRUE,FALSE))</f>
        <v>1</v>
      </c>
      <c r="AJ744" s="158"/>
      <c r="AK744" s="158"/>
      <c r="AL744" s="158"/>
      <c r="AM744" s="158" t="b">
        <f>IF(AJ744="",TRUE,IF(IF(AK744="",VLOOKUP(AJ744,Calculs!$A$19:$S$425,19,FALSE),VLOOKUP(AK744,Calculs!$A$19:$S$425,19,FALSE))&gt;=AL744,TRUE,FALSE))</f>
        <v>1</v>
      </c>
      <c r="AN744" s="158"/>
      <c r="AO744" s="158"/>
      <c r="AP744" s="158"/>
      <c r="AQ744" s="158" t="b">
        <f>IF(AN744="",TRUE,IF(IF(AO744="",VLOOKUP(AN744,Calculs!$A$19:$S$425,19,FALSE),VLOOKUP(AO744,Calculs!$A$19:$S$425,19,FALSE))&gt;=AP744,TRUE,FALSE))</f>
        <v>1</v>
      </c>
      <c r="AR744" s="158"/>
      <c r="AS744" s="158" t="b">
        <f>IF(AR744="",TRUE,IF(VLOOKUP(AR744,Calculs!$A$427:$G$738,7,FALSE)&gt;0,TRUE,FALSE))</f>
        <v>1</v>
      </c>
      <c r="AT744" s="158"/>
      <c r="AU744" s="158" t="b">
        <f>IF(AT744="",TRUE,IF(VLOOKUP(AT744,Calculs!$A$740:$G$912,7,FALSE)&gt;0,TRUE,FALSE))</f>
        <v>1</v>
      </c>
      <c r="AV744" s="158" t="b">
        <f t="shared" si="80"/>
        <v>1</v>
      </c>
      <c r="AW744" s="158" t="s">
        <v>2078</v>
      </c>
      <c r="AX744" s="162" t="s">
        <v>2075</v>
      </c>
      <c r="AY744" s="15">
        <v>230</v>
      </c>
      <c r="AZ744" s="555" t="s">
        <v>3129</v>
      </c>
      <c r="BA744" s="559">
        <f>IF(Verso!$B$10=Voies!$B744,1,0)</f>
        <v>0</v>
      </c>
      <c r="BB744" s="12">
        <f>IF(Verso!$B$11=Voies!$B744,1,0)</f>
        <v>0</v>
      </c>
      <c r="BC744" s="12">
        <f>IF(Verso!$B$12=Voies!$B744,1,0)</f>
        <v>0</v>
      </c>
      <c r="BD744" s="12">
        <f>IF(Verso!$B$13=Voies!$B744,1,0)</f>
        <v>0</v>
      </c>
      <c r="BE744" s="12">
        <f>IF(Verso!$B$14=Voies!$B744,1,0)</f>
        <v>0</v>
      </c>
      <c r="BF744" s="12">
        <f>IF(Verso!$B$15=Voies!$B744,1,0)</f>
        <v>0</v>
      </c>
      <c r="BG744" s="12">
        <f>IF(Verso!$B$16=Voies!$B744,1,0)</f>
        <v>0</v>
      </c>
      <c r="BH744" s="12">
        <f>IF(Verso!$B$17=Voies!$B744,1,0)</f>
        <v>0</v>
      </c>
      <c r="BI744" s="557">
        <f t="shared" si="81"/>
        <v>0</v>
      </c>
      <c r="BJ744" s="196" t="str">
        <f t="shared" si="82"/>
        <v/>
      </c>
      <c r="BK744" s="196" t="str">
        <f t="shared" si="83"/>
        <v/>
      </c>
      <c r="BL744" s="295" t="str">
        <f t="shared" si="84"/>
        <v/>
      </c>
    </row>
    <row r="745" spans="1:65" ht="47.25" customHeight="1" x14ac:dyDescent="0.25">
      <c r="A745" s="162" t="str">
        <f>IF(AND(Réputation&gt;Voies!E745-1,OR(C745=TRUE,Calculs!$I$8&gt;0),Air&gt;Voies!J745-1,Eau&gt;Voies!K745-1,Feu&gt;Voies!L745-1,Terre&gt;Voies!M745-1,Vide&gt;Voies!N745-1,Constitution&gt;Voies!O745-1,Volonté&gt;Voies!P745-1,Force&gt;Voies!Q745-1,Perception&gt;Voies!R745-1,Reflexes&gt;Voies!S745-1,Agilité&gt;Voies!T745-1,Intuition&gt;Voies!U745-1,Intelligence&gt;Voies!V745-1,Souillure&gt;Voies!W745-1,Honneur&gt;X745-1,Statut&gt;Y745-1,Gloire&gt;Z745-1,AV745=TRUE),Voies!B745,"")</f>
        <v/>
      </c>
      <c r="B745" s="162" t="s">
        <v>3122</v>
      </c>
      <c r="C745" s="162" t="b">
        <f>IF(Clan=Voies!D745,TRUE,FALSE)</f>
        <v>0</v>
      </c>
      <c r="D745" s="388" t="s">
        <v>1939</v>
      </c>
      <c r="E745" s="13">
        <v>3</v>
      </c>
      <c r="F745" s="199">
        <v>3</v>
      </c>
      <c r="G745" s="199" t="s">
        <v>2049</v>
      </c>
      <c r="H745" s="162" t="s">
        <v>303</v>
      </c>
      <c r="I745" s="129" t="str">
        <f t="shared" si="85"/>
        <v>Rien</v>
      </c>
      <c r="J745" s="146">
        <v>0</v>
      </c>
      <c r="K745" s="147">
        <v>0</v>
      </c>
      <c r="L745" s="148">
        <v>0</v>
      </c>
      <c r="M745" s="149">
        <v>0</v>
      </c>
      <c r="N745" s="150">
        <v>0</v>
      </c>
      <c r="O745" s="130">
        <v>0</v>
      </c>
      <c r="P745" s="130">
        <v>0</v>
      </c>
      <c r="Q745" s="130">
        <v>0</v>
      </c>
      <c r="R745" s="130">
        <v>0</v>
      </c>
      <c r="S745" s="130">
        <v>0</v>
      </c>
      <c r="T745" s="130">
        <v>0</v>
      </c>
      <c r="U745" s="130">
        <v>0</v>
      </c>
      <c r="V745" s="524">
        <v>0</v>
      </c>
      <c r="W745" s="130">
        <v>0</v>
      </c>
      <c r="X745" s="130">
        <v>0</v>
      </c>
      <c r="Y745" s="130">
        <v>0</v>
      </c>
      <c r="Z745" s="130">
        <v>0</v>
      </c>
      <c r="AA745" s="158" t="s">
        <v>2078</v>
      </c>
      <c r="AB745" s="158"/>
      <c r="AC745" s="158"/>
      <c r="AD745" s="158"/>
      <c r="AE745" s="158" t="b">
        <f>IF(AB745="",TRUE,IF(IF(AC745="",VLOOKUP(AB745,Calculs!$A$19:$S$425,19,FALSE),VLOOKUP(AC745,Calculs!$A$19:$S$425,19,FALSE))&gt;=AD745,TRUE,FALSE))</f>
        <v>1</v>
      </c>
      <c r="AF745" s="158"/>
      <c r="AG745" s="158"/>
      <c r="AH745" s="158"/>
      <c r="AI745" s="158" t="b">
        <f>IF(AF745="",TRUE,IF(IF(AG745="",VLOOKUP(AF745,Calculs!$A$19:$S$425,19,FALSE),VLOOKUP(AG745,Calculs!$A$19:$S$425,19,FALSE))&gt;=AH745,TRUE,FALSE))</f>
        <v>1</v>
      </c>
      <c r="AJ745" s="158"/>
      <c r="AK745" s="158"/>
      <c r="AL745" s="158"/>
      <c r="AM745" s="158" t="b">
        <f>IF(AJ745="",TRUE,IF(IF(AK745="",VLOOKUP(AJ745,Calculs!$A$19:$S$425,19,FALSE),VLOOKUP(AK745,Calculs!$A$19:$S$425,19,FALSE))&gt;=AL745,TRUE,FALSE))</f>
        <v>1</v>
      </c>
      <c r="AN745" s="158"/>
      <c r="AO745" s="158"/>
      <c r="AP745" s="158"/>
      <c r="AQ745" s="158" t="b">
        <f>IF(AN745="",TRUE,IF(IF(AO745="",VLOOKUP(AN745,Calculs!$A$19:$S$425,19,FALSE),VLOOKUP(AO745,Calculs!$A$19:$S$425,19,FALSE))&gt;=AP745,TRUE,FALSE))</f>
        <v>1</v>
      </c>
      <c r="AR745" s="158"/>
      <c r="AS745" s="158" t="b">
        <f>IF(AR745="",TRUE,IF(VLOOKUP(AR745,Calculs!$A$427:$G$738,7,FALSE)&gt;0,TRUE,FALSE))</f>
        <v>1</v>
      </c>
      <c r="AT745" s="158"/>
      <c r="AU745" s="158" t="b">
        <f>IF(AT745="",TRUE,IF(VLOOKUP(AT745,Calculs!$A$740:$G$912,7,FALSE)&gt;0,TRUE,FALSE))</f>
        <v>1</v>
      </c>
      <c r="AV745" s="158" t="b">
        <f t="shared" si="80"/>
        <v>1</v>
      </c>
      <c r="AW745" s="158" t="s">
        <v>2078</v>
      </c>
      <c r="AX745" s="162" t="s">
        <v>2075</v>
      </c>
      <c r="AY745" s="15">
        <v>230</v>
      </c>
      <c r="AZ745" s="555" t="s">
        <v>3130</v>
      </c>
      <c r="BA745" s="559">
        <f>IF(Verso!$B$10=Voies!$B745,1,0)</f>
        <v>0</v>
      </c>
      <c r="BB745" s="12">
        <f>IF(Verso!$B$11=Voies!$B745,1,0)</f>
        <v>0</v>
      </c>
      <c r="BC745" s="12">
        <f>IF(Verso!$B$12=Voies!$B745,1,0)</f>
        <v>0</v>
      </c>
      <c r="BD745" s="12">
        <f>IF(Verso!$B$13=Voies!$B745,1,0)</f>
        <v>0</v>
      </c>
      <c r="BE745" s="12">
        <f>IF(Verso!$B$14=Voies!$B745,1,0)</f>
        <v>0</v>
      </c>
      <c r="BF745" s="12">
        <f>IF(Verso!$B$15=Voies!$B745,1,0)</f>
        <v>0</v>
      </c>
      <c r="BG745" s="12">
        <f>IF(Verso!$B$16=Voies!$B745,1,0)</f>
        <v>0</v>
      </c>
      <c r="BH745" s="12">
        <f>IF(Verso!$B$17=Voies!$B745,1,0)</f>
        <v>0</v>
      </c>
      <c r="BI745" s="557">
        <f t="shared" si="81"/>
        <v>0</v>
      </c>
      <c r="BJ745" s="196" t="str">
        <f t="shared" si="82"/>
        <v/>
      </c>
      <c r="BK745" s="196" t="str">
        <f t="shared" si="83"/>
        <v/>
      </c>
      <c r="BL745" s="295" t="str">
        <f t="shared" si="84"/>
        <v/>
      </c>
    </row>
    <row r="746" spans="1:65" ht="47.25" customHeight="1" x14ac:dyDescent="0.25">
      <c r="A746" s="162" t="str">
        <f>IF(AND(Réputation&gt;Voies!E746-1,OR(C746=TRUE,Calculs!$I$8&gt;0),Air&gt;Voies!J746-1,Eau&gt;Voies!K746-1,Feu&gt;Voies!L746-1,Terre&gt;Voies!M746-1,Vide&gt;Voies!N746-1,Constitution&gt;Voies!O746-1,Volonté&gt;Voies!P746-1,Force&gt;Voies!Q746-1,Perception&gt;Voies!R746-1,Reflexes&gt;Voies!S746-1,Agilité&gt;Voies!T746-1,Intuition&gt;Voies!U746-1,Intelligence&gt;Voies!V746-1,Souillure&gt;Voies!W746-1,Honneur&gt;X746-1,Statut&gt;Y746-1,Gloire&gt;Z746-1,AV746=TRUE),Voies!B746,"")</f>
        <v/>
      </c>
      <c r="B746" s="162" t="s">
        <v>3123</v>
      </c>
      <c r="C746" s="162" t="b">
        <f>IF(Clan=Voies!D746,TRUE,FALSE)</f>
        <v>0</v>
      </c>
      <c r="D746" s="388" t="s">
        <v>1939</v>
      </c>
      <c r="E746" s="13">
        <v>4</v>
      </c>
      <c r="F746" s="199">
        <v>4</v>
      </c>
      <c r="G746" s="199" t="s">
        <v>2049</v>
      </c>
      <c r="H746" s="162" t="s">
        <v>303</v>
      </c>
      <c r="I746" s="129" t="str">
        <f t="shared" si="85"/>
        <v>Rien</v>
      </c>
      <c r="J746" s="146">
        <v>0</v>
      </c>
      <c r="K746" s="147">
        <v>0</v>
      </c>
      <c r="L746" s="148">
        <v>0</v>
      </c>
      <c r="M746" s="149">
        <v>0</v>
      </c>
      <c r="N746" s="150">
        <v>0</v>
      </c>
      <c r="O746" s="130">
        <v>0</v>
      </c>
      <c r="P746" s="130">
        <v>0</v>
      </c>
      <c r="Q746" s="130">
        <v>0</v>
      </c>
      <c r="R746" s="130">
        <v>0</v>
      </c>
      <c r="S746" s="130">
        <v>0</v>
      </c>
      <c r="T746" s="130">
        <v>0</v>
      </c>
      <c r="U746" s="130">
        <v>0</v>
      </c>
      <c r="V746" s="524">
        <v>0</v>
      </c>
      <c r="W746" s="130">
        <v>0</v>
      </c>
      <c r="X746" s="130">
        <v>0</v>
      </c>
      <c r="Y746" s="130">
        <v>0</v>
      </c>
      <c r="Z746" s="130">
        <v>0</v>
      </c>
      <c r="AA746" s="158" t="s">
        <v>2078</v>
      </c>
      <c r="AB746" s="158"/>
      <c r="AC746" s="158"/>
      <c r="AD746" s="158"/>
      <c r="AE746" s="158" t="b">
        <f>IF(AB746="",TRUE,IF(IF(AC746="",VLOOKUP(AB746,Calculs!$A$19:$S$425,19,FALSE),VLOOKUP(AC746,Calculs!$A$19:$S$425,19,FALSE))&gt;=AD746,TRUE,FALSE))</f>
        <v>1</v>
      </c>
      <c r="AF746" s="158"/>
      <c r="AG746" s="158"/>
      <c r="AH746" s="158"/>
      <c r="AI746" s="158" t="b">
        <f>IF(AF746="",TRUE,IF(IF(AG746="",VLOOKUP(AF746,Calculs!$A$19:$S$425,19,FALSE),VLOOKUP(AG746,Calculs!$A$19:$S$425,19,FALSE))&gt;=AH746,TRUE,FALSE))</f>
        <v>1</v>
      </c>
      <c r="AJ746" s="158"/>
      <c r="AK746" s="158"/>
      <c r="AL746" s="158"/>
      <c r="AM746" s="158" t="b">
        <f>IF(AJ746="",TRUE,IF(IF(AK746="",VLOOKUP(AJ746,Calculs!$A$19:$S$425,19,FALSE),VLOOKUP(AK746,Calculs!$A$19:$S$425,19,FALSE))&gt;=AL746,TRUE,FALSE))</f>
        <v>1</v>
      </c>
      <c r="AN746" s="158"/>
      <c r="AO746" s="158"/>
      <c r="AP746" s="158"/>
      <c r="AQ746" s="158" t="b">
        <f>IF(AN746="",TRUE,IF(IF(AO746="",VLOOKUP(AN746,Calculs!$A$19:$S$425,19,FALSE),VLOOKUP(AO746,Calculs!$A$19:$S$425,19,FALSE))&gt;=AP746,TRUE,FALSE))</f>
        <v>1</v>
      </c>
      <c r="AR746" s="158"/>
      <c r="AS746" s="158" t="b">
        <f>IF(AR746="",TRUE,IF(VLOOKUP(AR746,Calculs!$A$427:$G$738,7,FALSE)&gt;0,TRUE,FALSE))</f>
        <v>1</v>
      </c>
      <c r="AT746" s="158"/>
      <c r="AU746" s="158" t="b">
        <f>IF(AT746="",TRUE,IF(VLOOKUP(AT746,Calculs!$A$740:$G$912,7,FALSE)&gt;0,TRUE,FALSE))</f>
        <v>1</v>
      </c>
      <c r="AV746" s="158" t="b">
        <f t="shared" si="80"/>
        <v>1</v>
      </c>
      <c r="AW746" s="158" t="s">
        <v>2078</v>
      </c>
      <c r="AX746" s="162" t="s">
        <v>2075</v>
      </c>
      <c r="AY746" s="15">
        <v>230</v>
      </c>
      <c r="AZ746" s="555" t="s">
        <v>3131</v>
      </c>
      <c r="BA746" s="559">
        <f>IF(Verso!$B$10=Voies!$B746,1,0)</f>
        <v>0</v>
      </c>
      <c r="BB746" s="12">
        <f>IF(Verso!$B$11=Voies!$B746,1,0)</f>
        <v>0</v>
      </c>
      <c r="BC746" s="12">
        <f>IF(Verso!$B$12=Voies!$B746,1,0)</f>
        <v>0</v>
      </c>
      <c r="BD746" s="12">
        <f>IF(Verso!$B$13=Voies!$B746,1,0)</f>
        <v>0</v>
      </c>
      <c r="BE746" s="12">
        <f>IF(Verso!$B$14=Voies!$B746,1,0)</f>
        <v>0</v>
      </c>
      <c r="BF746" s="12">
        <f>IF(Verso!$B$15=Voies!$B746,1,0)</f>
        <v>0</v>
      </c>
      <c r="BG746" s="12">
        <f>IF(Verso!$B$16=Voies!$B746,1,0)</f>
        <v>0</v>
      </c>
      <c r="BH746" s="12">
        <f>IF(Verso!$B$17=Voies!$B746,1,0)</f>
        <v>0</v>
      </c>
      <c r="BI746" s="557">
        <f t="shared" si="81"/>
        <v>0</v>
      </c>
      <c r="BJ746" s="196" t="str">
        <f t="shared" si="82"/>
        <v/>
      </c>
      <c r="BK746" s="196" t="str">
        <f t="shared" si="83"/>
        <v/>
      </c>
      <c r="BL746" s="295" t="str">
        <f t="shared" si="84"/>
        <v/>
      </c>
    </row>
    <row r="747" spans="1:65" ht="47.25" customHeight="1" x14ac:dyDescent="0.25">
      <c r="A747" s="162" t="str">
        <f>IF(AND(Réputation&gt;Voies!E747-1,OR(C747=TRUE,Calculs!$I$8&gt;0),Air&gt;Voies!J747-1,Eau&gt;Voies!K747-1,Feu&gt;Voies!L747-1,Terre&gt;Voies!M747-1,Vide&gt;Voies!N747-1,Constitution&gt;Voies!O747-1,Volonté&gt;Voies!P747-1,Force&gt;Voies!Q747-1,Perception&gt;Voies!R747-1,Reflexes&gt;Voies!S747-1,Agilité&gt;Voies!T747-1,Intuition&gt;Voies!U747-1,Intelligence&gt;Voies!V747-1,Souillure&gt;Voies!W747-1,Honneur&gt;X747-1,Statut&gt;Y747-1,Gloire&gt;Z747-1,AV747=TRUE),Voies!B747,"")</f>
        <v/>
      </c>
      <c r="B747" s="162" t="s">
        <v>3124</v>
      </c>
      <c r="C747" s="162" t="b">
        <f>IF(Clan=Voies!D747,TRUE,FALSE)</f>
        <v>0</v>
      </c>
      <c r="D747" s="388" t="s">
        <v>1939</v>
      </c>
      <c r="E747" s="199">
        <v>5</v>
      </c>
      <c r="F747" s="199">
        <v>5</v>
      </c>
      <c r="G747" s="199" t="s">
        <v>2049</v>
      </c>
      <c r="H747" s="162" t="s">
        <v>303</v>
      </c>
      <c r="I747" s="129" t="str">
        <f t="shared" ref="I747:I767" si="86">IF(B747="","","Rien")</f>
        <v>Rien</v>
      </c>
      <c r="J747" s="146">
        <v>0</v>
      </c>
      <c r="K747" s="147">
        <v>0</v>
      </c>
      <c r="L747" s="148">
        <v>0</v>
      </c>
      <c r="M747" s="149">
        <v>0</v>
      </c>
      <c r="N747" s="150">
        <v>0</v>
      </c>
      <c r="O747" s="130">
        <v>0</v>
      </c>
      <c r="P747" s="130">
        <v>0</v>
      </c>
      <c r="Q747" s="130">
        <v>0</v>
      </c>
      <c r="R747" s="130">
        <v>0</v>
      </c>
      <c r="S747" s="130">
        <v>0</v>
      </c>
      <c r="T747" s="130">
        <v>0</v>
      </c>
      <c r="U747" s="130">
        <v>0</v>
      </c>
      <c r="V747" s="524">
        <v>0</v>
      </c>
      <c r="W747" s="130">
        <v>0</v>
      </c>
      <c r="X747" s="130">
        <v>0</v>
      </c>
      <c r="Y747" s="130">
        <v>0</v>
      </c>
      <c r="Z747" s="130">
        <v>0</v>
      </c>
      <c r="AA747" s="158" t="s">
        <v>2078</v>
      </c>
      <c r="AB747" s="158"/>
      <c r="AC747" s="158"/>
      <c r="AD747" s="158"/>
      <c r="AE747" s="158" t="b">
        <f>IF(AB747="",TRUE,IF(IF(AC747="",VLOOKUP(AB747,Calculs!$A$19:$S$425,19,FALSE),VLOOKUP(AC747,Calculs!$A$19:$S$425,19,FALSE))&gt;=AD747,TRUE,FALSE))</f>
        <v>1</v>
      </c>
      <c r="AF747" s="158"/>
      <c r="AG747" s="158"/>
      <c r="AH747" s="158"/>
      <c r="AI747" s="158" t="b">
        <f>IF(AF747="",TRUE,IF(IF(AG747="",VLOOKUP(AF747,Calculs!$A$19:$S$425,19,FALSE),VLOOKUP(AG747,Calculs!$A$19:$S$425,19,FALSE))&gt;=AH747,TRUE,FALSE))</f>
        <v>1</v>
      </c>
      <c r="AJ747" s="158"/>
      <c r="AK747" s="158"/>
      <c r="AL747" s="158"/>
      <c r="AM747" s="158" t="b">
        <f>IF(AJ747="",TRUE,IF(IF(AK747="",VLOOKUP(AJ747,Calculs!$A$19:$S$425,19,FALSE),VLOOKUP(AK747,Calculs!$A$19:$S$425,19,FALSE))&gt;=AL747,TRUE,FALSE))</f>
        <v>1</v>
      </c>
      <c r="AN747" s="158"/>
      <c r="AO747" s="158"/>
      <c r="AP747" s="158"/>
      <c r="AQ747" s="158" t="b">
        <f>IF(AN747="",TRUE,IF(IF(AO747="",VLOOKUP(AN747,Calculs!$A$19:$S$425,19,FALSE),VLOOKUP(AO747,Calculs!$A$19:$S$425,19,FALSE))&gt;=AP747,TRUE,FALSE))</f>
        <v>1</v>
      </c>
      <c r="AR747" s="158"/>
      <c r="AS747" s="158" t="b">
        <f>IF(AR747="",TRUE,IF(VLOOKUP(AR747,Calculs!$A$427:$G$738,7,FALSE)&gt;0,TRUE,FALSE))</f>
        <v>1</v>
      </c>
      <c r="AT747" s="158"/>
      <c r="AU747" s="158" t="b">
        <f>IF(AT747="",TRUE,IF(VLOOKUP(AT747,Calculs!$A$740:$G$912,7,FALSE)&gt;0,TRUE,FALSE))</f>
        <v>1</v>
      </c>
      <c r="AV747" s="158" t="b">
        <f t="shared" si="80"/>
        <v>1</v>
      </c>
      <c r="AW747" s="158" t="s">
        <v>2078</v>
      </c>
      <c r="AX747" s="162" t="s">
        <v>2075</v>
      </c>
      <c r="AY747" s="15">
        <v>230</v>
      </c>
      <c r="AZ747" s="555" t="s">
        <v>3125</v>
      </c>
      <c r="BA747" s="559">
        <f>IF(Verso!$B$10=Voies!$B747,1,0)</f>
        <v>0</v>
      </c>
      <c r="BB747" s="12">
        <f>IF(Verso!$B$11=Voies!$B747,1,0)</f>
        <v>0</v>
      </c>
      <c r="BC747" s="12">
        <f>IF(Verso!$B$12=Voies!$B747,1,0)</f>
        <v>0</v>
      </c>
      <c r="BD747" s="12">
        <f>IF(Verso!$B$13=Voies!$B747,1,0)</f>
        <v>0</v>
      </c>
      <c r="BE747" s="12">
        <f>IF(Verso!$B$14=Voies!$B747,1,0)</f>
        <v>0</v>
      </c>
      <c r="BF747" s="12">
        <f>IF(Verso!$B$15=Voies!$B747,1,0)</f>
        <v>0</v>
      </c>
      <c r="BG747" s="12">
        <f>IF(Verso!$B$16=Voies!$B747,1,0)</f>
        <v>0</v>
      </c>
      <c r="BH747" s="12">
        <f>IF(Verso!$B$17=Voies!$B747,1,0)</f>
        <v>0</v>
      </c>
      <c r="BI747" s="557">
        <f t="shared" si="81"/>
        <v>0</v>
      </c>
      <c r="BJ747" s="196" t="str">
        <f t="shared" si="82"/>
        <v/>
      </c>
      <c r="BK747" s="196" t="str">
        <f t="shared" si="83"/>
        <v/>
      </c>
      <c r="BL747" s="295" t="str">
        <f t="shared" si="84"/>
        <v/>
      </c>
    </row>
    <row r="748" spans="1:65" ht="47.25" customHeight="1" x14ac:dyDescent="0.25">
      <c r="A748" s="162" t="str">
        <f>IF(AND(Réputation&gt;Voies!E748-1,OR(C748=TRUE,Calculs!$I$8&gt;0),Air&gt;Voies!J748-1,Eau&gt;Voies!K748-1,Feu&gt;Voies!L748-1,Terre&gt;Voies!M748-1,Vide&gt;Voies!N748-1,Constitution&gt;Voies!O748-1,Volonté&gt;Voies!P748-1,Force&gt;Voies!Q748-1,Perception&gt;Voies!R748-1,Reflexes&gt;Voies!S748-1,Agilité&gt;Voies!T748-1,Intuition&gt;Voies!U748-1,Intelligence&gt;Voies!V748-1,Souillure&gt;Voies!W748-1,Honneur&gt;X748-1,Statut&gt;Y748-1,Gloire&gt;Z748-1,AV748=TRUE),Voies!B748,"")</f>
        <v>Manteau de la Nuit</v>
      </c>
      <c r="B748" s="162" t="s">
        <v>3685</v>
      </c>
      <c r="C748" s="162" t="b">
        <v>1</v>
      </c>
      <c r="D748" s="387" t="s">
        <v>3169</v>
      </c>
      <c r="E748" s="201">
        <v>1</v>
      </c>
      <c r="F748" s="201">
        <v>1</v>
      </c>
      <c r="G748" s="201" t="s">
        <v>2060</v>
      </c>
      <c r="H748" s="219" t="s">
        <v>3676</v>
      </c>
      <c r="I748" s="129" t="str">
        <f t="shared" si="86"/>
        <v>Rien</v>
      </c>
      <c r="J748" s="146">
        <v>0</v>
      </c>
      <c r="K748" s="147">
        <v>0</v>
      </c>
      <c r="L748" s="148">
        <v>0</v>
      </c>
      <c r="M748" s="149">
        <v>0</v>
      </c>
      <c r="N748" s="150">
        <v>0</v>
      </c>
      <c r="O748" s="130">
        <v>0</v>
      </c>
      <c r="P748" s="130">
        <v>0</v>
      </c>
      <c r="Q748" s="130">
        <v>0</v>
      </c>
      <c r="R748" s="130">
        <v>0</v>
      </c>
      <c r="S748" s="130">
        <v>0</v>
      </c>
      <c r="T748" s="130">
        <v>0</v>
      </c>
      <c r="U748" s="130">
        <v>0</v>
      </c>
      <c r="V748" s="524">
        <v>0</v>
      </c>
      <c r="W748" s="130">
        <v>0</v>
      </c>
      <c r="X748" s="130">
        <v>0</v>
      </c>
      <c r="Y748" s="130">
        <v>0</v>
      </c>
      <c r="Z748" s="130">
        <v>0</v>
      </c>
      <c r="AA748" s="158" t="s">
        <v>2078</v>
      </c>
      <c r="AB748" s="158"/>
      <c r="AC748" s="158"/>
      <c r="AD748" s="158"/>
      <c r="AE748" s="158" t="b">
        <f>IF(AB748="",TRUE,IF(IF(AC748="",VLOOKUP(AB748,Calculs!$A$19:$S$425,19,FALSE),VLOOKUP(AC748,Calculs!$A$19:$S$425,19,FALSE))&gt;=AD748,TRUE,FALSE))</f>
        <v>1</v>
      </c>
      <c r="AF748" s="158"/>
      <c r="AG748" s="158"/>
      <c r="AH748" s="158"/>
      <c r="AI748" s="158" t="b">
        <f>IF(AF748="",TRUE,IF(IF(AG748="",VLOOKUP(AF748,Calculs!$A$19:$S$425,19,FALSE),VLOOKUP(AG748,Calculs!$A$19:$S$425,19,FALSE))&gt;=AH748,TRUE,FALSE))</f>
        <v>1</v>
      </c>
      <c r="AJ748" s="158"/>
      <c r="AK748" s="158"/>
      <c r="AL748" s="158"/>
      <c r="AM748" s="158" t="b">
        <f>IF(AJ748="",TRUE,IF(IF(AK748="",VLOOKUP(AJ748,Calculs!$A$19:$S$425,19,FALSE),VLOOKUP(AK748,Calculs!$A$19:$S$425,19,FALSE))&gt;=AL748,TRUE,FALSE))</f>
        <v>1</v>
      </c>
      <c r="AN748" s="158"/>
      <c r="AO748" s="158"/>
      <c r="AP748" s="158"/>
      <c r="AQ748" s="158" t="b">
        <f>IF(AN748="",TRUE,IF(IF(AO748="",VLOOKUP(AN748,Calculs!$A$19:$S$425,19,FALSE),VLOOKUP(AO748,Calculs!$A$19:$S$425,19,FALSE))&gt;=AP748,TRUE,FALSE))</f>
        <v>1</v>
      </c>
      <c r="AR748" s="158"/>
      <c r="AS748" s="158" t="b">
        <f>IF(AR748="",TRUE,IF(VLOOKUP(AR748,Calculs!$A$427:$G$738,7,FALSE)&gt;0,TRUE,FALSE))</f>
        <v>1</v>
      </c>
      <c r="AT748" s="158"/>
      <c r="AU748" s="158" t="b">
        <f>IF(AT748="",TRUE,IF(VLOOKUP(AT748,Calculs!$A$740:$G$912,7,FALSE)&gt;0,TRUE,FALSE))</f>
        <v>1</v>
      </c>
      <c r="AV748" s="158" t="b">
        <f t="shared" si="80"/>
        <v>1</v>
      </c>
      <c r="AW748" s="158" t="s">
        <v>2078</v>
      </c>
      <c r="AX748" s="162" t="s">
        <v>6061</v>
      </c>
      <c r="AY748" s="15">
        <v>280</v>
      </c>
      <c r="AZ748" s="555" t="s">
        <v>8672</v>
      </c>
      <c r="BA748" s="559">
        <f>IF(Verso!$B$10=Voies!$B748,1,0)</f>
        <v>0</v>
      </c>
      <c r="BB748" s="12">
        <f>IF(Verso!$B$11=Voies!$B748,1,0)</f>
        <v>0</v>
      </c>
      <c r="BC748" s="12">
        <f>IF(Verso!$B$12=Voies!$B748,1,0)</f>
        <v>0</v>
      </c>
      <c r="BD748" s="12">
        <f>IF(Verso!$B$13=Voies!$B748,1,0)</f>
        <v>0</v>
      </c>
      <c r="BE748" s="12">
        <f>IF(Verso!$B$14=Voies!$B748,1,0)</f>
        <v>0</v>
      </c>
      <c r="BF748" s="12">
        <f>IF(Verso!$B$15=Voies!$B748,1,0)</f>
        <v>0</v>
      </c>
      <c r="BG748" s="12">
        <f>IF(Verso!$B$16=Voies!$B748,1,0)</f>
        <v>0</v>
      </c>
      <c r="BH748" s="12">
        <f>IF(Verso!$B$17=Voies!$B748,1,0)</f>
        <v>0</v>
      </c>
      <c r="BI748" s="557">
        <f t="shared" si="81"/>
        <v>0</v>
      </c>
      <c r="BJ748" s="196">
        <f t="shared" si="82"/>
        <v>748</v>
      </c>
      <c r="BK748" s="196" t="str">
        <f t="shared" si="83"/>
        <v/>
      </c>
      <c r="BL748" s="295" t="str">
        <f t="shared" si="84"/>
        <v/>
      </c>
    </row>
    <row r="749" spans="1:65" ht="47.25" customHeight="1" x14ac:dyDescent="0.25">
      <c r="A749" s="162" t="str">
        <f>IF(AND(Réputation&gt;Voies!E749-1,OR(C749=TRUE,Calculs!$I$8&gt;0),Air&gt;Voies!J749-1,Eau&gt;Voies!K749-1,Feu&gt;Voies!L749-1,Terre&gt;Voies!M749-1,Vide&gt;Voies!N749-1,Constitution&gt;Voies!O749-1,Volonté&gt;Voies!P749-1,Force&gt;Voies!Q749-1,Perception&gt;Voies!R749-1,Reflexes&gt;Voies!S749-1,Agilité&gt;Voies!T749-1,Intuition&gt;Voies!U749-1,Intelligence&gt;Voies!V749-1,Souillure&gt;Voies!W749-1,Honneur&gt;X749-1,Statut&gt;Y749-1,Gloire&gt;Z749-1,AV749=TRUE),Voies!B749,"")</f>
        <v>Masque du Néant</v>
      </c>
      <c r="B749" s="162" t="s">
        <v>3601</v>
      </c>
      <c r="C749" s="162" t="b">
        <v>1</v>
      </c>
      <c r="D749" s="387" t="s">
        <v>3169</v>
      </c>
      <c r="E749" s="201">
        <v>1</v>
      </c>
      <c r="F749" s="201">
        <v>1</v>
      </c>
      <c r="G749" s="201" t="s">
        <v>2048</v>
      </c>
      <c r="H749" s="219" t="s">
        <v>3598</v>
      </c>
      <c r="I749" s="129" t="str">
        <f t="shared" si="86"/>
        <v>Rien</v>
      </c>
      <c r="J749" s="146">
        <v>0</v>
      </c>
      <c r="K749" s="147">
        <v>0</v>
      </c>
      <c r="L749" s="148">
        <v>0</v>
      </c>
      <c r="M749" s="149">
        <v>0</v>
      </c>
      <c r="N749" s="150">
        <v>0</v>
      </c>
      <c r="O749" s="130">
        <v>0</v>
      </c>
      <c r="P749" s="130">
        <v>0</v>
      </c>
      <c r="Q749" s="130">
        <v>0</v>
      </c>
      <c r="R749" s="130">
        <v>0</v>
      </c>
      <c r="S749" s="130">
        <v>0</v>
      </c>
      <c r="T749" s="130">
        <v>0</v>
      </c>
      <c r="U749" s="130">
        <v>0</v>
      </c>
      <c r="V749" s="524">
        <v>0</v>
      </c>
      <c r="W749" s="130">
        <v>0</v>
      </c>
      <c r="X749" s="130">
        <v>0</v>
      </c>
      <c r="Y749" s="130">
        <v>0</v>
      </c>
      <c r="Z749" s="130">
        <v>0</v>
      </c>
      <c r="AA749" s="158" t="s">
        <v>2078</v>
      </c>
      <c r="AB749" s="158"/>
      <c r="AC749" s="158"/>
      <c r="AD749" s="158"/>
      <c r="AE749" s="158" t="b">
        <f>IF(AB749="",TRUE,IF(IF(AC749="",VLOOKUP(AB749,Calculs!$A$19:$S$425,19,FALSE),VLOOKUP(AC749,Calculs!$A$19:$S$425,19,FALSE))&gt;=AD749,TRUE,FALSE))</f>
        <v>1</v>
      </c>
      <c r="AF749" s="158"/>
      <c r="AG749" s="158"/>
      <c r="AH749" s="158"/>
      <c r="AI749" s="158" t="b">
        <f>IF(AF749="",TRUE,IF(IF(AG749="",VLOOKUP(AF749,Calculs!$A$19:$S$425,19,FALSE),VLOOKUP(AG749,Calculs!$A$19:$S$425,19,FALSE))&gt;=AH749,TRUE,FALSE))</f>
        <v>1</v>
      </c>
      <c r="AJ749" s="158"/>
      <c r="AK749" s="158"/>
      <c r="AL749" s="158"/>
      <c r="AM749" s="158" t="b">
        <f>IF(AJ749="",TRUE,IF(IF(AK749="",VLOOKUP(AJ749,Calculs!$A$19:$S$425,19,FALSE),VLOOKUP(AK749,Calculs!$A$19:$S$425,19,FALSE))&gt;=AL749,TRUE,FALSE))</f>
        <v>1</v>
      </c>
      <c r="AN749" s="158"/>
      <c r="AO749" s="158"/>
      <c r="AP749" s="158"/>
      <c r="AQ749" s="158" t="b">
        <f>IF(AN749="",TRUE,IF(IF(AO749="",VLOOKUP(AN749,Calculs!$A$19:$S$425,19,FALSE),VLOOKUP(AO749,Calculs!$A$19:$S$425,19,FALSE))&gt;=AP749,TRUE,FALSE))</f>
        <v>1</v>
      </c>
      <c r="AR749" s="158"/>
      <c r="AS749" s="158" t="b">
        <f>IF(AR749="",TRUE,IF(VLOOKUP(AR749,Calculs!$A$427:$G$738,7,FALSE)&gt;0,TRUE,FALSE))</f>
        <v>1</v>
      </c>
      <c r="AT749" s="158"/>
      <c r="AU749" s="158" t="b">
        <f>IF(AT749="",TRUE,IF(VLOOKUP(AT749,Calculs!$A$740:$G$912,7,FALSE)&gt;0,TRUE,FALSE))</f>
        <v>1</v>
      </c>
      <c r="AV749" s="158" t="b">
        <f t="shared" si="80"/>
        <v>1</v>
      </c>
      <c r="AW749" s="158" t="s">
        <v>2078</v>
      </c>
      <c r="AX749" s="162" t="s">
        <v>6061</v>
      </c>
      <c r="AY749" s="15">
        <v>281</v>
      </c>
      <c r="AZ749" s="555" t="s">
        <v>3602</v>
      </c>
      <c r="BA749" s="559">
        <f>IF(Verso!$B$10=Voies!$B749,1,0)</f>
        <v>0</v>
      </c>
      <c r="BB749" s="12">
        <f>IF(Verso!$B$11=Voies!$B749,1,0)</f>
        <v>0</v>
      </c>
      <c r="BC749" s="12">
        <f>IF(Verso!$B$12=Voies!$B749,1,0)</f>
        <v>0</v>
      </c>
      <c r="BD749" s="12">
        <f>IF(Verso!$B$13=Voies!$B749,1,0)</f>
        <v>0</v>
      </c>
      <c r="BE749" s="12">
        <f>IF(Verso!$B$14=Voies!$B749,1,0)</f>
        <v>0</v>
      </c>
      <c r="BF749" s="12">
        <f>IF(Verso!$B$15=Voies!$B749,1,0)</f>
        <v>0</v>
      </c>
      <c r="BG749" s="12">
        <f>IF(Verso!$B$16=Voies!$B749,1,0)</f>
        <v>0</v>
      </c>
      <c r="BH749" s="12">
        <f>IF(Verso!$B$17=Voies!$B749,1,0)</f>
        <v>0</v>
      </c>
      <c r="BI749" s="557">
        <f t="shared" si="81"/>
        <v>0</v>
      </c>
      <c r="BJ749" s="196">
        <f t="shared" si="82"/>
        <v>749</v>
      </c>
      <c r="BK749" s="196" t="str">
        <f t="shared" si="83"/>
        <v/>
      </c>
      <c r="BL749" s="295" t="str">
        <f t="shared" si="84"/>
        <v/>
      </c>
    </row>
    <row r="750" spans="1:65" ht="47.25" customHeight="1" x14ac:dyDescent="0.25">
      <c r="A750" s="162" t="str">
        <f>IF(AND(Réputation&gt;Voies!E750-1,OR(C750=TRUE,Calculs!$I$8&gt;0),Air&gt;Voies!J750-1,Eau&gt;Voies!K750-1,Feu&gt;Voies!L750-1,Terre&gt;Voies!M750-1,Vide&gt;Voies!N750-1,Constitution&gt;Voies!O750-1,Volonté&gt;Voies!P750-1,Force&gt;Voies!Q750-1,Perception&gt;Voies!R750-1,Reflexes&gt;Voies!S750-1,Agilité&gt;Voies!T750-1,Intuition&gt;Voies!U750-1,Intelligence&gt;Voies!V750-1,Souillure&gt;Voies!W750-1,Honneur&gt;X750-1,Statut&gt;Y750-1,Gloire&gt;Z750-1,AV750=TRUE),Voies!B750,"")</f>
        <v/>
      </c>
      <c r="B750" s="162" t="s">
        <v>3680</v>
      </c>
      <c r="C750" s="162" t="b">
        <v>1</v>
      </c>
      <c r="D750" s="387" t="s">
        <v>3169</v>
      </c>
      <c r="E750" s="199">
        <v>2</v>
      </c>
      <c r="F750" s="199">
        <v>2</v>
      </c>
      <c r="G750" s="201" t="s">
        <v>2060</v>
      </c>
      <c r="H750" s="219" t="s">
        <v>3676</v>
      </c>
      <c r="I750" s="129" t="str">
        <f t="shared" si="86"/>
        <v>Rien</v>
      </c>
      <c r="J750" s="146">
        <v>0</v>
      </c>
      <c r="K750" s="147">
        <v>0</v>
      </c>
      <c r="L750" s="148">
        <v>0</v>
      </c>
      <c r="M750" s="149">
        <v>0</v>
      </c>
      <c r="N750" s="150">
        <v>0</v>
      </c>
      <c r="O750" s="130">
        <v>0</v>
      </c>
      <c r="P750" s="130">
        <v>0</v>
      </c>
      <c r="Q750" s="130">
        <v>0</v>
      </c>
      <c r="R750" s="130">
        <v>0</v>
      </c>
      <c r="S750" s="130">
        <v>0</v>
      </c>
      <c r="T750" s="130">
        <v>0</v>
      </c>
      <c r="U750" s="130">
        <v>0</v>
      </c>
      <c r="V750" s="524">
        <v>0</v>
      </c>
      <c r="W750" s="130">
        <v>0</v>
      </c>
      <c r="X750" s="130">
        <v>0</v>
      </c>
      <c r="Y750" s="130">
        <v>0</v>
      </c>
      <c r="Z750" s="130">
        <v>0</v>
      </c>
      <c r="AA750" s="158" t="s">
        <v>2078</v>
      </c>
      <c r="AB750" s="158"/>
      <c r="AC750" s="158"/>
      <c r="AD750" s="158"/>
      <c r="AE750" s="158" t="b">
        <f>IF(AB750="",TRUE,IF(IF(AC750="",VLOOKUP(AB750,Calculs!$A$19:$S$425,19,FALSE),VLOOKUP(AC750,Calculs!$A$19:$S$425,19,FALSE))&gt;=AD750,TRUE,FALSE))</f>
        <v>1</v>
      </c>
      <c r="AF750" s="158"/>
      <c r="AG750" s="158"/>
      <c r="AH750" s="158"/>
      <c r="AI750" s="158" t="b">
        <f>IF(AF750="",TRUE,IF(IF(AG750="",VLOOKUP(AF750,Calculs!$A$19:$S$425,19,FALSE),VLOOKUP(AG750,Calculs!$A$19:$S$425,19,FALSE))&gt;=AH750,TRUE,FALSE))</f>
        <v>1</v>
      </c>
      <c r="AJ750" s="158"/>
      <c r="AK750" s="158"/>
      <c r="AL750" s="158"/>
      <c r="AM750" s="158" t="b">
        <f>IF(AJ750="",TRUE,IF(IF(AK750="",VLOOKUP(AJ750,Calculs!$A$19:$S$425,19,FALSE),VLOOKUP(AK750,Calculs!$A$19:$S$425,19,FALSE))&gt;=AL750,TRUE,FALSE))</f>
        <v>1</v>
      </c>
      <c r="AN750" s="158"/>
      <c r="AO750" s="158"/>
      <c r="AP750" s="158"/>
      <c r="AQ750" s="158" t="b">
        <f>IF(AN750="",TRUE,IF(IF(AO750="",VLOOKUP(AN750,Calculs!$A$19:$S$425,19,FALSE),VLOOKUP(AO750,Calculs!$A$19:$S$425,19,FALSE))&gt;=AP750,TRUE,FALSE))</f>
        <v>1</v>
      </c>
      <c r="AR750" s="158"/>
      <c r="AS750" s="158" t="b">
        <f>IF(AR750="",TRUE,IF(VLOOKUP(AR750,Calculs!$A$427:$G$738,7,FALSE)&gt;0,TRUE,FALSE))</f>
        <v>1</v>
      </c>
      <c r="AT750" s="158"/>
      <c r="AU750" s="158" t="b">
        <f>IF(AT750="",TRUE,IF(VLOOKUP(AT750,Calculs!$A$740:$G$912,7,FALSE)&gt;0,TRUE,FALSE))</f>
        <v>1</v>
      </c>
      <c r="AV750" s="158" t="b">
        <f t="shared" si="80"/>
        <v>1</v>
      </c>
      <c r="AW750" s="158" t="s">
        <v>2078</v>
      </c>
      <c r="AX750" s="162" t="s">
        <v>6061</v>
      </c>
      <c r="AY750" s="15">
        <v>281</v>
      </c>
      <c r="AZ750" s="555" t="s">
        <v>8673</v>
      </c>
      <c r="BA750" s="559">
        <f>IF(Verso!$B$10=Voies!$B750,1,0)</f>
        <v>0</v>
      </c>
      <c r="BB750" s="12">
        <f>IF(Verso!$B$11=Voies!$B750,1,0)</f>
        <v>0</v>
      </c>
      <c r="BC750" s="12">
        <f>IF(Verso!$B$12=Voies!$B750,1,0)</f>
        <v>0</v>
      </c>
      <c r="BD750" s="12">
        <f>IF(Verso!$B$13=Voies!$B750,1,0)</f>
        <v>0</v>
      </c>
      <c r="BE750" s="12">
        <f>IF(Verso!$B$14=Voies!$B750,1,0)</f>
        <v>0</v>
      </c>
      <c r="BF750" s="12">
        <f>IF(Verso!$B$15=Voies!$B750,1,0)</f>
        <v>0</v>
      </c>
      <c r="BG750" s="12">
        <f>IF(Verso!$B$16=Voies!$B750,1,0)</f>
        <v>0</v>
      </c>
      <c r="BH750" s="12">
        <f>IF(Verso!$B$17=Voies!$B750,1,0)</f>
        <v>0</v>
      </c>
      <c r="BI750" s="557">
        <f t="shared" si="81"/>
        <v>0</v>
      </c>
      <c r="BJ750" s="196" t="str">
        <f t="shared" si="82"/>
        <v/>
      </c>
      <c r="BK750" s="196" t="str">
        <f t="shared" si="83"/>
        <v/>
      </c>
      <c r="BL750" s="295" t="str">
        <f t="shared" si="84"/>
        <v/>
      </c>
    </row>
    <row r="751" spans="1:65" ht="47.25" customHeight="1" x14ac:dyDescent="0.25">
      <c r="A751" s="162" t="str">
        <f>IF(AND(Réputation&gt;Voies!E751-1,OR(C751=TRUE,Calculs!$I$8&gt;0),Air&gt;Voies!J751-1,Eau&gt;Voies!K751-1,Feu&gt;Voies!L751-1,Terre&gt;Voies!M751-1,Vide&gt;Voies!N751-1,Constitution&gt;Voies!O751-1,Volonté&gt;Voies!P751-1,Force&gt;Voies!Q751-1,Perception&gt;Voies!R751-1,Reflexes&gt;Voies!S751-1,Agilité&gt;Voies!T751-1,Intuition&gt;Voies!U751-1,Intelligence&gt;Voies!V751-1,Souillure&gt;Voies!W751-1,Honneur&gt;X751-1,Statut&gt;Y751-1,Gloire&gt;Z751-1,AV751=TRUE),Voies!B751,"")</f>
        <v/>
      </c>
      <c r="B751" s="162" t="s">
        <v>3681</v>
      </c>
      <c r="C751" s="162" t="b">
        <v>1</v>
      </c>
      <c r="D751" s="387" t="s">
        <v>3169</v>
      </c>
      <c r="E751" s="199">
        <v>3</v>
      </c>
      <c r="F751" s="199">
        <v>3</v>
      </c>
      <c r="G751" s="201" t="s">
        <v>2060</v>
      </c>
      <c r="H751" s="219" t="s">
        <v>3676</v>
      </c>
      <c r="I751" s="129" t="str">
        <f t="shared" si="86"/>
        <v>Rien</v>
      </c>
      <c r="J751" s="146">
        <v>0</v>
      </c>
      <c r="K751" s="147">
        <v>0</v>
      </c>
      <c r="L751" s="148">
        <v>0</v>
      </c>
      <c r="M751" s="149">
        <v>0</v>
      </c>
      <c r="N751" s="150">
        <v>0</v>
      </c>
      <c r="O751" s="130">
        <v>0</v>
      </c>
      <c r="P751" s="130">
        <v>0</v>
      </c>
      <c r="Q751" s="130">
        <v>0</v>
      </c>
      <c r="R751" s="130">
        <v>0</v>
      </c>
      <c r="S751" s="130">
        <v>0</v>
      </c>
      <c r="T751" s="130">
        <v>0</v>
      </c>
      <c r="U751" s="130">
        <v>0</v>
      </c>
      <c r="V751" s="524">
        <v>0</v>
      </c>
      <c r="W751" s="130">
        <v>0</v>
      </c>
      <c r="X751" s="130">
        <v>0</v>
      </c>
      <c r="Y751" s="130">
        <v>0</v>
      </c>
      <c r="Z751" s="130">
        <v>0</v>
      </c>
      <c r="AA751" s="158" t="s">
        <v>2078</v>
      </c>
      <c r="AB751" s="158"/>
      <c r="AC751" s="158"/>
      <c r="AD751" s="158"/>
      <c r="AE751" s="158" t="b">
        <f>IF(AB751="",TRUE,IF(IF(AC751="",VLOOKUP(AB751,Calculs!$A$19:$S$425,19,FALSE),VLOOKUP(AC751,Calculs!$A$19:$S$425,19,FALSE))&gt;=AD751,TRUE,FALSE))</f>
        <v>1</v>
      </c>
      <c r="AF751" s="158"/>
      <c r="AG751" s="158"/>
      <c r="AH751" s="158"/>
      <c r="AI751" s="158" t="b">
        <f>IF(AF751="",TRUE,IF(IF(AG751="",VLOOKUP(AF751,Calculs!$A$19:$S$425,19,FALSE),VLOOKUP(AG751,Calculs!$A$19:$S$425,19,FALSE))&gt;=AH751,TRUE,FALSE))</f>
        <v>1</v>
      </c>
      <c r="AJ751" s="158"/>
      <c r="AK751" s="158"/>
      <c r="AL751" s="158"/>
      <c r="AM751" s="158" t="b">
        <f>IF(AJ751="",TRUE,IF(IF(AK751="",VLOOKUP(AJ751,Calculs!$A$19:$S$425,19,FALSE),VLOOKUP(AK751,Calculs!$A$19:$S$425,19,FALSE))&gt;=AL751,TRUE,FALSE))</f>
        <v>1</v>
      </c>
      <c r="AN751" s="158"/>
      <c r="AO751" s="158"/>
      <c r="AP751" s="158"/>
      <c r="AQ751" s="158" t="b">
        <f>IF(AN751="",TRUE,IF(IF(AO751="",VLOOKUP(AN751,Calculs!$A$19:$S$425,19,FALSE),VLOOKUP(AO751,Calculs!$A$19:$S$425,19,FALSE))&gt;=AP751,TRUE,FALSE))</f>
        <v>1</v>
      </c>
      <c r="AR751" s="158"/>
      <c r="AS751" s="158" t="b">
        <f>IF(AR751="",TRUE,IF(VLOOKUP(AR751,Calculs!$A$427:$G$738,7,FALSE)&gt;0,TRUE,FALSE))</f>
        <v>1</v>
      </c>
      <c r="AT751" s="158"/>
      <c r="AU751" s="158" t="b">
        <f>IF(AT751="",TRUE,IF(VLOOKUP(AT751,Calculs!$A$740:$G$912,7,FALSE)&gt;0,TRUE,FALSE))</f>
        <v>1</v>
      </c>
      <c r="AV751" s="158" t="b">
        <f t="shared" si="80"/>
        <v>1</v>
      </c>
      <c r="AW751" s="158" t="s">
        <v>2078</v>
      </c>
      <c r="AX751" s="162" t="s">
        <v>6061</v>
      </c>
      <c r="AY751" s="15">
        <v>281</v>
      </c>
      <c r="AZ751" s="555" t="s">
        <v>8674</v>
      </c>
      <c r="BA751" s="559">
        <f>IF(Verso!$B$10=Voies!$B751,1,0)</f>
        <v>0</v>
      </c>
      <c r="BB751" s="12">
        <f>IF(Verso!$B$11=Voies!$B751,1,0)</f>
        <v>0</v>
      </c>
      <c r="BC751" s="12">
        <f>IF(Verso!$B$12=Voies!$B751,1,0)</f>
        <v>0</v>
      </c>
      <c r="BD751" s="12">
        <f>IF(Verso!$B$13=Voies!$B751,1,0)</f>
        <v>0</v>
      </c>
      <c r="BE751" s="12">
        <f>IF(Verso!$B$14=Voies!$B751,1,0)</f>
        <v>0</v>
      </c>
      <c r="BF751" s="12">
        <f>IF(Verso!$B$15=Voies!$B751,1,0)</f>
        <v>0</v>
      </c>
      <c r="BG751" s="12">
        <f>IF(Verso!$B$16=Voies!$B751,1,0)</f>
        <v>0</v>
      </c>
      <c r="BH751" s="12">
        <f>IF(Verso!$B$17=Voies!$B751,1,0)</f>
        <v>0</v>
      </c>
      <c r="BI751" s="557">
        <f t="shared" si="81"/>
        <v>0</v>
      </c>
      <c r="BJ751" s="196" t="str">
        <f t="shared" si="82"/>
        <v/>
      </c>
      <c r="BK751" s="196" t="str">
        <f t="shared" si="83"/>
        <v/>
      </c>
      <c r="BL751" s="295" t="str">
        <f t="shared" si="84"/>
        <v/>
      </c>
    </row>
    <row r="752" spans="1:65" ht="47.25" customHeight="1" x14ac:dyDescent="0.25">
      <c r="A752" s="162" t="str">
        <f>IF(AND(Réputation&gt;Voies!E752-1,OR(C752=TRUE,Calculs!$I$8&gt;0),Air&gt;Voies!J752-1,Eau&gt;Voies!K752-1,Feu&gt;Voies!L752-1,Terre&gt;Voies!M752-1,Vide&gt;Voies!N752-1,Constitution&gt;Voies!O752-1,Volonté&gt;Voies!P752-1,Force&gt;Voies!Q752-1,Perception&gt;Voies!R752-1,Reflexes&gt;Voies!S752-1,Agilité&gt;Voies!T752-1,Intuition&gt;Voies!U752-1,Intelligence&gt;Voies!V752-1,Souillure&gt;Voies!W752-1,Honneur&gt;X752-1,Statut&gt;Y752-1,Gloire&gt;Z752-1,AV752=TRUE),Voies!B752,"")</f>
        <v/>
      </c>
      <c r="B752" s="162" t="s">
        <v>3682</v>
      </c>
      <c r="C752" s="162" t="b">
        <v>1</v>
      </c>
      <c r="D752" s="387" t="s">
        <v>3169</v>
      </c>
      <c r="E752" s="199">
        <v>4</v>
      </c>
      <c r="F752" s="199">
        <v>4</v>
      </c>
      <c r="G752" s="201" t="s">
        <v>2060</v>
      </c>
      <c r="H752" s="219" t="s">
        <v>3676</v>
      </c>
      <c r="I752" s="129" t="str">
        <f t="shared" si="86"/>
        <v>Rien</v>
      </c>
      <c r="J752" s="146">
        <v>0</v>
      </c>
      <c r="K752" s="147">
        <v>0</v>
      </c>
      <c r="L752" s="148">
        <v>0</v>
      </c>
      <c r="M752" s="149">
        <v>0</v>
      </c>
      <c r="N752" s="150">
        <v>0</v>
      </c>
      <c r="O752" s="130">
        <v>0</v>
      </c>
      <c r="P752" s="130">
        <v>0</v>
      </c>
      <c r="Q752" s="130">
        <v>0</v>
      </c>
      <c r="R752" s="130">
        <v>0</v>
      </c>
      <c r="S752" s="130">
        <v>0</v>
      </c>
      <c r="T752" s="130">
        <v>0</v>
      </c>
      <c r="U752" s="130">
        <v>0</v>
      </c>
      <c r="V752" s="524">
        <v>0</v>
      </c>
      <c r="W752" s="130">
        <v>0</v>
      </c>
      <c r="X752" s="130">
        <v>0</v>
      </c>
      <c r="Y752" s="130">
        <v>0</v>
      </c>
      <c r="Z752" s="130">
        <v>0</v>
      </c>
      <c r="AA752" s="158" t="s">
        <v>2078</v>
      </c>
      <c r="AB752" s="158"/>
      <c r="AC752" s="158"/>
      <c r="AD752" s="158"/>
      <c r="AE752" s="158" t="b">
        <f>IF(AB752="",TRUE,IF(IF(AC752="",VLOOKUP(AB752,Calculs!$A$19:$S$425,19,FALSE),VLOOKUP(AC752,Calculs!$A$19:$S$425,19,FALSE))&gt;=AD752,TRUE,FALSE))</f>
        <v>1</v>
      </c>
      <c r="AF752" s="158"/>
      <c r="AG752" s="158"/>
      <c r="AH752" s="158"/>
      <c r="AI752" s="158" t="b">
        <f>IF(AF752="",TRUE,IF(IF(AG752="",VLOOKUP(AF752,Calculs!$A$19:$S$425,19,FALSE),VLOOKUP(AG752,Calculs!$A$19:$S$425,19,FALSE))&gt;=AH752,TRUE,FALSE))</f>
        <v>1</v>
      </c>
      <c r="AJ752" s="158"/>
      <c r="AK752" s="158"/>
      <c r="AL752" s="158"/>
      <c r="AM752" s="158" t="b">
        <f>IF(AJ752="",TRUE,IF(IF(AK752="",VLOOKUP(AJ752,Calculs!$A$19:$S$425,19,FALSE),VLOOKUP(AK752,Calculs!$A$19:$S$425,19,FALSE))&gt;=AL752,TRUE,FALSE))</f>
        <v>1</v>
      </c>
      <c r="AN752" s="158"/>
      <c r="AO752" s="158"/>
      <c r="AP752" s="158"/>
      <c r="AQ752" s="158" t="b">
        <f>IF(AN752="",TRUE,IF(IF(AO752="",VLOOKUP(AN752,Calculs!$A$19:$S$425,19,FALSE),VLOOKUP(AO752,Calculs!$A$19:$S$425,19,FALSE))&gt;=AP752,TRUE,FALSE))</f>
        <v>1</v>
      </c>
      <c r="AR752" s="158"/>
      <c r="AS752" s="158" t="b">
        <f>IF(AR752="",TRUE,IF(VLOOKUP(AR752,Calculs!$A$427:$G$738,7,FALSE)&gt;0,TRUE,FALSE))</f>
        <v>1</v>
      </c>
      <c r="AT752" s="158"/>
      <c r="AU752" s="158" t="b">
        <f>IF(AT752="",TRUE,IF(VLOOKUP(AT752,Calculs!$A$740:$G$912,7,FALSE)&gt;0,TRUE,FALSE))</f>
        <v>1</v>
      </c>
      <c r="AV752" s="158" t="b">
        <f t="shared" si="80"/>
        <v>1</v>
      </c>
      <c r="AW752" s="158" t="s">
        <v>2078</v>
      </c>
      <c r="AX752" s="162" t="s">
        <v>6061</v>
      </c>
      <c r="AY752" s="15">
        <v>281</v>
      </c>
      <c r="AZ752" s="555" t="s">
        <v>8675</v>
      </c>
      <c r="BA752" s="559">
        <f>IF(Verso!$B$10=Voies!$B752,1,0)</f>
        <v>0</v>
      </c>
      <c r="BB752" s="12">
        <f>IF(Verso!$B$11=Voies!$B752,1,0)</f>
        <v>0</v>
      </c>
      <c r="BC752" s="12">
        <f>IF(Verso!$B$12=Voies!$B752,1,0)</f>
        <v>0</v>
      </c>
      <c r="BD752" s="12">
        <f>IF(Verso!$B$13=Voies!$B752,1,0)</f>
        <v>0</v>
      </c>
      <c r="BE752" s="12">
        <f>IF(Verso!$B$14=Voies!$B752,1,0)</f>
        <v>0</v>
      </c>
      <c r="BF752" s="12">
        <f>IF(Verso!$B$15=Voies!$B752,1,0)</f>
        <v>0</v>
      </c>
      <c r="BG752" s="12">
        <f>IF(Verso!$B$16=Voies!$B752,1,0)</f>
        <v>0</v>
      </c>
      <c r="BH752" s="12">
        <f>IF(Verso!$B$17=Voies!$B752,1,0)</f>
        <v>0</v>
      </c>
      <c r="BI752" s="557">
        <f t="shared" si="81"/>
        <v>0</v>
      </c>
      <c r="BJ752" s="196" t="str">
        <f t="shared" si="82"/>
        <v/>
      </c>
      <c r="BK752" s="196" t="str">
        <f t="shared" si="83"/>
        <v/>
      </c>
      <c r="BL752" s="295" t="str">
        <f t="shared" si="84"/>
        <v/>
      </c>
    </row>
    <row r="753" spans="1:65" ht="47.25" customHeight="1" x14ac:dyDescent="0.25">
      <c r="A753" s="162" t="str">
        <f>IF(AND(Réputation&gt;Voies!E753-1,OR(C753=TRUE,Calculs!$I$8&gt;0),Air&gt;Voies!J753-1,Eau&gt;Voies!K753-1,Feu&gt;Voies!L753-1,Terre&gt;Voies!M753-1,Vide&gt;Voies!N753-1,Constitution&gt;Voies!O753-1,Volonté&gt;Voies!P753-1,Force&gt;Voies!Q753-1,Perception&gt;Voies!R753-1,Reflexes&gt;Voies!S753-1,Agilité&gt;Voies!T753-1,Intuition&gt;Voies!U753-1,Intelligence&gt;Voies!V753-1,Souillure&gt;Voies!W753-1,Honneur&gt;X753-1,Statut&gt;Y753-1,Gloire&gt;Z753-1,AV753=TRUE),Voies!B753,"")</f>
        <v/>
      </c>
      <c r="B753" s="162" t="s">
        <v>3683</v>
      </c>
      <c r="C753" s="162" t="b">
        <v>1</v>
      </c>
      <c r="D753" s="387" t="s">
        <v>3169</v>
      </c>
      <c r="E753" s="13">
        <v>5</v>
      </c>
      <c r="F753" s="199">
        <v>5</v>
      </c>
      <c r="G753" s="201" t="s">
        <v>2060</v>
      </c>
      <c r="H753" s="219" t="s">
        <v>3676</v>
      </c>
      <c r="I753" s="129" t="str">
        <f t="shared" si="86"/>
        <v>Rien</v>
      </c>
      <c r="J753" s="146">
        <v>0</v>
      </c>
      <c r="K753" s="147">
        <v>0</v>
      </c>
      <c r="L753" s="148">
        <v>0</v>
      </c>
      <c r="M753" s="149">
        <v>0</v>
      </c>
      <c r="N753" s="150">
        <v>0</v>
      </c>
      <c r="O753" s="130">
        <v>0</v>
      </c>
      <c r="P753" s="130">
        <v>0</v>
      </c>
      <c r="Q753" s="130">
        <v>0</v>
      </c>
      <c r="R753" s="130">
        <v>0</v>
      </c>
      <c r="S753" s="130">
        <v>0</v>
      </c>
      <c r="T753" s="130">
        <v>0</v>
      </c>
      <c r="U753" s="130">
        <v>0</v>
      </c>
      <c r="V753" s="524">
        <v>0</v>
      </c>
      <c r="W753" s="130">
        <v>0</v>
      </c>
      <c r="X753" s="130">
        <v>0</v>
      </c>
      <c r="Y753" s="130">
        <v>0</v>
      </c>
      <c r="Z753" s="130">
        <v>0</v>
      </c>
      <c r="AA753" s="158" t="s">
        <v>2078</v>
      </c>
      <c r="AB753" s="158"/>
      <c r="AC753" s="158"/>
      <c r="AD753" s="158"/>
      <c r="AE753" s="158" t="b">
        <f>IF(AB753="",TRUE,IF(IF(AC753="",VLOOKUP(AB753,Calculs!$A$19:$S$425,19,FALSE),VLOOKUP(AC753,Calculs!$A$19:$S$425,19,FALSE))&gt;=AD753,TRUE,FALSE))</f>
        <v>1</v>
      </c>
      <c r="AF753" s="158"/>
      <c r="AG753" s="158"/>
      <c r="AH753" s="158"/>
      <c r="AI753" s="158" t="b">
        <f>IF(AF753="",TRUE,IF(IF(AG753="",VLOOKUP(AF753,Calculs!$A$19:$S$425,19,FALSE),VLOOKUP(AG753,Calculs!$A$19:$S$425,19,FALSE))&gt;=AH753,TRUE,FALSE))</f>
        <v>1</v>
      </c>
      <c r="AJ753" s="158"/>
      <c r="AK753" s="158"/>
      <c r="AL753" s="158"/>
      <c r="AM753" s="158" t="b">
        <f>IF(AJ753="",TRUE,IF(IF(AK753="",VLOOKUP(AJ753,Calculs!$A$19:$S$425,19,FALSE),VLOOKUP(AK753,Calculs!$A$19:$S$425,19,FALSE))&gt;=AL753,TRUE,FALSE))</f>
        <v>1</v>
      </c>
      <c r="AN753" s="158"/>
      <c r="AO753" s="158"/>
      <c r="AP753" s="158"/>
      <c r="AQ753" s="158" t="b">
        <f>IF(AN753="",TRUE,IF(IF(AO753="",VLOOKUP(AN753,Calculs!$A$19:$S$425,19,FALSE),VLOOKUP(AO753,Calculs!$A$19:$S$425,19,FALSE))&gt;=AP753,TRUE,FALSE))</f>
        <v>1</v>
      </c>
      <c r="AR753" s="158"/>
      <c r="AS753" s="158" t="b">
        <f>IF(AR753="",TRUE,IF(VLOOKUP(AR753,Calculs!$A$427:$G$738,7,FALSE)&gt;0,TRUE,FALSE))</f>
        <v>1</v>
      </c>
      <c r="AT753" s="158"/>
      <c r="AU753" s="158" t="b">
        <f>IF(AT753="",TRUE,IF(VLOOKUP(AT753,Calculs!$A$740:$G$912,7,FALSE)&gt;0,TRUE,FALSE))</f>
        <v>1</v>
      </c>
      <c r="AV753" s="158" t="b">
        <f t="shared" si="80"/>
        <v>1</v>
      </c>
      <c r="AW753" s="158" t="s">
        <v>2078</v>
      </c>
      <c r="AX753" s="162" t="s">
        <v>6061</v>
      </c>
      <c r="AY753" s="15">
        <v>281</v>
      </c>
      <c r="AZ753" s="555" t="s">
        <v>8676</v>
      </c>
      <c r="BA753" s="559">
        <f>IF(Verso!$B$10=Voies!$B753,1,0)</f>
        <v>0</v>
      </c>
      <c r="BB753" s="12">
        <f>IF(Verso!$B$11=Voies!$B753,1,0)</f>
        <v>0</v>
      </c>
      <c r="BC753" s="12">
        <f>IF(Verso!$B$12=Voies!$B753,1,0)</f>
        <v>0</v>
      </c>
      <c r="BD753" s="12">
        <f>IF(Verso!$B$13=Voies!$B753,1,0)</f>
        <v>0</v>
      </c>
      <c r="BE753" s="12">
        <f>IF(Verso!$B$14=Voies!$B753,1,0)</f>
        <v>0</v>
      </c>
      <c r="BF753" s="12">
        <f>IF(Verso!$B$15=Voies!$B753,1,0)</f>
        <v>0</v>
      </c>
      <c r="BG753" s="12">
        <f>IF(Verso!$B$16=Voies!$B753,1,0)</f>
        <v>0</v>
      </c>
      <c r="BH753" s="12">
        <f>IF(Verso!$B$17=Voies!$B753,1,0)</f>
        <v>0</v>
      </c>
      <c r="BI753" s="557">
        <f t="shared" si="81"/>
        <v>0</v>
      </c>
      <c r="BJ753" s="196" t="str">
        <f t="shared" si="82"/>
        <v/>
      </c>
      <c r="BK753" s="196" t="str">
        <f t="shared" si="83"/>
        <v/>
      </c>
      <c r="BL753" s="295" t="str">
        <f t="shared" si="84"/>
        <v/>
      </c>
    </row>
    <row r="754" spans="1:65" s="196" customFormat="1" ht="47.25" customHeight="1" x14ac:dyDescent="0.25">
      <c r="A754" s="162" t="str">
        <f>IF(AND(Réputation&gt;Voies!E754-1,OR(C754=TRUE,Calculs!$I$8&gt;0),Air&gt;Voies!J754-1,Eau&gt;Voies!K754-1,Feu&gt;Voies!L754-1,Terre&gt;Voies!M754-1,Vide&gt;Voies!N754-1,Constitution&gt;Voies!O754-1,Volonté&gt;Voies!P754-1,Force&gt;Voies!Q754-1,Perception&gt;Voies!R754-1,Reflexes&gt;Voies!S754-1,Agilité&gt;Voies!T754-1,Intuition&gt;Voies!U754-1,Intelligence&gt;Voies!V754-1,Souillure&gt;Voies!W754-1,Honneur&gt;X754-1,Statut&gt;Y754-1,Gloire&gt;Z754-1,AV754=TRUE),Voies!B754,"")</f>
        <v/>
      </c>
      <c r="B754" s="162" t="s">
        <v>7255</v>
      </c>
      <c r="C754" s="162" t="b">
        <f>IF(Clan=Voies!D754,TRUE,FALSE)</f>
        <v>0</v>
      </c>
      <c r="D754" s="387" t="s">
        <v>320</v>
      </c>
      <c r="E754" s="199">
        <v>1</v>
      </c>
      <c r="F754" s="199">
        <v>1</v>
      </c>
      <c r="G754" s="199" t="s">
        <v>2049</v>
      </c>
      <c r="H754" s="219" t="s">
        <v>7236</v>
      </c>
      <c r="I754" s="129" t="str">
        <f t="shared" si="86"/>
        <v>Rien</v>
      </c>
      <c r="J754" s="146">
        <v>0</v>
      </c>
      <c r="K754" s="147">
        <v>0</v>
      </c>
      <c r="L754" s="148">
        <v>0</v>
      </c>
      <c r="M754" s="149">
        <v>0</v>
      </c>
      <c r="N754" s="150">
        <v>0</v>
      </c>
      <c r="O754" s="130">
        <v>0</v>
      </c>
      <c r="P754" s="130">
        <v>0</v>
      </c>
      <c r="Q754" s="130">
        <v>0</v>
      </c>
      <c r="R754" s="130">
        <v>0</v>
      </c>
      <c r="S754" s="130">
        <v>0</v>
      </c>
      <c r="T754" s="130">
        <v>0</v>
      </c>
      <c r="U754" s="130">
        <v>0</v>
      </c>
      <c r="V754" s="524">
        <v>0</v>
      </c>
      <c r="W754" s="130">
        <v>0</v>
      </c>
      <c r="X754" s="130">
        <v>0</v>
      </c>
      <c r="Y754" s="130">
        <v>0</v>
      </c>
      <c r="Z754" s="130">
        <v>0</v>
      </c>
      <c r="AA754" s="158" t="s">
        <v>2078</v>
      </c>
      <c r="AB754" s="158"/>
      <c r="AC754" s="158"/>
      <c r="AD754" s="158"/>
      <c r="AE754" s="158" t="b">
        <f>IF(AB754="",TRUE,IF(IF(AC754="",VLOOKUP(AB754,Calculs!$A$19:$S$425,19,FALSE),VLOOKUP(AC754,Calculs!$A$19:$S$425,19,FALSE))&gt;=AD754,TRUE,FALSE))</f>
        <v>1</v>
      </c>
      <c r="AF754" s="158"/>
      <c r="AG754" s="158"/>
      <c r="AH754" s="158"/>
      <c r="AI754" s="158" t="b">
        <f>IF(AF754="",TRUE,IF(IF(AG754="",VLOOKUP(AF754,Calculs!$A$19:$S$425,19,FALSE),VLOOKUP(AG754,Calculs!$A$19:$S$425,19,FALSE))&gt;=AH754,TRUE,FALSE))</f>
        <v>1</v>
      </c>
      <c r="AJ754" s="158"/>
      <c r="AK754" s="158"/>
      <c r="AL754" s="158"/>
      <c r="AM754" s="158" t="b">
        <f>IF(AJ754="",TRUE,IF(IF(AK754="",VLOOKUP(AJ754,Calculs!$A$19:$S$425,19,FALSE),VLOOKUP(AK754,Calculs!$A$19:$S$425,19,FALSE))&gt;=AL754,TRUE,FALSE))</f>
        <v>1</v>
      </c>
      <c r="AN754" s="158"/>
      <c r="AO754" s="158"/>
      <c r="AP754" s="158"/>
      <c r="AQ754" s="158" t="b">
        <f>IF(AN754="",TRUE,IF(IF(AO754="",VLOOKUP(AN754,Calculs!$A$19:$S$425,19,FALSE),VLOOKUP(AO754,Calculs!$A$19:$S$425,19,FALSE))&gt;=AP754,TRUE,FALSE))</f>
        <v>1</v>
      </c>
      <c r="AR754" s="158"/>
      <c r="AS754" s="158" t="b">
        <f>IF(AR754="",TRUE,IF(VLOOKUP(AR754,Calculs!$A$427:$G$738,7,FALSE)&gt;0,TRUE,FALSE))</f>
        <v>1</v>
      </c>
      <c r="AT754" s="158"/>
      <c r="AU754" s="158" t="b">
        <f>IF(AT754="",TRUE,IF(VLOOKUP(AT754,Calculs!$A$740:$G$912,7,FALSE)&gt;0,TRUE,FALSE))</f>
        <v>1</v>
      </c>
      <c r="AV754" s="158" t="b">
        <f t="shared" si="80"/>
        <v>1</v>
      </c>
      <c r="AW754" s="158" t="s">
        <v>2078</v>
      </c>
      <c r="AX754" s="162" t="s">
        <v>7226</v>
      </c>
      <c r="AY754" s="15">
        <v>61</v>
      </c>
      <c r="AZ754" s="566" t="s">
        <v>8293</v>
      </c>
      <c r="BA754" s="559">
        <f>IF(Verso!$B$10=Voies!$B754,1,0)</f>
        <v>0</v>
      </c>
      <c r="BB754" s="12">
        <f>IF(Verso!$B$11=Voies!$B754,1,0)</f>
        <v>0</v>
      </c>
      <c r="BC754" s="12">
        <f>IF(Verso!$B$12=Voies!$B754,1,0)</f>
        <v>0</v>
      </c>
      <c r="BD754" s="12">
        <f>IF(Verso!$B$13=Voies!$B754,1,0)</f>
        <v>0</v>
      </c>
      <c r="BE754" s="12">
        <f>IF(Verso!$B$14=Voies!$B754,1,0)</f>
        <v>0</v>
      </c>
      <c r="BF754" s="12">
        <f>IF(Verso!$B$15=Voies!$B754,1,0)</f>
        <v>0</v>
      </c>
      <c r="BG754" s="12">
        <f>IF(Verso!$B$16=Voies!$B754,1,0)</f>
        <v>0</v>
      </c>
      <c r="BH754" s="12">
        <f>IF(Verso!$B$17=Voies!$B754,1,0)</f>
        <v>0</v>
      </c>
      <c r="BI754" s="557">
        <f t="shared" si="81"/>
        <v>0</v>
      </c>
      <c r="BJ754" s="196" t="str">
        <f t="shared" si="82"/>
        <v/>
      </c>
      <c r="BK754" s="196" t="str">
        <f t="shared" si="83"/>
        <v/>
      </c>
      <c r="BL754" s="295" t="str">
        <f t="shared" si="84"/>
        <v/>
      </c>
      <c r="BM754" s="91"/>
    </row>
    <row r="755" spans="1:65" s="196" customFormat="1" ht="47.25" customHeight="1" x14ac:dyDescent="0.25">
      <c r="A755" s="162" t="str">
        <f>IF(AND(Réputation&gt;Voies!E755-1,OR(C755=TRUE,Calculs!$I$8&gt;0),Air&gt;Voies!J755-1,Eau&gt;Voies!K755-1,Feu&gt;Voies!L755-1,Terre&gt;Voies!M755-1,Vide&gt;Voies!N755-1,Constitution&gt;Voies!O755-1,Volonté&gt;Voies!P755-1,Force&gt;Voies!Q755-1,Perception&gt;Voies!R755-1,Reflexes&gt;Voies!S755-1,Agilité&gt;Voies!T755-1,Intuition&gt;Voies!U755-1,Intelligence&gt;Voies!V755-1,Souillure&gt;Voies!W755-1,Honneur&gt;X755-1,Statut&gt;Y755-1,Gloire&gt;Z755-1,AV755=TRUE),Voies!B755,"")</f>
        <v/>
      </c>
      <c r="B755" s="162" t="s">
        <v>8297</v>
      </c>
      <c r="C755" s="162" t="b">
        <f>IF(Clan=Voies!D755,TRUE,FALSE)</f>
        <v>0</v>
      </c>
      <c r="D755" s="387" t="s">
        <v>320</v>
      </c>
      <c r="E755" s="199">
        <v>2</v>
      </c>
      <c r="F755" s="199">
        <v>2</v>
      </c>
      <c r="G755" s="199" t="s">
        <v>2049</v>
      </c>
      <c r="H755" s="219" t="s">
        <v>7236</v>
      </c>
      <c r="I755" s="129" t="str">
        <f t="shared" si="86"/>
        <v>Rien</v>
      </c>
      <c r="J755" s="146">
        <v>0</v>
      </c>
      <c r="K755" s="147">
        <v>0</v>
      </c>
      <c r="L755" s="148">
        <v>0</v>
      </c>
      <c r="M755" s="149">
        <v>0</v>
      </c>
      <c r="N755" s="150">
        <v>0</v>
      </c>
      <c r="O755" s="130">
        <v>0</v>
      </c>
      <c r="P755" s="130">
        <v>0</v>
      </c>
      <c r="Q755" s="130">
        <v>0</v>
      </c>
      <c r="R755" s="130">
        <v>0</v>
      </c>
      <c r="S755" s="130">
        <v>0</v>
      </c>
      <c r="T755" s="130">
        <v>0</v>
      </c>
      <c r="U755" s="130">
        <v>0</v>
      </c>
      <c r="V755" s="524">
        <v>0</v>
      </c>
      <c r="W755" s="130">
        <v>0</v>
      </c>
      <c r="X755" s="130">
        <v>0</v>
      </c>
      <c r="Y755" s="130">
        <v>0</v>
      </c>
      <c r="Z755" s="130">
        <v>0</v>
      </c>
      <c r="AA755" s="158" t="s">
        <v>2078</v>
      </c>
      <c r="AB755" s="158"/>
      <c r="AC755" s="158"/>
      <c r="AD755" s="158"/>
      <c r="AE755" s="158" t="b">
        <f>IF(AB755="",TRUE,IF(IF(AC755="",VLOOKUP(AB755,Calculs!$A$19:$S$425,19,FALSE),VLOOKUP(AC755,Calculs!$A$19:$S$425,19,FALSE))&gt;=AD755,TRUE,FALSE))</f>
        <v>1</v>
      </c>
      <c r="AF755" s="158"/>
      <c r="AG755" s="158"/>
      <c r="AH755" s="158"/>
      <c r="AI755" s="158" t="b">
        <f>IF(AF755="",TRUE,IF(IF(AG755="",VLOOKUP(AF755,Calculs!$A$19:$S$425,19,FALSE),VLOOKUP(AG755,Calculs!$A$19:$S$425,19,FALSE))&gt;=AH755,TRUE,FALSE))</f>
        <v>1</v>
      </c>
      <c r="AJ755" s="158"/>
      <c r="AK755" s="158"/>
      <c r="AL755" s="158"/>
      <c r="AM755" s="158" t="b">
        <f>IF(AJ755="",TRUE,IF(IF(AK755="",VLOOKUP(AJ755,Calculs!$A$19:$S$425,19,FALSE),VLOOKUP(AK755,Calculs!$A$19:$S$425,19,FALSE))&gt;=AL755,TRUE,FALSE))</f>
        <v>1</v>
      </c>
      <c r="AN755" s="158"/>
      <c r="AO755" s="158"/>
      <c r="AP755" s="158"/>
      <c r="AQ755" s="158" t="b">
        <f>IF(AN755="",TRUE,IF(IF(AO755="",VLOOKUP(AN755,Calculs!$A$19:$S$425,19,FALSE),VLOOKUP(AO755,Calculs!$A$19:$S$425,19,FALSE))&gt;=AP755,TRUE,FALSE))</f>
        <v>1</v>
      </c>
      <c r="AR755" s="158"/>
      <c r="AS755" s="158" t="b">
        <f>IF(AR755="",TRUE,IF(VLOOKUP(AR755,Calculs!$A$427:$G$738,7,FALSE)&gt;0,TRUE,FALSE))</f>
        <v>1</v>
      </c>
      <c r="AT755" s="158"/>
      <c r="AU755" s="158" t="b">
        <f>IF(AT755="",TRUE,IF(VLOOKUP(AT755,Calculs!$A$740:$G$912,7,FALSE)&gt;0,TRUE,FALSE))</f>
        <v>1</v>
      </c>
      <c r="AV755" s="158" t="b">
        <f t="shared" si="80"/>
        <v>1</v>
      </c>
      <c r="AW755" s="158" t="s">
        <v>2078</v>
      </c>
      <c r="AX755" s="162" t="s">
        <v>7226</v>
      </c>
      <c r="AY755" s="15">
        <v>61</v>
      </c>
      <c r="AZ755" s="555" t="str">
        <f>CONCATENATE("Soustrayez ",Force," à tous les ND de pénalités dus à vos rangs de Blessures.")</f>
        <v>Soustrayez 2 à tous les ND de pénalités dus à vos rangs de Blessures.</v>
      </c>
      <c r="BA755" s="559">
        <f>IF(Verso!$B$10=Voies!$B755,1,0)</f>
        <v>0</v>
      </c>
      <c r="BB755" s="12">
        <f>IF(Verso!$B$11=Voies!$B755,1,0)</f>
        <v>0</v>
      </c>
      <c r="BC755" s="12">
        <f>IF(Verso!$B$12=Voies!$B755,1,0)</f>
        <v>0</v>
      </c>
      <c r="BD755" s="12">
        <f>IF(Verso!$B$13=Voies!$B755,1,0)</f>
        <v>0</v>
      </c>
      <c r="BE755" s="12">
        <f>IF(Verso!$B$14=Voies!$B755,1,0)</f>
        <v>0</v>
      </c>
      <c r="BF755" s="12">
        <f>IF(Verso!$B$15=Voies!$B755,1,0)</f>
        <v>0</v>
      </c>
      <c r="BG755" s="12">
        <f>IF(Verso!$B$16=Voies!$B755,1,0)</f>
        <v>0</v>
      </c>
      <c r="BH755" s="12">
        <f>IF(Verso!$B$17=Voies!$B755,1,0)</f>
        <v>0</v>
      </c>
      <c r="BI755" s="557">
        <f t="shared" si="81"/>
        <v>0</v>
      </c>
      <c r="BJ755" s="196" t="str">
        <f t="shared" si="82"/>
        <v/>
      </c>
      <c r="BK755" s="196" t="str">
        <f t="shared" si="83"/>
        <v/>
      </c>
      <c r="BL755" s="295" t="str">
        <f t="shared" si="84"/>
        <v/>
      </c>
      <c r="BM755" s="91"/>
    </row>
    <row r="756" spans="1:65" s="196" customFormat="1" ht="47.25" customHeight="1" x14ac:dyDescent="0.25">
      <c r="A756" s="162" t="str">
        <f>IF(AND(Réputation&gt;Voies!E756-1,OR(C756=TRUE,Calculs!$I$8&gt;0),Air&gt;Voies!J756-1,Eau&gt;Voies!K756-1,Feu&gt;Voies!L756-1,Terre&gt;Voies!M756-1,Vide&gt;Voies!N756-1,Constitution&gt;Voies!O756-1,Volonté&gt;Voies!P756-1,Force&gt;Voies!Q756-1,Perception&gt;Voies!R756-1,Reflexes&gt;Voies!S756-1,Agilité&gt;Voies!T756-1,Intuition&gt;Voies!U756-1,Intelligence&gt;Voies!V756-1,Souillure&gt;Voies!W756-1,Honneur&gt;X756-1,Statut&gt;Y756-1,Gloire&gt;Z756-1,AV756=TRUE),Voies!B756,"")</f>
        <v/>
      </c>
      <c r="B756" s="162" t="s">
        <v>7256</v>
      </c>
      <c r="C756" s="162" t="b">
        <f>IF(Clan=Voies!D756,TRUE,FALSE)</f>
        <v>0</v>
      </c>
      <c r="D756" s="387" t="s">
        <v>320</v>
      </c>
      <c r="E756" s="199">
        <v>3</v>
      </c>
      <c r="F756" s="199">
        <v>3</v>
      </c>
      <c r="G756" s="199" t="s">
        <v>2049</v>
      </c>
      <c r="H756" s="219" t="s">
        <v>7236</v>
      </c>
      <c r="I756" s="129" t="str">
        <f t="shared" si="86"/>
        <v>Rien</v>
      </c>
      <c r="J756" s="146">
        <v>0</v>
      </c>
      <c r="K756" s="147">
        <v>0</v>
      </c>
      <c r="L756" s="148">
        <v>0</v>
      </c>
      <c r="M756" s="149">
        <v>0</v>
      </c>
      <c r="N756" s="150">
        <v>0</v>
      </c>
      <c r="O756" s="130">
        <v>0</v>
      </c>
      <c r="P756" s="130">
        <v>0</v>
      </c>
      <c r="Q756" s="130">
        <v>0</v>
      </c>
      <c r="R756" s="130">
        <v>0</v>
      </c>
      <c r="S756" s="130">
        <v>0</v>
      </c>
      <c r="T756" s="130">
        <v>0</v>
      </c>
      <c r="U756" s="130">
        <v>0</v>
      </c>
      <c r="V756" s="524">
        <v>0</v>
      </c>
      <c r="W756" s="130">
        <v>0</v>
      </c>
      <c r="X756" s="130">
        <v>0</v>
      </c>
      <c r="Y756" s="130">
        <v>0</v>
      </c>
      <c r="Z756" s="130">
        <v>0</v>
      </c>
      <c r="AA756" s="158" t="s">
        <v>2078</v>
      </c>
      <c r="AB756" s="158"/>
      <c r="AC756" s="158"/>
      <c r="AD756" s="158"/>
      <c r="AE756" s="158" t="b">
        <f>IF(AB756="",TRUE,IF(IF(AC756="",VLOOKUP(AB756,Calculs!$A$19:$S$425,19,FALSE),VLOOKUP(AC756,Calculs!$A$19:$S$425,19,FALSE))&gt;=AD756,TRUE,FALSE))</f>
        <v>1</v>
      </c>
      <c r="AF756" s="158"/>
      <c r="AG756" s="158"/>
      <c r="AH756" s="158"/>
      <c r="AI756" s="158" t="b">
        <f>IF(AF756="",TRUE,IF(IF(AG756="",VLOOKUP(AF756,Calculs!$A$19:$S$425,19,FALSE),VLOOKUP(AG756,Calculs!$A$19:$S$425,19,FALSE))&gt;=AH756,TRUE,FALSE))</f>
        <v>1</v>
      </c>
      <c r="AJ756" s="158"/>
      <c r="AK756" s="158"/>
      <c r="AL756" s="158"/>
      <c r="AM756" s="158" t="b">
        <f>IF(AJ756="",TRUE,IF(IF(AK756="",VLOOKUP(AJ756,Calculs!$A$19:$S$425,19,FALSE),VLOOKUP(AK756,Calculs!$A$19:$S$425,19,FALSE))&gt;=AL756,TRUE,FALSE))</f>
        <v>1</v>
      </c>
      <c r="AN756" s="158"/>
      <c r="AO756" s="158"/>
      <c r="AP756" s="158"/>
      <c r="AQ756" s="158" t="b">
        <f>IF(AN756="",TRUE,IF(IF(AO756="",VLOOKUP(AN756,Calculs!$A$19:$S$425,19,FALSE),VLOOKUP(AO756,Calculs!$A$19:$S$425,19,FALSE))&gt;=AP756,TRUE,FALSE))</f>
        <v>1</v>
      </c>
      <c r="AR756" s="158"/>
      <c r="AS756" s="158" t="b">
        <f>IF(AR756="",TRUE,IF(VLOOKUP(AR756,Calculs!$A$427:$G$738,7,FALSE)&gt;0,TRUE,FALSE))</f>
        <v>1</v>
      </c>
      <c r="AT756" s="158"/>
      <c r="AU756" s="158" t="b">
        <f>IF(AT756="",TRUE,IF(VLOOKUP(AT756,Calculs!$A$740:$G$912,7,FALSE)&gt;0,TRUE,FALSE))</f>
        <v>1</v>
      </c>
      <c r="AV756" s="158" t="b">
        <f t="shared" si="80"/>
        <v>1</v>
      </c>
      <c r="AW756" s="158" t="s">
        <v>2078</v>
      </c>
      <c r="AX756" s="162" t="s">
        <v>7226</v>
      </c>
      <c r="AY756" s="15">
        <v>61</v>
      </c>
      <c r="AZ756" s="555" t="s">
        <v>8294</v>
      </c>
      <c r="BA756" s="559">
        <f>IF(Verso!$B$10=Voies!$B756,1,0)</f>
        <v>0</v>
      </c>
      <c r="BB756" s="12">
        <f>IF(Verso!$B$11=Voies!$B756,1,0)</f>
        <v>0</v>
      </c>
      <c r="BC756" s="12">
        <f>IF(Verso!$B$12=Voies!$B756,1,0)</f>
        <v>0</v>
      </c>
      <c r="BD756" s="12">
        <f>IF(Verso!$B$13=Voies!$B756,1,0)</f>
        <v>0</v>
      </c>
      <c r="BE756" s="12">
        <f>IF(Verso!$B$14=Voies!$B756,1,0)</f>
        <v>0</v>
      </c>
      <c r="BF756" s="12">
        <f>IF(Verso!$B$15=Voies!$B756,1,0)</f>
        <v>0</v>
      </c>
      <c r="BG756" s="12">
        <f>IF(Verso!$B$16=Voies!$B756,1,0)</f>
        <v>0</v>
      </c>
      <c r="BH756" s="12">
        <f>IF(Verso!$B$17=Voies!$B756,1,0)</f>
        <v>0</v>
      </c>
      <c r="BI756" s="557">
        <f t="shared" si="81"/>
        <v>0</v>
      </c>
      <c r="BJ756" s="196" t="str">
        <f t="shared" si="82"/>
        <v/>
      </c>
      <c r="BK756" s="196" t="str">
        <f t="shared" si="83"/>
        <v/>
      </c>
      <c r="BL756" s="295" t="str">
        <f t="shared" si="84"/>
        <v/>
      </c>
      <c r="BM756" s="91"/>
    </row>
    <row r="757" spans="1:65" s="196" customFormat="1" ht="47.25" customHeight="1" x14ac:dyDescent="0.25">
      <c r="A757" s="162" t="str">
        <f>IF(AND(Réputation&gt;Voies!E757-1,OR(C757=TRUE,Calculs!$I$8&gt;0),Air&gt;Voies!J757-1,Eau&gt;Voies!K757-1,Feu&gt;Voies!L757-1,Terre&gt;Voies!M757-1,Vide&gt;Voies!N757-1,Constitution&gt;Voies!O757-1,Volonté&gt;Voies!P757-1,Force&gt;Voies!Q757-1,Perception&gt;Voies!R757-1,Reflexes&gt;Voies!S757-1,Agilité&gt;Voies!T757-1,Intuition&gt;Voies!U757-1,Intelligence&gt;Voies!V757-1,Souillure&gt;Voies!W757-1,Honneur&gt;X757-1,Statut&gt;Y757-1,Gloire&gt;Z757-1,AV757=TRUE),Voies!B757,"")</f>
        <v/>
      </c>
      <c r="B757" s="162" t="s">
        <v>8296</v>
      </c>
      <c r="C757" s="162" t="b">
        <f>IF(Clan=Voies!D757,TRUE,FALSE)</f>
        <v>0</v>
      </c>
      <c r="D757" s="387" t="s">
        <v>320</v>
      </c>
      <c r="E757" s="199">
        <v>4</v>
      </c>
      <c r="F757" s="199">
        <v>4</v>
      </c>
      <c r="G757" s="199" t="s">
        <v>2049</v>
      </c>
      <c r="H757" s="219" t="s">
        <v>7236</v>
      </c>
      <c r="I757" s="129" t="str">
        <f t="shared" si="86"/>
        <v>Rien</v>
      </c>
      <c r="J757" s="146">
        <v>0</v>
      </c>
      <c r="K757" s="147">
        <v>0</v>
      </c>
      <c r="L757" s="148">
        <v>0</v>
      </c>
      <c r="M757" s="149">
        <v>0</v>
      </c>
      <c r="N757" s="150">
        <v>0</v>
      </c>
      <c r="O757" s="130">
        <v>0</v>
      </c>
      <c r="P757" s="130">
        <v>0</v>
      </c>
      <c r="Q757" s="130">
        <v>0</v>
      </c>
      <c r="R757" s="130">
        <v>0</v>
      </c>
      <c r="S757" s="130">
        <v>0</v>
      </c>
      <c r="T757" s="130">
        <v>0</v>
      </c>
      <c r="U757" s="130">
        <v>0</v>
      </c>
      <c r="V757" s="524">
        <v>0</v>
      </c>
      <c r="W757" s="130">
        <v>0</v>
      </c>
      <c r="X757" s="130">
        <v>0</v>
      </c>
      <c r="Y757" s="130">
        <v>0</v>
      </c>
      <c r="Z757" s="130">
        <v>0</v>
      </c>
      <c r="AA757" s="158" t="s">
        <v>2078</v>
      </c>
      <c r="AB757" s="158"/>
      <c r="AC757" s="158"/>
      <c r="AD757" s="158"/>
      <c r="AE757" s="158" t="b">
        <f>IF(AB757="",TRUE,IF(IF(AC757="",VLOOKUP(AB757,Calculs!$A$19:$S$425,19,FALSE),VLOOKUP(AC757,Calculs!$A$19:$S$425,19,FALSE))&gt;=AD757,TRUE,FALSE))</f>
        <v>1</v>
      </c>
      <c r="AF757" s="158"/>
      <c r="AG757" s="158"/>
      <c r="AH757" s="158"/>
      <c r="AI757" s="158" t="b">
        <f>IF(AF757="",TRUE,IF(IF(AG757="",VLOOKUP(AF757,Calculs!$A$19:$S$425,19,FALSE),VLOOKUP(AG757,Calculs!$A$19:$S$425,19,FALSE))&gt;=AH757,TRUE,FALSE))</f>
        <v>1</v>
      </c>
      <c r="AJ757" s="158"/>
      <c r="AK757" s="158"/>
      <c r="AL757" s="158"/>
      <c r="AM757" s="158" t="b">
        <f>IF(AJ757="",TRUE,IF(IF(AK757="",VLOOKUP(AJ757,Calculs!$A$19:$S$425,19,FALSE),VLOOKUP(AK757,Calculs!$A$19:$S$425,19,FALSE))&gt;=AL757,TRUE,FALSE))</f>
        <v>1</v>
      </c>
      <c r="AN757" s="158"/>
      <c r="AO757" s="158"/>
      <c r="AP757" s="158"/>
      <c r="AQ757" s="158" t="b">
        <f>IF(AN757="",TRUE,IF(IF(AO757="",VLOOKUP(AN757,Calculs!$A$19:$S$425,19,FALSE),VLOOKUP(AO757,Calculs!$A$19:$S$425,19,FALSE))&gt;=AP757,TRUE,FALSE))</f>
        <v>1</v>
      </c>
      <c r="AR757" s="158"/>
      <c r="AS757" s="158" t="b">
        <f>IF(AR757="",TRUE,IF(VLOOKUP(AR757,Calculs!$A$427:$G$738,7,FALSE)&gt;0,TRUE,FALSE))</f>
        <v>1</v>
      </c>
      <c r="AT757" s="158"/>
      <c r="AU757" s="158" t="b">
        <f>IF(AT757="",TRUE,IF(VLOOKUP(AT757,Calculs!$A$740:$G$912,7,FALSE)&gt;0,TRUE,FALSE))</f>
        <v>1</v>
      </c>
      <c r="AV757" s="158" t="b">
        <f t="shared" si="80"/>
        <v>1</v>
      </c>
      <c r="AW757" s="158" t="s">
        <v>2078</v>
      </c>
      <c r="AX757" s="162" t="s">
        <v>7226</v>
      </c>
      <c r="AY757" s="15">
        <v>61</v>
      </c>
      <c r="AZ757" s="555" t="s">
        <v>8295</v>
      </c>
      <c r="BA757" s="559">
        <f>IF(Verso!$B$10=Voies!$B757,1,0)</f>
        <v>0</v>
      </c>
      <c r="BB757" s="12">
        <f>IF(Verso!$B$11=Voies!$B757,1,0)</f>
        <v>0</v>
      </c>
      <c r="BC757" s="12">
        <f>IF(Verso!$B$12=Voies!$B757,1,0)</f>
        <v>0</v>
      </c>
      <c r="BD757" s="12">
        <f>IF(Verso!$B$13=Voies!$B757,1,0)</f>
        <v>0</v>
      </c>
      <c r="BE757" s="12">
        <f>IF(Verso!$B$14=Voies!$B757,1,0)</f>
        <v>0</v>
      </c>
      <c r="BF757" s="12">
        <f>IF(Verso!$B$15=Voies!$B757,1,0)</f>
        <v>0</v>
      </c>
      <c r="BG757" s="12">
        <f>IF(Verso!$B$16=Voies!$B757,1,0)</f>
        <v>0</v>
      </c>
      <c r="BH757" s="12">
        <f>IF(Verso!$B$17=Voies!$B757,1,0)</f>
        <v>0</v>
      </c>
      <c r="BI757" s="557">
        <f t="shared" si="81"/>
        <v>0</v>
      </c>
      <c r="BJ757" s="196" t="str">
        <f t="shared" si="82"/>
        <v/>
      </c>
      <c r="BK757" s="196" t="str">
        <f t="shared" si="83"/>
        <v/>
      </c>
      <c r="BL757" s="295" t="str">
        <f t="shared" si="84"/>
        <v/>
      </c>
      <c r="BM757" s="91"/>
    </row>
    <row r="758" spans="1:65" s="196" customFormat="1" ht="47.25" customHeight="1" x14ac:dyDescent="0.25">
      <c r="A758" s="162" t="str">
        <f>IF(AND(Réputation&gt;Voies!E758-1,OR(C758=TRUE,Calculs!$I$8&gt;0),Air&gt;Voies!J758-1,Eau&gt;Voies!K758-1,Feu&gt;Voies!L758-1,Terre&gt;Voies!M758-1,Vide&gt;Voies!N758-1,Constitution&gt;Voies!O758-1,Volonté&gt;Voies!P758-1,Force&gt;Voies!Q758-1,Perception&gt;Voies!R758-1,Reflexes&gt;Voies!S758-1,Agilité&gt;Voies!T758-1,Intuition&gt;Voies!U758-1,Intelligence&gt;Voies!V758-1,Souillure&gt;Voies!W758-1,Honneur&gt;X758-1,Statut&gt;Y758-1,Gloire&gt;Z758-1,AV758=TRUE),Voies!B758,"")</f>
        <v/>
      </c>
      <c r="B758" s="162" t="s">
        <v>8298</v>
      </c>
      <c r="C758" s="162" t="b">
        <f>IF(Clan=Voies!D758,TRUE,FALSE)</f>
        <v>0</v>
      </c>
      <c r="D758" s="387" t="s">
        <v>320</v>
      </c>
      <c r="E758" s="199">
        <v>5</v>
      </c>
      <c r="F758" s="199">
        <v>5</v>
      </c>
      <c r="G758" s="199" t="s">
        <v>2049</v>
      </c>
      <c r="H758" s="219" t="s">
        <v>7236</v>
      </c>
      <c r="I758" s="129" t="str">
        <f t="shared" si="86"/>
        <v>Rien</v>
      </c>
      <c r="J758" s="146">
        <v>0</v>
      </c>
      <c r="K758" s="147">
        <v>0</v>
      </c>
      <c r="L758" s="148">
        <v>0</v>
      </c>
      <c r="M758" s="149">
        <v>0</v>
      </c>
      <c r="N758" s="150">
        <v>0</v>
      </c>
      <c r="O758" s="130">
        <v>0</v>
      </c>
      <c r="P758" s="130">
        <v>0</v>
      </c>
      <c r="Q758" s="130">
        <v>0</v>
      </c>
      <c r="R758" s="130">
        <v>0</v>
      </c>
      <c r="S758" s="130">
        <v>0</v>
      </c>
      <c r="T758" s="130">
        <v>0</v>
      </c>
      <c r="U758" s="130">
        <v>0</v>
      </c>
      <c r="V758" s="524">
        <v>0</v>
      </c>
      <c r="W758" s="130">
        <v>0</v>
      </c>
      <c r="X758" s="130">
        <v>0</v>
      </c>
      <c r="Y758" s="130">
        <v>0</v>
      </c>
      <c r="Z758" s="130">
        <v>0</v>
      </c>
      <c r="AA758" s="158" t="s">
        <v>2078</v>
      </c>
      <c r="AB758" s="158"/>
      <c r="AC758" s="158"/>
      <c r="AD758" s="158"/>
      <c r="AE758" s="158" t="b">
        <f>IF(AB758="",TRUE,IF(IF(AC758="",VLOOKUP(AB758,Calculs!$A$19:$S$425,19,FALSE),VLOOKUP(AC758,Calculs!$A$19:$S$425,19,FALSE))&gt;=AD758,TRUE,FALSE))</f>
        <v>1</v>
      </c>
      <c r="AF758" s="158"/>
      <c r="AG758" s="158"/>
      <c r="AH758" s="158"/>
      <c r="AI758" s="158" t="b">
        <f>IF(AF758="",TRUE,IF(IF(AG758="",VLOOKUP(AF758,Calculs!$A$19:$S$425,19,FALSE),VLOOKUP(AG758,Calculs!$A$19:$S$425,19,FALSE))&gt;=AH758,TRUE,FALSE))</f>
        <v>1</v>
      </c>
      <c r="AJ758" s="158"/>
      <c r="AK758" s="158"/>
      <c r="AL758" s="158"/>
      <c r="AM758" s="158" t="b">
        <f>IF(AJ758="",TRUE,IF(IF(AK758="",VLOOKUP(AJ758,Calculs!$A$19:$S$425,19,FALSE),VLOOKUP(AK758,Calculs!$A$19:$S$425,19,FALSE))&gt;=AL758,TRUE,FALSE))</f>
        <v>1</v>
      </c>
      <c r="AN758" s="158"/>
      <c r="AO758" s="158"/>
      <c r="AP758" s="158"/>
      <c r="AQ758" s="158" t="b">
        <f>IF(AN758="",TRUE,IF(IF(AO758="",VLOOKUP(AN758,Calculs!$A$19:$S$425,19,FALSE),VLOOKUP(AO758,Calculs!$A$19:$S$425,19,FALSE))&gt;=AP758,TRUE,FALSE))</f>
        <v>1</v>
      </c>
      <c r="AR758" s="158"/>
      <c r="AS758" s="158" t="b">
        <f>IF(AR758="",TRUE,IF(VLOOKUP(AR758,Calculs!$A$427:$G$738,7,FALSE)&gt;0,TRUE,FALSE))</f>
        <v>1</v>
      </c>
      <c r="AT758" s="158"/>
      <c r="AU758" s="158" t="b">
        <f>IF(AT758="",TRUE,IF(VLOOKUP(AT758,Calculs!$A$740:$G$912,7,FALSE)&gt;0,TRUE,FALSE))</f>
        <v>1</v>
      </c>
      <c r="AV758" s="158" t="b">
        <f t="shared" si="80"/>
        <v>1</v>
      </c>
      <c r="AW758" s="158" t="s">
        <v>2078</v>
      </c>
      <c r="AX758" s="162" t="s">
        <v>7226</v>
      </c>
      <c r="AY758" s="15">
        <v>61</v>
      </c>
      <c r="AZ758" s="555" t="s">
        <v>8677</v>
      </c>
      <c r="BA758" s="559">
        <f>IF(Verso!$B$10=Voies!$B758,1,0)</f>
        <v>0</v>
      </c>
      <c r="BB758" s="12">
        <f>IF(Verso!$B$11=Voies!$B758,1,0)</f>
        <v>0</v>
      </c>
      <c r="BC758" s="12">
        <f>IF(Verso!$B$12=Voies!$B758,1,0)</f>
        <v>0</v>
      </c>
      <c r="BD758" s="12">
        <f>IF(Verso!$B$13=Voies!$B758,1,0)</f>
        <v>0</v>
      </c>
      <c r="BE758" s="12">
        <f>IF(Verso!$B$14=Voies!$B758,1,0)</f>
        <v>0</v>
      </c>
      <c r="BF758" s="12">
        <f>IF(Verso!$B$15=Voies!$B758,1,0)</f>
        <v>0</v>
      </c>
      <c r="BG758" s="12">
        <f>IF(Verso!$B$16=Voies!$B758,1,0)</f>
        <v>0</v>
      </c>
      <c r="BH758" s="12">
        <f>IF(Verso!$B$17=Voies!$B758,1,0)</f>
        <v>0</v>
      </c>
      <c r="BI758" s="557">
        <f t="shared" si="81"/>
        <v>0</v>
      </c>
      <c r="BJ758" s="196" t="str">
        <f t="shared" si="82"/>
        <v/>
      </c>
      <c r="BK758" s="196" t="str">
        <f t="shared" si="83"/>
        <v/>
      </c>
      <c r="BL758" s="295" t="str">
        <f t="shared" si="84"/>
        <v/>
      </c>
      <c r="BM758" s="91"/>
    </row>
    <row r="759" spans="1:65" ht="47.25" customHeight="1" x14ac:dyDescent="0.25">
      <c r="A759" s="162" t="str">
        <f>IF(AND(Réputation&gt;Voies!E759-1,OR(C759=TRUE,Calculs!$I$8&gt;0),Air&gt;Voies!J759-1,Eau&gt;Voies!K759-1,Feu&gt;Voies!L759-1,Terre&gt;Voies!M759-1,Vide&gt;Voies!N759-1,Constitution&gt;Voies!O759-1,Volonté&gt;Voies!P759-1,Force&gt;Voies!Q759-1,Perception&gt;Voies!R759-1,Reflexes&gt;Voies!S759-1,Agilité&gt;Voies!T759-1,Intuition&gt;Voies!U759-1,Intelligence&gt;Voies!V759-1,Souillure&gt;Voies!W759-1,Honneur&gt;X759-1,Statut&gt;Y759-1,Gloire&gt;Z759-1,AV759=TRUE),Voies!B759,"")</f>
        <v/>
      </c>
      <c r="B759" s="162" t="s">
        <v>3059</v>
      </c>
      <c r="C759" s="162" t="b">
        <v>1</v>
      </c>
      <c r="D759" s="387" t="s">
        <v>3170</v>
      </c>
      <c r="E759" s="199">
        <v>0</v>
      </c>
      <c r="F759" s="199">
        <v>0</v>
      </c>
      <c r="G759" s="199" t="s">
        <v>2049</v>
      </c>
      <c r="H759" s="162" t="s">
        <v>63</v>
      </c>
      <c r="I759" s="129" t="str">
        <f t="shared" si="86"/>
        <v>Rien</v>
      </c>
      <c r="J759" s="146">
        <v>0</v>
      </c>
      <c r="K759" s="147">
        <v>0</v>
      </c>
      <c r="L759" s="148">
        <v>0</v>
      </c>
      <c r="M759" s="149">
        <v>0</v>
      </c>
      <c r="N759" s="150">
        <v>0</v>
      </c>
      <c r="O759" s="130">
        <v>0</v>
      </c>
      <c r="P759" s="130">
        <v>0</v>
      </c>
      <c r="Q759" s="130">
        <v>0</v>
      </c>
      <c r="R759" s="130">
        <v>0</v>
      </c>
      <c r="S759" s="130">
        <v>0</v>
      </c>
      <c r="T759" s="130">
        <v>0</v>
      </c>
      <c r="U759" s="130">
        <v>0</v>
      </c>
      <c r="V759" s="524">
        <v>0</v>
      </c>
      <c r="W759" s="130">
        <v>5</v>
      </c>
      <c r="X759" s="130">
        <v>0</v>
      </c>
      <c r="Y759" s="130">
        <v>0</v>
      </c>
      <c r="Z759" s="130">
        <v>0</v>
      </c>
      <c r="AA759" s="159" t="s">
        <v>3064</v>
      </c>
      <c r="AB759" s="159" t="s">
        <v>1223</v>
      </c>
      <c r="AD759" s="159">
        <v>3</v>
      </c>
      <c r="AE759" s="158" t="b">
        <f>IF(AB759="",TRUE,IF(IF(AC759="",VLOOKUP(AB759,Calculs!$A$19:$S$425,19,FALSE),VLOOKUP(AC759,Calculs!$A$19:$S$425,19,FALSE))&gt;=AD759,TRUE,FALSE))</f>
        <v>0</v>
      </c>
      <c r="AI759" s="158" t="b">
        <f>IF(AF759="",TRUE,IF(IF(AG759="",VLOOKUP(AF759,Calculs!$A$19:$S$425,19,FALSE),VLOOKUP(AG759,Calculs!$A$19:$S$425,19,FALSE))&gt;=AH759,TRUE,FALSE))</f>
        <v>1</v>
      </c>
      <c r="AM759" s="158" t="b">
        <f>IF(AJ759="",TRUE,IF(IF(AK759="",VLOOKUP(AJ759,Calculs!$A$19:$S$425,19,FALSE),VLOOKUP(AK759,Calculs!$A$19:$S$425,19,FALSE))&gt;=AL759,TRUE,FALSE))</f>
        <v>1</v>
      </c>
      <c r="AQ759" s="158" t="b">
        <f>IF(AN759="",TRUE,IF(IF(AO759="",VLOOKUP(AN759,Calculs!$A$19:$S$425,19,FALSE),VLOOKUP(AO759,Calculs!$A$19:$S$425,19,FALSE))&gt;=AP759,TRUE,FALSE))</f>
        <v>1</v>
      </c>
      <c r="AR759" s="158"/>
      <c r="AS759" s="158" t="b">
        <f>IF(AR759="",TRUE,IF(VLOOKUP(AR759,Calculs!$A$427:$G$738,7,FALSE)&gt;0,TRUE,FALSE))</f>
        <v>1</v>
      </c>
      <c r="AT759" s="158"/>
      <c r="AU759" s="158" t="b">
        <f>IF(AT759="",TRUE,IF(VLOOKUP(AT759,Calculs!$A$740:$G$912,7,FALSE)&gt;0,TRUE,FALSE))</f>
        <v>1</v>
      </c>
      <c r="AV759" s="158" t="b">
        <f t="shared" si="80"/>
        <v>0</v>
      </c>
      <c r="AW759" s="159" t="s">
        <v>8087</v>
      </c>
      <c r="AX759" s="162" t="s">
        <v>2075</v>
      </c>
      <c r="AY759" s="15">
        <v>64</v>
      </c>
      <c r="AZ759" s="555" t="str">
        <f>CONCATENATE("Vous pouvez désormais prendre jusqu'à ",IF(Souillure&gt;Vide,Souillure,Vide)," Augmentations. Ajoutez ",Souillure,"g0 à vos jets d'attaque. Vous pouvez effectuer la manoeuvre d'Attaque Supplémentaire pour 2A au lieu de 5A")</f>
        <v>Vous pouvez désormais prendre jusqu'à 2 Augmentations. Ajoutez 0g0 à vos jets d'attaque. Vous pouvez effectuer la manoeuvre d'Attaque Supplémentaire pour 2A au lieu de 5A</v>
      </c>
      <c r="BA759" s="559">
        <f>IF(Verso!$B$10=Voies!$B759,1,0)</f>
        <v>0</v>
      </c>
      <c r="BB759" s="12">
        <f>IF(Verso!$B$11=Voies!$B759,1,0)</f>
        <v>0</v>
      </c>
      <c r="BC759" s="12">
        <f>IF(Verso!$B$12=Voies!$B759,1,0)</f>
        <v>0</v>
      </c>
      <c r="BD759" s="12">
        <f>IF(Verso!$B$13=Voies!$B759,1,0)</f>
        <v>0</v>
      </c>
      <c r="BE759" s="12">
        <f>IF(Verso!$B$14=Voies!$B759,1,0)</f>
        <v>0</v>
      </c>
      <c r="BF759" s="12">
        <f>IF(Verso!$B$15=Voies!$B759,1,0)</f>
        <v>0</v>
      </c>
      <c r="BG759" s="12">
        <f>IF(Verso!$B$16=Voies!$B759,1,0)</f>
        <v>0</v>
      </c>
      <c r="BH759" s="12">
        <f>IF(Verso!$B$17=Voies!$B759,1,0)</f>
        <v>0</v>
      </c>
      <c r="BI759" s="557">
        <f t="shared" si="81"/>
        <v>0</v>
      </c>
      <c r="BJ759" s="196" t="str">
        <f t="shared" si="82"/>
        <v/>
      </c>
      <c r="BK759" s="196" t="str">
        <f t="shared" si="83"/>
        <v/>
      </c>
      <c r="BL759" s="295" t="str">
        <f t="shared" si="84"/>
        <v/>
      </c>
    </row>
    <row r="760" spans="1:65" ht="47.25" customHeight="1" x14ac:dyDescent="0.25">
      <c r="A760" s="162" t="str">
        <f>IF(AND(Réputation&gt;Voies!E760-1,OR(C760=TRUE,Calculs!$I$8&gt;0),Air&gt;Voies!J760-1,Eau&gt;Voies!K760-1,Feu&gt;Voies!L760-1,Terre&gt;Voies!M760-1,Vide&gt;Voies!N760-1,Constitution&gt;Voies!O760-1,Volonté&gt;Voies!P760-1,Force&gt;Voies!Q760-1,Perception&gt;Voies!R760-1,Reflexes&gt;Voies!S760-1,Agilité&gt;Voies!T760-1,Intuition&gt;Voies!U760-1,Intelligence&gt;Voies!V760-1,Souillure&gt;Voies!W760-1,Honneur&gt;X760-1,Statut&gt;Y760-1,Gloire&gt;Z760-1,AV760=TRUE),Voies!B760,"")</f>
        <v/>
      </c>
      <c r="B760" s="162" t="s">
        <v>3060</v>
      </c>
      <c r="C760" s="162" t="b">
        <v>1</v>
      </c>
      <c r="D760" s="387" t="s">
        <v>3170</v>
      </c>
      <c r="E760" s="199">
        <v>0</v>
      </c>
      <c r="F760" s="199">
        <v>0</v>
      </c>
      <c r="G760" s="199" t="s">
        <v>2049</v>
      </c>
      <c r="H760" s="162" t="s">
        <v>63</v>
      </c>
      <c r="I760" s="129" t="str">
        <f t="shared" si="86"/>
        <v>Rien</v>
      </c>
      <c r="J760" s="146">
        <v>0</v>
      </c>
      <c r="K760" s="147">
        <v>0</v>
      </c>
      <c r="L760" s="148">
        <v>0</v>
      </c>
      <c r="M760" s="149">
        <v>0</v>
      </c>
      <c r="N760" s="150">
        <v>0</v>
      </c>
      <c r="O760" s="130">
        <v>0</v>
      </c>
      <c r="P760" s="130">
        <v>0</v>
      </c>
      <c r="Q760" s="130">
        <v>0</v>
      </c>
      <c r="R760" s="130">
        <v>0</v>
      </c>
      <c r="S760" s="130">
        <v>0</v>
      </c>
      <c r="T760" s="130">
        <v>0</v>
      </c>
      <c r="U760" s="130">
        <v>0</v>
      </c>
      <c r="V760" s="524">
        <v>0</v>
      </c>
      <c r="W760" s="130">
        <v>5</v>
      </c>
      <c r="X760" s="130">
        <v>0</v>
      </c>
      <c r="Y760" s="130">
        <v>0</v>
      </c>
      <c r="Z760" s="130">
        <v>0</v>
      </c>
      <c r="AA760" s="159" t="s">
        <v>3064</v>
      </c>
      <c r="AB760" s="159" t="s">
        <v>1223</v>
      </c>
      <c r="AD760" s="159">
        <v>3</v>
      </c>
      <c r="AE760" s="158" t="b">
        <f>IF(AB760="",TRUE,IF(IF(AC760="",VLOOKUP(AB760,Calculs!$A$19:$S$425,19,FALSE),VLOOKUP(AC760,Calculs!$A$19:$S$425,19,FALSE))&gt;=AD760,TRUE,FALSE))</f>
        <v>0</v>
      </c>
      <c r="AI760" s="158" t="b">
        <f>IF(AF760="",TRUE,IF(IF(AG760="",VLOOKUP(AF760,Calculs!$A$19:$S$425,19,FALSE),VLOOKUP(AG760,Calculs!$A$19:$S$425,19,FALSE))&gt;=AH760,TRUE,FALSE))</f>
        <v>1</v>
      </c>
      <c r="AM760" s="158" t="b">
        <f>IF(AJ760="",TRUE,IF(IF(AK760="",VLOOKUP(AJ760,Calculs!$A$19:$S$425,19,FALSE),VLOOKUP(AK760,Calculs!$A$19:$S$425,19,FALSE))&gt;=AL760,TRUE,FALSE))</f>
        <v>1</v>
      </c>
      <c r="AQ760" s="158" t="b">
        <f>IF(AN760="",TRUE,IF(IF(AO760="",VLOOKUP(AN760,Calculs!$A$19:$S$425,19,FALSE),VLOOKUP(AO760,Calculs!$A$19:$S$425,19,FALSE))&gt;=AP760,TRUE,FALSE))</f>
        <v>1</v>
      </c>
      <c r="AR760" s="158"/>
      <c r="AS760" s="158" t="b">
        <f>IF(AR760="",TRUE,IF(VLOOKUP(AR760,Calculs!$A$427:$G$738,7,FALSE)&gt;0,TRUE,FALSE))</f>
        <v>1</v>
      </c>
      <c r="AT760" s="158"/>
      <c r="AU760" s="158" t="b">
        <f>IF(AT760="",TRUE,IF(VLOOKUP(AT760,Calculs!$A$740:$G$912,7,FALSE)&gt;0,TRUE,FALSE))</f>
        <v>1</v>
      </c>
      <c r="AV760" s="158" t="b">
        <f t="shared" si="80"/>
        <v>0</v>
      </c>
      <c r="AW760" s="159" t="s">
        <v>8087</v>
      </c>
      <c r="AX760" s="162" t="s">
        <v>2075</v>
      </c>
      <c r="AY760" s="15">
        <v>64</v>
      </c>
      <c r="AZ760" s="555" t="str">
        <f>CONCATENATE("A chaque étape de Réaction, ajoutez + ",Souillure," à votre Initiative. Vous pouvez effectuer une attaque au Corps à Corps au prix d'une AS au lieu d'une AC")</f>
        <v>A chaque étape de Réaction, ajoutez + 0 à votre Initiative. Vous pouvez effectuer une attaque au Corps à Corps au prix d'une AS au lieu d'une AC</v>
      </c>
      <c r="BA760" s="559">
        <f>IF(Verso!$B$10=Voies!$B760,1,0)</f>
        <v>0</v>
      </c>
      <c r="BB760" s="12">
        <f>IF(Verso!$B$11=Voies!$B760,1,0)</f>
        <v>0</v>
      </c>
      <c r="BC760" s="12">
        <f>IF(Verso!$B$12=Voies!$B760,1,0)</f>
        <v>0</v>
      </c>
      <c r="BD760" s="12">
        <f>IF(Verso!$B$13=Voies!$B760,1,0)</f>
        <v>0</v>
      </c>
      <c r="BE760" s="12">
        <f>IF(Verso!$B$14=Voies!$B760,1,0)</f>
        <v>0</v>
      </c>
      <c r="BF760" s="12">
        <f>IF(Verso!$B$15=Voies!$B760,1,0)</f>
        <v>0</v>
      </c>
      <c r="BG760" s="12">
        <f>IF(Verso!$B$16=Voies!$B760,1,0)</f>
        <v>0</v>
      </c>
      <c r="BH760" s="12">
        <f>IF(Verso!$B$17=Voies!$B760,1,0)</f>
        <v>0</v>
      </c>
      <c r="BI760" s="557">
        <f t="shared" si="81"/>
        <v>0</v>
      </c>
      <c r="BJ760" s="196" t="str">
        <f t="shared" si="82"/>
        <v/>
      </c>
      <c r="BK760" s="196" t="str">
        <f t="shared" si="83"/>
        <v/>
      </c>
      <c r="BL760" s="295" t="str">
        <f t="shared" si="84"/>
        <v/>
      </c>
    </row>
    <row r="761" spans="1:65" ht="47.25" customHeight="1" x14ac:dyDescent="0.25">
      <c r="A761" s="162" t="str">
        <f>IF(AND(Réputation&gt;Voies!E761-1,OR(C761=TRUE,Calculs!$I$8&gt;0),Air&gt;Voies!J761-1,Eau&gt;Voies!K761-1,Feu&gt;Voies!L761-1,Terre&gt;Voies!M761-1,Vide&gt;Voies!N761-1,Constitution&gt;Voies!O761-1,Volonté&gt;Voies!P761-1,Force&gt;Voies!Q761-1,Perception&gt;Voies!R761-1,Reflexes&gt;Voies!S761-1,Agilité&gt;Voies!T761-1,Intuition&gt;Voies!U761-1,Intelligence&gt;Voies!V761-1,Souillure&gt;Voies!W761-1,Honneur&gt;X761-1,Statut&gt;Y761-1,Gloire&gt;Z761-1,AV761=TRUE),Voies!B761,"")</f>
        <v/>
      </c>
      <c r="B761" s="162" t="s">
        <v>3061</v>
      </c>
      <c r="C761" s="162" t="b">
        <v>1</v>
      </c>
      <c r="D761" s="387" t="s">
        <v>3170</v>
      </c>
      <c r="E761" s="13">
        <v>0</v>
      </c>
      <c r="F761" s="199">
        <v>0</v>
      </c>
      <c r="G761" s="199" t="s">
        <v>2049</v>
      </c>
      <c r="H761" s="162" t="s">
        <v>63</v>
      </c>
      <c r="I761" s="129" t="str">
        <f t="shared" si="86"/>
        <v>Rien</v>
      </c>
      <c r="J761" s="146">
        <v>0</v>
      </c>
      <c r="K761" s="147">
        <v>0</v>
      </c>
      <c r="L761" s="148">
        <v>0</v>
      </c>
      <c r="M761" s="149">
        <v>0</v>
      </c>
      <c r="N761" s="150">
        <v>0</v>
      </c>
      <c r="O761" s="130">
        <v>0</v>
      </c>
      <c r="P761" s="130">
        <v>0</v>
      </c>
      <c r="Q761" s="130">
        <v>0</v>
      </c>
      <c r="R761" s="130">
        <v>0</v>
      </c>
      <c r="S761" s="130">
        <v>0</v>
      </c>
      <c r="T761" s="130">
        <v>0</v>
      </c>
      <c r="U761" s="130">
        <v>0</v>
      </c>
      <c r="V761" s="524">
        <v>0</v>
      </c>
      <c r="W761" s="130">
        <v>5</v>
      </c>
      <c r="X761" s="130">
        <v>0</v>
      </c>
      <c r="Y761" s="130">
        <v>0</v>
      </c>
      <c r="Z761" s="130">
        <v>0</v>
      </c>
      <c r="AA761" s="159" t="s">
        <v>3064</v>
      </c>
      <c r="AB761" s="159" t="s">
        <v>1223</v>
      </c>
      <c r="AD761" s="159">
        <v>3</v>
      </c>
      <c r="AE761" s="158" t="b">
        <f>IF(AB761="",TRUE,IF(IF(AC761="",VLOOKUP(AB761,Calculs!$A$19:$S$425,19,FALSE),VLOOKUP(AC761,Calculs!$A$19:$S$425,19,FALSE))&gt;=AD761,TRUE,FALSE))</f>
        <v>0</v>
      </c>
      <c r="AI761" s="158" t="b">
        <f>IF(AF761="",TRUE,IF(IF(AG761="",VLOOKUP(AF761,Calculs!$A$19:$S$425,19,FALSE),VLOOKUP(AG761,Calculs!$A$19:$S$425,19,FALSE))&gt;=AH761,TRUE,FALSE))</f>
        <v>1</v>
      </c>
      <c r="AM761" s="158" t="b">
        <f>IF(AJ761="",TRUE,IF(IF(AK761="",VLOOKUP(AJ761,Calculs!$A$19:$S$425,19,FALSE),VLOOKUP(AK761,Calculs!$A$19:$S$425,19,FALSE))&gt;=AL761,TRUE,FALSE))</f>
        <v>1</v>
      </c>
      <c r="AQ761" s="158" t="b">
        <f>IF(AN761="",TRUE,IF(IF(AO761="",VLOOKUP(AN761,Calculs!$A$19:$S$425,19,FALSE),VLOOKUP(AO761,Calculs!$A$19:$S$425,19,FALSE))&gt;=AP761,TRUE,FALSE))</f>
        <v>1</v>
      </c>
      <c r="AR761" s="158"/>
      <c r="AS761" s="158" t="b">
        <f>IF(AR761="",TRUE,IF(VLOOKUP(AR761,Calculs!$A$427:$G$738,7,FALSE)&gt;0,TRUE,FALSE))</f>
        <v>1</v>
      </c>
      <c r="AT761" s="158"/>
      <c r="AU761" s="158" t="b">
        <f>IF(AT761="",TRUE,IF(VLOOKUP(AT761,Calculs!$A$740:$G$912,7,FALSE)&gt;0,TRUE,FALSE))</f>
        <v>1</v>
      </c>
      <c r="AV761" s="158" t="b">
        <f t="shared" si="80"/>
        <v>0</v>
      </c>
      <c r="AW761" s="159" t="s">
        <v>8087</v>
      </c>
      <c r="AX761" s="162" t="s">
        <v>2075</v>
      </c>
      <c r="AY761" s="15">
        <v>64</v>
      </c>
      <c r="AZ761" s="555" t="s">
        <v>3066</v>
      </c>
      <c r="BA761" s="559">
        <f>IF(Verso!$B$10=Voies!$B761,1,0)</f>
        <v>0</v>
      </c>
      <c r="BB761" s="12">
        <f>IF(Verso!$B$11=Voies!$B761,1,0)</f>
        <v>0</v>
      </c>
      <c r="BC761" s="12">
        <f>IF(Verso!$B$12=Voies!$B761,1,0)</f>
        <v>0</v>
      </c>
      <c r="BD761" s="12">
        <f>IF(Verso!$B$13=Voies!$B761,1,0)</f>
        <v>0</v>
      </c>
      <c r="BE761" s="12">
        <f>IF(Verso!$B$14=Voies!$B761,1,0)</f>
        <v>0</v>
      </c>
      <c r="BF761" s="12">
        <f>IF(Verso!$B$15=Voies!$B761,1,0)</f>
        <v>0</v>
      </c>
      <c r="BG761" s="12">
        <f>IF(Verso!$B$16=Voies!$B761,1,0)</f>
        <v>0</v>
      </c>
      <c r="BH761" s="12">
        <f>IF(Verso!$B$17=Voies!$B761,1,0)</f>
        <v>0</v>
      </c>
      <c r="BI761" s="557">
        <f t="shared" si="81"/>
        <v>0</v>
      </c>
      <c r="BJ761" s="196" t="str">
        <f t="shared" si="82"/>
        <v/>
      </c>
      <c r="BK761" s="196" t="str">
        <f t="shared" si="83"/>
        <v/>
      </c>
      <c r="BL761" s="295" t="str">
        <f t="shared" si="84"/>
        <v/>
      </c>
    </row>
    <row r="762" spans="1:65" ht="47.25" customHeight="1" x14ac:dyDescent="0.25">
      <c r="A762" s="162" t="str">
        <f>IF(AND(Réputation&gt;Voies!E762-1,OR(C762=TRUE,Calculs!$I$8&gt;0),Air&gt;Voies!J762-1,Eau&gt;Voies!K762-1,Feu&gt;Voies!L762-1,Terre&gt;Voies!M762-1,Vide&gt;Voies!N762-1,Constitution&gt;Voies!O762-1,Volonté&gt;Voies!P762-1,Force&gt;Voies!Q762-1,Perception&gt;Voies!R762-1,Reflexes&gt;Voies!S762-1,Agilité&gt;Voies!T762-1,Intuition&gt;Voies!U762-1,Intelligence&gt;Voies!V762-1,Souillure&gt;Voies!W762-1,Honneur&gt;X762-1,Statut&gt;Y762-1,Gloire&gt;Z762-1,AV762=TRUE),Voies!B762,"")</f>
        <v/>
      </c>
      <c r="B762" s="162" t="s">
        <v>3054</v>
      </c>
      <c r="C762" s="162" t="b">
        <v>1</v>
      </c>
      <c r="D762" s="387" t="s">
        <v>3170</v>
      </c>
      <c r="E762" s="13">
        <v>1</v>
      </c>
      <c r="F762" s="199">
        <v>1</v>
      </c>
      <c r="G762" s="199" t="s">
        <v>2049</v>
      </c>
      <c r="H762" s="162" t="s">
        <v>248</v>
      </c>
      <c r="I762" s="129" t="str">
        <f t="shared" si="86"/>
        <v>Rien</v>
      </c>
      <c r="J762" s="146">
        <v>0</v>
      </c>
      <c r="K762" s="147">
        <v>0</v>
      </c>
      <c r="L762" s="148">
        <v>0</v>
      </c>
      <c r="M762" s="149">
        <v>0</v>
      </c>
      <c r="N762" s="150">
        <v>0</v>
      </c>
      <c r="O762" s="130">
        <v>0</v>
      </c>
      <c r="P762" s="130">
        <v>0</v>
      </c>
      <c r="Q762" s="130">
        <v>0</v>
      </c>
      <c r="R762" s="130">
        <v>0</v>
      </c>
      <c r="S762" s="130">
        <v>0</v>
      </c>
      <c r="T762" s="130">
        <v>0</v>
      </c>
      <c r="U762" s="130">
        <v>0</v>
      </c>
      <c r="V762" s="524">
        <v>0</v>
      </c>
      <c r="W762" s="130">
        <v>1</v>
      </c>
      <c r="X762" s="130">
        <v>0</v>
      </c>
      <c r="Y762" s="130">
        <v>0</v>
      </c>
      <c r="Z762" s="130">
        <v>0</v>
      </c>
      <c r="AA762" s="158" t="s">
        <v>2078</v>
      </c>
      <c r="AB762" s="158"/>
      <c r="AC762" s="158"/>
      <c r="AD762" s="158"/>
      <c r="AE762" s="158" t="b">
        <f>IF(AB762="",TRUE,IF(IF(AC762="",VLOOKUP(AB762,Calculs!$A$19:$S$425,19,FALSE),VLOOKUP(AC762,Calculs!$A$19:$S$425,19,FALSE))&gt;=AD762,TRUE,FALSE))</f>
        <v>1</v>
      </c>
      <c r="AF762" s="158"/>
      <c r="AG762" s="158"/>
      <c r="AH762" s="158"/>
      <c r="AI762" s="158" t="b">
        <f>IF(AF762="",TRUE,IF(IF(AG762="",VLOOKUP(AF762,Calculs!$A$19:$S$425,19,FALSE),VLOOKUP(AG762,Calculs!$A$19:$S$425,19,FALSE))&gt;=AH762,TRUE,FALSE))</f>
        <v>1</v>
      </c>
      <c r="AJ762" s="158"/>
      <c r="AK762" s="158"/>
      <c r="AL762" s="158"/>
      <c r="AM762" s="158" t="b">
        <f>IF(AJ762="",TRUE,IF(IF(AK762="",VLOOKUP(AJ762,Calculs!$A$19:$S$425,19,FALSE),VLOOKUP(AK762,Calculs!$A$19:$S$425,19,FALSE))&gt;=AL762,TRUE,FALSE))</f>
        <v>1</v>
      </c>
      <c r="AN762" s="158"/>
      <c r="AO762" s="158"/>
      <c r="AP762" s="158"/>
      <c r="AQ762" s="158" t="b">
        <f>IF(AN762="",TRUE,IF(IF(AO762="",VLOOKUP(AN762,Calculs!$A$19:$S$425,19,FALSE),VLOOKUP(AO762,Calculs!$A$19:$S$425,19,FALSE))&gt;=AP762,TRUE,FALSE))</f>
        <v>1</v>
      </c>
      <c r="AR762" s="158"/>
      <c r="AS762" s="158" t="b">
        <f>IF(AR762="",TRUE,IF(VLOOKUP(AR762,Calculs!$A$427:$G$738,7,FALSE)&gt;0,TRUE,FALSE))</f>
        <v>1</v>
      </c>
      <c r="AT762" s="158"/>
      <c r="AU762" s="158" t="b">
        <f>IF(AT762="",TRUE,IF(VLOOKUP(AT762,Calculs!$A$740:$G$912,7,FALSE)&gt;0,TRUE,FALSE))</f>
        <v>1</v>
      </c>
      <c r="AV762" s="158" t="b">
        <f t="shared" si="80"/>
        <v>1</v>
      </c>
      <c r="AW762" s="158"/>
      <c r="AX762" s="162" t="s">
        <v>2075</v>
      </c>
      <c r="AY762" s="15">
        <v>63</v>
      </c>
      <c r="AZ762" s="555" t="str">
        <f>CONCATENATE("Vous pouvez désormais prendre jusqu'à ",IF(Souillure&gt;Vide,Souillure,Vide)," Augmentations. Ajoutez ",Souillure,"g0 à vos jets d'attaque.")</f>
        <v>Vous pouvez désormais prendre jusqu'à 2 Augmentations. Ajoutez 0g0 à vos jets d'attaque.</v>
      </c>
      <c r="BA762" s="559">
        <f>IF(Verso!$B$10=Voies!$B762,1,0)</f>
        <v>0</v>
      </c>
      <c r="BB762" s="12">
        <f>IF(Verso!$B$11=Voies!$B762,1,0)</f>
        <v>0</v>
      </c>
      <c r="BC762" s="12">
        <f>IF(Verso!$B$12=Voies!$B762,1,0)</f>
        <v>0</v>
      </c>
      <c r="BD762" s="12">
        <f>IF(Verso!$B$13=Voies!$B762,1,0)</f>
        <v>0</v>
      </c>
      <c r="BE762" s="12">
        <f>IF(Verso!$B$14=Voies!$B762,1,0)</f>
        <v>0</v>
      </c>
      <c r="BF762" s="12">
        <f>IF(Verso!$B$15=Voies!$B762,1,0)</f>
        <v>0</v>
      </c>
      <c r="BG762" s="12">
        <f>IF(Verso!$B$16=Voies!$B762,1,0)</f>
        <v>0</v>
      </c>
      <c r="BH762" s="12">
        <f>IF(Verso!$B$17=Voies!$B762,1,0)</f>
        <v>0</v>
      </c>
      <c r="BI762" s="557">
        <f t="shared" si="81"/>
        <v>0</v>
      </c>
      <c r="BJ762" s="196" t="str">
        <f t="shared" si="82"/>
        <v/>
      </c>
      <c r="BK762" s="196" t="str">
        <f t="shared" si="83"/>
        <v/>
      </c>
      <c r="BL762" s="295" t="str">
        <f t="shared" si="84"/>
        <v/>
      </c>
    </row>
    <row r="763" spans="1:65" ht="47.25" customHeight="1" x14ac:dyDescent="0.25">
      <c r="A763" s="162" t="str">
        <f>IF(AND(Réputation&gt;Voies!E763-1,OR(C763=TRUE,Calculs!$I$8&gt;0),Air&gt;Voies!J763-1,Eau&gt;Voies!K763-1,Feu&gt;Voies!L763-1,Terre&gt;Voies!M763-1,Vide&gt;Voies!N763-1,Constitution&gt;Voies!O763-1,Volonté&gt;Voies!P763-1,Force&gt;Voies!Q763-1,Perception&gt;Voies!R763-1,Reflexes&gt;Voies!S763-1,Agilité&gt;Voies!T763-1,Intuition&gt;Voies!U763-1,Intelligence&gt;Voies!V763-1,Souillure&gt;Voies!W763-1,Honneur&gt;X763-1,Statut&gt;Y763-1,Gloire&gt;Z763-1,AV763=TRUE),Voies!B763,"")</f>
        <v/>
      </c>
      <c r="B763" s="162" t="s">
        <v>3055</v>
      </c>
      <c r="C763" s="162" t="b">
        <v>1</v>
      </c>
      <c r="D763" s="387" t="s">
        <v>3170</v>
      </c>
      <c r="E763" s="199">
        <v>2</v>
      </c>
      <c r="F763" s="199">
        <v>2</v>
      </c>
      <c r="G763" s="199" t="s">
        <v>2049</v>
      </c>
      <c r="H763" s="162" t="s">
        <v>248</v>
      </c>
      <c r="I763" s="129" t="str">
        <f t="shared" si="86"/>
        <v>Rien</v>
      </c>
      <c r="J763" s="146">
        <v>0</v>
      </c>
      <c r="K763" s="147">
        <v>0</v>
      </c>
      <c r="L763" s="148">
        <v>0</v>
      </c>
      <c r="M763" s="149">
        <v>0</v>
      </c>
      <c r="N763" s="150">
        <v>0</v>
      </c>
      <c r="O763" s="130">
        <v>0</v>
      </c>
      <c r="P763" s="130">
        <v>0</v>
      </c>
      <c r="Q763" s="130">
        <v>0</v>
      </c>
      <c r="R763" s="130">
        <v>0</v>
      </c>
      <c r="S763" s="130">
        <v>0</v>
      </c>
      <c r="T763" s="130">
        <v>0</v>
      </c>
      <c r="U763" s="130">
        <v>0</v>
      </c>
      <c r="V763" s="524">
        <v>0</v>
      </c>
      <c r="W763" s="130">
        <v>1</v>
      </c>
      <c r="X763" s="130">
        <v>0</v>
      </c>
      <c r="Y763" s="130">
        <v>0</v>
      </c>
      <c r="Z763" s="130">
        <v>0</v>
      </c>
      <c r="AA763" s="158" t="s">
        <v>2078</v>
      </c>
      <c r="AB763" s="158"/>
      <c r="AC763" s="158"/>
      <c r="AD763" s="158"/>
      <c r="AE763" s="158" t="b">
        <f>IF(AB763="",TRUE,IF(IF(AC763="",VLOOKUP(AB763,Calculs!$A$19:$S$425,19,FALSE),VLOOKUP(AC763,Calculs!$A$19:$S$425,19,FALSE))&gt;=AD763,TRUE,FALSE))</f>
        <v>1</v>
      </c>
      <c r="AF763" s="158"/>
      <c r="AG763" s="158"/>
      <c r="AH763" s="158"/>
      <c r="AI763" s="158" t="b">
        <f>IF(AF763="",TRUE,IF(IF(AG763="",VLOOKUP(AF763,Calculs!$A$19:$S$425,19,FALSE),VLOOKUP(AG763,Calculs!$A$19:$S$425,19,FALSE))&gt;=AH763,TRUE,FALSE))</f>
        <v>1</v>
      </c>
      <c r="AJ763" s="158"/>
      <c r="AK763" s="158"/>
      <c r="AL763" s="158"/>
      <c r="AM763" s="158" t="b">
        <f>IF(AJ763="",TRUE,IF(IF(AK763="",VLOOKUP(AJ763,Calculs!$A$19:$S$425,19,FALSE),VLOOKUP(AK763,Calculs!$A$19:$S$425,19,FALSE))&gt;=AL763,TRUE,FALSE))</f>
        <v>1</v>
      </c>
      <c r="AN763" s="158"/>
      <c r="AO763" s="158"/>
      <c r="AP763" s="158"/>
      <c r="AQ763" s="158" t="b">
        <f>IF(AN763="",TRUE,IF(IF(AO763="",VLOOKUP(AN763,Calculs!$A$19:$S$425,19,FALSE),VLOOKUP(AO763,Calculs!$A$19:$S$425,19,FALSE))&gt;=AP763,TRUE,FALSE))</f>
        <v>1</v>
      </c>
      <c r="AR763" s="158"/>
      <c r="AS763" s="158" t="b">
        <f>IF(AR763="",TRUE,IF(VLOOKUP(AR763,Calculs!$A$427:$G$738,7,FALSE)&gt;0,TRUE,FALSE))</f>
        <v>1</v>
      </c>
      <c r="AT763" s="158"/>
      <c r="AU763" s="158" t="b">
        <f>IF(AT763="",TRUE,IF(VLOOKUP(AT763,Calculs!$A$740:$G$912,7,FALSE)&gt;0,TRUE,FALSE))</f>
        <v>1</v>
      </c>
      <c r="AV763" s="158" t="b">
        <f t="shared" si="80"/>
        <v>1</v>
      </c>
      <c r="AW763" s="158"/>
      <c r="AX763" s="162" t="s">
        <v>2075</v>
      </c>
      <c r="AY763" s="15">
        <v>63</v>
      </c>
      <c r="AZ763" s="555" t="s">
        <v>3065</v>
      </c>
      <c r="BA763" s="559">
        <f>IF(Verso!$B$10=Voies!$B763,1,0)</f>
        <v>0</v>
      </c>
      <c r="BB763" s="12">
        <f>IF(Verso!$B$11=Voies!$B763,1,0)</f>
        <v>0</v>
      </c>
      <c r="BC763" s="12">
        <f>IF(Verso!$B$12=Voies!$B763,1,0)</f>
        <v>0</v>
      </c>
      <c r="BD763" s="12">
        <f>IF(Verso!$B$13=Voies!$B763,1,0)</f>
        <v>0</v>
      </c>
      <c r="BE763" s="12">
        <f>IF(Verso!$B$14=Voies!$B763,1,0)</f>
        <v>0</v>
      </c>
      <c r="BF763" s="12">
        <f>IF(Verso!$B$15=Voies!$B763,1,0)</f>
        <v>0</v>
      </c>
      <c r="BG763" s="12">
        <f>IF(Verso!$B$16=Voies!$B763,1,0)</f>
        <v>0</v>
      </c>
      <c r="BH763" s="12">
        <f>IF(Verso!$B$17=Voies!$B763,1,0)</f>
        <v>0</v>
      </c>
      <c r="BI763" s="557">
        <f t="shared" si="81"/>
        <v>0</v>
      </c>
      <c r="BJ763" s="196" t="str">
        <f t="shared" si="82"/>
        <v/>
      </c>
      <c r="BK763" s="196" t="str">
        <f t="shared" si="83"/>
        <v/>
      </c>
      <c r="BL763" s="295" t="str">
        <f t="shared" si="84"/>
        <v/>
      </c>
    </row>
    <row r="764" spans="1:65" ht="47.25" customHeight="1" x14ac:dyDescent="0.25">
      <c r="A764" s="162" t="str">
        <f>IF(AND(Réputation&gt;Voies!E764-1,OR(C764=TRUE,Calculs!$I$8&gt;0),Air&gt;Voies!J764-1,Eau&gt;Voies!K764-1,Feu&gt;Voies!L764-1,Terre&gt;Voies!M764-1,Vide&gt;Voies!N764-1,Constitution&gt;Voies!O764-1,Volonté&gt;Voies!P764-1,Force&gt;Voies!Q764-1,Perception&gt;Voies!R764-1,Reflexes&gt;Voies!S764-1,Agilité&gt;Voies!T764-1,Intuition&gt;Voies!U764-1,Intelligence&gt;Voies!V764-1,Souillure&gt;Voies!W764-1,Honneur&gt;X764-1,Statut&gt;Y764-1,Gloire&gt;Z764-1,AV764=TRUE),Voies!B764,"")</f>
        <v/>
      </c>
      <c r="B764" s="162" t="s">
        <v>3056</v>
      </c>
      <c r="C764" s="162" t="b">
        <v>1</v>
      </c>
      <c r="D764" s="387" t="s">
        <v>3170</v>
      </c>
      <c r="E764" s="13">
        <v>3</v>
      </c>
      <c r="F764" s="199">
        <v>3</v>
      </c>
      <c r="G764" s="199" t="s">
        <v>2049</v>
      </c>
      <c r="H764" s="162" t="s">
        <v>248</v>
      </c>
      <c r="I764" s="129" t="str">
        <f t="shared" si="86"/>
        <v>Rien</v>
      </c>
      <c r="J764" s="146">
        <v>0</v>
      </c>
      <c r="K764" s="147">
        <v>0</v>
      </c>
      <c r="L764" s="148">
        <v>0</v>
      </c>
      <c r="M764" s="149">
        <v>0</v>
      </c>
      <c r="N764" s="150">
        <v>0</v>
      </c>
      <c r="O764" s="130">
        <v>0</v>
      </c>
      <c r="P764" s="130">
        <v>0</v>
      </c>
      <c r="Q764" s="130">
        <v>0</v>
      </c>
      <c r="R764" s="130">
        <v>0</v>
      </c>
      <c r="S764" s="130">
        <v>0</v>
      </c>
      <c r="T764" s="130">
        <v>0</v>
      </c>
      <c r="U764" s="130">
        <v>0</v>
      </c>
      <c r="V764" s="524">
        <v>0</v>
      </c>
      <c r="W764" s="130">
        <v>1</v>
      </c>
      <c r="X764" s="130">
        <v>0</v>
      </c>
      <c r="Y764" s="130">
        <v>0</v>
      </c>
      <c r="Z764" s="130">
        <v>0</v>
      </c>
      <c r="AA764" s="158" t="s">
        <v>2078</v>
      </c>
      <c r="AB764" s="158"/>
      <c r="AC764" s="158"/>
      <c r="AD764" s="158"/>
      <c r="AE764" s="158" t="b">
        <f>IF(AB764="",TRUE,IF(IF(AC764="",VLOOKUP(AB764,Calculs!$A$19:$S$425,19,FALSE),VLOOKUP(AC764,Calculs!$A$19:$S$425,19,FALSE))&gt;=AD764,TRUE,FALSE))</f>
        <v>1</v>
      </c>
      <c r="AF764" s="158"/>
      <c r="AG764" s="158"/>
      <c r="AH764" s="158"/>
      <c r="AI764" s="158" t="b">
        <f>IF(AF764="",TRUE,IF(IF(AG764="",VLOOKUP(AF764,Calculs!$A$19:$S$425,19,FALSE),VLOOKUP(AG764,Calculs!$A$19:$S$425,19,FALSE))&gt;=AH764,TRUE,FALSE))</f>
        <v>1</v>
      </c>
      <c r="AJ764" s="158"/>
      <c r="AK764" s="158"/>
      <c r="AL764" s="158"/>
      <c r="AM764" s="158" t="b">
        <f>IF(AJ764="",TRUE,IF(IF(AK764="",VLOOKUP(AJ764,Calculs!$A$19:$S$425,19,FALSE),VLOOKUP(AK764,Calculs!$A$19:$S$425,19,FALSE))&gt;=AL764,TRUE,FALSE))</f>
        <v>1</v>
      </c>
      <c r="AN764" s="158"/>
      <c r="AO764" s="158"/>
      <c r="AP764" s="158"/>
      <c r="AQ764" s="158" t="b">
        <f>IF(AN764="",TRUE,IF(IF(AO764="",VLOOKUP(AN764,Calculs!$A$19:$S$425,19,FALSE),VLOOKUP(AO764,Calculs!$A$19:$S$425,19,FALSE))&gt;=AP764,TRUE,FALSE))</f>
        <v>1</v>
      </c>
      <c r="AR764" s="158"/>
      <c r="AS764" s="158" t="b">
        <f>IF(AR764="",TRUE,IF(VLOOKUP(AR764,Calculs!$A$427:$G$738,7,FALSE)&gt;0,TRUE,FALSE))</f>
        <v>1</v>
      </c>
      <c r="AT764" s="158"/>
      <c r="AU764" s="158" t="b">
        <f>IF(AT764="",TRUE,IF(VLOOKUP(AT764,Calculs!$A$740:$G$912,7,FALSE)&gt;0,TRUE,FALSE))</f>
        <v>1</v>
      </c>
      <c r="AV764" s="158" t="b">
        <f t="shared" si="80"/>
        <v>1</v>
      </c>
      <c r="AW764" s="158"/>
      <c r="AX764" s="162" t="s">
        <v>2075</v>
      </c>
      <c r="AY764" s="15">
        <v>63</v>
      </c>
      <c r="AZ764" s="555" t="s">
        <v>2682</v>
      </c>
      <c r="BA764" s="559">
        <f>IF(Verso!$B$10=Voies!$B764,1,0)</f>
        <v>0</v>
      </c>
      <c r="BB764" s="12">
        <f>IF(Verso!$B$11=Voies!$B764,1,0)</f>
        <v>0</v>
      </c>
      <c r="BC764" s="12">
        <f>IF(Verso!$B$12=Voies!$B764,1,0)</f>
        <v>0</v>
      </c>
      <c r="BD764" s="12">
        <f>IF(Verso!$B$13=Voies!$B764,1,0)</f>
        <v>0</v>
      </c>
      <c r="BE764" s="12">
        <f>IF(Verso!$B$14=Voies!$B764,1,0)</f>
        <v>0</v>
      </c>
      <c r="BF764" s="12">
        <f>IF(Verso!$B$15=Voies!$B764,1,0)</f>
        <v>0</v>
      </c>
      <c r="BG764" s="12">
        <f>IF(Verso!$B$16=Voies!$B764,1,0)</f>
        <v>0</v>
      </c>
      <c r="BH764" s="12">
        <f>IF(Verso!$B$17=Voies!$B764,1,0)</f>
        <v>0</v>
      </c>
      <c r="BI764" s="557">
        <f t="shared" si="81"/>
        <v>0</v>
      </c>
      <c r="BJ764" s="196" t="str">
        <f t="shared" si="82"/>
        <v/>
      </c>
      <c r="BK764" s="196" t="str">
        <f t="shared" si="83"/>
        <v/>
      </c>
      <c r="BL764" s="295" t="str">
        <f t="shared" si="84"/>
        <v/>
      </c>
    </row>
    <row r="765" spans="1:65" ht="47.25" customHeight="1" x14ac:dyDescent="0.25">
      <c r="A765" s="162" t="str">
        <f>IF(AND(Réputation&gt;Voies!E765-1,OR(C765=TRUE,Calculs!$I$8&gt;0),Air&gt;Voies!J765-1,Eau&gt;Voies!K765-1,Feu&gt;Voies!L765-1,Terre&gt;Voies!M765-1,Vide&gt;Voies!N765-1,Constitution&gt;Voies!O765-1,Volonté&gt;Voies!P765-1,Force&gt;Voies!Q765-1,Perception&gt;Voies!R765-1,Reflexes&gt;Voies!S765-1,Agilité&gt;Voies!T765-1,Intuition&gt;Voies!U765-1,Intelligence&gt;Voies!V765-1,Souillure&gt;Voies!W765-1,Honneur&gt;X765-1,Statut&gt;Y765-1,Gloire&gt;Z765-1,AV765=TRUE),Voies!B765,"")</f>
        <v/>
      </c>
      <c r="B765" s="162" t="s">
        <v>3057</v>
      </c>
      <c r="C765" s="162" t="b">
        <v>1</v>
      </c>
      <c r="D765" s="387" t="s">
        <v>3170</v>
      </c>
      <c r="E765" s="13">
        <v>4</v>
      </c>
      <c r="F765" s="199">
        <v>4</v>
      </c>
      <c r="G765" s="199" t="s">
        <v>2049</v>
      </c>
      <c r="H765" s="162" t="s">
        <v>248</v>
      </c>
      <c r="I765" s="129" t="str">
        <f t="shared" si="86"/>
        <v>Rien</v>
      </c>
      <c r="J765" s="146">
        <v>0</v>
      </c>
      <c r="K765" s="147">
        <v>0</v>
      </c>
      <c r="L765" s="148">
        <v>0</v>
      </c>
      <c r="M765" s="149">
        <v>0</v>
      </c>
      <c r="N765" s="150">
        <v>0</v>
      </c>
      <c r="O765" s="130">
        <v>0</v>
      </c>
      <c r="P765" s="130">
        <v>0</v>
      </c>
      <c r="Q765" s="130">
        <v>0</v>
      </c>
      <c r="R765" s="130">
        <v>0</v>
      </c>
      <c r="S765" s="130">
        <v>0</v>
      </c>
      <c r="T765" s="130">
        <v>0</v>
      </c>
      <c r="U765" s="130">
        <v>0</v>
      </c>
      <c r="V765" s="524">
        <v>0</v>
      </c>
      <c r="W765" s="130">
        <v>1</v>
      </c>
      <c r="X765" s="130">
        <v>0</v>
      </c>
      <c r="Y765" s="130">
        <v>0</v>
      </c>
      <c r="Z765" s="130">
        <v>0</v>
      </c>
      <c r="AA765" s="158" t="s">
        <v>2078</v>
      </c>
      <c r="AB765" s="158"/>
      <c r="AC765" s="158"/>
      <c r="AD765" s="158"/>
      <c r="AE765" s="158" t="b">
        <f>IF(AB765="",TRUE,IF(IF(AC765="",VLOOKUP(AB765,Calculs!$A$19:$S$425,19,FALSE),VLOOKUP(AC765,Calculs!$A$19:$S$425,19,FALSE))&gt;=AD765,TRUE,FALSE))</f>
        <v>1</v>
      </c>
      <c r="AF765" s="158"/>
      <c r="AG765" s="158"/>
      <c r="AH765" s="158"/>
      <c r="AI765" s="158" t="b">
        <f>IF(AF765="",TRUE,IF(IF(AG765="",VLOOKUP(AF765,Calculs!$A$19:$S$425,19,FALSE),VLOOKUP(AG765,Calculs!$A$19:$S$425,19,FALSE))&gt;=AH765,TRUE,FALSE))</f>
        <v>1</v>
      </c>
      <c r="AJ765" s="158"/>
      <c r="AK765" s="158"/>
      <c r="AL765" s="158"/>
      <c r="AM765" s="158" t="b">
        <f>IF(AJ765="",TRUE,IF(IF(AK765="",VLOOKUP(AJ765,Calculs!$A$19:$S$425,19,FALSE),VLOOKUP(AK765,Calculs!$A$19:$S$425,19,FALSE))&gt;=AL765,TRUE,FALSE))</f>
        <v>1</v>
      </c>
      <c r="AN765" s="158"/>
      <c r="AO765" s="158"/>
      <c r="AP765" s="158"/>
      <c r="AQ765" s="158" t="b">
        <f>IF(AN765="",TRUE,IF(IF(AO765="",VLOOKUP(AN765,Calculs!$A$19:$S$425,19,FALSE),VLOOKUP(AO765,Calculs!$A$19:$S$425,19,FALSE))&gt;=AP765,TRUE,FALSE))</f>
        <v>1</v>
      </c>
      <c r="AR765" s="158"/>
      <c r="AS765" s="158" t="b">
        <f>IF(AR765="",TRUE,IF(VLOOKUP(AR765,Calculs!$A$427:$G$738,7,FALSE)&gt;0,TRUE,FALSE))</f>
        <v>1</v>
      </c>
      <c r="AT765" s="158"/>
      <c r="AU765" s="158" t="b">
        <f>IF(AT765="",TRUE,IF(VLOOKUP(AT765,Calculs!$A$740:$G$912,7,FALSE)&gt;0,TRUE,FALSE))</f>
        <v>1</v>
      </c>
      <c r="AV765" s="158" t="b">
        <f t="shared" si="80"/>
        <v>1</v>
      </c>
      <c r="AW765" s="158"/>
      <c r="AX765" s="162" t="s">
        <v>2075</v>
      </c>
      <c r="AY765" s="15">
        <v>63</v>
      </c>
      <c r="AZ765" s="555" t="str">
        <f>CONCATENATE("Une fois par combat en AS vs. pouvez créer un effet de Peur égal à ",Souillure," contre tous ceux qui vous regardent. Ceux qui y succombent ne peuvent entreprendre qu'une AS au prochain Round")</f>
        <v>Une fois par combat en AS vs. pouvez créer un effet de Peur égal à 0 contre tous ceux qui vous regardent. Ceux qui y succombent ne peuvent entreprendre qu'une AS au prochain Round</v>
      </c>
      <c r="BA765" s="559">
        <f>IF(Verso!$B$10=Voies!$B765,1,0)</f>
        <v>0</v>
      </c>
      <c r="BB765" s="12">
        <f>IF(Verso!$B$11=Voies!$B765,1,0)</f>
        <v>0</v>
      </c>
      <c r="BC765" s="12">
        <f>IF(Verso!$B$12=Voies!$B765,1,0)</f>
        <v>0</v>
      </c>
      <c r="BD765" s="12">
        <f>IF(Verso!$B$13=Voies!$B765,1,0)</f>
        <v>0</v>
      </c>
      <c r="BE765" s="12">
        <f>IF(Verso!$B$14=Voies!$B765,1,0)</f>
        <v>0</v>
      </c>
      <c r="BF765" s="12">
        <f>IF(Verso!$B$15=Voies!$B765,1,0)</f>
        <v>0</v>
      </c>
      <c r="BG765" s="12">
        <f>IF(Verso!$B$16=Voies!$B765,1,0)</f>
        <v>0</v>
      </c>
      <c r="BH765" s="12">
        <f>IF(Verso!$B$17=Voies!$B765,1,0)</f>
        <v>0</v>
      </c>
      <c r="BI765" s="557">
        <f t="shared" si="81"/>
        <v>0</v>
      </c>
      <c r="BJ765" s="196" t="str">
        <f t="shared" si="82"/>
        <v/>
      </c>
      <c r="BK765" s="196" t="str">
        <f t="shared" si="83"/>
        <v/>
      </c>
      <c r="BL765" s="295" t="str">
        <f t="shared" si="84"/>
        <v/>
      </c>
    </row>
    <row r="766" spans="1:65" ht="47.25" customHeight="1" x14ac:dyDescent="0.25">
      <c r="A766" s="162" t="str">
        <f>IF(AND(Réputation&gt;Voies!E766-1,OR(C766=TRUE,Calculs!$I$8&gt;0),Air&gt;Voies!J766-1,Eau&gt;Voies!K766-1,Feu&gt;Voies!L766-1,Terre&gt;Voies!M766-1,Vide&gt;Voies!N766-1,Constitution&gt;Voies!O766-1,Volonté&gt;Voies!P766-1,Force&gt;Voies!Q766-1,Perception&gt;Voies!R766-1,Reflexes&gt;Voies!S766-1,Agilité&gt;Voies!T766-1,Intuition&gt;Voies!U766-1,Intelligence&gt;Voies!V766-1,Souillure&gt;Voies!W766-1,Honneur&gt;X766-1,Statut&gt;Y766-1,Gloire&gt;Z766-1,AV766=TRUE),Voies!B766,"")</f>
        <v/>
      </c>
      <c r="B766" s="162" t="s">
        <v>3058</v>
      </c>
      <c r="C766" s="162" t="b">
        <v>1</v>
      </c>
      <c r="D766" s="387" t="s">
        <v>3170</v>
      </c>
      <c r="E766" s="199">
        <v>5</v>
      </c>
      <c r="F766" s="199">
        <v>5</v>
      </c>
      <c r="G766" s="199" t="s">
        <v>2049</v>
      </c>
      <c r="H766" s="162" t="s">
        <v>248</v>
      </c>
      <c r="I766" s="129" t="str">
        <f t="shared" si="86"/>
        <v>Rien</v>
      </c>
      <c r="J766" s="146">
        <v>0</v>
      </c>
      <c r="K766" s="147">
        <v>0</v>
      </c>
      <c r="L766" s="148">
        <v>0</v>
      </c>
      <c r="M766" s="149">
        <v>0</v>
      </c>
      <c r="N766" s="150">
        <v>0</v>
      </c>
      <c r="O766" s="130">
        <v>0</v>
      </c>
      <c r="P766" s="130">
        <v>0</v>
      </c>
      <c r="Q766" s="130">
        <v>0</v>
      </c>
      <c r="R766" s="130">
        <v>0</v>
      </c>
      <c r="S766" s="130">
        <v>0</v>
      </c>
      <c r="T766" s="130">
        <v>0</v>
      </c>
      <c r="U766" s="130">
        <v>0</v>
      </c>
      <c r="V766" s="524">
        <v>0</v>
      </c>
      <c r="W766" s="130">
        <v>1</v>
      </c>
      <c r="X766" s="130">
        <v>0</v>
      </c>
      <c r="Y766" s="130">
        <v>0</v>
      </c>
      <c r="Z766" s="130">
        <v>0</v>
      </c>
      <c r="AA766" s="158" t="s">
        <v>2078</v>
      </c>
      <c r="AB766" s="158"/>
      <c r="AC766" s="158"/>
      <c r="AD766" s="158"/>
      <c r="AE766" s="158" t="b">
        <f>IF(AB766="",TRUE,IF(IF(AC766="",VLOOKUP(AB766,Calculs!$A$19:$S$425,19,FALSE),VLOOKUP(AC766,Calculs!$A$19:$S$425,19,FALSE))&gt;=AD766,TRUE,FALSE))</f>
        <v>1</v>
      </c>
      <c r="AF766" s="158"/>
      <c r="AG766" s="158"/>
      <c r="AH766" s="158"/>
      <c r="AI766" s="158" t="b">
        <f>IF(AF766="",TRUE,IF(IF(AG766="",VLOOKUP(AF766,Calculs!$A$19:$S$425,19,FALSE),VLOOKUP(AG766,Calculs!$A$19:$S$425,19,FALSE))&gt;=AH766,TRUE,FALSE))</f>
        <v>1</v>
      </c>
      <c r="AJ766" s="158"/>
      <c r="AK766" s="158"/>
      <c r="AL766" s="158"/>
      <c r="AM766" s="158" t="b">
        <f>IF(AJ766="",TRUE,IF(IF(AK766="",VLOOKUP(AJ766,Calculs!$A$19:$S$425,19,FALSE),VLOOKUP(AK766,Calculs!$A$19:$S$425,19,FALSE))&gt;=AL766,TRUE,FALSE))</f>
        <v>1</v>
      </c>
      <c r="AN766" s="158"/>
      <c r="AO766" s="158"/>
      <c r="AP766" s="158"/>
      <c r="AQ766" s="158" t="b">
        <f>IF(AN766="",TRUE,IF(IF(AO766="",VLOOKUP(AN766,Calculs!$A$19:$S$425,19,FALSE),VLOOKUP(AO766,Calculs!$A$19:$S$425,19,FALSE))&gt;=AP766,TRUE,FALSE))</f>
        <v>1</v>
      </c>
      <c r="AR766" s="158"/>
      <c r="AS766" s="158" t="b">
        <f>IF(AR766="",TRUE,IF(VLOOKUP(AR766,Calculs!$A$427:$G$738,7,FALSE)&gt;0,TRUE,FALSE))</f>
        <v>1</v>
      </c>
      <c r="AT766" s="158"/>
      <c r="AU766" s="158" t="b">
        <f>IF(AT766="",TRUE,IF(VLOOKUP(AT766,Calculs!$A$740:$G$912,7,FALSE)&gt;0,TRUE,FALSE))</f>
        <v>1</v>
      </c>
      <c r="AV766" s="158" t="b">
        <f t="shared" si="80"/>
        <v>1</v>
      </c>
      <c r="AW766" s="158"/>
      <c r="AX766" s="162" t="s">
        <v>2075</v>
      </c>
      <c r="AY766" s="15">
        <v>63</v>
      </c>
      <c r="AZ766" s="555" t="str">
        <f>CONCATENATE("Vous ne subissez plus de pénalité de Blessures même au Rang Epuisé et Hors de Combat et guérissez d'un nombre de ",Souillure," Blessures  pendant l'étape de Réaction de chaque Round.")</f>
        <v>Vous ne subissez plus de pénalité de Blessures même au Rang Epuisé et Hors de Combat et guérissez d'un nombre de 0 Blessures  pendant l'étape de Réaction de chaque Round.</v>
      </c>
      <c r="BA766" s="559">
        <f>IF(Verso!$B$10=Voies!$B766,1,0)</f>
        <v>0</v>
      </c>
      <c r="BB766" s="12">
        <f>IF(Verso!$B$11=Voies!$B766,1,0)</f>
        <v>0</v>
      </c>
      <c r="BC766" s="12">
        <f>IF(Verso!$B$12=Voies!$B766,1,0)</f>
        <v>0</v>
      </c>
      <c r="BD766" s="12">
        <f>IF(Verso!$B$13=Voies!$B766,1,0)</f>
        <v>0</v>
      </c>
      <c r="BE766" s="12">
        <f>IF(Verso!$B$14=Voies!$B766,1,0)</f>
        <v>0</v>
      </c>
      <c r="BF766" s="12">
        <f>IF(Verso!$B$15=Voies!$B766,1,0)</f>
        <v>0</v>
      </c>
      <c r="BG766" s="12">
        <f>IF(Verso!$B$16=Voies!$B766,1,0)</f>
        <v>0</v>
      </c>
      <c r="BH766" s="12">
        <f>IF(Verso!$B$17=Voies!$B766,1,0)</f>
        <v>0</v>
      </c>
      <c r="BI766" s="557">
        <f t="shared" si="81"/>
        <v>0</v>
      </c>
      <c r="BJ766" s="196" t="str">
        <f t="shared" si="82"/>
        <v/>
      </c>
      <c r="BK766" s="196" t="str">
        <f t="shared" si="83"/>
        <v/>
      </c>
      <c r="BL766" s="295" t="str">
        <f t="shared" si="84"/>
        <v/>
      </c>
    </row>
    <row r="767" spans="1:65" s="196" customFormat="1" ht="47.25" customHeight="1" x14ac:dyDescent="0.25">
      <c r="A767" s="162" t="str">
        <f>IF(AND(Réputation&gt;Voies!E767-1,OR(C767=TRUE,Calculs!$I$8&gt;0),Air&gt;Voies!J767-1,Eau&gt;Voies!K767-1,Feu&gt;Voies!L767-1,Terre&gt;Voies!M767-1,Vide&gt;Voies!N767-1,Constitution&gt;Voies!O767-1,Volonté&gt;Voies!P767-1,Force&gt;Voies!Q767-1,Perception&gt;Voies!R767-1,Reflexes&gt;Voies!S767-1,Agilité&gt;Voies!T767-1,Intuition&gt;Voies!U767-1,Intelligence&gt;Voies!V767-1,Souillure&gt;Voies!W767-1,Honneur&gt;X767-1,Statut&gt;Y767-1,Gloire&gt;Z767-1,AV767=TRUE),Voies!B767,"")</f>
        <v/>
      </c>
      <c r="B767" s="162" t="s">
        <v>7270</v>
      </c>
      <c r="C767" s="162" t="b">
        <f>IF(Clan=Voies!D767,TRUE,FALSE)</f>
        <v>0</v>
      </c>
      <c r="D767" s="387" t="s">
        <v>7231</v>
      </c>
      <c r="E767" s="199">
        <v>1</v>
      </c>
      <c r="F767" s="199">
        <v>1</v>
      </c>
      <c r="G767" s="199" t="s">
        <v>2050</v>
      </c>
      <c r="H767" s="162" t="s">
        <v>7266</v>
      </c>
      <c r="I767" s="129" t="str">
        <f t="shared" si="86"/>
        <v>Rien</v>
      </c>
      <c r="J767" s="146">
        <v>0</v>
      </c>
      <c r="K767" s="147">
        <v>0</v>
      </c>
      <c r="L767" s="148">
        <v>0</v>
      </c>
      <c r="M767" s="149">
        <v>0</v>
      </c>
      <c r="N767" s="150">
        <v>0</v>
      </c>
      <c r="O767" s="130">
        <v>0</v>
      </c>
      <c r="P767" s="130">
        <v>0</v>
      </c>
      <c r="Q767" s="130">
        <v>0</v>
      </c>
      <c r="R767" s="130">
        <v>0</v>
      </c>
      <c r="S767" s="130">
        <v>0</v>
      </c>
      <c r="T767" s="130">
        <v>0</v>
      </c>
      <c r="U767" s="130">
        <v>0</v>
      </c>
      <c r="V767" s="524">
        <v>0</v>
      </c>
      <c r="W767" s="130">
        <v>0</v>
      </c>
      <c r="X767" s="130">
        <v>0</v>
      </c>
      <c r="Y767" s="130">
        <v>0</v>
      </c>
      <c r="Z767" s="130">
        <v>0</v>
      </c>
      <c r="AA767" s="158" t="s">
        <v>2078</v>
      </c>
      <c r="AB767" s="158"/>
      <c r="AC767" s="158"/>
      <c r="AD767" s="158"/>
      <c r="AE767" s="158" t="b">
        <f>IF(AB767="",TRUE,IF(IF(AC767="",VLOOKUP(AB767,Calculs!$A$19:$S$425,19,FALSE),VLOOKUP(AC767,Calculs!$A$19:$S$425,19,FALSE))&gt;=AD767,TRUE,FALSE))</f>
        <v>1</v>
      </c>
      <c r="AF767" s="158"/>
      <c r="AG767" s="158"/>
      <c r="AH767" s="158"/>
      <c r="AI767" s="158" t="b">
        <f>IF(AF767="",TRUE,IF(IF(AG767="",VLOOKUP(AF767,Calculs!$A$19:$S$425,19,FALSE),VLOOKUP(AG767,Calculs!$A$19:$S$425,19,FALSE))&gt;=AH767,TRUE,FALSE))</f>
        <v>1</v>
      </c>
      <c r="AJ767" s="158"/>
      <c r="AK767" s="158"/>
      <c r="AL767" s="158"/>
      <c r="AM767" s="158" t="b">
        <f>IF(AJ767="",TRUE,IF(IF(AK767="",VLOOKUP(AJ767,Calculs!$A$19:$S$425,19,FALSE),VLOOKUP(AK767,Calculs!$A$19:$S$425,19,FALSE))&gt;=AL767,TRUE,FALSE))</f>
        <v>1</v>
      </c>
      <c r="AN767" s="158"/>
      <c r="AO767" s="158"/>
      <c r="AP767" s="158"/>
      <c r="AQ767" s="158" t="b">
        <f>IF(AN767="",TRUE,IF(IF(AO767="",VLOOKUP(AN767,Calculs!$A$19:$S$425,19,FALSE),VLOOKUP(AO767,Calculs!$A$19:$S$425,19,FALSE))&gt;=AP767,TRUE,FALSE))</f>
        <v>1</v>
      </c>
      <c r="AR767" s="158"/>
      <c r="AS767" s="158" t="b">
        <f>IF(AR767="",TRUE,IF(VLOOKUP(AR767,Calculs!$A$427:$G$738,7,FALSE)&gt;0,TRUE,FALSE))</f>
        <v>1</v>
      </c>
      <c r="AT767" s="158"/>
      <c r="AU767" s="158" t="b">
        <f>IF(AT767="",TRUE,IF(VLOOKUP(AT767,Calculs!$A$740:$G$912,7,FALSE)&gt;0,TRUE,FALSE))</f>
        <v>1</v>
      </c>
      <c r="AV767" s="158" t="b">
        <f t="shared" si="80"/>
        <v>1</v>
      </c>
      <c r="AW767" s="158" t="s">
        <v>2078</v>
      </c>
      <c r="AX767" s="162" t="s">
        <v>7226</v>
      </c>
      <c r="AY767" s="15">
        <v>67</v>
      </c>
      <c r="AZ767" s="555" t="s">
        <v>8678</v>
      </c>
      <c r="BA767" s="559">
        <f>IF(Verso!$B$10=Voies!$B767,1,0)</f>
        <v>0</v>
      </c>
      <c r="BB767" s="12">
        <f>IF(Verso!$B$11=Voies!$B767,1,0)</f>
        <v>0</v>
      </c>
      <c r="BC767" s="12">
        <f>IF(Verso!$B$12=Voies!$B767,1,0)</f>
        <v>0</v>
      </c>
      <c r="BD767" s="12">
        <f>IF(Verso!$B$13=Voies!$B767,1,0)</f>
        <v>0</v>
      </c>
      <c r="BE767" s="12">
        <f>IF(Verso!$B$14=Voies!$B767,1,0)</f>
        <v>0</v>
      </c>
      <c r="BF767" s="12">
        <f>IF(Verso!$B$15=Voies!$B767,1,0)</f>
        <v>0</v>
      </c>
      <c r="BG767" s="12">
        <f>IF(Verso!$B$16=Voies!$B767,1,0)</f>
        <v>0</v>
      </c>
      <c r="BH767" s="12">
        <f>IF(Verso!$B$17=Voies!$B767,1,0)</f>
        <v>0</v>
      </c>
      <c r="BI767" s="557">
        <f t="shared" si="81"/>
        <v>0</v>
      </c>
      <c r="BJ767" s="196" t="str">
        <f t="shared" si="82"/>
        <v/>
      </c>
      <c r="BK767" s="196" t="str">
        <f t="shared" si="83"/>
        <v/>
      </c>
      <c r="BL767" s="295" t="str">
        <f t="shared" si="84"/>
        <v/>
      </c>
      <c r="BM767" s="91"/>
    </row>
    <row r="768" spans="1:65" s="196" customFormat="1" ht="47.25" customHeight="1" x14ac:dyDescent="0.25">
      <c r="A768" s="162" t="str">
        <f>IF(AND(Réputation&gt;Voies!E768-1,OR(C768=TRUE,Calculs!$I$8&gt;0),Air&gt;Voies!J768-1,Eau&gt;Voies!K768-1,Feu&gt;Voies!L768-1,Terre&gt;Voies!M768-1,Vide&gt;Voies!N768-1,Constitution&gt;Voies!O768-1,Volonté&gt;Voies!P768-1,Force&gt;Voies!Q768-1,Perception&gt;Voies!R768-1,Reflexes&gt;Voies!S768-1,Agilité&gt;Voies!T768-1,Intuition&gt;Voies!U768-1,Intelligence&gt;Voies!V768-1,Souillure&gt;Voies!W768-1,Honneur&gt;X768-1,Statut&gt;Y768-1,Gloire&gt;Z768-1,AV768=TRUE),Voies!B768,"")</f>
        <v/>
      </c>
      <c r="B768" s="162" t="s">
        <v>7268</v>
      </c>
      <c r="C768" s="162" t="b">
        <f>IF(Clan=Voies!D768,TRUE,FALSE)</f>
        <v>0</v>
      </c>
      <c r="D768" s="387" t="s">
        <v>7231</v>
      </c>
      <c r="E768" s="199">
        <v>2</v>
      </c>
      <c r="F768" s="199">
        <v>2</v>
      </c>
      <c r="G768" s="199" t="s">
        <v>2057</v>
      </c>
      <c r="H768" s="162" t="s">
        <v>7267</v>
      </c>
      <c r="I768" s="129" t="s">
        <v>3341</v>
      </c>
      <c r="J768" s="146">
        <v>0</v>
      </c>
      <c r="K768" s="147">
        <v>0</v>
      </c>
      <c r="L768" s="148">
        <v>0</v>
      </c>
      <c r="M768" s="149">
        <v>0</v>
      </c>
      <c r="N768" s="150">
        <v>0</v>
      </c>
      <c r="O768" s="130">
        <v>0</v>
      </c>
      <c r="P768" s="130">
        <v>0</v>
      </c>
      <c r="Q768" s="130">
        <v>0</v>
      </c>
      <c r="R768" s="130">
        <v>0</v>
      </c>
      <c r="S768" s="130">
        <v>0</v>
      </c>
      <c r="T768" s="130">
        <v>0</v>
      </c>
      <c r="U768" s="130">
        <v>0</v>
      </c>
      <c r="V768" s="524">
        <v>0</v>
      </c>
      <c r="W768" s="130">
        <v>0</v>
      </c>
      <c r="X768" s="130">
        <v>0</v>
      </c>
      <c r="Y768" s="130">
        <v>0</v>
      </c>
      <c r="Z768" s="130">
        <v>0</v>
      </c>
      <c r="AA768" s="158" t="s">
        <v>7269</v>
      </c>
      <c r="AB768" s="158" t="s">
        <v>3327</v>
      </c>
      <c r="AC768" s="158" t="s">
        <v>3278</v>
      </c>
      <c r="AD768" s="158">
        <v>4</v>
      </c>
      <c r="AE768" s="158" t="b">
        <f>IF(AB768="",TRUE,IF(IF(AC768="",VLOOKUP(AB768,Calculs!$A$19:$S$425,19,FALSE),VLOOKUP(AC768,Calculs!$A$19:$S$425,19,FALSE))&gt;=AD768,TRUE,FALSE))</f>
        <v>0</v>
      </c>
      <c r="AF768" s="158"/>
      <c r="AG768" s="158"/>
      <c r="AH768" s="158"/>
      <c r="AI768" s="158" t="b">
        <f>IF(AF768="",TRUE,IF(IF(AG768="",VLOOKUP(AF768,Calculs!$A$19:$S$425,19,FALSE),VLOOKUP(AG768,Calculs!$A$19:$S$425,19,FALSE))&gt;=AH768,TRUE,FALSE))</f>
        <v>1</v>
      </c>
      <c r="AJ768" s="158"/>
      <c r="AK768" s="158"/>
      <c r="AL768" s="158"/>
      <c r="AM768" s="158" t="b">
        <f>IF(AJ768="",TRUE,IF(IF(AK768="",VLOOKUP(AJ768,Calculs!$A$19:$S$425,19,FALSE),VLOOKUP(AK768,Calculs!$A$19:$S$425,19,FALSE))&gt;=AL768,TRUE,FALSE))</f>
        <v>1</v>
      </c>
      <c r="AN768" s="158"/>
      <c r="AO768" s="158"/>
      <c r="AP768" s="158"/>
      <c r="AQ768" s="158" t="b">
        <f>IF(AN768="",TRUE,IF(IF(AO768="",VLOOKUP(AN768,Calculs!$A$19:$S$425,19,FALSE),VLOOKUP(AO768,Calculs!$A$19:$S$425,19,FALSE))&gt;=AP768,TRUE,FALSE))</f>
        <v>1</v>
      </c>
      <c r="AR768" s="158"/>
      <c r="AS768" s="158" t="b">
        <f>IF(AR768="",TRUE,IF(VLOOKUP(AR768,Calculs!$A$427:$G$738,7,FALSE)&gt;0,TRUE,FALSE))</f>
        <v>1</v>
      </c>
      <c r="AT768" s="158"/>
      <c r="AU768" s="158" t="b">
        <f>IF(AT768="",TRUE,IF(VLOOKUP(AT768,Calculs!$A$740:$G$912,7,FALSE)&gt;0,TRUE,FALSE))</f>
        <v>1</v>
      </c>
      <c r="AV768" s="158" t="b">
        <f t="shared" si="80"/>
        <v>0</v>
      </c>
      <c r="AW768" s="158" t="s">
        <v>2078</v>
      </c>
      <c r="AX768" s="162" t="s">
        <v>7226</v>
      </c>
      <c r="AY768" s="15">
        <v>67</v>
      </c>
      <c r="AZ768" s="555" t="str">
        <f>CONCATENATE("AG en Cérémonie du Thé et Artisanat (Cuisine). +2g2 au lieu de +1g1 qd vous dépensez un Pvide pour les augmenter. Gagnez (une fois maximum par hôte) 2 pts de Gloire qd vous préparez un repas pour qqun d'un Statut &gt; ",Statut)</f>
        <v>AG en Cérémonie du Thé et Artisanat (Cuisine). +2g2 au lieu de +1g1 qd vous dépensez un Pvide pour les augmenter. Gagnez (une fois maximum par hôte) 2 pts de Gloire qd vous préparez un repas pour qqun d'un Statut &gt; 1</v>
      </c>
      <c r="BA768" s="559">
        <f>IF(Verso!$B$10=Voies!$B768,1,0)</f>
        <v>0</v>
      </c>
      <c r="BB768" s="12">
        <f>IF(Verso!$B$11=Voies!$B768,1,0)</f>
        <v>0</v>
      </c>
      <c r="BC768" s="12">
        <f>IF(Verso!$B$12=Voies!$B768,1,0)</f>
        <v>0</v>
      </c>
      <c r="BD768" s="12">
        <f>IF(Verso!$B$13=Voies!$B768,1,0)</f>
        <v>0</v>
      </c>
      <c r="BE768" s="12">
        <f>IF(Verso!$B$14=Voies!$B768,1,0)</f>
        <v>0</v>
      </c>
      <c r="BF768" s="12">
        <f>IF(Verso!$B$15=Voies!$B768,1,0)</f>
        <v>0</v>
      </c>
      <c r="BG768" s="12">
        <f>IF(Verso!$B$16=Voies!$B768,1,0)</f>
        <v>0</v>
      </c>
      <c r="BH768" s="12">
        <f>IF(Verso!$B$17=Voies!$B768,1,0)</f>
        <v>0</v>
      </c>
      <c r="BI768" s="557">
        <f t="shared" si="81"/>
        <v>0</v>
      </c>
      <c r="BJ768" s="196" t="str">
        <f t="shared" si="82"/>
        <v/>
      </c>
      <c r="BK768" s="196" t="str">
        <f t="shared" si="83"/>
        <v/>
      </c>
      <c r="BL768" s="295" t="str">
        <f t="shared" si="84"/>
        <v/>
      </c>
      <c r="BM768" s="91"/>
    </row>
    <row r="769" spans="1:65" s="196" customFormat="1" ht="47.25" customHeight="1" x14ac:dyDescent="0.25">
      <c r="A769" s="162" t="str">
        <f>IF(AND(Réputation&gt;Voies!E769-1,OR(C769=TRUE,Calculs!$I$8&gt;0),Air&gt;Voies!J769-1,Eau&gt;Voies!K769-1,Feu&gt;Voies!L769-1,Terre&gt;Voies!M769-1,Vide&gt;Voies!N769-1,Constitution&gt;Voies!O769-1,Volonté&gt;Voies!P769-1,Force&gt;Voies!Q769-1,Perception&gt;Voies!R769-1,Reflexes&gt;Voies!S769-1,Agilité&gt;Voies!T769-1,Intuition&gt;Voies!U769-1,Intelligence&gt;Voies!V769-1,Souillure&gt;Voies!W769-1,Honneur&gt;X769-1,Statut&gt;Y769-1,Gloire&gt;Z769-1,AV769=TRUE),Voies!B769,"")</f>
        <v/>
      </c>
      <c r="B769" s="162" t="s">
        <v>7271</v>
      </c>
      <c r="C769" s="162" t="b">
        <f>IF(Clan=Voies!D769,TRUE,FALSE)</f>
        <v>0</v>
      </c>
      <c r="D769" s="387" t="s">
        <v>7231</v>
      </c>
      <c r="E769" s="199">
        <v>2</v>
      </c>
      <c r="F769" s="199">
        <v>2</v>
      </c>
      <c r="G769" s="199" t="s">
        <v>2050</v>
      </c>
      <c r="H769" s="162" t="s">
        <v>7266</v>
      </c>
      <c r="I769" s="129" t="str">
        <f t="shared" ref="I769:I797" si="87">IF(B769="","","Rien")</f>
        <v>Rien</v>
      </c>
      <c r="J769" s="146">
        <v>0</v>
      </c>
      <c r="K769" s="147">
        <v>0</v>
      </c>
      <c r="L769" s="148">
        <v>0</v>
      </c>
      <c r="M769" s="149">
        <v>0</v>
      </c>
      <c r="N769" s="150">
        <v>0</v>
      </c>
      <c r="O769" s="130">
        <v>0</v>
      </c>
      <c r="P769" s="130">
        <v>0</v>
      </c>
      <c r="Q769" s="130">
        <v>0</v>
      </c>
      <c r="R769" s="130">
        <v>0</v>
      </c>
      <c r="S769" s="130">
        <v>0</v>
      </c>
      <c r="T769" s="130">
        <v>0</v>
      </c>
      <c r="U769" s="130">
        <v>0</v>
      </c>
      <c r="V769" s="524">
        <v>0</v>
      </c>
      <c r="W769" s="130">
        <v>0</v>
      </c>
      <c r="X769" s="130">
        <v>0</v>
      </c>
      <c r="Y769" s="130">
        <v>0</v>
      </c>
      <c r="Z769" s="130">
        <v>0</v>
      </c>
      <c r="AA769" s="158" t="s">
        <v>2078</v>
      </c>
      <c r="AB769" s="158"/>
      <c r="AC769" s="158"/>
      <c r="AD769" s="158"/>
      <c r="AE769" s="158" t="b">
        <f>IF(AB769="",TRUE,IF(IF(AC769="",VLOOKUP(AB769,Calculs!$A$19:$S$425,19,FALSE),VLOOKUP(AC769,Calculs!$A$19:$S$425,19,FALSE))&gt;=AD769,TRUE,FALSE))</f>
        <v>1</v>
      </c>
      <c r="AF769" s="158"/>
      <c r="AG769" s="158"/>
      <c r="AH769" s="158"/>
      <c r="AI769" s="158" t="b">
        <f>IF(AF769="",TRUE,IF(IF(AG769="",VLOOKUP(AF769,Calculs!$A$19:$S$425,19,FALSE),VLOOKUP(AG769,Calculs!$A$19:$S$425,19,FALSE))&gt;=AH769,TRUE,FALSE))</f>
        <v>1</v>
      </c>
      <c r="AJ769" s="158"/>
      <c r="AK769" s="158"/>
      <c r="AL769" s="158"/>
      <c r="AM769" s="158" t="b">
        <f>IF(AJ769="",TRUE,IF(IF(AK769="",VLOOKUP(AJ769,Calculs!$A$19:$S$425,19,FALSE),VLOOKUP(AK769,Calculs!$A$19:$S$425,19,FALSE))&gt;=AL769,TRUE,FALSE))</f>
        <v>1</v>
      </c>
      <c r="AN769" s="158"/>
      <c r="AO769" s="158"/>
      <c r="AP769" s="158"/>
      <c r="AQ769" s="158" t="b">
        <f>IF(AN769="",TRUE,IF(IF(AO769="",VLOOKUP(AN769,Calculs!$A$19:$S$425,19,FALSE),VLOOKUP(AO769,Calculs!$A$19:$S$425,19,FALSE))&gt;=AP769,TRUE,FALSE))</f>
        <v>1</v>
      </c>
      <c r="AR769" s="158"/>
      <c r="AS769" s="158" t="b">
        <f>IF(AR769="",TRUE,IF(VLOOKUP(AR769,Calculs!$A$427:$G$738,7,FALSE)&gt;0,TRUE,FALSE))</f>
        <v>1</v>
      </c>
      <c r="AT769" s="158"/>
      <c r="AU769" s="158" t="b">
        <f>IF(AT769="",TRUE,IF(VLOOKUP(AT769,Calculs!$A$740:$G$912,7,FALSE)&gt;0,TRUE,FALSE))</f>
        <v>1</v>
      </c>
      <c r="AV769" s="158" t="b">
        <f t="shared" si="80"/>
        <v>1</v>
      </c>
      <c r="AW769" s="158" t="s">
        <v>2078</v>
      </c>
      <c r="AX769" s="162" t="s">
        <v>7226</v>
      </c>
      <c r="AY769" s="15">
        <v>67</v>
      </c>
      <c r="AZ769" s="555" t="s">
        <v>7281</v>
      </c>
      <c r="BA769" s="559">
        <f>IF(Verso!$B$10=Voies!$B769,1,0)</f>
        <v>0</v>
      </c>
      <c r="BB769" s="12">
        <f>IF(Verso!$B$11=Voies!$B769,1,0)</f>
        <v>0</v>
      </c>
      <c r="BC769" s="12">
        <f>IF(Verso!$B$12=Voies!$B769,1,0)</f>
        <v>0</v>
      </c>
      <c r="BD769" s="12">
        <f>IF(Verso!$B$13=Voies!$B769,1,0)</f>
        <v>0</v>
      </c>
      <c r="BE769" s="12">
        <f>IF(Verso!$B$14=Voies!$B769,1,0)</f>
        <v>0</v>
      </c>
      <c r="BF769" s="12">
        <f>IF(Verso!$B$15=Voies!$B769,1,0)</f>
        <v>0</v>
      </c>
      <c r="BG769" s="12">
        <f>IF(Verso!$B$16=Voies!$B769,1,0)</f>
        <v>0</v>
      </c>
      <c r="BH769" s="12">
        <f>IF(Verso!$B$17=Voies!$B769,1,0)</f>
        <v>0</v>
      </c>
      <c r="BI769" s="557">
        <f t="shared" si="81"/>
        <v>0</v>
      </c>
      <c r="BJ769" s="196" t="str">
        <f t="shared" si="82"/>
        <v/>
      </c>
      <c r="BK769" s="196" t="str">
        <f t="shared" si="83"/>
        <v/>
      </c>
      <c r="BL769" s="295" t="str">
        <f t="shared" si="84"/>
        <v/>
      </c>
      <c r="BM769" s="91"/>
    </row>
    <row r="770" spans="1:65" s="196" customFormat="1" ht="47.25" customHeight="1" x14ac:dyDescent="0.25">
      <c r="A770" s="162" t="str">
        <f>IF(AND(Réputation&gt;Voies!E770-1,OR(C770=TRUE,Calculs!$I$8&gt;0),Air&gt;Voies!J770-1,Eau&gt;Voies!K770-1,Feu&gt;Voies!L770-1,Terre&gt;Voies!M770-1,Vide&gt;Voies!N770-1,Constitution&gt;Voies!O770-1,Volonté&gt;Voies!P770-1,Force&gt;Voies!Q770-1,Perception&gt;Voies!R770-1,Reflexes&gt;Voies!S770-1,Agilité&gt;Voies!T770-1,Intuition&gt;Voies!U770-1,Intelligence&gt;Voies!V770-1,Souillure&gt;Voies!W770-1,Honneur&gt;X770-1,Statut&gt;Y770-1,Gloire&gt;Z770-1,AV770=TRUE),Voies!B770,"")</f>
        <v/>
      </c>
      <c r="B770" s="162" t="s">
        <v>7272</v>
      </c>
      <c r="C770" s="162" t="b">
        <f>IF(Clan=Voies!D770,TRUE,FALSE)</f>
        <v>0</v>
      </c>
      <c r="D770" s="387" t="s">
        <v>7231</v>
      </c>
      <c r="E770" s="199">
        <v>3</v>
      </c>
      <c r="F770" s="199">
        <v>3</v>
      </c>
      <c r="G770" s="199" t="s">
        <v>2050</v>
      </c>
      <c r="H770" s="162" t="s">
        <v>7266</v>
      </c>
      <c r="I770" s="129" t="str">
        <f t="shared" si="87"/>
        <v>Rien</v>
      </c>
      <c r="J770" s="146">
        <v>0</v>
      </c>
      <c r="K770" s="147">
        <v>0</v>
      </c>
      <c r="L770" s="148">
        <v>0</v>
      </c>
      <c r="M770" s="149">
        <v>0</v>
      </c>
      <c r="N770" s="150">
        <v>0</v>
      </c>
      <c r="O770" s="130">
        <v>0</v>
      </c>
      <c r="P770" s="130">
        <v>0</v>
      </c>
      <c r="Q770" s="130">
        <v>0</v>
      </c>
      <c r="R770" s="130">
        <v>0</v>
      </c>
      <c r="S770" s="130">
        <v>0</v>
      </c>
      <c r="T770" s="130">
        <v>0</v>
      </c>
      <c r="U770" s="130">
        <v>0</v>
      </c>
      <c r="V770" s="524">
        <v>0</v>
      </c>
      <c r="W770" s="130">
        <v>0</v>
      </c>
      <c r="X770" s="130">
        <v>0</v>
      </c>
      <c r="Y770" s="130">
        <v>0</v>
      </c>
      <c r="Z770" s="130">
        <v>0</v>
      </c>
      <c r="AA770" s="158" t="s">
        <v>2078</v>
      </c>
      <c r="AB770" s="158"/>
      <c r="AC770" s="158"/>
      <c r="AD770" s="158"/>
      <c r="AE770" s="158" t="b">
        <f>IF(AB770="",TRUE,IF(IF(AC770="",VLOOKUP(AB770,Calculs!$A$19:$S$425,19,FALSE),VLOOKUP(AC770,Calculs!$A$19:$S$425,19,FALSE))&gt;=AD770,TRUE,FALSE))</f>
        <v>1</v>
      </c>
      <c r="AF770" s="158"/>
      <c r="AG770" s="158"/>
      <c r="AH770" s="158"/>
      <c r="AI770" s="158" t="b">
        <f>IF(AF770="",TRUE,IF(IF(AG770="",VLOOKUP(AF770,Calculs!$A$19:$S$425,19,FALSE),VLOOKUP(AG770,Calculs!$A$19:$S$425,19,FALSE))&gt;=AH770,TRUE,FALSE))</f>
        <v>1</v>
      </c>
      <c r="AJ770" s="158"/>
      <c r="AK770" s="158"/>
      <c r="AL770" s="158"/>
      <c r="AM770" s="158" t="b">
        <f>IF(AJ770="",TRUE,IF(IF(AK770="",VLOOKUP(AJ770,Calculs!$A$19:$S$425,19,FALSE),VLOOKUP(AK770,Calculs!$A$19:$S$425,19,FALSE))&gt;=AL770,TRUE,FALSE))</f>
        <v>1</v>
      </c>
      <c r="AN770" s="158"/>
      <c r="AO770" s="158"/>
      <c r="AP770" s="158"/>
      <c r="AQ770" s="158" t="b">
        <f>IF(AN770="",TRUE,IF(IF(AO770="",VLOOKUP(AN770,Calculs!$A$19:$S$425,19,FALSE),VLOOKUP(AO770,Calculs!$A$19:$S$425,19,FALSE))&gt;=AP770,TRUE,FALSE))</f>
        <v>1</v>
      </c>
      <c r="AR770" s="158"/>
      <c r="AS770" s="158" t="b">
        <f>IF(AR770="",TRUE,IF(VLOOKUP(AR770,Calculs!$A$427:$G$738,7,FALSE)&gt;0,TRUE,FALSE))</f>
        <v>1</v>
      </c>
      <c r="AT770" s="158"/>
      <c r="AU770" s="158" t="b">
        <f>IF(AT770="",TRUE,IF(VLOOKUP(AT770,Calculs!$A$740:$G$912,7,FALSE)&gt;0,TRUE,FALSE))</f>
        <v>1</v>
      </c>
      <c r="AV770" s="158" t="b">
        <f t="shared" si="80"/>
        <v>1</v>
      </c>
      <c r="AW770" s="158" t="s">
        <v>2078</v>
      </c>
      <c r="AX770" s="162" t="s">
        <v>7226</v>
      </c>
      <c r="AY770" s="15">
        <v>67</v>
      </c>
      <c r="AZ770" s="555" t="s">
        <v>7282</v>
      </c>
      <c r="BA770" s="559">
        <f>IF(Verso!$B$10=Voies!$B770,1,0)</f>
        <v>0</v>
      </c>
      <c r="BB770" s="12">
        <f>IF(Verso!$B$11=Voies!$B770,1,0)</f>
        <v>0</v>
      </c>
      <c r="BC770" s="12">
        <f>IF(Verso!$B$12=Voies!$B770,1,0)</f>
        <v>0</v>
      </c>
      <c r="BD770" s="12">
        <f>IF(Verso!$B$13=Voies!$B770,1,0)</f>
        <v>0</v>
      </c>
      <c r="BE770" s="12">
        <f>IF(Verso!$B$14=Voies!$B770,1,0)</f>
        <v>0</v>
      </c>
      <c r="BF770" s="12">
        <f>IF(Verso!$B$15=Voies!$B770,1,0)</f>
        <v>0</v>
      </c>
      <c r="BG770" s="12">
        <f>IF(Verso!$B$16=Voies!$B770,1,0)</f>
        <v>0</v>
      </c>
      <c r="BH770" s="12">
        <f>IF(Verso!$B$17=Voies!$B770,1,0)</f>
        <v>0</v>
      </c>
      <c r="BI770" s="557">
        <f t="shared" si="81"/>
        <v>0</v>
      </c>
      <c r="BJ770" s="196" t="str">
        <f t="shared" si="82"/>
        <v/>
      </c>
      <c r="BK770" s="196" t="str">
        <f t="shared" si="83"/>
        <v/>
      </c>
      <c r="BL770" s="295" t="str">
        <f t="shared" si="84"/>
        <v/>
      </c>
      <c r="BM770" s="91"/>
    </row>
    <row r="771" spans="1:65" s="196" customFormat="1" ht="47.25" customHeight="1" x14ac:dyDescent="0.25">
      <c r="A771" s="162" t="str">
        <f>IF(AND(Réputation&gt;Voies!E771-1,OR(C771=TRUE,Calculs!$I$8&gt;0),Air&gt;Voies!J771-1,Eau&gt;Voies!K771-1,Feu&gt;Voies!L771-1,Terre&gt;Voies!M771-1,Vide&gt;Voies!N771-1,Constitution&gt;Voies!O771-1,Volonté&gt;Voies!P771-1,Force&gt;Voies!Q771-1,Perception&gt;Voies!R771-1,Reflexes&gt;Voies!S771-1,Agilité&gt;Voies!T771-1,Intuition&gt;Voies!U771-1,Intelligence&gt;Voies!V771-1,Souillure&gt;Voies!W771-1,Honneur&gt;X771-1,Statut&gt;Y771-1,Gloire&gt;Z771-1,AV771=TRUE),Voies!B771,"")</f>
        <v/>
      </c>
      <c r="B771" s="162" t="s">
        <v>7273</v>
      </c>
      <c r="C771" s="162" t="b">
        <f>IF(Clan=Voies!D771,TRUE,FALSE)</f>
        <v>0</v>
      </c>
      <c r="D771" s="387" t="s">
        <v>7231</v>
      </c>
      <c r="E771" s="199">
        <v>4</v>
      </c>
      <c r="F771" s="199">
        <v>4</v>
      </c>
      <c r="G771" s="199" t="s">
        <v>2050</v>
      </c>
      <c r="H771" s="162" t="s">
        <v>7266</v>
      </c>
      <c r="I771" s="129" t="str">
        <f t="shared" si="87"/>
        <v>Rien</v>
      </c>
      <c r="J771" s="146">
        <v>0</v>
      </c>
      <c r="K771" s="147">
        <v>0</v>
      </c>
      <c r="L771" s="148">
        <v>0</v>
      </c>
      <c r="M771" s="149">
        <v>0</v>
      </c>
      <c r="N771" s="150">
        <v>0</v>
      </c>
      <c r="O771" s="130">
        <v>0</v>
      </c>
      <c r="P771" s="130">
        <v>0</v>
      </c>
      <c r="Q771" s="130">
        <v>0</v>
      </c>
      <c r="R771" s="130">
        <v>0</v>
      </c>
      <c r="S771" s="130">
        <v>0</v>
      </c>
      <c r="T771" s="130">
        <v>0</v>
      </c>
      <c r="U771" s="130">
        <v>0</v>
      </c>
      <c r="V771" s="524">
        <v>0</v>
      </c>
      <c r="W771" s="130">
        <v>0</v>
      </c>
      <c r="X771" s="130">
        <v>0</v>
      </c>
      <c r="Y771" s="130">
        <v>0</v>
      </c>
      <c r="Z771" s="130">
        <v>0</v>
      </c>
      <c r="AA771" s="158" t="s">
        <v>2078</v>
      </c>
      <c r="AB771" s="158"/>
      <c r="AC771" s="158"/>
      <c r="AD771" s="158"/>
      <c r="AE771" s="158" t="b">
        <f>IF(AB771="",TRUE,IF(IF(AC771="",VLOOKUP(AB771,Calculs!$A$19:$S$425,19,FALSE),VLOOKUP(AC771,Calculs!$A$19:$S$425,19,FALSE))&gt;=AD771,TRUE,FALSE))</f>
        <v>1</v>
      </c>
      <c r="AF771" s="158"/>
      <c r="AG771" s="158"/>
      <c r="AH771" s="158"/>
      <c r="AI771" s="158" t="b">
        <f>IF(AF771="",TRUE,IF(IF(AG771="",VLOOKUP(AF771,Calculs!$A$19:$S$425,19,FALSE),VLOOKUP(AG771,Calculs!$A$19:$S$425,19,FALSE))&gt;=AH771,TRUE,FALSE))</f>
        <v>1</v>
      </c>
      <c r="AJ771" s="158"/>
      <c r="AK771" s="158"/>
      <c r="AL771" s="158"/>
      <c r="AM771" s="158" t="b">
        <f>IF(AJ771="",TRUE,IF(IF(AK771="",VLOOKUP(AJ771,Calculs!$A$19:$S$425,19,FALSE),VLOOKUP(AK771,Calculs!$A$19:$S$425,19,FALSE))&gt;=AL771,TRUE,FALSE))</f>
        <v>1</v>
      </c>
      <c r="AN771" s="158"/>
      <c r="AO771" s="158"/>
      <c r="AP771" s="158"/>
      <c r="AQ771" s="158" t="b">
        <f>IF(AN771="",TRUE,IF(IF(AO771="",VLOOKUP(AN771,Calculs!$A$19:$S$425,19,FALSE),VLOOKUP(AO771,Calculs!$A$19:$S$425,19,FALSE))&gt;=AP771,TRUE,FALSE))</f>
        <v>1</v>
      </c>
      <c r="AR771" s="158"/>
      <c r="AS771" s="158" t="b">
        <f>IF(AR771="",TRUE,IF(VLOOKUP(AR771,Calculs!$A$427:$G$738,7,FALSE)&gt;0,TRUE,FALSE))</f>
        <v>1</v>
      </c>
      <c r="AT771" s="158"/>
      <c r="AU771" s="158" t="b">
        <f>IF(AT771="",TRUE,IF(VLOOKUP(AT771,Calculs!$A$740:$G$912,7,FALSE)&gt;0,TRUE,FALSE))</f>
        <v>1</v>
      </c>
      <c r="AV771" s="158" t="b">
        <f t="shared" ref="AV771:AV834" si="88">IF(AND(AE771=TRUE,AI771=TRUE,AM771=TRUE,AQ771=TRUE,AS771=TRUE,AU771=TRUE),TRUE,FALSE)</f>
        <v>1</v>
      </c>
      <c r="AW771" s="158" t="s">
        <v>2078</v>
      </c>
      <c r="AX771" s="162" t="s">
        <v>7226</v>
      </c>
      <c r="AY771" s="15">
        <v>67</v>
      </c>
      <c r="AZ771" s="555" t="s">
        <v>8679</v>
      </c>
      <c r="BA771" s="559">
        <f>IF(Verso!$B$10=Voies!$B771,1,0)</f>
        <v>0</v>
      </c>
      <c r="BB771" s="12">
        <f>IF(Verso!$B$11=Voies!$B771,1,0)</f>
        <v>0</v>
      </c>
      <c r="BC771" s="12">
        <f>IF(Verso!$B$12=Voies!$B771,1,0)</f>
        <v>0</v>
      </c>
      <c r="BD771" s="12">
        <f>IF(Verso!$B$13=Voies!$B771,1,0)</f>
        <v>0</v>
      </c>
      <c r="BE771" s="12">
        <f>IF(Verso!$B$14=Voies!$B771,1,0)</f>
        <v>0</v>
      </c>
      <c r="BF771" s="12">
        <f>IF(Verso!$B$15=Voies!$B771,1,0)</f>
        <v>0</v>
      </c>
      <c r="BG771" s="12">
        <f>IF(Verso!$B$16=Voies!$B771,1,0)</f>
        <v>0</v>
      </c>
      <c r="BH771" s="12">
        <f>IF(Verso!$B$17=Voies!$B771,1,0)</f>
        <v>0</v>
      </c>
      <c r="BI771" s="557">
        <f t="shared" ref="BI771:BI834" si="89">SUM(BA771:BH771)</f>
        <v>0</v>
      </c>
      <c r="BJ771" s="196" t="str">
        <f t="shared" si="82"/>
        <v/>
      </c>
      <c r="BK771" s="196" t="str">
        <f t="shared" si="83"/>
        <v/>
      </c>
      <c r="BL771" s="295" t="str">
        <f t="shared" si="84"/>
        <v/>
      </c>
      <c r="BM771" s="91"/>
    </row>
    <row r="772" spans="1:65" s="196" customFormat="1" ht="47.25" customHeight="1" x14ac:dyDescent="0.25">
      <c r="A772" s="162" t="str">
        <f>IF(AND(Réputation&gt;Voies!E772-1,OR(C772=TRUE,Calculs!$I$8&gt;0),Air&gt;Voies!J772-1,Eau&gt;Voies!K772-1,Feu&gt;Voies!L772-1,Terre&gt;Voies!M772-1,Vide&gt;Voies!N772-1,Constitution&gt;Voies!O772-1,Volonté&gt;Voies!P772-1,Force&gt;Voies!Q772-1,Perception&gt;Voies!R772-1,Reflexes&gt;Voies!S772-1,Agilité&gt;Voies!T772-1,Intuition&gt;Voies!U772-1,Intelligence&gt;Voies!V772-1,Souillure&gt;Voies!W772-1,Honneur&gt;X772-1,Statut&gt;Y772-1,Gloire&gt;Z772-1,AV772=TRUE),Voies!B772,"")</f>
        <v/>
      </c>
      <c r="B772" s="162" t="s">
        <v>7274</v>
      </c>
      <c r="C772" s="162" t="b">
        <f>IF(Clan=Voies!D772,TRUE,FALSE)</f>
        <v>0</v>
      </c>
      <c r="D772" s="387" t="s">
        <v>7231</v>
      </c>
      <c r="E772" s="199">
        <v>5</v>
      </c>
      <c r="F772" s="199">
        <v>5</v>
      </c>
      <c r="G772" s="199" t="s">
        <v>2050</v>
      </c>
      <c r="H772" s="162" t="s">
        <v>7266</v>
      </c>
      <c r="I772" s="129" t="str">
        <f t="shared" si="87"/>
        <v>Rien</v>
      </c>
      <c r="J772" s="146">
        <v>0</v>
      </c>
      <c r="K772" s="147">
        <v>0</v>
      </c>
      <c r="L772" s="148">
        <v>0</v>
      </c>
      <c r="M772" s="149">
        <v>0</v>
      </c>
      <c r="N772" s="150">
        <v>0</v>
      </c>
      <c r="O772" s="130">
        <v>0</v>
      </c>
      <c r="P772" s="130">
        <v>0</v>
      </c>
      <c r="Q772" s="130">
        <v>0</v>
      </c>
      <c r="R772" s="130">
        <v>0</v>
      </c>
      <c r="S772" s="130">
        <v>0</v>
      </c>
      <c r="T772" s="130">
        <v>0</v>
      </c>
      <c r="U772" s="130">
        <v>0</v>
      </c>
      <c r="V772" s="524">
        <v>0</v>
      </c>
      <c r="W772" s="130">
        <v>0</v>
      </c>
      <c r="X772" s="130">
        <v>0</v>
      </c>
      <c r="Y772" s="130">
        <v>0</v>
      </c>
      <c r="Z772" s="130">
        <v>0</v>
      </c>
      <c r="AA772" s="158" t="s">
        <v>2078</v>
      </c>
      <c r="AB772" s="158"/>
      <c r="AC772" s="158"/>
      <c r="AD772" s="158"/>
      <c r="AE772" s="158" t="b">
        <f>IF(AB772="",TRUE,IF(IF(AC772="",VLOOKUP(AB772,Calculs!$A$19:$S$425,19,FALSE),VLOOKUP(AC772,Calculs!$A$19:$S$425,19,FALSE))&gt;=AD772,TRUE,FALSE))</f>
        <v>1</v>
      </c>
      <c r="AF772" s="158"/>
      <c r="AG772" s="158"/>
      <c r="AH772" s="158"/>
      <c r="AI772" s="158" t="b">
        <f>IF(AF772="",TRUE,IF(IF(AG772="",VLOOKUP(AF772,Calculs!$A$19:$S$425,19,FALSE),VLOOKUP(AG772,Calculs!$A$19:$S$425,19,FALSE))&gt;=AH772,TRUE,FALSE))</f>
        <v>1</v>
      </c>
      <c r="AJ772" s="158"/>
      <c r="AK772" s="158"/>
      <c r="AL772" s="158"/>
      <c r="AM772" s="158" t="b">
        <f>IF(AJ772="",TRUE,IF(IF(AK772="",VLOOKUP(AJ772,Calculs!$A$19:$S$425,19,FALSE),VLOOKUP(AK772,Calculs!$A$19:$S$425,19,FALSE))&gt;=AL772,TRUE,FALSE))</f>
        <v>1</v>
      </c>
      <c r="AN772" s="158"/>
      <c r="AO772" s="158"/>
      <c r="AP772" s="158"/>
      <c r="AQ772" s="158" t="b">
        <f>IF(AN772="",TRUE,IF(IF(AO772="",VLOOKUP(AN772,Calculs!$A$19:$S$425,19,FALSE),VLOOKUP(AO772,Calculs!$A$19:$S$425,19,FALSE))&gt;=AP772,TRUE,FALSE))</f>
        <v>1</v>
      </c>
      <c r="AR772" s="158"/>
      <c r="AS772" s="158" t="b">
        <f>IF(AR772="",TRUE,IF(VLOOKUP(AR772,Calculs!$A$427:$G$738,7,FALSE)&gt;0,TRUE,FALSE))</f>
        <v>1</v>
      </c>
      <c r="AT772" s="158"/>
      <c r="AU772" s="158" t="b">
        <f>IF(AT772="",TRUE,IF(VLOOKUP(AT772,Calculs!$A$740:$G$912,7,FALSE)&gt;0,TRUE,FALSE))</f>
        <v>1</v>
      </c>
      <c r="AV772" s="158" t="b">
        <f t="shared" si="88"/>
        <v>1</v>
      </c>
      <c r="AW772" s="158" t="s">
        <v>2078</v>
      </c>
      <c r="AX772" s="162" t="s">
        <v>7226</v>
      </c>
      <c r="AY772" s="15">
        <v>67</v>
      </c>
      <c r="AZ772" s="555" t="s">
        <v>7283</v>
      </c>
      <c r="BA772" s="559">
        <f>IF(Verso!$B$10=Voies!$B772,1,0)</f>
        <v>0</v>
      </c>
      <c r="BB772" s="12">
        <f>IF(Verso!$B$11=Voies!$B772,1,0)</f>
        <v>0</v>
      </c>
      <c r="BC772" s="12">
        <f>IF(Verso!$B$12=Voies!$B772,1,0)</f>
        <v>0</v>
      </c>
      <c r="BD772" s="12">
        <f>IF(Verso!$B$13=Voies!$B772,1,0)</f>
        <v>0</v>
      </c>
      <c r="BE772" s="12">
        <f>IF(Verso!$B$14=Voies!$B772,1,0)</f>
        <v>0</v>
      </c>
      <c r="BF772" s="12">
        <f>IF(Verso!$B$15=Voies!$B772,1,0)</f>
        <v>0</v>
      </c>
      <c r="BG772" s="12">
        <f>IF(Verso!$B$16=Voies!$B772,1,0)</f>
        <v>0</v>
      </c>
      <c r="BH772" s="12">
        <f>IF(Verso!$B$17=Voies!$B772,1,0)</f>
        <v>0</v>
      </c>
      <c r="BI772" s="557">
        <f t="shared" si="89"/>
        <v>0</v>
      </c>
      <c r="BJ772" s="196" t="str">
        <f t="shared" ref="BJ772:BJ835" si="90">IF(A772="","",ROW())</f>
        <v/>
      </c>
      <c r="BK772" s="196" t="str">
        <f t="shared" ref="BK772:BK835" si="91">IFERROR(SMALL(BJ:BJ,ROW()-2),"")</f>
        <v/>
      </c>
      <c r="BL772" s="295" t="str">
        <f t="shared" ref="BL772:BL835" si="92">IFERROR(INDEX(A:A,BK772),"")</f>
        <v/>
      </c>
      <c r="BM772" s="91"/>
    </row>
    <row r="773" spans="1:65" s="196" customFormat="1" ht="47.25" customHeight="1" x14ac:dyDescent="0.25">
      <c r="A773" s="162" t="str">
        <f>IF(AND(Réputation&gt;Voies!E773-1,OR(C773=TRUE,Calculs!$I$8&gt;0),Air&gt;Voies!J773-1,Eau&gt;Voies!K773-1,Feu&gt;Voies!L773-1,Terre&gt;Voies!M773-1,Vide&gt;Voies!N773-1,Constitution&gt;Voies!O773-1,Volonté&gt;Voies!P773-1,Force&gt;Voies!Q773-1,Perception&gt;Voies!R773-1,Reflexes&gt;Voies!S773-1,Agilité&gt;Voies!T773-1,Intuition&gt;Voies!U773-1,Intelligence&gt;Voies!V773-1,Souillure&gt;Voies!W773-1,Honneur&gt;X773-1,Statut&gt;Y773-1,Gloire&gt;Z773-1,AV773=TRUE),Voies!B773,"")</f>
        <v/>
      </c>
      <c r="B773" s="162" t="s">
        <v>7210</v>
      </c>
      <c r="C773" s="162" t="b">
        <f>IF(Clan=Voies!D773,TRUE,FALSE)</f>
        <v>0</v>
      </c>
      <c r="D773" s="387" t="s">
        <v>6806</v>
      </c>
      <c r="E773" s="199">
        <v>1</v>
      </c>
      <c r="F773" s="199">
        <v>1</v>
      </c>
      <c r="G773" s="199" t="s">
        <v>2049</v>
      </c>
      <c r="H773" s="162" t="s">
        <v>7099</v>
      </c>
      <c r="I773" s="129" t="str">
        <f t="shared" si="87"/>
        <v>Rien</v>
      </c>
      <c r="J773" s="146">
        <v>0</v>
      </c>
      <c r="K773" s="147">
        <v>0</v>
      </c>
      <c r="L773" s="148">
        <v>0</v>
      </c>
      <c r="M773" s="149">
        <v>0</v>
      </c>
      <c r="N773" s="150">
        <v>0</v>
      </c>
      <c r="O773" s="130">
        <v>0</v>
      </c>
      <c r="P773" s="130">
        <v>0</v>
      </c>
      <c r="Q773" s="130">
        <v>0</v>
      </c>
      <c r="R773" s="130">
        <v>0</v>
      </c>
      <c r="S773" s="130">
        <v>0</v>
      </c>
      <c r="T773" s="130">
        <v>0</v>
      </c>
      <c r="U773" s="130">
        <v>0</v>
      </c>
      <c r="V773" s="524">
        <v>0</v>
      </c>
      <c r="W773" s="130">
        <v>0</v>
      </c>
      <c r="X773" s="130">
        <v>0</v>
      </c>
      <c r="Y773" s="130">
        <v>0</v>
      </c>
      <c r="Z773" s="130">
        <v>0</v>
      </c>
      <c r="AA773" s="158" t="s">
        <v>2078</v>
      </c>
      <c r="AB773" s="158"/>
      <c r="AC773" s="158"/>
      <c r="AD773" s="158"/>
      <c r="AE773" s="158" t="b">
        <f>IF(AB773="",TRUE,IF(IF(AC773="",VLOOKUP(AB773,Calculs!$A$19:$S$425,19,FALSE),VLOOKUP(AC773,Calculs!$A$19:$S$425,19,FALSE))&gt;=AD773,TRUE,FALSE))</f>
        <v>1</v>
      </c>
      <c r="AF773" s="158"/>
      <c r="AG773" s="158"/>
      <c r="AH773" s="158"/>
      <c r="AI773" s="158" t="b">
        <f>IF(AF773="",TRUE,IF(IF(AG773="",VLOOKUP(AF773,Calculs!$A$19:$S$425,19,FALSE),VLOOKUP(AG773,Calculs!$A$19:$S$425,19,FALSE))&gt;=AH773,TRUE,FALSE))</f>
        <v>1</v>
      </c>
      <c r="AJ773" s="158"/>
      <c r="AK773" s="158"/>
      <c r="AL773" s="158"/>
      <c r="AM773" s="158" t="b">
        <f>IF(AJ773="",TRUE,IF(IF(AK773="",VLOOKUP(AJ773,Calculs!$A$19:$S$425,19,FALSE),VLOOKUP(AK773,Calculs!$A$19:$S$425,19,FALSE))&gt;=AL773,TRUE,FALSE))</f>
        <v>1</v>
      </c>
      <c r="AN773" s="158"/>
      <c r="AO773" s="158"/>
      <c r="AP773" s="158"/>
      <c r="AQ773" s="158" t="b">
        <f>IF(AN773="",TRUE,IF(IF(AO773="",VLOOKUP(AN773,Calculs!$A$19:$S$425,19,FALSE),VLOOKUP(AO773,Calculs!$A$19:$S$425,19,FALSE))&gt;=AP773,TRUE,FALSE))</f>
        <v>1</v>
      </c>
      <c r="AR773" s="158"/>
      <c r="AS773" s="158" t="b">
        <f>IF(AR773="",TRUE,IF(VLOOKUP(AR773,Calculs!$A$427:$G$738,7,FALSE)&gt;0,TRUE,FALSE))</f>
        <v>1</v>
      </c>
      <c r="AT773" s="158"/>
      <c r="AU773" s="158" t="b">
        <f>IF(AT773="",TRUE,IF(VLOOKUP(AT773,Calculs!$A$740:$G$912,7,FALSE)&gt;0,TRUE,FALSE))</f>
        <v>1</v>
      </c>
      <c r="AV773" s="158" t="b">
        <f t="shared" si="88"/>
        <v>1</v>
      </c>
      <c r="AW773" s="158" t="s">
        <v>2078</v>
      </c>
      <c r="AX773" s="162" t="s">
        <v>6816</v>
      </c>
      <c r="AY773" s="15">
        <v>134</v>
      </c>
      <c r="AZ773" s="566" t="s">
        <v>8680</v>
      </c>
      <c r="BA773" s="559">
        <f>IF(Verso!$B$10=Voies!$B773,1,0)</f>
        <v>0</v>
      </c>
      <c r="BB773" s="12">
        <f>IF(Verso!$B$11=Voies!$B773,1,0)</f>
        <v>0</v>
      </c>
      <c r="BC773" s="12">
        <f>IF(Verso!$B$12=Voies!$B773,1,0)</f>
        <v>0</v>
      </c>
      <c r="BD773" s="12">
        <f>IF(Verso!$B$13=Voies!$B773,1,0)</f>
        <v>0</v>
      </c>
      <c r="BE773" s="12">
        <f>IF(Verso!$B$14=Voies!$B773,1,0)</f>
        <v>0</v>
      </c>
      <c r="BF773" s="12">
        <f>IF(Verso!$B$15=Voies!$B773,1,0)</f>
        <v>0</v>
      </c>
      <c r="BG773" s="12">
        <f>IF(Verso!$B$16=Voies!$B773,1,0)</f>
        <v>0</v>
      </c>
      <c r="BH773" s="12">
        <f>IF(Verso!$B$17=Voies!$B773,1,0)</f>
        <v>0</v>
      </c>
      <c r="BI773" s="557">
        <f t="shared" si="89"/>
        <v>0</v>
      </c>
      <c r="BJ773" s="196" t="str">
        <f t="shared" si="90"/>
        <v/>
      </c>
      <c r="BK773" s="196" t="str">
        <f t="shared" si="91"/>
        <v/>
      </c>
      <c r="BL773" s="295" t="str">
        <f t="shared" si="92"/>
        <v/>
      </c>
      <c r="BM773" s="91"/>
    </row>
    <row r="774" spans="1:65" s="196" customFormat="1" ht="47.25" customHeight="1" x14ac:dyDescent="0.25">
      <c r="A774" s="162" t="str">
        <f>IF(AND(Réputation&gt;Voies!E774-1,OR(C774=TRUE,Calculs!$I$8&gt;0),Air&gt;Voies!J774-1,Eau&gt;Voies!K774-1,Feu&gt;Voies!L774-1,Terre&gt;Voies!M774-1,Vide&gt;Voies!N774-1,Constitution&gt;Voies!O774-1,Volonté&gt;Voies!P774-1,Force&gt;Voies!Q774-1,Perception&gt;Voies!R774-1,Reflexes&gt;Voies!S774-1,Agilité&gt;Voies!T774-1,Intuition&gt;Voies!U774-1,Intelligence&gt;Voies!V774-1,Souillure&gt;Voies!W774-1,Honneur&gt;X774-1,Statut&gt;Y774-1,Gloire&gt;Z774-1,AV774=TRUE),Voies!B774,"")</f>
        <v/>
      </c>
      <c r="B774" s="162" t="s">
        <v>7211</v>
      </c>
      <c r="C774" s="162" t="b">
        <f>IF(Clan=Voies!D774,TRUE,FALSE)</f>
        <v>0</v>
      </c>
      <c r="D774" s="387" t="s">
        <v>6806</v>
      </c>
      <c r="E774" s="199">
        <v>2</v>
      </c>
      <c r="F774" s="199">
        <v>2</v>
      </c>
      <c r="G774" s="199" t="s">
        <v>2049</v>
      </c>
      <c r="H774" s="162" t="s">
        <v>7099</v>
      </c>
      <c r="I774" s="129" t="str">
        <f t="shared" si="87"/>
        <v>Rien</v>
      </c>
      <c r="J774" s="146">
        <v>0</v>
      </c>
      <c r="K774" s="147">
        <v>0</v>
      </c>
      <c r="L774" s="148">
        <v>0</v>
      </c>
      <c r="M774" s="149">
        <v>0</v>
      </c>
      <c r="N774" s="150">
        <v>0</v>
      </c>
      <c r="O774" s="130">
        <v>0</v>
      </c>
      <c r="P774" s="130">
        <v>0</v>
      </c>
      <c r="Q774" s="130">
        <v>0</v>
      </c>
      <c r="R774" s="130">
        <v>0</v>
      </c>
      <c r="S774" s="130">
        <v>0</v>
      </c>
      <c r="T774" s="130">
        <v>0</v>
      </c>
      <c r="U774" s="130">
        <v>0</v>
      </c>
      <c r="V774" s="524">
        <v>0</v>
      </c>
      <c r="W774" s="130">
        <v>0</v>
      </c>
      <c r="X774" s="130">
        <v>0</v>
      </c>
      <c r="Y774" s="130">
        <v>0</v>
      </c>
      <c r="Z774" s="130">
        <v>0</v>
      </c>
      <c r="AA774" s="158" t="s">
        <v>2078</v>
      </c>
      <c r="AB774" s="158"/>
      <c r="AC774" s="158"/>
      <c r="AD774" s="158"/>
      <c r="AE774" s="158" t="b">
        <f>IF(AB774="",TRUE,IF(IF(AC774="",VLOOKUP(AB774,Calculs!$A$19:$S$425,19,FALSE),VLOOKUP(AC774,Calculs!$A$19:$S$425,19,FALSE))&gt;=AD774,TRUE,FALSE))</f>
        <v>1</v>
      </c>
      <c r="AF774" s="158"/>
      <c r="AG774" s="158"/>
      <c r="AH774" s="158"/>
      <c r="AI774" s="158" t="b">
        <f>IF(AF774="",TRUE,IF(IF(AG774="",VLOOKUP(AF774,Calculs!$A$19:$S$425,19,FALSE),VLOOKUP(AG774,Calculs!$A$19:$S$425,19,FALSE))&gt;=AH774,TRUE,FALSE))</f>
        <v>1</v>
      </c>
      <c r="AJ774" s="158"/>
      <c r="AK774" s="158"/>
      <c r="AL774" s="158"/>
      <c r="AM774" s="158" t="b">
        <f>IF(AJ774="",TRUE,IF(IF(AK774="",VLOOKUP(AJ774,Calculs!$A$19:$S$425,19,FALSE),VLOOKUP(AK774,Calculs!$A$19:$S$425,19,FALSE))&gt;=AL774,TRUE,FALSE))</f>
        <v>1</v>
      </c>
      <c r="AN774" s="158"/>
      <c r="AO774" s="158"/>
      <c r="AP774" s="158"/>
      <c r="AQ774" s="158" t="b">
        <f>IF(AN774="",TRUE,IF(IF(AO774="",VLOOKUP(AN774,Calculs!$A$19:$S$425,19,FALSE),VLOOKUP(AO774,Calculs!$A$19:$S$425,19,FALSE))&gt;=AP774,TRUE,FALSE))</f>
        <v>1</v>
      </c>
      <c r="AR774" s="158"/>
      <c r="AS774" s="158" t="b">
        <f>IF(AR774="",TRUE,IF(VLOOKUP(AR774,Calculs!$A$427:$G$738,7,FALSE)&gt;0,TRUE,FALSE))</f>
        <v>1</v>
      </c>
      <c r="AT774" s="158"/>
      <c r="AU774" s="158" t="b">
        <f>IF(AT774="",TRUE,IF(VLOOKUP(AT774,Calculs!$A$740:$G$912,7,FALSE)&gt;0,TRUE,FALSE))</f>
        <v>1</v>
      </c>
      <c r="AV774" s="158" t="b">
        <f t="shared" si="88"/>
        <v>1</v>
      </c>
      <c r="AW774" s="158" t="s">
        <v>2078</v>
      </c>
      <c r="AX774" s="162" t="s">
        <v>6816</v>
      </c>
      <c r="AY774" s="15">
        <v>135</v>
      </c>
      <c r="AZ774" s="566" t="s">
        <v>7218</v>
      </c>
      <c r="BA774" s="559">
        <f>IF(Verso!$B$10=Voies!$B774,1,0)</f>
        <v>0</v>
      </c>
      <c r="BB774" s="12">
        <f>IF(Verso!$B$11=Voies!$B774,1,0)</f>
        <v>0</v>
      </c>
      <c r="BC774" s="12">
        <f>IF(Verso!$B$12=Voies!$B774,1,0)</f>
        <v>0</v>
      </c>
      <c r="BD774" s="12">
        <f>IF(Verso!$B$13=Voies!$B774,1,0)</f>
        <v>0</v>
      </c>
      <c r="BE774" s="12">
        <f>IF(Verso!$B$14=Voies!$B774,1,0)</f>
        <v>0</v>
      </c>
      <c r="BF774" s="12">
        <f>IF(Verso!$B$15=Voies!$B774,1,0)</f>
        <v>0</v>
      </c>
      <c r="BG774" s="12">
        <f>IF(Verso!$B$16=Voies!$B774,1,0)</f>
        <v>0</v>
      </c>
      <c r="BH774" s="12">
        <f>IF(Verso!$B$17=Voies!$B774,1,0)</f>
        <v>0</v>
      </c>
      <c r="BI774" s="557">
        <f t="shared" si="89"/>
        <v>0</v>
      </c>
      <c r="BJ774" s="196" t="str">
        <f t="shared" si="90"/>
        <v/>
      </c>
      <c r="BK774" s="196" t="str">
        <f t="shared" si="91"/>
        <v/>
      </c>
      <c r="BL774" s="295" t="str">
        <f t="shared" si="92"/>
        <v/>
      </c>
      <c r="BM774" s="91"/>
    </row>
    <row r="775" spans="1:65" s="196" customFormat="1" ht="47.25" customHeight="1" x14ac:dyDescent="0.25">
      <c r="A775" s="162" t="str">
        <f>IF(AND(Réputation&gt;Voies!E775-1,OR(C775=TRUE,Calculs!$I$8&gt;0),Air&gt;Voies!J775-1,Eau&gt;Voies!K775-1,Feu&gt;Voies!L775-1,Terre&gt;Voies!M775-1,Vide&gt;Voies!N775-1,Constitution&gt;Voies!O775-1,Volonté&gt;Voies!P775-1,Force&gt;Voies!Q775-1,Perception&gt;Voies!R775-1,Reflexes&gt;Voies!S775-1,Agilité&gt;Voies!T775-1,Intuition&gt;Voies!U775-1,Intelligence&gt;Voies!V775-1,Souillure&gt;Voies!W775-1,Honneur&gt;X775-1,Statut&gt;Y775-1,Gloire&gt;Z775-1,AV775=TRUE),Voies!B775,"")</f>
        <v/>
      </c>
      <c r="B775" s="162" t="s">
        <v>7212</v>
      </c>
      <c r="C775" s="162" t="b">
        <f>IF(Clan=Voies!D775,TRUE,FALSE)</f>
        <v>0</v>
      </c>
      <c r="D775" s="387" t="s">
        <v>6806</v>
      </c>
      <c r="E775" s="199">
        <v>3</v>
      </c>
      <c r="F775" s="199">
        <v>3</v>
      </c>
      <c r="G775" s="199" t="s">
        <v>2049</v>
      </c>
      <c r="H775" s="162" t="s">
        <v>7099</v>
      </c>
      <c r="I775" s="129" t="str">
        <f t="shared" si="87"/>
        <v>Rien</v>
      </c>
      <c r="J775" s="146">
        <v>0</v>
      </c>
      <c r="K775" s="147">
        <v>0</v>
      </c>
      <c r="L775" s="148">
        <v>0</v>
      </c>
      <c r="M775" s="149">
        <v>0</v>
      </c>
      <c r="N775" s="150">
        <v>0</v>
      </c>
      <c r="O775" s="130">
        <v>0</v>
      </c>
      <c r="P775" s="130">
        <v>0</v>
      </c>
      <c r="Q775" s="130">
        <v>0</v>
      </c>
      <c r="R775" s="130">
        <v>0</v>
      </c>
      <c r="S775" s="130">
        <v>0</v>
      </c>
      <c r="T775" s="130">
        <v>0</v>
      </c>
      <c r="U775" s="130">
        <v>0</v>
      </c>
      <c r="V775" s="524">
        <v>0</v>
      </c>
      <c r="W775" s="130">
        <v>0</v>
      </c>
      <c r="X775" s="130">
        <v>0</v>
      </c>
      <c r="Y775" s="130">
        <v>0</v>
      </c>
      <c r="Z775" s="130">
        <v>0</v>
      </c>
      <c r="AA775" s="158" t="s">
        <v>2078</v>
      </c>
      <c r="AB775" s="158"/>
      <c r="AC775" s="158"/>
      <c r="AD775" s="158"/>
      <c r="AE775" s="158" t="b">
        <f>IF(AB775="",TRUE,IF(IF(AC775="",VLOOKUP(AB775,Calculs!$A$19:$S$425,19,FALSE),VLOOKUP(AC775,Calculs!$A$19:$S$425,19,FALSE))&gt;=AD775,TRUE,FALSE))</f>
        <v>1</v>
      </c>
      <c r="AF775" s="158"/>
      <c r="AG775" s="158"/>
      <c r="AH775" s="158"/>
      <c r="AI775" s="158" t="b">
        <f>IF(AF775="",TRUE,IF(IF(AG775="",VLOOKUP(AF775,Calculs!$A$19:$S$425,19,FALSE),VLOOKUP(AG775,Calculs!$A$19:$S$425,19,FALSE))&gt;=AH775,TRUE,FALSE))</f>
        <v>1</v>
      </c>
      <c r="AJ775" s="158"/>
      <c r="AK775" s="158"/>
      <c r="AL775" s="158"/>
      <c r="AM775" s="158" t="b">
        <f>IF(AJ775="",TRUE,IF(IF(AK775="",VLOOKUP(AJ775,Calculs!$A$19:$S$425,19,FALSE),VLOOKUP(AK775,Calculs!$A$19:$S$425,19,FALSE))&gt;=AL775,TRUE,FALSE))</f>
        <v>1</v>
      </c>
      <c r="AN775" s="158"/>
      <c r="AO775" s="158"/>
      <c r="AP775" s="158"/>
      <c r="AQ775" s="158" t="b">
        <f>IF(AN775="",TRUE,IF(IF(AO775="",VLOOKUP(AN775,Calculs!$A$19:$S$425,19,FALSE),VLOOKUP(AO775,Calculs!$A$19:$S$425,19,FALSE))&gt;=AP775,TRUE,FALSE))</f>
        <v>1</v>
      </c>
      <c r="AR775" s="158"/>
      <c r="AS775" s="158" t="b">
        <f>IF(AR775="",TRUE,IF(VLOOKUP(AR775,Calculs!$A$427:$G$738,7,FALSE)&gt;0,TRUE,FALSE))</f>
        <v>1</v>
      </c>
      <c r="AT775" s="158"/>
      <c r="AU775" s="158" t="b">
        <f>IF(AT775="",TRUE,IF(VLOOKUP(AT775,Calculs!$A$740:$G$912,7,FALSE)&gt;0,TRUE,FALSE))</f>
        <v>1</v>
      </c>
      <c r="AV775" s="158" t="b">
        <f t="shared" si="88"/>
        <v>1</v>
      </c>
      <c r="AW775" s="158" t="s">
        <v>2078</v>
      </c>
      <c r="AX775" s="162" t="s">
        <v>6816</v>
      </c>
      <c r="AY775" s="15">
        <v>135</v>
      </c>
      <c r="AZ775" s="555" t="str">
        <f>CONCATENATE("En Manoeuvre de Garde vous pouvez étendre votre protection à ",Air,"  personnes. Vous ne perdez plus aucun Honneur pour user de Tentation (Séduction).")</f>
        <v>En Manoeuvre de Garde vous pouvez étendre votre protection à 2  personnes. Vous ne perdez plus aucun Honneur pour user de Tentation (Séduction).</v>
      </c>
      <c r="BA775" s="559">
        <f>IF(Verso!$B$10=Voies!$B775,1,0)</f>
        <v>0</v>
      </c>
      <c r="BB775" s="12">
        <f>IF(Verso!$B$11=Voies!$B775,1,0)</f>
        <v>0</v>
      </c>
      <c r="BC775" s="12">
        <f>IF(Verso!$B$12=Voies!$B775,1,0)</f>
        <v>0</v>
      </c>
      <c r="BD775" s="12">
        <f>IF(Verso!$B$13=Voies!$B775,1,0)</f>
        <v>0</v>
      </c>
      <c r="BE775" s="12">
        <f>IF(Verso!$B$14=Voies!$B775,1,0)</f>
        <v>0</v>
      </c>
      <c r="BF775" s="12">
        <f>IF(Verso!$B$15=Voies!$B775,1,0)</f>
        <v>0</v>
      </c>
      <c r="BG775" s="12">
        <f>IF(Verso!$B$16=Voies!$B775,1,0)</f>
        <v>0</v>
      </c>
      <c r="BH775" s="12">
        <f>IF(Verso!$B$17=Voies!$B775,1,0)</f>
        <v>0</v>
      </c>
      <c r="BI775" s="557">
        <f t="shared" si="89"/>
        <v>0</v>
      </c>
      <c r="BJ775" s="196" t="str">
        <f t="shared" si="90"/>
        <v/>
      </c>
      <c r="BK775" s="196" t="str">
        <f t="shared" si="91"/>
        <v/>
      </c>
      <c r="BL775" s="295" t="str">
        <f t="shared" si="92"/>
        <v/>
      </c>
      <c r="BM775" s="91"/>
    </row>
    <row r="776" spans="1:65" s="196" customFormat="1" ht="47.25" customHeight="1" x14ac:dyDescent="0.25">
      <c r="A776" s="162" t="str">
        <f>IF(AND(Réputation&gt;Voies!E776-1,OR(C776=TRUE,Calculs!$I$8&gt;0),Air&gt;Voies!J776-1,Eau&gt;Voies!K776-1,Feu&gt;Voies!L776-1,Terre&gt;Voies!M776-1,Vide&gt;Voies!N776-1,Constitution&gt;Voies!O776-1,Volonté&gt;Voies!P776-1,Force&gt;Voies!Q776-1,Perception&gt;Voies!R776-1,Reflexes&gt;Voies!S776-1,Agilité&gt;Voies!T776-1,Intuition&gt;Voies!U776-1,Intelligence&gt;Voies!V776-1,Souillure&gt;Voies!W776-1,Honneur&gt;X776-1,Statut&gt;Y776-1,Gloire&gt;Z776-1,AV776=TRUE),Voies!B776,"")</f>
        <v/>
      </c>
      <c r="B776" s="162" t="s">
        <v>7213</v>
      </c>
      <c r="C776" s="162" t="b">
        <f>IF(Clan=Voies!D776,TRUE,FALSE)</f>
        <v>0</v>
      </c>
      <c r="D776" s="387" t="s">
        <v>6806</v>
      </c>
      <c r="E776" s="199">
        <v>4</v>
      </c>
      <c r="F776" s="199">
        <v>4</v>
      </c>
      <c r="G776" s="199" t="s">
        <v>2049</v>
      </c>
      <c r="H776" s="162" t="s">
        <v>7099</v>
      </c>
      <c r="I776" s="129" t="str">
        <f t="shared" si="87"/>
        <v>Rien</v>
      </c>
      <c r="J776" s="146">
        <v>0</v>
      </c>
      <c r="K776" s="147">
        <v>0</v>
      </c>
      <c r="L776" s="148">
        <v>0</v>
      </c>
      <c r="M776" s="149">
        <v>0</v>
      </c>
      <c r="N776" s="150">
        <v>0</v>
      </c>
      <c r="O776" s="130">
        <v>0</v>
      </c>
      <c r="P776" s="130">
        <v>0</v>
      </c>
      <c r="Q776" s="130">
        <v>0</v>
      </c>
      <c r="R776" s="130">
        <v>0</v>
      </c>
      <c r="S776" s="130">
        <v>0</v>
      </c>
      <c r="T776" s="130">
        <v>0</v>
      </c>
      <c r="U776" s="130">
        <v>0</v>
      </c>
      <c r="V776" s="524">
        <v>0</v>
      </c>
      <c r="W776" s="130">
        <v>0</v>
      </c>
      <c r="X776" s="130">
        <v>0</v>
      </c>
      <c r="Y776" s="130">
        <v>0</v>
      </c>
      <c r="Z776" s="130">
        <v>0</v>
      </c>
      <c r="AA776" s="158" t="s">
        <v>2078</v>
      </c>
      <c r="AB776" s="158"/>
      <c r="AC776" s="158"/>
      <c r="AD776" s="158"/>
      <c r="AE776" s="158" t="b">
        <f>IF(AB776="",TRUE,IF(IF(AC776="",VLOOKUP(AB776,Calculs!$A$19:$S$425,19,FALSE),VLOOKUP(AC776,Calculs!$A$19:$S$425,19,FALSE))&gt;=AD776,TRUE,FALSE))</f>
        <v>1</v>
      </c>
      <c r="AF776" s="158"/>
      <c r="AG776" s="158"/>
      <c r="AH776" s="158"/>
      <c r="AI776" s="158" t="b">
        <f>IF(AF776="",TRUE,IF(IF(AG776="",VLOOKUP(AF776,Calculs!$A$19:$S$425,19,FALSE),VLOOKUP(AG776,Calculs!$A$19:$S$425,19,FALSE))&gt;=AH776,TRUE,FALSE))</f>
        <v>1</v>
      </c>
      <c r="AJ776" s="158"/>
      <c r="AK776" s="158"/>
      <c r="AL776" s="158"/>
      <c r="AM776" s="158" t="b">
        <f>IF(AJ776="",TRUE,IF(IF(AK776="",VLOOKUP(AJ776,Calculs!$A$19:$S$425,19,FALSE),VLOOKUP(AK776,Calculs!$A$19:$S$425,19,FALSE))&gt;=AL776,TRUE,FALSE))</f>
        <v>1</v>
      </c>
      <c r="AN776" s="158"/>
      <c r="AO776" s="158"/>
      <c r="AP776" s="158"/>
      <c r="AQ776" s="158" t="b">
        <f>IF(AN776="",TRUE,IF(IF(AO776="",VLOOKUP(AN776,Calculs!$A$19:$S$425,19,FALSE),VLOOKUP(AO776,Calculs!$A$19:$S$425,19,FALSE))&gt;=AP776,TRUE,FALSE))</f>
        <v>1</v>
      </c>
      <c r="AR776" s="158"/>
      <c r="AS776" s="158" t="b">
        <f>IF(AR776="",TRUE,IF(VLOOKUP(AR776,Calculs!$A$427:$G$738,7,FALSE)&gt;0,TRUE,FALSE))</f>
        <v>1</v>
      </c>
      <c r="AT776" s="158"/>
      <c r="AU776" s="158" t="b">
        <f>IF(AT776="",TRUE,IF(VLOOKUP(AT776,Calculs!$A$740:$G$912,7,FALSE)&gt;0,TRUE,FALSE))</f>
        <v>1</v>
      </c>
      <c r="AV776" s="158" t="b">
        <f t="shared" si="88"/>
        <v>1</v>
      </c>
      <c r="AW776" s="158" t="s">
        <v>2078</v>
      </c>
      <c r="AX776" s="162" t="s">
        <v>6816</v>
      </c>
      <c r="AY776" s="15">
        <v>135</v>
      </c>
      <c r="AZ776" s="555" t="s">
        <v>6841</v>
      </c>
      <c r="BA776" s="559">
        <f>IF(Verso!$B$10=Voies!$B776,1,0)</f>
        <v>0</v>
      </c>
      <c r="BB776" s="12">
        <f>IF(Verso!$B$11=Voies!$B776,1,0)</f>
        <v>0</v>
      </c>
      <c r="BC776" s="12">
        <f>IF(Verso!$B$12=Voies!$B776,1,0)</f>
        <v>0</v>
      </c>
      <c r="BD776" s="12">
        <f>IF(Verso!$B$13=Voies!$B776,1,0)</f>
        <v>0</v>
      </c>
      <c r="BE776" s="12">
        <f>IF(Verso!$B$14=Voies!$B776,1,0)</f>
        <v>0</v>
      </c>
      <c r="BF776" s="12">
        <f>IF(Verso!$B$15=Voies!$B776,1,0)</f>
        <v>0</v>
      </c>
      <c r="BG776" s="12">
        <f>IF(Verso!$B$16=Voies!$B776,1,0)</f>
        <v>0</v>
      </c>
      <c r="BH776" s="12">
        <f>IF(Verso!$B$17=Voies!$B776,1,0)</f>
        <v>0</v>
      </c>
      <c r="BI776" s="557">
        <f t="shared" si="89"/>
        <v>0</v>
      </c>
      <c r="BJ776" s="196" t="str">
        <f t="shared" si="90"/>
        <v/>
      </c>
      <c r="BK776" s="196" t="str">
        <f t="shared" si="91"/>
        <v/>
      </c>
      <c r="BL776" s="295" t="str">
        <f t="shared" si="92"/>
        <v/>
      </c>
      <c r="BM776" s="91"/>
    </row>
    <row r="777" spans="1:65" s="196" customFormat="1" ht="47.25" customHeight="1" x14ac:dyDescent="0.25">
      <c r="A777" s="162" t="str">
        <f>IF(AND(Réputation&gt;Voies!E777-1,OR(C777=TRUE,Calculs!$I$8&gt;0),Air&gt;Voies!J777-1,Eau&gt;Voies!K777-1,Feu&gt;Voies!L777-1,Terre&gt;Voies!M777-1,Vide&gt;Voies!N777-1,Constitution&gt;Voies!O777-1,Volonté&gt;Voies!P777-1,Force&gt;Voies!Q777-1,Perception&gt;Voies!R777-1,Reflexes&gt;Voies!S777-1,Agilité&gt;Voies!T777-1,Intuition&gt;Voies!U777-1,Intelligence&gt;Voies!V777-1,Souillure&gt;Voies!W777-1,Honneur&gt;X777-1,Statut&gt;Y777-1,Gloire&gt;Z777-1,AV777=TRUE),Voies!B777,"")</f>
        <v/>
      </c>
      <c r="B777" s="162" t="s">
        <v>7214</v>
      </c>
      <c r="C777" s="162" t="b">
        <f>IF(Clan=Voies!D777,TRUE,FALSE)</f>
        <v>0</v>
      </c>
      <c r="D777" s="387" t="s">
        <v>6806</v>
      </c>
      <c r="E777" s="199">
        <v>5</v>
      </c>
      <c r="F777" s="199">
        <v>5</v>
      </c>
      <c r="G777" s="199" t="s">
        <v>2049</v>
      </c>
      <c r="H777" s="162" t="s">
        <v>7099</v>
      </c>
      <c r="I777" s="129" t="str">
        <f t="shared" si="87"/>
        <v>Rien</v>
      </c>
      <c r="J777" s="146">
        <v>0</v>
      </c>
      <c r="K777" s="147">
        <v>0</v>
      </c>
      <c r="L777" s="148">
        <v>0</v>
      </c>
      <c r="M777" s="149">
        <v>0</v>
      </c>
      <c r="N777" s="150">
        <v>0</v>
      </c>
      <c r="O777" s="130">
        <v>0</v>
      </c>
      <c r="P777" s="130">
        <v>0</v>
      </c>
      <c r="Q777" s="130">
        <v>0</v>
      </c>
      <c r="R777" s="130">
        <v>0</v>
      </c>
      <c r="S777" s="130">
        <v>0</v>
      </c>
      <c r="T777" s="130">
        <v>0</v>
      </c>
      <c r="U777" s="130">
        <v>0</v>
      </c>
      <c r="V777" s="524">
        <v>0</v>
      </c>
      <c r="W777" s="130">
        <v>0</v>
      </c>
      <c r="X777" s="130">
        <v>0</v>
      </c>
      <c r="Y777" s="130">
        <v>0</v>
      </c>
      <c r="Z777" s="130">
        <v>0</v>
      </c>
      <c r="AA777" s="158" t="s">
        <v>2078</v>
      </c>
      <c r="AB777" s="158"/>
      <c r="AC777" s="158"/>
      <c r="AD777" s="158"/>
      <c r="AE777" s="158" t="b">
        <f>IF(AB777="",TRUE,IF(IF(AC777="",VLOOKUP(AB777,Calculs!$A$19:$S$425,19,FALSE),VLOOKUP(AC777,Calculs!$A$19:$S$425,19,FALSE))&gt;=AD777,TRUE,FALSE))</f>
        <v>1</v>
      </c>
      <c r="AF777" s="158"/>
      <c r="AG777" s="158"/>
      <c r="AH777" s="158"/>
      <c r="AI777" s="158" t="b">
        <f>IF(AF777="",TRUE,IF(IF(AG777="",VLOOKUP(AF777,Calculs!$A$19:$S$425,19,FALSE),VLOOKUP(AG777,Calculs!$A$19:$S$425,19,FALSE))&gt;=AH777,TRUE,FALSE))</f>
        <v>1</v>
      </c>
      <c r="AJ777" s="158"/>
      <c r="AK777" s="158"/>
      <c r="AL777" s="158"/>
      <c r="AM777" s="158" t="b">
        <f>IF(AJ777="",TRUE,IF(IF(AK777="",VLOOKUP(AJ777,Calculs!$A$19:$S$425,19,FALSE),VLOOKUP(AK777,Calculs!$A$19:$S$425,19,FALSE))&gt;=AL777,TRUE,FALSE))</f>
        <v>1</v>
      </c>
      <c r="AN777" s="158"/>
      <c r="AO777" s="158"/>
      <c r="AP777" s="158"/>
      <c r="AQ777" s="158" t="b">
        <f>IF(AN777="",TRUE,IF(IF(AO777="",VLOOKUP(AN777,Calculs!$A$19:$S$425,19,FALSE),VLOOKUP(AO777,Calculs!$A$19:$S$425,19,FALSE))&gt;=AP777,TRUE,FALSE))</f>
        <v>1</v>
      </c>
      <c r="AR777" s="158"/>
      <c r="AS777" s="158" t="b">
        <f>IF(AR777="",TRUE,IF(VLOOKUP(AR777,Calculs!$A$427:$G$738,7,FALSE)&gt;0,TRUE,FALSE))</f>
        <v>1</v>
      </c>
      <c r="AT777" s="158"/>
      <c r="AU777" s="158" t="b">
        <f>IF(AT777="",TRUE,IF(VLOOKUP(AT777,Calculs!$A$740:$G$912,7,FALSE)&gt;0,TRUE,FALSE))</f>
        <v>1</v>
      </c>
      <c r="AV777" s="158" t="b">
        <f t="shared" si="88"/>
        <v>1</v>
      </c>
      <c r="AW777" s="158" t="s">
        <v>2078</v>
      </c>
      <c r="AX777" s="162" t="s">
        <v>6816</v>
      </c>
      <c r="AY777" s="15">
        <v>135</v>
      </c>
      <c r="AZ777" s="555" t="s">
        <v>7219</v>
      </c>
      <c r="BA777" s="559">
        <f>IF(Verso!$B$10=Voies!$B777,1,0)</f>
        <v>0</v>
      </c>
      <c r="BB777" s="12">
        <f>IF(Verso!$B$11=Voies!$B777,1,0)</f>
        <v>0</v>
      </c>
      <c r="BC777" s="12">
        <f>IF(Verso!$B$12=Voies!$B777,1,0)</f>
        <v>0</v>
      </c>
      <c r="BD777" s="12">
        <f>IF(Verso!$B$13=Voies!$B777,1,0)</f>
        <v>0</v>
      </c>
      <c r="BE777" s="12">
        <f>IF(Verso!$B$14=Voies!$B777,1,0)</f>
        <v>0</v>
      </c>
      <c r="BF777" s="12">
        <f>IF(Verso!$B$15=Voies!$B777,1,0)</f>
        <v>0</v>
      </c>
      <c r="BG777" s="12">
        <f>IF(Verso!$B$16=Voies!$B777,1,0)</f>
        <v>0</v>
      </c>
      <c r="BH777" s="12">
        <f>IF(Verso!$B$17=Voies!$B777,1,0)</f>
        <v>0</v>
      </c>
      <c r="BI777" s="557">
        <f t="shared" si="89"/>
        <v>0</v>
      </c>
      <c r="BJ777" s="196" t="str">
        <f t="shared" si="90"/>
        <v/>
      </c>
      <c r="BK777" s="196" t="str">
        <f t="shared" si="91"/>
        <v/>
      </c>
      <c r="BL777" s="295" t="str">
        <f t="shared" si="92"/>
        <v/>
      </c>
      <c r="BM777" s="91"/>
    </row>
    <row r="778" spans="1:65" s="196" customFormat="1" ht="47.25" customHeight="1" x14ac:dyDescent="0.25">
      <c r="A778" s="162" t="str">
        <f>IF(AND(Réputation&gt;Voies!E778-1,OR(C778=TRUE,Calculs!$I$8&gt;0),Air&gt;Voies!J778-1,Eau&gt;Voies!K778-1,Feu&gt;Voies!L778-1,Terre&gt;Voies!M778-1,Vide&gt;Voies!N778-1,Constitution&gt;Voies!O778-1,Volonté&gt;Voies!P778-1,Force&gt;Voies!Q778-1,Perception&gt;Voies!R778-1,Reflexes&gt;Voies!S778-1,Agilité&gt;Voies!T778-1,Intuition&gt;Voies!U778-1,Intelligence&gt;Voies!V778-1,Souillure&gt;Voies!W778-1,Honneur&gt;X778-1,Statut&gt;Y778-1,Gloire&gt;Z778-1,AV778=TRUE),Voies!B778,"")</f>
        <v/>
      </c>
      <c r="B778" s="162" t="s">
        <v>7215</v>
      </c>
      <c r="C778" s="162" t="b">
        <f>IF(Clan=Voies!D778,TRUE,FALSE)</f>
        <v>0</v>
      </c>
      <c r="D778" s="387" t="s">
        <v>6806</v>
      </c>
      <c r="E778" s="199">
        <v>6</v>
      </c>
      <c r="F778" s="199">
        <v>6</v>
      </c>
      <c r="G778" s="199" t="s">
        <v>2052</v>
      </c>
      <c r="H778" s="162" t="s">
        <v>7209</v>
      </c>
      <c r="I778" s="129" t="str">
        <f t="shared" si="87"/>
        <v>Rien</v>
      </c>
      <c r="J778" s="146">
        <v>0</v>
      </c>
      <c r="K778" s="147">
        <v>0</v>
      </c>
      <c r="L778" s="148">
        <v>0</v>
      </c>
      <c r="M778" s="149">
        <v>0</v>
      </c>
      <c r="N778" s="150">
        <v>0</v>
      </c>
      <c r="O778" s="130">
        <v>0</v>
      </c>
      <c r="P778" s="130">
        <v>0</v>
      </c>
      <c r="Q778" s="130">
        <v>0</v>
      </c>
      <c r="R778" s="130">
        <v>0</v>
      </c>
      <c r="S778" s="130">
        <v>0</v>
      </c>
      <c r="T778" s="130">
        <v>0</v>
      </c>
      <c r="U778" s="130">
        <v>0</v>
      </c>
      <c r="V778" s="524">
        <v>0</v>
      </c>
      <c r="W778" s="130">
        <v>0</v>
      </c>
      <c r="X778" s="130">
        <v>0</v>
      </c>
      <c r="Y778" s="130">
        <v>4</v>
      </c>
      <c r="Z778" s="130">
        <v>0</v>
      </c>
      <c r="AA778" s="158" t="s">
        <v>2078</v>
      </c>
      <c r="AB778" s="158"/>
      <c r="AC778" s="158"/>
      <c r="AD778" s="158"/>
      <c r="AE778" s="158" t="b">
        <f>IF(AB778="",TRUE,IF(IF(AC778="",VLOOKUP(AB778,Calculs!$A$19:$S$425,19,FALSE),VLOOKUP(AC778,Calculs!$A$19:$S$425,19,FALSE))&gt;=AD778,TRUE,FALSE))</f>
        <v>1</v>
      </c>
      <c r="AF778" s="158"/>
      <c r="AG778" s="158"/>
      <c r="AH778" s="158"/>
      <c r="AI778" s="158" t="b">
        <f>IF(AF778="",TRUE,IF(IF(AG778="",VLOOKUP(AF778,Calculs!$A$19:$S$425,19,FALSE),VLOOKUP(AG778,Calculs!$A$19:$S$425,19,FALSE))&gt;=AH778,TRUE,FALSE))</f>
        <v>1</v>
      </c>
      <c r="AJ778" s="158"/>
      <c r="AK778" s="158"/>
      <c r="AL778" s="158"/>
      <c r="AM778" s="158" t="b">
        <f>IF(AJ778="",TRUE,IF(IF(AK778="",VLOOKUP(AJ778,Calculs!$A$19:$S$425,19,FALSE),VLOOKUP(AK778,Calculs!$A$19:$S$425,19,FALSE))&gt;=AL778,TRUE,FALSE))</f>
        <v>1</v>
      </c>
      <c r="AN778" s="158"/>
      <c r="AO778" s="158"/>
      <c r="AP778" s="158"/>
      <c r="AQ778" s="158" t="b">
        <f>IF(AN778="",TRUE,IF(IF(AO778="",VLOOKUP(AN778,Calculs!$A$19:$S$425,19,FALSE),VLOOKUP(AO778,Calculs!$A$19:$S$425,19,FALSE))&gt;=AP778,TRUE,FALSE))</f>
        <v>1</v>
      </c>
      <c r="AR778" s="158"/>
      <c r="AS778" s="158" t="b">
        <f>IF(AR778="",TRUE,IF(VLOOKUP(AR778,Calculs!$A$427:$G$738,7,FALSE)&gt;0,TRUE,FALSE))</f>
        <v>1</v>
      </c>
      <c r="AT778" s="158"/>
      <c r="AU778" s="158" t="b">
        <f>IF(AT778="",TRUE,IF(VLOOKUP(AT778,Calculs!$A$740:$G$912,7,FALSE)&gt;0,TRUE,FALSE))</f>
        <v>1</v>
      </c>
      <c r="AV778" s="158" t="b">
        <f t="shared" si="88"/>
        <v>1</v>
      </c>
      <c r="AW778" s="158" t="s">
        <v>8097</v>
      </c>
      <c r="AX778" s="162" t="s">
        <v>6816</v>
      </c>
      <c r="AY778" s="15">
        <v>126</v>
      </c>
      <c r="AZ778" s="555" t="s">
        <v>8681</v>
      </c>
      <c r="BA778" s="559">
        <f>IF(Verso!$B$10=Voies!$B778,1,0)</f>
        <v>0</v>
      </c>
      <c r="BB778" s="12">
        <f>IF(Verso!$B$11=Voies!$B778,1,0)</f>
        <v>0</v>
      </c>
      <c r="BC778" s="12">
        <f>IF(Verso!$B$12=Voies!$B778,1,0)</f>
        <v>0</v>
      </c>
      <c r="BD778" s="12">
        <f>IF(Verso!$B$13=Voies!$B778,1,0)</f>
        <v>0</v>
      </c>
      <c r="BE778" s="12">
        <f>IF(Verso!$B$14=Voies!$B778,1,0)</f>
        <v>0</v>
      </c>
      <c r="BF778" s="12">
        <f>IF(Verso!$B$15=Voies!$B778,1,0)</f>
        <v>0</v>
      </c>
      <c r="BG778" s="12">
        <f>IF(Verso!$B$16=Voies!$B778,1,0)</f>
        <v>0</v>
      </c>
      <c r="BH778" s="12">
        <f>IF(Verso!$B$17=Voies!$B778,1,0)</f>
        <v>0</v>
      </c>
      <c r="BI778" s="557">
        <f t="shared" si="89"/>
        <v>0</v>
      </c>
      <c r="BJ778" s="196" t="str">
        <f t="shared" si="90"/>
        <v/>
      </c>
      <c r="BK778" s="196" t="str">
        <f t="shared" si="91"/>
        <v/>
      </c>
      <c r="BL778" s="295" t="str">
        <f t="shared" si="92"/>
        <v/>
      </c>
      <c r="BM778" s="91"/>
    </row>
    <row r="779" spans="1:65" s="196" customFormat="1" ht="47.25" customHeight="1" x14ac:dyDescent="0.25">
      <c r="A779" s="162" t="str">
        <f>IF(AND(Réputation&gt;Voies!E779-1,OR(C779=TRUE,Calculs!$I$8&gt;0),Air&gt;Voies!J779-1,Eau&gt;Voies!K779-1,Feu&gt;Voies!L779-1,Terre&gt;Voies!M779-1,Vide&gt;Voies!N779-1,Constitution&gt;Voies!O779-1,Volonté&gt;Voies!P779-1,Force&gt;Voies!Q779-1,Perception&gt;Voies!R779-1,Reflexes&gt;Voies!S779-1,Agilité&gt;Voies!T779-1,Intuition&gt;Voies!U779-1,Intelligence&gt;Voies!V779-1,Souillure&gt;Voies!W779-1,Honneur&gt;X779-1,Statut&gt;Y779-1,Gloire&gt;Z779-1,AV779=TRUE),Voies!B779,"")</f>
        <v/>
      </c>
      <c r="B779" s="162" t="s">
        <v>7216</v>
      </c>
      <c r="C779" s="162" t="b">
        <f>IF(Clan=Voies!D779,TRUE,FALSE)</f>
        <v>0</v>
      </c>
      <c r="D779" s="387" t="s">
        <v>6806</v>
      </c>
      <c r="E779" s="199">
        <v>7</v>
      </c>
      <c r="F779" s="199">
        <v>7</v>
      </c>
      <c r="G779" s="199" t="s">
        <v>2052</v>
      </c>
      <c r="H779" s="162" t="s">
        <v>7209</v>
      </c>
      <c r="I779" s="129" t="str">
        <f t="shared" si="87"/>
        <v>Rien</v>
      </c>
      <c r="J779" s="146">
        <v>0</v>
      </c>
      <c r="K779" s="147">
        <v>0</v>
      </c>
      <c r="L779" s="148">
        <v>0</v>
      </c>
      <c r="M779" s="149">
        <v>0</v>
      </c>
      <c r="N779" s="150">
        <v>0</v>
      </c>
      <c r="O779" s="130">
        <v>0</v>
      </c>
      <c r="P779" s="130">
        <v>0</v>
      </c>
      <c r="Q779" s="130">
        <v>0</v>
      </c>
      <c r="R779" s="130">
        <v>0</v>
      </c>
      <c r="S779" s="130">
        <v>0</v>
      </c>
      <c r="T779" s="130">
        <v>0</v>
      </c>
      <c r="U779" s="130">
        <v>0</v>
      </c>
      <c r="V779" s="524">
        <v>0</v>
      </c>
      <c r="W779" s="130">
        <v>0</v>
      </c>
      <c r="X779" s="130">
        <v>0</v>
      </c>
      <c r="Y779" s="130">
        <v>4</v>
      </c>
      <c r="Z779" s="130">
        <v>0</v>
      </c>
      <c r="AA779" s="158" t="s">
        <v>2078</v>
      </c>
      <c r="AB779" s="158"/>
      <c r="AC779" s="158"/>
      <c r="AD779" s="158"/>
      <c r="AE779" s="158" t="b">
        <f>IF(AB779="",TRUE,IF(IF(AC779="",VLOOKUP(AB779,Calculs!$A$19:$S$425,19,FALSE),VLOOKUP(AC779,Calculs!$A$19:$S$425,19,FALSE))&gt;=AD779,TRUE,FALSE))</f>
        <v>1</v>
      </c>
      <c r="AF779" s="158"/>
      <c r="AG779" s="158"/>
      <c r="AH779" s="158"/>
      <c r="AI779" s="158" t="b">
        <f>IF(AF779="",TRUE,IF(IF(AG779="",VLOOKUP(AF779,Calculs!$A$19:$S$425,19,FALSE),VLOOKUP(AG779,Calculs!$A$19:$S$425,19,FALSE))&gt;=AH779,TRUE,FALSE))</f>
        <v>1</v>
      </c>
      <c r="AJ779" s="158"/>
      <c r="AK779" s="158"/>
      <c r="AL779" s="158"/>
      <c r="AM779" s="158" t="b">
        <f>IF(AJ779="",TRUE,IF(IF(AK779="",VLOOKUP(AJ779,Calculs!$A$19:$S$425,19,FALSE),VLOOKUP(AK779,Calculs!$A$19:$S$425,19,FALSE))&gt;=AL779,TRUE,FALSE))</f>
        <v>1</v>
      </c>
      <c r="AN779" s="158"/>
      <c r="AO779" s="158"/>
      <c r="AP779" s="158"/>
      <c r="AQ779" s="158" t="b">
        <f>IF(AN779="",TRUE,IF(IF(AO779="",VLOOKUP(AN779,Calculs!$A$19:$S$425,19,FALSE),VLOOKUP(AO779,Calculs!$A$19:$S$425,19,FALSE))&gt;=AP779,TRUE,FALSE))</f>
        <v>1</v>
      </c>
      <c r="AR779" s="158"/>
      <c r="AS779" s="158" t="b">
        <f>IF(AR779="",TRUE,IF(VLOOKUP(AR779,Calculs!$A$427:$G$738,7,FALSE)&gt;0,TRUE,FALSE))</f>
        <v>1</v>
      </c>
      <c r="AT779" s="158"/>
      <c r="AU779" s="158" t="b">
        <f>IF(AT779="",TRUE,IF(VLOOKUP(AT779,Calculs!$A$740:$G$912,7,FALSE)&gt;0,TRUE,FALSE))</f>
        <v>1</v>
      </c>
      <c r="AV779" s="158" t="b">
        <f t="shared" si="88"/>
        <v>1</v>
      </c>
      <c r="AW779" s="158" t="s">
        <v>8097</v>
      </c>
      <c r="AX779" s="162" t="s">
        <v>6816</v>
      </c>
      <c r="AY779" s="15">
        <v>126</v>
      </c>
      <c r="AZ779" s="555" t="s">
        <v>8682</v>
      </c>
      <c r="BA779" s="559">
        <f>IF(Verso!$B$10=Voies!$B779,1,0)</f>
        <v>0</v>
      </c>
      <c r="BB779" s="12">
        <f>IF(Verso!$B$11=Voies!$B779,1,0)</f>
        <v>0</v>
      </c>
      <c r="BC779" s="12">
        <f>IF(Verso!$B$12=Voies!$B779,1,0)</f>
        <v>0</v>
      </c>
      <c r="BD779" s="12">
        <f>IF(Verso!$B$13=Voies!$B779,1,0)</f>
        <v>0</v>
      </c>
      <c r="BE779" s="12">
        <f>IF(Verso!$B$14=Voies!$B779,1,0)</f>
        <v>0</v>
      </c>
      <c r="BF779" s="12">
        <f>IF(Verso!$B$15=Voies!$B779,1,0)</f>
        <v>0</v>
      </c>
      <c r="BG779" s="12">
        <f>IF(Verso!$B$16=Voies!$B779,1,0)</f>
        <v>0</v>
      </c>
      <c r="BH779" s="12">
        <f>IF(Verso!$B$17=Voies!$B779,1,0)</f>
        <v>0</v>
      </c>
      <c r="BI779" s="557">
        <f t="shared" si="89"/>
        <v>0</v>
      </c>
      <c r="BJ779" s="196" t="str">
        <f t="shared" si="90"/>
        <v/>
      </c>
      <c r="BK779" s="196" t="str">
        <f t="shared" si="91"/>
        <v/>
      </c>
      <c r="BL779" s="295" t="str">
        <f t="shared" si="92"/>
        <v/>
      </c>
      <c r="BM779" s="91"/>
    </row>
    <row r="780" spans="1:65" s="196" customFormat="1" ht="47.25" customHeight="1" x14ac:dyDescent="0.25">
      <c r="A780" s="162" t="str">
        <f>IF(AND(Réputation&gt;Voies!E780-1,OR(C780=TRUE,Calculs!$I$8&gt;0),Air&gt;Voies!J780-1,Eau&gt;Voies!K780-1,Feu&gt;Voies!L780-1,Terre&gt;Voies!M780-1,Vide&gt;Voies!N780-1,Constitution&gt;Voies!O780-1,Volonté&gt;Voies!P780-1,Force&gt;Voies!Q780-1,Perception&gt;Voies!R780-1,Reflexes&gt;Voies!S780-1,Agilité&gt;Voies!T780-1,Intuition&gt;Voies!U780-1,Intelligence&gt;Voies!V780-1,Souillure&gt;Voies!W780-1,Honneur&gt;X780-1,Statut&gt;Y780-1,Gloire&gt;Z780-1,AV780=TRUE),Voies!B780,"")</f>
        <v/>
      </c>
      <c r="B780" s="162" t="s">
        <v>7217</v>
      </c>
      <c r="C780" s="162" t="b">
        <f>IF(Clan=Voies!D780,TRUE,FALSE)</f>
        <v>0</v>
      </c>
      <c r="D780" s="387" t="s">
        <v>6806</v>
      </c>
      <c r="E780" s="199">
        <v>8</v>
      </c>
      <c r="F780" s="199">
        <v>8</v>
      </c>
      <c r="G780" s="199" t="s">
        <v>2052</v>
      </c>
      <c r="H780" s="162" t="s">
        <v>7209</v>
      </c>
      <c r="I780" s="129" t="str">
        <f t="shared" si="87"/>
        <v>Rien</v>
      </c>
      <c r="J780" s="146">
        <v>0</v>
      </c>
      <c r="K780" s="147">
        <v>0</v>
      </c>
      <c r="L780" s="148">
        <v>0</v>
      </c>
      <c r="M780" s="149">
        <v>0</v>
      </c>
      <c r="N780" s="150">
        <v>0</v>
      </c>
      <c r="O780" s="130">
        <v>0</v>
      </c>
      <c r="P780" s="130">
        <v>0</v>
      </c>
      <c r="Q780" s="130">
        <v>0</v>
      </c>
      <c r="R780" s="130">
        <v>0</v>
      </c>
      <c r="S780" s="130">
        <v>0</v>
      </c>
      <c r="T780" s="130">
        <v>0</v>
      </c>
      <c r="U780" s="130">
        <v>0</v>
      </c>
      <c r="V780" s="524">
        <v>0</v>
      </c>
      <c r="W780" s="130">
        <v>0</v>
      </c>
      <c r="X780" s="130">
        <v>0</v>
      </c>
      <c r="Y780" s="130">
        <v>4</v>
      </c>
      <c r="Z780" s="130">
        <v>0</v>
      </c>
      <c r="AA780" s="158" t="s">
        <v>2078</v>
      </c>
      <c r="AB780" s="158"/>
      <c r="AC780" s="158"/>
      <c r="AD780" s="158"/>
      <c r="AE780" s="158" t="b">
        <f>IF(AB780="",TRUE,IF(IF(AC780="",VLOOKUP(AB780,Calculs!$A$19:$S$425,19,FALSE),VLOOKUP(AC780,Calculs!$A$19:$S$425,19,FALSE))&gt;=AD780,TRUE,FALSE))</f>
        <v>1</v>
      </c>
      <c r="AF780" s="158"/>
      <c r="AG780" s="158"/>
      <c r="AH780" s="158"/>
      <c r="AI780" s="158" t="b">
        <f>IF(AF780="",TRUE,IF(IF(AG780="",VLOOKUP(AF780,Calculs!$A$19:$S$425,19,FALSE),VLOOKUP(AG780,Calculs!$A$19:$S$425,19,FALSE))&gt;=AH780,TRUE,FALSE))</f>
        <v>1</v>
      </c>
      <c r="AJ780" s="158"/>
      <c r="AK780" s="158"/>
      <c r="AL780" s="158"/>
      <c r="AM780" s="158" t="b">
        <f>IF(AJ780="",TRUE,IF(IF(AK780="",VLOOKUP(AJ780,Calculs!$A$19:$S$425,19,FALSE),VLOOKUP(AK780,Calculs!$A$19:$S$425,19,FALSE))&gt;=AL780,TRUE,FALSE))</f>
        <v>1</v>
      </c>
      <c r="AN780" s="158"/>
      <c r="AO780" s="158"/>
      <c r="AP780" s="158"/>
      <c r="AQ780" s="158" t="b">
        <f>IF(AN780="",TRUE,IF(IF(AO780="",VLOOKUP(AN780,Calculs!$A$19:$S$425,19,FALSE),VLOOKUP(AO780,Calculs!$A$19:$S$425,19,FALSE))&gt;=AP780,TRUE,FALSE))</f>
        <v>1</v>
      </c>
      <c r="AR780" s="158"/>
      <c r="AS780" s="158" t="b">
        <f>IF(AR780="",TRUE,IF(VLOOKUP(AR780,Calculs!$A$427:$G$738,7,FALSE)&gt;0,TRUE,FALSE))</f>
        <v>1</v>
      </c>
      <c r="AT780" s="158"/>
      <c r="AU780" s="158" t="b">
        <f>IF(AT780="",TRUE,IF(VLOOKUP(AT780,Calculs!$A$740:$G$912,7,FALSE)&gt;0,TRUE,FALSE))</f>
        <v>1</v>
      </c>
      <c r="AV780" s="158" t="b">
        <f t="shared" si="88"/>
        <v>1</v>
      </c>
      <c r="AW780" s="158" t="s">
        <v>8097</v>
      </c>
      <c r="AX780" s="162" t="s">
        <v>6816</v>
      </c>
      <c r="AY780" s="15">
        <v>126</v>
      </c>
      <c r="AZ780" s="555" t="str">
        <f>CONCATENATE("1X/Session vous pouvez augmenter le Statut d'une personne d'un Statut inférieur à ",Statut," jusqu'à ",Statut,". Elle perd ",Statut," pts de Gloire. (Perte maximum son Rg. De Maitrise)")</f>
        <v>1X/Session vous pouvez augmenter le Statut d'une personne d'un Statut inférieur à 1 jusqu'à 1. Elle perd 1 pts de Gloire. (Perte maximum son Rg. De Maitrise)</v>
      </c>
      <c r="BA780" s="559">
        <f>IF(Verso!$B$10=Voies!$B780,1,0)</f>
        <v>0</v>
      </c>
      <c r="BB780" s="12">
        <f>IF(Verso!$B$11=Voies!$B780,1,0)</f>
        <v>0</v>
      </c>
      <c r="BC780" s="12">
        <f>IF(Verso!$B$12=Voies!$B780,1,0)</f>
        <v>0</v>
      </c>
      <c r="BD780" s="12">
        <f>IF(Verso!$B$13=Voies!$B780,1,0)</f>
        <v>0</v>
      </c>
      <c r="BE780" s="12">
        <f>IF(Verso!$B$14=Voies!$B780,1,0)</f>
        <v>0</v>
      </c>
      <c r="BF780" s="12">
        <f>IF(Verso!$B$15=Voies!$B780,1,0)</f>
        <v>0</v>
      </c>
      <c r="BG780" s="12">
        <f>IF(Verso!$B$16=Voies!$B780,1,0)</f>
        <v>0</v>
      </c>
      <c r="BH780" s="12">
        <f>IF(Verso!$B$17=Voies!$B780,1,0)</f>
        <v>0</v>
      </c>
      <c r="BI780" s="557">
        <f t="shared" si="89"/>
        <v>0</v>
      </c>
      <c r="BJ780" s="196" t="str">
        <f t="shared" si="90"/>
        <v/>
      </c>
      <c r="BK780" s="196" t="str">
        <f t="shared" si="91"/>
        <v/>
      </c>
      <c r="BL780" s="295" t="str">
        <f t="shared" si="92"/>
        <v/>
      </c>
      <c r="BM780" s="91"/>
    </row>
    <row r="781" spans="1:65" s="196" customFormat="1" ht="47.25" customHeight="1" x14ac:dyDescent="0.25">
      <c r="A781" s="162" t="str">
        <f>IF(AND(Réputation&gt;Voies!E781-1,OR(C781=TRUE,Calculs!$I$8&gt;0),Air&gt;Voies!J781-1,Eau&gt;Voies!K781-1,Feu&gt;Voies!L781-1,Terre&gt;Voies!M781-1,Vide&gt;Voies!N781-1,Constitution&gt;Voies!O781-1,Volonté&gt;Voies!P781-1,Force&gt;Voies!Q781-1,Perception&gt;Voies!R781-1,Reflexes&gt;Voies!S781-1,Agilité&gt;Voies!T781-1,Intuition&gt;Voies!U781-1,Intelligence&gt;Voies!V781-1,Souillure&gt;Voies!W781-1,Honneur&gt;X781-1,Statut&gt;Y781-1,Gloire&gt;Z781-1,AV781=TRUE),Voies!B781,"")</f>
        <v/>
      </c>
      <c r="B781" s="162" t="s">
        <v>6836</v>
      </c>
      <c r="C781" s="162" t="b">
        <f>IF(Clan=Voies!D781,TRUE,FALSE)</f>
        <v>0</v>
      </c>
      <c r="D781" s="466" t="s">
        <v>6755</v>
      </c>
      <c r="E781" s="199">
        <v>1</v>
      </c>
      <c r="F781" s="199">
        <v>1</v>
      </c>
      <c r="G781" s="199" t="s">
        <v>2049</v>
      </c>
      <c r="H781" s="162" t="s">
        <v>6832</v>
      </c>
      <c r="I781" s="129" t="str">
        <f t="shared" si="87"/>
        <v>Rien</v>
      </c>
      <c r="J781" s="146">
        <v>0</v>
      </c>
      <c r="K781" s="147">
        <v>0</v>
      </c>
      <c r="L781" s="148">
        <v>0</v>
      </c>
      <c r="M781" s="149">
        <v>0</v>
      </c>
      <c r="N781" s="150">
        <v>0</v>
      </c>
      <c r="O781" s="130">
        <v>0</v>
      </c>
      <c r="P781" s="130">
        <v>0</v>
      </c>
      <c r="Q781" s="130">
        <v>0</v>
      </c>
      <c r="R781" s="130">
        <v>0</v>
      </c>
      <c r="S781" s="130">
        <v>0</v>
      </c>
      <c r="T781" s="130">
        <v>0</v>
      </c>
      <c r="U781" s="130">
        <v>0</v>
      </c>
      <c r="V781" s="524">
        <v>0</v>
      </c>
      <c r="W781" s="130">
        <v>0</v>
      </c>
      <c r="X781" s="130">
        <v>0</v>
      </c>
      <c r="Y781" s="130">
        <v>0</v>
      </c>
      <c r="Z781" s="130">
        <v>0</v>
      </c>
      <c r="AA781" s="158" t="s">
        <v>2078</v>
      </c>
      <c r="AB781" s="158"/>
      <c r="AC781" s="158"/>
      <c r="AD781" s="158"/>
      <c r="AE781" s="158" t="b">
        <f>IF(AB781="",TRUE,IF(IF(AC781="",VLOOKUP(AB781,Calculs!$A$19:$S$425,19,FALSE),VLOOKUP(AC781,Calculs!$A$19:$S$425,19,FALSE))&gt;=AD781,TRUE,FALSE))</f>
        <v>1</v>
      </c>
      <c r="AF781" s="158"/>
      <c r="AG781" s="158"/>
      <c r="AH781" s="158"/>
      <c r="AI781" s="158" t="b">
        <f>IF(AF781="",TRUE,IF(IF(AG781="",VLOOKUP(AF781,Calculs!$A$19:$S$425,19,FALSE),VLOOKUP(AG781,Calculs!$A$19:$S$425,19,FALSE))&gt;=AH781,TRUE,FALSE))</f>
        <v>1</v>
      </c>
      <c r="AJ781" s="158"/>
      <c r="AK781" s="158"/>
      <c r="AL781" s="158"/>
      <c r="AM781" s="158" t="b">
        <f>IF(AJ781="",TRUE,IF(IF(AK781="",VLOOKUP(AJ781,Calculs!$A$19:$S$425,19,FALSE),VLOOKUP(AK781,Calculs!$A$19:$S$425,19,FALSE))&gt;=AL781,TRUE,FALSE))</f>
        <v>1</v>
      </c>
      <c r="AN781" s="158"/>
      <c r="AO781" s="158"/>
      <c r="AP781" s="158"/>
      <c r="AQ781" s="158" t="b">
        <f>IF(AN781="",TRUE,IF(IF(AO781="",VLOOKUP(AN781,Calculs!$A$19:$S$425,19,FALSE),VLOOKUP(AO781,Calculs!$A$19:$S$425,19,FALSE))&gt;=AP781,TRUE,FALSE))</f>
        <v>1</v>
      </c>
      <c r="AR781" s="158"/>
      <c r="AS781" s="158" t="b">
        <f>IF(AR781="",TRUE,IF(VLOOKUP(AR781,Calculs!$A$427:$G$738,7,FALSE)&gt;0,TRUE,FALSE))</f>
        <v>1</v>
      </c>
      <c r="AT781" s="158"/>
      <c r="AU781" s="158" t="b">
        <f>IF(AT781="",TRUE,IF(VLOOKUP(AT781,Calculs!$A$740:$G$912,7,FALSE)&gt;0,TRUE,FALSE))</f>
        <v>1</v>
      </c>
      <c r="AV781" s="158" t="b">
        <f t="shared" si="88"/>
        <v>1</v>
      </c>
      <c r="AW781" s="158" t="s">
        <v>2078</v>
      </c>
      <c r="AX781" s="162" t="s">
        <v>6816</v>
      </c>
      <c r="AY781" s="15">
        <v>10</v>
      </c>
      <c r="AZ781" s="555" t="str">
        <f>CONCATENATE("Maximum ",Vide," fois par jour, ajoutez votre plus haut niveau de compétence Bugei à un jet d'Artisan de votre choix ou inversément. En combat, vous ne pouvez utiliser cette technique que sur une atk faite après avoir passé un tour en posture du Centre.")</f>
        <v>Maximum 2 fois par jour, ajoutez votre plus haut niveau de compétence Bugei à un jet d'Artisan de votre choix ou inversément. En combat, vous ne pouvez utiliser cette technique que sur une atk faite après avoir passé un tour en posture du Centre.</v>
      </c>
      <c r="BA781" s="559">
        <f>IF(Verso!$B$10=Voies!$B781,1,0)</f>
        <v>0</v>
      </c>
      <c r="BB781" s="12">
        <f>IF(Verso!$B$11=Voies!$B781,1,0)</f>
        <v>0</v>
      </c>
      <c r="BC781" s="12">
        <f>IF(Verso!$B$12=Voies!$B781,1,0)</f>
        <v>0</v>
      </c>
      <c r="BD781" s="12">
        <f>IF(Verso!$B$13=Voies!$B781,1,0)</f>
        <v>0</v>
      </c>
      <c r="BE781" s="12">
        <f>IF(Verso!$B$14=Voies!$B781,1,0)</f>
        <v>0</v>
      </c>
      <c r="BF781" s="12">
        <f>IF(Verso!$B$15=Voies!$B781,1,0)</f>
        <v>0</v>
      </c>
      <c r="BG781" s="12">
        <f>IF(Verso!$B$16=Voies!$B781,1,0)</f>
        <v>0</v>
      </c>
      <c r="BH781" s="12">
        <f>IF(Verso!$B$17=Voies!$B781,1,0)</f>
        <v>0</v>
      </c>
      <c r="BI781" s="557">
        <f t="shared" si="89"/>
        <v>0</v>
      </c>
      <c r="BJ781" s="196" t="str">
        <f t="shared" si="90"/>
        <v/>
      </c>
      <c r="BK781" s="196" t="str">
        <f t="shared" si="91"/>
        <v/>
      </c>
      <c r="BL781" s="295" t="str">
        <f t="shared" si="92"/>
        <v/>
      </c>
      <c r="BM781" s="91"/>
    </row>
    <row r="782" spans="1:65" s="196" customFormat="1" ht="47.25" customHeight="1" x14ac:dyDescent="0.25">
      <c r="A782" s="162" t="str">
        <f>IF(AND(Réputation&gt;Voies!E782-1,OR(C782=TRUE,Calculs!$I$8&gt;0),Air&gt;Voies!J782-1,Eau&gt;Voies!K782-1,Feu&gt;Voies!L782-1,Terre&gt;Voies!M782-1,Vide&gt;Voies!N782-1,Constitution&gt;Voies!O782-1,Volonté&gt;Voies!P782-1,Force&gt;Voies!Q782-1,Perception&gt;Voies!R782-1,Reflexes&gt;Voies!S782-1,Agilité&gt;Voies!T782-1,Intuition&gt;Voies!U782-1,Intelligence&gt;Voies!V782-1,Souillure&gt;Voies!W782-1,Honneur&gt;X782-1,Statut&gt;Y782-1,Gloire&gt;Z782-1,AV782=TRUE),Voies!B782,"")</f>
        <v/>
      </c>
      <c r="B782" s="162" t="s">
        <v>6837</v>
      </c>
      <c r="C782" s="162" t="b">
        <f>IF(Clan=Voies!D782,TRUE,FALSE)</f>
        <v>0</v>
      </c>
      <c r="D782" s="466" t="s">
        <v>6755</v>
      </c>
      <c r="E782" s="199">
        <v>2</v>
      </c>
      <c r="F782" s="199">
        <v>2</v>
      </c>
      <c r="G782" s="199" t="s">
        <v>2049</v>
      </c>
      <c r="H782" s="162" t="s">
        <v>6832</v>
      </c>
      <c r="I782" s="129" t="str">
        <f t="shared" si="87"/>
        <v>Rien</v>
      </c>
      <c r="J782" s="146">
        <v>0</v>
      </c>
      <c r="K782" s="147">
        <v>0</v>
      </c>
      <c r="L782" s="148">
        <v>0</v>
      </c>
      <c r="M782" s="149">
        <v>0</v>
      </c>
      <c r="N782" s="150">
        <v>0</v>
      </c>
      <c r="O782" s="130">
        <v>0</v>
      </c>
      <c r="P782" s="130">
        <v>0</v>
      </c>
      <c r="Q782" s="130">
        <v>0</v>
      </c>
      <c r="R782" s="130">
        <v>0</v>
      </c>
      <c r="S782" s="130">
        <v>0</v>
      </c>
      <c r="T782" s="130">
        <v>0</v>
      </c>
      <c r="U782" s="130">
        <v>0</v>
      </c>
      <c r="V782" s="524">
        <v>0</v>
      </c>
      <c r="W782" s="130">
        <v>0</v>
      </c>
      <c r="X782" s="130">
        <v>0</v>
      </c>
      <c r="Y782" s="130">
        <v>0</v>
      </c>
      <c r="Z782" s="130">
        <v>0</v>
      </c>
      <c r="AA782" s="158" t="s">
        <v>2078</v>
      </c>
      <c r="AB782" s="158"/>
      <c r="AC782" s="158"/>
      <c r="AD782" s="158"/>
      <c r="AE782" s="158" t="b">
        <f>IF(AB782="",TRUE,IF(IF(AC782="",VLOOKUP(AB782,Calculs!$A$19:$S$425,19,FALSE),VLOOKUP(AC782,Calculs!$A$19:$S$425,19,FALSE))&gt;=AD782,TRUE,FALSE))</f>
        <v>1</v>
      </c>
      <c r="AF782" s="158"/>
      <c r="AG782" s="158"/>
      <c r="AH782" s="158"/>
      <c r="AI782" s="158" t="b">
        <f>IF(AF782="",TRUE,IF(IF(AG782="",VLOOKUP(AF782,Calculs!$A$19:$S$425,19,FALSE),VLOOKUP(AG782,Calculs!$A$19:$S$425,19,FALSE))&gt;=AH782,TRUE,FALSE))</f>
        <v>1</v>
      </c>
      <c r="AJ782" s="158"/>
      <c r="AK782" s="158"/>
      <c r="AL782" s="158"/>
      <c r="AM782" s="158" t="b">
        <f>IF(AJ782="",TRUE,IF(IF(AK782="",VLOOKUP(AJ782,Calculs!$A$19:$S$425,19,FALSE),VLOOKUP(AK782,Calculs!$A$19:$S$425,19,FALSE))&gt;=AL782,TRUE,FALSE))</f>
        <v>1</v>
      </c>
      <c r="AN782" s="158"/>
      <c r="AO782" s="158"/>
      <c r="AP782" s="158"/>
      <c r="AQ782" s="158" t="b">
        <f>IF(AN782="",TRUE,IF(IF(AO782="",VLOOKUP(AN782,Calculs!$A$19:$S$425,19,FALSE),VLOOKUP(AO782,Calculs!$A$19:$S$425,19,FALSE))&gt;=AP782,TRUE,FALSE))</f>
        <v>1</v>
      </c>
      <c r="AR782" s="158"/>
      <c r="AS782" s="158" t="b">
        <f>IF(AR782="",TRUE,IF(VLOOKUP(AR782,Calculs!$A$427:$G$738,7,FALSE)&gt;0,TRUE,FALSE))</f>
        <v>1</v>
      </c>
      <c r="AT782" s="158"/>
      <c r="AU782" s="158" t="b">
        <f>IF(AT782="",TRUE,IF(VLOOKUP(AT782,Calculs!$A$740:$G$912,7,FALSE)&gt;0,TRUE,FALSE))</f>
        <v>1</v>
      </c>
      <c r="AV782" s="158" t="b">
        <f t="shared" si="88"/>
        <v>1</v>
      </c>
      <c r="AW782" s="158" t="s">
        <v>2078</v>
      </c>
      <c r="AX782" s="162" t="s">
        <v>6816</v>
      </c>
      <c r="AY782" s="15">
        <v>10</v>
      </c>
      <c r="AZ782" s="555" t="str">
        <f>CONCATENATE("En posture du Centre, augmentez votre ND d'armure de ",Vide,". De plus, vous gagnez +2g0 à tous les jets de Méditation.")</f>
        <v>En posture du Centre, augmentez votre ND d'armure de 2. De plus, vous gagnez +2g0 à tous les jets de Méditation.</v>
      </c>
      <c r="BA782" s="559">
        <f>IF(Verso!$B$10=Voies!$B782,1,0)</f>
        <v>0</v>
      </c>
      <c r="BB782" s="12">
        <f>IF(Verso!$B$11=Voies!$B782,1,0)</f>
        <v>0</v>
      </c>
      <c r="BC782" s="12">
        <f>IF(Verso!$B$12=Voies!$B782,1,0)</f>
        <v>0</v>
      </c>
      <c r="BD782" s="12">
        <f>IF(Verso!$B$13=Voies!$B782,1,0)</f>
        <v>0</v>
      </c>
      <c r="BE782" s="12">
        <f>IF(Verso!$B$14=Voies!$B782,1,0)</f>
        <v>0</v>
      </c>
      <c r="BF782" s="12">
        <f>IF(Verso!$B$15=Voies!$B782,1,0)</f>
        <v>0</v>
      </c>
      <c r="BG782" s="12">
        <f>IF(Verso!$B$16=Voies!$B782,1,0)</f>
        <v>0</v>
      </c>
      <c r="BH782" s="12">
        <f>IF(Verso!$B$17=Voies!$B782,1,0)</f>
        <v>0</v>
      </c>
      <c r="BI782" s="557">
        <f t="shared" si="89"/>
        <v>0</v>
      </c>
      <c r="BJ782" s="196" t="str">
        <f t="shared" si="90"/>
        <v/>
      </c>
      <c r="BK782" s="196" t="str">
        <f t="shared" si="91"/>
        <v/>
      </c>
      <c r="BL782" s="295" t="str">
        <f t="shared" si="92"/>
        <v/>
      </c>
      <c r="BM782" s="91"/>
    </row>
    <row r="783" spans="1:65" s="196" customFormat="1" ht="47.25" customHeight="1" x14ac:dyDescent="0.25">
      <c r="A783" s="162" t="str">
        <f>IF(AND(Réputation&gt;Voies!E783-1,OR(C783=TRUE,Calculs!$I$8&gt;0),Air&gt;Voies!J783-1,Eau&gt;Voies!K783-1,Feu&gt;Voies!L783-1,Terre&gt;Voies!M783-1,Vide&gt;Voies!N783-1,Constitution&gt;Voies!O783-1,Volonté&gt;Voies!P783-1,Force&gt;Voies!Q783-1,Perception&gt;Voies!R783-1,Reflexes&gt;Voies!S783-1,Agilité&gt;Voies!T783-1,Intuition&gt;Voies!U783-1,Intelligence&gt;Voies!V783-1,Souillure&gt;Voies!W783-1,Honneur&gt;X783-1,Statut&gt;Y783-1,Gloire&gt;Z783-1,AV783=TRUE),Voies!B783,"")</f>
        <v/>
      </c>
      <c r="B783" s="162" t="s">
        <v>6838</v>
      </c>
      <c r="C783" s="162" t="b">
        <f>IF(Clan=Voies!D783,TRUE,FALSE)</f>
        <v>0</v>
      </c>
      <c r="D783" s="466" t="s">
        <v>6755</v>
      </c>
      <c r="E783" s="199">
        <v>3</v>
      </c>
      <c r="F783" s="199">
        <v>3</v>
      </c>
      <c r="G783" s="199" t="s">
        <v>2049</v>
      </c>
      <c r="H783" s="162" t="s">
        <v>6832</v>
      </c>
      <c r="I783" s="129" t="str">
        <f t="shared" si="87"/>
        <v>Rien</v>
      </c>
      <c r="J783" s="146">
        <v>0</v>
      </c>
      <c r="K783" s="147">
        <v>0</v>
      </c>
      <c r="L783" s="148">
        <v>0</v>
      </c>
      <c r="M783" s="149">
        <v>0</v>
      </c>
      <c r="N783" s="150">
        <v>0</v>
      </c>
      <c r="O783" s="130">
        <v>0</v>
      </c>
      <c r="P783" s="130">
        <v>0</v>
      </c>
      <c r="Q783" s="130">
        <v>0</v>
      </c>
      <c r="R783" s="130">
        <v>0</v>
      </c>
      <c r="S783" s="130">
        <v>0</v>
      </c>
      <c r="T783" s="130">
        <v>0</v>
      </c>
      <c r="U783" s="130">
        <v>0</v>
      </c>
      <c r="V783" s="524">
        <v>0</v>
      </c>
      <c r="W783" s="130">
        <v>0</v>
      </c>
      <c r="X783" s="130">
        <v>0</v>
      </c>
      <c r="Y783" s="130">
        <v>0</v>
      </c>
      <c r="Z783" s="130">
        <v>0</v>
      </c>
      <c r="AA783" s="158" t="s">
        <v>2078</v>
      </c>
      <c r="AB783" s="158"/>
      <c r="AC783" s="158"/>
      <c r="AD783" s="158"/>
      <c r="AE783" s="158" t="b">
        <f>IF(AB783="",TRUE,IF(IF(AC783="",VLOOKUP(AB783,Calculs!$A$19:$S$425,19,FALSE),VLOOKUP(AC783,Calculs!$A$19:$S$425,19,FALSE))&gt;=AD783,TRUE,FALSE))</f>
        <v>1</v>
      </c>
      <c r="AF783" s="158"/>
      <c r="AG783" s="158"/>
      <c r="AH783" s="158"/>
      <c r="AI783" s="158" t="b">
        <f>IF(AF783="",TRUE,IF(IF(AG783="",VLOOKUP(AF783,Calculs!$A$19:$S$425,19,FALSE),VLOOKUP(AG783,Calculs!$A$19:$S$425,19,FALSE))&gt;=AH783,TRUE,FALSE))</f>
        <v>1</v>
      </c>
      <c r="AJ783" s="158"/>
      <c r="AK783" s="158"/>
      <c r="AL783" s="158"/>
      <c r="AM783" s="158" t="b">
        <f>IF(AJ783="",TRUE,IF(IF(AK783="",VLOOKUP(AJ783,Calculs!$A$19:$S$425,19,FALSE),VLOOKUP(AK783,Calculs!$A$19:$S$425,19,FALSE))&gt;=AL783,TRUE,FALSE))</f>
        <v>1</v>
      </c>
      <c r="AN783" s="158"/>
      <c r="AO783" s="158"/>
      <c r="AP783" s="158"/>
      <c r="AQ783" s="158" t="b">
        <f>IF(AN783="",TRUE,IF(IF(AO783="",VLOOKUP(AN783,Calculs!$A$19:$S$425,19,FALSE),VLOOKUP(AO783,Calculs!$A$19:$S$425,19,FALSE))&gt;=AP783,TRUE,FALSE))</f>
        <v>1</v>
      </c>
      <c r="AR783" s="158"/>
      <c r="AS783" s="158" t="b">
        <f>IF(AR783="",TRUE,IF(VLOOKUP(AR783,Calculs!$A$427:$G$738,7,FALSE)&gt;0,TRUE,FALSE))</f>
        <v>1</v>
      </c>
      <c r="AT783" s="158"/>
      <c r="AU783" s="158" t="b">
        <f>IF(AT783="",TRUE,IF(VLOOKUP(AT783,Calculs!$A$740:$G$912,7,FALSE)&gt;0,TRUE,FALSE))</f>
        <v>1</v>
      </c>
      <c r="AV783" s="158" t="b">
        <f t="shared" si="88"/>
        <v>1</v>
      </c>
      <c r="AW783" s="158" t="s">
        <v>2078</v>
      </c>
      <c r="AX783" s="162" t="s">
        <v>6816</v>
      </c>
      <c r="AY783" s="15">
        <v>10</v>
      </c>
      <c r="AZ783" s="555" t="s">
        <v>6842</v>
      </c>
      <c r="BA783" s="559">
        <f>IF(Verso!$B$10=Voies!$B783,1,0)</f>
        <v>0</v>
      </c>
      <c r="BB783" s="12">
        <f>IF(Verso!$B$11=Voies!$B783,1,0)</f>
        <v>0</v>
      </c>
      <c r="BC783" s="12">
        <f>IF(Verso!$B$12=Voies!$B783,1,0)</f>
        <v>0</v>
      </c>
      <c r="BD783" s="12">
        <f>IF(Verso!$B$13=Voies!$B783,1,0)</f>
        <v>0</v>
      </c>
      <c r="BE783" s="12">
        <f>IF(Verso!$B$14=Voies!$B783,1,0)</f>
        <v>0</v>
      </c>
      <c r="BF783" s="12">
        <f>IF(Verso!$B$15=Voies!$B783,1,0)</f>
        <v>0</v>
      </c>
      <c r="BG783" s="12">
        <f>IF(Verso!$B$16=Voies!$B783,1,0)</f>
        <v>0</v>
      </c>
      <c r="BH783" s="12">
        <f>IF(Verso!$B$17=Voies!$B783,1,0)</f>
        <v>0</v>
      </c>
      <c r="BI783" s="557">
        <f t="shared" si="89"/>
        <v>0</v>
      </c>
      <c r="BJ783" s="196" t="str">
        <f t="shared" si="90"/>
        <v/>
      </c>
      <c r="BK783" s="196" t="str">
        <f t="shared" si="91"/>
        <v/>
      </c>
      <c r="BL783" s="295" t="str">
        <f t="shared" si="92"/>
        <v/>
      </c>
      <c r="BM783" s="91"/>
    </row>
    <row r="784" spans="1:65" s="196" customFormat="1" ht="47.25" customHeight="1" x14ac:dyDescent="0.25">
      <c r="A784" s="162" t="str">
        <f>IF(AND(Réputation&gt;Voies!E784-1,OR(C784=TRUE,Calculs!$I$8&gt;0),Air&gt;Voies!J784-1,Eau&gt;Voies!K784-1,Feu&gt;Voies!L784-1,Terre&gt;Voies!M784-1,Vide&gt;Voies!N784-1,Constitution&gt;Voies!O784-1,Volonté&gt;Voies!P784-1,Force&gt;Voies!Q784-1,Perception&gt;Voies!R784-1,Reflexes&gt;Voies!S784-1,Agilité&gt;Voies!T784-1,Intuition&gt;Voies!U784-1,Intelligence&gt;Voies!V784-1,Souillure&gt;Voies!W784-1,Honneur&gt;X784-1,Statut&gt;Y784-1,Gloire&gt;Z784-1,AV784=TRUE),Voies!B784,"")</f>
        <v/>
      </c>
      <c r="B784" s="162" t="s">
        <v>6839</v>
      </c>
      <c r="C784" s="162" t="b">
        <f>IF(Clan=Voies!D784,TRUE,FALSE)</f>
        <v>0</v>
      </c>
      <c r="D784" s="466" t="s">
        <v>6755</v>
      </c>
      <c r="E784" s="199">
        <v>4</v>
      </c>
      <c r="F784" s="199">
        <v>4</v>
      </c>
      <c r="G784" s="199" t="s">
        <v>2049</v>
      </c>
      <c r="H784" s="162" t="s">
        <v>6832</v>
      </c>
      <c r="I784" s="129" t="str">
        <f t="shared" si="87"/>
        <v>Rien</v>
      </c>
      <c r="J784" s="146">
        <v>0</v>
      </c>
      <c r="K784" s="147">
        <v>0</v>
      </c>
      <c r="L784" s="148">
        <v>0</v>
      </c>
      <c r="M784" s="149">
        <v>0</v>
      </c>
      <c r="N784" s="150">
        <v>0</v>
      </c>
      <c r="O784" s="130">
        <v>0</v>
      </c>
      <c r="P784" s="130">
        <v>0</v>
      </c>
      <c r="Q784" s="130">
        <v>0</v>
      </c>
      <c r="R784" s="130">
        <v>0</v>
      </c>
      <c r="S784" s="130">
        <v>0</v>
      </c>
      <c r="T784" s="130">
        <v>0</v>
      </c>
      <c r="U784" s="130">
        <v>0</v>
      </c>
      <c r="V784" s="524">
        <v>0</v>
      </c>
      <c r="W784" s="130">
        <v>0</v>
      </c>
      <c r="X784" s="130">
        <v>0</v>
      </c>
      <c r="Y784" s="130">
        <v>0</v>
      </c>
      <c r="Z784" s="130">
        <v>0</v>
      </c>
      <c r="AA784" s="158" t="s">
        <v>2078</v>
      </c>
      <c r="AB784" s="158"/>
      <c r="AC784" s="158"/>
      <c r="AD784" s="158"/>
      <c r="AE784" s="158" t="b">
        <f>IF(AB784="",TRUE,IF(IF(AC784="",VLOOKUP(AB784,Calculs!$A$19:$S$425,19,FALSE),VLOOKUP(AC784,Calculs!$A$19:$S$425,19,FALSE))&gt;=AD784,TRUE,FALSE))</f>
        <v>1</v>
      </c>
      <c r="AF784" s="158"/>
      <c r="AG784" s="158"/>
      <c r="AH784" s="158"/>
      <c r="AI784" s="158" t="b">
        <f>IF(AF784="",TRUE,IF(IF(AG784="",VLOOKUP(AF784,Calculs!$A$19:$S$425,19,FALSE),VLOOKUP(AG784,Calculs!$A$19:$S$425,19,FALSE))&gt;=AH784,TRUE,FALSE))</f>
        <v>1</v>
      </c>
      <c r="AJ784" s="158"/>
      <c r="AK784" s="158"/>
      <c r="AL784" s="158"/>
      <c r="AM784" s="158" t="b">
        <f>IF(AJ784="",TRUE,IF(IF(AK784="",VLOOKUP(AJ784,Calculs!$A$19:$S$425,19,FALSE),VLOOKUP(AK784,Calculs!$A$19:$S$425,19,FALSE))&gt;=AL784,TRUE,FALSE))</f>
        <v>1</v>
      </c>
      <c r="AN784" s="158"/>
      <c r="AO784" s="158"/>
      <c r="AP784" s="158"/>
      <c r="AQ784" s="158" t="b">
        <f>IF(AN784="",TRUE,IF(IF(AO784="",VLOOKUP(AN784,Calculs!$A$19:$S$425,19,FALSE),VLOOKUP(AO784,Calculs!$A$19:$S$425,19,FALSE))&gt;=AP784,TRUE,FALSE))</f>
        <v>1</v>
      </c>
      <c r="AR784" s="158"/>
      <c r="AS784" s="158" t="b">
        <f>IF(AR784="",TRUE,IF(VLOOKUP(AR784,Calculs!$A$427:$G$738,7,FALSE)&gt;0,TRUE,FALSE))</f>
        <v>1</v>
      </c>
      <c r="AT784" s="158"/>
      <c r="AU784" s="158" t="b">
        <f>IF(AT784="",TRUE,IF(VLOOKUP(AT784,Calculs!$A$740:$G$912,7,FALSE)&gt;0,TRUE,FALSE))</f>
        <v>1</v>
      </c>
      <c r="AV784" s="158" t="b">
        <f t="shared" si="88"/>
        <v>1</v>
      </c>
      <c r="AW784" s="158" t="s">
        <v>2078</v>
      </c>
      <c r="AX784" s="162" t="s">
        <v>6816</v>
      </c>
      <c r="AY784" s="15">
        <v>11</v>
      </c>
      <c r="AZ784" s="555" t="s">
        <v>6841</v>
      </c>
      <c r="BA784" s="559">
        <f>IF(Verso!$B$10=Voies!$B784,1,0)</f>
        <v>0</v>
      </c>
      <c r="BB784" s="12">
        <f>IF(Verso!$B$11=Voies!$B784,1,0)</f>
        <v>0</v>
      </c>
      <c r="BC784" s="12">
        <f>IF(Verso!$B$12=Voies!$B784,1,0)</f>
        <v>0</v>
      </c>
      <c r="BD784" s="12">
        <f>IF(Verso!$B$13=Voies!$B784,1,0)</f>
        <v>0</v>
      </c>
      <c r="BE784" s="12">
        <f>IF(Verso!$B$14=Voies!$B784,1,0)</f>
        <v>0</v>
      </c>
      <c r="BF784" s="12">
        <f>IF(Verso!$B$15=Voies!$B784,1,0)</f>
        <v>0</v>
      </c>
      <c r="BG784" s="12">
        <f>IF(Verso!$B$16=Voies!$B784,1,0)</f>
        <v>0</v>
      </c>
      <c r="BH784" s="12">
        <f>IF(Verso!$B$17=Voies!$B784,1,0)</f>
        <v>0</v>
      </c>
      <c r="BI784" s="557">
        <f t="shared" si="89"/>
        <v>0</v>
      </c>
      <c r="BJ784" s="196" t="str">
        <f t="shared" si="90"/>
        <v/>
      </c>
      <c r="BK784" s="196" t="str">
        <f t="shared" si="91"/>
        <v/>
      </c>
      <c r="BL784" s="295" t="str">
        <f t="shared" si="92"/>
        <v/>
      </c>
      <c r="BM784" s="91"/>
    </row>
    <row r="785" spans="1:65" s="196" customFormat="1" ht="47.25" customHeight="1" x14ac:dyDescent="0.25">
      <c r="A785" s="162" t="str">
        <f>IF(AND(Réputation&gt;Voies!E785-1,OR(C785=TRUE,Calculs!$I$8&gt;0),Air&gt;Voies!J785-1,Eau&gt;Voies!K785-1,Feu&gt;Voies!L785-1,Terre&gt;Voies!M785-1,Vide&gt;Voies!N785-1,Constitution&gt;Voies!O785-1,Volonté&gt;Voies!P785-1,Force&gt;Voies!Q785-1,Perception&gt;Voies!R785-1,Reflexes&gt;Voies!S785-1,Agilité&gt;Voies!T785-1,Intuition&gt;Voies!U785-1,Intelligence&gt;Voies!V785-1,Souillure&gt;Voies!W785-1,Honneur&gt;X785-1,Statut&gt;Y785-1,Gloire&gt;Z785-1,AV785=TRUE),Voies!B785,"")</f>
        <v/>
      </c>
      <c r="B785" s="162" t="s">
        <v>6844</v>
      </c>
      <c r="C785" s="162" t="b">
        <f>IF(Clan=Voies!D785,TRUE,FALSE)</f>
        <v>0</v>
      </c>
      <c r="D785" s="466" t="s">
        <v>6755</v>
      </c>
      <c r="E785" s="199">
        <v>5</v>
      </c>
      <c r="F785" s="199">
        <v>5</v>
      </c>
      <c r="G785" s="199" t="s">
        <v>2049</v>
      </c>
      <c r="H785" s="162" t="s">
        <v>6832</v>
      </c>
      <c r="I785" s="129" t="str">
        <f t="shared" si="87"/>
        <v>Rien</v>
      </c>
      <c r="J785" s="146">
        <v>0</v>
      </c>
      <c r="K785" s="147">
        <v>0</v>
      </c>
      <c r="L785" s="148">
        <v>0</v>
      </c>
      <c r="M785" s="149">
        <v>0</v>
      </c>
      <c r="N785" s="150">
        <v>0</v>
      </c>
      <c r="O785" s="130">
        <v>0</v>
      </c>
      <c r="P785" s="130">
        <v>0</v>
      </c>
      <c r="Q785" s="130">
        <v>0</v>
      </c>
      <c r="R785" s="130">
        <v>0</v>
      </c>
      <c r="S785" s="130">
        <v>0</v>
      </c>
      <c r="T785" s="130">
        <v>0</v>
      </c>
      <c r="U785" s="130">
        <v>0</v>
      </c>
      <c r="V785" s="524">
        <v>0</v>
      </c>
      <c r="W785" s="130">
        <v>0</v>
      </c>
      <c r="X785" s="130">
        <v>0</v>
      </c>
      <c r="Y785" s="130">
        <v>0</v>
      </c>
      <c r="Z785" s="130">
        <v>0</v>
      </c>
      <c r="AA785" s="158" t="s">
        <v>2078</v>
      </c>
      <c r="AB785" s="158"/>
      <c r="AC785" s="158"/>
      <c r="AD785" s="158"/>
      <c r="AE785" s="158" t="b">
        <f>IF(AB785="",TRUE,IF(IF(AC785="",VLOOKUP(AB785,Calculs!$A$19:$S$425,19,FALSE),VLOOKUP(AC785,Calculs!$A$19:$S$425,19,FALSE))&gt;=AD785,TRUE,FALSE))</f>
        <v>1</v>
      </c>
      <c r="AF785" s="158"/>
      <c r="AG785" s="158"/>
      <c r="AH785" s="158"/>
      <c r="AI785" s="158" t="b">
        <f>IF(AF785="",TRUE,IF(IF(AG785="",VLOOKUP(AF785,Calculs!$A$19:$S$425,19,FALSE),VLOOKUP(AG785,Calculs!$A$19:$S$425,19,FALSE))&gt;=AH785,TRUE,FALSE))</f>
        <v>1</v>
      </c>
      <c r="AJ785" s="158"/>
      <c r="AK785" s="158"/>
      <c r="AL785" s="158"/>
      <c r="AM785" s="158" t="b">
        <f>IF(AJ785="",TRUE,IF(IF(AK785="",VLOOKUP(AJ785,Calculs!$A$19:$S$425,19,FALSE),VLOOKUP(AK785,Calculs!$A$19:$S$425,19,FALSE))&gt;=AL785,TRUE,FALSE))</f>
        <v>1</v>
      </c>
      <c r="AN785" s="158"/>
      <c r="AO785" s="158"/>
      <c r="AP785" s="158"/>
      <c r="AQ785" s="158" t="b">
        <f>IF(AN785="",TRUE,IF(IF(AO785="",VLOOKUP(AN785,Calculs!$A$19:$S$425,19,FALSE),VLOOKUP(AO785,Calculs!$A$19:$S$425,19,FALSE))&gt;=AP785,TRUE,FALSE))</f>
        <v>1</v>
      </c>
      <c r="AR785" s="158"/>
      <c r="AS785" s="158" t="b">
        <f>IF(AR785="",TRUE,IF(VLOOKUP(AR785,Calculs!$A$427:$G$738,7,FALSE)&gt;0,TRUE,FALSE))</f>
        <v>1</v>
      </c>
      <c r="AT785" s="158"/>
      <c r="AU785" s="158" t="b">
        <f>IF(AT785="",TRUE,IF(VLOOKUP(AT785,Calculs!$A$740:$G$912,7,FALSE)&gt;0,TRUE,FALSE))</f>
        <v>1</v>
      </c>
      <c r="AV785" s="158" t="b">
        <f t="shared" si="88"/>
        <v>1</v>
      </c>
      <c r="AW785" s="158" t="s">
        <v>2078</v>
      </c>
      <c r="AX785" s="162" t="s">
        <v>6816</v>
      </c>
      <c r="AY785" s="15">
        <v>11</v>
      </c>
      <c r="AZ785" s="555" t="s">
        <v>6843</v>
      </c>
      <c r="BA785" s="559">
        <f>IF(Verso!$B$10=Voies!$B785,1,0)</f>
        <v>0</v>
      </c>
      <c r="BB785" s="12">
        <f>IF(Verso!$B$11=Voies!$B785,1,0)</f>
        <v>0</v>
      </c>
      <c r="BC785" s="12">
        <f>IF(Verso!$B$12=Voies!$B785,1,0)</f>
        <v>0</v>
      </c>
      <c r="BD785" s="12">
        <f>IF(Verso!$B$13=Voies!$B785,1,0)</f>
        <v>0</v>
      </c>
      <c r="BE785" s="12">
        <f>IF(Verso!$B$14=Voies!$B785,1,0)</f>
        <v>0</v>
      </c>
      <c r="BF785" s="12">
        <f>IF(Verso!$B$15=Voies!$B785,1,0)</f>
        <v>0</v>
      </c>
      <c r="BG785" s="12">
        <f>IF(Verso!$B$16=Voies!$B785,1,0)</f>
        <v>0</v>
      </c>
      <c r="BH785" s="12">
        <f>IF(Verso!$B$17=Voies!$B785,1,0)</f>
        <v>0</v>
      </c>
      <c r="BI785" s="557">
        <f t="shared" si="89"/>
        <v>0</v>
      </c>
      <c r="BJ785" s="196" t="str">
        <f t="shared" si="90"/>
        <v/>
      </c>
      <c r="BK785" s="196" t="str">
        <f t="shared" si="91"/>
        <v/>
      </c>
      <c r="BL785" s="295" t="str">
        <f t="shared" si="92"/>
        <v/>
      </c>
      <c r="BM785" s="91"/>
    </row>
    <row r="786" spans="1:65" ht="47.25" customHeight="1" x14ac:dyDescent="0.25">
      <c r="A786" s="162" t="str">
        <f>IF(AND(Réputation&gt;Voies!E786-1,OR(C786=TRUE,Calculs!$I$8&gt;0),Air&gt;Voies!J786-1,Eau&gt;Voies!K786-1,Feu&gt;Voies!L786-1,Terre&gt;Voies!M786-1,Vide&gt;Voies!N786-1,Constitution&gt;Voies!O786-1,Volonté&gt;Voies!P786-1,Force&gt;Voies!Q786-1,Perception&gt;Voies!R786-1,Reflexes&gt;Voies!S786-1,Agilité&gt;Voies!T786-1,Intuition&gt;Voies!U786-1,Intelligence&gt;Voies!V786-1,Souillure&gt;Voies!W786-1,Honneur&gt;X786-1,Statut&gt;Y786-1,Gloire&gt;Z786-1,AV786=TRUE),Voies!B786,"")</f>
        <v/>
      </c>
      <c r="B786" s="162" t="s">
        <v>2895</v>
      </c>
      <c r="C786" s="162" t="b">
        <f>IF(Clan=Voies!D786,TRUE,FALSE)</f>
        <v>0</v>
      </c>
      <c r="D786" s="387" t="s">
        <v>177</v>
      </c>
      <c r="E786" s="13">
        <v>0</v>
      </c>
      <c r="F786" s="199">
        <v>0</v>
      </c>
      <c r="G786" s="13" t="s">
        <v>2050</v>
      </c>
      <c r="H786" s="162" t="s">
        <v>2894</v>
      </c>
      <c r="I786" s="129" t="str">
        <f t="shared" si="87"/>
        <v>Rien</v>
      </c>
      <c r="J786" s="146">
        <v>0</v>
      </c>
      <c r="K786" s="147">
        <v>0</v>
      </c>
      <c r="L786" s="148">
        <v>0</v>
      </c>
      <c r="M786" s="149">
        <v>0</v>
      </c>
      <c r="N786" s="150">
        <v>4</v>
      </c>
      <c r="O786" s="130">
        <v>0</v>
      </c>
      <c r="P786" s="130">
        <v>0</v>
      </c>
      <c r="Q786" s="130">
        <v>0</v>
      </c>
      <c r="R786" s="130">
        <v>0</v>
      </c>
      <c r="S786" s="130">
        <v>0</v>
      </c>
      <c r="T786" s="130">
        <v>0</v>
      </c>
      <c r="U786" s="130">
        <v>0</v>
      </c>
      <c r="V786" s="524">
        <v>0</v>
      </c>
      <c r="W786" s="130">
        <v>0</v>
      </c>
      <c r="X786" s="130">
        <v>0</v>
      </c>
      <c r="Y786" s="130">
        <v>0</v>
      </c>
      <c r="Z786" s="130">
        <v>0</v>
      </c>
      <c r="AA786" s="159" t="s">
        <v>6345</v>
      </c>
      <c r="AB786" s="159" t="s">
        <v>3325</v>
      </c>
      <c r="AC786" s="159" t="s">
        <v>3189</v>
      </c>
      <c r="AD786" s="159">
        <v>4</v>
      </c>
      <c r="AE786" s="158" t="b">
        <f>IF(AB786="",TRUE,IF(IF(AC786="",VLOOKUP(AB786,Calculs!$A$19:$S$425,19,FALSE),VLOOKUP(AC786,Calculs!$A$19:$S$425,19,FALSE))&gt;=AD786,TRUE,FALSE))</f>
        <v>0</v>
      </c>
      <c r="AF786" s="159" t="s">
        <v>3325</v>
      </c>
      <c r="AG786" s="159" t="s">
        <v>3213</v>
      </c>
      <c r="AH786" s="159">
        <v>3</v>
      </c>
      <c r="AI786" s="158" t="b">
        <f>IF(AF786="",TRUE,IF(IF(AG786="",VLOOKUP(AF786,Calculs!$A$19:$S$425,19,FALSE),VLOOKUP(AG786,Calculs!$A$19:$S$425,19,FALSE))&gt;=AH786,TRUE,FALSE))</f>
        <v>0</v>
      </c>
      <c r="AM786" s="158" t="b">
        <f>IF(AJ786="",TRUE,IF(IF(AK786="",VLOOKUP(AJ786,Calculs!$A$19:$S$425,19,FALSE),VLOOKUP(AK786,Calculs!$A$19:$S$425,19,FALSE))&gt;=AL786,TRUE,FALSE))</f>
        <v>1</v>
      </c>
      <c r="AQ786" s="158" t="b">
        <f>IF(AN786="",TRUE,IF(IF(AO786="",VLOOKUP(AN786,Calculs!$A$19:$S$425,19,FALSE),VLOOKUP(AO786,Calculs!$A$19:$S$425,19,FALSE))&gt;=AP786,TRUE,FALSE))</f>
        <v>1</v>
      </c>
      <c r="AR786" s="158"/>
      <c r="AS786" s="158" t="b">
        <f>IF(AR786="",TRUE,IF(VLOOKUP(AR786,Calculs!$A$427:$G$738,7,FALSE)&gt;0,TRUE,FALSE))</f>
        <v>1</v>
      </c>
      <c r="AT786" s="158"/>
      <c r="AU786" s="158" t="b">
        <f>IF(AT786="",TRUE,IF(VLOOKUP(AT786,Calculs!$A$740:$G$912,7,FALSE)&gt;0,TRUE,FALSE))</f>
        <v>1</v>
      </c>
      <c r="AV786" s="158" t="b">
        <f t="shared" si="88"/>
        <v>0</v>
      </c>
      <c r="AW786" s="159" t="s">
        <v>2896</v>
      </c>
      <c r="AX786" s="162" t="s">
        <v>6061</v>
      </c>
      <c r="AY786" s="15">
        <v>232</v>
      </c>
      <c r="AZ786" s="555" t="s">
        <v>8683</v>
      </c>
      <c r="BA786" s="559">
        <f>IF(Verso!$B$10=Voies!$B786,1,0)</f>
        <v>0</v>
      </c>
      <c r="BB786" s="12">
        <f>IF(Verso!$B$11=Voies!$B786,1,0)</f>
        <v>0</v>
      </c>
      <c r="BC786" s="12">
        <f>IF(Verso!$B$12=Voies!$B786,1,0)</f>
        <v>0</v>
      </c>
      <c r="BD786" s="12">
        <f>IF(Verso!$B$13=Voies!$B786,1,0)</f>
        <v>0</v>
      </c>
      <c r="BE786" s="12">
        <f>IF(Verso!$B$14=Voies!$B786,1,0)</f>
        <v>0</v>
      </c>
      <c r="BF786" s="12">
        <f>IF(Verso!$B$15=Voies!$B786,1,0)</f>
        <v>0</v>
      </c>
      <c r="BG786" s="12">
        <f>IF(Verso!$B$16=Voies!$B786,1,0)</f>
        <v>0</v>
      </c>
      <c r="BH786" s="12">
        <f>IF(Verso!$B$17=Voies!$B786,1,0)</f>
        <v>0</v>
      </c>
      <c r="BI786" s="557">
        <f t="shared" si="89"/>
        <v>0</v>
      </c>
      <c r="BJ786" s="196" t="str">
        <f t="shared" si="90"/>
        <v/>
      </c>
      <c r="BK786" s="196" t="str">
        <f t="shared" si="91"/>
        <v/>
      </c>
      <c r="BL786" s="295" t="str">
        <f t="shared" si="92"/>
        <v/>
      </c>
    </row>
    <row r="787" spans="1:65" ht="47.25" customHeight="1" x14ac:dyDescent="0.25">
      <c r="A787" s="162" t="str">
        <f>IF(AND(Réputation&gt;Voies!E787-1,OR(C787=TRUE,Calculs!$I$8&gt;0),Air&gt;Voies!J787-1,Eau&gt;Voies!K787-1,Feu&gt;Voies!L787-1,Terre&gt;Voies!M787-1,Vide&gt;Voies!N787-1,Constitution&gt;Voies!O787-1,Volonté&gt;Voies!P787-1,Force&gt;Voies!Q787-1,Perception&gt;Voies!R787-1,Reflexes&gt;Voies!S787-1,Agilité&gt;Voies!T787-1,Intuition&gt;Voies!U787-1,Intelligence&gt;Voies!V787-1,Souillure&gt;Voies!W787-1,Honneur&gt;X787-1,Statut&gt;Y787-1,Gloire&gt;Z787-1,AV787=TRUE),Voies!B787,"")</f>
        <v/>
      </c>
      <c r="B787" s="162" t="s">
        <v>6103</v>
      </c>
      <c r="C787" s="162" t="b">
        <f>IF(Clan=Voies!D787,TRUE,FALSE)</f>
        <v>0</v>
      </c>
      <c r="D787" s="387" t="s">
        <v>177</v>
      </c>
      <c r="E787" s="13">
        <v>0</v>
      </c>
      <c r="F787" s="199">
        <v>0</v>
      </c>
      <c r="G787" s="199" t="s">
        <v>2050</v>
      </c>
      <c r="H787" s="162" t="s">
        <v>2894</v>
      </c>
      <c r="I787" s="129" t="str">
        <f t="shared" si="87"/>
        <v>Rien</v>
      </c>
      <c r="J787" s="146">
        <v>0</v>
      </c>
      <c r="K787" s="147">
        <v>0</v>
      </c>
      <c r="L787" s="148">
        <v>0</v>
      </c>
      <c r="M787" s="149">
        <v>0</v>
      </c>
      <c r="N787" s="150">
        <v>4</v>
      </c>
      <c r="O787" s="130">
        <v>0</v>
      </c>
      <c r="P787" s="130">
        <v>0</v>
      </c>
      <c r="Q787" s="130">
        <v>0</v>
      </c>
      <c r="R787" s="130">
        <v>0</v>
      </c>
      <c r="S787" s="130">
        <v>0</v>
      </c>
      <c r="T787" s="130">
        <v>0</v>
      </c>
      <c r="U787" s="130">
        <v>0</v>
      </c>
      <c r="V787" s="524">
        <v>0</v>
      </c>
      <c r="W787" s="130">
        <v>0</v>
      </c>
      <c r="X787" s="130">
        <v>0</v>
      </c>
      <c r="Y787" s="130">
        <v>0</v>
      </c>
      <c r="Z787" s="130">
        <v>0</v>
      </c>
      <c r="AA787" s="159" t="s">
        <v>6345</v>
      </c>
      <c r="AB787" s="159" t="s">
        <v>3325</v>
      </c>
      <c r="AC787" s="159" t="s">
        <v>3189</v>
      </c>
      <c r="AD787" s="159">
        <v>4</v>
      </c>
      <c r="AE787" s="158" t="b">
        <f>IF(AB787="",TRUE,IF(IF(AC787="",VLOOKUP(AB787,Calculs!$A$19:$S$425,19,FALSE),VLOOKUP(AC787,Calculs!$A$19:$S$425,19,FALSE))&gt;=AD787,TRUE,FALSE))</f>
        <v>0</v>
      </c>
      <c r="AF787" s="159" t="s">
        <v>3325</v>
      </c>
      <c r="AG787" s="159" t="s">
        <v>3213</v>
      </c>
      <c r="AH787" s="159">
        <v>3</v>
      </c>
      <c r="AI787" s="158" t="b">
        <f>IF(AF787="",TRUE,IF(IF(AG787="",VLOOKUP(AF787,Calculs!$A$19:$S$425,19,FALSE),VLOOKUP(AG787,Calculs!$A$19:$S$425,19,FALSE))&gt;=AH787,TRUE,FALSE))</f>
        <v>0</v>
      </c>
      <c r="AM787" s="158" t="b">
        <f>IF(AJ787="",TRUE,IF(IF(AK787="",VLOOKUP(AJ787,Calculs!$A$19:$S$425,19,FALSE),VLOOKUP(AK787,Calculs!$A$19:$S$425,19,FALSE))&gt;=AL787,TRUE,FALSE))</f>
        <v>1</v>
      </c>
      <c r="AQ787" s="158" t="b">
        <f>IF(AN787="",TRUE,IF(IF(AO787="",VLOOKUP(AN787,Calculs!$A$19:$S$425,19,FALSE),VLOOKUP(AO787,Calculs!$A$19:$S$425,19,FALSE))&gt;=AP787,TRUE,FALSE))</f>
        <v>1</v>
      </c>
      <c r="AR787" s="158"/>
      <c r="AS787" s="158" t="b">
        <f>IF(AR787="",TRUE,IF(VLOOKUP(AR787,Calculs!$A$427:$G$738,7,FALSE)&gt;0,TRUE,FALSE))</f>
        <v>1</v>
      </c>
      <c r="AT787" s="158"/>
      <c r="AU787" s="158" t="b">
        <f>IF(AT787="",TRUE,IF(VLOOKUP(AT787,Calculs!$A$740:$G$912,7,FALSE)&gt;0,TRUE,FALSE))</f>
        <v>1</v>
      </c>
      <c r="AV787" s="158" t="b">
        <f t="shared" si="88"/>
        <v>0</v>
      </c>
      <c r="AW787" s="159" t="s">
        <v>2896</v>
      </c>
      <c r="AX787" s="162" t="s">
        <v>6061</v>
      </c>
      <c r="AY787" s="15">
        <v>232</v>
      </c>
      <c r="AZ787" s="555" t="s">
        <v>8684</v>
      </c>
      <c r="BA787" s="559">
        <f>IF(Verso!$B$10=Voies!$B787,1,0)</f>
        <v>0</v>
      </c>
      <c r="BB787" s="12">
        <f>IF(Verso!$B$11=Voies!$B787,1,0)</f>
        <v>0</v>
      </c>
      <c r="BC787" s="12">
        <f>IF(Verso!$B$12=Voies!$B787,1,0)</f>
        <v>0</v>
      </c>
      <c r="BD787" s="12">
        <f>IF(Verso!$B$13=Voies!$B787,1,0)</f>
        <v>0</v>
      </c>
      <c r="BE787" s="12">
        <f>IF(Verso!$B$14=Voies!$B787,1,0)</f>
        <v>0</v>
      </c>
      <c r="BF787" s="12">
        <f>IF(Verso!$B$15=Voies!$B787,1,0)</f>
        <v>0</v>
      </c>
      <c r="BG787" s="12">
        <f>IF(Verso!$B$16=Voies!$B787,1,0)</f>
        <v>0</v>
      </c>
      <c r="BH787" s="12">
        <f>IF(Verso!$B$17=Voies!$B787,1,0)</f>
        <v>0</v>
      </c>
      <c r="BI787" s="557">
        <f t="shared" si="89"/>
        <v>0</v>
      </c>
      <c r="BJ787" s="196" t="str">
        <f t="shared" si="90"/>
        <v/>
      </c>
      <c r="BK787" s="196" t="str">
        <f t="shared" si="91"/>
        <v/>
      </c>
      <c r="BL787" s="295" t="str">
        <f t="shared" si="92"/>
        <v/>
      </c>
    </row>
    <row r="788" spans="1:65" ht="47.25" customHeight="1" x14ac:dyDescent="0.25">
      <c r="A788" s="162" t="str">
        <f>IF(AND(Réputation&gt;Voies!E788-1,OR(C788=TRUE,Calculs!$I$8&gt;0),Air&gt;Voies!J788-1,Eau&gt;Voies!K788-1,Feu&gt;Voies!L788-1,Terre&gt;Voies!M788-1,Vide&gt;Voies!N788-1,Constitution&gt;Voies!O788-1,Volonté&gt;Voies!P788-1,Force&gt;Voies!Q788-1,Perception&gt;Voies!R788-1,Reflexes&gt;Voies!S788-1,Agilité&gt;Voies!T788-1,Intuition&gt;Voies!U788-1,Intelligence&gt;Voies!V788-1,Souillure&gt;Voies!W788-1,Honneur&gt;X788-1,Statut&gt;Y788-1,Gloire&gt;Z788-1,AV788=TRUE),Voies!B788,"")</f>
        <v/>
      </c>
      <c r="B788" s="162" t="s">
        <v>6104</v>
      </c>
      <c r="C788" s="162" t="b">
        <f>IF(Clan=Voies!D788,TRUE,FALSE)</f>
        <v>0</v>
      </c>
      <c r="D788" s="387" t="s">
        <v>177</v>
      </c>
      <c r="E788" s="13">
        <v>0</v>
      </c>
      <c r="F788" s="199">
        <v>0</v>
      </c>
      <c r="G788" s="199" t="s">
        <v>2050</v>
      </c>
      <c r="H788" s="162" t="s">
        <v>2894</v>
      </c>
      <c r="I788" s="129" t="str">
        <f t="shared" si="87"/>
        <v>Rien</v>
      </c>
      <c r="J788" s="146">
        <v>0</v>
      </c>
      <c r="K788" s="147">
        <v>0</v>
      </c>
      <c r="L788" s="148">
        <v>0</v>
      </c>
      <c r="M788" s="149">
        <v>0</v>
      </c>
      <c r="N788" s="150">
        <v>4</v>
      </c>
      <c r="O788" s="130">
        <v>0</v>
      </c>
      <c r="P788" s="130">
        <v>0</v>
      </c>
      <c r="Q788" s="130">
        <v>0</v>
      </c>
      <c r="R788" s="130">
        <v>0</v>
      </c>
      <c r="S788" s="130">
        <v>0</v>
      </c>
      <c r="T788" s="130">
        <v>0</v>
      </c>
      <c r="U788" s="130">
        <v>0</v>
      </c>
      <c r="V788" s="524">
        <v>0</v>
      </c>
      <c r="W788" s="130">
        <v>0</v>
      </c>
      <c r="X788" s="130">
        <v>0</v>
      </c>
      <c r="Y788" s="130">
        <v>0</v>
      </c>
      <c r="Z788" s="130">
        <v>0</v>
      </c>
      <c r="AA788" s="159" t="s">
        <v>6345</v>
      </c>
      <c r="AB788" s="159" t="s">
        <v>3325</v>
      </c>
      <c r="AC788" s="159" t="s">
        <v>3189</v>
      </c>
      <c r="AD788" s="159">
        <v>4</v>
      </c>
      <c r="AE788" s="158" t="b">
        <f>IF(AB788="",TRUE,IF(IF(AC788="",VLOOKUP(AB788,Calculs!$A$19:$S$425,19,FALSE),VLOOKUP(AC788,Calculs!$A$19:$S$425,19,FALSE))&gt;=AD788,TRUE,FALSE))</f>
        <v>0</v>
      </c>
      <c r="AF788" s="159" t="s">
        <v>3325</v>
      </c>
      <c r="AG788" s="159" t="s">
        <v>3213</v>
      </c>
      <c r="AH788" s="159">
        <v>3</v>
      </c>
      <c r="AI788" s="158" t="b">
        <f>IF(AF788="",TRUE,IF(IF(AG788="",VLOOKUP(AF788,Calculs!$A$19:$S$425,19,FALSE),VLOOKUP(AG788,Calculs!$A$19:$S$425,19,FALSE))&gt;=AH788,TRUE,FALSE))</f>
        <v>0</v>
      </c>
      <c r="AM788" s="158" t="b">
        <f>IF(AJ788="",TRUE,IF(IF(AK788="",VLOOKUP(AJ788,Calculs!$A$19:$S$425,19,FALSE),VLOOKUP(AK788,Calculs!$A$19:$S$425,19,FALSE))&gt;=AL788,TRUE,FALSE))</f>
        <v>1</v>
      </c>
      <c r="AQ788" s="158" t="b">
        <f>IF(AN788="",TRUE,IF(IF(AO788="",VLOOKUP(AN788,Calculs!$A$19:$S$425,19,FALSE),VLOOKUP(AO788,Calculs!$A$19:$S$425,19,FALSE))&gt;=AP788,TRUE,FALSE))</f>
        <v>1</v>
      </c>
      <c r="AR788" s="158"/>
      <c r="AS788" s="158" t="b">
        <f>IF(AR788="",TRUE,IF(VLOOKUP(AR788,Calculs!$A$427:$G$738,7,FALSE)&gt;0,TRUE,FALSE))</f>
        <v>1</v>
      </c>
      <c r="AT788" s="158"/>
      <c r="AU788" s="158" t="b">
        <f>IF(AT788="",TRUE,IF(VLOOKUP(AT788,Calculs!$A$740:$G$912,7,FALSE)&gt;0,TRUE,FALSE))</f>
        <v>1</v>
      </c>
      <c r="AV788" s="158" t="b">
        <f t="shared" si="88"/>
        <v>0</v>
      </c>
      <c r="AW788" s="159" t="s">
        <v>2896</v>
      </c>
      <c r="AX788" s="162" t="s">
        <v>6061</v>
      </c>
      <c r="AY788" s="15">
        <v>232</v>
      </c>
      <c r="AZ788" s="555" t="s">
        <v>2897</v>
      </c>
      <c r="BA788" s="559">
        <f>IF(Verso!$B$10=Voies!$B788,1,0)</f>
        <v>0</v>
      </c>
      <c r="BB788" s="12">
        <f>IF(Verso!$B$11=Voies!$B788,1,0)</f>
        <v>0</v>
      </c>
      <c r="BC788" s="12">
        <f>IF(Verso!$B$12=Voies!$B788,1,0)</f>
        <v>0</v>
      </c>
      <c r="BD788" s="12">
        <f>IF(Verso!$B$13=Voies!$B788,1,0)</f>
        <v>0</v>
      </c>
      <c r="BE788" s="12">
        <f>IF(Verso!$B$14=Voies!$B788,1,0)</f>
        <v>0</v>
      </c>
      <c r="BF788" s="12">
        <f>IF(Verso!$B$15=Voies!$B788,1,0)</f>
        <v>0</v>
      </c>
      <c r="BG788" s="12">
        <f>IF(Verso!$B$16=Voies!$B788,1,0)</f>
        <v>0</v>
      </c>
      <c r="BH788" s="12">
        <f>IF(Verso!$B$17=Voies!$B788,1,0)</f>
        <v>0</v>
      </c>
      <c r="BI788" s="557">
        <f t="shared" si="89"/>
        <v>0</v>
      </c>
      <c r="BJ788" s="196" t="str">
        <f t="shared" si="90"/>
        <v/>
      </c>
      <c r="BK788" s="196" t="str">
        <f t="shared" si="91"/>
        <v/>
      </c>
      <c r="BL788" s="295" t="str">
        <f t="shared" si="92"/>
        <v/>
      </c>
    </row>
    <row r="789" spans="1:65" ht="47.25" customHeight="1" x14ac:dyDescent="0.25">
      <c r="A789" s="162" t="str">
        <f>IF(AND(Réputation&gt;Voies!E789-1,OR(C789=TRUE,Calculs!$I$8&gt;0),Air&gt;Voies!J789-1,Eau&gt;Voies!K789-1,Feu&gt;Voies!L789-1,Terre&gt;Voies!M789-1,Vide&gt;Voies!N789-1,Constitution&gt;Voies!O789-1,Volonté&gt;Voies!P789-1,Force&gt;Voies!Q789-1,Perception&gt;Voies!R789-1,Reflexes&gt;Voies!S789-1,Agilité&gt;Voies!T789-1,Intuition&gt;Voies!U789-1,Intelligence&gt;Voies!V789-1,Souillure&gt;Voies!W789-1,Honneur&gt;X789-1,Statut&gt;Y789-1,Gloire&gt;Z789-1,AV789=TRUE),Voies!B789,"")</f>
        <v/>
      </c>
      <c r="B789" s="162" t="s">
        <v>2565</v>
      </c>
      <c r="C789" s="162" t="b">
        <f>IF(Clan=Voies!D789,TRUE,FALSE)</f>
        <v>0</v>
      </c>
      <c r="D789" s="387" t="s">
        <v>177</v>
      </c>
      <c r="E789" s="13">
        <v>0</v>
      </c>
      <c r="F789" s="199">
        <v>0</v>
      </c>
      <c r="G789" s="199" t="s">
        <v>2048</v>
      </c>
      <c r="H789" s="162" t="s">
        <v>423</v>
      </c>
      <c r="I789" s="129" t="str">
        <f t="shared" si="87"/>
        <v>Rien</v>
      </c>
      <c r="J789" s="146">
        <v>0</v>
      </c>
      <c r="K789" s="147">
        <v>0</v>
      </c>
      <c r="L789" s="148">
        <v>0</v>
      </c>
      <c r="M789" s="149">
        <v>0</v>
      </c>
      <c r="N789" s="150">
        <v>0</v>
      </c>
      <c r="O789" s="130">
        <v>0</v>
      </c>
      <c r="P789" s="130">
        <v>0</v>
      </c>
      <c r="Q789" s="130">
        <v>0</v>
      </c>
      <c r="R789" s="130">
        <v>0</v>
      </c>
      <c r="S789" s="130">
        <v>0</v>
      </c>
      <c r="T789" s="130">
        <v>0</v>
      </c>
      <c r="U789" s="130">
        <v>0</v>
      </c>
      <c r="V789" s="524">
        <v>0</v>
      </c>
      <c r="W789" s="130">
        <v>0</v>
      </c>
      <c r="X789" s="130">
        <v>0</v>
      </c>
      <c r="Y789" s="130">
        <v>0</v>
      </c>
      <c r="Z789" s="130">
        <v>0</v>
      </c>
      <c r="AA789" s="159" t="s">
        <v>6346</v>
      </c>
      <c r="AB789" s="159" t="s">
        <v>1260</v>
      </c>
      <c r="AD789" s="159">
        <v>6</v>
      </c>
      <c r="AE789" s="158" t="b">
        <f>IF(AB789="",TRUE,IF(IF(AC789="",VLOOKUP(AB789,Calculs!$A$19:$S$425,19,FALSE),VLOOKUP(AC789,Calculs!$A$19:$S$425,19,FALSE))&gt;=AD789,TRUE,FALSE))</f>
        <v>0</v>
      </c>
      <c r="AF789" s="159" t="s">
        <v>3325</v>
      </c>
      <c r="AG789" s="159" t="s">
        <v>3214</v>
      </c>
      <c r="AH789" s="159">
        <v>6</v>
      </c>
      <c r="AI789" s="158" t="b">
        <f>IF(AF789="",TRUE,IF(IF(AG789="",VLOOKUP(AF789,Calculs!$A$19:$S$425,19,FALSE),VLOOKUP(AG789,Calculs!$A$19:$S$425,19,FALSE))&gt;=AH789,TRUE,FALSE))</f>
        <v>0</v>
      </c>
      <c r="AM789" s="158" t="b">
        <f>IF(AJ789="",TRUE,IF(IF(AK789="",VLOOKUP(AJ789,Calculs!$A$19:$S$425,19,FALSE),VLOOKUP(AK789,Calculs!$A$19:$S$425,19,FALSE))&gt;=AL789,TRUE,FALSE))</f>
        <v>1</v>
      </c>
      <c r="AQ789" s="158" t="b">
        <f>IF(AN789="",TRUE,IF(IF(AO789="",VLOOKUP(AN789,Calculs!$A$19:$S$425,19,FALSE),VLOOKUP(AO789,Calculs!$A$19:$S$425,19,FALSE))&gt;=AP789,TRUE,FALSE))</f>
        <v>1</v>
      </c>
      <c r="AR789" s="158"/>
      <c r="AS789" s="158" t="b">
        <f>IF(AR789="",TRUE,IF(VLOOKUP(AR789,Calculs!$A$427:$G$738,7,FALSE)&gt;0,TRUE,FALSE))</f>
        <v>1</v>
      </c>
      <c r="AT789" s="158"/>
      <c r="AU789" s="158" t="b">
        <f>IF(AT789="",TRUE,IF(VLOOKUP(AT789,Calculs!$A$740:$G$912,7,FALSE)&gt;0,TRUE,FALSE))</f>
        <v>1</v>
      </c>
      <c r="AV789" s="158" t="b">
        <f t="shared" si="88"/>
        <v>0</v>
      </c>
      <c r="AW789" s="159" t="s">
        <v>2600</v>
      </c>
      <c r="AX789" s="162" t="s">
        <v>3</v>
      </c>
      <c r="AY789" s="15">
        <v>249</v>
      </c>
      <c r="AZ789" s="555" t="s">
        <v>8685</v>
      </c>
      <c r="BA789" s="559">
        <f>IF(Verso!$B$10=Voies!$B789,1,0)</f>
        <v>0</v>
      </c>
      <c r="BB789" s="12">
        <f>IF(Verso!$B$11=Voies!$B789,1,0)</f>
        <v>0</v>
      </c>
      <c r="BC789" s="12">
        <f>IF(Verso!$B$12=Voies!$B789,1,0)</f>
        <v>0</v>
      </c>
      <c r="BD789" s="12">
        <f>IF(Verso!$B$13=Voies!$B789,1,0)</f>
        <v>0</v>
      </c>
      <c r="BE789" s="12">
        <f>IF(Verso!$B$14=Voies!$B789,1,0)</f>
        <v>0</v>
      </c>
      <c r="BF789" s="12">
        <f>IF(Verso!$B$15=Voies!$B789,1,0)</f>
        <v>0</v>
      </c>
      <c r="BG789" s="12">
        <f>IF(Verso!$B$16=Voies!$B789,1,0)</f>
        <v>0</v>
      </c>
      <c r="BH789" s="12">
        <f>IF(Verso!$B$17=Voies!$B789,1,0)</f>
        <v>0</v>
      </c>
      <c r="BI789" s="557">
        <f t="shared" si="89"/>
        <v>0</v>
      </c>
      <c r="BJ789" s="196" t="str">
        <f t="shared" si="90"/>
        <v/>
      </c>
      <c r="BK789" s="196" t="str">
        <f t="shared" si="91"/>
        <v/>
      </c>
      <c r="BL789" s="295" t="str">
        <f t="shared" si="92"/>
        <v/>
      </c>
    </row>
    <row r="790" spans="1:65" ht="47.25" customHeight="1" x14ac:dyDescent="0.25">
      <c r="A790" s="162" t="str">
        <f>IF(AND(Réputation&gt;Voies!E790-1,OR(C790=TRUE,Calculs!$I$8&gt;0),Air&gt;Voies!J790-1,Eau&gt;Voies!K790-1,Feu&gt;Voies!L790-1,Terre&gt;Voies!M790-1,Vide&gt;Voies!N790-1,Constitution&gt;Voies!O790-1,Volonté&gt;Voies!P790-1,Force&gt;Voies!Q790-1,Perception&gt;Voies!R790-1,Reflexes&gt;Voies!S790-1,Agilité&gt;Voies!T790-1,Intuition&gt;Voies!U790-1,Intelligence&gt;Voies!V790-1,Souillure&gt;Voies!W790-1,Honneur&gt;X790-1,Statut&gt;Y790-1,Gloire&gt;Z790-1,AV790=TRUE),Voies!B790,"")</f>
        <v/>
      </c>
      <c r="B790" s="162" t="s">
        <v>2566</v>
      </c>
      <c r="C790" s="162" t="b">
        <f>IF(Clan=Voies!D790,TRUE,FALSE)</f>
        <v>0</v>
      </c>
      <c r="D790" s="387" t="s">
        <v>177</v>
      </c>
      <c r="E790" s="13">
        <v>0</v>
      </c>
      <c r="F790" s="199">
        <v>0</v>
      </c>
      <c r="G790" s="199" t="s">
        <v>2048</v>
      </c>
      <c r="H790" s="162" t="s">
        <v>423</v>
      </c>
      <c r="I790" s="129" t="str">
        <f t="shared" si="87"/>
        <v>Rien</v>
      </c>
      <c r="J790" s="146">
        <v>0</v>
      </c>
      <c r="K790" s="147">
        <v>0</v>
      </c>
      <c r="L790" s="148">
        <v>0</v>
      </c>
      <c r="M790" s="149">
        <v>0</v>
      </c>
      <c r="N790" s="150">
        <v>0</v>
      </c>
      <c r="O790" s="130">
        <v>0</v>
      </c>
      <c r="P790" s="130">
        <v>0</v>
      </c>
      <c r="Q790" s="130">
        <v>0</v>
      </c>
      <c r="R790" s="130">
        <v>0</v>
      </c>
      <c r="S790" s="130">
        <v>0</v>
      </c>
      <c r="T790" s="130">
        <v>0</v>
      </c>
      <c r="U790" s="130">
        <v>0</v>
      </c>
      <c r="V790" s="524">
        <v>0</v>
      </c>
      <c r="W790" s="130">
        <v>0</v>
      </c>
      <c r="X790" s="130">
        <v>0</v>
      </c>
      <c r="Y790" s="130">
        <v>0</v>
      </c>
      <c r="Z790" s="130">
        <v>0</v>
      </c>
      <c r="AA790" s="159" t="s">
        <v>6346</v>
      </c>
      <c r="AB790" s="159" t="s">
        <v>1260</v>
      </c>
      <c r="AD790" s="159">
        <v>6</v>
      </c>
      <c r="AE790" s="158" t="b">
        <f>IF(AB790="",TRUE,IF(IF(AC790="",VLOOKUP(AB790,Calculs!$A$19:$S$425,19,FALSE),VLOOKUP(AC790,Calculs!$A$19:$S$425,19,FALSE))&gt;=AD790,TRUE,FALSE))</f>
        <v>0</v>
      </c>
      <c r="AF790" s="159" t="s">
        <v>3325</v>
      </c>
      <c r="AG790" s="159" t="s">
        <v>3214</v>
      </c>
      <c r="AH790" s="159">
        <v>6</v>
      </c>
      <c r="AI790" s="158" t="b">
        <f>IF(AF790="",TRUE,IF(IF(AG790="",VLOOKUP(AF790,Calculs!$A$19:$S$425,19,FALSE),VLOOKUP(AG790,Calculs!$A$19:$S$425,19,FALSE))&gt;=AH790,TRUE,FALSE))</f>
        <v>0</v>
      </c>
      <c r="AM790" s="158" t="b">
        <f>IF(AJ790="",TRUE,IF(IF(AK790="",VLOOKUP(AJ790,Calculs!$A$19:$S$425,19,FALSE),VLOOKUP(AK790,Calculs!$A$19:$S$425,19,FALSE))&gt;=AL790,TRUE,FALSE))</f>
        <v>1</v>
      </c>
      <c r="AQ790" s="158" t="b">
        <f>IF(AN790="",TRUE,IF(IF(AO790="",VLOOKUP(AN790,Calculs!$A$19:$S$425,19,FALSE),VLOOKUP(AO790,Calculs!$A$19:$S$425,19,FALSE))&gt;=AP790,TRUE,FALSE))</f>
        <v>1</v>
      </c>
      <c r="AR790" s="158"/>
      <c r="AS790" s="158" t="b">
        <f>IF(AR790="",TRUE,IF(VLOOKUP(AR790,Calculs!$A$427:$G$738,7,FALSE)&gt;0,TRUE,FALSE))</f>
        <v>1</v>
      </c>
      <c r="AT790" s="158"/>
      <c r="AU790" s="158" t="b">
        <f>IF(AT790="",TRUE,IF(VLOOKUP(AT790,Calculs!$A$740:$G$912,7,FALSE)&gt;0,TRUE,FALSE))</f>
        <v>1</v>
      </c>
      <c r="AV790" s="158" t="b">
        <f t="shared" si="88"/>
        <v>0</v>
      </c>
      <c r="AW790" s="159" t="s">
        <v>2600</v>
      </c>
      <c r="AX790" s="162" t="s">
        <v>3</v>
      </c>
      <c r="AY790" s="15">
        <v>250</v>
      </c>
      <c r="AZ790" s="555" t="s">
        <v>2601</v>
      </c>
      <c r="BA790" s="559">
        <f>IF(Verso!$B$10=Voies!$B790,1,0)</f>
        <v>0</v>
      </c>
      <c r="BB790" s="12">
        <f>IF(Verso!$B$11=Voies!$B790,1,0)</f>
        <v>0</v>
      </c>
      <c r="BC790" s="12">
        <f>IF(Verso!$B$12=Voies!$B790,1,0)</f>
        <v>0</v>
      </c>
      <c r="BD790" s="12">
        <f>IF(Verso!$B$13=Voies!$B790,1,0)</f>
        <v>0</v>
      </c>
      <c r="BE790" s="12">
        <f>IF(Verso!$B$14=Voies!$B790,1,0)</f>
        <v>0</v>
      </c>
      <c r="BF790" s="12">
        <f>IF(Verso!$B$15=Voies!$B790,1,0)</f>
        <v>0</v>
      </c>
      <c r="BG790" s="12">
        <f>IF(Verso!$B$16=Voies!$B790,1,0)</f>
        <v>0</v>
      </c>
      <c r="BH790" s="12">
        <f>IF(Verso!$B$17=Voies!$B790,1,0)</f>
        <v>0</v>
      </c>
      <c r="BI790" s="557">
        <f t="shared" si="89"/>
        <v>0</v>
      </c>
      <c r="BJ790" s="196" t="str">
        <f t="shared" si="90"/>
        <v/>
      </c>
      <c r="BK790" s="196" t="str">
        <f t="shared" si="91"/>
        <v/>
      </c>
      <c r="BL790" s="295" t="str">
        <f t="shared" si="92"/>
        <v/>
      </c>
    </row>
    <row r="791" spans="1:65" ht="47.25" customHeight="1" x14ac:dyDescent="0.25">
      <c r="A791" s="162" t="str">
        <f>IF(AND(Réputation&gt;Voies!E791-1,OR(C791=TRUE,Calculs!$I$8&gt;0),Air&gt;Voies!J791-1,Eau&gt;Voies!K791-1,Feu&gt;Voies!L791-1,Terre&gt;Voies!M791-1,Vide&gt;Voies!N791-1,Constitution&gt;Voies!O791-1,Volonté&gt;Voies!P791-1,Force&gt;Voies!Q791-1,Perception&gt;Voies!R791-1,Reflexes&gt;Voies!S791-1,Agilité&gt;Voies!T791-1,Intuition&gt;Voies!U791-1,Intelligence&gt;Voies!V791-1,Souillure&gt;Voies!W791-1,Honneur&gt;X791-1,Statut&gt;Y791-1,Gloire&gt;Z791-1,AV791=TRUE),Voies!B791,"")</f>
        <v/>
      </c>
      <c r="B791" s="162" t="s">
        <v>2567</v>
      </c>
      <c r="C791" s="162" t="b">
        <f>IF(Clan=Voies!D791,TRUE,FALSE)</f>
        <v>0</v>
      </c>
      <c r="D791" s="387" t="s">
        <v>177</v>
      </c>
      <c r="E791" s="13">
        <v>0</v>
      </c>
      <c r="F791" s="199">
        <v>0</v>
      </c>
      <c r="G791" s="199" t="s">
        <v>2048</v>
      </c>
      <c r="H791" s="162" t="s">
        <v>423</v>
      </c>
      <c r="I791" s="129" t="str">
        <f t="shared" si="87"/>
        <v>Rien</v>
      </c>
      <c r="J791" s="146">
        <v>0</v>
      </c>
      <c r="K791" s="147">
        <v>0</v>
      </c>
      <c r="L791" s="148">
        <v>0</v>
      </c>
      <c r="M791" s="149">
        <v>0</v>
      </c>
      <c r="N791" s="150">
        <v>0</v>
      </c>
      <c r="O791" s="130">
        <v>0</v>
      </c>
      <c r="P791" s="130">
        <v>0</v>
      </c>
      <c r="Q791" s="130">
        <v>0</v>
      </c>
      <c r="R791" s="130">
        <v>0</v>
      </c>
      <c r="S791" s="130">
        <v>0</v>
      </c>
      <c r="T791" s="130">
        <v>0</v>
      </c>
      <c r="U791" s="130">
        <v>0</v>
      </c>
      <c r="V791" s="524">
        <v>0</v>
      </c>
      <c r="W791" s="130">
        <v>0</v>
      </c>
      <c r="X791" s="130">
        <v>0</v>
      </c>
      <c r="Y791" s="130">
        <v>0</v>
      </c>
      <c r="Z791" s="130">
        <v>0</v>
      </c>
      <c r="AA791" s="159" t="s">
        <v>6346</v>
      </c>
      <c r="AB791" s="159" t="s">
        <v>1260</v>
      </c>
      <c r="AD791" s="159">
        <v>6</v>
      </c>
      <c r="AE791" s="158" t="b">
        <f>IF(AB791="",TRUE,IF(IF(AC791="",VLOOKUP(AB791,Calculs!$A$19:$S$425,19,FALSE),VLOOKUP(AC791,Calculs!$A$19:$S$425,19,FALSE))&gt;=AD791,TRUE,FALSE))</f>
        <v>0</v>
      </c>
      <c r="AF791" s="159" t="s">
        <v>3325</v>
      </c>
      <c r="AG791" s="159" t="s">
        <v>3214</v>
      </c>
      <c r="AH791" s="159">
        <v>6</v>
      </c>
      <c r="AI791" s="158" t="b">
        <f>IF(AF791="",TRUE,IF(IF(AG791="",VLOOKUP(AF791,Calculs!$A$19:$S$425,19,FALSE),VLOOKUP(AG791,Calculs!$A$19:$S$425,19,FALSE))&gt;=AH791,TRUE,FALSE))</f>
        <v>0</v>
      </c>
      <c r="AM791" s="158" t="b">
        <f>IF(AJ791="",TRUE,IF(IF(AK791="",VLOOKUP(AJ791,Calculs!$A$19:$S$425,19,FALSE),VLOOKUP(AK791,Calculs!$A$19:$S$425,19,FALSE))&gt;=AL791,TRUE,FALSE))</f>
        <v>1</v>
      </c>
      <c r="AQ791" s="158" t="b">
        <f>IF(AN791="",TRUE,IF(IF(AO791="",VLOOKUP(AN791,Calculs!$A$19:$S$425,19,FALSE),VLOOKUP(AO791,Calculs!$A$19:$S$425,19,FALSE))&gt;=AP791,TRUE,FALSE))</f>
        <v>1</v>
      </c>
      <c r="AR791" s="158"/>
      <c r="AS791" s="158" t="b">
        <f>IF(AR791="",TRUE,IF(VLOOKUP(AR791,Calculs!$A$427:$G$738,7,FALSE)&gt;0,TRUE,FALSE))</f>
        <v>1</v>
      </c>
      <c r="AT791" s="158"/>
      <c r="AU791" s="158" t="b">
        <f>IF(AT791="",TRUE,IF(VLOOKUP(AT791,Calculs!$A$740:$G$912,7,FALSE)&gt;0,TRUE,FALSE))</f>
        <v>1</v>
      </c>
      <c r="AV791" s="158" t="b">
        <f t="shared" si="88"/>
        <v>0</v>
      </c>
      <c r="AW791" s="159" t="s">
        <v>2600</v>
      </c>
      <c r="AX791" s="162" t="s">
        <v>3</v>
      </c>
      <c r="AY791" s="15">
        <v>250</v>
      </c>
      <c r="AZ791" s="555" t="str">
        <f>CONCATENATE("Rg. d'Ecole est considéré comme un Rg.supérieur pr. Incanter des sorts de l'Elément choisi. Choisissez un Sort de l'Elément choisi, de Rg.&gt;3. ",Vide," fois par jour vous pouvez lancer ce sort en AS.")</f>
        <v>Rg. d'Ecole est considéré comme un Rg.supérieur pr. Incanter des sorts de l'Elément choisi. Choisissez un Sort de l'Elément choisi, de Rg.&gt;3. 2 fois par jour vous pouvez lancer ce sort en AS.</v>
      </c>
      <c r="BA791" s="559">
        <f>IF(Verso!$B$10=Voies!$B791,1,0)</f>
        <v>0</v>
      </c>
      <c r="BB791" s="12">
        <f>IF(Verso!$B$11=Voies!$B791,1,0)</f>
        <v>0</v>
      </c>
      <c r="BC791" s="12">
        <f>IF(Verso!$B$12=Voies!$B791,1,0)</f>
        <v>0</v>
      </c>
      <c r="BD791" s="12">
        <f>IF(Verso!$B$13=Voies!$B791,1,0)</f>
        <v>0</v>
      </c>
      <c r="BE791" s="12">
        <f>IF(Verso!$B$14=Voies!$B791,1,0)</f>
        <v>0</v>
      </c>
      <c r="BF791" s="12">
        <f>IF(Verso!$B$15=Voies!$B791,1,0)</f>
        <v>0</v>
      </c>
      <c r="BG791" s="12">
        <f>IF(Verso!$B$16=Voies!$B791,1,0)</f>
        <v>0</v>
      </c>
      <c r="BH791" s="12">
        <f>IF(Verso!$B$17=Voies!$B791,1,0)</f>
        <v>0</v>
      </c>
      <c r="BI791" s="557">
        <f t="shared" si="89"/>
        <v>0</v>
      </c>
      <c r="BJ791" s="196" t="str">
        <f t="shared" si="90"/>
        <v/>
      </c>
      <c r="BK791" s="196" t="str">
        <f t="shared" si="91"/>
        <v/>
      </c>
      <c r="BL791" s="295" t="str">
        <f t="shared" si="92"/>
        <v/>
      </c>
    </row>
    <row r="792" spans="1:65" ht="47.25" customHeight="1" x14ac:dyDescent="0.25">
      <c r="A792" s="162" t="str">
        <f>IF(AND(Réputation&gt;Voies!E792-1,OR(C792=TRUE,Calculs!$I$8&gt;0),Air&gt;Voies!J792-1,Eau&gt;Voies!K792-1,Feu&gt;Voies!L792-1,Terre&gt;Voies!M792-1,Vide&gt;Voies!N792-1,Constitution&gt;Voies!O792-1,Volonté&gt;Voies!P792-1,Force&gt;Voies!Q792-1,Perception&gt;Voies!R792-1,Reflexes&gt;Voies!S792-1,Agilité&gt;Voies!T792-1,Intuition&gt;Voies!U792-1,Intelligence&gt;Voies!V792-1,Souillure&gt;Voies!W792-1,Honneur&gt;X792-1,Statut&gt;Y792-1,Gloire&gt;Z792-1,AV792=TRUE),Voies!B792,"")</f>
        <v/>
      </c>
      <c r="B792" s="162" t="s">
        <v>4837</v>
      </c>
      <c r="C792" s="162" t="b">
        <f>IF(Clan=Voies!D792,TRUE,FALSE)</f>
        <v>0</v>
      </c>
      <c r="D792" s="387" t="s">
        <v>177</v>
      </c>
      <c r="E792" s="13">
        <v>1</v>
      </c>
      <c r="F792" s="199">
        <v>1</v>
      </c>
      <c r="G792" s="13" t="s">
        <v>2057</v>
      </c>
      <c r="H792" s="162" t="s">
        <v>4836</v>
      </c>
      <c r="I792" s="129" t="str">
        <f t="shared" si="87"/>
        <v>Rien</v>
      </c>
      <c r="J792" s="146">
        <v>0</v>
      </c>
      <c r="K792" s="147">
        <v>0</v>
      </c>
      <c r="L792" s="148">
        <v>0</v>
      </c>
      <c r="M792" s="149">
        <v>0</v>
      </c>
      <c r="N792" s="150">
        <v>0</v>
      </c>
      <c r="O792" s="130">
        <v>0</v>
      </c>
      <c r="P792" s="130">
        <v>0</v>
      </c>
      <c r="Q792" s="130">
        <v>0</v>
      </c>
      <c r="R792" s="130">
        <v>0</v>
      </c>
      <c r="S792" s="130">
        <v>0</v>
      </c>
      <c r="T792" s="130">
        <v>0</v>
      </c>
      <c r="U792" s="130">
        <v>0</v>
      </c>
      <c r="V792" s="524">
        <v>0</v>
      </c>
      <c r="W792" s="130">
        <v>0</v>
      </c>
      <c r="X792" s="130">
        <v>0</v>
      </c>
      <c r="Y792" s="130">
        <v>0</v>
      </c>
      <c r="Z792" s="130">
        <v>0</v>
      </c>
      <c r="AA792" s="158" t="s">
        <v>2078</v>
      </c>
      <c r="AB792" s="158"/>
      <c r="AC792" s="158"/>
      <c r="AD792" s="158"/>
      <c r="AE792" s="158" t="b">
        <f>IF(AB792="",TRUE,IF(IF(AC792="",VLOOKUP(AB792,Calculs!$A$19:$S$425,19,FALSE),VLOOKUP(AC792,Calculs!$A$19:$S$425,19,FALSE))&gt;=AD792,TRUE,FALSE))</f>
        <v>1</v>
      </c>
      <c r="AF792" s="158"/>
      <c r="AG792" s="158"/>
      <c r="AH792" s="158"/>
      <c r="AI792" s="158" t="b">
        <f>IF(AF792="",TRUE,IF(IF(AG792="",VLOOKUP(AF792,Calculs!$A$19:$S$425,19,FALSE),VLOOKUP(AG792,Calculs!$A$19:$S$425,19,FALSE))&gt;=AH792,TRUE,FALSE))</f>
        <v>1</v>
      </c>
      <c r="AJ792" s="158"/>
      <c r="AK792" s="158"/>
      <c r="AL792" s="158"/>
      <c r="AM792" s="158" t="b">
        <f>IF(AJ792="",TRUE,IF(IF(AK792="",VLOOKUP(AJ792,Calculs!$A$19:$S$425,19,FALSE),VLOOKUP(AK792,Calculs!$A$19:$S$425,19,FALSE))&gt;=AL792,TRUE,FALSE))</f>
        <v>1</v>
      </c>
      <c r="AN792" s="158"/>
      <c r="AO792" s="158"/>
      <c r="AP792" s="158"/>
      <c r="AQ792" s="158" t="b">
        <f>IF(AN792="",TRUE,IF(IF(AO792="",VLOOKUP(AN792,Calculs!$A$19:$S$425,19,FALSE),VLOOKUP(AO792,Calculs!$A$19:$S$425,19,FALSE))&gt;=AP792,TRUE,FALSE))</f>
        <v>1</v>
      </c>
      <c r="AR792" s="158"/>
      <c r="AS792" s="158" t="b">
        <f>IF(AR792="",TRUE,IF(VLOOKUP(AR792,Calculs!$A$427:$G$738,7,FALSE)&gt;0,TRUE,FALSE))</f>
        <v>1</v>
      </c>
      <c r="AT792" s="158"/>
      <c r="AU792" s="158" t="b">
        <f>IF(AT792="",TRUE,IF(VLOOKUP(AT792,Calculs!$A$740:$G$912,7,FALSE)&gt;0,TRUE,FALSE))</f>
        <v>1</v>
      </c>
      <c r="AV792" s="158" t="b">
        <f t="shared" si="88"/>
        <v>1</v>
      </c>
      <c r="AW792" s="158" t="s">
        <v>2078</v>
      </c>
      <c r="AX792" s="162" t="s">
        <v>5202</v>
      </c>
      <c r="AY792" s="15">
        <v>124</v>
      </c>
      <c r="AZ792" s="555" t="s">
        <v>2695</v>
      </c>
      <c r="BA792" s="559">
        <f>IF(Verso!$B$10=Voies!$B792,1,0)</f>
        <v>0</v>
      </c>
      <c r="BB792" s="12">
        <f>IF(Verso!$B$11=Voies!$B792,1,0)</f>
        <v>0</v>
      </c>
      <c r="BC792" s="12">
        <f>IF(Verso!$B$12=Voies!$B792,1,0)</f>
        <v>0</v>
      </c>
      <c r="BD792" s="12">
        <f>IF(Verso!$B$13=Voies!$B792,1,0)</f>
        <v>0</v>
      </c>
      <c r="BE792" s="12">
        <f>IF(Verso!$B$14=Voies!$B792,1,0)</f>
        <v>0</v>
      </c>
      <c r="BF792" s="12">
        <f>IF(Verso!$B$15=Voies!$B792,1,0)</f>
        <v>0</v>
      </c>
      <c r="BG792" s="12">
        <f>IF(Verso!$B$16=Voies!$B792,1,0)</f>
        <v>0</v>
      </c>
      <c r="BH792" s="12">
        <f>IF(Verso!$B$17=Voies!$B792,1,0)</f>
        <v>0</v>
      </c>
      <c r="BI792" s="557">
        <f t="shared" si="89"/>
        <v>0</v>
      </c>
      <c r="BJ792" s="196" t="str">
        <f t="shared" si="90"/>
        <v/>
      </c>
      <c r="BK792" s="196" t="str">
        <f t="shared" si="91"/>
        <v/>
      </c>
      <c r="BL792" s="295" t="str">
        <f t="shared" si="92"/>
        <v/>
      </c>
    </row>
    <row r="793" spans="1:65" ht="47.25" customHeight="1" x14ac:dyDescent="0.25">
      <c r="A793" s="162" t="str">
        <f>IF(AND(Réputation&gt;Voies!E793-1,OR(C793=TRUE,Calculs!$I$8&gt;0),Air&gt;Voies!J793-1,Eau&gt;Voies!K793-1,Feu&gt;Voies!L793-1,Terre&gt;Voies!M793-1,Vide&gt;Voies!N793-1,Constitution&gt;Voies!O793-1,Volonté&gt;Voies!P793-1,Force&gt;Voies!Q793-1,Perception&gt;Voies!R793-1,Reflexes&gt;Voies!S793-1,Agilité&gt;Voies!T793-1,Intuition&gt;Voies!U793-1,Intelligence&gt;Voies!V793-1,Souillure&gt;Voies!W793-1,Honneur&gt;X793-1,Statut&gt;Y793-1,Gloire&gt;Z793-1,AV793=TRUE),Voies!B793,"")</f>
        <v/>
      </c>
      <c r="B793" s="162" t="s">
        <v>2495</v>
      </c>
      <c r="C793" s="162" t="b">
        <f>IF(Clan=Voies!D793,TRUE,FALSE)</f>
        <v>0</v>
      </c>
      <c r="D793" s="387" t="s">
        <v>177</v>
      </c>
      <c r="E793" s="13">
        <v>1</v>
      </c>
      <c r="F793" s="199">
        <v>1</v>
      </c>
      <c r="G793" s="13" t="s">
        <v>2049</v>
      </c>
      <c r="H793" s="162" t="s">
        <v>217</v>
      </c>
      <c r="I793" s="129" t="str">
        <f t="shared" si="87"/>
        <v>Rien</v>
      </c>
      <c r="J793" s="146">
        <v>0</v>
      </c>
      <c r="K793" s="147">
        <v>0</v>
      </c>
      <c r="L793" s="148">
        <v>0</v>
      </c>
      <c r="M793" s="149">
        <v>0</v>
      </c>
      <c r="N793" s="150">
        <v>0</v>
      </c>
      <c r="O793" s="130">
        <v>0</v>
      </c>
      <c r="P793" s="130">
        <v>0</v>
      </c>
      <c r="Q793" s="130">
        <v>0</v>
      </c>
      <c r="R793" s="130">
        <v>0</v>
      </c>
      <c r="S793" s="130">
        <v>0</v>
      </c>
      <c r="T793" s="130">
        <v>0</v>
      </c>
      <c r="U793" s="130">
        <v>0</v>
      </c>
      <c r="V793" s="524">
        <v>0</v>
      </c>
      <c r="W793" s="130">
        <v>0</v>
      </c>
      <c r="X793" s="130">
        <v>0</v>
      </c>
      <c r="Y793" s="130">
        <v>0</v>
      </c>
      <c r="Z793" s="130">
        <v>0</v>
      </c>
      <c r="AA793" s="158" t="s">
        <v>2078</v>
      </c>
      <c r="AB793" s="158"/>
      <c r="AC793" s="158"/>
      <c r="AD793" s="158"/>
      <c r="AE793" s="158" t="b">
        <f>IF(AB793="",TRUE,IF(IF(AC793="",VLOOKUP(AB793,Calculs!$A$19:$S$425,19,FALSE),VLOOKUP(AC793,Calculs!$A$19:$S$425,19,FALSE))&gt;=AD793,TRUE,FALSE))</f>
        <v>1</v>
      </c>
      <c r="AF793" s="158"/>
      <c r="AG793" s="158"/>
      <c r="AH793" s="158"/>
      <c r="AI793" s="158" t="b">
        <f>IF(AF793="",TRUE,IF(IF(AG793="",VLOOKUP(AF793,Calculs!$A$19:$S$425,19,FALSE),VLOOKUP(AG793,Calculs!$A$19:$S$425,19,FALSE))&gt;=AH793,TRUE,FALSE))</f>
        <v>1</v>
      </c>
      <c r="AJ793" s="158"/>
      <c r="AK793" s="158"/>
      <c r="AL793" s="158"/>
      <c r="AM793" s="158" t="b">
        <f>IF(AJ793="",TRUE,IF(IF(AK793="",VLOOKUP(AJ793,Calculs!$A$19:$S$425,19,FALSE),VLOOKUP(AK793,Calculs!$A$19:$S$425,19,FALSE))&gt;=AL793,TRUE,FALSE))</f>
        <v>1</v>
      </c>
      <c r="AN793" s="158"/>
      <c r="AO793" s="158"/>
      <c r="AP793" s="158"/>
      <c r="AQ793" s="158" t="b">
        <f>IF(AN793="",TRUE,IF(IF(AO793="",VLOOKUP(AN793,Calculs!$A$19:$S$425,19,FALSE),VLOOKUP(AO793,Calculs!$A$19:$S$425,19,FALSE))&gt;=AP793,TRUE,FALSE))</f>
        <v>1</v>
      </c>
      <c r="AR793" s="158"/>
      <c r="AS793" s="158" t="b">
        <f>IF(AR793="",TRUE,IF(VLOOKUP(AR793,Calculs!$A$427:$G$738,7,FALSE)&gt;0,TRUE,FALSE))</f>
        <v>1</v>
      </c>
      <c r="AT793" s="158"/>
      <c r="AU793" s="158" t="b">
        <f>IF(AT793="",TRUE,IF(VLOOKUP(AT793,Calculs!$A$740:$G$912,7,FALSE)&gt;0,TRUE,FALSE))</f>
        <v>1</v>
      </c>
      <c r="AV793" s="158" t="b">
        <f t="shared" si="88"/>
        <v>1</v>
      </c>
      <c r="AW793" s="158" t="s">
        <v>2078</v>
      </c>
      <c r="AX793" s="162" t="s">
        <v>3</v>
      </c>
      <c r="AY793" s="15">
        <v>126</v>
      </c>
      <c r="AZ793" s="555" t="s">
        <v>8686</v>
      </c>
      <c r="BA793" s="559">
        <f>IF(Verso!$B$10=Voies!$B793,1,0)</f>
        <v>0</v>
      </c>
      <c r="BB793" s="12">
        <f>IF(Verso!$B$11=Voies!$B793,1,0)</f>
        <v>0</v>
      </c>
      <c r="BC793" s="12">
        <f>IF(Verso!$B$12=Voies!$B793,1,0)</f>
        <v>0</v>
      </c>
      <c r="BD793" s="12">
        <f>IF(Verso!$B$13=Voies!$B793,1,0)</f>
        <v>0</v>
      </c>
      <c r="BE793" s="12">
        <f>IF(Verso!$B$14=Voies!$B793,1,0)</f>
        <v>0</v>
      </c>
      <c r="BF793" s="12">
        <f>IF(Verso!$B$15=Voies!$B793,1,0)</f>
        <v>0</v>
      </c>
      <c r="BG793" s="12">
        <f>IF(Verso!$B$16=Voies!$B793,1,0)</f>
        <v>0</v>
      </c>
      <c r="BH793" s="12">
        <f>IF(Verso!$B$17=Voies!$B793,1,0)</f>
        <v>0</v>
      </c>
      <c r="BI793" s="557">
        <f t="shared" si="89"/>
        <v>0</v>
      </c>
      <c r="BJ793" s="196" t="str">
        <f t="shared" si="90"/>
        <v/>
      </c>
      <c r="BK793" s="196" t="str">
        <f t="shared" si="91"/>
        <v/>
      </c>
      <c r="BL793" s="295" t="str">
        <f t="shared" si="92"/>
        <v/>
      </c>
    </row>
    <row r="794" spans="1:65" ht="47.25" customHeight="1" x14ac:dyDescent="0.25">
      <c r="A794" s="162" t="str">
        <f>IF(AND(Réputation&gt;Voies!E794-1,OR(C794=TRUE,Calculs!$I$8&gt;0),Air&gt;Voies!J794-1,Eau&gt;Voies!K794-1,Feu&gt;Voies!L794-1,Terre&gt;Voies!M794-1,Vide&gt;Voies!N794-1,Constitution&gt;Voies!O794-1,Volonté&gt;Voies!P794-1,Force&gt;Voies!Q794-1,Perception&gt;Voies!R794-1,Reflexes&gt;Voies!S794-1,Agilité&gt;Voies!T794-1,Intuition&gt;Voies!U794-1,Intelligence&gt;Voies!V794-1,Souillure&gt;Voies!W794-1,Honneur&gt;X794-1,Statut&gt;Y794-1,Gloire&gt;Z794-1,AV794=TRUE),Voies!B794,"")</f>
        <v/>
      </c>
      <c r="B794" s="162" t="s">
        <v>2500</v>
      </c>
      <c r="C794" s="162" t="b">
        <f>IF(Clan=Voies!D794,TRUE,FALSE)</f>
        <v>0</v>
      </c>
      <c r="D794" s="387" t="s">
        <v>177</v>
      </c>
      <c r="E794" s="199">
        <v>1</v>
      </c>
      <c r="F794" s="199">
        <v>1</v>
      </c>
      <c r="G794" s="157" t="s">
        <v>2052</v>
      </c>
      <c r="H794" s="162" t="s">
        <v>215</v>
      </c>
      <c r="I794" s="129" t="str">
        <f t="shared" si="87"/>
        <v>Rien</v>
      </c>
      <c r="J794" s="146">
        <v>0</v>
      </c>
      <c r="K794" s="147">
        <v>0</v>
      </c>
      <c r="L794" s="148">
        <v>0</v>
      </c>
      <c r="M794" s="149">
        <v>0</v>
      </c>
      <c r="N794" s="150">
        <v>0</v>
      </c>
      <c r="O794" s="130">
        <v>0</v>
      </c>
      <c r="P794" s="130">
        <v>0</v>
      </c>
      <c r="Q794" s="130">
        <v>0</v>
      </c>
      <c r="R794" s="130">
        <v>0</v>
      </c>
      <c r="S794" s="130">
        <v>0</v>
      </c>
      <c r="T794" s="130">
        <v>0</v>
      </c>
      <c r="U794" s="130">
        <v>0</v>
      </c>
      <c r="V794" s="524">
        <v>0</v>
      </c>
      <c r="W794" s="130">
        <v>0</v>
      </c>
      <c r="X794" s="130">
        <v>0</v>
      </c>
      <c r="Y794" s="130">
        <v>0</v>
      </c>
      <c r="Z794" s="130">
        <v>0</v>
      </c>
      <c r="AA794" s="158" t="s">
        <v>2078</v>
      </c>
      <c r="AB794" s="158"/>
      <c r="AC794" s="158"/>
      <c r="AD794" s="158"/>
      <c r="AE794" s="158" t="b">
        <f>IF(AB794="",TRUE,IF(IF(AC794="",VLOOKUP(AB794,Calculs!$A$19:$S$425,19,FALSE),VLOOKUP(AC794,Calculs!$A$19:$S$425,19,FALSE))&gt;=AD794,TRUE,FALSE))</f>
        <v>1</v>
      </c>
      <c r="AF794" s="158"/>
      <c r="AG794" s="158"/>
      <c r="AH794" s="158"/>
      <c r="AI794" s="158" t="b">
        <f>IF(AF794="",TRUE,IF(IF(AG794="",VLOOKUP(AF794,Calculs!$A$19:$S$425,19,FALSE),VLOOKUP(AG794,Calculs!$A$19:$S$425,19,FALSE))&gt;=AH794,TRUE,FALSE))</f>
        <v>1</v>
      </c>
      <c r="AJ794" s="158"/>
      <c r="AK794" s="158"/>
      <c r="AL794" s="158"/>
      <c r="AM794" s="158" t="b">
        <f>IF(AJ794="",TRUE,IF(IF(AK794="",VLOOKUP(AJ794,Calculs!$A$19:$S$425,19,FALSE),VLOOKUP(AK794,Calculs!$A$19:$S$425,19,FALSE))&gt;=AL794,TRUE,FALSE))</f>
        <v>1</v>
      </c>
      <c r="AN794" s="158"/>
      <c r="AO794" s="158"/>
      <c r="AP794" s="158"/>
      <c r="AQ794" s="158" t="b">
        <f>IF(AN794="",TRUE,IF(IF(AO794="",VLOOKUP(AN794,Calculs!$A$19:$S$425,19,FALSE),VLOOKUP(AO794,Calculs!$A$19:$S$425,19,FALSE))&gt;=AP794,TRUE,FALSE))</f>
        <v>1</v>
      </c>
      <c r="AR794" s="158"/>
      <c r="AS794" s="158" t="b">
        <f>IF(AR794="",TRUE,IF(VLOOKUP(AR794,Calculs!$A$427:$G$738,7,FALSE)&gt;0,TRUE,FALSE))</f>
        <v>1</v>
      </c>
      <c r="AT794" s="158"/>
      <c r="AU794" s="158" t="b">
        <f>IF(AT794="",TRUE,IF(VLOOKUP(AT794,Calculs!$A$740:$G$912,7,FALSE)&gt;0,TRUE,FALSE))</f>
        <v>1</v>
      </c>
      <c r="AV794" s="158" t="b">
        <f t="shared" si="88"/>
        <v>1</v>
      </c>
      <c r="AW794" s="158" t="s">
        <v>2078</v>
      </c>
      <c r="AX794" s="162" t="s">
        <v>3</v>
      </c>
      <c r="AY794" s="15">
        <v>128</v>
      </c>
      <c r="AZ794" s="555" t="s">
        <v>2540</v>
      </c>
      <c r="BA794" s="559">
        <f>IF(Verso!$B$10=Voies!$B794,1,0)</f>
        <v>0</v>
      </c>
      <c r="BB794" s="12">
        <f>IF(Verso!$B$11=Voies!$B794,1,0)</f>
        <v>0</v>
      </c>
      <c r="BC794" s="12">
        <f>IF(Verso!$B$12=Voies!$B794,1,0)</f>
        <v>0</v>
      </c>
      <c r="BD794" s="12">
        <f>IF(Verso!$B$13=Voies!$B794,1,0)</f>
        <v>0</v>
      </c>
      <c r="BE794" s="12">
        <f>IF(Verso!$B$14=Voies!$B794,1,0)</f>
        <v>0</v>
      </c>
      <c r="BF794" s="12">
        <f>IF(Verso!$B$15=Voies!$B794,1,0)</f>
        <v>0</v>
      </c>
      <c r="BG794" s="12">
        <f>IF(Verso!$B$16=Voies!$B794,1,0)</f>
        <v>0</v>
      </c>
      <c r="BH794" s="12">
        <f>IF(Verso!$B$17=Voies!$B794,1,0)</f>
        <v>0</v>
      </c>
      <c r="BI794" s="557">
        <f t="shared" si="89"/>
        <v>0</v>
      </c>
      <c r="BJ794" s="196" t="str">
        <f t="shared" si="90"/>
        <v/>
      </c>
      <c r="BK794" s="196" t="str">
        <f t="shared" si="91"/>
        <v/>
      </c>
      <c r="BL794" s="295" t="str">
        <f t="shared" si="92"/>
        <v/>
      </c>
    </row>
    <row r="795" spans="1:65" ht="47.25" customHeight="1" x14ac:dyDescent="0.25">
      <c r="A795" s="162" t="str">
        <f>IF(AND(Réputation&gt;Voies!E795-1,OR(C795=TRUE,Calculs!$I$8&gt;0),Air&gt;Voies!J795-1,Eau&gt;Voies!K795-1,Feu&gt;Voies!L795-1,Terre&gt;Voies!M795-1,Vide&gt;Voies!N795-1,Constitution&gt;Voies!O795-1,Volonté&gt;Voies!P795-1,Force&gt;Voies!Q795-1,Perception&gt;Voies!R795-1,Reflexes&gt;Voies!S795-1,Agilité&gt;Voies!T795-1,Intuition&gt;Voies!U795-1,Intelligence&gt;Voies!V795-1,Souillure&gt;Voies!W795-1,Honneur&gt;X795-1,Statut&gt;Y795-1,Gloire&gt;Z795-1,AV795=TRUE),Voies!B795,"")</f>
        <v/>
      </c>
      <c r="B795" s="162" t="s">
        <v>2887</v>
      </c>
      <c r="C795" s="162" t="b">
        <f>IF(Clan=Voies!D795,TRUE,FALSE)</f>
        <v>0</v>
      </c>
      <c r="D795" s="387" t="s">
        <v>177</v>
      </c>
      <c r="E795" s="199">
        <v>1</v>
      </c>
      <c r="F795" s="199">
        <v>1</v>
      </c>
      <c r="G795" s="199" t="s">
        <v>2050</v>
      </c>
      <c r="H795" s="162" t="s">
        <v>214</v>
      </c>
      <c r="I795" s="129" t="str">
        <f t="shared" si="87"/>
        <v>Rien</v>
      </c>
      <c r="J795" s="146">
        <v>0</v>
      </c>
      <c r="K795" s="147">
        <v>0</v>
      </c>
      <c r="L795" s="148">
        <v>0</v>
      </c>
      <c r="M795" s="149">
        <v>0</v>
      </c>
      <c r="N795" s="150">
        <v>0</v>
      </c>
      <c r="O795" s="130">
        <v>0</v>
      </c>
      <c r="P795" s="130">
        <v>0</v>
      </c>
      <c r="Q795" s="130">
        <v>0</v>
      </c>
      <c r="R795" s="130">
        <v>0</v>
      </c>
      <c r="S795" s="130">
        <v>0</v>
      </c>
      <c r="T795" s="130">
        <v>0</v>
      </c>
      <c r="U795" s="130">
        <v>0</v>
      </c>
      <c r="V795" s="524">
        <v>0</v>
      </c>
      <c r="W795" s="130">
        <v>0</v>
      </c>
      <c r="X795" s="130">
        <v>0</v>
      </c>
      <c r="Y795" s="130">
        <v>0</v>
      </c>
      <c r="Z795" s="130">
        <v>0</v>
      </c>
      <c r="AA795" s="158" t="s">
        <v>2078</v>
      </c>
      <c r="AB795" s="158"/>
      <c r="AC795" s="158"/>
      <c r="AD795" s="158"/>
      <c r="AE795" s="158" t="b">
        <f>IF(AB795="",TRUE,IF(IF(AC795="",VLOOKUP(AB795,Calculs!$A$19:$S$425,19,FALSE),VLOOKUP(AC795,Calculs!$A$19:$S$425,19,FALSE))&gt;=AD795,TRUE,FALSE))</f>
        <v>1</v>
      </c>
      <c r="AF795" s="158"/>
      <c r="AG795" s="158"/>
      <c r="AH795" s="158"/>
      <c r="AI795" s="158" t="b">
        <f>IF(AF795="",TRUE,IF(IF(AG795="",VLOOKUP(AF795,Calculs!$A$19:$S$425,19,FALSE),VLOOKUP(AG795,Calculs!$A$19:$S$425,19,FALSE))&gt;=AH795,TRUE,FALSE))</f>
        <v>1</v>
      </c>
      <c r="AJ795" s="158"/>
      <c r="AK795" s="158"/>
      <c r="AL795" s="158"/>
      <c r="AM795" s="158" t="b">
        <f>IF(AJ795="",TRUE,IF(IF(AK795="",VLOOKUP(AJ795,Calculs!$A$19:$S$425,19,FALSE),VLOOKUP(AK795,Calculs!$A$19:$S$425,19,FALSE))&gt;=AL795,TRUE,FALSE))</f>
        <v>1</v>
      </c>
      <c r="AN795" s="158"/>
      <c r="AO795" s="158"/>
      <c r="AP795" s="158"/>
      <c r="AQ795" s="158" t="b">
        <f>IF(AN795="",TRUE,IF(IF(AO795="",VLOOKUP(AN795,Calculs!$A$19:$S$425,19,FALSE),VLOOKUP(AO795,Calculs!$A$19:$S$425,19,FALSE))&gt;=AP795,TRUE,FALSE))</f>
        <v>1</v>
      </c>
      <c r="AR795" s="158"/>
      <c r="AS795" s="158" t="b">
        <f>IF(AR795="",TRUE,IF(VLOOKUP(AR795,Calculs!$A$427:$G$738,7,FALSE)&gt;0,TRUE,FALSE))</f>
        <v>1</v>
      </c>
      <c r="AT795" s="158"/>
      <c r="AU795" s="158" t="b">
        <f>IF(AT795="",TRUE,IF(VLOOKUP(AT795,Calculs!$A$740:$G$912,7,FALSE)&gt;0,TRUE,FALSE))</f>
        <v>1</v>
      </c>
      <c r="AV795" s="158" t="b">
        <f t="shared" si="88"/>
        <v>1</v>
      </c>
      <c r="AW795" s="158" t="s">
        <v>2078</v>
      </c>
      <c r="AX795" s="162" t="s">
        <v>6061</v>
      </c>
      <c r="AY795" s="15">
        <v>230</v>
      </c>
      <c r="AZ795" s="555" t="s">
        <v>2892</v>
      </c>
      <c r="BA795" s="559">
        <f>IF(Verso!$B$10=Voies!$B795,1,0)</f>
        <v>0</v>
      </c>
      <c r="BB795" s="12">
        <f>IF(Verso!$B$11=Voies!$B795,1,0)</f>
        <v>0</v>
      </c>
      <c r="BC795" s="12">
        <f>IF(Verso!$B$12=Voies!$B795,1,0)</f>
        <v>0</v>
      </c>
      <c r="BD795" s="12">
        <f>IF(Verso!$B$13=Voies!$B795,1,0)</f>
        <v>0</v>
      </c>
      <c r="BE795" s="12">
        <f>IF(Verso!$B$14=Voies!$B795,1,0)</f>
        <v>0</v>
      </c>
      <c r="BF795" s="12">
        <f>IF(Verso!$B$15=Voies!$B795,1,0)</f>
        <v>0</v>
      </c>
      <c r="BG795" s="12">
        <f>IF(Verso!$B$16=Voies!$B795,1,0)</f>
        <v>0</v>
      </c>
      <c r="BH795" s="12">
        <f>IF(Verso!$B$17=Voies!$B795,1,0)</f>
        <v>0</v>
      </c>
      <c r="BI795" s="557">
        <f t="shared" si="89"/>
        <v>0</v>
      </c>
      <c r="BJ795" s="196" t="str">
        <f t="shared" si="90"/>
        <v/>
      </c>
      <c r="BK795" s="196" t="str">
        <f t="shared" si="91"/>
        <v/>
      </c>
      <c r="BL795" s="295" t="str">
        <f t="shared" si="92"/>
        <v/>
      </c>
    </row>
    <row r="796" spans="1:65" ht="47.25" customHeight="1" x14ac:dyDescent="0.25">
      <c r="A796" s="162" t="str">
        <f>IF(AND(Réputation&gt;Voies!E796-1,OR(C796=TRUE,Calculs!$I$8&gt;0),Air&gt;Voies!J796-1,Eau&gt;Voies!K796-1,Feu&gt;Voies!L796-1,Terre&gt;Voies!M796-1,Vide&gt;Voies!N796-1,Constitution&gt;Voies!O796-1,Volonté&gt;Voies!P796-1,Force&gt;Voies!Q796-1,Perception&gt;Voies!R796-1,Reflexes&gt;Voies!S796-1,Agilité&gt;Voies!T796-1,Intuition&gt;Voies!U796-1,Intelligence&gt;Voies!V796-1,Souillure&gt;Voies!W796-1,Honneur&gt;X796-1,Statut&gt;Y796-1,Gloire&gt;Z796-1,AV796=TRUE),Voies!B796,"")</f>
        <v/>
      </c>
      <c r="B796" s="162" t="s">
        <v>2505</v>
      </c>
      <c r="C796" s="162" t="b">
        <f>IF(Clan=Voies!D796,TRUE,FALSE)</f>
        <v>0</v>
      </c>
      <c r="D796" s="387" t="s">
        <v>177</v>
      </c>
      <c r="E796" s="199">
        <v>1</v>
      </c>
      <c r="F796" s="199">
        <v>1</v>
      </c>
      <c r="G796" s="199" t="s">
        <v>2048</v>
      </c>
      <c r="H796" s="162" t="s">
        <v>213</v>
      </c>
      <c r="I796" s="129" t="str">
        <f t="shared" si="87"/>
        <v>Rien</v>
      </c>
      <c r="J796" s="146">
        <v>0</v>
      </c>
      <c r="K796" s="147">
        <v>0</v>
      </c>
      <c r="L796" s="148">
        <v>0</v>
      </c>
      <c r="M796" s="149">
        <v>0</v>
      </c>
      <c r="N796" s="150">
        <v>0</v>
      </c>
      <c r="O796" s="130">
        <v>0</v>
      </c>
      <c r="P796" s="130">
        <v>0</v>
      </c>
      <c r="Q796" s="130">
        <v>0</v>
      </c>
      <c r="R796" s="130">
        <v>0</v>
      </c>
      <c r="S796" s="130">
        <v>0</v>
      </c>
      <c r="T796" s="130">
        <v>0</v>
      </c>
      <c r="U796" s="130">
        <v>0</v>
      </c>
      <c r="V796" s="524">
        <v>0</v>
      </c>
      <c r="W796" s="130">
        <v>0</v>
      </c>
      <c r="X796" s="130">
        <v>0</v>
      </c>
      <c r="Y796" s="130">
        <v>0</v>
      </c>
      <c r="Z796" s="130">
        <v>0</v>
      </c>
      <c r="AA796" s="158" t="s">
        <v>2078</v>
      </c>
      <c r="AB796" s="158"/>
      <c r="AC796" s="158"/>
      <c r="AD796" s="158"/>
      <c r="AE796" s="158" t="b">
        <f>IF(AB796="",TRUE,IF(IF(AC796="",VLOOKUP(AB796,Calculs!$A$19:$S$425,19,FALSE),VLOOKUP(AC796,Calculs!$A$19:$S$425,19,FALSE))&gt;=AD796,TRUE,FALSE))</f>
        <v>1</v>
      </c>
      <c r="AF796" s="158"/>
      <c r="AG796" s="158"/>
      <c r="AH796" s="158"/>
      <c r="AI796" s="158" t="b">
        <f>IF(AF796="",TRUE,IF(IF(AG796="",VLOOKUP(AF796,Calculs!$A$19:$S$425,19,FALSE),VLOOKUP(AG796,Calculs!$A$19:$S$425,19,FALSE))&gt;=AH796,TRUE,FALSE))</f>
        <v>1</v>
      </c>
      <c r="AJ796" s="158"/>
      <c r="AK796" s="158"/>
      <c r="AL796" s="158"/>
      <c r="AM796" s="158" t="b">
        <f>IF(AJ796="",TRUE,IF(IF(AK796="",VLOOKUP(AJ796,Calculs!$A$19:$S$425,19,FALSE),VLOOKUP(AK796,Calculs!$A$19:$S$425,19,FALSE))&gt;=AL796,TRUE,FALSE))</f>
        <v>1</v>
      </c>
      <c r="AN796" s="158"/>
      <c r="AO796" s="158"/>
      <c r="AP796" s="158"/>
      <c r="AQ796" s="158" t="b">
        <f>IF(AN796="",TRUE,IF(IF(AO796="",VLOOKUP(AN796,Calculs!$A$19:$S$425,19,FALSE),VLOOKUP(AO796,Calculs!$A$19:$S$425,19,FALSE))&gt;=AP796,TRUE,FALSE))</f>
        <v>1</v>
      </c>
      <c r="AR796" s="158"/>
      <c r="AS796" s="158" t="b">
        <f>IF(AR796="",TRUE,IF(VLOOKUP(AR796,Calculs!$A$427:$G$738,7,FALSE)&gt;0,TRUE,FALSE))</f>
        <v>1</v>
      </c>
      <c r="AT796" s="158"/>
      <c r="AU796" s="158" t="b">
        <f>IF(AT796="",TRUE,IF(VLOOKUP(AT796,Calculs!$A$740:$G$912,7,FALSE)&gt;0,TRUE,FALSE))</f>
        <v>1</v>
      </c>
      <c r="AV796" s="158" t="b">
        <f t="shared" si="88"/>
        <v>1</v>
      </c>
      <c r="AW796" s="158" t="s">
        <v>2078</v>
      </c>
      <c r="AX796" s="162" t="s">
        <v>3</v>
      </c>
      <c r="AY796" s="15">
        <v>128</v>
      </c>
      <c r="AZ796" s="555" t="s">
        <v>2541</v>
      </c>
      <c r="BA796" s="559">
        <f>IF(Verso!$B$10=Voies!$B796,1,0)</f>
        <v>0</v>
      </c>
      <c r="BB796" s="12">
        <f>IF(Verso!$B$11=Voies!$B796,1,0)</f>
        <v>0</v>
      </c>
      <c r="BC796" s="12">
        <f>IF(Verso!$B$12=Voies!$B796,1,0)</f>
        <v>0</v>
      </c>
      <c r="BD796" s="12">
        <f>IF(Verso!$B$13=Voies!$B796,1,0)</f>
        <v>0</v>
      </c>
      <c r="BE796" s="12">
        <f>IF(Verso!$B$14=Voies!$B796,1,0)</f>
        <v>0</v>
      </c>
      <c r="BF796" s="12">
        <f>IF(Verso!$B$15=Voies!$B796,1,0)</f>
        <v>0</v>
      </c>
      <c r="BG796" s="12">
        <f>IF(Verso!$B$16=Voies!$B796,1,0)</f>
        <v>0</v>
      </c>
      <c r="BH796" s="12">
        <f>IF(Verso!$B$17=Voies!$B796,1,0)</f>
        <v>0</v>
      </c>
      <c r="BI796" s="557">
        <f t="shared" si="89"/>
        <v>0</v>
      </c>
      <c r="BJ796" s="196" t="str">
        <f t="shared" si="90"/>
        <v/>
      </c>
      <c r="BK796" s="196" t="str">
        <f t="shared" si="91"/>
        <v/>
      </c>
      <c r="BL796" s="295" t="str">
        <f t="shared" si="92"/>
        <v/>
      </c>
    </row>
    <row r="797" spans="1:65" ht="47.25" customHeight="1" x14ac:dyDescent="0.25">
      <c r="A797" s="162" t="str">
        <f>IF(AND(Réputation&gt;Voies!E797-1,OR(C797=TRUE,Calculs!$I$8&gt;0),Air&gt;Voies!J797-1,Eau&gt;Voies!K797-1,Feu&gt;Voies!L797-1,Terre&gt;Voies!M797-1,Vide&gt;Voies!N797-1,Constitution&gt;Voies!O797-1,Volonté&gt;Voies!P797-1,Force&gt;Voies!Q797-1,Perception&gt;Voies!R797-1,Reflexes&gt;Voies!S797-1,Agilité&gt;Voies!T797-1,Intuition&gt;Voies!U797-1,Intelligence&gt;Voies!V797-1,Souillure&gt;Voies!W797-1,Honneur&gt;X797-1,Statut&gt;Y797-1,Gloire&gt;Z797-1,AV797=TRUE),Voies!B797,"")</f>
        <v/>
      </c>
      <c r="B797" s="162" t="s">
        <v>2499</v>
      </c>
      <c r="C797" s="162" t="b">
        <f>IF(Clan=Voies!D797,TRUE,FALSE)</f>
        <v>0</v>
      </c>
      <c r="D797" s="387" t="s">
        <v>177</v>
      </c>
      <c r="E797" s="199">
        <v>1</v>
      </c>
      <c r="F797" s="199">
        <v>1</v>
      </c>
      <c r="G797" s="199" t="s">
        <v>2048</v>
      </c>
      <c r="H797" s="162" t="s">
        <v>216</v>
      </c>
      <c r="I797" s="129" t="str">
        <f t="shared" si="87"/>
        <v>Rien</v>
      </c>
      <c r="J797" s="146">
        <v>0</v>
      </c>
      <c r="K797" s="147">
        <v>0</v>
      </c>
      <c r="L797" s="148">
        <v>0</v>
      </c>
      <c r="M797" s="149">
        <v>0</v>
      </c>
      <c r="N797" s="150">
        <v>0</v>
      </c>
      <c r="O797" s="130">
        <v>0</v>
      </c>
      <c r="P797" s="130">
        <v>0</v>
      </c>
      <c r="Q797" s="130">
        <v>0</v>
      </c>
      <c r="R797" s="130">
        <v>0</v>
      </c>
      <c r="S797" s="130">
        <v>0</v>
      </c>
      <c r="T797" s="130">
        <v>0</v>
      </c>
      <c r="U797" s="130">
        <v>0</v>
      </c>
      <c r="V797" s="524">
        <v>0</v>
      </c>
      <c r="W797" s="130">
        <v>0</v>
      </c>
      <c r="X797" s="130">
        <v>0</v>
      </c>
      <c r="Y797" s="130">
        <v>0</v>
      </c>
      <c r="Z797" s="130">
        <v>0</v>
      </c>
      <c r="AA797" s="158" t="s">
        <v>2078</v>
      </c>
      <c r="AB797" s="158"/>
      <c r="AC797" s="158"/>
      <c r="AD797" s="158"/>
      <c r="AE797" s="158" t="b">
        <f>IF(AB797="",TRUE,IF(IF(AC797="",VLOOKUP(AB797,Calculs!$A$19:$S$425,19,FALSE),VLOOKUP(AC797,Calculs!$A$19:$S$425,19,FALSE))&gt;=AD797,TRUE,FALSE))</f>
        <v>1</v>
      </c>
      <c r="AF797" s="158"/>
      <c r="AG797" s="158"/>
      <c r="AH797" s="158"/>
      <c r="AI797" s="158" t="b">
        <f>IF(AF797="",TRUE,IF(IF(AG797="",VLOOKUP(AF797,Calculs!$A$19:$S$425,19,FALSE),VLOOKUP(AG797,Calculs!$A$19:$S$425,19,FALSE))&gt;=AH797,TRUE,FALSE))</f>
        <v>1</v>
      </c>
      <c r="AJ797" s="158"/>
      <c r="AK797" s="158"/>
      <c r="AL797" s="158"/>
      <c r="AM797" s="158" t="b">
        <f>IF(AJ797="",TRUE,IF(IF(AK797="",VLOOKUP(AJ797,Calculs!$A$19:$S$425,19,FALSE),VLOOKUP(AK797,Calculs!$A$19:$S$425,19,FALSE))&gt;=AL797,TRUE,FALSE))</f>
        <v>1</v>
      </c>
      <c r="AN797" s="158"/>
      <c r="AO797" s="158"/>
      <c r="AP797" s="158"/>
      <c r="AQ797" s="158" t="b">
        <f>IF(AN797="",TRUE,IF(IF(AO797="",VLOOKUP(AN797,Calculs!$A$19:$S$425,19,FALSE),VLOOKUP(AO797,Calculs!$A$19:$S$425,19,FALSE))&gt;=AP797,TRUE,FALSE))</f>
        <v>1</v>
      </c>
      <c r="AR797" s="158"/>
      <c r="AS797" s="158" t="b">
        <f>IF(AR797="",TRUE,IF(VLOOKUP(AR797,Calculs!$A$427:$G$738,7,FALSE)&gt;0,TRUE,FALSE))</f>
        <v>1</v>
      </c>
      <c r="AT797" s="158"/>
      <c r="AU797" s="158" t="b">
        <f>IF(AT797="",TRUE,IF(VLOOKUP(AT797,Calculs!$A$740:$G$912,7,FALSE)&gt;0,TRUE,FALSE))</f>
        <v>1</v>
      </c>
      <c r="AV797" s="158" t="b">
        <f t="shared" si="88"/>
        <v>1</v>
      </c>
      <c r="AW797" s="158" t="s">
        <v>2078</v>
      </c>
      <c r="AX797" s="162" t="s">
        <v>3</v>
      </c>
      <c r="AY797" s="15">
        <v>127</v>
      </c>
      <c r="AZ797" s="555" t="s">
        <v>2536</v>
      </c>
      <c r="BA797" s="559">
        <f>IF(Verso!$B$10=Voies!$B797,1,0)</f>
        <v>0</v>
      </c>
      <c r="BB797" s="12">
        <f>IF(Verso!$B$11=Voies!$B797,1,0)</f>
        <v>0</v>
      </c>
      <c r="BC797" s="12">
        <f>IF(Verso!$B$12=Voies!$B797,1,0)</f>
        <v>0</v>
      </c>
      <c r="BD797" s="12">
        <f>IF(Verso!$B$13=Voies!$B797,1,0)</f>
        <v>0</v>
      </c>
      <c r="BE797" s="12">
        <f>IF(Verso!$B$14=Voies!$B797,1,0)</f>
        <v>0</v>
      </c>
      <c r="BF797" s="12">
        <f>IF(Verso!$B$15=Voies!$B797,1,0)</f>
        <v>0</v>
      </c>
      <c r="BG797" s="12">
        <f>IF(Verso!$B$16=Voies!$B797,1,0)</f>
        <v>0</v>
      </c>
      <c r="BH797" s="12">
        <f>IF(Verso!$B$17=Voies!$B797,1,0)</f>
        <v>0</v>
      </c>
      <c r="BI797" s="557">
        <f t="shared" si="89"/>
        <v>0</v>
      </c>
      <c r="BJ797" s="196" t="str">
        <f t="shared" si="90"/>
        <v/>
      </c>
      <c r="BK797" s="196" t="str">
        <f t="shared" si="91"/>
        <v/>
      </c>
      <c r="BL797" s="295" t="str">
        <f t="shared" si="92"/>
        <v/>
      </c>
    </row>
    <row r="798" spans="1:65" ht="47.25" customHeight="1" x14ac:dyDescent="0.25">
      <c r="A798" s="162" t="str">
        <f>IF(AND(Réputation&gt;Voies!E798-1,OR(C798=TRUE,Calculs!$I$8&gt;0),Air&gt;Voies!J798-1,Eau&gt;Voies!K798-1,Feu&gt;Voies!L798-1,Terre&gt;Voies!M798-1,Vide&gt;Voies!N798-1,Constitution&gt;Voies!O798-1,Volonté&gt;Voies!P798-1,Force&gt;Voies!Q798-1,Perception&gt;Voies!R798-1,Reflexes&gt;Voies!S798-1,Agilité&gt;Voies!T798-1,Intuition&gt;Voies!U798-1,Intelligence&gt;Voies!V798-1,Souillure&gt;Voies!W798-1,Honneur&gt;X798-1,Statut&gt;Y798-1,Gloire&gt;Z798-1,AV798=TRUE),Voies!B798,"")</f>
        <v/>
      </c>
      <c r="B798" s="162" t="s">
        <v>3355</v>
      </c>
      <c r="C798" s="162" t="b">
        <f>IF(Clan=Voies!D798,TRUE,FALSE)</f>
        <v>0</v>
      </c>
      <c r="D798" s="387" t="s">
        <v>177</v>
      </c>
      <c r="E798" s="199">
        <v>1</v>
      </c>
      <c r="F798" s="199">
        <v>1</v>
      </c>
      <c r="G798" s="199" t="s">
        <v>2056</v>
      </c>
      <c r="H798" s="162" t="s">
        <v>605</v>
      </c>
      <c r="I798" s="129" t="s">
        <v>8419</v>
      </c>
      <c r="J798" s="146">
        <v>0</v>
      </c>
      <c r="K798" s="147">
        <v>0</v>
      </c>
      <c r="L798" s="148">
        <v>0</v>
      </c>
      <c r="M798" s="149">
        <v>0</v>
      </c>
      <c r="N798" s="150">
        <v>0</v>
      </c>
      <c r="O798" s="130">
        <v>0</v>
      </c>
      <c r="P798" s="130">
        <v>0</v>
      </c>
      <c r="Q798" s="130">
        <v>0</v>
      </c>
      <c r="R798" s="130">
        <v>0</v>
      </c>
      <c r="S798" s="130">
        <v>0</v>
      </c>
      <c r="T798" s="130">
        <v>0</v>
      </c>
      <c r="U798" s="130">
        <v>0</v>
      </c>
      <c r="V798" s="524">
        <v>0</v>
      </c>
      <c r="W798" s="130">
        <v>0</v>
      </c>
      <c r="X798" s="130">
        <v>0</v>
      </c>
      <c r="Y798" s="130">
        <v>0</v>
      </c>
      <c r="Z798" s="130">
        <v>0</v>
      </c>
      <c r="AA798" s="158" t="s">
        <v>2078</v>
      </c>
      <c r="AB798" s="158"/>
      <c r="AC798" s="158"/>
      <c r="AD798" s="158"/>
      <c r="AE798" s="158" t="b">
        <f>IF(AB798="",TRUE,IF(IF(AC798="",VLOOKUP(AB798,Calculs!$A$19:$S$425,19,FALSE),VLOOKUP(AC798,Calculs!$A$19:$S$425,19,FALSE))&gt;=AD798,TRUE,FALSE))</f>
        <v>1</v>
      </c>
      <c r="AF798" s="158"/>
      <c r="AG798" s="158"/>
      <c r="AH798" s="158"/>
      <c r="AI798" s="158" t="b">
        <f>IF(AF798="",TRUE,IF(IF(AG798="",VLOOKUP(AF798,Calculs!$A$19:$S$425,19,FALSE),VLOOKUP(AG798,Calculs!$A$19:$S$425,19,FALSE))&gt;=AH798,TRUE,FALSE))</f>
        <v>1</v>
      </c>
      <c r="AJ798" s="158"/>
      <c r="AK798" s="158"/>
      <c r="AL798" s="158"/>
      <c r="AM798" s="158" t="b">
        <f>IF(AJ798="",TRUE,IF(IF(AK798="",VLOOKUP(AJ798,Calculs!$A$19:$S$425,19,FALSE),VLOOKUP(AK798,Calculs!$A$19:$S$425,19,FALSE))&gt;=AL798,TRUE,FALSE))</f>
        <v>1</v>
      </c>
      <c r="AN798" s="158"/>
      <c r="AO798" s="158"/>
      <c r="AP798" s="158"/>
      <c r="AQ798" s="158" t="b">
        <f>IF(AN798="",TRUE,IF(IF(AO798="",VLOOKUP(AN798,Calculs!$A$19:$S$425,19,FALSE),VLOOKUP(AO798,Calculs!$A$19:$S$425,19,FALSE))&gt;=AP798,TRUE,FALSE))</f>
        <v>1</v>
      </c>
      <c r="AR798" s="158"/>
      <c r="AS798" s="158" t="b">
        <f>IF(AR798="",TRUE,IF(VLOOKUP(AR798,Calculs!$A$427:$G$738,7,FALSE)&gt;0,TRUE,FALSE))</f>
        <v>1</v>
      </c>
      <c r="AT798" s="158"/>
      <c r="AU798" s="158" t="b">
        <f>IF(AT798="",TRUE,IF(VLOOKUP(AT798,Calculs!$A$740:$G$912,7,FALSE)&gt;0,TRUE,FALSE))</f>
        <v>1</v>
      </c>
      <c r="AV798" s="158" t="b">
        <f t="shared" si="88"/>
        <v>1</v>
      </c>
      <c r="AW798" s="159" t="s">
        <v>3353</v>
      </c>
      <c r="AX798" s="162" t="s">
        <v>118</v>
      </c>
      <c r="AY798" s="15">
        <v>181</v>
      </c>
      <c r="AZ798" s="555" t="s">
        <v>3356</v>
      </c>
      <c r="BA798" s="559">
        <f>IF(Verso!$B$10=Voies!$B798,1,0)</f>
        <v>0</v>
      </c>
      <c r="BB798" s="12">
        <f>IF(Verso!$B$11=Voies!$B798,1,0)</f>
        <v>0</v>
      </c>
      <c r="BC798" s="12">
        <f>IF(Verso!$B$12=Voies!$B798,1,0)</f>
        <v>0</v>
      </c>
      <c r="BD798" s="12">
        <f>IF(Verso!$B$13=Voies!$B798,1,0)</f>
        <v>0</v>
      </c>
      <c r="BE798" s="12">
        <f>IF(Verso!$B$14=Voies!$B798,1,0)</f>
        <v>0</v>
      </c>
      <c r="BF798" s="12">
        <f>IF(Verso!$B$15=Voies!$B798,1,0)</f>
        <v>0</v>
      </c>
      <c r="BG798" s="12">
        <f>IF(Verso!$B$16=Voies!$B798,1,0)</f>
        <v>0</v>
      </c>
      <c r="BH798" s="12">
        <f>IF(Verso!$B$17=Voies!$B798,1,0)</f>
        <v>0</v>
      </c>
      <c r="BI798" s="557">
        <f t="shared" si="89"/>
        <v>0</v>
      </c>
      <c r="BJ798" s="196" t="str">
        <f t="shared" si="90"/>
        <v/>
      </c>
      <c r="BK798" s="196" t="str">
        <f t="shared" si="91"/>
        <v/>
      </c>
      <c r="BL798" s="295" t="str">
        <f t="shared" si="92"/>
        <v/>
      </c>
    </row>
    <row r="799" spans="1:65" ht="47.25" customHeight="1" x14ac:dyDescent="0.25">
      <c r="A799" s="162" t="str">
        <f>IF(AND(Réputation&gt;Voies!E799-1,OR(C799=TRUE,Calculs!$I$8&gt;0),Air&gt;Voies!J799-1,Eau&gt;Voies!K799-1,Feu&gt;Voies!L799-1,Terre&gt;Voies!M799-1,Vide&gt;Voies!N799-1,Constitution&gt;Voies!O799-1,Volonté&gt;Voies!P799-1,Force&gt;Voies!Q799-1,Perception&gt;Voies!R799-1,Reflexes&gt;Voies!S799-1,Agilité&gt;Voies!T799-1,Intuition&gt;Voies!U799-1,Intelligence&gt;Voies!V799-1,Souillure&gt;Voies!W799-1,Honneur&gt;X799-1,Statut&gt;Y799-1,Gloire&gt;Z799-1,AV799=TRUE),Voies!B799,"")</f>
        <v/>
      </c>
      <c r="B799" s="162" t="s">
        <v>4838</v>
      </c>
      <c r="C799" s="162" t="b">
        <f>IF(Clan=Voies!D799,TRUE,FALSE)</f>
        <v>0</v>
      </c>
      <c r="D799" s="387" t="s">
        <v>177</v>
      </c>
      <c r="E799" s="199">
        <v>2</v>
      </c>
      <c r="F799" s="199">
        <v>2</v>
      </c>
      <c r="G799" s="199" t="s">
        <v>2057</v>
      </c>
      <c r="H799" s="162" t="s">
        <v>4836</v>
      </c>
      <c r="I799" s="129" t="str">
        <f>IF(B799="","","Rien")</f>
        <v>Rien</v>
      </c>
      <c r="J799" s="146">
        <v>0</v>
      </c>
      <c r="K799" s="147">
        <v>0</v>
      </c>
      <c r="L799" s="148">
        <v>0</v>
      </c>
      <c r="M799" s="149">
        <v>0</v>
      </c>
      <c r="N799" s="150">
        <v>0</v>
      </c>
      <c r="O799" s="130">
        <v>0</v>
      </c>
      <c r="P799" s="130">
        <v>0</v>
      </c>
      <c r="Q799" s="130">
        <v>0</v>
      </c>
      <c r="R799" s="130">
        <v>0</v>
      </c>
      <c r="S799" s="130">
        <v>0</v>
      </c>
      <c r="T799" s="130">
        <v>0</v>
      </c>
      <c r="U799" s="130">
        <v>0</v>
      </c>
      <c r="V799" s="524">
        <v>0</v>
      </c>
      <c r="W799" s="130">
        <v>0</v>
      </c>
      <c r="X799" s="130">
        <v>0</v>
      </c>
      <c r="Y799" s="130">
        <v>0</v>
      </c>
      <c r="Z799" s="130">
        <v>0</v>
      </c>
      <c r="AA799" s="158" t="s">
        <v>2078</v>
      </c>
      <c r="AB799" s="158"/>
      <c r="AC799" s="158"/>
      <c r="AD799" s="158"/>
      <c r="AE799" s="158" t="b">
        <f>IF(AB799="",TRUE,IF(IF(AC799="",VLOOKUP(AB799,Calculs!$A$19:$S$425,19,FALSE),VLOOKUP(AC799,Calculs!$A$19:$S$425,19,FALSE))&gt;=AD799,TRUE,FALSE))</f>
        <v>1</v>
      </c>
      <c r="AF799" s="158"/>
      <c r="AG799" s="158"/>
      <c r="AH799" s="158"/>
      <c r="AI799" s="158" t="b">
        <f>IF(AF799="",TRUE,IF(IF(AG799="",VLOOKUP(AF799,Calculs!$A$19:$S$425,19,FALSE),VLOOKUP(AG799,Calculs!$A$19:$S$425,19,FALSE))&gt;=AH799,TRUE,FALSE))</f>
        <v>1</v>
      </c>
      <c r="AJ799" s="158"/>
      <c r="AK799" s="158"/>
      <c r="AL799" s="158"/>
      <c r="AM799" s="158" t="b">
        <f>IF(AJ799="",TRUE,IF(IF(AK799="",VLOOKUP(AJ799,Calculs!$A$19:$S$425,19,FALSE),VLOOKUP(AK799,Calculs!$A$19:$S$425,19,FALSE))&gt;=AL799,TRUE,FALSE))</f>
        <v>1</v>
      </c>
      <c r="AN799" s="158"/>
      <c r="AO799" s="158"/>
      <c r="AP799" s="158"/>
      <c r="AQ799" s="158" t="b">
        <f>IF(AN799="",TRUE,IF(IF(AO799="",VLOOKUP(AN799,Calculs!$A$19:$S$425,19,FALSE),VLOOKUP(AO799,Calculs!$A$19:$S$425,19,FALSE))&gt;=AP799,TRUE,FALSE))</f>
        <v>1</v>
      </c>
      <c r="AR799" s="158"/>
      <c r="AS799" s="158" t="b">
        <f>IF(AR799="",TRUE,IF(VLOOKUP(AR799,Calculs!$A$427:$G$738,7,FALSE)&gt;0,TRUE,FALSE))</f>
        <v>1</v>
      </c>
      <c r="AT799" s="158"/>
      <c r="AU799" s="158" t="b">
        <f>IF(AT799="",TRUE,IF(VLOOKUP(AT799,Calculs!$A$740:$G$912,7,FALSE)&gt;0,TRUE,FALSE))</f>
        <v>1</v>
      </c>
      <c r="AV799" s="158" t="b">
        <f t="shared" si="88"/>
        <v>1</v>
      </c>
      <c r="AW799" s="158" t="s">
        <v>2078</v>
      </c>
      <c r="AX799" s="162" t="s">
        <v>5202</v>
      </c>
      <c r="AY799" s="15">
        <v>124</v>
      </c>
      <c r="AZ799" s="555" t="s">
        <v>8687</v>
      </c>
      <c r="BA799" s="559">
        <f>IF(Verso!$B$10=Voies!$B799,1,0)</f>
        <v>0</v>
      </c>
      <c r="BB799" s="12">
        <f>IF(Verso!$B$11=Voies!$B799,1,0)</f>
        <v>0</v>
      </c>
      <c r="BC799" s="12">
        <f>IF(Verso!$B$12=Voies!$B799,1,0)</f>
        <v>0</v>
      </c>
      <c r="BD799" s="12">
        <f>IF(Verso!$B$13=Voies!$B799,1,0)</f>
        <v>0</v>
      </c>
      <c r="BE799" s="12">
        <f>IF(Verso!$B$14=Voies!$B799,1,0)</f>
        <v>0</v>
      </c>
      <c r="BF799" s="12">
        <f>IF(Verso!$B$15=Voies!$B799,1,0)</f>
        <v>0</v>
      </c>
      <c r="BG799" s="12">
        <f>IF(Verso!$B$16=Voies!$B799,1,0)</f>
        <v>0</v>
      </c>
      <c r="BH799" s="12">
        <f>IF(Verso!$B$17=Voies!$B799,1,0)</f>
        <v>0</v>
      </c>
      <c r="BI799" s="557">
        <f t="shared" si="89"/>
        <v>0</v>
      </c>
      <c r="BJ799" s="196" t="str">
        <f t="shared" si="90"/>
        <v/>
      </c>
      <c r="BK799" s="196" t="str">
        <f t="shared" si="91"/>
        <v/>
      </c>
      <c r="BL799" s="295" t="str">
        <f t="shared" si="92"/>
        <v/>
      </c>
    </row>
    <row r="800" spans="1:65" ht="47.25" customHeight="1" x14ac:dyDescent="0.25">
      <c r="A800" s="162" t="str">
        <f>IF(AND(Réputation&gt;Voies!E800-1,OR(C800=TRUE,Calculs!$I$8&gt;0),Air&gt;Voies!J800-1,Eau&gt;Voies!K800-1,Feu&gt;Voies!L800-1,Terre&gt;Voies!M800-1,Vide&gt;Voies!N800-1,Constitution&gt;Voies!O800-1,Volonté&gt;Voies!P800-1,Force&gt;Voies!Q800-1,Perception&gt;Voies!R800-1,Reflexes&gt;Voies!S800-1,Agilité&gt;Voies!T800-1,Intuition&gt;Voies!U800-1,Intelligence&gt;Voies!V800-1,Souillure&gt;Voies!W800-1,Honneur&gt;X800-1,Statut&gt;Y800-1,Gloire&gt;Z800-1,AV800=TRUE),Voies!B800,"")</f>
        <v/>
      </c>
      <c r="B800" s="162" t="s">
        <v>2496</v>
      </c>
      <c r="C800" s="162" t="b">
        <f>IF(Clan=Voies!D800,TRUE,FALSE)</f>
        <v>0</v>
      </c>
      <c r="D800" s="387" t="s">
        <v>177</v>
      </c>
      <c r="E800" s="199">
        <v>2</v>
      </c>
      <c r="F800" s="199">
        <v>2</v>
      </c>
      <c r="G800" s="199" t="s">
        <v>2049</v>
      </c>
      <c r="H800" s="162" t="s">
        <v>217</v>
      </c>
      <c r="I800" s="129" t="str">
        <f>IF(B800="","","Rien")</f>
        <v>Rien</v>
      </c>
      <c r="J800" s="146">
        <v>0</v>
      </c>
      <c r="K800" s="147">
        <v>0</v>
      </c>
      <c r="L800" s="148">
        <v>0</v>
      </c>
      <c r="M800" s="149">
        <v>0</v>
      </c>
      <c r="N800" s="150">
        <v>0</v>
      </c>
      <c r="O800" s="130">
        <v>0</v>
      </c>
      <c r="P800" s="130">
        <v>0</v>
      </c>
      <c r="Q800" s="130">
        <v>0</v>
      </c>
      <c r="R800" s="130">
        <v>0</v>
      </c>
      <c r="S800" s="130">
        <v>0</v>
      </c>
      <c r="T800" s="130">
        <v>0</v>
      </c>
      <c r="U800" s="130">
        <v>0</v>
      </c>
      <c r="V800" s="524">
        <v>0</v>
      </c>
      <c r="W800" s="130">
        <v>0</v>
      </c>
      <c r="X800" s="130">
        <v>0</v>
      </c>
      <c r="Y800" s="130">
        <v>0</v>
      </c>
      <c r="Z800" s="130">
        <v>0</v>
      </c>
      <c r="AA800" s="158" t="s">
        <v>2078</v>
      </c>
      <c r="AB800" s="158"/>
      <c r="AC800" s="158"/>
      <c r="AD800" s="158"/>
      <c r="AE800" s="158" t="b">
        <f>IF(AB800="",TRUE,IF(IF(AC800="",VLOOKUP(AB800,Calculs!$A$19:$S$425,19,FALSE),VLOOKUP(AC800,Calculs!$A$19:$S$425,19,FALSE))&gt;=AD800,TRUE,FALSE))</f>
        <v>1</v>
      </c>
      <c r="AF800" s="158"/>
      <c r="AG800" s="158"/>
      <c r="AH800" s="158"/>
      <c r="AI800" s="158" t="b">
        <f>IF(AF800="",TRUE,IF(IF(AG800="",VLOOKUP(AF800,Calculs!$A$19:$S$425,19,FALSE),VLOOKUP(AG800,Calculs!$A$19:$S$425,19,FALSE))&gt;=AH800,TRUE,FALSE))</f>
        <v>1</v>
      </c>
      <c r="AJ800" s="158"/>
      <c r="AK800" s="158"/>
      <c r="AL800" s="158"/>
      <c r="AM800" s="158" t="b">
        <f>IF(AJ800="",TRUE,IF(IF(AK800="",VLOOKUP(AJ800,Calculs!$A$19:$S$425,19,FALSE),VLOOKUP(AK800,Calculs!$A$19:$S$425,19,FALSE))&gt;=AL800,TRUE,FALSE))</f>
        <v>1</v>
      </c>
      <c r="AN800" s="158"/>
      <c r="AO800" s="158"/>
      <c r="AP800" s="158"/>
      <c r="AQ800" s="158" t="b">
        <f>IF(AN800="",TRUE,IF(IF(AO800="",VLOOKUP(AN800,Calculs!$A$19:$S$425,19,FALSE),VLOOKUP(AO800,Calculs!$A$19:$S$425,19,FALSE))&gt;=AP800,TRUE,FALSE))</f>
        <v>1</v>
      </c>
      <c r="AR800" s="158"/>
      <c r="AS800" s="158" t="b">
        <f>IF(AR800="",TRUE,IF(VLOOKUP(AR800,Calculs!$A$427:$G$738,7,FALSE)&gt;0,TRUE,FALSE))</f>
        <v>1</v>
      </c>
      <c r="AT800" s="158"/>
      <c r="AU800" s="158" t="b">
        <f>IF(AT800="",TRUE,IF(VLOOKUP(AT800,Calculs!$A$740:$G$912,7,FALSE)&gt;0,TRUE,FALSE))</f>
        <v>1</v>
      </c>
      <c r="AV800" s="158" t="b">
        <f t="shared" si="88"/>
        <v>1</v>
      </c>
      <c r="AW800" s="158" t="s">
        <v>2078</v>
      </c>
      <c r="AX800" s="162" t="s">
        <v>3</v>
      </c>
      <c r="AY800" s="15">
        <v>126</v>
      </c>
      <c r="AZ800" s="555" t="s">
        <v>8688</v>
      </c>
      <c r="BA800" s="559">
        <f>IF(Verso!$B$10=Voies!$B800,1,0)</f>
        <v>0</v>
      </c>
      <c r="BB800" s="12">
        <f>IF(Verso!$B$11=Voies!$B800,1,0)</f>
        <v>0</v>
      </c>
      <c r="BC800" s="12">
        <f>IF(Verso!$B$12=Voies!$B800,1,0)</f>
        <v>0</v>
      </c>
      <c r="BD800" s="12">
        <f>IF(Verso!$B$13=Voies!$B800,1,0)</f>
        <v>0</v>
      </c>
      <c r="BE800" s="12">
        <f>IF(Verso!$B$14=Voies!$B800,1,0)</f>
        <v>0</v>
      </c>
      <c r="BF800" s="12">
        <f>IF(Verso!$B$15=Voies!$B800,1,0)</f>
        <v>0</v>
      </c>
      <c r="BG800" s="12">
        <f>IF(Verso!$B$16=Voies!$B800,1,0)</f>
        <v>0</v>
      </c>
      <c r="BH800" s="12">
        <f>IF(Verso!$B$17=Voies!$B800,1,0)</f>
        <v>0</v>
      </c>
      <c r="BI800" s="557">
        <f t="shared" si="89"/>
        <v>0</v>
      </c>
      <c r="BJ800" s="196" t="str">
        <f t="shared" si="90"/>
        <v/>
      </c>
      <c r="BK800" s="196" t="str">
        <f t="shared" si="91"/>
        <v/>
      </c>
      <c r="BL800" s="295" t="str">
        <f t="shared" si="92"/>
        <v/>
      </c>
    </row>
    <row r="801" spans="1:65" ht="47.25" customHeight="1" x14ac:dyDescent="0.25">
      <c r="A801" s="162" t="str">
        <f>IF(AND(Réputation&gt;Voies!E801-1,OR(C801=TRUE,Calculs!$I$8&gt;0),Air&gt;Voies!J801-1,Eau&gt;Voies!K801-1,Feu&gt;Voies!L801-1,Terre&gt;Voies!M801-1,Vide&gt;Voies!N801-1,Constitution&gt;Voies!O801-1,Volonté&gt;Voies!P801-1,Force&gt;Voies!Q801-1,Perception&gt;Voies!R801-1,Reflexes&gt;Voies!S801-1,Agilité&gt;Voies!T801-1,Intuition&gt;Voies!U801-1,Intelligence&gt;Voies!V801-1,Souillure&gt;Voies!W801-1,Honneur&gt;X801-1,Statut&gt;Y801-1,Gloire&gt;Z801-1,AV801=TRUE),Voies!B801,"")</f>
        <v/>
      </c>
      <c r="B801" s="162" t="s">
        <v>3581</v>
      </c>
      <c r="C801" s="162" t="b">
        <f>IF(Clan=Voies!D801,TRUE,FALSE)</f>
        <v>0</v>
      </c>
      <c r="D801" s="387" t="s">
        <v>177</v>
      </c>
      <c r="E801" s="201">
        <v>2</v>
      </c>
      <c r="F801" s="201">
        <v>2</v>
      </c>
      <c r="G801" s="201" t="s">
        <v>2049</v>
      </c>
      <c r="H801" s="219" t="s">
        <v>565</v>
      </c>
      <c r="I801" s="129" t="s">
        <v>3853</v>
      </c>
      <c r="J801" s="146">
        <v>0</v>
      </c>
      <c r="K801" s="147">
        <v>0</v>
      </c>
      <c r="L801" s="148">
        <v>0</v>
      </c>
      <c r="M801" s="149">
        <v>0</v>
      </c>
      <c r="N801" s="150">
        <v>0</v>
      </c>
      <c r="O801" s="130">
        <v>0</v>
      </c>
      <c r="P801" s="130">
        <v>0</v>
      </c>
      <c r="Q801" s="130">
        <v>0</v>
      </c>
      <c r="R801" s="130">
        <v>0</v>
      </c>
      <c r="S801" s="130">
        <v>0</v>
      </c>
      <c r="T801" s="130">
        <v>0</v>
      </c>
      <c r="U801" s="130">
        <v>0</v>
      </c>
      <c r="V801" s="524">
        <v>0</v>
      </c>
      <c r="W801" s="130">
        <v>0</v>
      </c>
      <c r="X801" s="130">
        <v>0</v>
      </c>
      <c r="Y801" s="130">
        <v>0</v>
      </c>
      <c r="Z801" s="130">
        <v>0</v>
      </c>
      <c r="AA801" s="159" t="s">
        <v>3854</v>
      </c>
      <c r="AB801" s="159" t="s">
        <v>228</v>
      </c>
      <c r="AD801" s="159">
        <v>2</v>
      </c>
      <c r="AE801" s="158" t="b">
        <f>IF(AB801="",TRUE,IF(IF(AC801="",VLOOKUP(AB801,Calculs!$A$19:$S$425,19,FALSE),VLOOKUP(AC801,Calculs!$A$19:$S$425,19,FALSE))&gt;=AD801,TRUE,FALSE))</f>
        <v>0</v>
      </c>
      <c r="AF801" s="159" t="s">
        <v>1208</v>
      </c>
      <c r="AH801" s="159">
        <v>2</v>
      </c>
      <c r="AI801" s="158" t="b">
        <f>IF(AF801="",TRUE,IF(IF(AG801="",VLOOKUP(AF801,Calculs!$A$19:$S$425,19,FALSE),VLOOKUP(AG801,Calculs!$A$19:$S$425,19,FALSE))&gt;=AH801,TRUE,FALSE))</f>
        <v>0</v>
      </c>
      <c r="AM801" s="158" t="b">
        <f>IF(AJ801="",TRUE,IF(IF(AK801="",VLOOKUP(AJ801,Calculs!$A$19:$S$425,19,FALSE),VLOOKUP(AK801,Calculs!$A$19:$S$425,19,FALSE))&gt;=AL801,TRUE,FALSE))</f>
        <v>1</v>
      </c>
      <c r="AQ801" s="158" t="b">
        <f>IF(AN801="",TRUE,IF(IF(AO801="",VLOOKUP(AN801,Calculs!$A$19:$S$425,19,FALSE),VLOOKUP(AO801,Calculs!$A$19:$S$425,19,FALSE))&gt;=AP801,TRUE,FALSE))</f>
        <v>1</v>
      </c>
      <c r="AR801" s="158"/>
      <c r="AS801" s="158" t="b">
        <f>IF(AR801="",TRUE,IF(VLOOKUP(AR801,Calculs!$A$427:$G$738,7,FALSE)&gt;0,TRUE,FALSE))</f>
        <v>1</v>
      </c>
      <c r="AT801" s="158"/>
      <c r="AU801" s="158" t="b">
        <f>IF(AT801="",TRUE,IF(VLOOKUP(AT801,Calculs!$A$740:$G$912,7,FALSE)&gt;0,TRUE,FALSE))</f>
        <v>1</v>
      </c>
      <c r="AV801" s="158" t="b">
        <f t="shared" si="88"/>
        <v>0</v>
      </c>
      <c r="AW801" s="158" t="s">
        <v>2078</v>
      </c>
      <c r="AX801" s="162" t="s">
        <v>2087</v>
      </c>
      <c r="AY801" s="15">
        <v>77</v>
      </c>
      <c r="AZ801" s="555" t="s">
        <v>8689</v>
      </c>
      <c r="BA801" s="559">
        <f>IF(Verso!$B$10=Voies!$B801,1,0)</f>
        <v>0</v>
      </c>
      <c r="BB801" s="12">
        <f>IF(Verso!$B$11=Voies!$B801,1,0)</f>
        <v>0</v>
      </c>
      <c r="BC801" s="12">
        <f>IF(Verso!$B$12=Voies!$B801,1,0)</f>
        <v>0</v>
      </c>
      <c r="BD801" s="12">
        <f>IF(Verso!$B$13=Voies!$B801,1,0)</f>
        <v>0</v>
      </c>
      <c r="BE801" s="12">
        <f>IF(Verso!$B$14=Voies!$B801,1,0)</f>
        <v>0</v>
      </c>
      <c r="BF801" s="12">
        <f>IF(Verso!$B$15=Voies!$B801,1,0)</f>
        <v>0</v>
      </c>
      <c r="BG801" s="12">
        <f>IF(Verso!$B$16=Voies!$B801,1,0)</f>
        <v>0</v>
      </c>
      <c r="BH801" s="12">
        <f>IF(Verso!$B$17=Voies!$B801,1,0)</f>
        <v>0</v>
      </c>
      <c r="BI801" s="557">
        <f t="shared" si="89"/>
        <v>0</v>
      </c>
      <c r="BJ801" s="196" t="str">
        <f t="shared" si="90"/>
        <v/>
      </c>
      <c r="BK801" s="196" t="str">
        <f t="shared" si="91"/>
        <v/>
      </c>
      <c r="BL801" s="295" t="str">
        <f t="shared" si="92"/>
        <v/>
      </c>
    </row>
    <row r="802" spans="1:65" s="196" customFormat="1" ht="47.25" customHeight="1" x14ac:dyDescent="0.25">
      <c r="A802" s="162" t="str">
        <f>IF(AND(Réputation&gt;Voies!E802-1,OR(C802=TRUE,Calculs!$I$8&gt;0),Air&gt;Voies!J802-1,Eau&gt;Voies!K802-1,Feu&gt;Voies!L802-1,Terre&gt;Voies!M802-1,Vide&gt;Voies!N802-1,Constitution&gt;Voies!O802-1,Volonté&gt;Voies!P802-1,Force&gt;Voies!Q802-1,Perception&gt;Voies!R802-1,Reflexes&gt;Voies!S802-1,Agilité&gt;Voies!T802-1,Intuition&gt;Voies!U802-1,Intelligence&gt;Voies!V802-1,Souillure&gt;Voies!W802-1,Honneur&gt;X802-1,Statut&gt;Y802-1,Gloire&gt;Z802-1,AV802=TRUE),Voies!B802,"")</f>
        <v/>
      </c>
      <c r="B802" s="162" t="s">
        <v>8106</v>
      </c>
      <c r="C802" s="162" t="b">
        <f>IF(Clan=Voies!D802,TRUE,FALSE)</f>
        <v>0</v>
      </c>
      <c r="D802" s="387" t="s">
        <v>177</v>
      </c>
      <c r="E802" s="201">
        <v>2</v>
      </c>
      <c r="F802" s="201">
        <v>2</v>
      </c>
      <c r="G802" s="201" t="s">
        <v>2049</v>
      </c>
      <c r="H802" s="219" t="s">
        <v>8105</v>
      </c>
      <c r="I802" s="129" t="s">
        <v>3853</v>
      </c>
      <c r="J802" s="146">
        <v>0</v>
      </c>
      <c r="K802" s="147">
        <v>0</v>
      </c>
      <c r="L802" s="148">
        <v>0</v>
      </c>
      <c r="M802" s="149">
        <v>0</v>
      </c>
      <c r="N802" s="150">
        <v>0</v>
      </c>
      <c r="O802" s="130">
        <v>0</v>
      </c>
      <c r="P802" s="130">
        <v>0</v>
      </c>
      <c r="Q802" s="130">
        <v>3</v>
      </c>
      <c r="R802" s="130">
        <v>0</v>
      </c>
      <c r="S802" s="130">
        <v>0</v>
      </c>
      <c r="T802" s="130">
        <v>0</v>
      </c>
      <c r="U802" s="130">
        <v>0</v>
      </c>
      <c r="V802" s="524">
        <v>0</v>
      </c>
      <c r="W802" s="130">
        <v>0</v>
      </c>
      <c r="X802" s="130">
        <v>0</v>
      </c>
      <c r="Y802" s="130">
        <v>0</v>
      </c>
      <c r="Z802" s="130">
        <v>0</v>
      </c>
      <c r="AA802" s="159" t="s">
        <v>3586</v>
      </c>
      <c r="AB802" s="159" t="s">
        <v>351</v>
      </c>
      <c r="AC802" s="159"/>
      <c r="AD802" s="159">
        <v>4</v>
      </c>
      <c r="AE802" s="158" t="b">
        <f>IF(AB802="",TRUE,IF(IF(AC802="",VLOOKUP(AB802,Calculs!$A$19:$S$425,19,FALSE),VLOOKUP(AC802,Calculs!$A$19:$S$425,19,FALSE))&gt;=AD802,TRUE,FALSE))</f>
        <v>0</v>
      </c>
      <c r="AF802" s="159"/>
      <c r="AG802" s="159"/>
      <c r="AH802" s="159"/>
      <c r="AI802" s="158" t="b">
        <f>IF(AF802="",TRUE,IF(IF(AG802="",VLOOKUP(AF802,Calculs!$A$19:$S$425,19,FALSE),VLOOKUP(AG802,Calculs!$A$19:$S$425,19,FALSE))&gt;=AH802,TRUE,FALSE))</f>
        <v>1</v>
      </c>
      <c r="AJ802" s="159"/>
      <c r="AK802" s="159"/>
      <c r="AL802" s="159"/>
      <c r="AM802" s="158" t="b">
        <f>IF(AJ802="",TRUE,IF(IF(AK802="",VLOOKUP(AJ802,Calculs!$A$19:$S$425,19,FALSE),VLOOKUP(AK802,Calculs!$A$19:$S$425,19,FALSE))&gt;=AL802,TRUE,FALSE))</f>
        <v>1</v>
      </c>
      <c r="AN802" s="159"/>
      <c r="AO802" s="159"/>
      <c r="AP802" s="159"/>
      <c r="AQ802" s="158" t="b">
        <f>IF(AN802="",TRUE,IF(IF(AO802="",VLOOKUP(AN802,Calculs!$A$19:$S$425,19,FALSE),VLOOKUP(AO802,Calculs!$A$19:$S$425,19,FALSE))&gt;=AP802,TRUE,FALSE))</f>
        <v>1</v>
      </c>
      <c r="AR802" s="158"/>
      <c r="AS802" s="158" t="b">
        <f>IF(AR802="",TRUE,IF(VLOOKUP(AR802,Calculs!$A$427:$G$738,7,FALSE)&gt;0,TRUE,FALSE))</f>
        <v>1</v>
      </c>
      <c r="AT802" s="158"/>
      <c r="AU802" s="158" t="b">
        <f>IF(AT802="",TRUE,IF(VLOOKUP(AT802,Calculs!$A$740:$G$912,7,FALSE)&gt;0,TRUE,FALSE))</f>
        <v>1</v>
      </c>
      <c r="AV802" s="158" t="b">
        <f t="shared" si="88"/>
        <v>0</v>
      </c>
      <c r="AW802" s="158" t="s">
        <v>2078</v>
      </c>
      <c r="AX802" s="162" t="s">
        <v>7226</v>
      </c>
      <c r="AY802" s="15">
        <v>72</v>
      </c>
      <c r="AZ802" s="555" t="s">
        <v>8690</v>
      </c>
      <c r="BA802" s="559">
        <f>IF(Verso!$B$10=Voies!$B802,1,0)</f>
        <v>0</v>
      </c>
      <c r="BB802" s="12">
        <f>IF(Verso!$B$11=Voies!$B802,1,0)</f>
        <v>0</v>
      </c>
      <c r="BC802" s="12">
        <f>IF(Verso!$B$12=Voies!$B802,1,0)</f>
        <v>0</v>
      </c>
      <c r="BD802" s="12">
        <f>IF(Verso!$B$13=Voies!$B802,1,0)</f>
        <v>0</v>
      </c>
      <c r="BE802" s="12">
        <f>IF(Verso!$B$14=Voies!$B802,1,0)</f>
        <v>0</v>
      </c>
      <c r="BF802" s="12">
        <f>IF(Verso!$B$15=Voies!$B802,1,0)</f>
        <v>0</v>
      </c>
      <c r="BG802" s="12">
        <f>IF(Verso!$B$16=Voies!$B802,1,0)</f>
        <v>0</v>
      </c>
      <c r="BH802" s="12">
        <f>IF(Verso!$B$17=Voies!$B802,1,0)</f>
        <v>0</v>
      </c>
      <c r="BI802" s="557">
        <f t="shared" si="89"/>
        <v>0</v>
      </c>
      <c r="BJ802" s="196" t="str">
        <f t="shared" si="90"/>
        <v/>
      </c>
      <c r="BK802" s="196" t="str">
        <f t="shared" si="91"/>
        <v/>
      </c>
      <c r="BL802" s="295" t="str">
        <f t="shared" si="92"/>
        <v/>
      </c>
      <c r="BM802" s="91"/>
    </row>
    <row r="803" spans="1:65" s="196" customFormat="1" ht="47.25" customHeight="1" x14ac:dyDescent="0.25">
      <c r="A803" s="162" t="str">
        <f>IF(AND(Réputation&gt;Voies!E803-1,OR(C803=TRUE,Calculs!$I$8&gt;0),Air&gt;Voies!J803-1,Eau&gt;Voies!K803-1,Feu&gt;Voies!L803-1,Terre&gt;Voies!M803-1,Vide&gt;Voies!N803-1,Constitution&gt;Voies!O803-1,Volonté&gt;Voies!P803-1,Force&gt;Voies!Q803-1,Perception&gt;Voies!R803-1,Reflexes&gt;Voies!S803-1,Agilité&gt;Voies!T803-1,Intuition&gt;Voies!U803-1,Intelligence&gt;Voies!V803-1,Souillure&gt;Voies!W803-1,Honneur&gt;X803-1,Statut&gt;Y803-1,Gloire&gt;Z803-1,AV803=TRUE),Voies!B803,"")</f>
        <v/>
      </c>
      <c r="B803" s="162" t="s">
        <v>8108</v>
      </c>
      <c r="C803" s="162" t="b">
        <f>IF(Clan=Voies!D803,TRUE,FALSE)</f>
        <v>0</v>
      </c>
      <c r="D803" s="387" t="s">
        <v>177</v>
      </c>
      <c r="E803" s="201">
        <v>2</v>
      </c>
      <c r="F803" s="201">
        <v>2</v>
      </c>
      <c r="G803" s="201" t="s">
        <v>2049</v>
      </c>
      <c r="H803" s="219" t="s">
        <v>8107</v>
      </c>
      <c r="I803" s="129" t="s">
        <v>3853</v>
      </c>
      <c r="J803" s="146">
        <v>0</v>
      </c>
      <c r="K803" s="147">
        <v>0</v>
      </c>
      <c r="L803" s="148">
        <v>0</v>
      </c>
      <c r="M803" s="149">
        <v>0</v>
      </c>
      <c r="N803" s="150">
        <v>0</v>
      </c>
      <c r="O803" s="130">
        <v>0</v>
      </c>
      <c r="P803" s="130">
        <v>0</v>
      </c>
      <c r="Q803" s="130">
        <v>0</v>
      </c>
      <c r="R803" s="130">
        <v>0</v>
      </c>
      <c r="S803" s="130">
        <v>0</v>
      </c>
      <c r="T803" s="130">
        <v>0</v>
      </c>
      <c r="U803" s="130">
        <v>0</v>
      </c>
      <c r="V803" s="524">
        <v>0</v>
      </c>
      <c r="W803" s="130">
        <v>0</v>
      </c>
      <c r="X803" s="130">
        <v>0</v>
      </c>
      <c r="Y803" s="130">
        <v>0</v>
      </c>
      <c r="Z803" s="130">
        <v>0</v>
      </c>
      <c r="AA803" s="159" t="s">
        <v>8109</v>
      </c>
      <c r="AB803" s="159" t="s">
        <v>1228</v>
      </c>
      <c r="AC803" s="159"/>
      <c r="AD803" s="159">
        <v>4</v>
      </c>
      <c r="AE803" s="158" t="b">
        <f>IF(AB803="",TRUE,IF(IF(AC803="",VLOOKUP(AB803,Calculs!$A$19:$S$425,19,FALSE),VLOOKUP(AC803,Calculs!$A$19:$S$425,19,FALSE))&gt;=AD803,TRUE,FALSE))</f>
        <v>0</v>
      </c>
      <c r="AF803" s="159"/>
      <c r="AG803" s="159"/>
      <c r="AH803" s="159"/>
      <c r="AI803" s="158" t="b">
        <f>IF(AF803="",TRUE,IF(IF(AG803="",VLOOKUP(AF803,Calculs!$A$19:$S$425,19,FALSE),VLOOKUP(AG803,Calculs!$A$19:$S$425,19,FALSE))&gt;=AH803,TRUE,FALSE))</f>
        <v>1</v>
      </c>
      <c r="AJ803" s="159"/>
      <c r="AK803" s="159"/>
      <c r="AL803" s="159"/>
      <c r="AM803" s="158" t="b">
        <f>IF(AJ803="",TRUE,IF(IF(AK803="",VLOOKUP(AJ803,Calculs!$A$19:$S$425,19,FALSE),VLOOKUP(AK803,Calculs!$A$19:$S$425,19,FALSE))&gt;=AL803,TRUE,FALSE))</f>
        <v>1</v>
      </c>
      <c r="AN803" s="159"/>
      <c r="AO803" s="159"/>
      <c r="AP803" s="159"/>
      <c r="AQ803" s="158" t="b">
        <f>IF(AN803="",TRUE,IF(IF(AO803="",VLOOKUP(AN803,Calculs!$A$19:$S$425,19,FALSE),VLOOKUP(AO803,Calculs!$A$19:$S$425,19,FALSE))&gt;=AP803,TRUE,FALSE))</f>
        <v>1</v>
      </c>
      <c r="AR803" s="158"/>
      <c r="AS803" s="158" t="b">
        <f>IF(AR803="",TRUE,IF(VLOOKUP(AR803,Calculs!$A$427:$G$738,7,FALSE)&gt;0,TRUE,FALSE))</f>
        <v>1</v>
      </c>
      <c r="AT803" s="158"/>
      <c r="AU803" s="158" t="b">
        <f>IF(AT803="",TRUE,IF(VLOOKUP(AT803,Calculs!$A$740:$G$912,7,FALSE)&gt;0,TRUE,FALSE))</f>
        <v>1</v>
      </c>
      <c r="AV803" s="158" t="b">
        <f t="shared" si="88"/>
        <v>0</v>
      </c>
      <c r="AW803" s="158" t="s">
        <v>2078</v>
      </c>
      <c r="AX803" s="162" t="s">
        <v>7226</v>
      </c>
      <c r="AY803" s="15">
        <v>73</v>
      </c>
      <c r="AZ803" s="555" t="s">
        <v>8691</v>
      </c>
      <c r="BA803" s="559">
        <f>IF(Verso!$B$10=Voies!$B803,1,0)</f>
        <v>0</v>
      </c>
      <c r="BB803" s="12">
        <f>IF(Verso!$B$11=Voies!$B803,1,0)</f>
        <v>0</v>
      </c>
      <c r="BC803" s="12">
        <f>IF(Verso!$B$12=Voies!$B803,1,0)</f>
        <v>0</v>
      </c>
      <c r="BD803" s="12">
        <f>IF(Verso!$B$13=Voies!$B803,1,0)</f>
        <v>0</v>
      </c>
      <c r="BE803" s="12">
        <f>IF(Verso!$B$14=Voies!$B803,1,0)</f>
        <v>0</v>
      </c>
      <c r="BF803" s="12">
        <f>IF(Verso!$B$15=Voies!$B803,1,0)</f>
        <v>0</v>
      </c>
      <c r="BG803" s="12">
        <f>IF(Verso!$B$16=Voies!$B803,1,0)</f>
        <v>0</v>
      </c>
      <c r="BH803" s="12">
        <f>IF(Verso!$B$17=Voies!$B803,1,0)</f>
        <v>0</v>
      </c>
      <c r="BI803" s="557">
        <f t="shared" si="89"/>
        <v>0</v>
      </c>
      <c r="BJ803" s="196" t="str">
        <f t="shared" si="90"/>
        <v/>
      </c>
      <c r="BK803" s="196" t="str">
        <f t="shared" si="91"/>
        <v/>
      </c>
      <c r="BL803" s="295" t="str">
        <f t="shared" si="92"/>
        <v/>
      </c>
      <c r="BM803" s="91"/>
    </row>
    <row r="804" spans="1:65" ht="47.25" customHeight="1" x14ac:dyDescent="0.25">
      <c r="A804" s="162" t="str">
        <f>IF(AND(Réputation&gt;Voies!E804-1,OR(C804=TRUE,Calculs!$I$8&gt;0),Air&gt;Voies!J804-1,Eau&gt;Voies!K804-1,Feu&gt;Voies!L804-1,Terre&gt;Voies!M804-1,Vide&gt;Voies!N804-1,Constitution&gt;Voies!O804-1,Volonté&gt;Voies!P804-1,Force&gt;Voies!Q804-1,Perception&gt;Voies!R804-1,Reflexes&gt;Voies!S804-1,Agilité&gt;Voies!T804-1,Intuition&gt;Voies!U804-1,Intelligence&gt;Voies!V804-1,Souillure&gt;Voies!W804-1,Honneur&gt;X804-1,Statut&gt;Y804-1,Gloire&gt;Z804-1,AV804=TRUE),Voies!B804,"")</f>
        <v/>
      </c>
      <c r="B804" s="162" t="s">
        <v>3432</v>
      </c>
      <c r="C804" s="162" t="b">
        <f>IF(Clan=Voies!D804,TRUE,FALSE)</f>
        <v>0</v>
      </c>
      <c r="D804" s="387" t="s">
        <v>177</v>
      </c>
      <c r="E804" s="13">
        <v>2</v>
      </c>
      <c r="F804" s="199">
        <v>2</v>
      </c>
      <c r="G804" s="13" t="s">
        <v>2059</v>
      </c>
      <c r="H804" s="162" t="s">
        <v>570</v>
      </c>
      <c r="I804" s="129" t="s">
        <v>3433</v>
      </c>
      <c r="J804" s="146">
        <v>0</v>
      </c>
      <c r="K804" s="147">
        <v>0</v>
      </c>
      <c r="L804" s="148">
        <v>0</v>
      </c>
      <c r="M804" s="149">
        <v>0</v>
      </c>
      <c r="N804" s="150">
        <v>0</v>
      </c>
      <c r="O804" s="130">
        <v>0</v>
      </c>
      <c r="P804" s="130">
        <v>0</v>
      </c>
      <c r="Q804" s="130">
        <v>0</v>
      </c>
      <c r="R804" s="130">
        <v>0</v>
      </c>
      <c r="S804" s="130">
        <v>0</v>
      </c>
      <c r="T804" s="130">
        <v>0</v>
      </c>
      <c r="U804" s="130">
        <v>0</v>
      </c>
      <c r="V804" s="524">
        <v>0</v>
      </c>
      <c r="W804" s="130">
        <v>0</v>
      </c>
      <c r="X804" s="130">
        <v>0</v>
      </c>
      <c r="Y804" s="130">
        <v>0</v>
      </c>
      <c r="Z804" s="130">
        <v>0</v>
      </c>
      <c r="AA804" s="159" t="s">
        <v>6388</v>
      </c>
      <c r="AB804" s="159" t="s">
        <v>3328</v>
      </c>
      <c r="AC804" s="159" t="s">
        <v>3184</v>
      </c>
      <c r="AD804" s="159">
        <v>3</v>
      </c>
      <c r="AE804" s="158" t="b">
        <f>IF(AB804="",TRUE,IF(IF(AC804="",VLOOKUP(AB804,Calculs!$A$19:$S$425,19,FALSE),VLOOKUP(AC804,Calculs!$A$19:$S$425,19,FALSE))&gt;=AD804,TRUE,FALSE))</f>
        <v>0</v>
      </c>
      <c r="AF804" s="159" t="s">
        <v>228</v>
      </c>
      <c r="AH804" s="159">
        <v>3</v>
      </c>
      <c r="AI804" s="158" t="b">
        <f>IF(AF804="",TRUE,IF(IF(AG804="",VLOOKUP(AF804,Calculs!$A$19:$S$425,19,FALSE),VLOOKUP(AG804,Calculs!$A$19:$S$425,19,FALSE))&gt;=AH804,TRUE,FALSE))</f>
        <v>0</v>
      </c>
      <c r="AM804" s="158" t="b">
        <f>IF(AJ804="",TRUE,IF(IF(AK804="",VLOOKUP(AJ804,Calculs!$A$19:$S$425,19,FALSE),VLOOKUP(AK804,Calculs!$A$19:$S$425,19,FALSE))&gt;=AL804,TRUE,FALSE))</f>
        <v>1</v>
      </c>
      <c r="AQ804" s="158" t="b">
        <f>IF(AN804="",TRUE,IF(IF(AO804="",VLOOKUP(AN804,Calculs!$A$19:$S$425,19,FALSE),VLOOKUP(AO804,Calculs!$A$19:$S$425,19,FALSE))&gt;=AP804,TRUE,FALSE))</f>
        <v>1</v>
      </c>
      <c r="AR804" s="158"/>
      <c r="AS804" s="158" t="b">
        <f>IF(AR804="",TRUE,IF(VLOOKUP(AR804,Calculs!$A$427:$G$738,7,FALSE)&gt;0,TRUE,FALSE))</f>
        <v>1</v>
      </c>
      <c r="AT804" s="158"/>
      <c r="AU804" s="158" t="b">
        <f>IF(AT804="",TRUE,IF(VLOOKUP(AT804,Calculs!$A$740:$G$912,7,FALSE)&gt;0,TRUE,FALSE))</f>
        <v>1</v>
      </c>
      <c r="AV804" s="158" t="b">
        <f t="shared" si="88"/>
        <v>0</v>
      </c>
      <c r="AW804" s="158" t="s">
        <v>2078</v>
      </c>
      <c r="AX804" s="162" t="s">
        <v>158</v>
      </c>
      <c r="AY804" s="15">
        <v>193</v>
      </c>
      <c r="AZ804" s="566" t="str">
        <f>CONCATENATE("+1g0 en Artisanat pour créer des armures. Lorsque vous portez une armure et dépensez un point vide pour augmenter votre ND d'armure de 10, augmentez-le de ", Terre*2," en plus")</f>
        <v>+1g0 en Artisanat pour créer des armures. Lorsque vous portez une armure et dépensez un point vide pour augmenter votre ND d'armure de 10, augmentez-le de 4 en plus</v>
      </c>
      <c r="BA804" s="559">
        <f>IF(Verso!$B$10=Voies!$B804,1,0)</f>
        <v>0</v>
      </c>
      <c r="BB804" s="12">
        <f>IF(Verso!$B$11=Voies!$B804,1,0)</f>
        <v>0</v>
      </c>
      <c r="BC804" s="12">
        <f>IF(Verso!$B$12=Voies!$B804,1,0)</f>
        <v>0</v>
      </c>
      <c r="BD804" s="12">
        <f>IF(Verso!$B$13=Voies!$B804,1,0)</f>
        <v>0</v>
      </c>
      <c r="BE804" s="12">
        <f>IF(Verso!$B$14=Voies!$B804,1,0)</f>
        <v>0</v>
      </c>
      <c r="BF804" s="12">
        <f>IF(Verso!$B$15=Voies!$B804,1,0)</f>
        <v>0</v>
      </c>
      <c r="BG804" s="12">
        <f>IF(Verso!$B$16=Voies!$B804,1,0)</f>
        <v>0</v>
      </c>
      <c r="BH804" s="12">
        <f>IF(Verso!$B$17=Voies!$B804,1,0)</f>
        <v>0</v>
      </c>
      <c r="BI804" s="557">
        <f t="shared" si="89"/>
        <v>0</v>
      </c>
      <c r="BJ804" s="196" t="str">
        <f t="shared" si="90"/>
        <v/>
      </c>
      <c r="BK804" s="196" t="str">
        <f t="shared" si="91"/>
        <v/>
      </c>
      <c r="BL804" s="295" t="str">
        <f t="shared" si="92"/>
        <v/>
      </c>
    </row>
    <row r="805" spans="1:65" ht="47.25" customHeight="1" x14ac:dyDescent="0.25">
      <c r="A805" s="162" t="str">
        <f>IF(AND(Réputation&gt;Voies!E805-1,OR(C805=TRUE,Calculs!$I$8&gt;0),Air&gt;Voies!J805-1,Eau&gt;Voies!K805-1,Feu&gt;Voies!L805-1,Terre&gt;Voies!M805-1,Vide&gt;Voies!N805-1,Constitution&gt;Voies!O805-1,Volonté&gt;Voies!P805-1,Force&gt;Voies!Q805-1,Perception&gt;Voies!R805-1,Reflexes&gt;Voies!S805-1,Agilité&gt;Voies!T805-1,Intuition&gt;Voies!U805-1,Intelligence&gt;Voies!V805-1,Souillure&gt;Voies!W805-1,Honneur&gt;X805-1,Statut&gt;Y805-1,Gloire&gt;Z805-1,AV805=TRUE),Voies!B805,"")</f>
        <v/>
      </c>
      <c r="B805" s="162" t="s">
        <v>2501</v>
      </c>
      <c r="C805" s="162" t="b">
        <f>IF(Clan=Voies!D805,TRUE,FALSE)</f>
        <v>0</v>
      </c>
      <c r="D805" s="387" t="s">
        <v>177</v>
      </c>
      <c r="E805" s="13">
        <v>2</v>
      </c>
      <c r="F805" s="199">
        <v>2</v>
      </c>
      <c r="G805" s="157" t="s">
        <v>2052</v>
      </c>
      <c r="H805" s="162" t="s">
        <v>215</v>
      </c>
      <c r="I805" s="129" t="str">
        <f>IF(B805="","","Rien")</f>
        <v>Rien</v>
      </c>
      <c r="J805" s="146">
        <v>0</v>
      </c>
      <c r="K805" s="147">
        <v>0</v>
      </c>
      <c r="L805" s="148">
        <v>0</v>
      </c>
      <c r="M805" s="149">
        <v>0</v>
      </c>
      <c r="N805" s="150">
        <v>0</v>
      </c>
      <c r="O805" s="130">
        <v>0</v>
      </c>
      <c r="P805" s="130">
        <v>0</v>
      </c>
      <c r="Q805" s="130">
        <v>0</v>
      </c>
      <c r="R805" s="130">
        <v>0</v>
      </c>
      <c r="S805" s="130">
        <v>0</v>
      </c>
      <c r="T805" s="130">
        <v>0</v>
      </c>
      <c r="U805" s="130">
        <v>0</v>
      </c>
      <c r="V805" s="524">
        <v>0</v>
      </c>
      <c r="W805" s="130">
        <v>0</v>
      </c>
      <c r="X805" s="130">
        <v>0</v>
      </c>
      <c r="Y805" s="130">
        <v>0</v>
      </c>
      <c r="Z805" s="130">
        <v>0</v>
      </c>
      <c r="AA805" s="158" t="s">
        <v>2078</v>
      </c>
      <c r="AB805" s="158"/>
      <c r="AC805" s="158"/>
      <c r="AD805" s="158"/>
      <c r="AE805" s="158" t="b">
        <f>IF(AB805="",TRUE,IF(IF(AC805="",VLOOKUP(AB805,Calculs!$A$19:$S$425,19,FALSE),VLOOKUP(AC805,Calculs!$A$19:$S$425,19,FALSE))&gt;=AD805,TRUE,FALSE))</f>
        <v>1</v>
      </c>
      <c r="AF805" s="158"/>
      <c r="AG805" s="158"/>
      <c r="AH805" s="158"/>
      <c r="AI805" s="158" t="b">
        <f>IF(AF805="",TRUE,IF(IF(AG805="",VLOOKUP(AF805,Calculs!$A$19:$S$425,19,FALSE),VLOOKUP(AG805,Calculs!$A$19:$S$425,19,FALSE))&gt;=AH805,TRUE,FALSE))</f>
        <v>1</v>
      </c>
      <c r="AJ805" s="158"/>
      <c r="AK805" s="158"/>
      <c r="AL805" s="158"/>
      <c r="AM805" s="158" t="b">
        <f>IF(AJ805="",TRUE,IF(IF(AK805="",VLOOKUP(AJ805,Calculs!$A$19:$S$425,19,FALSE),VLOOKUP(AK805,Calculs!$A$19:$S$425,19,FALSE))&gt;=AL805,TRUE,FALSE))</f>
        <v>1</v>
      </c>
      <c r="AN805" s="158"/>
      <c r="AO805" s="158"/>
      <c r="AP805" s="158"/>
      <c r="AQ805" s="158" t="b">
        <f>IF(AN805="",TRUE,IF(IF(AO805="",VLOOKUP(AN805,Calculs!$A$19:$S$425,19,FALSE),VLOOKUP(AO805,Calculs!$A$19:$S$425,19,FALSE))&gt;=AP805,TRUE,FALSE))</f>
        <v>1</v>
      </c>
      <c r="AR805" s="158"/>
      <c r="AS805" s="158" t="b">
        <f>IF(AR805="",TRUE,IF(VLOOKUP(AR805,Calculs!$A$427:$G$738,7,FALSE)&gt;0,TRUE,FALSE))</f>
        <v>1</v>
      </c>
      <c r="AT805" s="158"/>
      <c r="AU805" s="158" t="b">
        <f>IF(AT805="",TRUE,IF(VLOOKUP(AT805,Calculs!$A$740:$G$912,7,FALSE)&gt;0,TRUE,FALSE))</f>
        <v>1</v>
      </c>
      <c r="AV805" s="158" t="b">
        <f t="shared" si="88"/>
        <v>1</v>
      </c>
      <c r="AW805" s="158" t="s">
        <v>2078</v>
      </c>
      <c r="AX805" s="162" t="s">
        <v>3</v>
      </c>
      <c r="AY805" s="15">
        <v>128</v>
      </c>
      <c r="AZ805" s="555" t="s">
        <v>8692</v>
      </c>
      <c r="BA805" s="559">
        <f>IF(Verso!$B$10=Voies!$B805,1,0)</f>
        <v>0</v>
      </c>
      <c r="BB805" s="12">
        <f>IF(Verso!$B$11=Voies!$B805,1,0)</f>
        <v>0</v>
      </c>
      <c r="BC805" s="12">
        <f>IF(Verso!$B$12=Voies!$B805,1,0)</f>
        <v>0</v>
      </c>
      <c r="BD805" s="12">
        <f>IF(Verso!$B$13=Voies!$B805,1,0)</f>
        <v>0</v>
      </c>
      <c r="BE805" s="12">
        <f>IF(Verso!$B$14=Voies!$B805,1,0)</f>
        <v>0</v>
      </c>
      <c r="BF805" s="12">
        <f>IF(Verso!$B$15=Voies!$B805,1,0)</f>
        <v>0</v>
      </c>
      <c r="BG805" s="12">
        <f>IF(Verso!$B$16=Voies!$B805,1,0)</f>
        <v>0</v>
      </c>
      <c r="BH805" s="12">
        <f>IF(Verso!$B$17=Voies!$B805,1,0)</f>
        <v>0</v>
      </c>
      <c r="BI805" s="557">
        <f t="shared" si="89"/>
        <v>0</v>
      </c>
      <c r="BJ805" s="196" t="str">
        <f t="shared" si="90"/>
        <v/>
      </c>
      <c r="BK805" s="196" t="str">
        <f t="shared" si="91"/>
        <v/>
      </c>
      <c r="BL805" s="295" t="str">
        <f t="shared" si="92"/>
        <v/>
      </c>
    </row>
    <row r="806" spans="1:65" ht="47.25" customHeight="1" x14ac:dyDescent="0.25">
      <c r="A806" s="162" t="str">
        <f>IF(AND(Réputation&gt;Voies!E806-1,OR(C806=TRUE,Calculs!$I$8&gt;0),Air&gt;Voies!J806-1,Eau&gt;Voies!K806-1,Feu&gt;Voies!L806-1,Terre&gt;Voies!M806-1,Vide&gt;Voies!N806-1,Constitution&gt;Voies!O806-1,Volonté&gt;Voies!P806-1,Force&gt;Voies!Q806-1,Perception&gt;Voies!R806-1,Reflexes&gt;Voies!S806-1,Agilité&gt;Voies!T806-1,Intuition&gt;Voies!U806-1,Intelligence&gt;Voies!V806-1,Souillure&gt;Voies!W806-1,Honneur&gt;X806-1,Statut&gt;Y806-1,Gloire&gt;Z806-1,AV806=TRUE),Voies!B806,"")</f>
        <v/>
      </c>
      <c r="B806" s="162" t="s">
        <v>3852</v>
      </c>
      <c r="C806" s="162" t="b">
        <f>IF(Clan=Voies!D806,TRUE,FALSE)</f>
        <v>0</v>
      </c>
      <c r="D806" s="387" t="s">
        <v>177</v>
      </c>
      <c r="E806" s="201">
        <v>2</v>
      </c>
      <c r="F806" s="201">
        <v>2</v>
      </c>
      <c r="G806" s="201" t="s">
        <v>2052</v>
      </c>
      <c r="H806" s="219" t="s">
        <v>518</v>
      </c>
      <c r="I806" s="129" t="s">
        <v>3850</v>
      </c>
      <c r="J806" s="146">
        <v>0</v>
      </c>
      <c r="K806" s="147">
        <v>0</v>
      </c>
      <c r="L806" s="148">
        <v>0</v>
      </c>
      <c r="M806" s="149">
        <v>0</v>
      </c>
      <c r="N806" s="150">
        <v>0</v>
      </c>
      <c r="O806" s="130">
        <v>0</v>
      </c>
      <c r="P806" s="130">
        <v>0</v>
      </c>
      <c r="Q806" s="130">
        <v>0</v>
      </c>
      <c r="R806" s="130">
        <v>0</v>
      </c>
      <c r="S806" s="130">
        <v>0</v>
      </c>
      <c r="T806" s="130">
        <v>0</v>
      </c>
      <c r="U806" s="130">
        <v>0</v>
      </c>
      <c r="V806" s="524">
        <v>0</v>
      </c>
      <c r="W806" s="130">
        <v>0</v>
      </c>
      <c r="X806" s="130">
        <v>0</v>
      </c>
      <c r="Y806" s="130">
        <v>0</v>
      </c>
      <c r="Z806" s="130">
        <v>0</v>
      </c>
      <c r="AA806" s="159" t="s">
        <v>3851</v>
      </c>
      <c r="AB806" s="159" t="s">
        <v>189</v>
      </c>
      <c r="AC806" s="159" t="s">
        <v>1296</v>
      </c>
      <c r="AD806" s="159">
        <v>2</v>
      </c>
      <c r="AE806" s="158" t="b">
        <f>IF(AB806="",TRUE,IF(IF(AC806="",VLOOKUP(AB806,Calculs!$A$19:$S$425,19,FALSE),VLOOKUP(AC806,Calculs!$A$19:$S$425,19,FALSE))&gt;=AD806,TRUE,FALSE))</f>
        <v>0</v>
      </c>
      <c r="AF806" s="159" t="s">
        <v>1208</v>
      </c>
      <c r="AH806" s="159">
        <v>3</v>
      </c>
      <c r="AI806" s="158" t="b">
        <f>IF(AF806="",TRUE,IF(IF(AG806="",VLOOKUP(AF806,Calculs!$A$19:$S$425,19,FALSE),VLOOKUP(AG806,Calculs!$A$19:$S$425,19,FALSE))&gt;=AH806,TRUE,FALSE))</f>
        <v>0</v>
      </c>
      <c r="AM806" s="158" t="b">
        <f>IF(AJ806="",TRUE,IF(IF(AK806="",VLOOKUP(AJ806,Calculs!$A$19:$S$425,19,FALSE),VLOOKUP(AK806,Calculs!$A$19:$S$425,19,FALSE))&gt;=AL806,TRUE,FALSE))</f>
        <v>1</v>
      </c>
      <c r="AQ806" s="158" t="b">
        <f>IF(AN806="",TRUE,IF(IF(AO806="",VLOOKUP(AN806,Calculs!$A$19:$S$425,19,FALSE),VLOOKUP(AO806,Calculs!$A$19:$S$425,19,FALSE))&gt;=AP806,TRUE,FALSE))</f>
        <v>1</v>
      </c>
      <c r="AR806" s="158"/>
      <c r="AS806" s="158" t="b">
        <f>IF(AR806="",TRUE,IF(VLOOKUP(AR806,Calculs!$A$427:$G$738,7,FALSE)&gt;0,TRUE,FALSE))</f>
        <v>1</v>
      </c>
      <c r="AT806" s="158"/>
      <c r="AU806" s="158" t="b">
        <f>IF(AT806="",TRUE,IF(VLOOKUP(AT806,Calculs!$A$740:$G$912,7,FALSE)&gt;0,TRUE,FALSE))</f>
        <v>1</v>
      </c>
      <c r="AV806" s="158" t="b">
        <f t="shared" si="88"/>
        <v>0</v>
      </c>
      <c r="AW806" s="158" t="s">
        <v>2078</v>
      </c>
      <c r="AX806" s="162" t="s">
        <v>2087</v>
      </c>
      <c r="AY806" s="15">
        <v>77</v>
      </c>
      <c r="AZ806" s="566" t="s">
        <v>3855</v>
      </c>
      <c r="BA806" s="559">
        <f>IF(Verso!$B$10=Voies!$B806,1,0)</f>
        <v>0</v>
      </c>
      <c r="BB806" s="12">
        <f>IF(Verso!$B$11=Voies!$B806,1,0)</f>
        <v>0</v>
      </c>
      <c r="BC806" s="12">
        <f>IF(Verso!$B$12=Voies!$B806,1,0)</f>
        <v>0</v>
      </c>
      <c r="BD806" s="12">
        <f>IF(Verso!$B$13=Voies!$B806,1,0)</f>
        <v>0</v>
      </c>
      <c r="BE806" s="12">
        <f>IF(Verso!$B$14=Voies!$B806,1,0)</f>
        <v>0</v>
      </c>
      <c r="BF806" s="12">
        <f>IF(Verso!$B$15=Voies!$B806,1,0)</f>
        <v>0</v>
      </c>
      <c r="BG806" s="12">
        <f>IF(Verso!$B$16=Voies!$B806,1,0)</f>
        <v>0</v>
      </c>
      <c r="BH806" s="12">
        <f>IF(Verso!$B$17=Voies!$B806,1,0)</f>
        <v>0</v>
      </c>
      <c r="BI806" s="557">
        <f t="shared" si="89"/>
        <v>0</v>
      </c>
      <c r="BJ806" s="196" t="str">
        <f t="shared" si="90"/>
        <v/>
      </c>
      <c r="BK806" s="196" t="str">
        <f t="shared" si="91"/>
        <v/>
      </c>
      <c r="BL806" s="295" t="str">
        <f t="shared" si="92"/>
        <v/>
      </c>
    </row>
    <row r="807" spans="1:65" ht="47.25" customHeight="1" x14ac:dyDescent="0.25">
      <c r="A807" s="162" t="str">
        <f>IF(AND(Réputation&gt;Voies!E807-1,OR(C807=TRUE,Calculs!$I$8&gt;0),Air&gt;Voies!J807-1,Eau&gt;Voies!K807-1,Feu&gt;Voies!L807-1,Terre&gt;Voies!M807-1,Vide&gt;Voies!N807-1,Constitution&gt;Voies!O807-1,Volonté&gt;Voies!P807-1,Force&gt;Voies!Q807-1,Perception&gt;Voies!R807-1,Reflexes&gt;Voies!S807-1,Agilité&gt;Voies!T807-1,Intuition&gt;Voies!U807-1,Intelligence&gt;Voies!V807-1,Souillure&gt;Voies!W807-1,Honneur&gt;X807-1,Statut&gt;Y807-1,Gloire&gt;Z807-1,AV807=TRUE),Voies!B807,"")</f>
        <v/>
      </c>
      <c r="B807" s="162" t="s">
        <v>6024</v>
      </c>
      <c r="C807" s="162" t="b">
        <f>IF(Clan=Voies!D807,TRUE,FALSE)</f>
        <v>0</v>
      </c>
      <c r="D807" s="387" t="s">
        <v>177</v>
      </c>
      <c r="E807" s="13">
        <v>2</v>
      </c>
      <c r="F807" s="199">
        <v>2</v>
      </c>
      <c r="G807" s="13" t="s">
        <v>2052</v>
      </c>
      <c r="H807" s="162" t="s">
        <v>6016</v>
      </c>
      <c r="I807" s="129" t="s">
        <v>6017</v>
      </c>
      <c r="J807" s="146">
        <v>0</v>
      </c>
      <c r="K807" s="147">
        <v>0</v>
      </c>
      <c r="L807" s="148">
        <v>0</v>
      </c>
      <c r="M807" s="149">
        <v>0</v>
      </c>
      <c r="N807" s="150">
        <v>0</v>
      </c>
      <c r="O807" s="130">
        <v>0</v>
      </c>
      <c r="P807" s="130">
        <v>0</v>
      </c>
      <c r="Q807" s="130">
        <v>0</v>
      </c>
      <c r="R807" s="130">
        <v>0</v>
      </c>
      <c r="S807" s="130">
        <v>0</v>
      </c>
      <c r="T807" s="130">
        <v>0</v>
      </c>
      <c r="U807" s="130">
        <v>0</v>
      </c>
      <c r="V807" s="524">
        <v>0</v>
      </c>
      <c r="W807" s="130">
        <v>0</v>
      </c>
      <c r="X807" s="130">
        <v>0</v>
      </c>
      <c r="Y807" s="130">
        <v>0</v>
      </c>
      <c r="Z807" s="130">
        <v>0</v>
      </c>
      <c r="AA807" s="159" t="s">
        <v>6018</v>
      </c>
      <c r="AB807" s="159" t="s">
        <v>1266</v>
      </c>
      <c r="AD807" s="159">
        <v>3</v>
      </c>
      <c r="AE807" s="158" t="b">
        <f>IF(AB807="",TRUE,IF(IF(AC807="",VLOOKUP(AB807,Calculs!$A$19:$S$425,19,FALSE),VLOOKUP(AC807,Calculs!$A$19:$S$425,19,FALSE))&gt;=AD807,TRUE,FALSE))</f>
        <v>0</v>
      </c>
      <c r="AI807" s="158" t="b">
        <f>IF(AF807="",TRUE,IF(IF(AG807="",VLOOKUP(AF807,Calculs!$A$19:$S$425,19,FALSE),VLOOKUP(AG807,Calculs!$A$19:$S$425,19,FALSE))&gt;=AH807,TRUE,FALSE))</f>
        <v>1</v>
      </c>
      <c r="AM807" s="158" t="b">
        <f>IF(AJ807="",TRUE,IF(IF(AK807="",VLOOKUP(AJ807,Calculs!$A$19:$S$425,19,FALSE),VLOOKUP(AK807,Calculs!$A$19:$S$425,19,FALSE))&gt;=AL807,TRUE,FALSE))</f>
        <v>1</v>
      </c>
      <c r="AQ807" s="158" t="b">
        <f>IF(AN807="",TRUE,IF(IF(AO807="",VLOOKUP(AN807,Calculs!$A$19:$S$425,19,FALSE),VLOOKUP(AO807,Calculs!$A$19:$S$425,19,FALSE))&gt;=AP807,TRUE,FALSE))</f>
        <v>1</v>
      </c>
      <c r="AR807" s="158"/>
      <c r="AS807" s="158" t="b">
        <f>IF(AR807="",TRUE,IF(VLOOKUP(AR807,Calculs!$A$427:$G$738,7,FALSE)&gt;0,TRUE,FALSE))</f>
        <v>1</v>
      </c>
      <c r="AT807" s="158"/>
      <c r="AU807" s="158" t="b">
        <f>IF(AT807="",TRUE,IF(VLOOKUP(AT807,Calculs!$A$740:$G$912,7,FALSE)&gt;0,TRUE,FALSE))</f>
        <v>1</v>
      </c>
      <c r="AV807" s="158" t="b">
        <f t="shared" si="88"/>
        <v>0</v>
      </c>
      <c r="AW807" s="158" t="s">
        <v>2078</v>
      </c>
      <c r="AX807" s="162" t="s">
        <v>6010</v>
      </c>
      <c r="AZ807" s="555" t="s">
        <v>6025</v>
      </c>
      <c r="BA807" s="559">
        <f>IF(Verso!$B$10=Voies!$B807,1,0)</f>
        <v>0</v>
      </c>
      <c r="BB807" s="12">
        <f>IF(Verso!$B$11=Voies!$B807,1,0)</f>
        <v>0</v>
      </c>
      <c r="BC807" s="12">
        <f>IF(Verso!$B$12=Voies!$B807,1,0)</f>
        <v>0</v>
      </c>
      <c r="BD807" s="12">
        <f>IF(Verso!$B$13=Voies!$B807,1,0)</f>
        <v>0</v>
      </c>
      <c r="BE807" s="12">
        <f>IF(Verso!$B$14=Voies!$B807,1,0)</f>
        <v>0</v>
      </c>
      <c r="BF807" s="12">
        <f>IF(Verso!$B$15=Voies!$B807,1,0)</f>
        <v>0</v>
      </c>
      <c r="BG807" s="12">
        <f>IF(Verso!$B$16=Voies!$B807,1,0)</f>
        <v>0</v>
      </c>
      <c r="BH807" s="12">
        <f>IF(Verso!$B$17=Voies!$B807,1,0)</f>
        <v>0</v>
      </c>
      <c r="BI807" s="557">
        <f t="shared" si="89"/>
        <v>0</v>
      </c>
      <c r="BJ807" s="196" t="str">
        <f t="shared" si="90"/>
        <v/>
      </c>
      <c r="BK807" s="196" t="str">
        <f t="shared" si="91"/>
        <v/>
      </c>
      <c r="BL807" s="295" t="str">
        <f t="shared" si="92"/>
        <v/>
      </c>
    </row>
    <row r="808" spans="1:65" ht="47.25" customHeight="1" x14ac:dyDescent="0.25">
      <c r="A808" s="162" t="str">
        <f>IF(AND(Réputation&gt;Voies!E808-1,OR(C808=TRUE,Calculs!$I$8&gt;0),Air&gt;Voies!J808-1,Eau&gt;Voies!K808-1,Feu&gt;Voies!L808-1,Terre&gt;Voies!M808-1,Vide&gt;Voies!N808-1,Constitution&gt;Voies!O808-1,Volonté&gt;Voies!P808-1,Force&gt;Voies!Q808-1,Perception&gt;Voies!R808-1,Reflexes&gt;Voies!S808-1,Agilité&gt;Voies!T808-1,Intuition&gt;Voies!U808-1,Intelligence&gt;Voies!V808-1,Souillure&gt;Voies!W808-1,Honneur&gt;X808-1,Statut&gt;Y808-1,Gloire&gt;Z808-1,AV808=TRUE),Voies!B808,"")</f>
        <v/>
      </c>
      <c r="B808" s="162" t="s">
        <v>2888</v>
      </c>
      <c r="C808" s="162" t="b">
        <f>IF(Clan=Voies!D808,TRUE,FALSE)</f>
        <v>0</v>
      </c>
      <c r="D808" s="387" t="s">
        <v>177</v>
      </c>
      <c r="E808" s="13">
        <v>2</v>
      </c>
      <c r="F808" s="199">
        <v>2</v>
      </c>
      <c r="G808" s="13" t="s">
        <v>2050</v>
      </c>
      <c r="H808" s="162" t="s">
        <v>214</v>
      </c>
      <c r="I808" s="129" t="str">
        <f>IF(B808="","","Rien")</f>
        <v>Rien</v>
      </c>
      <c r="J808" s="146">
        <v>0</v>
      </c>
      <c r="K808" s="147">
        <v>0</v>
      </c>
      <c r="L808" s="148">
        <v>0</v>
      </c>
      <c r="M808" s="149">
        <v>0</v>
      </c>
      <c r="N808" s="150">
        <v>0</v>
      </c>
      <c r="O808" s="130">
        <v>0</v>
      </c>
      <c r="P808" s="130">
        <v>0</v>
      </c>
      <c r="Q808" s="130">
        <v>0</v>
      </c>
      <c r="R808" s="130">
        <v>0</v>
      </c>
      <c r="S808" s="130">
        <v>0</v>
      </c>
      <c r="T808" s="130">
        <v>0</v>
      </c>
      <c r="U808" s="130">
        <v>0</v>
      </c>
      <c r="V808" s="524">
        <v>0</v>
      </c>
      <c r="W808" s="130">
        <v>0</v>
      </c>
      <c r="X808" s="130">
        <v>0</v>
      </c>
      <c r="Y808" s="130">
        <v>0</v>
      </c>
      <c r="Z808" s="130">
        <v>0</v>
      </c>
      <c r="AA808" s="158" t="s">
        <v>2078</v>
      </c>
      <c r="AB808" s="158"/>
      <c r="AC808" s="158"/>
      <c r="AD808" s="158"/>
      <c r="AE808" s="158" t="b">
        <f>IF(AB808="",TRUE,IF(IF(AC808="",VLOOKUP(AB808,Calculs!$A$19:$S$425,19,FALSE),VLOOKUP(AC808,Calculs!$A$19:$S$425,19,FALSE))&gt;=AD808,TRUE,FALSE))</f>
        <v>1</v>
      </c>
      <c r="AF808" s="158"/>
      <c r="AG808" s="158"/>
      <c r="AH808" s="158"/>
      <c r="AI808" s="158" t="b">
        <f>IF(AF808="",TRUE,IF(IF(AG808="",VLOOKUP(AF808,Calculs!$A$19:$S$425,19,FALSE),VLOOKUP(AG808,Calculs!$A$19:$S$425,19,FALSE))&gt;=AH808,TRUE,FALSE))</f>
        <v>1</v>
      </c>
      <c r="AJ808" s="158"/>
      <c r="AK808" s="158"/>
      <c r="AL808" s="158"/>
      <c r="AM808" s="158" t="b">
        <f>IF(AJ808="",TRUE,IF(IF(AK808="",VLOOKUP(AJ808,Calculs!$A$19:$S$425,19,FALSE),VLOOKUP(AK808,Calculs!$A$19:$S$425,19,FALSE))&gt;=AL808,TRUE,FALSE))</f>
        <v>1</v>
      </c>
      <c r="AN808" s="158"/>
      <c r="AO808" s="158"/>
      <c r="AP808" s="158"/>
      <c r="AQ808" s="158" t="b">
        <f>IF(AN808="",TRUE,IF(IF(AO808="",VLOOKUP(AN808,Calculs!$A$19:$S$425,19,FALSE),VLOOKUP(AO808,Calculs!$A$19:$S$425,19,FALSE))&gt;=AP808,TRUE,FALSE))</f>
        <v>1</v>
      </c>
      <c r="AR808" s="158"/>
      <c r="AS808" s="158" t="b">
        <f>IF(AR808="",TRUE,IF(VLOOKUP(AR808,Calculs!$A$427:$G$738,7,FALSE)&gt;0,TRUE,FALSE))</f>
        <v>1</v>
      </c>
      <c r="AT808" s="158"/>
      <c r="AU808" s="158" t="b">
        <f>IF(AT808="",TRUE,IF(VLOOKUP(AT808,Calculs!$A$740:$G$912,7,FALSE)&gt;0,TRUE,FALSE))</f>
        <v>1</v>
      </c>
      <c r="AV808" s="158" t="b">
        <f t="shared" si="88"/>
        <v>1</v>
      </c>
      <c r="AW808" s="158" t="s">
        <v>2078</v>
      </c>
      <c r="AX808" s="162" t="s">
        <v>6061</v>
      </c>
      <c r="AY808" s="15">
        <v>230</v>
      </c>
      <c r="AZ808" s="555" t="str">
        <f>CONCATENATE("Dépensez une AS pour gagner l'Immunité aux Effets Conditionnels (sauf Empoignade et Monté) pendant ",Terre," heures")</f>
        <v>Dépensez une AS pour gagner l'Immunité aux Effets Conditionnels (sauf Empoignade et Monté) pendant 2 heures</v>
      </c>
      <c r="BA808" s="559">
        <f>IF(Verso!$B$10=Voies!$B808,1,0)</f>
        <v>0</v>
      </c>
      <c r="BB808" s="12">
        <f>IF(Verso!$B$11=Voies!$B808,1,0)</f>
        <v>0</v>
      </c>
      <c r="BC808" s="12">
        <f>IF(Verso!$B$12=Voies!$B808,1,0)</f>
        <v>0</v>
      </c>
      <c r="BD808" s="12">
        <f>IF(Verso!$B$13=Voies!$B808,1,0)</f>
        <v>0</v>
      </c>
      <c r="BE808" s="12">
        <f>IF(Verso!$B$14=Voies!$B808,1,0)</f>
        <v>0</v>
      </c>
      <c r="BF808" s="12">
        <f>IF(Verso!$B$15=Voies!$B808,1,0)</f>
        <v>0</v>
      </c>
      <c r="BG808" s="12">
        <f>IF(Verso!$B$16=Voies!$B808,1,0)</f>
        <v>0</v>
      </c>
      <c r="BH808" s="12">
        <f>IF(Verso!$B$17=Voies!$B808,1,0)</f>
        <v>0</v>
      </c>
      <c r="BI808" s="557">
        <f t="shared" si="89"/>
        <v>0</v>
      </c>
      <c r="BJ808" s="196" t="str">
        <f t="shared" si="90"/>
        <v/>
      </c>
      <c r="BK808" s="196" t="str">
        <f t="shared" si="91"/>
        <v/>
      </c>
      <c r="BL808" s="295" t="str">
        <f t="shared" si="92"/>
        <v/>
      </c>
    </row>
    <row r="809" spans="1:65" ht="47.25" customHeight="1" x14ac:dyDescent="0.25">
      <c r="A809" s="162" t="str">
        <f>IF(AND(Réputation&gt;Voies!E809-1,OR(C809=TRUE,Calculs!$I$8&gt;0),Air&gt;Voies!J809-1,Eau&gt;Voies!K809-1,Feu&gt;Voies!L809-1,Terre&gt;Voies!M809-1,Vide&gt;Voies!N809-1,Constitution&gt;Voies!O809-1,Volonté&gt;Voies!P809-1,Force&gt;Voies!Q809-1,Perception&gt;Voies!R809-1,Reflexes&gt;Voies!S809-1,Agilité&gt;Voies!T809-1,Intuition&gt;Voies!U809-1,Intelligence&gt;Voies!V809-1,Souillure&gt;Voies!W809-1,Honneur&gt;X809-1,Statut&gt;Y809-1,Gloire&gt;Z809-1,AV809=TRUE),Voies!B809,"")</f>
        <v/>
      </c>
      <c r="B809" s="162" t="s">
        <v>5895</v>
      </c>
      <c r="C809" s="162" t="b">
        <f>IF(OR(Clan="Phénix",Clan="Libellule"),TRUE,FALSE)</f>
        <v>0</v>
      </c>
      <c r="D809" s="387" t="s">
        <v>177</v>
      </c>
      <c r="E809" s="13">
        <v>2</v>
      </c>
      <c r="F809" s="199">
        <v>2</v>
      </c>
      <c r="G809" s="13" t="s">
        <v>2048</v>
      </c>
      <c r="H809" s="162" t="s">
        <v>4773</v>
      </c>
      <c r="I809" s="129" t="s">
        <v>5891</v>
      </c>
      <c r="J809" s="146">
        <v>0</v>
      </c>
      <c r="K809" s="147">
        <v>0</v>
      </c>
      <c r="L809" s="148">
        <v>0</v>
      </c>
      <c r="M809" s="149">
        <v>0</v>
      </c>
      <c r="N809" s="150">
        <v>0</v>
      </c>
      <c r="O809" s="130">
        <v>0</v>
      </c>
      <c r="P809" s="130">
        <v>0</v>
      </c>
      <c r="Q809" s="130">
        <v>0</v>
      </c>
      <c r="R809" s="130">
        <v>0</v>
      </c>
      <c r="S809" s="130">
        <v>0</v>
      </c>
      <c r="T809" s="130">
        <v>0</v>
      </c>
      <c r="U809" s="130">
        <v>0</v>
      </c>
      <c r="V809" s="524">
        <v>0</v>
      </c>
      <c r="W809" s="130">
        <v>0</v>
      </c>
      <c r="X809" s="130">
        <v>0</v>
      </c>
      <c r="Y809" s="130">
        <v>0</v>
      </c>
      <c r="Z809" s="130">
        <v>0</v>
      </c>
      <c r="AA809" s="159" t="s">
        <v>5892</v>
      </c>
      <c r="AB809" s="159" t="s">
        <v>102</v>
      </c>
      <c r="AC809" s="159" t="s">
        <v>1297</v>
      </c>
      <c r="AD809" s="159">
        <v>3</v>
      </c>
      <c r="AE809" s="158" t="b">
        <f>IF(AB809="",TRUE,IF(IF(AC809="",VLOOKUP(AB809,Calculs!$A$19:$S$425,19,FALSE),VLOOKUP(AC809,Calculs!$A$19:$S$425,19,FALSE))&gt;=AD809,TRUE,FALSE))</f>
        <v>0</v>
      </c>
      <c r="AI809" s="158" t="b">
        <f>IF(AF809="",TRUE,IF(IF(AG809="",VLOOKUP(AF809,Calculs!$A$19:$S$425,19,FALSE),VLOOKUP(AG809,Calculs!$A$19:$S$425,19,FALSE))&gt;=AH809,TRUE,FALSE))</f>
        <v>1</v>
      </c>
      <c r="AM809" s="158" t="b">
        <f>IF(AJ809="",TRUE,IF(IF(AK809="",VLOOKUP(AJ809,Calculs!$A$19:$S$425,19,FALSE),VLOOKUP(AK809,Calculs!$A$19:$S$425,19,FALSE))&gt;=AL809,TRUE,FALSE))</f>
        <v>1</v>
      </c>
      <c r="AQ809" s="158" t="b">
        <f>IF(AN809="",TRUE,IF(IF(AO809="",VLOOKUP(AN809,Calculs!$A$19:$S$425,19,FALSE),VLOOKUP(AO809,Calculs!$A$19:$S$425,19,FALSE))&gt;=AP809,TRUE,FALSE))</f>
        <v>1</v>
      </c>
      <c r="AR809" s="158"/>
      <c r="AS809" s="158" t="b">
        <f>IF(AR809="",TRUE,IF(VLOOKUP(AR809,Calculs!$A$427:$G$738,7,FALSE)&gt;0,TRUE,FALSE))</f>
        <v>1</v>
      </c>
      <c r="AT809" s="158"/>
      <c r="AU809" s="158" t="b">
        <f>IF(AT809="",TRUE,IF(VLOOKUP(AT809,Calculs!$A$740:$G$912,7,FALSE)&gt;0,TRUE,FALSE))</f>
        <v>1</v>
      </c>
      <c r="AV809" s="158" t="b">
        <f t="shared" si="88"/>
        <v>0</v>
      </c>
      <c r="AW809" s="158" t="s">
        <v>2078</v>
      </c>
      <c r="AX809" s="162" t="s">
        <v>4403</v>
      </c>
      <c r="AY809" s="15">
        <v>179</v>
      </c>
      <c r="AZ809" s="555" t="str">
        <f>CONCATENATE("Au début de chaque journée, après 1h de méditation, Test de Divination de ND 15. En cas de succès, vous gagnez un dé +1g0 pour chaque A complète au résultat de votre jet avec un maximum de ",Eau,". Répartissez ces dés sur les jets d'inacantation, jusqu'à la nuit tombée.")</f>
        <v>Au début de chaque journée, après 1h de méditation, Test de Divination de ND 15. En cas de succès, vous gagnez un dé +1g0 pour chaque A complète au résultat de votre jet avec un maximum de 2. Répartissez ces dés sur les jets d'inacantation, jusqu'à la nuit tombée.</v>
      </c>
      <c r="BA809" s="559">
        <f>IF(Verso!$B$10=Voies!$B809,1,0)</f>
        <v>0</v>
      </c>
      <c r="BB809" s="12">
        <f>IF(Verso!$B$11=Voies!$B809,1,0)</f>
        <v>0</v>
      </c>
      <c r="BC809" s="12">
        <f>IF(Verso!$B$12=Voies!$B809,1,0)</f>
        <v>0</v>
      </c>
      <c r="BD809" s="12">
        <f>IF(Verso!$B$13=Voies!$B809,1,0)</f>
        <v>0</v>
      </c>
      <c r="BE809" s="12">
        <f>IF(Verso!$B$14=Voies!$B809,1,0)</f>
        <v>0</v>
      </c>
      <c r="BF809" s="12">
        <f>IF(Verso!$B$15=Voies!$B809,1,0)</f>
        <v>0</v>
      </c>
      <c r="BG809" s="12">
        <f>IF(Verso!$B$16=Voies!$B809,1,0)</f>
        <v>0</v>
      </c>
      <c r="BH809" s="12">
        <f>IF(Verso!$B$17=Voies!$B809,1,0)</f>
        <v>0</v>
      </c>
      <c r="BI809" s="557">
        <f t="shared" si="89"/>
        <v>0</v>
      </c>
      <c r="BJ809" s="196" t="str">
        <f t="shared" si="90"/>
        <v/>
      </c>
      <c r="BK809" s="196" t="str">
        <f t="shared" si="91"/>
        <v/>
      </c>
      <c r="BL809" s="295" t="str">
        <f t="shared" si="92"/>
        <v/>
      </c>
    </row>
    <row r="810" spans="1:65" ht="47.25" customHeight="1" x14ac:dyDescent="0.25">
      <c r="A810" s="162" t="str">
        <f>IF(AND(Réputation&gt;Voies!E810-1,OR(C810=TRUE,Calculs!$I$8&gt;0),Air&gt;Voies!J810-1,Eau&gt;Voies!K810-1,Feu&gt;Voies!L810-1,Terre&gt;Voies!M810-1,Vide&gt;Voies!N810-1,Constitution&gt;Voies!O810-1,Volonté&gt;Voies!P810-1,Force&gt;Voies!Q810-1,Perception&gt;Voies!R810-1,Reflexes&gt;Voies!S810-1,Agilité&gt;Voies!T810-1,Intuition&gt;Voies!U810-1,Intelligence&gt;Voies!V810-1,Souillure&gt;Voies!W810-1,Honneur&gt;X810-1,Statut&gt;Y810-1,Gloire&gt;Z810-1,AV810=TRUE),Voies!B810,"")</f>
        <v/>
      </c>
      <c r="B810" s="162" t="s">
        <v>3734</v>
      </c>
      <c r="C810" s="162" t="b">
        <f>IF(Clan=Voies!D810,TRUE,FALSE)</f>
        <v>0</v>
      </c>
      <c r="D810" s="387" t="s">
        <v>177</v>
      </c>
      <c r="E810" s="13">
        <v>2</v>
      </c>
      <c r="F810" s="199">
        <v>2</v>
      </c>
      <c r="G810" s="199" t="s">
        <v>2048</v>
      </c>
      <c r="H810" s="162" t="s">
        <v>521</v>
      </c>
      <c r="I810" s="129" t="s">
        <v>3732</v>
      </c>
      <c r="J810" s="146">
        <v>0</v>
      </c>
      <c r="K810" s="147">
        <v>0</v>
      </c>
      <c r="L810" s="148">
        <v>0</v>
      </c>
      <c r="M810" s="149">
        <v>0</v>
      </c>
      <c r="N810" s="150">
        <v>0</v>
      </c>
      <c r="O810" s="130">
        <v>0</v>
      </c>
      <c r="P810" s="130">
        <v>0</v>
      </c>
      <c r="Q810" s="130">
        <v>0</v>
      </c>
      <c r="R810" s="130">
        <v>0</v>
      </c>
      <c r="S810" s="130">
        <v>0</v>
      </c>
      <c r="T810" s="130">
        <v>0</v>
      </c>
      <c r="U810" s="130">
        <v>0</v>
      </c>
      <c r="V810" s="524">
        <v>0</v>
      </c>
      <c r="W810" s="130">
        <v>0</v>
      </c>
      <c r="X810" s="130">
        <v>0</v>
      </c>
      <c r="Y810" s="130">
        <v>0</v>
      </c>
      <c r="Z810" s="130">
        <v>0</v>
      </c>
      <c r="AA810" s="159" t="s">
        <v>3733</v>
      </c>
      <c r="AB810" s="159" t="s">
        <v>6367</v>
      </c>
      <c r="AC810" s="159" t="s">
        <v>310</v>
      </c>
      <c r="AD810" s="159">
        <v>3</v>
      </c>
      <c r="AE810" s="158" t="b">
        <f>IF(AB810="",TRUE,IF(IF(AC810="",VLOOKUP(AB810,Calculs!$A$19:$S$425,19,FALSE),VLOOKUP(AC810,Calculs!$A$19:$S$425,19,FALSE))&gt;=AD810,TRUE,FALSE))</f>
        <v>0</v>
      </c>
      <c r="AI810" s="158" t="b">
        <f>IF(AF810="",TRUE,IF(IF(AG810="",VLOOKUP(AF810,Calculs!$A$19:$S$425,19,FALSE),VLOOKUP(AG810,Calculs!$A$19:$S$425,19,FALSE))&gt;=AH810,TRUE,FALSE))</f>
        <v>1</v>
      </c>
      <c r="AM810" s="158" t="b">
        <f>IF(AJ810="",TRUE,IF(IF(AK810="",VLOOKUP(AJ810,Calculs!$A$19:$S$425,19,FALSE),VLOOKUP(AK810,Calculs!$A$19:$S$425,19,FALSE))&gt;=AL810,TRUE,FALSE))</f>
        <v>1</v>
      </c>
      <c r="AQ810" s="158" t="b">
        <f>IF(AN810="",TRUE,IF(IF(AO810="",VLOOKUP(AN810,Calculs!$A$19:$S$425,19,FALSE),VLOOKUP(AO810,Calculs!$A$19:$S$425,19,FALSE))&gt;=AP810,TRUE,FALSE))</f>
        <v>1</v>
      </c>
      <c r="AR810" s="158"/>
      <c r="AS810" s="158" t="b">
        <f>IF(AR810="",TRUE,IF(VLOOKUP(AR810,Calculs!$A$427:$G$738,7,FALSE)&gt;0,TRUE,FALSE))</f>
        <v>1</v>
      </c>
      <c r="AT810" s="158"/>
      <c r="AU810" s="158" t="b">
        <f>IF(AT810="",TRUE,IF(VLOOKUP(AT810,Calculs!$A$740:$G$912,7,FALSE)&gt;0,TRUE,FALSE))</f>
        <v>1</v>
      </c>
      <c r="AV810" s="158" t="b">
        <f t="shared" si="88"/>
        <v>0</v>
      </c>
      <c r="AW810" s="158" t="s">
        <v>2078</v>
      </c>
      <c r="AX810" s="162" t="s">
        <v>2921</v>
      </c>
      <c r="AY810" s="15">
        <v>100</v>
      </c>
      <c r="AZ810" s="555" t="s">
        <v>8693</v>
      </c>
      <c r="BA810" s="559">
        <f>IF(Verso!$B$10=Voies!$B810,1,0)</f>
        <v>0</v>
      </c>
      <c r="BB810" s="12">
        <f>IF(Verso!$B$11=Voies!$B810,1,0)</f>
        <v>0</v>
      </c>
      <c r="BC810" s="12">
        <f>IF(Verso!$B$12=Voies!$B810,1,0)</f>
        <v>0</v>
      </c>
      <c r="BD810" s="12">
        <f>IF(Verso!$B$13=Voies!$B810,1,0)</f>
        <v>0</v>
      </c>
      <c r="BE810" s="12">
        <f>IF(Verso!$B$14=Voies!$B810,1,0)</f>
        <v>0</v>
      </c>
      <c r="BF810" s="12">
        <f>IF(Verso!$B$15=Voies!$B810,1,0)</f>
        <v>0</v>
      </c>
      <c r="BG810" s="12">
        <f>IF(Verso!$B$16=Voies!$B810,1,0)</f>
        <v>0</v>
      </c>
      <c r="BH810" s="12">
        <f>IF(Verso!$B$17=Voies!$B810,1,0)</f>
        <v>0</v>
      </c>
      <c r="BI810" s="557">
        <f t="shared" si="89"/>
        <v>0</v>
      </c>
      <c r="BJ810" s="196" t="str">
        <f t="shared" si="90"/>
        <v/>
      </c>
      <c r="BK810" s="196" t="str">
        <f t="shared" si="91"/>
        <v/>
      </c>
      <c r="BL810" s="295" t="str">
        <f t="shared" si="92"/>
        <v/>
      </c>
    </row>
    <row r="811" spans="1:65" ht="47.25" customHeight="1" x14ac:dyDescent="0.25">
      <c r="A811" s="162" t="str">
        <f>IF(AND(Réputation&gt;Voies!E811-1,OR(C811=TRUE,Calculs!$I$8&gt;0),Air&gt;Voies!J811-1,Eau&gt;Voies!K811-1,Feu&gt;Voies!L811-1,Terre&gt;Voies!M811-1,Vide&gt;Voies!N811-1,Constitution&gt;Voies!O811-1,Volonté&gt;Voies!P811-1,Force&gt;Voies!Q811-1,Perception&gt;Voies!R811-1,Reflexes&gt;Voies!S811-1,Agilité&gt;Voies!T811-1,Intuition&gt;Voies!U811-1,Intelligence&gt;Voies!V811-1,Souillure&gt;Voies!W811-1,Honneur&gt;X811-1,Statut&gt;Y811-1,Gloire&gt;Z811-1,AV811=TRUE),Voies!B811,"")</f>
        <v/>
      </c>
      <c r="B811" s="162" t="s">
        <v>3224</v>
      </c>
      <c r="C811" s="162" t="b">
        <f>IF(Clan=Voies!D811,TRUE,FALSE)</f>
        <v>0</v>
      </c>
      <c r="D811" s="387" t="s">
        <v>177</v>
      </c>
      <c r="E811" s="13">
        <v>2</v>
      </c>
      <c r="F811" s="199">
        <v>2</v>
      </c>
      <c r="G811" s="13" t="s">
        <v>2048</v>
      </c>
      <c r="H811" s="162" t="s">
        <v>567</v>
      </c>
      <c r="I811" s="129" t="s">
        <v>3168</v>
      </c>
      <c r="J811" s="146">
        <v>0</v>
      </c>
      <c r="K811" s="147">
        <v>0</v>
      </c>
      <c r="L811" s="148">
        <v>0</v>
      </c>
      <c r="M811" s="149">
        <v>0</v>
      </c>
      <c r="N811" s="150">
        <v>0</v>
      </c>
      <c r="O811" s="130">
        <v>0</v>
      </c>
      <c r="P811" s="130">
        <v>0</v>
      </c>
      <c r="Q811" s="130">
        <v>0</v>
      </c>
      <c r="R811" s="130">
        <v>0</v>
      </c>
      <c r="S811" s="130">
        <v>0</v>
      </c>
      <c r="T811" s="130">
        <v>0</v>
      </c>
      <c r="U811" s="130">
        <v>0</v>
      </c>
      <c r="V811" s="524">
        <v>0</v>
      </c>
      <c r="W811" s="130">
        <v>0</v>
      </c>
      <c r="X811" s="130">
        <v>0</v>
      </c>
      <c r="Y811" s="130">
        <v>0</v>
      </c>
      <c r="Z811" s="130">
        <v>0</v>
      </c>
      <c r="AA811" s="159" t="s">
        <v>6389</v>
      </c>
      <c r="AB811" s="159" t="s">
        <v>3325</v>
      </c>
      <c r="AC811" s="159" t="s">
        <v>3190</v>
      </c>
      <c r="AD811" s="159">
        <v>3</v>
      </c>
      <c r="AE811" s="158" t="b">
        <f>IF(AB811="",TRUE,IF(IF(AC811="",VLOOKUP(AB811,Calculs!$A$19:$S$425,19,FALSE),VLOOKUP(AC811,Calculs!$A$19:$S$425,19,FALSE))&gt;=AD811,TRUE,FALSE))</f>
        <v>0</v>
      </c>
      <c r="AF811" s="159" t="s">
        <v>1260</v>
      </c>
      <c r="AH811" s="159">
        <v>3</v>
      </c>
      <c r="AI811" s="158" t="b">
        <f>IF(AF811="",TRUE,IF(IF(AG811="",VLOOKUP(AF811,Calculs!$A$19:$S$425,19,FALSE),VLOOKUP(AG811,Calculs!$A$19:$S$425,19,FALSE))&gt;=AH811,TRUE,FALSE))</f>
        <v>0</v>
      </c>
      <c r="AM811" s="158" t="b">
        <f>IF(AJ811="",TRUE,IF(IF(AK811="",VLOOKUP(AJ811,Calculs!$A$19:$S$425,19,FALSE),VLOOKUP(AK811,Calculs!$A$19:$S$425,19,FALSE))&gt;=AL811,TRUE,FALSE))</f>
        <v>1</v>
      </c>
      <c r="AQ811" s="158" t="b">
        <f>IF(AN811="",TRUE,IF(IF(AO811="",VLOOKUP(AN811,Calculs!$A$19:$S$425,19,FALSE),VLOOKUP(AO811,Calculs!$A$19:$S$425,19,FALSE))&gt;=AP811,TRUE,FALSE))</f>
        <v>1</v>
      </c>
      <c r="AR811" s="158"/>
      <c r="AS811" s="158" t="b">
        <f>IF(AR811="",TRUE,IF(VLOOKUP(AR811,Calculs!$A$427:$G$738,7,FALSE)&gt;0,TRUE,FALSE))</f>
        <v>1</v>
      </c>
      <c r="AT811" s="158"/>
      <c r="AU811" s="158" t="b">
        <f>IF(AT811="",TRUE,IF(VLOOKUP(AT811,Calculs!$A$740:$G$912,7,FALSE)&gt;0,TRUE,FALSE))</f>
        <v>1</v>
      </c>
      <c r="AV811" s="158" t="b">
        <f t="shared" si="88"/>
        <v>0</v>
      </c>
      <c r="AW811" s="158" t="s">
        <v>2078</v>
      </c>
      <c r="AX811" s="162" t="s">
        <v>3</v>
      </c>
      <c r="AY811" s="15">
        <v>254</v>
      </c>
      <c r="AZ811" s="555" t="s">
        <v>3225</v>
      </c>
      <c r="BA811" s="559">
        <f>IF(Verso!$B$10=Voies!$B811,1,0)</f>
        <v>0</v>
      </c>
      <c r="BB811" s="12">
        <f>IF(Verso!$B$11=Voies!$B811,1,0)</f>
        <v>0</v>
      </c>
      <c r="BC811" s="12">
        <f>IF(Verso!$B$12=Voies!$B811,1,0)</f>
        <v>0</v>
      </c>
      <c r="BD811" s="12">
        <f>IF(Verso!$B$13=Voies!$B811,1,0)</f>
        <v>0</v>
      </c>
      <c r="BE811" s="12">
        <f>IF(Verso!$B$14=Voies!$B811,1,0)</f>
        <v>0</v>
      </c>
      <c r="BF811" s="12">
        <f>IF(Verso!$B$15=Voies!$B811,1,0)</f>
        <v>0</v>
      </c>
      <c r="BG811" s="12">
        <f>IF(Verso!$B$16=Voies!$B811,1,0)</f>
        <v>0</v>
      </c>
      <c r="BH811" s="12">
        <f>IF(Verso!$B$17=Voies!$B811,1,0)</f>
        <v>0</v>
      </c>
      <c r="BI811" s="557">
        <f t="shared" si="89"/>
        <v>0</v>
      </c>
      <c r="BJ811" s="196" t="str">
        <f t="shared" si="90"/>
        <v/>
      </c>
      <c r="BK811" s="196" t="str">
        <f t="shared" si="91"/>
        <v/>
      </c>
      <c r="BL811" s="295" t="str">
        <f t="shared" si="92"/>
        <v/>
      </c>
    </row>
    <row r="812" spans="1:65" ht="47.25" customHeight="1" x14ac:dyDescent="0.25">
      <c r="A812" s="162" t="str">
        <f>IF(AND(Réputation&gt;Voies!E812-1,OR(C812=TRUE,Calculs!$I$8&gt;0),Air&gt;Voies!J812-1,Eau&gt;Voies!K812-1,Feu&gt;Voies!L812-1,Terre&gt;Voies!M812-1,Vide&gt;Voies!N812-1,Constitution&gt;Voies!O812-1,Volonté&gt;Voies!P812-1,Force&gt;Voies!Q812-1,Perception&gt;Voies!R812-1,Reflexes&gt;Voies!S812-1,Agilité&gt;Voies!T812-1,Intuition&gt;Voies!U812-1,Intelligence&gt;Voies!V812-1,Souillure&gt;Voies!W812-1,Honneur&gt;X812-1,Statut&gt;Y812-1,Gloire&gt;Z812-1,AV812=TRUE),Voies!B812,"")</f>
        <v/>
      </c>
      <c r="B812" s="162" t="s">
        <v>4772</v>
      </c>
      <c r="C812" s="162" t="b">
        <f>IF(Clan=Voies!D812,TRUE,FALSE)</f>
        <v>0</v>
      </c>
      <c r="D812" s="387" t="s">
        <v>177</v>
      </c>
      <c r="E812" s="13">
        <v>2</v>
      </c>
      <c r="F812" s="199">
        <v>2</v>
      </c>
      <c r="G812" s="199" t="s">
        <v>2048</v>
      </c>
      <c r="H812" s="162" t="s">
        <v>4778</v>
      </c>
      <c r="I812" s="129" t="s">
        <v>4777</v>
      </c>
      <c r="J812" s="146">
        <v>0</v>
      </c>
      <c r="K812" s="147">
        <v>0</v>
      </c>
      <c r="L812" s="148">
        <v>0</v>
      </c>
      <c r="M812" s="149">
        <v>0</v>
      </c>
      <c r="N812" s="150">
        <v>0</v>
      </c>
      <c r="O812" s="130">
        <v>0</v>
      </c>
      <c r="P812" s="130">
        <v>0</v>
      </c>
      <c r="Q812" s="130">
        <v>0</v>
      </c>
      <c r="R812" s="130">
        <v>0</v>
      </c>
      <c r="S812" s="130">
        <v>0</v>
      </c>
      <c r="T812" s="130">
        <v>0</v>
      </c>
      <c r="U812" s="130">
        <v>0</v>
      </c>
      <c r="V812" s="524">
        <v>0</v>
      </c>
      <c r="W812" s="130">
        <v>0</v>
      </c>
      <c r="X812" s="130">
        <v>0</v>
      </c>
      <c r="Y812" s="130">
        <v>0</v>
      </c>
      <c r="Z812" s="130">
        <v>0</v>
      </c>
      <c r="AA812" s="158" t="s">
        <v>2078</v>
      </c>
      <c r="AB812" s="158"/>
      <c r="AC812" s="158"/>
      <c r="AD812" s="158"/>
      <c r="AE812" s="158" t="b">
        <f>IF(AB812="",TRUE,IF(IF(AC812="",VLOOKUP(AB812,Calculs!$A$19:$S$425,19,FALSE),VLOOKUP(AC812,Calculs!$A$19:$S$425,19,FALSE))&gt;=AD812,TRUE,FALSE))</f>
        <v>1</v>
      </c>
      <c r="AF812" s="158"/>
      <c r="AG812" s="158"/>
      <c r="AH812" s="158"/>
      <c r="AI812" s="158" t="b">
        <f>IF(AF812="",TRUE,IF(IF(AG812="",VLOOKUP(AF812,Calculs!$A$19:$S$425,19,FALSE),VLOOKUP(AG812,Calculs!$A$19:$S$425,19,FALSE))&gt;=AH812,TRUE,FALSE))</f>
        <v>1</v>
      </c>
      <c r="AJ812" s="158"/>
      <c r="AK812" s="158"/>
      <c r="AL812" s="158"/>
      <c r="AM812" s="158" t="b">
        <f>IF(AJ812="",TRUE,IF(IF(AK812="",VLOOKUP(AJ812,Calculs!$A$19:$S$425,19,FALSE),VLOOKUP(AK812,Calculs!$A$19:$S$425,19,FALSE))&gt;=AL812,TRUE,FALSE))</f>
        <v>1</v>
      </c>
      <c r="AN812" s="158"/>
      <c r="AO812" s="158"/>
      <c r="AP812" s="158"/>
      <c r="AQ812" s="158" t="b">
        <f>IF(AN812="",TRUE,IF(IF(AO812="",VLOOKUP(AN812,Calculs!$A$19:$S$425,19,FALSE),VLOOKUP(AO812,Calculs!$A$19:$S$425,19,FALSE))&gt;=AP812,TRUE,FALSE))</f>
        <v>1</v>
      </c>
      <c r="AR812" s="158"/>
      <c r="AS812" s="158" t="b">
        <f>IF(AR812="",TRUE,IF(VLOOKUP(AR812,Calculs!$A$427:$G$738,7,FALSE)&gt;0,TRUE,FALSE))</f>
        <v>1</v>
      </c>
      <c r="AT812" s="158"/>
      <c r="AU812" s="158" t="b">
        <f>IF(AT812="",TRUE,IF(VLOOKUP(AT812,Calculs!$A$740:$G$912,7,FALSE)&gt;0,TRUE,FALSE))</f>
        <v>1</v>
      </c>
      <c r="AV812" s="158" t="b">
        <f t="shared" si="88"/>
        <v>1</v>
      </c>
      <c r="AW812" s="158" t="s">
        <v>6021</v>
      </c>
      <c r="AX812" s="162" t="s">
        <v>4403</v>
      </c>
      <c r="AY812" s="15">
        <v>179</v>
      </c>
      <c r="AZ812" s="555" t="s">
        <v>4779</v>
      </c>
      <c r="BA812" s="559">
        <f>IF(Verso!$B$10=Voies!$B812,1,0)</f>
        <v>0</v>
      </c>
      <c r="BB812" s="12">
        <f>IF(Verso!$B$11=Voies!$B812,1,0)</f>
        <v>0</v>
      </c>
      <c r="BC812" s="12">
        <f>IF(Verso!$B$12=Voies!$B812,1,0)</f>
        <v>0</v>
      </c>
      <c r="BD812" s="12">
        <f>IF(Verso!$B$13=Voies!$B812,1,0)</f>
        <v>0</v>
      </c>
      <c r="BE812" s="12">
        <f>IF(Verso!$B$14=Voies!$B812,1,0)</f>
        <v>0</v>
      </c>
      <c r="BF812" s="12">
        <f>IF(Verso!$B$15=Voies!$B812,1,0)</f>
        <v>0</v>
      </c>
      <c r="BG812" s="12">
        <f>IF(Verso!$B$16=Voies!$B812,1,0)</f>
        <v>0</v>
      </c>
      <c r="BH812" s="12">
        <f>IF(Verso!$B$17=Voies!$B812,1,0)</f>
        <v>0</v>
      </c>
      <c r="BI812" s="557">
        <f t="shared" si="89"/>
        <v>0</v>
      </c>
      <c r="BJ812" s="196" t="str">
        <f t="shared" si="90"/>
        <v/>
      </c>
      <c r="BK812" s="196" t="str">
        <f t="shared" si="91"/>
        <v/>
      </c>
      <c r="BL812" s="295" t="str">
        <f t="shared" si="92"/>
        <v/>
      </c>
    </row>
    <row r="813" spans="1:65" ht="47.25" customHeight="1" x14ac:dyDescent="0.25">
      <c r="A813" s="162" t="str">
        <f>IF(AND(Réputation&gt;Voies!E813-1,OR(C813=TRUE,Calculs!$I$8&gt;0),Air&gt;Voies!J813-1,Eau&gt;Voies!K813-1,Feu&gt;Voies!L813-1,Terre&gt;Voies!M813-1,Vide&gt;Voies!N813-1,Constitution&gt;Voies!O813-1,Volonté&gt;Voies!P813-1,Force&gt;Voies!Q813-1,Perception&gt;Voies!R813-1,Reflexes&gt;Voies!S813-1,Agilité&gt;Voies!T813-1,Intuition&gt;Voies!U813-1,Intelligence&gt;Voies!V813-1,Souillure&gt;Voies!W813-1,Honneur&gt;X813-1,Statut&gt;Y813-1,Gloire&gt;Z813-1,AV813=TRUE),Voies!B813,"")</f>
        <v/>
      </c>
      <c r="B813" s="162" t="s">
        <v>4839</v>
      </c>
      <c r="C813" s="162" t="b">
        <f>IF(Clan=Voies!D813,TRUE,FALSE)</f>
        <v>0</v>
      </c>
      <c r="D813" s="387" t="s">
        <v>177</v>
      </c>
      <c r="E813" s="13">
        <v>3</v>
      </c>
      <c r="F813" s="199">
        <v>3</v>
      </c>
      <c r="G813" s="199" t="s">
        <v>2057</v>
      </c>
      <c r="H813" s="162" t="s">
        <v>4836</v>
      </c>
      <c r="I813" s="129" t="str">
        <f>IF(B813="","","Rien")</f>
        <v>Rien</v>
      </c>
      <c r="J813" s="146">
        <v>0</v>
      </c>
      <c r="K813" s="147">
        <v>0</v>
      </c>
      <c r="L813" s="148">
        <v>0</v>
      </c>
      <c r="M813" s="149">
        <v>0</v>
      </c>
      <c r="N813" s="150">
        <v>0</v>
      </c>
      <c r="O813" s="130">
        <v>0</v>
      </c>
      <c r="P813" s="130">
        <v>0</v>
      </c>
      <c r="Q813" s="130">
        <v>0</v>
      </c>
      <c r="R813" s="130">
        <v>0</v>
      </c>
      <c r="S813" s="130">
        <v>0</v>
      </c>
      <c r="T813" s="130">
        <v>0</v>
      </c>
      <c r="U813" s="130">
        <v>0</v>
      </c>
      <c r="V813" s="524">
        <v>0</v>
      </c>
      <c r="W813" s="130">
        <v>0</v>
      </c>
      <c r="X813" s="130">
        <v>0</v>
      </c>
      <c r="Y813" s="130">
        <v>0</v>
      </c>
      <c r="Z813" s="130">
        <v>0</v>
      </c>
      <c r="AA813" s="158" t="s">
        <v>2078</v>
      </c>
      <c r="AB813" s="158"/>
      <c r="AC813" s="158"/>
      <c r="AD813" s="158"/>
      <c r="AE813" s="158" t="b">
        <f>IF(AB813="",TRUE,IF(IF(AC813="",VLOOKUP(AB813,Calculs!$A$19:$S$425,19,FALSE),VLOOKUP(AC813,Calculs!$A$19:$S$425,19,FALSE))&gt;=AD813,TRUE,FALSE))</f>
        <v>1</v>
      </c>
      <c r="AF813" s="158"/>
      <c r="AG813" s="158"/>
      <c r="AH813" s="158"/>
      <c r="AI813" s="158" t="b">
        <f>IF(AF813="",TRUE,IF(IF(AG813="",VLOOKUP(AF813,Calculs!$A$19:$S$425,19,FALSE),VLOOKUP(AG813,Calculs!$A$19:$S$425,19,FALSE))&gt;=AH813,TRUE,FALSE))</f>
        <v>1</v>
      </c>
      <c r="AJ813" s="158"/>
      <c r="AK813" s="158"/>
      <c r="AL813" s="158"/>
      <c r="AM813" s="158" t="b">
        <f>IF(AJ813="",TRUE,IF(IF(AK813="",VLOOKUP(AJ813,Calculs!$A$19:$S$425,19,FALSE),VLOOKUP(AK813,Calculs!$A$19:$S$425,19,FALSE))&gt;=AL813,TRUE,FALSE))</f>
        <v>1</v>
      </c>
      <c r="AN813" s="158"/>
      <c r="AO813" s="158"/>
      <c r="AP813" s="158"/>
      <c r="AQ813" s="158" t="b">
        <f>IF(AN813="",TRUE,IF(IF(AO813="",VLOOKUP(AN813,Calculs!$A$19:$S$425,19,FALSE),VLOOKUP(AO813,Calculs!$A$19:$S$425,19,FALSE))&gt;=AP813,TRUE,FALSE))</f>
        <v>1</v>
      </c>
      <c r="AR813" s="158"/>
      <c r="AS813" s="158" t="b">
        <f>IF(AR813="",TRUE,IF(VLOOKUP(AR813,Calculs!$A$427:$G$738,7,FALSE)&gt;0,TRUE,FALSE))</f>
        <v>1</v>
      </c>
      <c r="AT813" s="158"/>
      <c r="AU813" s="158" t="b">
        <f>IF(AT813="",TRUE,IF(VLOOKUP(AT813,Calculs!$A$740:$G$912,7,FALSE)&gt;0,TRUE,FALSE))</f>
        <v>1</v>
      </c>
      <c r="AV813" s="158" t="b">
        <f t="shared" si="88"/>
        <v>1</v>
      </c>
      <c r="AW813" s="158" t="s">
        <v>2078</v>
      </c>
      <c r="AX813" s="162" t="s">
        <v>5202</v>
      </c>
      <c r="AY813" s="15">
        <v>124</v>
      </c>
      <c r="AZ813" s="555" t="s">
        <v>2696</v>
      </c>
      <c r="BA813" s="559">
        <f>IF(Verso!$B$10=Voies!$B813,1,0)</f>
        <v>0</v>
      </c>
      <c r="BB813" s="12">
        <f>IF(Verso!$B$11=Voies!$B813,1,0)</f>
        <v>0</v>
      </c>
      <c r="BC813" s="12">
        <f>IF(Verso!$B$12=Voies!$B813,1,0)</f>
        <v>0</v>
      </c>
      <c r="BD813" s="12">
        <f>IF(Verso!$B$13=Voies!$B813,1,0)</f>
        <v>0</v>
      </c>
      <c r="BE813" s="12">
        <f>IF(Verso!$B$14=Voies!$B813,1,0)</f>
        <v>0</v>
      </c>
      <c r="BF813" s="12">
        <f>IF(Verso!$B$15=Voies!$B813,1,0)</f>
        <v>0</v>
      </c>
      <c r="BG813" s="12">
        <f>IF(Verso!$B$16=Voies!$B813,1,0)</f>
        <v>0</v>
      </c>
      <c r="BH813" s="12">
        <f>IF(Verso!$B$17=Voies!$B813,1,0)</f>
        <v>0</v>
      </c>
      <c r="BI813" s="557">
        <f t="shared" si="89"/>
        <v>0</v>
      </c>
      <c r="BJ813" s="196" t="str">
        <f t="shared" si="90"/>
        <v/>
      </c>
      <c r="BK813" s="196" t="str">
        <f t="shared" si="91"/>
        <v/>
      </c>
      <c r="BL813" s="295" t="str">
        <f t="shared" si="92"/>
        <v/>
      </c>
    </row>
    <row r="814" spans="1:65" ht="47.25" customHeight="1" x14ac:dyDescent="0.25">
      <c r="A814" s="162" t="str">
        <f>IF(AND(Réputation&gt;Voies!E814-1,OR(C814=TRUE,Calculs!$I$8&gt;0),Air&gt;Voies!J814-1,Eau&gt;Voies!K814-1,Feu&gt;Voies!L814-1,Terre&gt;Voies!M814-1,Vide&gt;Voies!N814-1,Constitution&gt;Voies!O814-1,Volonté&gt;Voies!P814-1,Force&gt;Voies!Q814-1,Perception&gt;Voies!R814-1,Reflexes&gt;Voies!S814-1,Agilité&gt;Voies!T814-1,Intuition&gt;Voies!U814-1,Intelligence&gt;Voies!V814-1,Souillure&gt;Voies!W814-1,Honneur&gt;X814-1,Statut&gt;Y814-1,Gloire&gt;Z814-1,AV814=TRUE),Voies!B814,"")</f>
        <v/>
      </c>
      <c r="B814" s="162" t="s">
        <v>2497</v>
      </c>
      <c r="C814" s="162" t="b">
        <f>IF(Clan=Voies!D814,TRUE,FALSE)</f>
        <v>0</v>
      </c>
      <c r="D814" s="387" t="s">
        <v>177</v>
      </c>
      <c r="E814" s="13">
        <v>3</v>
      </c>
      <c r="F814" s="199">
        <v>3</v>
      </c>
      <c r="G814" s="199" t="s">
        <v>2049</v>
      </c>
      <c r="H814" s="162" t="s">
        <v>217</v>
      </c>
      <c r="I814" s="129" t="str">
        <f>IF(B814="","","Rien")</f>
        <v>Rien</v>
      </c>
      <c r="J814" s="146">
        <v>0</v>
      </c>
      <c r="K814" s="147">
        <v>0</v>
      </c>
      <c r="L814" s="148">
        <v>0</v>
      </c>
      <c r="M814" s="149">
        <v>0</v>
      </c>
      <c r="N814" s="150">
        <v>0</v>
      </c>
      <c r="O814" s="130">
        <v>0</v>
      </c>
      <c r="P814" s="130">
        <v>0</v>
      </c>
      <c r="Q814" s="130">
        <v>0</v>
      </c>
      <c r="R814" s="130">
        <v>0</v>
      </c>
      <c r="S814" s="130">
        <v>0</v>
      </c>
      <c r="T814" s="130">
        <v>0</v>
      </c>
      <c r="U814" s="130">
        <v>0</v>
      </c>
      <c r="V814" s="524">
        <v>0</v>
      </c>
      <c r="W814" s="130">
        <v>0</v>
      </c>
      <c r="X814" s="130">
        <v>0</v>
      </c>
      <c r="Y814" s="130">
        <v>0</v>
      </c>
      <c r="Z814" s="130">
        <v>0</v>
      </c>
      <c r="AA814" s="158" t="s">
        <v>2078</v>
      </c>
      <c r="AB814" s="158"/>
      <c r="AC814" s="158"/>
      <c r="AD814" s="158"/>
      <c r="AE814" s="158" t="b">
        <f>IF(AB814="",TRUE,IF(IF(AC814="",VLOOKUP(AB814,Calculs!$A$19:$S$425,19,FALSE),VLOOKUP(AC814,Calculs!$A$19:$S$425,19,FALSE))&gt;=AD814,TRUE,FALSE))</f>
        <v>1</v>
      </c>
      <c r="AF814" s="158"/>
      <c r="AG814" s="158"/>
      <c r="AH814" s="158"/>
      <c r="AI814" s="158" t="b">
        <f>IF(AF814="",TRUE,IF(IF(AG814="",VLOOKUP(AF814,Calculs!$A$19:$S$425,19,FALSE),VLOOKUP(AG814,Calculs!$A$19:$S$425,19,FALSE))&gt;=AH814,TRUE,FALSE))</f>
        <v>1</v>
      </c>
      <c r="AJ814" s="158"/>
      <c r="AK814" s="158"/>
      <c r="AL814" s="158"/>
      <c r="AM814" s="158" t="b">
        <f>IF(AJ814="",TRUE,IF(IF(AK814="",VLOOKUP(AJ814,Calculs!$A$19:$S$425,19,FALSE),VLOOKUP(AK814,Calculs!$A$19:$S$425,19,FALSE))&gt;=AL814,TRUE,FALSE))</f>
        <v>1</v>
      </c>
      <c r="AN814" s="158"/>
      <c r="AO814" s="158"/>
      <c r="AP814" s="158"/>
      <c r="AQ814" s="158" t="b">
        <f>IF(AN814="",TRUE,IF(IF(AO814="",VLOOKUP(AN814,Calculs!$A$19:$S$425,19,FALSE),VLOOKUP(AO814,Calculs!$A$19:$S$425,19,FALSE))&gt;=AP814,TRUE,FALSE))</f>
        <v>1</v>
      </c>
      <c r="AR814" s="158"/>
      <c r="AS814" s="158" t="b">
        <f>IF(AR814="",TRUE,IF(VLOOKUP(AR814,Calculs!$A$427:$G$738,7,FALSE)&gt;0,TRUE,FALSE))</f>
        <v>1</v>
      </c>
      <c r="AT814" s="158"/>
      <c r="AU814" s="158" t="b">
        <f>IF(AT814="",TRUE,IF(VLOOKUP(AT814,Calculs!$A$740:$G$912,7,FALSE)&gt;0,TRUE,FALSE))</f>
        <v>1</v>
      </c>
      <c r="AV814" s="158" t="b">
        <f t="shared" si="88"/>
        <v>1</v>
      </c>
      <c r="AW814" s="158" t="s">
        <v>2078</v>
      </c>
      <c r="AX814" s="162" t="s">
        <v>3</v>
      </c>
      <c r="AY814" s="15">
        <v>126</v>
      </c>
      <c r="AZ814" s="555" t="s">
        <v>8694</v>
      </c>
      <c r="BA814" s="559">
        <f>IF(Verso!$B$10=Voies!$B814,1,0)</f>
        <v>0</v>
      </c>
      <c r="BB814" s="12">
        <f>IF(Verso!$B$11=Voies!$B814,1,0)</f>
        <v>0</v>
      </c>
      <c r="BC814" s="12">
        <f>IF(Verso!$B$12=Voies!$B814,1,0)</f>
        <v>0</v>
      </c>
      <c r="BD814" s="12">
        <f>IF(Verso!$B$13=Voies!$B814,1,0)</f>
        <v>0</v>
      </c>
      <c r="BE814" s="12">
        <f>IF(Verso!$B$14=Voies!$B814,1,0)</f>
        <v>0</v>
      </c>
      <c r="BF814" s="12">
        <f>IF(Verso!$B$15=Voies!$B814,1,0)</f>
        <v>0</v>
      </c>
      <c r="BG814" s="12">
        <f>IF(Verso!$B$16=Voies!$B814,1,0)</f>
        <v>0</v>
      </c>
      <c r="BH814" s="12">
        <f>IF(Verso!$B$17=Voies!$B814,1,0)</f>
        <v>0</v>
      </c>
      <c r="BI814" s="557">
        <f t="shared" si="89"/>
        <v>0</v>
      </c>
      <c r="BJ814" s="196" t="str">
        <f t="shared" si="90"/>
        <v/>
      </c>
      <c r="BK814" s="196" t="str">
        <f t="shared" si="91"/>
        <v/>
      </c>
      <c r="BL814" s="295" t="str">
        <f t="shared" si="92"/>
        <v/>
      </c>
    </row>
    <row r="815" spans="1:65" ht="47.25" customHeight="1" x14ac:dyDescent="0.25">
      <c r="A815" s="162" t="str">
        <f>IF(AND(Réputation&gt;Voies!E815-1,OR(C815=TRUE,Calculs!$I$8&gt;0),Air&gt;Voies!J815-1,Eau&gt;Voies!K815-1,Feu&gt;Voies!L815-1,Terre&gt;Voies!M815-1,Vide&gt;Voies!N815-1,Constitution&gt;Voies!O815-1,Volonté&gt;Voies!P815-1,Force&gt;Voies!Q815-1,Perception&gt;Voies!R815-1,Reflexes&gt;Voies!S815-1,Agilité&gt;Voies!T815-1,Intuition&gt;Voies!U815-1,Intelligence&gt;Voies!V815-1,Souillure&gt;Voies!W815-1,Honneur&gt;X815-1,Statut&gt;Y815-1,Gloire&gt;Z815-1,AV815=TRUE),Voies!B815,"")</f>
        <v/>
      </c>
      <c r="B815" s="162" t="s">
        <v>3635</v>
      </c>
      <c r="C815" s="162" t="b">
        <f>IF(Clan=Voies!D815,TRUE,FALSE)</f>
        <v>0</v>
      </c>
      <c r="D815" s="387" t="s">
        <v>177</v>
      </c>
      <c r="E815" s="13">
        <v>3</v>
      </c>
      <c r="F815" s="199">
        <v>3</v>
      </c>
      <c r="G815" s="199" t="s">
        <v>2049</v>
      </c>
      <c r="H815" s="162" t="s">
        <v>6105</v>
      </c>
      <c r="I815" s="129" t="s">
        <v>3227</v>
      </c>
      <c r="J815" s="146">
        <v>0</v>
      </c>
      <c r="K815" s="147">
        <v>0</v>
      </c>
      <c r="L815" s="148">
        <v>0</v>
      </c>
      <c r="M815" s="149">
        <v>0</v>
      </c>
      <c r="N815" s="150">
        <v>0</v>
      </c>
      <c r="O815" s="130">
        <v>0</v>
      </c>
      <c r="P815" s="130">
        <v>0</v>
      </c>
      <c r="Q815" s="130">
        <v>0</v>
      </c>
      <c r="R815" s="130">
        <v>0</v>
      </c>
      <c r="S815" s="130">
        <v>0</v>
      </c>
      <c r="T815" s="130">
        <v>0</v>
      </c>
      <c r="U815" s="130">
        <v>0</v>
      </c>
      <c r="V815" s="524">
        <v>0</v>
      </c>
      <c r="W815" s="130">
        <v>0</v>
      </c>
      <c r="X815" s="130">
        <v>0</v>
      </c>
      <c r="Y815" s="130">
        <v>0</v>
      </c>
      <c r="Z815" s="130">
        <v>0</v>
      </c>
      <c r="AA815" s="159" t="s">
        <v>6344</v>
      </c>
      <c r="AB815" s="159" t="s">
        <v>3325</v>
      </c>
      <c r="AC815" s="159" t="s">
        <v>3190</v>
      </c>
      <c r="AD815" s="159">
        <v>2</v>
      </c>
      <c r="AE815" s="158" t="b">
        <f>IF(AB815="",TRUE,IF(IF(AC815="",VLOOKUP(AB815,Calculs!$A$19:$S$425,19,FALSE),VLOOKUP(AC815,Calculs!$A$19:$S$425,19,FALSE))&gt;=AD815,TRUE,FALSE))</f>
        <v>0</v>
      </c>
      <c r="AI815" s="158" t="b">
        <f>IF(AF815="",TRUE,IF(IF(AG815="",VLOOKUP(AF815,Calculs!$A$19:$S$425,19,FALSE),VLOOKUP(AG815,Calculs!$A$19:$S$425,19,FALSE))&gt;=AH815,TRUE,FALSE))</f>
        <v>1</v>
      </c>
      <c r="AM815" s="158" t="b">
        <f>IF(AJ815="",TRUE,IF(IF(AK815="",VLOOKUP(AJ815,Calculs!$A$19:$S$425,19,FALSE),VLOOKUP(AK815,Calculs!$A$19:$S$425,19,FALSE))&gt;=AL815,TRUE,FALSE))</f>
        <v>1</v>
      </c>
      <c r="AQ815" s="158" t="b">
        <f>IF(AN815="",TRUE,IF(IF(AO815="",VLOOKUP(AN815,Calculs!$A$19:$S$425,19,FALSE),VLOOKUP(AO815,Calculs!$A$19:$S$425,19,FALSE))&gt;=AP815,TRUE,FALSE))</f>
        <v>1</v>
      </c>
      <c r="AR815" s="158"/>
      <c r="AS815" s="158" t="b">
        <f>IF(AR815="",TRUE,IF(VLOOKUP(AR815,Calculs!$A$427:$G$738,7,FALSE)&gt;0,TRUE,FALSE))</f>
        <v>1</v>
      </c>
      <c r="AT815" s="158"/>
      <c r="AU815" s="158" t="b">
        <f>IF(AT815="",TRUE,IF(VLOOKUP(AT815,Calculs!$A$740:$G$912,7,FALSE)&gt;0,TRUE,FALSE))</f>
        <v>1</v>
      </c>
      <c r="AV815" s="158" t="b">
        <f t="shared" si="88"/>
        <v>0</v>
      </c>
      <c r="AW815" s="159" t="s">
        <v>3636</v>
      </c>
      <c r="AX815" s="162" t="s">
        <v>6061</v>
      </c>
      <c r="AY815" s="15">
        <v>232</v>
      </c>
      <c r="AZ815" s="555" t="s">
        <v>8695</v>
      </c>
      <c r="BA815" s="559">
        <f>IF(Verso!$B$10=Voies!$B815,1,0)</f>
        <v>0</v>
      </c>
      <c r="BB815" s="12">
        <f>IF(Verso!$B$11=Voies!$B815,1,0)</f>
        <v>0</v>
      </c>
      <c r="BC815" s="12">
        <f>IF(Verso!$B$12=Voies!$B815,1,0)</f>
        <v>0</v>
      </c>
      <c r="BD815" s="12">
        <f>IF(Verso!$B$13=Voies!$B815,1,0)</f>
        <v>0</v>
      </c>
      <c r="BE815" s="12">
        <f>IF(Verso!$B$14=Voies!$B815,1,0)</f>
        <v>0</v>
      </c>
      <c r="BF815" s="12">
        <f>IF(Verso!$B$15=Voies!$B815,1,0)</f>
        <v>0</v>
      </c>
      <c r="BG815" s="12">
        <f>IF(Verso!$B$16=Voies!$B815,1,0)</f>
        <v>0</v>
      </c>
      <c r="BH815" s="12">
        <f>IF(Verso!$B$17=Voies!$B815,1,0)</f>
        <v>0</v>
      </c>
      <c r="BI815" s="557">
        <f t="shared" si="89"/>
        <v>0</v>
      </c>
      <c r="BJ815" s="196" t="str">
        <f t="shared" si="90"/>
        <v/>
      </c>
      <c r="BK815" s="196" t="str">
        <f t="shared" si="91"/>
        <v/>
      </c>
      <c r="BL815" s="295" t="str">
        <f t="shared" si="92"/>
        <v/>
      </c>
    </row>
    <row r="816" spans="1:65" ht="47.25" customHeight="1" x14ac:dyDescent="0.25">
      <c r="A816" s="162" t="str">
        <f>IF(AND(Réputation&gt;Voies!E816-1,OR(C816=TRUE,Calculs!$I$8&gt;0),Air&gt;Voies!J816-1,Eau&gt;Voies!K816-1,Feu&gt;Voies!L816-1,Terre&gt;Voies!M816-1,Vide&gt;Voies!N816-1,Constitution&gt;Voies!O816-1,Volonté&gt;Voies!P816-1,Force&gt;Voies!Q816-1,Perception&gt;Voies!R816-1,Reflexes&gt;Voies!S816-1,Agilité&gt;Voies!T816-1,Intuition&gt;Voies!U816-1,Intelligence&gt;Voies!V816-1,Souillure&gt;Voies!W816-1,Honneur&gt;X816-1,Statut&gt;Y816-1,Gloire&gt;Z816-1,AV816=TRUE),Voies!B816,"")</f>
        <v/>
      </c>
      <c r="B816" s="162" t="s">
        <v>3226</v>
      </c>
      <c r="C816" s="162" t="b">
        <f>IF(Clan=Voies!D816,TRUE,FALSE)</f>
        <v>0</v>
      </c>
      <c r="D816" s="387" t="s">
        <v>177</v>
      </c>
      <c r="E816" s="13">
        <v>3</v>
      </c>
      <c r="F816" s="199">
        <v>3</v>
      </c>
      <c r="G816" s="13" t="s">
        <v>2049</v>
      </c>
      <c r="H816" s="162" t="s">
        <v>571</v>
      </c>
      <c r="I816" s="129" t="s">
        <v>3227</v>
      </c>
      <c r="J816" s="146">
        <v>0</v>
      </c>
      <c r="K816" s="147">
        <v>0</v>
      </c>
      <c r="L816" s="148">
        <v>0</v>
      </c>
      <c r="M816" s="149">
        <v>0</v>
      </c>
      <c r="N816" s="150">
        <v>0</v>
      </c>
      <c r="O816" s="130">
        <v>0</v>
      </c>
      <c r="P816" s="130">
        <v>0</v>
      </c>
      <c r="Q816" s="130">
        <v>0</v>
      </c>
      <c r="R816" s="130">
        <v>0</v>
      </c>
      <c r="S816" s="130">
        <v>0</v>
      </c>
      <c r="T816" s="130">
        <v>0</v>
      </c>
      <c r="U816" s="130">
        <v>0</v>
      </c>
      <c r="V816" s="524">
        <v>0</v>
      </c>
      <c r="W816" s="130">
        <v>0</v>
      </c>
      <c r="X816" s="130">
        <v>5</v>
      </c>
      <c r="Y816" s="130">
        <v>0</v>
      </c>
      <c r="Z816" s="130">
        <v>0</v>
      </c>
      <c r="AA816" s="158" t="s">
        <v>2078</v>
      </c>
      <c r="AB816" s="158"/>
      <c r="AC816" s="158"/>
      <c r="AD816" s="158"/>
      <c r="AE816" s="158" t="b">
        <f>IF(AB816="",TRUE,IF(IF(AC816="",VLOOKUP(AB816,Calculs!$A$19:$S$425,19,FALSE),VLOOKUP(AC816,Calculs!$A$19:$S$425,19,FALSE))&gt;=AD816,TRUE,FALSE))</f>
        <v>1</v>
      </c>
      <c r="AF816" s="158"/>
      <c r="AG816" s="158"/>
      <c r="AH816" s="158"/>
      <c r="AI816" s="158" t="b">
        <f>IF(AF816="",TRUE,IF(IF(AG816="",VLOOKUP(AF816,Calculs!$A$19:$S$425,19,FALSE),VLOOKUP(AG816,Calculs!$A$19:$S$425,19,FALSE))&gt;=AH816,TRUE,FALSE))</f>
        <v>1</v>
      </c>
      <c r="AJ816" s="158"/>
      <c r="AK816" s="158"/>
      <c r="AL816" s="158"/>
      <c r="AM816" s="158" t="b">
        <f>IF(AJ816="",TRUE,IF(IF(AK816="",VLOOKUP(AJ816,Calculs!$A$19:$S$425,19,FALSE),VLOOKUP(AK816,Calculs!$A$19:$S$425,19,FALSE))&gt;=AL816,TRUE,FALSE))</f>
        <v>1</v>
      </c>
      <c r="AN816" s="158"/>
      <c r="AO816" s="158"/>
      <c r="AP816" s="158"/>
      <c r="AQ816" s="158" t="b">
        <f>IF(AN816="",TRUE,IF(IF(AO816="",VLOOKUP(AN816,Calculs!$A$19:$S$425,19,FALSE),VLOOKUP(AO816,Calculs!$A$19:$S$425,19,FALSE))&gt;=AP816,TRUE,FALSE))</f>
        <v>1</v>
      </c>
      <c r="AR816" s="158"/>
      <c r="AS816" s="158" t="b">
        <f>IF(AR816="",TRUE,IF(VLOOKUP(AR816,Calculs!$A$427:$G$738,7,FALSE)&gt;0,TRUE,FALSE))</f>
        <v>1</v>
      </c>
      <c r="AT816" s="158"/>
      <c r="AU816" s="158" t="b">
        <f>IF(AT816="",TRUE,IF(VLOOKUP(AT816,Calculs!$A$740:$G$912,7,FALSE)&gt;0,TRUE,FALSE))</f>
        <v>1</v>
      </c>
      <c r="AV816" s="158" t="b">
        <f t="shared" si="88"/>
        <v>1</v>
      </c>
      <c r="AW816" s="158" t="s">
        <v>2078</v>
      </c>
      <c r="AX816" s="162" t="s">
        <v>3</v>
      </c>
      <c r="AY816" s="15">
        <v>254</v>
      </c>
      <c r="AZ816" s="555" t="s">
        <v>8696</v>
      </c>
      <c r="BA816" s="559">
        <f>IF(Verso!$B$10=Voies!$B816,1,0)</f>
        <v>0</v>
      </c>
      <c r="BB816" s="12">
        <f>IF(Verso!$B$11=Voies!$B816,1,0)</f>
        <v>0</v>
      </c>
      <c r="BC816" s="12">
        <f>IF(Verso!$B$12=Voies!$B816,1,0)</f>
        <v>0</v>
      </c>
      <c r="BD816" s="12">
        <f>IF(Verso!$B$13=Voies!$B816,1,0)</f>
        <v>0</v>
      </c>
      <c r="BE816" s="12">
        <f>IF(Verso!$B$14=Voies!$B816,1,0)</f>
        <v>0</v>
      </c>
      <c r="BF816" s="12">
        <f>IF(Verso!$B$15=Voies!$B816,1,0)</f>
        <v>0</v>
      </c>
      <c r="BG816" s="12">
        <f>IF(Verso!$B$16=Voies!$B816,1,0)</f>
        <v>0</v>
      </c>
      <c r="BH816" s="12">
        <f>IF(Verso!$B$17=Voies!$B816,1,0)</f>
        <v>0</v>
      </c>
      <c r="BI816" s="557">
        <f t="shared" si="89"/>
        <v>0</v>
      </c>
      <c r="BJ816" s="196" t="str">
        <f t="shared" si="90"/>
        <v/>
      </c>
      <c r="BK816" s="196" t="str">
        <f t="shared" si="91"/>
        <v/>
      </c>
      <c r="BL816" s="295" t="str">
        <f t="shared" si="92"/>
        <v/>
      </c>
    </row>
    <row r="817" spans="1:65" ht="47.25" customHeight="1" x14ac:dyDescent="0.25">
      <c r="A817" s="162" t="str">
        <f>IF(AND(Réputation&gt;Voies!E817-1,OR(C817=TRUE,Calculs!$I$8&gt;0),Air&gt;Voies!J817-1,Eau&gt;Voies!K817-1,Feu&gt;Voies!L817-1,Terre&gt;Voies!M817-1,Vide&gt;Voies!N817-1,Constitution&gt;Voies!O817-1,Volonté&gt;Voies!P817-1,Force&gt;Voies!Q817-1,Perception&gt;Voies!R817-1,Reflexes&gt;Voies!S817-1,Agilité&gt;Voies!T817-1,Intuition&gt;Voies!U817-1,Intelligence&gt;Voies!V817-1,Souillure&gt;Voies!W817-1,Honneur&gt;X817-1,Statut&gt;Y817-1,Gloire&gt;Z817-1,AV817=TRUE),Voies!B817,"")</f>
        <v/>
      </c>
      <c r="B817" s="162" t="s">
        <v>3536</v>
      </c>
      <c r="C817" s="162" t="b">
        <f>IF(Clan=Voies!D817,TRUE,FALSE)</f>
        <v>0</v>
      </c>
      <c r="D817" s="387" t="s">
        <v>177</v>
      </c>
      <c r="E817" s="13">
        <v>3</v>
      </c>
      <c r="F817" s="199">
        <v>3</v>
      </c>
      <c r="G817" s="13" t="s">
        <v>2052</v>
      </c>
      <c r="H817" s="162" t="s">
        <v>519</v>
      </c>
      <c r="I817" s="129" t="s">
        <v>3534</v>
      </c>
      <c r="J817" s="146">
        <v>0</v>
      </c>
      <c r="K817" s="147">
        <v>0</v>
      </c>
      <c r="L817" s="148">
        <v>0</v>
      </c>
      <c r="M817" s="149">
        <v>0</v>
      </c>
      <c r="N817" s="150">
        <v>0</v>
      </c>
      <c r="O817" s="130">
        <v>0</v>
      </c>
      <c r="P817" s="130">
        <v>0</v>
      </c>
      <c r="Q817" s="130">
        <v>0</v>
      </c>
      <c r="R817" s="130">
        <v>0</v>
      </c>
      <c r="S817" s="130">
        <v>0</v>
      </c>
      <c r="T817" s="130">
        <v>0</v>
      </c>
      <c r="U817" s="130">
        <v>0</v>
      </c>
      <c r="V817" s="524">
        <v>4</v>
      </c>
      <c r="W817" s="130">
        <v>0</v>
      </c>
      <c r="X817" s="130">
        <v>0</v>
      </c>
      <c r="Y817" s="130">
        <v>0</v>
      </c>
      <c r="Z817" s="130">
        <v>0</v>
      </c>
      <c r="AA817" s="159" t="s">
        <v>3535</v>
      </c>
      <c r="AB817" s="159" t="s">
        <v>1263</v>
      </c>
      <c r="AD817" s="159">
        <v>3</v>
      </c>
      <c r="AE817" s="158" t="b">
        <f>IF(AB817="",TRUE,IF(IF(AC817="",VLOOKUP(AB817,Calculs!$A$19:$S$425,19,FALSE),VLOOKUP(AC817,Calculs!$A$19:$S$425,19,FALSE))&gt;=AD817,TRUE,FALSE))</f>
        <v>0</v>
      </c>
      <c r="AI817" s="158" t="b">
        <f>IF(AF817="",TRUE,IF(IF(AG817="",VLOOKUP(AF817,Calculs!$A$19:$S$425,19,FALSE),VLOOKUP(AG817,Calculs!$A$19:$S$425,19,FALSE))&gt;=AH817,TRUE,FALSE))</f>
        <v>1</v>
      </c>
      <c r="AM817" s="158" t="b">
        <f>IF(AJ817="",TRUE,IF(IF(AK817="",VLOOKUP(AJ817,Calculs!$A$19:$S$425,19,FALSE),VLOOKUP(AK817,Calculs!$A$19:$S$425,19,FALSE))&gt;=AL817,TRUE,FALSE))</f>
        <v>1</v>
      </c>
      <c r="AQ817" s="158" t="b">
        <f>IF(AN817="",TRUE,IF(IF(AO817="",VLOOKUP(AN817,Calculs!$A$19:$S$425,19,FALSE),VLOOKUP(AO817,Calculs!$A$19:$S$425,19,FALSE))&gt;=AP817,TRUE,FALSE))</f>
        <v>1</v>
      </c>
      <c r="AR817" s="158"/>
      <c r="AS817" s="158" t="b">
        <f>IF(AR817="",TRUE,IF(VLOOKUP(AR817,Calculs!$A$427:$G$738,7,FALSE)&gt;0,TRUE,FALSE))</f>
        <v>1</v>
      </c>
      <c r="AT817" s="158"/>
      <c r="AU817" s="158" t="b">
        <f>IF(AT817="",TRUE,IF(VLOOKUP(AT817,Calculs!$A$740:$G$912,7,FALSE)&gt;0,TRUE,FALSE))</f>
        <v>1</v>
      </c>
      <c r="AV817" s="158" t="b">
        <f t="shared" si="88"/>
        <v>0</v>
      </c>
      <c r="AW817" s="158" t="s">
        <v>2078</v>
      </c>
      <c r="AX817" s="162" t="s">
        <v>160</v>
      </c>
      <c r="AY817" s="15">
        <v>190</v>
      </c>
      <c r="AZ817" s="555" t="s">
        <v>8697</v>
      </c>
      <c r="BA817" s="559">
        <f>IF(Verso!$B$10=Voies!$B817,1,0)</f>
        <v>0</v>
      </c>
      <c r="BB817" s="12">
        <f>IF(Verso!$B$11=Voies!$B817,1,0)</f>
        <v>0</v>
      </c>
      <c r="BC817" s="12">
        <f>IF(Verso!$B$12=Voies!$B817,1,0)</f>
        <v>0</v>
      </c>
      <c r="BD817" s="12">
        <f>IF(Verso!$B$13=Voies!$B817,1,0)</f>
        <v>0</v>
      </c>
      <c r="BE817" s="12">
        <f>IF(Verso!$B$14=Voies!$B817,1,0)</f>
        <v>0</v>
      </c>
      <c r="BF817" s="12">
        <f>IF(Verso!$B$15=Voies!$B817,1,0)</f>
        <v>0</v>
      </c>
      <c r="BG817" s="12">
        <f>IF(Verso!$B$16=Voies!$B817,1,0)</f>
        <v>0</v>
      </c>
      <c r="BH817" s="12">
        <f>IF(Verso!$B$17=Voies!$B817,1,0)</f>
        <v>0</v>
      </c>
      <c r="BI817" s="557">
        <f t="shared" si="89"/>
        <v>0</v>
      </c>
      <c r="BJ817" s="196" t="str">
        <f t="shared" si="90"/>
        <v/>
      </c>
      <c r="BK817" s="196" t="str">
        <f t="shared" si="91"/>
        <v/>
      </c>
      <c r="BL817" s="295" t="str">
        <f t="shared" si="92"/>
        <v/>
      </c>
    </row>
    <row r="818" spans="1:65" ht="47.25" customHeight="1" x14ac:dyDescent="0.25">
      <c r="A818" s="162" t="str">
        <f>IF(AND(Réputation&gt;Voies!E818-1,OR(C818=TRUE,Calculs!$I$8&gt;0),Air&gt;Voies!J818-1,Eau&gt;Voies!K818-1,Feu&gt;Voies!L818-1,Terre&gt;Voies!M818-1,Vide&gt;Voies!N818-1,Constitution&gt;Voies!O818-1,Volonté&gt;Voies!P818-1,Force&gt;Voies!Q818-1,Perception&gt;Voies!R818-1,Reflexes&gt;Voies!S818-1,Agilité&gt;Voies!T818-1,Intuition&gt;Voies!U818-1,Intelligence&gt;Voies!V818-1,Souillure&gt;Voies!W818-1,Honneur&gt;X818-1,Statut&gt;Y818-1,Gloire&gt;Z818-1,AV818=TRUE),Voies!B818,"")</f>
        <v/>
      </c>
      <c r="B818" s="162" t="s">
        <v>2502</v>
      </c>
      <c r="C818" s="162" t="b">
        <f>IF(Clan=Voies!D818,TRUE,FALSE)</f>
        <v>0</v>
      </c>
      <c r="D818" s="387" t="s">
        <v>177</v>
      </c>
      <c r="E818" s="13">
        <v>3</v>
      </c>
      <c r="F818" s="199">
        <v>3</v>
      </c>
      <c r="G818" s="157" t="s">
        <v>2052</v>
      </c>
      <c r="H818" s="162" t="s">
        <v>215</v>
      </c>
      <c r="I818" s="129" t="str">
        <f>IF(B818="","","Rien")</f>
        <v>Rien</v>
      </c>
      <c r="J818" s="146">
        <v>0</v>
      </c>
      <c r="K818" s="147">
        <v>0</v>
      </c>
      <c r="L818" s="148">
        <v>0</v>
      </c>
      <c r="M818" s="149">
        <v>0</v>
      </c>
      <c r="N818" s="150">
        <v>0</v>
      </c>
      <c r="O818" s="130">
        <v>0</v>
      </c>
      <c r="P818" s="130">
        <v>0</v>
      </c>
      <c r="Q818" s="130">
        <v>0</v>
      </c>
      <c r="R818" s="130">
        <v>0</v>
      </c>
      <c r="S818" s="130">
        <v>0</v>
      </c>
      <c r="T818" s="130">
        <v>0</v>
      </c>
      <c r="U818" s="130">
        <v>0</v>
      </c>
      <c r="V818" s="524">
        <v>0</v>
      </c>
      <c r="W818" s="130">
        <v>0</v>
      </c>
      <c r="X818" s="130">
        <v>0</v>
      </c>
      <c r="Y818" s="130">
        <v>0</v>
      </c>
      <c r="Z818" s="130">
        <v>0</v>
      </c>
      <c r="AA818" s="158" t="s">
        <v>2078</v>
      </c>
      <c r="AB818" s="158"/>
      <c r="AC818" s="158"/>
      <c r="AD818" s="158"/>
      <c r="AE818" s="158" t="b">
        <f>IF(AB818="",TRUE,IF(IF(AC818="",VLOOKUP(AB818,Calculs!$A$19:$S$425,19,FALSE),VLOOKUP(AC818,Calculs!$A$19:$S$425,19,FALSE))&gt;=AD818,TRUE,FALSE))</f>
        <v>1</v>
      </c>
      <c r="AF818" s="158"/>
      <c r="AG818" s="158"/>
      <c r="AH818" s="158"/>
      <c r="AI818" s="158" t="b">
        <f>IF(AF818="",TRUE,IF(IF(AG818="",VLOOKUP(AF818,Calculs!$A$19:$S$425,19,FALSE),VLOOKUP(AG818,Calculs!$A$19:$S$425,19,FALSE))&gt;=AH818,TRUE,FALSE))</f>
        <v>1</v>
      </c>
      <c r="AJ818" s="158"/>
      <c r="AK818" s="158"/>
      <c r="AL818" s="158"/>
      <c r="AM818" s="158" t="b">
        <f>IF(AJ818="",TRUE,IF(IF(AK818="",VLOOKUP(AJ818,Calculs!$A$19:$S$425,19,FALSE),VLOOKUP(AK818,Calculs!$A$19:$S$425,19,FALSE))&gt;=AL818,TRUE,FALSE))</f>
        <v>1</v>
      </c>
      <c r="AN818" s="158"/>
      <c r="AO818" s="158"/>
      <c r="AP818" s="158"/>
      <c r="AQ818" s="158" t="b">
        <f>IF(AN818="",TRUE,IF(IF(AO818="",VLOOKUP(AN818,Calculs!$A$19:$S$425,19,FALSE),VLOOKUP(AO818,Calculs!$A$19:$S$425,19,FALSE))&gt;=AP818,TRUE,FALSE))</f>
        <v>1</v>
      </c>
      <c r="AR818" s="158"/>
      <c r="AS818" s="158" t="b">
        <f>IF(AR818="",TRUE,IF(VLOOKUP(AR818,Calculs!$A$427:$G$738,7,FALSE)&gt;0,TRUE,FALSE))</f>
        <v>1</v>
      </c>
      <c r="AT818" s="158"/>
      <c r="AU818" s="158" t="b">
        <f>IF(AT818="",TRUE,IF(VLOOKUP(AT818,Calculs!$A$740:$G$912,7,FALSE)&gt;0,TRUE,FALSE))</f>
        <v>1</v>
      </c>
      <c r="AV818" s="158" t="b">
        <f t="shared" si="88"/>
        <v>1</v>
      </c>
      <c r="AW818" s="158" t="s">
        <v>2078</v>
      </c>
      <c r="AX818" s="162" t="s">
        <v>3</v>
      </c>
      <c r="AY818" s="15">
        <v>128</v>
      </c>
      <c r="AZ818" s="555" t="s">
        <v>8698</v>
      </c>
      <c r="BA818" s="559">
        <f>IF(Verso!$B$10=Voies!$B818,1,0)</f>
        <v>0</v>
      </c>
      <c r="BB818" s="12">
        <f>IF(Verso!$B$11=Voies!$B818,1,0)</f>
        <v>0</v>
      </c>
      <c r="BC818" s="12">
        <f>IF(Verso!$B$12=Voies!$B818,1,0)</f>
        <v>0</v>
      </c>
      <c r="BD818" s="12">
        <f>IF(Verso!$B$13=Voies!$B818,1,0)</f>
        <v>0</v>
      </c>
      <c r="BE818" s="12">
        <f>IF(Verso!$B$14=Voies!$B818,1,0)</f>
        <v>0</v>
      </c>
      <c r="BF818" s="12">
        <f>IF(Verso!$B$15=Voies!$B818,1,0)</f>
        <v>0</v>
      </c>
      <c r="BG818" s="12">
        <f>IF(Verso!$B$16=Voies!$B818,1,0)</f>
        <v>0</v>
      </c>
      <c r="BH818" s="12">
        <f>IF(Verso!$B$17=Voies!$B818,1,0)</f>
        <v>0</v>
      </c>
      <c r="BI818" s="557">
        <f t="shared" si="89"/>
        <v>0</v>
      </c>
      <c r="BJ818" s="196" t="str">
        <f t="shared" si="90"/>
        <v/>
      </c>
      <c r="BK818" s="196" t="str">
        <f t="shared" si="91"/>
        <v/>
      </c>
      <c r="BL818" s="295" t="str">
        <f t="shared" si="92"/>
        <v/>
      </c>
    </row>
    <row r="819" spans="1:65" ht="47.25" customHeight="1" x14ac:dyDescent="0.25">
      <c r="A819" s="162" t="str">
        <f>IF(AND(Réputation&gt;Voies!E819-1,OR(C819=TRUE,Calculs!$I$8&gt;0),Air&gt;Voies!J819-1,Eau&gt;Voies!K819-1,Feu&gt;Voies!L819-1,Terre&gt;Voies!M819-1,Vide&gt;Voies!N819-1,Constitution&gt;Voies!O819-1,Volonté&gt;Voies!P819-1,Force&gt;Voies!Q819-1,Perception&gt;Voies!R819-1,Reflexes&gt;Voies!S819-1,Agilité&gt;Voies!T819-1,Intuition&gt;Voies!U819-1,Intelligence&gt;Voies!V819-1,Souillure&gt;Voies!W819-1,Honneur&gt;X819-1,Statut&gt;Y819-1,Gloire&gt;Z819-1,AV819=TRUE),Voies!B819,"")</f>
        <v/>
      </c>
      <c r="B819" s="162" t="s">
        <v>6171</v>
      </c>
      <c r="C819" s="162" t="b">
        <f>IF(Clan=Voies!D819,TRUE,FALSE)</f>
        <v>0</v>
      </c>
      <c r="D819" s="387" t="s">
        <v>177</v>
      </c>
      <c r="E819" s="13">
        <v>3</v>
      </c>
      <c r="F819" s="199">
        <v>3</v>
      </c>
      <c r="G819" s="13" t="s">
        <v>2052</v>
      </c>
      <c r="H819" s="162" t="s">
        <v>6169</v>
      </c>
      <c r="I819" s="129" t="s">
        <v>6170</v>
      </c>
      <c r="J819" s="146">
        <v>0</v>
      </c>
      <c r="K819" s="147">
        <v>0</v>
      </c>
      <c r="L819" s="148">
        <v>0</v>
      </c>
      <c r="M819" s="149">
        <v>0</v>
      </c>
      <c r="N819" s="150">
        <v>0</v>
      </c>
      <c r="O819" s="130">
        <v>0</v>
      </c>
      <c r="P819" s="130">
        <v>0</v>
      </c>
      <c r="Q819" s="130">
        <v>0</v>
      </c>
      <c r="R819" s="130">
        <v>0</v>
      </c>
      <c r="S819" s="130">
        <v>0</v>
      </c>
      <c r="T819" s="130">
        <v>0</v>
      </c>
      <c r="U819" s="130">
        <v>0</v>
      </c>
      <c r="V819" s="524">
        <v>0</v>
      </c>
      <c r="W819" s="130">
        <v>0</v>
      </c>
      <c r="X819" s="130">
        <v>0</v>
      </c>
      <c r="Y819" s="130">
        <v>0</v>
      </c>
      <c r="Z819" s="130">
        <v>0</v>
      </c>
      <c r="AA819" s="158" t="s">
        <v>6424</v>
      </c>
      <c r="AB819" s="159" t="s">
        <v>1301</v>
      </c>
      <c r="AC819" s="158"/>
      <c r="AD819" s="158">
        <v>3</v>
      </c>
      <c r="AE819" s="158" t="b">
        <f>IF(AB819="",TRUE,IF(IF(AC819="",VLOOKUP(AB819,Calculs!$A$19:$S$425,19,FALSE),VLOOKUP(AC819,Calculs!$A$19:$S$425,19,FALSE))&gt;=AD819,TRUE,FALSE))</f>
        <v>0</v>
      </c>
      <c r="AF819" s="159" t="s">
        <v>3325</v>
      </c>
      <c r="AG819" s="158" t="s">
        <v>3192</v>
      </c>
      <c r="AH819" s="158">
        <v>3</v>
      </c>
      <c r="AI819" s="158" t="b">
        <f>IF(AF819="",TRUE,IF(IF(AG819="",VLOOKUP(AF819,Calculs!$A$19:$S$425,19,FALSE),VLOOKUP(AG819,Calculs!$A$19:$S$425,19,FALSE))&gt;=AH819,TRUE,FALSE))</f>
        <v>0</v>
      </c>
      <c r="AJ819" s="158"/>
      <c r="AK819" s="158"/>
      <c r="AL819" s="158"/>
      <c r="AM819" s="158" t="b">
        <f>IF(AJ819="",TRUE,IF(IF(AK819="",VLOOKUP(AJ819,Calculs!$A$19:$S$425,19,FALSE),VLOOKUP(AK819,Calculs!$A$19:$S$425,19,FALSE))&gt;=AL819,TRUE,FALSE))</f>
        <v>1</v>
      </c>
      <c r="AN819" s="158"/>
      <c r="AO819" s="158"/>
      <c r="AP819" s="158"/>
      <c r="AQ819" s="158" t="b">
        <f>IF(AN819="",TRUE,IF(IF(AO819="",VLOOKUP(AN819,Calculs!$A$19:$S$425,19,FALSE),VLOOKUP(AO819,Calculs!$A$19:$S$425,19,FALSE))&gt;=AP819,TRUE,FALSE))</f>
        <v>1</v>
      </c>
      <c r="AR819" s="158"/>
      <c r="AS819" s="158" t="b">
        <f>IF(AR819="",TRUE,IF(VLOOKUP(AR819,Calculs!$A$427:$G$738,7,FALSE)&gt;0,TRUE,FALSE))</f>
        <v>1</v>
      </c>
      <c r="AT819" s="158"/>
      <c r="AU819" s="158" t="b">
        <f>IF(AT819="",TRUE,IF(VLOOKUP(AT819,Calculs!$A$740:$G$912,7,FALSE)&gt;0,TRUE,FALSE))</f>
        <v>1</v>
      </c>
      <c r="AV819" s="158" t="b">
        <f t="shared" si="88"/>
        <v>0</v>
      </c>
      <c r="AW819" s="159" t="s">
        <v>6172</v>
      </c>
      <c r="AX819" s="162" t="s">
        <v>6010</v>
      </c>
      <c r="AY819" s="15">
        <v>207</v>
      </c>
      <c r="AZ819" s="555" t="s">
        <v>8699</v>
      </c>
      <c r="BA819" s="559">
        <f>IF(Verso!$B$10=Voies!$B819,1,0)</f>
        <v>0</v>
      </c>
      <c r="BB819" s="12">
        <f>IF(Verso!$B$11=Voies!$B819,1,0)</f>
        <v>0</v>
      </c>
      <c r="BC819" s="12">
        <f>IF(Verso!$B$12=Voies!$B819,1,0)</f>
        <v>0</v>
      </c>
      <c r="BD819" s="12">
        <f>IF(Verso!$B$13=Voies!$B819,1,0)</f>
        <v>0</v>
      </c>
      <c r="BE819" s="12">
        <f>IF(Verso!$B$14=Voies!$B819,1,0)</f>
        <v>0</v>
      </c>
      <c r="BF819" s="12">
        <f>IF(Verso!$B$15=Voies!$B819,1,0)</f>
        <v>0</v>
      </c>
      <c r="BG819" s="12">
        <f>IF(Verso!$B$16=Voies!$B819,1,0)</f>
        <v>0</v>
      </c>
      <c r="BH819" s="12">
        <f>IF(Verso!$B$17=Voies!$B819,1,0)</f>
        <v>0</v>
      </c>
      <c r="BI819" s="557">
        <f t="shared" si="89"/>
        <v>0</v>
      </c>
      <c r="BJ819" s="196" t="str">
        <f t="shared" si="90"/>
        <v/>
      </c>
      <c r="BK819" s="196" t="str">
        <f t="shared" si="91"/>
        <v/>
      </c>
      <c r="BL819" s="295" t="str">
        <f t="shared" si="92"/>
        <v/>
      </c>
    </row>
    <row r="820" spans="1:65" ht="47.25" customHeight="1" x14ac:dyDescent="0.25">
      <c r="A820" s="162" t="str">
        <f>IF(AND(Réputation&gt;Voies!E820-1,OR(C820=TRUE,Calculs!$I$8&gt;0),Air&gt;Voies!J820-1,Eau&gt;Voies!K820-1,Feu&gt;Voies!L820-1,Terre&gt;Voies!M820-1,Vide&gt;Voies!N820-1,Constitution&gt;Voies!O820-1,Volonté&gt;Voies!P820-1,Force&gt;Voies!Q820-1,Perception&gt;Voies!R820-1,Reflexes&gt;Voies!S820-1,Agilité&gt;Voies!T820-1,Intuition&gt;Voies!U820-1,Intelligence&gt;Voies!V820-1,Souillure&gt;Voies!W820-1,Honneur&gt;X820-1,Statut&gt;Y820-1,Gloire&gt;Z820-1,AV820=TRUE),Voies!B820,"")</f>
        <v/>
      </c>
      <c r="B820" s="162" t="s">
        <v>2889</v>
      </c>
      <c r="C820" s="162" t="b">
        <f>IF(Clan=Voies!D820,TRUE,FALSE)</f>
        <v>0</v>
      </c>
      <c r="D820" s="387" t="s">
        <v>177</v>
      </c>
      <c r="E820" s="13">
        <v>3</v>
      </c>
      <c r="F820" s="199">
        <v>3</v>
      </c>
      <c r="G820" s="199" t="s">
        <v>2050</v>
      </c>
      <c r="H820" s="162" t="s">
        <v>214</v>
      </c>
      <c r="I820" s="129" t="str">
        <f>IF(B820="","","Rien")</f>
        <v>Rien</v>
      </c>
      <c r="J820" s="146">
        <v>0</v>
      </c>
      <c r="K820" s="147">
        <v>0</v>
      </c>
      <c r="L820" s="148">
        <v>0</v>
      </c>
      <c r="M820" s="149">
        <v>0</v>
      </c>
      <c r="N820" s="150">
        <v>0</v>
      </c>
      <c r="O820" s="130">
        <v>0</v>
      </c>
      <c r="P820" s="130">
        <v>0</v>
      </c>
      <c r="Q820" s="130">
        <v>0</v>
      </c>
      <c r="R820" s="130">
        <v>0</v>
      </c>
      <c r="S820" s="130">
        <v>0</v>
      </c>
      <c r="T820" s="130">
        <v>0</v>
      </c>
      <c r="U820" s="130">
        <v>0</v>
      </c>
      <c r="V820" s="524">
        <v>0</v>
      </c>
      <c r="W820" s="130">
        <v>0</v>
      </c>
      <c r="X820" s="130">
        <v>0</v>
      </c>
      <c r="Y820" s="130">
        <v>0</v>
      </c>
      <c r="Z820" s="130">
        <v>0</v>
      </c>
      <c r="AA820" s="158" t="s">
        <v>2078</v>
      </c>
      <c r="AB820" s="158"/>
      <c r="AC820" s="158"/>
      <c r="AD820" s="158"/>
      <c r="AE820" s="158" t="b">
        <f>IF(AB820="",TRUE,IF(IF(AC820="",VLOOKUP(AB820,Calculs!$A$19:$S$425,19,FALSE),VLOOKUP(AC820,Calculs!$A$19:$S$425,19,FALSE))&gt;=AD820,TRUE,FALSE))</f>
        <v>1</v>
      </c>
      <c r="AF820" s="158"/>
      <c r="AG820" s="158"/>
      <c r="AH820" s="158"/>
      <c r="AI820" s="158" t="b">
        <f>IF(AF820="",TRUE,IF(IF(AG820="",VLOOKUP(AF820,Calculs!$A$19:$S$425,19,FALSE),VLOOKUP(AG820,Calculs!$A$19:$S$425,19,FALSE))&gt;=AH820,TRUE,FALSE))</f>
        <v>1</v>
      </c>
      <c r="AJ820" s="158"/>
      <c r="AK820" s="158"/>
      <c r="AL820" s="158"/>
      <c r="AM820" s="158" t="b">
        <f>IF(AJ820="",TRUE,IF(IF(AK820="",VLOOKUP(AJ820,Calculs!$A$19:$S$425,19,FALSE),VLOOKUP(AK820,Calculs!$A$19:$S$425,19,FALSE))&gt;=AL820,TRUE,FALSE))</f>
        <v>1</v>
      </c>
      <c r="AN820" s="158"/>
      <c r="AO820" s="158"/>
      <c r="AP820" s="158"/>
      <c r="AQ820" s="158" t="b">
        <f>IF(AN820="",TRUE,IF(IF(AO820="",VLOOKUP(AN820,Calculs!$A$19:$S$425,19,FALSE),VLOOKUP(AO820,Calculs!$A$19:$S$425,19,FALSE))&gt;=AP820,TRUE,FALSE))</f>
        <v>1</v>
      </c>
      <c r="AR820" s="158"/>
      <c r="AS820" s="158" t="b">
        <f>IF(AR820="",TRUE,IF(VLOOKUP(AR820,Calculs!$A$427:$G$738,7,FALSE)&gt;0,TRUE,FALSE))</f>
        <v>1</v>
      </c>
      <c r="AT820" s="158"/>
      <c r="AU820" s="158" t="b">
        <f>IF(AT820="",TRUE,IF(VLOOKUP(AT820,Calculs!$A$740:$G$912,7,FALSE)&gt;0,TRUE,FALSE))</f>
        <v>1</v>
      </c>
      <c r="AV820" s="158" t="b">
        <f t="shared" si="88"/>
        <v>1</v>
      </c>
      <c r="AW820" s="158" t="s">
        <v>2078</v>
      </c>
      <c r="AX820" s="162" t="s">
        <v>6061</v>
      </c>
      <c r="AY820" s="15">
        <v>230</v>
      </c>
      <c r="AZ820" s="555" t="s">
        <v>8700</v>
      </c>
      <c r="BA820" s="559">
        <f>IF(Verso!$B$10=Voies!$B820,1,0)</f>
        <v>0</v>
      </c>
      <c r="BB820" s="12">
        <f>IF(Verso!$B$11=Voies!$B820,1,0)</f>
        <v>0</v>
      </c>
      <c r="BC820" s="12">
        <f>IF(Verso!$B$12=Voies!$B820,1,0)</f>
        <v>0</v>
      </c>
      <c r="BD820" s="12">
        <f>IF(Verso!$B$13=Voies!$B820,1,0)</f>
        <v>0</v>
      </c>
      <c r="BE820" s="12">
        <f>IF(Verso!$B$14=Voies!$B820,1,0)</f>
        <v>0</v>
      </c>
      <c r="BF820" s="12">
        <f>IF(Verso!$B$15=Voies!$B820,1,0)</f>
        <v>0</v>
      </c>
      <c r="BG820" s="12">
        <f>IF(Verso!$B$16=Voies!$B820,1,0)</f>
        <v>0</v>
      </c>
      <c r="BH820" s="12">
        <f>IF(Verso!$B$17=Voies!$B820,1,0)</f>
        <v>0</v>
      </c>
      <c r="BI820" s="557">
        <f t="shared" si="89"/>
        <v>0</v>
      </c>
      <c r="BJ820" s="196" t="str">
        <f t="shared" si="90"/>
        <v/>
      </c>
      <c r="BK820" s="196" t="str">
        <f t="shared" si="91"/>
        <v/>
      </c>
      <c r="BL820" s="295" t="str">
        <f t="shared" si="92"/>
        <v/>
      </c>
    </row>
    <row r="821" spans="1:65" ht="47.25" customHeight="1" x14ac:dyDescent="0.25">
      <c r="A821" s="162" t="str">
        <f>IF(AND(Réputation&gt;Voies!E821-1,OR(C821=TRUE,Calculs!$I$8&gt;0),Air&gt;Voies!J821-1,Eau&gt;Voies!K821-1,Feu&gt;Voies!L821-1,Terre&gt;Voies!M821-1,Vide&gt;Voies!N821-1,Constitution&gt;Voies!O821-1,Volonté&gt;Voies!P821-1,Force&gt;Voies!Q821-1,Perception&gt;Voies!R821-1,Reflexes&gt;Voies!S821-1,Agilité&gt;Voies!T821-1,Intuition&gt;Voies!U821-1,Intelligence&gt;Voies!V821-1,Souillure&gt;Voies!W821-1,Honneur&gt;X821-1,Statut&gt;Y821-1,Gloire&gt;Z821-1,AV821=TRUE),Voies!B821,"")</f>
        <v/>
      </c>
      <c r="B821" s="162" t="s">
        <v>3523</v>
      </c>
      <c r="C821" s="162" t="b">
        <f>IF(Clan=Voies!D821,TRUE,FALSE)</f>
        <v>0</v>
      </c>
      <c r="D821" s="387" t="s">
        <v>177</v>
      </c>
      <c r="E821" s="13">
        <v>3</v>
      </c>
      <c r="F821" s="199">
        <v>3</v>
      </c>
      <c r="G821" s="13" t="s">
        <v>2048</v>
      </c>
      <c r="H821" s="162" t="s">
        <v>517</v>
      </c>
      <c r="I821" s="129" t="s">
        <v>3521</v>
      </c>
      <c r="J821" s="146">
        <v>0</v>
      </c>
      <c r="K821" s="147">
        <v>0</v>
      </c>
      <c r="L821" s="148">
        <v>3</v>
      </c>
      <c r="M821" s="149">
        <v>0</v>
      </c>
      <c r="N821" s="150">
        <v>0</v>
      </c>
      <c r="O821" s="130">
        <v>0</v>
      </c>
      <c r="P821" s="130">
        <v>0</v>
      </c>
      <c r="Q821" s="130">
        <v>0</v>
      </c>
      <c r="R821" s="130">
        <v>0</v>
      </c>
      <c r="S821" s="130">
        <v>0</v>
      </c>
      <c r="T821" s="130">
        <v>0</v>
      </c>
      <c r="U821" s="130">
        <v>0</v>
      </c>
      <c r="V821" s="524">
        <v>0</v>
      </c>
      <c r="W821" s="130">
        <v>0</v>
      </c>
      <c r="X821" s="130">
        <v>0</v>
      </c>
      <c r="Y821" s="130">
        <v>0</v>
      </c>
      <c r="Z821" s="130">
        <v>0</v>
      </c>
      <c r="AA821" s="159" t="s">
        <v>3522</v>
      </c>
      <c r="AB821" s="159" t="s">
        <v>1260</v>
      </c>
      <c r="AD821" s="159">
        <v>3</v>
      </c>
      <c r="AE821" s="158" t="b">
        <f>IF(AB821="",TRUE,IF(IF(AC821="",VLOOKUP(AB821,Calculs!$A$19:$S$425,19,FALSE),VLOOKUP(AC821,Calculs!$A$19:$S$425,19,FALSE))&gt;=AD821,TRUE,FALSE))</f>
        <v>0</v>
      </c>
      <c r="AI821" s="158" t="b">
        <f>IF(AF821="",TRUE,IF(IF(AG821="",VLOOKUP(AF821,Calculs!$A$19:$S$425,19,FALSE),VLOOKUP(AG821,Calculs!$A$19:$S$425,19,FALSE))&gt;=AH821,TRUE,FALSE))</f>
        <v>1</v>
      </c>
      <c r="AM821" s="158" t="b">
        <f>IF(AJ821="",TRUE,IF(IF(AK821="",VLOOKUP(AJ821,Calculs!$A$19:$S$425,19,FALSE),VLOOKUP(AK821,Calculs!$A$19:$S$425,19,FALSE))&gt;=AL821,TRUE,FALSE))</f>
        <v>1</v>
      </c>
      <c r="AQ821" s="158" t="b">
        <f>IF(AN821="",TRUE,IF(IF(AO821="",VLOOKUP(AN821,Calculs!$A$19:$S$425,19,FALSE),VLOOKUP(AO821,Calculs!$A$19:$S$425,19,FALSE))&gt;=AP821,TRUE,FALSE))</f>
        <v>1</v>
      </c>
      <c r="AR821" s="158"/>
      <c r="AS821" s="158" t="b">
        <f>IF(AR821="",TRUE,IF(VLOOKUP(AR821,Calculs!$A$427:$G$738,7,FALSE)&gt;0,TRUE,FALSE))</f>
        <v>1</v>
      </c>
      <c r="AT821" s="158"/>
      <c r="AU821" s="158" t="b">
        <f>IF(AT821="",TRUE,IF(VLOOKUP(AT821,Calculs!$A$740:$G$912,7,FALSE)&gt;0,TRUE,FALSE))</f>
        <v>1</v>
      </c>
      <c r="AV821" s="158" t="b">
        <f t="shared" si="88"/>
        <v>0</v>
      </c>
      <c r="AW821" s="158" t="s">
        <v>2078</v>
      </c>
      <c r="AX821" s="162" t="s">
        <v>160</v>
      </c>
      <c r="AY821" s="15">
        <v>182</v>
      </c>
      <c r="AZ821" s="555" t="s">
        <v>3527</v>
      </c>
      <c r="BA821" s="559">
        <f>IF(Verso!$B$10=Voies!$B821,1,0)</f>
        <v>0</v>
      </c>
      <c r="BB821" s="12">
        <f>IF(Verso!$B$11=Voies!$B821,1,0)</f>
        <v>0</v>
      </c>
      <c r="BC821" s="12">
        <f>IF(Verso!$B$12=Voies!$B821,1,0)</f>
        <v>0</v>
      </c>
      <c r="BD821" s="12">
        <f>IF(Verso!$B$13=Voies!$B821,1,0)</f>
        <v>0</v>
      </c>
      <c r="BE821" s="12">
        <f>IF(Verso!$B$14=Voies!$B821,1,0)</f>
        <v>0</v>
      </c>
      <c r="BF821" s="12">
        <f>IF(Verso!$B$15=Voies!$B821,1,0)</f>
        <v>0</v>
      </c>
      <c r="BG821" s="12">
        <f>IF(Verso!$B$16=Voies!$B821,1,0)</f>
        <v>0</v>
      </c>
      <c r="BH821" s="12">
        <f>IF(Verso!$B$17=Voies!$B821,1,0)</f>
        <v>0</v>
      </c>
      <c r="BI821" s="557">
        <f t="shared" si="89"/>
        <v>0</v>
      </c>
      <c r="BJ821" s="196" t="str">
        <f t="shared" si="90"/>
        <v/>
      </c>
      <c r="BK821" s="196" t="str">
        <f t="shared" si="91"/>
        <v/>
      </c>
      <c r="BL821" s="295" t="str">
        <f t="shared" si="92"/>
        <v/>
      </c>
    </row>
    <row r="822" spans="1:65" ht="47.25" customHeight="1" x14ac:dyDescent="0.25">
      <c r="A822" s="162" t="str">
        <f>IF(AND(Réputation&gt;Voies!E822-1,OR(C822=TRUE,Calculs!$I$8&gt;0),Air&gt;Voies!J822-1,Eau&gt;Voies!K822-1,Feu&gt;Voies!L822-1,Terre&gt;Voies!M822-1,Vide&gt;Voies!N822-1,Constitution&gt;Voies!O822-1,Volonté&gt;Voies!P822-1,Force&gt;Voies!Q822-1,Perception&gt;Voies!R822-1,Reflexes&gt;Voies!S822-1,Agilité&gt;Voies!T822-1,Intuition&gt;Voies!U822-1,Intelligence&gt;Voies!V822-1,Souillure&gt;Voies!W822-1,Honneur&gt;X822-1,Statut&gt;Y822-1,Gloire&gt;Z822-1,AV822=TRUE),Voies!B822,"")</f>
        <v/>
      </c>
      <c r="B822" s="162" t="s">
        <v>3704</v>
      </c>
      <c r="C822" s="162" t="b">
        <f>IF(Clan=Voies!D822,TRUE,FALSE)</f>
        <v>0</v>
      </c>
      <c r="D822" s="387" t="s">
        <v>177</v>
      </c>
      <c r="E822" s="13">
        <v>3</v>
      </c>
      <c r="F822" s="199">
        <v>3</v>
      </c>
      <c r="G822" s="199" t="s">
        <v>2048</v>
      </c>
      <c r="H822" s="162" t="s">
        <v>3703</v>
      </c>
      <c r="I822" s="129" t="s">
        <v>3352</v>
      </c>
      <c r="J822" s="146">
        <v>3</v>
      </c>
      <c r="K822" s="147">
        <v>3</v>
      </c>
      <c r="L822" s="148">
        <v>0</v>
      </c>
      <c r="M822" s="149">
        <v>0</v>
      </c>
      <c r="N822" s="150">
        <v>0</v>
      </c>
      <c r="O822" s="130">
        <v>0</v>
      </c>
      <c r="P822" s="130">
        <v>0</v>
      </c>
      <c r="Q822" s="130">
        <v>0</v>
      </c>
      <c r="R822" s="130">
        <v>0</v>
      </c>
      <c r="S822" s="130">
        <v>0</v>
      </c>
      <c r="T822" s="130">
        <v>0</v>
      </c>
      <c r="U822" s="130">
        <v>0</v>
      </c>
      <c r="V822" s="524">
        <v>0</v>
      </c>
      <c r="W822" s="130">
        <v>0</v>
      </c>
      <c r="X822" s="130">
        <v>0</v>
      </c>
      <c r="Y822" s="130">
        <v>0</v>
      </c>
      <c r="Z822" s="130">
        <v>0</v>
      </c>
      <c r="AA822" s="159" t="s">
        <v>3166</v>
      </c>
      <c r="AB822" s="159" t="s">
        <v>3324</v>
      </c>
      <c r="AC822" s="159" t="s">
        <v>3275</v>
      </c>
      <c r="AD822" s="159">
        <v>3</v>
      </c>
      <c r="AE822" s="158" t="b">
        <f>IF(AB822="",TRUE,IF(IF(AC822="",VLOOKUP(AB822,Calculs!$A$19:$S$425,19,FALSE),VLOOKUP(AC822,Calculs!$A$19:$S$425,19,FALSE))&gt;=AD822,TRUE,FALSE))</f>
        <v>0</v>
      </c>
      <c r="AI822" s="158" t="b">
        <f>IF(AF822="",TRUE,IF(IF(AG822="",VLOOKUP(AF822,Calculs!$A$19:$S$425,19,FALSE),VLOOKUP(AG822,Calculs!$A$19:$S$425,19,FALSE))&gt;=AH822,TRUE,FALSE))</f>
        <v>1</v>
      </c>
      <c r="AM822" s="158" t="b">
        <f>IF(AJ822="",TRUE,IF(IF(AK822="",VLOOKUP(AJ822,Calculs!$A$19:$S$425,19,FALSE),VLOOKUP(AK822,Calculs!$A$19:$S$425,19,FALSE))&gt;=AL822,TRUE,FALSE))</f>
        <v>1</v>
      </c>
      <c r="AQ822" s="158" t="b">
        <f>IF(AN822="",TRUE,IF(IF(AO822="",VLOOKUP(AN822,Calculs!$A$19:$S$425,19,FALSE),VLOOKUP(AO822,Calculs!$A$19:$S$425,19,FALSE))&gt;=AP822,TRUE,FALSE))</f>
        <v>1</v>
      </c>
      <c r="AR822" s="158"/>
      <c r="AS822" s="158" t="b">
        <f>IF(AR822="",TRUE,IF(VLOOKUP(AR822,Calculs!$A$427:$G$738,7,FALSE)&gt;0,TRUE,FALSE))</f>
        <v>1</v>
      </c>
      <c r="AT822" s="158"/>
      <c r="AU822" s="158" t="b">
        <f>IF(AT822="",TRUE,IF(VLOOKUP(AT822,Calculs!$A$740:$G$912,7,FALSE)&gt;0,TRUE,FALSE))</f>
        <v>1</v>
      </c>
      <c r="AV822" s="158" t="b">
        <f t="shared" si="88"/>
        <v>0</v>
      </c>
      <c r="AW822" s="158" t="s">
        <v>2078</v>
      </c>
      <c r="AX822" s="162" t="s">
        <v>2076</v>
      </c>
      <c r="AY822" s="15">
        <v>197</v>
      </c>
      <c r="AZ822" s="555" t="s">
        <v>8701</v>
      </c>
      <c r="BA822" s="559">
        <f>IF(Verso!$B$10=Voies!$B822,1,0)</f>
        <v>0</v>
      </c>
      <c r="BB822" s="12">
        <f>IF(Verso!$B$11=Voies!$B822,1,0)</f>
        <v>0</v>
      </c>
      <c r="BC822" s="12">
        <f>IF(Verso!$B$12=Voies!$B822,1,0)</f>
        <v>0</v>
      </c>
      <c r="BD822" s="12">
        <f>IF(Verso!$B$13=Voies!$B822,1,0)</f>
        <v>0</v>
      </c>
      <c r="BE822" s="12">
        <f>IF(Verso!$B$14=Voies!$B822,1,0)</f>
        <v>0</v>
      </c>
      <c r="BF822" s="12">
        <f>IF(Verso!$B$15=Voies!$B822,1,0)</f>
        <v>0</v>
      </c>
      <c r="BG822" s="12">
        <f>IF(Verso!$B$16=Voies!$B822,1,0)</f>
        <v>0</v>
      </c>
      <c r="BH822" s="12">
        <f>IF(Verso!$B$17=Voies!$B822,1,0)</f>
        <v>0</v>
      </c>
      <c r="BI822" s="557">
        <f t="shared" si="89"/>
        <v>0</v>
      </c>
      <c r="BJ822" s="196" t="str">
        <f t="shared" si="90"/>
        <v/>
      </c>
      <c r="BK822" s="196" t="str">
        <f t="shared" si="91"/>
        <v/>
      </c>
      <c r="BL822" s="295" t="str">
        <f t="shared" si="92"/>
        <v/>
      </c>
    </row>
    <row r="823" spans="1:65" ht="47.25" customHeight="1" x14ac:dyDescent="0.25">
      <c r="A823" s="162" t="str">
        <f>IF(AND(Réputation&gt;Voies!E823-1,OR(C823=TRUE,Calculs!$I$8&gt;0),Air&gt;Voies!J823-1,Eau&gt;Voies!K823-1,Feu&gt;Voies!L823-1,Terre&gt;Voies!M823-1,Vide&gt;Voies!N823-1,Constitution&gt;Voies!O823-1,Volonté&gt;Voies!P823-1,Force&gt;Voies!Q823-1,Perception&gt;Voies!R823-1,Reflexes&gt;Voies!S823-1,Agilité&gt;Voies!T823-1,Intuition&gt;Voies!U823-1,Intelligence&gt;Voies!V823-1,Souillure&gt;Voies!W823-1,Honneur&gt;X823-1,Statut&gt;Y823-1,Gloire&gt;Z823-1,AV823=TRUE),Voies!B823,"")</f>
        <v/>
      </c>
      <c r="B823" s="162" t="s">
        <v>3526</v>
      </c>
      <c r="C823" s="162" t="b">
        <f>IF(Clan=Voies!D823,TRUE,FALSE)</f>
        <v>0</v>
      </c>
      <c r="D823" s="387" t="s">
        <v>177</v>
      </c>
      <c r="E823" s="13">
        <v>3</v>
      </c>
      <c r="F823" s="199">
        <v>3</v>
      </c>
      <c r="G823" s="199" t="s">
        <v>2048</v>
      </c>
      <c r="H823" s="162" t="s">
        <v>520</v>
      </c>
      <c r="I823" s="129" t="s">
        <v>3352</v>
      </c>
      <c r="J823" s="146">
        <v>0</v>
      </c>
      <c r="K823" s="147">
        <v>0</v>
      </c>
      <c r="L823" s="148">
        <v>3</v>
      </c>
      <c r="M823" s="149">
        <v>0</v>
      </c>
      <c r="N823" s="150">
        <v>0</v>
      </c>
      <c r="O823" s="130">
        <v>0</v>
      </c>
      <c r="P823" s="130">
        <v>0</v>
      </c>
      <c r="Q823" s="130">
        <v>0</v>
      </c>
      <c r="R823" s="130">
        <v>0</v>
      </c>
      <c r="S823" s="130">
        <v>0</v>
      </c>
      <c r="T823" s="130">
        <v>0</v>
      </c>
      <c r="U823" s="130">
        <v>0</v>
      </c>
      <c r="V823" s="524">
        <v>0</v>
      </c>
      <c r="W823" s="130">
        <v>0</v>
      </c>
      <c r="X823" s="130">
        <v>0</v>
      </c>
      <c r="Y823" s="130">
        <v>0</v>
      </c>
      <c r="Z823" s="130">
        <v>0</v>
      </c>
      <c r="AA823" s="159" t="s">
        <v>3524</v>
      </c>
      <c r="AB823" s="159" t="s">
        <v>231</v>
      </c>
      <c r="AC823" s="159" t="s">
        <v>6362</v>
      </c>
      <c r="AD823" s="159">
        <v>3</v>
      </c>
      <c r="AE823" s="158" t="b">
        <f>IF(AB823="",TRUE,IF(IF(AC823="",VLOOKUP(AB823,Calculs!$A$19:$S$425,19,FALSE),VLOOKUP(AC823,Calculs!$A$19:$S$425,19,FALSE))&gt;=AD823,TRUE,FALSE))</f>
        <v>0</v>
      </c>
      <c r="AI823" s="158" t="b">
        <f>IF(AF823="",TRUE,IF(IF(AG823="",VLOOKUP(AF823,Calculs!$A$19:$S$425,19,FALSE),VLOOKUP(AG823,Calculs!$A$19:$S$425,19,FALSE))&gt;=AH823,TRUE,FALSE))</f>
        <v>1</v>
      </c>
      <c r="AM823" s="158" t="b">
        <f>IF(AJ823="",TRUE,IF(IF(AK823="",VLOOKUP(AJ823,Calculs!$A$19:$S$425,19,FALSE),VLOOKUP(AK823,Calculs!$A$19:$S$425,19,FALSE))&gt;=AL823,TRUE,FALSE))</f>
        <v>1</v>
      </c>
      <c r="AQ823" s="158" t="b">
        <f>IF(AN823="",TRUE,IF(IF(AO823="",VLOOKUP(AN823,Calculs!$A$19:$S$425,19,FALSE),VLOOKUP(AO823,Calculs!$A$19:$S$425,19,FALSE))&gt;=AP823,TRUE,FALSE))</f>
        <v>1</v>
      </c>
      <c r="AR823" s="158"/>
      <c r="AS823" s="158" t="b">
        <f>IF(AR823="",TRUE,IF(VLOOKUP(AR823,Calculs!$A$427:$G$738,7,FALSE)&gt;0,TRUE,FALSE))</f>
        <v>1</v>
      </c>
      <c r="AT823" s="158"/>
      <c r="AU823" s="158" t="b">
        <f>IF(AT823="",TRUE,IF(VLOOKUP(AT823,Calculs!$A$740:$G$912,7,FALSE)&gt;0,TRUE,FALSE))</f>
        <v>1</v>
      </c>
      <c r="AV823" s="158" t="b">
        <f t="shared" si="88"/>
        <v>0</v>
      </c>
      <c r="AW823" s="159" t="s">
        <v>3525</v>
      </c>
      <c r="AX823" s="162" t="s">
        <v>160</v>
      </c>
      <c r="AY823" s="15">
        <v>182</v>
      </c>
      <c r="AZ823" s="555" t="s">
        <v>3528</v>
      </c>
      <c r="BA823" s="559">
        <f>IF(Verso!$B$10=Voies!$B823,1,0)</f>
        <v>0</v>
      </c>
      <c r="BB823" s="12">
        <f>IF(Verso!$B$11=Voies!$B823,1,0)</f>
        <v>0</v>
      </c>
      <c r="BC823" s="12">
        <f>IF(Verso!$B$12=Voies!$B823,1,0)</f>
        <v>0</v>
      </c>
      <c r="BD823" s="12">
        <f>IF(Verso!$B$13=Voies!$B823,1,0)</f>
        <v>0</v>
      </c>
      <c r="BE823" s="12">
        <f>IF(Verso!$B$14=Voies!$B823,1,0)</f>
        <v>0</v>
      </c>
      <c r="BF823" s="12">
        <f>IF(Verso!$B$15=Voies!$B823,1,0)</f>
        <v>0</v>
      </c>
      <c r="BG823" s="12">
        <f>IF(Verso!$B$16=Voies!$B823,1,0)</f>
        <v>0</v>
      </c>
      <c r="BH823" s="12">
        <f>IF(Verso!$B$17=Voies!$B823,1,0)</f>
        <v>0</v>
      </c>
      <c r="BI823" s="557">
        <f t="shared" si="89"/>
        <v>0</v>
      </c>
      <c r="BJ823" s="196" t="str">
        <f t="shared" si="90"/>
        <v/>
      </c>
      <c r="BK823" s="196" t="str">
        <f t="shared" si="91"/>
        <v/>
      </c>
      <c r="BL823" s="295" t="str">
        <f t="shared" si="92"/>
        <v/>
      </c>
    </row>
    <row r="824" spans="1:65" ht="47.25" customHeight="1" x14ac:dyDescent="0.25">
      <c r="A824" s="162" t="str">
        <f>IF(AND(Réputation&gt;Voies!E824-1,OR(C824=TRUE,Calculs!$I$8&gt;0),Air&gt;Voies!J824-1,Eau&gt;Voies!K824-1,Feu&gt;Voies!L824-1,Terre&gt;Voies!M824-1,Vide&gt;Voies!N824-1,Constitution&gt;Voies!O824-1,Volonté&gt;Voies!P824-1,Force&gt;Voies!Q824-1,Perception&gt;Voies!R824-1,Reflexes&gt;Voies!S824-1,Agilité&gt;Voies!T824-1,Intuition&gt;Voies!U824-1,Intelligence&gt;Voies!V824-1,Souillure&gt;Voies!W824-1,Honneur&gt;X824-1,Statut&gt;Y824-1,Gloire&gt;Z824-1,AV824=TRUE),Voies!B824,"")</f>
        <v/>
      </c>
      <c r="B824" s="162" t="s">
        <v>3448</v>
      </c>
      <c r="C824" s="162" t="b">
        <f>IF(Clan=Voies!D824,TRUE,FALSE)</f>
        <v>0</v>
      </c>
      <c r="D824" s="387" t="s">
        <v>177</v>
      </c>
      <c r="E824" s="199">
        <v>3</v>
      </c>
      <c r="F824" s="199">
        <v>3</v>
      </c>
      <c r="G824" s="199" t="s">
        <v>2048</v>
      </c>
      <c r="H824" s="162" t="s">
        <v>566</v>
      </c>
      <c r="I824" s="129" t="s">
        <v>3447</v>
      </c>
      <c r="J824" s="146">
        <v>0</v>
      </c>
      <c r="K824" s="147">
        <v>0</v>
      </c>
      <c r="L824" s="148">
        <v>0</v>
      </c>
      <c r="M824" s="149">
        <v>4</v>
      </c>
      <c r="N824" s="150">
        <v>0</v>
      </c>
      <c r="O824" s="130">
        <v>0</v>
      </c>
      <c r="P824" s="130">
        <v>0</v>
      </c>
      <c r="Q824" s="130">
        <v>0</v>
      </c>
      <c r="R824" s="130">
        <v>0</v>
      </c>
      <c r="S824" s="130">
        <v>0</v>
      </c>
      <c r="T824" s="130">
        <v>0</v>
      </c>
      <c r="U824" s="130">
        <v>0</v>
      </c>
      <c r="V824" s="524">
        <v>0</v>
      </c>
      <c r="W824" s="130">
        <v>0</v>
      </c>
      <c r="X824" s="130">
        <v>0</v>
      </c>
      <c r="Y824" s="130">
        <v>0</v>
      </c>
      <c r="Z824" s="130">
        <v>0</v>
      </c>
      <c r="AA824" s="159" t="s">
        <v>6334</v>
      </c>
      <c r="AB824" s="159" t="s">
        <v>3325</v>
      </c>
      <c r="AC824" s="159" t="s">
        <v>3214</v>
      </c>
      <c r="AD824" s="159">
        <v>3</v>
      </c>
      <c r="AE824" s="158" t="b">
        <f>IF(AB824="",TRUE,IF(IF(AC824="",VLOOKUP(AB824,Calculs!$A$19:$S$425,19,FALSE),VLOOKUP(AC824,Calculs!$A$19:$S$425,19,FALSE))&gt;=AD824,TRUE,FALSE))</f>
        <v>0</v>
      </c>
      <c r="AI824" s="158" t="b">
        <f>IF(AF824="",TRUE,IF(IF(AG824="",VLOOKUP(AF824,Calculs!$A$19:$S$425,19,FALSE),VLOOKUP(AG824,Calculs!$A$19:$S$425,19,FALSE))&gt;=AH824,TRUE,FALSE))</f>
        <v>1</v>
      </c>
      <c r="AM824" s="158" t="b">
        <f>IF(AJ824="",TRUE,IF(IF(AK824="",VLOOKUP(AJ824,Calculs!$A$19:$S$425,19,FALSE),VLOOKUP(AK824,Calculs!$A$19:$S$425,19,FALSE))&gt;=AL824,TRUE,FALSE))</f>
        <v>1</v>
      </c>
      <c r="AQ824" s="158" t="b">
        <f>IF(AN824="",TRUE,IF(IF(AO824="",VLOOKUP(AN824,Calculs!$A$19:$S$425,19,FALSE),VLOOKUP(AO824,Calculs!$A$19:$S$425,19,FALSE))&gt;=AP824,TRUE,FALSE))</f>
        <v>1</v>
      </c>
      <c r="AR824" s="158"/>
      <c r="AS824" s="158" t="b">
        <f>IF(AR824="",TRUE,IF(VLOOKUP(AR824,Calculs!$A$427:$G$738,7,FALSE)&gt;0,TRUE,FALSE))</f>
        <v>1</v>
      </c>
      <c r="AT824" s="158"/>
      <c r="AU824" s="158" t="b">
        <f>IF(AT824="",TRUE,IF(VLOOKUP(AT824,Calculs!$A$740:$G$912,7,FALSE)&gt;0,TRUE,FALSE))</f>
        <v>1</v>
      </c>
      <c r="AV824" s="158" t="b">
        <f t="shared" si="88"/>
        <v>0</v>
      </c>
      <c r="AW824" s="158" t="s">
        <v>2078</v>
      </c>
      <c r="AX824" s="162" t="s">
        <v>158</v>
      </c>
      <c r="AY824" s="15">
        <v>197</v>
      </c>
      <c r="AZ824" s="555" t="s">
        <v>8702</v>
      </c>
      <c r="BA824" s="559">
        <f>IF(Verso!$B$10=Voies!$B824,1,0)</f>
        <v>0</v>
      </c>
      <c r="BB824" s="12">
        <f>IF(Verso!$B$11=Voies!$B824,1,0)</f>
        <v>0</v>
      </c>
      <c r="BC824" s="12">
        <f>IF(Verso!$B$12=Voies!$B824,1,0)</f>
        <v>0</v>
      </c>
      <c r="BD824" s="12">
        <f>IF(Verso!$B$13=Voies!$B824,1,0)</f>
        <v>0</v>
      </c>
      <c r="BE824" s="12">
        <f>IF(Verso!$B$14=Voies!$B824,1,0)</f>
        <v>0</v>
      </c>
      <c r="BF824" s="12">
        <f>IF(Verso!$B$15=Voies!$B824,1,0)</f>
        <v>0</v>
      </c>
      <c r="BG824" s="12">
        <f>IF(Verso!$B$16=Voies!$B824,1,0)</f>
        <v>0</v>
      </c>
      <c r="BH824" s="12">
        <f>IF(Verso!$B$17=Voies!$B824,1,0)</f>
        <v>0</v>
      </c>
      <c r="BI824" s="557">
        <f t="shared" si="89"/>
        <v>0</v>
      </c>
      <c r="BJ824" s="196" t="str">
        <f t="shared" si="90"/>
        <v/>
      </c>
      <c r="BK824" s="196" t="str">
        <f t="shared" si="91"/>
        <v/>
      </c>
      <c r="BL824" s="295" t="str">
        <f t="shared" si="92"/>
        <v/>
      </c>
    </row>
    <row r="825" spans="1:65" ht="47.25" customHeight="1" x14ac:dyDescent="0.25">
      <c r="A825" s="162" t="str">
        <f>IF(AND(Réputation&gt;Voies!E825-1,OR(C825=TRUE,Calculs!$I$8&gt;0),Air&gt;Voies!J825-1,Eau&gt;Voies!K825-1,Feu&gt;Voies!L825-1,Terre&gt;Voies!M825-1,Vide&gt;Voies!N825-1,Constitution&gt;Voies!O825-1,Volonté&gt;Voies!P825-1,Force&gt;Voies!Q825-1,Perception&gt;Voies!R825-1,Reflexes&gt;Voies!S825-1,Agilité&gt;Voies!T825-1,Intuition&gt;Voies!U825-1,Intelligence&gt;Voies!V825-1,Souillure&gt;Voies!W825-1,Honneur&gt;X825-1,Statut&gt;Y825-1,Gloire&gt;Z825-1,AV825=TRUE),Voies!B825,"")</f>
        <v/>
      </c>
      <c r="B825" s="162" t="s">
        <v>3354</v>
      </c>
      <c r="C825" s="162" t="b">
        <f>IF(Clan=Voies!D825,TRUE,FALSE)</f>
        <v>0</v>
      </c>
      <c r="D825" s="387" t="s">
        <v>177</v>
      </c>
      <c r="E825" s="13">
        <v>3</v>
      </c>
      <c r="F825" s="199">
        <v>3</v>
      </c>
      <c r="G825" s="199" t="s">
        <v>2048</v>
      </c>
      <c r="H825" s="162" t="s">
        <v>604</v>
      </c>
      <c r="I825" s="129" t="s">
        <v>3352</v>
      </c>
      <c r="J825" s="146">
        <v>0</v>
      </c>
      <c r="K825" s="147">
        <v>0</v>
      </c>
      <c r="L825" s="148">
        <v>0</v>
      </c>
      <c r="M825" s="149">
        <v>0</v>
      </c>
      <c r="N825" s="150">
        <v>0</v>
      </c>
      <c r="O825" s="130">
        <v>0</v>
      </c>
      <c r="P825" s="130">
        <v>0</v>
      </c>
      <c r="Q825" s="130">
        <v>0</v>
      </c>
      <c r="R825" s="130">
        <v>0</v>
      </c>
      <c r="S825" s="130">
        <v>0</v>
      </c>
      <c r="T825" s="130">
        <v>0</v>
      </c>
      <c r="U825" s="130">
        <v>0</v>
      </c>
      <c r="V825" s="524">
        <v>0</v>
      </c>
      <c r="W825" s="130">
        <v>0</v>
      </c>
      <c r="X825" s="130">
        <v>0</v>
      </c>
      <c r="Y825" s="130">
        <v>0</v>
      </c>
      <c r="Z825" s="130">
        <v>0</v>
      </c>
      <c r="AA825" s="158" t="s">
        <v>2078</v>
      </c>
      <c r="AB825" s="158"/>
      <c r="AC825" s="158"/>
      <c r="AD825" s="158"/>
      <c r="AE825" s="158" t="b">
        <f>IF(AB825="",TRUE,IF(IF(AC825="",VLOOKUP(AB825,Calculs!$A$19:$S$425,19,FALSE),VLOOKUP(AC825,Calculs!$A$19:$S$425,19,FALSE))&gt;=AD825,TRUE,FALSE))</f>
        <v>1</v>
      </c>
      <c r="AF825" s="158"/>
      <c r="AG825" s="158"/>
      <c r="AH825" s="158"/>
      <c r="AI825" s="158" t="b">
        <f>IF(AF825="",TRUE,IF(IF(AG825="",VLOOKUP(AF825,Calculs!$A$19:$S$425,19,FALSE),VLOOKUP(AG825,Calculs!$A$19:$S$425,19,FALSE))&gt;=AH825,TRUE,FALSE))</f>
        <v>1</v>
      </c>
      <c r="AJ825" s="158"/>
      <c r="AK825" s="158"/>
      <c r="AL825" s="158"/>
      <c r="AM825" s="158" t="b">
        <f>IF(AJ825="",TRUE,IF(IF(AK825="",VLOOKUP(AJ825,Calculs!$A$19:$S$425,19,FALSE),VLOOKUP(AK825,Calculs!$A$19:$S$425,19,FALSE))&gt;=AL825,TRUE,FALSE))</f>
        <v>1</v>
      </c>
      <c r="AN825" s="158"/>
      <c r="AO825" s="158"/>
      <c r="AP825" s="158"/>
      <c r="AQ825" s="158" t="b">
        <f>IF(AN825="",TRUE,IF(IF(AO825="",VLOOKUP(AN825,Calculs!$A$19:$S$425,19,FALSE),VLOOKUP(AO825,Calculs!$A$19:$S$425,19,FALSE))&gt;=AP825,TRUE,FALSE))</f>
        <v>1</v>
      </c>
      <c r="AR825" s="158"/>
      <c r="AS825" s="158" t="b">
        <f>IF(AR825="",TRUE,IF(VLOOKUP(AR825,Calculs!$A$427:$G$738,7,FALSE)&gt;0,TRUE,FALSE))</f>
        <v>1</v>
      </c>
      <c r="AT825" s="158"/>
      <c r="AU825" s="158" t="b">
        <f>IF(AT825="",TRUE,IF(VLOOKUP(AT825,Calculs!$A$740:$G$912,7,FALSE)&gt;0,TRUE,FALSE))</f>
        <v>1</v>
      </c>
      <c r="AV825" s="158" t="b">
        <f t="shared" si="88"/>
        <v>1</v>
      </c>
      <c r="AW825" s="159" t="s">
        <v>3353</v>
      </c>
      <c r="AX825" s="162" t="s">
        <v>118</v>
      </c>
      <c r="AY825" s="15">
        <v>181</v>
      </c>
      <c r="AZ825" s="555" t="str">
        <f>CONCATENATE(Perception,  " fois par jour, vous pouvez dépenser un PVide pour lancer le sort Appel du Brouillard ou Royaume Factice en AS")</f>
        <v>2 fois par jour, vous pouvez dépenser un PVide pour lancer le sort Appel du Brouillard ou Royaume Factice en AS</v>
      </c>
      <c r="BA825" s="559">
        <f>IF(Verso!$B$10=Voies!$B825,1,0)</f>
        <v>0</v>
      </c>
      <c r="BB825" s="12">
        <f>IF(Verso!$B$11=Voies!$B825,1,0)</f>
        <v>0</v>
      </c>
      <c r="BC825" s="12">
        <f>IF(Verso!$B$12=Voies!$B825,1,0)</f>
        <v>0</v>
      </c>
      <c r="BD825" s="12">
        <f>IF(Verso!$B$13=Voies!$B825,1,0)</f>
        <v>0</v>
      </c>
      <c r="BE825" s="12">
        <f>IF(Verso!$B$14=Voies!$B825,1,0)</f>
        <v>0</v>
      </c>
      <c r="BF825" s="12">
        <f>IF(Verso!$B$15=Voies!$B825,1,0)</f>
        <v>0</v>
      </c>
      <c r="BG825" s="12">
        <f>IF(Verso!$B$16=Voies!$B825,1,0)</f>
        <v>0</v>
      </c>
      <c r="BH825" s="12">
        <f>IF(Verso!$B$17=Voies!$B825,1,0)</f>
        <v>0</v>
      </c>
      <c r="BI825" s="557">
        <f t="shared" si="89"/>
        <v>0</v>
      </c>
      <c r="BJ825" s="196" t="str">
        <f t="shared" si="90"/>
        <v/>
      </c>
      <c r="BK825" s="196" t="str">
        <f t="shared" si="91"/>
        <v/>
      </c>
      <c r="BL825" s="295" t="str">
        <f t="shared" si="92"/>
        <v/>
      </c>
    </row>
    <row r="826" spans="1:65" ht="47.25" customHeight="1" x14ac:dyDescent="0.25">
      <c r="A826" s="162" t="str">
        <f>IF(AND(Réputation&gt;Voies!E826-1,OR(C826=TRUE,Calculs!$I$8&gt;0),Air&gt;Voies!J826-1,Eau&gt;Voies!K826-1,Feu&gt;Voies!L826-1,Terre&gt;Voies!M826-1,Vide&gt;Voies!N826-1,Constitution&gt;Voies!O826-1,Volonté&gt;Voies!P826-1,Force&gt;Voies!Q826-1,Perception&gt;Voies!R826-1,Reflexes&gt;Voies!S826-1,Agilité&gt;Voies!T826-1,Intuition&gt;Voies!U826-1,Intelligence&gt;Voies!V826-1,Souillure&gt;Voies!W826-1,Honneur&gt;X826-1,Statut&gt;Y826-1,Gloire&gt;Z826-1,AV826=TRUE),Voies!B826,"")</f>
        <v/>
      </c>
      <c r="B826" s="162" t="s">
        <v>7814</v>
      </c>
      <c r="C826" s="162" t="b">
        <f>IF(Clan=Voies!D826,TRUE,FALSE)</f>
        <v>0</v>
      </c>
      <c r="D826" s="387" t="s">
        <v>177</v>
      </c>
      <c r="E826" s="199">
        <v>3</v>
      </c>
      <c r="F826" s="199">
        <v>3</v>
      </c>
      <c r="G826" s="199" t="s">
        <v>2048</v>
      </c>
      <c r="H826" s="162" t="s">
        <v>7814</v>
      </c>
      <c r="I826" s="129" t="s">
        <v>3352</v>
      </c>
      <c r="J826" s="146">
        <v>3</v>
      </c>
      <c r="K826" s="147">
        <v>3</v>
      </c>
      <c r="L826" s="148">
        <v>3</v>
      </c>
      <c r="M826" s="149">
        <v>3</v>
      </c>
      <c r="N826" s="150">
        <v>3</v>
      </c>
      <c r="O826" s="130">
        <v>0</v>
      </c>
      <c r="P826" s="130">
        <v>0</v>
      </c>
      <c r="Q826" s="130">
        <v>0</v>
      </c>
      <c r="R826" s="130">
        <v>0</v>
      </c>
      <c r="S826" s="130">
        <v>0</v>
      </c>
      <c r="T826" s="130">
        <v>0</v>
      </c>
      <c r="U826" s="130">
        <v>0</v>
      </c>
      <c r="V826" s="524">
        <v>0</v>
      </c>
      <c r="W826" s="130">
        <v>0</v>
      </c>
      <c r="X826" s="130">
        <v>0</v>
      </c>
      <c r="Y826" s="130">
        <v>0</v>
      </c>
      <c r="Z826" s="130">
        <v>0</v>
      </c>
      <c r="AA826" s="159" t="s">
        <v>7815</v>
      </c>
      <c r="AB826" s="159" t="s">
        <v>7702</v>
      </c>
      <c r="AD826" s="159">
        <v>3</v>
      </c>
      <c r="AE826" s="158" t="b">
        <f>IF(AB826="",TRUE,IF(IF(AC826="",VLOOKUP(AB826,Calculs!$A$19:$S$425,19,FALSE),VLOOKUP(AC826,Calculs!$A$19:$S$425,19,FALSE))&gt;=AD826,TRUE,FALSE))</f>
        <v>0</v>
      </c>
      <c r="AF826" s="158"/>
      <c r="AG826" s="158"/>
      <c r="AH826" s="158"/>
      <c r="AI826" s="158" t="b">
        <f>IF(AF826="",TRUE,IF(IF(AG826="",VLOOKUP(AF826,Calculs!$A$19:$S$425,19,FALSE),VLOOKUP(AG826,Calculs!$A$19:$S$425,19,FALSE))&gt;=AH826,TRUE,FALSE))</f>
        <v>1</v>
      </c>
      <c r="AJ826" s="158"/>
      <c r="AK826" s="158"/>
      <c r="AL826" s="158"/>
      <c r="AM826" s="158" t="b">
        <f>IF(AJ826="",TRUE,IF(IF(AK826="",VLOOKUP(AJ826,Calculs!$A$19:$S$425,19,FALSE),VLOOKUP(AK826,Calculs!$A$19:$S$425,19,FALSE))&gt;=AL826,TRUE,FALSE))</f>
        <v>1</v>
      </c>
      <c r="AN826" s="158"/>
      <c r="AO826" s="158"/>
      <c r="AP826" s="158"/>
      <c r="AQ826" s="158" t="b">
        <f>IF(AN826="",TRUE,IF(IF(AO826="",VLOOKUP(AN826,Calculs!$A$19:$S$425,19,FALSE),VLOOKUP(AO826,Calculs!$A$19:$S$425,19,FALSE))&gt;=AP826,TRUE,FALSE))</f>
        <v>1</v>
      </c>
      <c r="AR826" s="158"/>
      <c r="AS826" s="158" t="b">
        <f>IF(AR826="",TRUE,IF(VLOOKUP(AR826,Calculs!$A$427:$G$738,7,FALSE)&gt;0,TRUE,FALSE))</f>
        <v>1</v>
      </c>
      <c r="AT826" s="158"/>
      <c r="AU826" s="158" t="b">
        <f>IF(AT826="",TRUE,IF(VLOOKUP(AT826,Calculs!$A$740:$G$912,7,FALSE)&gt;0,TRUE,FALSE))</f>
        <v>1</v>
      </c>
      <c r="AV826" s="158" t="b">
        <f t="shared" si="88"/>
        <v>0</v>
      </c>
      <c r="AW826" s="158" t="s">
        <v>2078</v>
      </c>
      <c r="AX826" s="162" t="s">
        <v>7226</v>
      </c>
      <c r="AY826" s="15">
        <v>72</v>
      </c>
      <c r="AZ826" s="555" t="s">
        <v>8703</v>
      </c>
      <c r="BA826" s="559">
        <f>IF(Verso!$B$10=Voies!$B826,1,0)</f>
        <v>0</v>
      </c>
      <c r="BB826" s="12">
        <f>IF(Verso!$B$11=Voies!$B826,1,0)</f>
        <v>0</v>
      </c>
      <c r="BC826" s="12">
        <f>IF(Verso!$B$12=Voies!$B826,1,0)</f>
        <v>0</v>
      </c>
      <c r="BD826" s="12">
        <f>IF(Verso!$B$13=Voies!$B826,1,0)</f>
        <v>0</v>
      </c>
      <c r="BE826" s="12">
        <f>IF(Verso!$B$14=Voies!$B826,1,0)</f>
        <v>0</v>
      </c>
      <c r="BF826" s="12">
        <f>IF(Verso!$B$15=Voies!$B826,1,0)</f>
        <v>0</v>
      </c>
      <c r="BG826" s="12">
        <f>IF(Verso!$B$16=Voies!$B826,1,0)</f>
        <v>0</v>
      </c>
      <c r="BH826" s="12">
        <f>IF(Verso!$B$17=Voies!$B826,1,0)</f>
        <v>0</v>
      </c>
      <c r="BI826" s="557">
        <f t="shared" si="89"/>
        <v>0</v>
      </c>
      <c r="BJ826" s="196" t="str">
        <f t="shared" si="90"/>
        <v/>
      </c>
      <c r="BK826" s="196" t="str">
        <f t="shared" si="91"/>
        <v/>
      </c>
      <c r="BL826" s="295" t="str">
        <f t="shared" si="92"/>
        <v/>
      </c>
    </row>
    <row r="827" spans="1:65" s="196" customFormat="1" ht="47.25" customHeight="1" x14ac:dyDescent="0.25">
      <c r="A827" s="162" t="str">
        <f>IF(AND(Réputation&gt;Voies!E827-1,OR(C827=TRUE,Calculs!$I$8&gt;0),Air&gt;Voies!J827-1,Eau&gt;Voies!K827-1,Feu&gt;Voies!L827-1,Terre&gt;Voies!M827-1,Vide&gt;Voies!N827-1,Constitution&gt;Voies!O827-1,Volonté&gt;Voies!P827-1,Force&gt;Voies!Q827-1,Perception&gt;Voies!R827-1,Reflexes&gt;Voies!S827-1,Agilité&gt;Voies!T827-1,Intuition&gt;Voies!U827-1,Intelligence&gt;Voies!V827-1,Souillure&gt;Voies!W827-1,Honneur&gt;X827-1,Statut&gt;Y827-1,Gloire&gt;Z827-1,AV827=TRUE),Voies!B827,"")</f>
        <v/>
      </c>
      <c r="B827" s="162" t="s">
        <v>3672</v>
      </c>
      <c r="C827" s="162" t="b">
        <f>IF(Clan=Voies!D827,TRUE,FALSE)</f>
        <v>0</v>
      </c>
      <c r="D827" s="387" t="s">
        <v>177</v>
      </c>
      <c r="E827" s="199">
        <v>3</v>
      </c>
      <c r="F827" s="199">
        <v>3</v>
      </c>
      <c r="G827" s="199" t="s">
        <v>2048</v>
      </c>
      <c r="H827" s="162" t="s">
        <v>568</v>
      </c>
      <c r="I827" s="129" t="s">
        <v>3352</v>
      </c>
      <c r="J827" s="146">
        <v>0</v>
      </c>
      <c r="K827" s="147">
        <v>0</v>
      </c>
      <c r="L827" s="148">
        <v>0</v>
      </c>
      <c r="M827" s="149">
        <v>0</v>
      </c>
      <c r="N827" s="150">
        <v>0</v>
      </c>
      <c r="O827" s="130">
        <v>0</v>
      </c>
      <c r="P827" s="130">
        <v>0</v>
      </c>
      <c r="Q827" s="130">
        <v>0</v>
      </c>
      <c r="R827" s="130">
        <v>0</v>
      </c>
      <c r="S827" s="130">
        <v>0</v>
      </c>
      <c r="T827" s="130">
        <v>0</v>
      </c>
      <c r="U827" s="130">
        <v>0</v>
      </c>
      <c r="V827" s="524">
        <v>0</v>
      </c>
      <c r="W827" s="130">
        <v>0</v>
      </c>
      <c r="X827" s="130">
        <v>0</v>
      </c>
      <c r="Y827" s="130">
        <v>0</v>
      </c>
      <c r="Z827" s="130">
        <v>0</v>
      </c>
      <c r="AA827" s="158" t="s">
        <v>2078</v>
      </c>
      <c r="AB827" s="158"/>
      <c r="AC827" s="158"/>
      <c r="AD827" s="158"/>
      <c r="AE827" s="158" t="b">
        <f>IF(AB827="",TRUE,IF(IF(AC827="",VLOOKUP(AB827,Calculs!$A$19:$S$425,19,FALSE),VLOOKUP(AC827,Calculs!$A$19:$S$425,19,FALSE))&gt;=AD827,TRUE,FALSE))</f>
        <v>1</v>
      </c>
      <c r="AF827" s="158"/>
      <c r="AG827" s="158"/>
      <c r="AH827" s="158"/>
      <c r="AI827" s="158" t="b">
        <f>IF(AF827="",TRUE,IF(IF(AG827="",VLOOKUP(AF827,Calculs!$A$19:$S$425,19,FALSE),VLOOKUP(AG827,Calculs!$A$19:$S$425,19,FALSE))&gt;=AH827,TRUE,FALSE))</f>
        <v>1</v>
      </c>
      <c r="AJ827" s="158"/>
      <c r="AK827" s="158"/>
      <c r="AL827" s="158"/>
      <c r="AM827" s="158" t="b">
        <f>IF(AJ827="",TRUE,IF(IF(AK827="",VLOOKUP(AJ827,Calculs!$A$19:$S$425,19,FALSE),VLOOKUP(AK827,Calculs!$A$19:$S$425,19,FALSE))&gt;=AL827,TRUE,FALSE))</f>
        <v>1</v>
      </c>
      <c r="AN827" s="158"/>
      <c r="AO827" s="158"/>
      <c r="AP827" s="158"/>
      <c r="AQ827" s="158" t="b">
        <f>IF(AN827="",TRUE,IF(IF(AO827="",VLOOKUP(AN827,Calculs!$A$19:$S$425,19,FALSE),VLOOKUP(AO827,Calculs!$A$19:$S$425,19,FALSE))&gt;=AP827,TRUE,FALSE))</f>
        <v>1</v>
      </c>
      <c r="AR827" s="158" t="s">
        <v>79</v>
      </c>
      <c r="AS827" s="158" t="b">
        <f>IF(AR827="",TRUE,IF(VLOOKUP(AR827,Calculs!$A$427:$G$738,7,FALSE)&gt;0,TRUE,FALSE))</f>
        <v>0</v>
      </c>
      <c r="AT827" s="158"/>
      <c r="AU827" s="158" t="b">
        <f>IF(AT827="",TRUE,IF(VLOOKUP(AT827,Calculs!$A$740:$G$912,7,FALSE)&gt;0,TRUE,FALSE))</f>
        <v>1</v>
      </c>
      <c r="AV827" s="158" t="b">
        <f t="shared" si="88"/>
        <v>0</v>
      </c>
      <c r="AW827" s="159" t="s">
        <v>3671</v>
      </c>
      <c r="AX827" s="162" t="s">
        <v>2077</v>
      </c>
      <c r="AY827" s="15">
        <v>214</v>
      </c>
      <c r="AZ827" s="555" t="str">
        <f>CONCATENATE("Lorsque que vous lancez un sort ciblant une créature ou un personage Souillé, vous pouvez dépenser jusqu’à ",Vide," Emplacements de Sorts pour diminuer la Réduction de votre adversaire d'un nombre égal à votre Rg. d'Ecole par emplacement dépensé.")</f>
        <v>Lorsque que vous lancez un sort ciblant une créature ou un personage Souillé, vous pouvez dépenser jusqu’à 2 Emplacements de Sorts pour diminuer la Réduction de votre adversaire d'un nombre égal à votre Rg. d'Ecole par emplacement dépensé.</v>
      </c>
      <c r="BA827" s="559">
        <f>IF(Verso!$B$10=Voies!$B827,1,0)</f>
        <v>0</v>
      </c>
      <c r="BB827" s="12">
        <f>IF(Verso!$B$11=Voies!$B827,1,0)</f>
        <v>0</v>
      </c>
      <c r="BC827" s="12">
        <f>IF(Verso!$B$12=Voies!$B827,1,0)</f>
        <v>0</v>
      </c>
      <c r="BD827" s="12">
        <f>IF(Verso!$B$13=Voies!$B827,1,0)</f>
        <v>0</v>
      </c>
      <c r="BE827" s="12">
        <f>IF(Verso!$B$14=Voies!$B827,1,0)</f>
        <v>0</v>
      </c>
      <c r="BF827" s="12">
        <f>IF(Verso!$B$15=Voies!$B827,1,0)</f>
        <v>0</v>
      </c>
      <c r="BG827" s="12">
        <f>IF(Verso!$B$16=Voies!$B827,1,0)</f>
        <v>0</v>
      </c>
      <c r="BH827" s="12">
        <f>IF(Verso!$B$17=Voies!$B827,1,0)</f>
        <v>0</v>
      </c>
      <c r="BI827" s="557">
        <f t="shared" si="89"/>
        <v>0</v>
      </c>
      <c r="BJ827" s="196" t="str">
        <f t="shared" si="90"/>
        <v/>
      </c>
      <c r="BK827" s="196" t="str">
        <f t="shared" si="91"/>
        <v/>
      </c>
      <c r="BL827" s="295" t="str">
        <f t="shared" si="92"/>
        <v/>
      </c>
      <c r="BM827" s="91"/>
    </row>
    <row r="828" spans="1:65" ht="47.25" customHeight="1" x14ac:dyDescent="0.25">
      <c r="A828" s="162" t="str">
        <f>IF(AND(Réputation&gt;Voies!E828-1,OR(C828=TRUE,Calculs!$I$8&gt;0),Air&gt;Voies!J828-1,Eau&gt;Voies!K828-1,Feu&gt;Voies!L828-1,Terre&gt;Voies!M828-1,Vide&gt;Voies!N828-1,Constitution&gt;Voies!O828-1,Volonté&gt;Voies!P828-1,Force&gt;Voies!Q828-1,Perception&gt;Voies!R828-1,Reflexes&gt;Voies!S828-1,Agilité&gt;Voies!T828-1,Intuition&gt;Voies!U828-1,Intelligence&gt;Voies!V828-1,Souillure&gt;Voies!W828-1,Honneur&gt;X828-1,Statut&gt;Y828-1,Gloire&gt;Z828-1,AV828=TRUE),Voies!B828,"")</f>
        <v/>
      </c>
      <c r="B828" s="162" t="s">
        <v>4840</v>
      </c>
      <c r="C828" s="162" t="b">
        <f>IF(Clan=Voies!D828,TRUE,FALSE)</f>
        <v>0</v>
      </c>
      <c r="D828" s="387" t="s">
        <v>177</v>
      </c>
      <c r="E828" s="13">
        <v>4</v>
      </c>
      <c r="F828" s="199">
        <v>4</v>
      </c>
      <c r="G828" s="13" t="s">
        <v>2057</v>
      </c>
      <c r="H828" s="162" t="s">
        <v>4836</v>
      </c>
      <c r="I828" s="129" t="str">
        <f t="shared" ref="I828:I833" si="93">IF(B828="","","Rien")</f>
        <v>Rien</v>
      </c>
      <c r="J828" s="146">
        <v>0</v>
      </c>
      <c r="K828" s="147">
        <v>0</v>
      </c>
      <c r="L828" s="148">
        <v>0</v>
      </c>
      <c r="M828" s="149">
        <v>0</v>
      </c>
      <c r="N828" s="150">
        <v>0</v>
      </c>
      <c r="O828" s="130">
        <v>0</v>
      </c>
      <c r="P828" s="130">
        <v>0</v>
      </c>
      <c r="Q828" s="130">
        <v>0</v>
      </c>
      <c r="R828" s="130">
        <v>0</v>
      </c>
      <c r="S828" s="130">
        <v>0</v>
      </c>
      <c r="T828" s="130">
        <v>0</v>
      </c>
      <c r="U828" s="130">
        <v>0</v>
      </c>
      <c r="V828" s="524">
        <v>0</v>
      </c>
      <c r="W828" s="130">
        <v>0</v>
      </c>
      <c r="X828" s="130">
        <v>0</v>
      </c>
      <c r="Y828" s="130">
        <v>0</v>
      </c>
      <c r="Z828" s="130">
        <v>0</v>
      </c>
      <c r="AA828" s="158" t="s">
        <v>2078</v>
      </c>
      <c r="AB828" s="158"/>
      <c r="AC828" s="158"/>
      <c r="AD828" s="158"/>
      <c r="AE828" s="158" t="b">
        <f>IF(AB828="",TRUE,IF(IF(AC828="",VLOOKUP(AB828,Calculs!$A$19:$S$425,19,FALSE),VLOOKUP(AC828,Calculs!$A$19:$S$425,19,FALSE))&gt;=AD828,TRUE,FALSE))</f>
        <v>1</v>
      </c>
      <c r="AF828" s="158"/>
      <c r="AG828" s="158"/>
      <c r="AH828" s="158"/>
      <c r="AI828" s="158" t="b">
        <f>IF(AF828="",TRUE,IF(IF(AG828="",VLOOKUP(AF828,Calculs!$A$19:$S$425,19,FALSE),VLOOKUP(AG828,Calculs!$A$19:$S$425,19,FALSE))&gt;=AH828,TRUE,FALSE))</f>
        <v>1</v>
      </c>
      <c r="AJ828" s="158"/>
      <c r="AK828" s="158"/>
      <c r="AL828" s="158"/>
      <c r="AM828" s="158" t="b">
        <f>IF(AJ828="",TRUE,IF(IF(AK828="",VLOOKUP(AJ828,Calculs!$A$19:$S$425,19,FALSE),VLOOKUP(AK828,Calculs!$A$19:$S$425,19,FALSE))&gt;=AL828,TRUE,FALSE))</f>
        <v>1</v>
      </c>
      <c r="AN828" s="158"/>
      <c r="AO828" s="158"/>
      <c r="AP828" s="158"/>
      <c r="AQ828" s="158" t="b">
        <f>IF(AN828="",TRUE,IF(IF(AO828="",VLOOKUP(AN828,Calculs!$A$19:$S$425,19,FALSE),VLOOKUP(AO828,Calculs!$A$19:$S$425,19,FALSE))&gt;=AP828,TRUE,FALSE))</f>
        <v>1</v>
      </c>
      <c r="AR828" s="158"/>
      <c r="AS828" s="158" t="b">
        <f>IF(AR828="",TRUE,IF(VLOOKUP(AR828,Calculs!$A$427:$G$738,7,FALSE)&gt;0,TRUE,FALSE))</f>
        <v>1</v>
      </c>
      <c r="AT828" s="158"/>
      <c r="AU828" s="158" t="b">
        <f>IF(AT828="",TRUE,IF(VLOOKUP(AT828,Calculs!$A$740:$G$912,7,FALSE)&gt;0,TRUE,FALSE))</f>
        <v>1</v>
      </c>
      <c r="AV828" s="158" t="b">
        <f t="shared" si="88"/>
        <v>1</v>
      </c>
      <c r="AW828" s="158" t="s">
        <v>2078</v>
      </c>
      <c r="AX828" s="162" t="s">
        <v>5202</v>
      </c>
      <c r="AY828" s="15">
        <v>124</v>
      </c>
      <c r="AZ828" s="555" t="s">
        <v>2697</v>
      </c>
      <c r="BA828" s="559">
        <f>IF(Verso!$B$10=Voies!$B828,1,0)</f>
        <v>0</v>
      </c>
      <c r="BB828" s="12">
        <f>IF(Verso!$B$11=Voies!$B828,1,0)</f>
        <v>0</v>
      </c>
      <c r="BC828" s="12">
        <f>IF(Verso!$B$12=Voies!$B828,1,0)</f>
        <v>0</v>
      </c>
      <c r="BD828" s="12">
        <f>IF(Verso!$B$13=Voies!$B828,1,0)</f>
        <v>0</v>
      </c>
      <c r="BE828" s="12">
        <f>IF(Verso!$B$14=Voies!$B828,1,0)</f>
        <v>0</v>
      </c>
      <c r="BF828" s="12">
        <f>IF(Verso!$B$15=Voies!$B828,1,0)</f>
        <v>0</v>
      </c>
      <c r="BG828" s="12">
        <f>IF(Verso!$B$16=Voies!$B828,1,0)</f>
        <v>0</v>
      </c>
      <c r="BH828" s="12">
        <f>IF(Verso!$B$17=Voies!$B828,1,0)</f>
        <v>0</v>
      </c>
      <c r="BI828" s="557">
        <f t="shared" si="89"/>
        <v>0</v>
      </c>
      <c r="BJ828" s="196" t="str">
        <f t="shared" si="90"/>
        <v/>
      </c>
      <c r="BK828" s="196" t="str">
        <f t="shared" si="91"/>
        <v/>
      </c>
      <c r="BL828" s="295" t="str">
        <f t="shared" si="92"/>
        <v/>
      </c>
    </row>
    <row r="829" spans="1:65" ht="47.25" customHeight="1" x14ac:dyDescent="0.25">
      <c r="A829" s="162" t="str">
        <f>IF(AND(Réputation&gt;Voies!E829-1,OR(C829=TRUE,Calculs!$I$8&gt;0),Air&gt;Voies!J829-1,Eau&gt;Voies!K829-1,Feu&gt;Voies!L829-1,Terre&gt;Voies!M829-1,Vide&gt;Voies!N829-1,Constitution&gt;Voies!O829-1,Volonté&gt;Voies!P829-1,Force&gt;Voies!Q829-1,Perception&gt;Voies!R829-1,Reflexes&gt;Voies!S829-1,Agilité&gt;Voies!T829-1,Intuition&gt;Voies!U829-1,Intelligence&gt;Voies!V829-1,Souillure&gt;Voies!W829-1,Honneur&gt;X829-1,Statut&gt;Y829-1,Gloire&gt;Z829-1,AV829=TRUE),Voies!B829,"")</f>
        <v/>
      </c>
      <c r="B829" s="162" t="s">
        <v>2498</v>
      </c>
      <c r="C829" s="162" t="b">
        <f>IF(Clan=Voies!D829,TRUE,FALSE)</f>
        <v>0</v>
      </c>
      <c r="D829" s="387" t="s">
        <v>177</v>
      </c>
      <c r="E829" s="13">
        <v>4</v>
      </c>
      <c r="F829" s="199">
        <v>4</v>
      </c>
      <c r="G829" s="199" t="s">
        <v>2049</v>
      </c>
      <c r="H829" s="162" t="s">
        <v>217</v>
      </c>
      <c r="I829" s="129" t="str">
        <f t="shared" si="93"/>
        <v>Rien</v>
      </c>
      <c r="J829" s="146">
        <v>0</v>
      </c>
      <c r="K829" s="147">
        <v>0</v>
      </c>
      <c r="L829" s="148">
        <v>0</v>
      </c>
      <c r="M829" s="149">
        <v>0</v>
      </c>
      <c r="N829" s="150">
        <v>0</v>
      </c>
      <c r="O829" s="130">
        <v>0</v>
      </c>
      <c r="P829" s="130">
        <v>0</v>
      </c>
      <c r="Q829" s="130">
        <v>0</v>
      </c>
      <c r="R829" s="130">
        <v>0</v>
      </c>
      <c r="S829" s="130">
        <v>0</v>
      </c>
      <c r="T829" s="130">
        <v>0</v>
      </c>
      <c r="U829" s="130">
        <v>0</v>
      </c>
      <c r="V829" s="524">
        <v>0</v>
      </c>
      <c r="W829" s="130">
        <v>0</v>
      </c>
      <c r="X829" s="130">
        <v>0</v>
      </c>
      <c r="Y829" s="130">
        <v>0</v>
      </c>
      <c r="Z829" s="130">
        <v>0</v>
      </c>
      <c r="AA829" s="158" t="s">
        <v>2078</v>
      </c>
      <c r="AB829" s="158"/>
      <c r="AC829" s="158"/>
      <c r="AD829" s="158"/>
      <c r="AE829" s="158" t="b">
        <f>IF(AB829="",TRUE,IF(IF(AC829="",VLOOKUP(AB829,Calculs!$A$19:$S$425,19,FALSE),VLOOKUP(AC829,Calculs!$A$19:$S$425,19,FALSE))&gt;=AD829,TRUE,FALSE))</f>
        <v>1</v>
      </c>
      <c r="AF829" s="158"/>
      <c r="AG829" s="158"/>
      <c r="AH829" s="158"/>
      <c r="AI829" s="158" t="b">
        <f>IF(AF829="",TRUE,IF(IF(AG829="",VLOOKUP(AF829,Calculs!$A$19:$S$425,19,FALSE),VLOOKUP(AG829,Calculs!$A$19:$S$425,19,FALSE))&gt;=AH829,TRUE,FALSE))</f>
        <v>1</v>
      </c>
      <c r="AJ829" s="158"/>
      <c r="AK829" s="158"/>
      <c r="AL829" s="158"/>
      <c r="AM829" s="158" t="b">
        <f>IF(AJ829="",TRUE,IF(IF(AK829="",VLOOKUP(AJ829,Calculs!$A$19:$S$425,19,FALSE),VLOOKUP(AK829,Calculs!$A$19:$S$425,19,FALSE))&gt;=AL829,TRUE,FALSE))</f>
        <v>1</v>
      </c>
      <c r="AN829" s="158"/>
      <c r="AO829" s="158"/>
      <c r="AP829" s="158"/>
      <c r="AQ829" s="158" t="b">
        <f>IF(AN829="",TRUE,IF(IF(AO829="",VLOOKUP(AN829,Calculs!$A$19:$S$425,19,FALSE),VLOOKUP(AO829,Calculs!$A$19:$S$425,19,FALSE))&gt;=AP829,TRUE,FALSE))</f>
        <v>1</v>
      </c>
      <c r="AR829" s="158"/>
      <c r="AS829" s="158" t="b">
        <f>IF(AR829="",TRUE,IF(VLOOKUP(AR829,Calculs!$A$427:$G$738,7,FALSE)&gt;0,TRUE,FALSE))</f>
        <v>1</v>
      </c>
      <c r="AT829" s="158"/>
      <c r="AU829" s="158" t="b">
        <f>IF(AT829="",TRUE,IF(VLOOKUP(AT829,Calculs!$A$740:$G$912,7,FALSE)&gt;0,TRUE,FALSE))</f>
        <v>1</v>
      </c>
      <c r="AV829" s="158" t="b">
        <f t="shared" si="88"/>
        <v>1</v>
      </c>
      <c r="AW829" s="158" t="s">
        <v>2078</v>
      </c>
      <c r="AX829" s="162" t="s">
        <v>3</v>
      </c>
      <c r="AY829" s="15">
        <v>126</v>
      </c>
      <c r="AZ829" s="555" t="s">
        <v>2525</v>
      </c>
      <c r="BA829" s="559">
        <f>IF(Verso!$B$10=Voies!$B829,1,0)</f>
        <v>0</v>
      </c>
      <c r="BB829" s="12">
        <f>IF(Verso!$B$11=Voies!$B829,1,0)</f>
        <v>0</v>
      </c>
      <c r="BC829" s="12">
        <f>IF(Verso!$B$12=Voies!$B829,1,0)</f>
        <v>0</v>
      </c>
      <c r="BD829" s="12">
        <f>IF(Verso!$B$13=Voies!$B829,1,0)</f>
        <v>0</v>
      </c>
      <c r="BE829" s="12">
        <f>IF(Verso!$B$14=Voies!$B829,1,0)</f>
        <v>0</v>
      </c>
      <c r="BF829" s="12">
        <f>IF(Verso!$B$15=Voies!$B829,1,0)</f>
        <v>0</v>
      </c>
      <c r="BG829" s="12">
        <f>IF(Verso!$B$16=Voies!$B829,1,0)</f>
        <v>0</v>
      </c>
      <c r="BH829" s="12">
        <f>IF(Verso!$B$17=Voies!$B829,1,0)</f>
        <v>0</v>
      </c>
      <c r="BI829" s="557">
        <f t="shared" si="89"/>
        <v>0</v>
      </c>
      <c r="BJ829" s="196" t="str">
        <f t="shared" si="90"/>
        <v/>
      </c>
      <c r="BK829" s="196" t="str">
        <f t="shared" si="91"/>
        <v/>
      </c>
      <c r="BL829" s="295" t="str">
        <f t="shared" si="92"/>
        <v/>
      </c>
    </row>
    <row r="830" spans="1:65" ht="47.25" customHeight="1" x14ac:dyDescent="0.25">
      <c r="A830" s="162" t="str">
        <f>IF(AND(Réputation&gt;Voies!E830-1,OR(C830=TRUE,Calculs!$I$8&gt;0),Air&gt;Voies!J830-1,Eau&gt;Voies!K830-1,Feu&gt;Voies!L830-1,Terre&gt;Voies!M830-1,Vide&gt;Voies!N830-1,Constitution&gt;Voies!O830-1,Volonté&gt;Voies!P830-1,Force&gt;Voies!Q830-1,Perception&gt;Voies!R830-1,Reflexes&gt;Voies!S830-1,Agilité&gt;Voies!T830-1,Intuition&gt;Voies!U830-1,Intelligence&gt;Voies!V830-1,Souillure&gt;Voies!W830-1,Honneur&gt;X830-1,Statut&gt;Y830-1,Gloire&gt;Z830-1,AV830=TRUE),Voies!B830,"")</f>
        <v/>
      </c>
      <c r="B830" s="162" t="s">
        <v>2503</v>
      </c>
      <c r="C830" s="162" t="b">
        <f>IF(Clan=Voies!D830,TRUE,FALSE)</f>
        <v>0</v>
      </c>
      <c r="D830" s="387" t="s">
        <v>177</v>
      </c>
      <c r="E830" s="13">
        <v>4</v>
      </c>
      <c r="F830" s="199">
        <v>4</v>
      </c>
      <c r="G830" s="157" t="s">
        <v>2052</v>
      </c>
      <c r="H830" s="162" t="s">
        <v>215</v>
      </c>
      <c r="I830" s="129" t="str">
        <f t="shared" si="93"/>
        <v>Rien</v>
      </c>
      <c r="J830" s="146">
        <v>0</v>
      </c>
      <c r="K830" s="147">
        <v>0</v>
      </c>
      <c r="L830" s="148">
        <v>0</v>
      </c>
      <c r="M830" s="149">
        <v>0</v>
      </c>
      <c r="N830" s="150">
        <v>0</v>
      </c>
      <c r="O830" s="130">
        <v>0</v>
      </c>
      <c r="P830" s="130">
        <v>0</v>
      </c>
      <c r="Q830" s="130">
        <v>0</v>
      </c>
      <c r="R830" s="130">
        <v>0</v>
      </c>
      <c r="S830" s="130">
        <v>0</v>
      </c>
      <c r="T830" s="130">
        <v>0</v>
      </c>
      <c r="U830" s="130">
        <v>0</v>
      </c>
      <c r="V830" s="524">
        <v>0</v>
      </c>
      <c r="W830" s="130">
        <v>0</v>
      </c>
      <c r="X830" s="130">
        <v>0</v>
      </c>
      <c r="Y830" s="130">
        <v>0</v>
      </c>
      <c r="Z830" s="130">
        <v>0</v>
      </c>
      <c r="AA830" s="158" t="s">
        <v>2078</v>
      </c>
      <c r="AB830" s="158"/>
      <c r="AC830" s="158"/>
      <c r="AD830" s="158"/>
      <c r="AE830" s="158" t="b">
        <f>IF(AB830="",TRUE,IF(IF(AC830="",VLOOKUP(AB830,Calculs!$A$19:$S$425,19,FALSE),VLOOKUP(AC830,Calculs!$A$19:$S$425,19,FALSE))&gt;=AD830,TRUE,FALSE))</f>
        <v>1</v>
      </c>
      <c r="AF830" s="158"/>
      <c r="AG830" s="158"/>
      <c r="AH830" s="158"/>
      <c r="AI830" s="158" t="b">
        <f>IF(AF830="",TRUE,IF(IF(AG830="",VLOOKUP(AF830,Calculs!$A$19:$S$425,19,FALSE),VLOOKUP(AG830,Calculs!$A$19:$S$425,19,FALSE))&gt;=AH830,TRUE,FALSE))</f>
        <v>1</v>
      </c>
      <c r="AJ830" s="158"/>
      <c r="AK830" s="158"/>
      <c r="AL830" s="158"/>
      <c r="AM830" s="158" t="b">
        <f>IF(AJ830="",TRUE,IF(IF(AK830="",VLOOKUP(AJ830,Calculs!$A$19:$S$425,19,FALSE),VLOOKUP(AK830,Calculs!$A$19:$S$425,19,FALSE))&gt;=AL830,TRUE,FALSE))</f>
        <v>1</v>
      </c>
      <c r="AN830" s="158"/>
      <c r="AO830" s="158"/>
      <c r="AP830" s="158"/>
      <c r="AQ830" s="158" t="b">
        <f>IF(AN830="",TRUE,IF(IF(AO830="",VLOOKUP(AN830,Calculs!$A$19:$S$425,19,FALSE),VLOOKUP(AO830,Calculs!$A$19:$S$425,19,FALSE))&gt;=AP830,TRUE,FALSE))</f>
        <v>1</v>
      </c>
      <c r="AR830" s="158"/>
      <c r="AS830" s="158" t="b">
        <f>IF(AR830="",TRUE,IF(VLOOKUP(AR830,Calculs!$A$427:$G$738,7,FALSE)&gt;0,TRUE,FALSE))</f>
        <v>1</v>
      </c>
      <c r="AT830" s="158"/>
      <c r="AU830" s="158" t="b">
        <f>IF(AT830="",TRUE,IF(VLOOKUP(AT830,Calculs!$A$740:$G$912,7,FALSE)&gt;0,TRUE,FALSE))</f>
        <v>1</v>
      </c>
      <c r="AV830" s="158" t="b">
        <f t="shared" si="88"/>
        <v>1</v>
      </c>
      <c r="AW830" s="158" t="s">
        <v>2078</v>
      </c>
      <c r="AX830" s="162" t="s">
        <v>3</v>
      </c>
      <c r="AY830" s="15">
        <v>128</v>
      </c>
      <c r="AZ830" s="555" t="s">
        <v>2526</v>
      </c>
      <c r="BA830" s="559">
        <f>IF(Verso!$B$10=Voies!$B830,1,0)</f>
        <v>0</v>
      </c>
      <c r="BB830" s="12">
        <f>IF(Verso!$B$11=Voies!$B830,1,0)</f>
        <v>0</v>
      </c>
      <c r="BC830" s="12">
        <f>IF(Verso!$B$12=Voies!$B830,1,0)</f>
        <v>0</v>
      </c>
      <c r="BD830" s="12">
        <f>IF(Verso!$B$13=Voies!$B830,1,0)</f>
        <v>0</v>
      </c>
      <c r="BE830" s="12">
        <f>IF(Verso!$B$14=Voies!$B830,1,0)</f>
        <v>0</v>
      </c>
      <c r="BF830" s="12">
        <f>IF(Verso!$B$15=Voies!$B830,1,0)</f>
        <v>0</v>
      </c>
      <c r="BG830" s="12">
        <f>IF(Verso!$B$16=Voies!$B830,1,0)</f>
        <v>0</v>
      </c>
      <c r="BH830" s="12">
        <f>IF(Verso!$B$17=Voies!$B830,1,0)</f>
        <v>0</v>
      </c>
      <c r="BI830" s="557">
        <f t="shared" si="89"/>
        <v>0</v>
      </c>
      <c r="BJ830" s="196" t="str">
        <f t="shared" si="90"/>
        <v/>
      </c>
      <c r="BK830" s="196" t="str">
        <f t="shared" si="91"/>
        <v/>
      </c>
      <c r="BL830" s="295" t="str">
        <f t="shared" si="92"/>
        <v/>
      </c>
    </row>
    <row r="831" spans="1:65" ht="47.25" customHeight="1" x14ac:dyDescent="0.25">
      <c r="A831" s="162" t="str">
        <f>IF(AND(Réputation&gt;Voies!E831-1,OR(C831=TRUE,Calculs!$I$8&gt;0),Air&gt;Voies!J831-1,Eau&gt;Voies!K831-1,Feu&gt;Voies!L831-1,Terre&gt;Voies!M831-1,Vide&gt;Voies!N831-1,Constitution&gt;Voies!O831-1,Volonté&gt;Voies!P831-1,Force&gt;Voies!Q831-1,Perception&gt;Voies!R831-1,Reflexes&gt;Voies!S831-1,Agilité&gt;Voies!T831-1,Intuition&gt;Voies!U831-1,Intelligence&gt;Voies!V831-1,Souillure&gt;Voies!W831-1,Honneur&gt;X831-1,Statut&gt;Y831-1,Gloire&gt;Z831-1,AV831=TRUE),Voies!B831,"")</f>
        <v/>
      </c>
      <c r="B831" s="162" t="s">
        <v>2890</v>
      </c>
      <c r="C831" s="162" t="b">
        <f>IF(Clan=Voies!D831,TRUE,FALSE)</f>
        <v>0</v>
      </c>
      <c r="D831" s="387" t="s">
        <v>177</v>
      </c>
      <c r="E831" s="13">
        <v>4</v>
      </c>
      <c r="F831" s="199">
        <v>4</v>
      </c>
      <c r="G831" s="199" t="s">
        <v>2050</v>
      </c>
      <c r="H831" s="162" t="s">
        <v>214</v>
      </c>
      <c r="I831" s="129" t="str">
        <f t="shared" si="93"/>
        <v>Rien</v>
      </c>
      <c r="J831" s="146">
        <v>0</v>
      </c>
      <c r="K831" s="147">
        <v>0</v>
      </c>
      <c r="L831" s="148">
        <v>0</v>
      </c>
      <c r="M831" s="149">
        <v>0</v>
      </c>
      <c r="N831" s="150">
        <v>0</v>
      </c>
      <c r="O831" s="130">
        <v>0</v>
      </c>
      <c r="P831" s="130">
        <v>0</v>
      </c>
      <c r="Q831" s="130">
        <v>0</v>
      </c>
      <c r="R831" s="130">
        <v>0</v>
      </c>
      <c r="S831" s="130">
        <v>0</v>
      </c>
      <c r="T831" s="130">
        <v>0</v>
      </c>
      <c r="U831" s="130">
        <v>0</v>
      </c>
      <c r="V831" s="524">
        <v>0</v>
      </c>
      <c r="W831" s="130">
        <v>0</v>
      </c>
      <c r="X831" s="130">
        <v>0</v>
      </c>
      <c r="Y831" s="130">
        <v>0</v>
      </c>
      <c r="Z831" s="130">
        <v>0</v>
      </c>
      <c r="AA831" s="158" t="s">
        <v>2078</v>
      </c>
      <c r="AB831" s="158"/>
      <c r="AC831" s="158"/>
      <c r="AD831" s="158"/>
      <c r="AE831" s="158" t="b">
        <f>IF(AB831="",TRUE,IF(IF(AC831="",VLOOKUP(AB831,Calculs!$A$19:$S$425,19,FALSE),VLOOKUP(AC831,Calculs!$A$19:$S$425,19,FALSE))&gt;=AD831,TRUE,FALSE))</f>
        <v>1</v>
      </c>
      <c r="AF831" s="158"/>
      <c r="AG831" s="158"/>
      <c r="AH831" s="158"/>
      <c r="AI831" s="158" t="b">
        <f>IF(AF831="",TRUE,IF(IF(AG831="",VLOOKUP(AF831,Calculs!$A$19:$S$425,19,FALSE),VLOOKUP(AG831,Calculs!$A$19:$S$425,19,FALSE))&gt;=AH831,TRUE,FALSE))</f>
        <v>1</v>
      </c>
      <c r="AJ831" s="158"/>
      <c r="AK831" s="158"/>
      <c r="AL831" s="158"/>
      <c r="AM831" s="158" t="b">
        <f>IF(AJ831="",TRUE,IF(IF(AK831="",VLOOKUP(AJ831,Calculs!$A$19:$S$425,19,FALSE),VLOOKUP(AK831,Calculs!$A$19:$S$425,19,FALSE))&gt;=AL831,TRUE,FALSE))</f>
        <v>1</v>
      </c>
      <c r="AN831" s="158"/>
      <c r="AO831" s="158"/>
      <c r="AP831" s="158"/>
      <c r="AQ831" s="158" t="b">
        <f>IF(AN831="",TRUE,IF(IF(AO831="",VLOOKUP(AN831,Calculs!$A$19:$S$425,19,FALSE),VLOOKUP(AO831,Calculs!$A$19:$S$425,19,FALSE))&gt;=AP831,TRUE,FALSE))</f>
        <v>1</v>
      </c>
      <c r="AR831" s="158"/>
      <c r="AS831" s="158" t="b">
        <f>IF(AR831="",TRUE,IF(VLOOKUP(AR831,Calculs!$A$427:$G$738,7,FALSE)&gt;0,TRUE,FALSE))</f>
        <v>1</v>
      </c>
      <c r="AT831" s="158"/>
      <c r="AU831" s="158" t="b">
        <f>IF(AT831="",TRUE,IF(VLOOKUP(AT831,Calculs!$A$740:$G$912,7,FALSE)&gt;0,TRUE,FALSE))</f>
        <v>1</v>
      </c>
      <c r="AV831" s="158" t="b">
        <f t="shared" si="88"/>
        <v>1</v>
      </c>
      <c r="AW831" s="158" t="s">
        <v>2078</v>
      </c>
      <c r="AX831" s="162" t="s">
        <v>6061</v>
      </c>
      <c r="AY831" s="15">
        <v>231</v>
      </c>
      <c r="AZ831" s="555" t="str">
        <f>CONCATENATE("Dépensez une AC: augmentez vos dégâts à Mains Nues de 0g",Feu,". Quand vous subissez des Dégâts: Test d'Opposition de Feu. En cas de réussite diminuez les Dégâts de ",Feu)</f>
        <v>Dépensez une AC: augmentez vos dégâts à Mains Nues de 0g2. Quand vous subissez des Dégâts: Test d'Opposition de Feu. En cas de réussite diminuez les Dégâts de 2</v>
      </c>
      <c r="BA831" s="559">
        <f>IF(Verso!$B$10=Voies!$B831,1,0)</f>
        <v>0</v>
      </c>
      <c r="BB831" s="12">
        <f>IF(Verso!$B$11=Voies!$B831,1,0)</f>
        <v>0</v>
      </c>
      <c r="BC831" s="12">
        <f>IF(Verso!$B$12=Voies!$B831,1,0)</f>
        <v>0</v>
      </c>
      <c r="BD831" s="12">
        <f>IF(Verso!$B$13=Voies!$B831,1,0)</f>
        <v>0</v>
      </c>
      <c r="BE831" s="12">
        <f>IF(Verso!$B$14=Voies!$B831,1,0)</f>
        <v>0</v>
      </c>
      <c r="BF831" s="12">
        <f>IF(Verso!$B$15=Voies!$B831,1,0)</f>
        <v>0</v>
      </c>
      <c r="BG831" s="12">
        <f>IF(Verso!$B$16=Voies!$B831,1,0)</f>
        <v>0</v>
      </c>
      <c r="BH831" s="12">
        <f>IF(Verso!$B$17=Voies!$B831,1,0)</f>
        <v>0</v>
      </c>
      <c r="BI831" s="557">
        <f t="shared" si="89"/>
        <v>0</v>
      </c>
      <c r="BJ831" s="196" t="str">
        <f t="shared" si="90"/>
        <v/>
      </c>
      <c r="BK831" s="196" t="str">
        <f t="shared" si="91"/>
        <v/>
      </c>
      <c r="BL831" s="295" t="str">
        <f t="shared" si="92"/>
        <v/>
      </c>
    </row>
    <row r="832" spans="1:65" ht="47.25" customHeight="1" x14ac:dyDescent="0.25">
      <c r="A832" s="162" t="str">
        <f>IF(AND(Réputation&gt;Voies!E832-1,OR(C832=TRUE,Calculs!$I$8&gt;0),Air&gt;Voies!J832-1,Eau&gt;Voies!K832-1,Feu&gt;Voies!L832-1,Terre&gt;Voies!M832-1,Vide&gt;Voies!N832-1,Constitution&gt;Voies!O832-1,Volonté&gt;Voies!P832-1,Force&gt;Voies!Q832-1,Perception&gt;Voies!R832-1,Reflexes&gt;Voies!S832-1,Agilité&gt;Voies!T832-1,Intuition&gt;Voies!U832-1,Intelligence&gt;Voies!V832-1,Souillure&gt;Voies!W832-1,Honneur&gt;X832-1,Statut&gt;Y832-1,Gloire&gt;Z832-1,AV832=TRUE),Voies!B832,"")</f>
        <v/>
      </c>
      <c r="B832" s="162" t="s">
        <v>4841</v>
      </c>
      <c r="C832" s="162" t="b">
        <f>IF(Clan=Voies!D832,TRUE,FALSE)</f>
        <v>0</v>
      </c>
      <c r="D832" s="387" t="s">
        <v>177</v>
      </c>
      <c r="E832" s="199">
        <v>5</v>
      </c>
      <c r="F832" s="199">
        <v>5</v>
      </c>
      <c r="G832" s="199" t="s">
        <v>2057</v>
      </c>
      <c r="H832" s="162" t="s">
        <v>4836</v>
      </c>
      <c r="I832" s="129" t="str">
        <f t="shared" si="93"/>
        <v>Rien</v>
      </c>
      <c r="J832" s="146">
        <v>0</v>
      </c>
      <c r="K832" s="147">
        <v>0</v>
      </c>
      <c r="L832" s="148">
        <v>0</v>
      </c>
      <c r="M832" s="149">
        <v>0</v>
      </c>
      <c r="N832" s="150">
        <v>0</v>
      </c>
      <c r="O832" s="130">
        <v>0</v>
      </c>
      <c r="P832" s="130">
        <v>0</v>
      </c>
      <c r="Q832" s="130">
        <v>0</v>
      </c>
      <c r="R832" s="130">
        <v>0</v>
      </c>
      <c r="S832" s="130">
        <v>0</v>
      </c>
      <c r="T832" s="130">
        <v>0</v>
      </c>
      <c r="U832" s="130">
        <v>0</v>
      </c>
      <c r="V832" s="524">
        <v>0</v>
      </c>
      <c r="W832" s="130">
        <v>0</v>
      </c>
      <c r="X832" s="130">
        <v>0</v>
      </c>
      <c r="Y832" s="130">
        <v>0</v>
      </c>
      <c r="Z832" s="130">
        <v>0</v>
      </c>
      <c r="AA832" s="158" t="s">
        <v>2078</v>
      </c>
      <c r="AB832" s="158"/>
      <c r="AC832" s="158"/>
      <c r="AD832" s="158"/>
      <c r="AE832" s="158" t="b">
        <f>IF(AB832="",TRUE,IF(IF(AC832="",VLOOKUP(AB832,Calculs!$A$19:$S$425,19,FALSE),VLOOKUP(AC832,Calculs!$A$19:$S$425,19,FALSE))&gt;=AD832,TRUE,FALSE))</f>
        <v>1</v>
      </c>
      <c r="AF832" s="158"/>
      <c r="AG832" s="158"/>
      <c r="AH832" s="158"/>
      <c r="AI832" s="158" t="b">
        <f>IF(AF832="",TRUE,IF(IF(AG832="",VLOOKUP(AF832,Calculs!$A$19:$S$425,19,FALSE),VLOOKUP(AG832,Calculs!$A$19:$S$425,19,FALSE))&gt;=AH832,TRUE,FALSE))</f>
        <v>1</v>
      </c>
      <c r="AJ832" s="158"/>
      <c r="AK832" s="158"/>
      <c r="AL832" s="158"/>
      <c r="AM832" s="158" t="b">
        <f>IF(AJ832="",TRUE,IF(IF(AK832="",VLOOKUP(AJ832,Calculs!$A$19:$S$425,19,FALSE),VLOOKUP(AK832,Calculs!$A$19:$S$425,19,FALSE))&gt;=AL832,TRUE,FALSE))</f>
        <v>1</v>
      </c>
      <c r="AN832" s="158"/>
      <c r="AO832" s="158"/>
      <c r="AP832" s="158"/>
      <c r="AQ832" s="158" t="b">
        <f>IF(AN832="",TRUE,IF(IF(AO832="",VLOOKUP(AN832,Calculs!$A$19:$S$425,19,FALSE),VLOOKUP(AO832,Calculs!$A$19:$S$425,19,FALSE))&gt;=AP832,TRUE,FALSE))</f>
        <v>1</v>
      </c>
      <c r="AR832" s="158"/>
      <c r="AS832" s="158" t="b">
        <f>IF(AR832="",TRUE,IF(VLOOKUP(AR832,Calculs!$A$427:$G$738,7,FALSE)&gt;0,TRUE,FALSE))</f>
        <v>1</v>
      </c>
      <c r="AT832" s="158"/>
      <c r="AU832" s="158" t="b">
        <f>IF(AT832="",TRUE,IF(VLOOKUP(AT832,Calculs!$A$740:$G$912,7,FALSE)&gt;0,TRUE,FALSE))</f>
        <v>1</v>
      </c>
      <c r="AV832" s="158" t="b">
        <f t="shared" si="88"/>
        <v>1</v>
      </c>
      <c r="AW832" s="158" t="s">
        <v>2078</v>
      </c>
      <c r="AX832" s="162" t="s">
        <v>5202</v>
      </c>
      <c r="AY832" s="15">
        <v>124</v>
      </c>
      <c r="AZ832" s="555" t="s">
        <v>2698</v>
      </c>
      <c r="BA832" s="559">
        <f>IF(Verso!$B$10=Voies!$B832,1,0)</f>
        <v>0</v>
      </c>
      <c r="BB832" s="12">
        <f>IF(Verso!$B$11=Voies!$B832,1,0)</f>
        <v>0</v>
      </c>
      <c r="BC832" s="12">
        <f>IF(Verso!$B$12=Voies!$B832,1,0)</f>
        <v>0</v>
      </c>
      <c r="BD832" s="12">
        <f>IF(Verso!$B$13=Voies!$B832,1,0)</f>
        <v>0</v>
      </c>
      <c r="BE832" s="12">
        <f>IF(Verso!$B$14=Voies!$B832,1,0)</f>
        <v>0</v>
      </c>
      <c r="BF832" s="12">
        <f>IF(Verso!$B$15=Voies!$B832,1,0)</f>
        <v>0</v>
      </c>
      <c r="BG832" s="12">
        <f>IF(Verso!$B$16=Voies!$B832,1,0)</f>
        <v>0</v>
      </c>
      <c r="BH832" s="12">
        <f>IF(Verso!$B$17=Voies!$B832,1,0)</f>
        <v>0</v>
      </c>
      <c r="BI832" s="557">
        <f t="shared" si="89"/>
        <v>0</v>
      </c>
      <c r="BJ832" s="196" t="str">
        <f t="shared" si="90"/>
        <v/>
      </c>
      <c r="BK832" s="196" t="str">
        <f t="shared" si="91"/>
        <v/>
      </c>
      <c r="BL832" s="295" t="str">
        <f t="shared" si="92"/>
        <v/>
      </c>
    </row>
    <row r="833" spans="1:65" ht="47.25" customHeight="1" x14ac:dyDescent="0.25">
      <c r="A833" s="162" t="str">
        <f>IF(AND(Réputation&gt;Voies!E833-1,OR(C833=TRUE,Calculs!$I$8&gt;0),Air&gt;Voies!J833-1,Eau&gt;Voies!K833-1,Feu&gt;Voies!L833-1,Terre&gt;Voies!M833-1,Vide&gt;Voies!N833-1,Constitution&gt;Voies!O833-1,Volonté&gt;Voies!P833-1,Force&gt;Voies!Q833-1,Perception&gt;Voies!R833-1,Reflexes&gt;Voies!S833-1,Agilité&gt;Voies!T833-1,Intuition&gt;Voies!U833-1,Intelligence&gt;Voies!V833-1,Souillure&gt;Voies!W833-1,Honneur&gt;X833-1,Statut&gt;Y833-1,Gloire&gt;Z833-1,AV833=TRUE),Voies!B833,"")</f>
        <v/>
      </c>
      <c r="B833" s="162" t="s">
        <v>859</v>
      </c>
      <c r="C833" s="162" t="b">
        <f>IF(Clan=Voies!D833,TRUE,FALSE)</f>
        <v>0</v>
      </c>
      <c r="D833" s="387" t="s">
        <v>177</v>
      </c>
      <c r="E833" s="199">
        <v>5</v>
      </c>
      <c r="F833" s="199">
        <v>5</v>
      </c>
      <c r="G833" s="13" t="s">
        <v>2049</v>
      </c>
      <c r="H833" s="162" t="s">
        <v>217</v>
      </c>
      <c r="I833" s="129" t="str">
        <f t="shared" si="93"/>
        <v>Rien</v>
      </c>
      <c r="J833" s="146">
        <v>0</v>
      </c>
      <c r="K833" s="147">
        <v>0</v>
      </c>
      <c r="L833" s="148">
        <v>0</v>
      </c>
      <c r="M833" s="149">
        <v>0</v>
      </c>
      <c r="N833" s="150">
        <v>0</v>
      </c>
      <c r="O833" s="130">
        <v>0</v>
      </c>
      <c r="P833" s="130">
        <v>0</v>
      </c>
      <c r="Q833" s="130">
        <v>0</v>
      </c>
      <c r="R833" s="130">
        <v>0</v>
      </c>
      <c r="S833" s="130">
        <v>0</v>
      </c>
      <c r="T833" s="130">
        <v>0</v>
      </c>
      <c r="U833" s="130">
        <v>0</v>
      </c>
      <c r="V833" s="524">
        <v>0</v>
      </c>
      <c r="W833" s="130">
        <v>0</v>
      </c>
      <c r="X833" s="130">
        <v>0</v>
      </c>
      <c r="Y833" s="130">
        <v>0</v>
      </c>
      <c r="Z833" s="130">
        <v>0</v>
      </c>
      <c r="AA833" s="158" t="s">
        <v>2078</v>
      </c>
      <c r="AB833" s="158"/>
      <c r="AC833" s="158"/>
      <c r="AD833" s="158"/>
      <c r="AE833" s="158" t="b">
        <f>IF(AB833="",TRUE,IF(IF(AC833="",VLOOKUP(AB833,Calculs!$A$19:$S$425,19,FALSE),VLOOKUP(AC833,Calculs!$A$19:$S$425,19,FALSE))&gt;=AD833,TRUE,FALSE))</f>
        <v>1</v>
      </c>
      <c r="AF833" s="158"/>
      <c r="AG833" s="158"/>
      <c r="AH833" s="158"/>
      <c r="AI833" s="158" t="b">
        <f>IF(AF833="",TRUE,IF(IF(AG833="",VLOOKUP(AF833,Calculs!$A$19:$S$425,19,FALSE),VLOOKUP(AG833,Calculs!$A$19:$S$425,19,FALSE))&gt;=AH833,TRUE,FALSE))</f>
        <v>1</v>
      </c>
      <c r="AJ833" s="158"/>
      <c r="AK833" s="158"/>
      <c r="AL833" s="158"/>
      <c r="AM833" s="158" t="b">
        <f>IF(AJ833="",TRUE,IF(IF(AK833="",VLOOKUP(AJ833,Calculs!$A$19:$S$425,19,FALSE),VLOOKUP(AK833,Calculs!$A$19:$S$425,19,FALSE))&gt;=AL833,TRUE,FALSE))</f>
        <v>1</v>
      </c>
      <c r="AN833" s="158"/>
      <c r="AO833" s="158"/>
      <c r="AP833" s="158"/>
      <c r="AQ833" s="158" t="b">
        <f>IF(AN833="",TRUE,IF(IF(AO833="",VLOOKUP(AN833,Calculs!$A$19:$S$425,19,FALSE),VLOOKUP(AO833,Calculs!$A$19:$S$425,19,FALSE))&gt;=AP833,TRUE,FALSE))</f>
        <v>1</v>
      </c>
      <c r="AR833" s="158"/>
      <c r="AS833" s="158" t="b">
        <f>IF(AR833="",TRUE,IF(VLOOKUP(AR833,Calculs!$A$427:$G$738,7,FALSE)&gt;0,TRUE,FALSE))</f>
        <v>1</v>
      </c>
      <c r="AT833" s="158"/>
      <c r="AU833" s="158" t="b">
        <f>IF(AT833="",TRUE,IF(VLOOKUP(AT833,Calculs!$A$740:$G$912,7,FALSE)&gt;0,TRUE,FALSE))</f>
        <v>1</v>
      </c>
      <c r="AV833" s="158" t="b">
        <f t="shared" si="88"/>
        <v>1</v>
      </c>
      <c r="AW833" s="158" t="s">
        <v>2078</v>
      </c>
      <c r="AX833" s="162" t="s">
        <v>3</v>
      </c>
      <c r="AY833" s="15">
        <v>126</v>
      </c>
      <c r="AZ833" s="555" t="s">
        <v>8704</v>
      </c>
      <c r="BA833" s="559">
        <f>IF(Verso!$B$10=Voies!$B833,1,0)</f>
        <v>0</v>
      </c>
      <c r="BB833" s="12">
        <f>IF(Verso!$B$11=Voies!$B833,1,0)</f>
        <v>0</v>
      </c>
      <c r="BC833" s="12">
        <f>IF(Verso!$B$12=Voies!$B833,1,0)</f>
        <v>0</v>
      </c>
      <c r="BD833" s="12">
        <f>IF(Verso!$B$13=Voies!$B833,1,0)</f>
        <v>0</v>
      </c>
      <c r="BE833" s="12">
        <f>IF(Verso!$B$14=Voies!$B833,1,0)</f>
        <v>0</v>
      </c>
      <c r="BF833" s="12">
        <f>IF(Verso!$B$15=Voies!$B833,1,0)</f>
        <v>0</v>
      </c>
      <c r="BG833" s="12">
        <f>IF(Verso!$B$16=Voies!$B833,1,0)</f>
        <v>0</v>
      </c>
      <c r="BH833" s="12">
        <f>IF(Verso!$B$17=Voies!$B833,1,0)</f>
        <v>0</v>
      </c>
      <c r="BI833" s="557">
        <f t="shared" si="89"/>
        <v>0</v>
      </c>
      <c r="BJ833" s="196" t="str">
        <f t="shared" si="90"/>
        <v/>
      </c>
      <c r="BK833" s="196" t="str">
        <f t="shared" si="91"/>
        <v/>
      </c>
      <c r="BL833" s="295" t="str">
        <f t="shared" si="92"/>
        <v/>
      </c>
    </row>
    <row r="834" spans="1:65" ht="47.25" customHeight="1" x14ac:dyDescent="0.25">
      <c r="A834" s="162" t="str">
        <f>IF(AND(Réputation&gt;Voies!E834-1,OR(C834=TRUE,Calculs!$I$8&gt;0),Air&gt;Voies!J834-1,Eau&gt;Voies!K834-1,Feu&gt;Voies!L834-1,Terre&gt;Voies!M834-1,Vide&gt;Voies!N834-1,Constitution&gt;Voies!O834-1,Volonté&gt;Voies!P834-1,Force&gt;Voies!Q834-1,Perception&gt;Voies!R834-1,Reflexes&gt;Voies!S834-1,Agilité&gt;Voies!T834-1,Intuition&gt;Voies!U834-1,Intelligence&gt;Voies!V834-1,Souillure&gt;Voies!W834-1,Honneur&gt;X834-1,Statut&gt;Y834-1,Gloire&gt;Z834-1,AV834=TRUE),Voies!B834,"")</f>
        <v/>
      </c>
      <c r="B834" s="162" t="s">
        <v>6106</v>
      </c>
      <c r="C834" s="162" t="b">
        <f>IF(Clan=Voies!D834,TRUE,FALSE)</f>
        <v>0</v>
      </c>
      <c r="D834" s="387" t="s">
        <v>177</v>
      </c>
      <c r="E834" s="199">
        <v>5</v>
      </c>
      <c r="F834" s="199">
        <v>5</v>
      </c>
      <c r="G834" s="199" t="s">
        <v>2049</v>
      </c>
      <c r="H834" s="162" t="s">
        <v>569</v>
      </c>
      <c r="I834" s="129" t="s">
        <v>3637</v>
      </c>
      <c r="J834" s="146">
        <v>0</v>
      </c>
      <c r="K834" s="147">
        <v>0</v>
      </c>
      <c r="L834" s="148">
        <v>0</v>
      </c>
      <c r="M834" s="149">
        <v>0</v>
      </c>
      <c r="N834" s="150">
        <v>0</v>
      </c>
      <c r="O834" s="130">
        <v>0</v>
      </c>
      <c r="P834" s="130">
        <v>0</v>
      </c>
      <c r="Q834" s="130">
        <v>0</v>
      </c>
      <c r="R834" s="130">
        <v>0</v>
      </c>
      <c r="S834" s="130">
        <v>0</v>
      </c>
      <c r="T834" s="130">
        <v>0</v>
      </c>
      <c r="U834" s="130">
        <v>0</v>
      </c>
      <c r="V834" s="524">
        <v>0</v>
      </c>
      <c r="W834" s="130">
        <v>0</v>
      </c>
      <c r="X834" s="130">
        <v>0</v>
      </c>
      <c r="Y834" s="130">
        <v>0</v>
      </c>
      <c r="Z834" s="130">
        <v>0</v>
      </c>
      <c r="AA834" s="158" t="s">
        <v>2078</v>
      </c>
      <c r="AB834" s="158"/>
      <c r="AC834" s="158"/>
      <c r="AD834" s="158"/>
      <c r="AE834" s="158" t="b">
        <f>IF(AB834="",TRUE,IF(IF(AC834="",VLOOKUP(AB834,Calculs!$A$19:$S$425,19,FALSE),VLOOKUP(AC834,Calculs!$A$19:$S$425,19,FALSE))&gt;=AD834,TRUE,FALSE))</f>
        <v>1</v>
      </c>
      <c r="AF834" s="158"/>
      <c r="AG834" s="158"/>
      <c r="AH834" s="158"/>
      <c r="AI834" s="158" t="b">
        <f>IF(AF834="",TRUE,IF(IF(AG834="",VLOOKUP(AF834,Calculs!$A$19:$S$425,19,FALSE),VLOOKUP(AG834,Calculs!$A$19:$S$425,19,FALSE))&gt;=AH834,TRUE,FALSE))</f>
        <v>1</v>
      </c>
      <c r="AJ834" s="158"/>
      <c r="AK834" s="158"/>
      <c r="AL834" s="158"/>
      <c r="AM834" s="158" t="b">
        <f>IF(AJ834="",TRUE,IF(IF(AK834="",VLOOKUP(AJ834,Calculs!$A$19:$S$425,19,FALSE),VLOOKUP(AK834,Calculs!$A$19:$S$425,19,FALSE))&gt;=AL834,TRUE,FALSE))</f>
        <v>1</v>
      </c>
      <c r="AN834" s="158"/>
      <c r="AO834" s="158"/>
      <c r="AP834" s="158"/>
      <c r="AQ834" s="158" t="b">
        <f>IF(AN834="",TRUE,IF(IF(AO834="",VLOOKUP(AN834,Calculs!$A$19:$S$425,19,FALSE),VLOOKUP(AO834,Calculs!$A$19:$S$425,19,FALSE))&gt;=AP834,TRUE,FALSE))</f>
        <v>1</v>
      </c>
      <c r="AR834" s="158"/>
      <c r="AS834" s="158" t="b">
        <f>IF(AR834="",TRUE,IF(VLOOKUP(AR834,Calculs!$A$427:$G$738,7,FALSE)&gt;0,TRUE,FALSE))</f>
        <v>1</v>
      </c>
      <c r="AT834" s="158"/>
      <c r="AU834" s="158" t="b">
        <f>IF(AT834="",TRUE,IF(VLOOKUP(AT834,Calculs!$A$740:$G$912,7,FALSE)&gt;0,TRUE,FALSE))</f>
        <v>1</v>
      </c>
      <c r="AV834" s="158" t="b">
        <f t="shared" si="88"/>
        <v>1</v>
      </c>
      <c r="AW834" s="159" t="s">
        <v>3638</v>
      </c>
      <c r="AX834" s="162" t="s">
        <v>6061</v>
      </c>
      <c r="AY834" s="15">
        <v>233</v>
      </c>
      <c r="AZ834" s="555" t="s">
        <v>8705</v>
      </c>
      <c r="BA834" s="559">
        <f>IF(Verso!$B$10=Voies!$B834,1,0)</f>
        <v>0</v>
      </c>
      <c r="BB834" s="12">
        <f>IF(Verso!$B$11=Voies!$B834,1,0)</f>
        <v>0</v>
      </c>
      <c r="BC834" s="12">
        <f>IF(Verso!$B$12=Voies!$B834,1,0)</f>
        <v>0</v>
      </c>
      <c r="BD834" s="12">
        <f>IF(Verso!$B$13=Voies!$B834,1,0)</f>
        <v>0</v>
      </c>
      <c r="BE834" s="12">
        <f>IF(Verso!$B$14=Voies!$B834,1,0)</f>
        <v>0</v>
      </c>
      <c r="BF834" s="12">
        <f>IF(Verso!$B$15=Voies!$B834,1,0)</f>
        <v>0</v>
      </c>
      <c r="BG834" s="12">
        <f>IF(Verso!$B$16=Voies!$B834,1,0)</f>
        <v>0</v>
      </c>
      <c r="BH834" s="12">
        <f>IF(Verso!$B$17=Voies!$B834,1,0)</f>
        <v>0</v>
      </c>
      <c r="BI834" s="557">
        <f t="shared" si="89"/>
        <v>0</v>
      </c>
      <c r="BJ834" s="196" t="str">
        <f t="shared" si="90"/>
        <v/>
      </c>
      <c r="BK834" s="196" t="str">
        <f t="shared" si="91"/>
        <v/>
      </c>
      <c r="BL834" s="295" t="str">
        <f t="shared" si="92"/>
        <v/>
      </c>
    </row>
    <row r="835" spans="1:65" ht="47.25" customHeight="1" x14ac:dyDescent="0.25">
      <c r="A835" s="162" t="str">
        <f>IF(AND(Réputation&gt;Voies!E835-1,OR(C835=TRUE,Calculs!$I$8&gt;0),Air&gt;Voies!J835-1,Eau&gt;Voies!K835-1,Feu&gt;Voies!L835-1,Terre&gt;Voies!M835-1,Vide&gt;Voies!N835-1,Constitution&gt;Voies!O835-1,Volonté&gt;Voies!P835-1,Force&gt;Voies!Q835-1,Perception&gt;Voies!R835-1,Reflexes&gt;Voies!S835-1,Agilité&gt;Voies!T835-1,Intuition&gt;Voies!U835-1,Intelligence&gt;Voies!V835-1,Souillure&gt;Voies!W835-1,Honneur&gt;X835-1,Statut&gt;Y835-1,Gloire&gt;Z835-1,AV835=TRUE),Voies!B835,"")</f>
        <v/>
      </c>
      <c r="B835" s="162" t="s">
        <v>2504</v>
      </c>
      <c r="C835" s="162" t="b">
        <f>IF(Clan=Voies!D835,TRUE,FALSE)</f>
        <v>0</v>
      </c>
      <c r="D835" s="387" t="s">
        <v>177</v>
      </c>
      <c r="E835" s="199">
        <v>5</v>
      </c>
      <c r="F835" s="199">
        <v>5</v>
      </c>
      <c r="G835" s="157" t="s">
        <v>2052</v>
      </c>
      <c r="H835" s="162" t="s">
        <v>215</v>
      </c>
      <c r="I835" s="129" t="str">
        <f t="shared" ref="I835:I847" si="94">IF(B835="","","Rien")</f>
        <v>Rien</v>
      </c>
      <c r="J835" s="146">
        <v>0</v>
      </c>
      <c r="K835" s="147">
        <v>0</v>
      </c>
      <c r="L835" s="148">
        <v>0</v>
      </c>
      <c r="M835" s="149">
        <v>0</v>
      </c>
      <c r="N835" s="150">
        <v>0</v>
      </c>
      <c r="O835" s="130">
        <v>0</v>
      </c>
      <c r="P835" s="130">
        <v>0</v>
      </c>
      <c r="Q835" s="130">
        <v>0</v>
      </c>
      <c r="R835" s="130">
        <v>0</v>
      </c>
      <c r="S835" s="130">
        <v>0</v>
      </c>
      <c r="T835" s="130">
        <v>0</v>
      </c>
      <c r="U835" s="130">
        <v>0</v>
      </c>
      <c r="V835" s="524">
        <v>0</v>
      </c>
      <c r="W835" s="130">
        <v>0</v>
      </c>
      <c r="X835" s="130">
        <v>0</v>
      </c>
      <c r="Y835" s="130">
        <v>0</v>
      </c>
      <c r="Z835" s="130">
        <v>0</v>
      </c>
      <c r="AA835" s="158" t="s">
        <v>2078</v>
      </c>
      <c r="AB835" s="158"/>
      <c r="AC835" s="158"/>
      <c r="AD835" s="158"/>
      <c r="AE835" s="158" t="b">
        <f>IF(AB835="",TRUE,IF(IF(AC835="",VLOOKUP(AB835,Calculs!$A$19:$S$425,19,FALSE),VLOOKUP(AC835,Calculs!$A$19:$S$425,19,FALSE))&gt;=AD835,TRUE,FALSE))</f>
        <v>1</v>
      </c>
      <c r="AF835" s="158"/>
      <c r="AG835" s="158"/>
      <c r="AH835" s="158"/>
      <c r="AI835" s="158" t="b">
        <f>IF(AF835="",TRUE,IF(IF(AG835="",VLOOKUP(AF835,Calculs!$A$19:$S$425,19,FALSE),VLOOKUP(AG835,Calculs!$A$19:$S$425,19,FALSE))&gt;=AH835,TRUE,FALSE))</f>
        <v>1</v>
      </c>
      <c r="AJ835" s="158"/>
      <c r="AK835" s="158"/>
      <c r="AL835" s="158"/>
      <c r="AM835" s="158" t="b">
        <f>IF(AJ835="",TRUE,IF(IF(AK835="",VLOOKUP(AJ835,Calculs!$A$19:$S$425,19,FALSE),VLOOKUP(AK835,Calculs!$A$19:$S$425,19,FALSE))&gt;=AL835,TRUE,FALSE))</f>
        <v>1</v>
      </c>
      <c r="AN835" s="158"/>
      <c r="AO835" s="158"/>
      <c r="AP835" s="158"/>
      <c r="AQ835" s="158" t="b">
        <f>IF(AN835="",TRUE,IF(IF(AO835="",VLOOKUP(AN835,Calculs!$A$19:$S$425,19,FALSE),VLOOKUP(AO835,Calculs!$A$19:$S$425,19,FALSE))&gt;=AP835,TRUE,FALSE))</f>
        <v>1</v>
      </c>
      <c r="AR835" s="158"/>
      <c r="AS835" s="158" t="b">
        <f>IF(AR835="",TRUE,IF(VLOOKUP(AR835,Calculs!$A$427:$G$738,7,FALSE)&gt;0,TRUE,FALSE))</f>
        <v>1</v>
      </c>
      <c r="AT835" s="158"/>
      <c r="AU835" s="158" t="b">
        <f>IF(AT835="",TRUE,IF(VLOOKUP(AT835,Calculs!$A$740:$G$912,7,FALSE)&gt;0,TRUE,FALSE))</f>
        <v>1</v>
      </c>
      <c r="AV835" s="158" t="b">
        <f t="shared" ref="AV835:AV898" si="95">IF(AND(AE835=TRUE,AI835=TRUE,AM835=TRUE,AQ835=TRUE,AS835=TRUE,AU835=TRUE),TRUE,FALSE)</f>
        <v>1</v>
      </c>
      <c r="AW835" s="158" t="s">
        <v>2078</v>
      </c>
      <c r="AX835" s="162" t="s">
        <v>3</v>
      </c>
      <c r="AY835" s="15">
        <v>128</v>
      </c>
      <c r="AZ835" s="566" t="s">
        <v>8706</v>
      </c>
      <c r="BA835" s="559">
        <f>IF(Verso!$B$10=Voies!$B835,1,0)</f>
        <v>0</v>
      </c>
      <c r="BB835" s="12">
        <f>IF(Verso!$B$11=Voies!$B835,1,0)</f>
        <v>0</v>
      </c>
      <c r="BC835" s="12">
        <f>IF(Verso!$B$12=Voies!$B835,1,0)</f>
        <v>0</v>
      </c>
      <c r="BD835" s="12">
        <f>IF(Verso!$B$13=Voies!$B835,1,0)</f>
        <v>0</v>
      </c>
      <c r="BE835" s="12">
        <f>IF(Verso!$B$14=Voies!$B835,1,0)</f>
        <v>0</v>
      </c>
      <c r="BF835" s="12">
        <f>IF(Verso!$B$15=Voies!$B835,1,0)</f>
        <v>0</v>
      </c>
      <c r="BG835" s="12">
        <f>IF(Verso!$B$16=Voies!$B835,1,0)</f>
        <v>0</v>
      </c>
      <c r="BH835" s="12">
        <f>IF(Verso!$B$17=Voies!$B835,1,0)</f>
        <v>0</v>
      </c>
      <c r="BI835" s="557">
        <f t="shared" ref="BI835:BI898" si="96">SUM(BA835:BH835)</f>
        <v>0</v>
      </c>
      <c r="BJ835" s="196" t="str">
        <f t="shared" si="90"/>
        <v/>
      </c>
      <c r="BK835" s="196" t="str">
        <f t="shared" si="91"/>
        <v/>
      </c>
      <c r="BL835" s="295" t="str">
        <f t="shared" si="92"/>
        <v/>
      </c>
    </row>
    <row r="836" spans="1:65" ht="47.25" customHeight="1" x14ac:dyDescent="0.25">
      <c r="A836" s="162" t="str">
        <f>IF(AND(Réputation&gt;Voies!E836-1,OR(C836=TRUE,Calculs!$I$8&gt;0),Air&gt;Voies!J836-1,Eau&gt;Voies!K836-1,Feu&gt;Voies!L836-1,Terre&gt;Voies!M836-1,Vide&gt;Voies!N836-1,Constitution&gt;Voies!O836-1,Volonté&gt;Voies!P836-1,Force&gt;Voies!Q836-1,Perception&gt;Voies!R836-1,Reflexes&gt;Voies!S836-1,Agilité&gt;Voies!T836-1,Intuition&gt;Voies!U836-1,Intelligence&gt;Voies!V836-1,Souillure&gt;Voies!W836-1,Honneur&gt;X836-1,Statut&gt;Y836-1,Gloire&gt;Z836-1,AV836=TRUE),Voies!B836,"")</f>
        <v/>
      </c>
      <c r="B836" s="162" t="s">
        <v>2891</v>
      </c>
      <c r="C836" s="162" t="b">
        <f>IF(Clan=Voies!D836,TRUE,FALSE)</f>
        <v>0</v>
      </c>
      <c r="D836" s="387" t="s">
        <v>177</v>
      </c>
      <c r="E836" s="199">
        <v>5</v>
      </c>
      <c r="F836" s="199">
        <v>5</v>
      </c>
      <c r="G836" s="13" t="s">
        <v>2050</v>
      </c>
      <c r="H836" s="162" t="s">
        <v>214</v>
      </c>
      <c r="I836" s="129" t="str">
        <f t="shared" si="94"/>
        <v>Rien</v>
      </c>
      <c r="J836" s="146">
        <v>0</v>
      </c>
      <c r="K836" s="147">
        <v>0</v>
      </c>
      <c r="L836" s="148">
        <v>0</v>
      </c>
      <c r="M836" s="149">
        <v>0</v>
      </c>
      <c r="N836" s="150">
        <v>0</v>
      </c>
      <c r="O836" s="130">
        <v>0</v>
      </c>
      <c r="P836" s="130">
        <v>0</v>
      </c>
      <c r="Q836" s="130">
        <v>0</v>
      </c>
      <c r="R836" s="130">
        <v>0</v>
      </c>
      <c r="S836" s="130">
        <v>0</v>
      </c>
      <c r="T836" s="130">
        <v>0</v>
      </c>
      <c r="U836" s="130">
        <v>0</v>
      </c>
      <c r="V836" s="524">
        <v>0</v>
      </c>
      <c r="W836" s="130">
        <v>0</v>
      </c>
      <c r="X836" s="130">
        <v>0</v>
      </c>
      <c r="Y836" s="130">
        <v>0</v>
      </c>
      <c r="Z836" s="130">
        <v>0</v>
      </c>
      <c r="AA836" s="158" t="s">
        <v>2078</v>
      </c>
      <c r="AB836" s="158"/>
      <c r="AC836" s="158"/>
      <c r="AD836" s="158"/>
      <c r="AE836" s="158" t="b">
        <f>IF(AB836="",TRUE,IF(IF(AC836="",VLOOKUP(AB836,Calculs!$A$19:$S$425,19,FALSE),VLOOKUP(AC836,Calculs!$A$19:$S$425,19,FALSE))&gt;=AD836,TRUE,FALSE))</f>
        <v>1</v>
      </c>
      <c r="AF836" s="158"/>
      <c r="AG836" s="158"/>
      <c r="AH836" s="158"/>
      <c r="AI836" s="158" t="b">
        <f>IF(AF836="",TRUE,IF(IF(AG836="",VLOOKUP(AF836,Calculs!$A$19:$S$425,19,FALSE),VLOOKUP(AG836,Calculs!$A$19:$S$425,19,FALSE))&gt;=AH836,TRUE,FALSE))</f>
        <v>1</v>
      </c>
      <c r="AJ836" s="158"/>
      <c r="AK836" s="158"/>
      <c r="AL836" s="158"/>
      <c r="AM836" s="158" t="b">
        <f>IF(AJ836="",TRUE,IF(IF(AK836="",VLOOKUP(AJ836,Calculs!$A$19:$S$425,19,FALSE),VLOOKUP(AK836,Calculs!$A$19:$S$425,19,FALSE))&gt;=AL836,TRUE,FALSE))</f>
        <v>1</v>
      </c>
      <c r="AN836" s="158"/>
      <c r="AO836" s="158"/>
      <c r="AP836" s="158"/>
      <c r="AQ836" s="158" t="b">
        <f>IF(AN836="",TRUE,IF(IF(AO836="",VLOOKUP(AN836,Calculs!$A$19:$S$425,19,FALSE),VLOOKUP(AO836,Calculs!$A$19:$S$425,19,FALSE))&gt;=AP836,TRUE,FALSE))</f>
        <v>1</v>
      </c>
      <c r="AR836" s="158"/>
      <c r="AS836" s="158" t="b">
        <f>IF(AR836="",TRUE,IF(VLOOKUP(AR836,Calculs!$A$427:$G$738,7,FALSE)&gt;0,TRUE,FALSE))</f>
        <v>1</v>
      </c>
      <c r="AT836" s="158"/>
      <c r="AU836" s="158" t="b">
        <f>IF(AT836="",TRUE,IF(VLOOKUP(AT836,Calculs!$A$740:$G$912,7,FALSE)&gt;0,TRUE,FALSE))</f>
        <v>1</v>
      </c>
      <c r="AV836" s="158" t="b">
        <f t="shared" si="95"/>
        <v>1</v>
      </c>
      <c r="AW836" s="158" t="s">
        <v>2078</v>
      </c>
      <c r="AX836" s="162" t="s">
        <v>6061</v>
      </c>
      <c r="AY836" s="15">
        <v>231</v>
      </c>
      <c r="AZ836" s="555" t="s">
        <v>8707</v>
      </c>
      <c r="BA836" s="559">
        <f>IF(Verso!$B$10=Voies!$B836,1,0)</f>
        <v>0</v>
      </c>
      <c r="BB836" s="12">
        <f>IF(Verso!$B$11=Voies!$B836,1,0)</f>
        <v>0</v>
      </c>
      <c r="BC836" s="12">
        <f>IF(Verso!$B$12=Voies!$B836,1,0)</f>
        <v>0</v>
      </c>
      <c r="BD836" s="12">
        <f>IF(Verso!$B$13=Voies!$B836,1,0)</f>
        <v>0</v>
      </c>
      <c r="BE836" s="12">
        <f>IF(Verso!$B$14=Voies!$B836,1,0)</f>
        <v>0</v>
      </c>
      <c r="BF836" s="12">
        <f>IF(Verso!$B$15=Voies!$B836,1,0)</f>
        <v>0</v>
      </c>
      <c r="BG836" s="12">
        <f>IF(Verso!$B$16=Voies!$B836,1,0)</f>
        <v>0</v>
      </c>
      <c r="BH836" s="12">
        <f>IF(Verso!$B$17=Voies!$B836,1,0)</f>
        <v>0</v>
      </c>
      <c r="BI836" s="557">
        <f t="shared" si="96"/>
        <v>0</v>
      </c>
      <c r="BJ836" s="196" t="str">
        <f t="shared" ref="BJ836:BJ899" si="97">IF(A836="","",ROW())</f>
        <v/>
      </c>
      <c r="BK836" s="196" t="str">
        <f t="shared" ref="BK836:BK899" si="98">IFERROR(SMALL(BJ:BJ,ROW()-2),"")</f>
        <v/>
      </c>
      <c r="BL836" s="295" t="str">
        <f t="shared" ref="BL836:BL899" si="99">IFERROR(INDEX(A:A,BK836),"")</f>
        <v/>
      </c>
    </row>
    <row r="837" spans="1:65" s="196" customFormat="1" ht="47.25" customHeight="1" x14ac:dyDescent="0.25">
      <c r="A837" s="162" t="str">
        <f>IF(AND(Réputation&gt;Voies!E837-1,OR(C837=TRUE,Calculs!$I$8&gt;0),Air&gt;Voies!J837-1,Eau&gt;Voies!K837-1,Feu&gt;Voies!L837-1,Terre&gt;Voies!M837-1,Vide&gt;Voies!N837-1,Constitution&gt;Voies!O837-1,Volonté&gt;Voies!P837-1,Force&gt;Voies!Q837-1,Perception&gt;Voies!R837-1,Reflexes&gt;Voies!S837-1,Agilité&gt;Voies!T837-1,Intuition&gt;Voies!U837-1,Intelligence&gt;Voies!V837-1,Souillure&gt;Voies!W837-1,Honneur&gt;X837-1,Statut&gt;Y837-1,Gloire&gt;Z837-1,AV837=TRUE),Voies!B837,"")</f>
        <v/>
      </c>
      <c r="B837" s="162" t="s">
        <v>7055</v>
      </c>
      <c r="C837" s="162" t="b">
        <f>IF(Clan=Voies!D837,TRUE,FALSE)</f>
        <v>0</v>
      </c>
      <c r="D837" s="387" t="s">
        <v>6777</v>
      </c>
      <c r="E837" s="199">
        <v>1</v>
      </c>
      <c r="F837" s="199">
        <v>1</v>
      </c>
      <c r="G837" s="199" t="s">
        <v>2057</v>
      </c>
      <c r="H837" s="162" t="s">
        <v>6894</v>
      </c>
      <c r="I837" s="129" t="str">
        <f t="shared" si="94"/>
        <v>Rien</v>
      </c>
      <c r="J837" s="146">
        <v>0</v>
      </c>
      <c r="K837" s="147">
        <v>0</v>
      </c>
      <c r="L837" s="148">
        <v>0</v>
      </c>
      <c r="M837" s="149">
        <v>0</v>
      </c>
      <c r="N837" s="150">
        <v>0</v>
      </c>
      <c r="O837" s="130">
        <v>0</v>
      </c>
      <c r="P837" s="130">
        <v>0</v>
      </c>
      <c r="Q837" s="130">
        <v>0</v>
      </c>
      <c r="R837" s="130">
        <v>0</v>
      </c>
      <c r="S837" s="130">
        <v>0</v>
      </c>
      <c r="T837" s="130">
        <v>0</v>
      </c>
      <c r="U837" s="130">
        <v>0</v>
      </c>
      <c r="V837" s="524">
        <v>0</v>
      </c>
      <c r="W837" s="130">
        <v>0</v>
      </c>
      <c r="X837" s="130">
        <v>0</v>
      </c>
      <c r="Y837" s="130">
        <v>0</v>
      </c>
      <c r="Z837" s="130">
        <v>0</v>
      </c>
      <c r="AA837" s="158" t="s">
        <v>2078</v>
      </c>
      <c r="AB837" s="158"/>
      <c r="AC837" s="158"/>
      <c r="AD837" s="158"/>
      <c r="AE837" s="158" t="b">
        <f>IF(AB837="",TRUE,IF(IF(AC837="",VLOOKUP(AB837,Calculs!$A$19:$S$425,19,FALSE),VLOOKUP(AC837,Calculs!$A$19:$S$425,19,FALSE))&gt;=AD837,TRUE,FALSE))</f>
        <v>1</v>
      </c>
      <c r="AF837" s="158"/>
      <c r="AG837" s="158"/>
      <c r="AH837" s="158"/>
      <c r="AI837" s="158" t="b">
        <f>IF(AF837="",TRUE,IF(IF(AG837="",VLOOKUP(AF837,Calculs!$A$19:$S$425,19,FALSE),VLOOKUP(AG837,Calculs!$A$19:$S$425,19,FALSE))&gt;=AH837,TRUE,FALSE))</f>
        <v>1</v>
      </c>
      <c r="AJ837" s="158"/>
      <c r="AK837" s="158"/>
      <c r="AL837" s="158"/>
      <c r="AM837" s="158" t="b">
        <f>IF(AJ837="",TRUE,IF(IF(AK837="",VLOOKUP(AJ837,Calculs!$A$19:$S$425,19,FALSE),VLOOKUP(AK837,Calculs!$A$19:$S$425,19,FALSE))&gt;=AL837,TRUE,FALSE))</f>
        <v>1</v>
      </c>
      <c r="AN837" s="158"/>
      <c r="AO837" s="158"/>
      <c r="AP837" s="158"/>
      <c r="AQ837" s="158" t="b">
        <f>IF(AN837="",TRUE,IF(IF(AO837="",VLOOKUP(AN837,Calculs!$A$19:$S$425,19,FALSE),VLOOKUP(AO837,Calculs!$A$19:$S$425,19,FALSE))&gt;=AP837,TRUE,FALSE))</f>
        <v>1</v>
      </c>
      <c r="AR837" s="158"/>
      <c r="AS837" s="158" t="b">
        <f>IF(AR837="",TRUE,IF(VLOOKUP(AR837,Calculs!$A$427:$G$738,7,FALSE)&gt;0,TRUE,FALSE))</f>
        <v>1</v>
      </c>
      <c r="AT837" s="158"/>
      <c r="AU837" s="158" t="b">
        <f>IF(AT837="",TRUE,IF(VLOOKUP(AT837,Calculs!$A$740:$G$912,7,FALSE)&gt;0,TRUE,FALSE))</f>
        <v>1</v>
      </c>
      <c r="AV837" s="158" t="b">
        <f t="shared" si="95"/>
        <v>1</v>
      </c>
      <c r="AW837" s="159"/>
      <c r="AX837" s="162" t="s">
        <v>6816</v>
      </c>
      <c r="AY837" s="15">
        <v>82</v>
      </c>
      <c r="AZ837" s="555" t="s">
        <v>8708</v>
      </c>
      <c r="BA837" s="559">
        <f>IF(Verso!$B$10=Voies!$B837,1,0)</f>
        <v>0</v>
      </c>
      <c r="BB837" s="12">
        <f>IF(Verso!$B$11=Voies!$B837,1,0)</f>
        <v>0</v>
      </c>
      <c r="BC837" s="12">
        <f>IF(Verso!$B$12=Voies!$B837,1,0)</f>
        <v>0</v>
      </c>
      <c r="BD837" s="12">
        <f>IF(Verso!$B$13=Voies!$B837,1,0)</f>
        <v>0</v>
      </c>
      <c r="BE837" s="12">
        <f>IF(Verso!$B$14=Voies!$B837,1,0)</f>
        <v>0</v>
      </c>
      <c r="BF837" s="12">
        <f>IF(Verso!$B$15=Voies!$B837,1,0)</f>
        <v>0</v>
      </c>
      <c r="BG837" s="12">
        <f>IF(Verso!$B$16=Voies!$B837,1,0)</f>
        <v>0</v>
      </c>
      <c r="BH837" s="12">
        <f>IF(Verso!$B$17=Voies!$B837,1,0)</f>
        <v>0</v>
      </c>
      <c r="BI837" s="557">
        <f t="shared" si="96"/>
        <v>0</v>
      </c>
      <c r="BJ837" s="196" t="str">
        <f t="shared" si="97"/>
        <v/>
      </c>
      <c r="BK837" s="196" t="str">
        <f t="shared" si="98"/>
        <v/>
      </c>
      <c r="BL837" s="295" t="str">
        <f t="shared" si="99"/>
        <v/>
      </c>
      <c r="BM837" s="91"/>
    </row>
    <row r="838" spans="1:65" s="196" customFormat="1" ht="47.25" customHeight="1" x14ac:dyDescent="0.25">
      <c r="A838" s="162" t="str">
        <f>IF(AND(Réputation&gt;Voies!E838-1,OR(C838=TRUE,Calculs!$I$8&gt;0),Air&gt;Voies!J838-1,Eau&gt;Voies!K838-1,Feu&gt;Voies!L838-1,Terre&gt;Voies!M838-1,Vide&gt;Voies!N838-1,Constitution&gt;Voies!O838-1,Volonté&gt;Voies!P838-1,Force&gt;Voies!Q838-1,Perception&gt;Voies!R838-1,Reflexes&gt;Voies!S838-1,Agilité&gt;Voies!T838-1,Intuition&gt;Voies!U838-1,Intelligence&gt;Voies!V838-1,Souillure&gt;Voies!W838-1,Honneur&gt;X838-1,Statut&gt;Y838-1,Gloire&gt;Z838-1,AV838=TRUE),Voies!B838,"")</f>
        <v/>
      </c>
      <c r="B838" s="162" t="s">
        <v>7056</v>
      </c>
      <c r="C838" s="162" t="b">
        <f>IF(Clan=Voies!D838,TRUE,FALSE)</f>
        <v>0</v>
      </c>
      <c r="D838" s="387" t="s">
        <v>6777</v>
      </c>
      <c r="E838" s="199">
        <v>2</v>
      </c>
      <c r="F838" s="199">
        <v>2</v>
      </c>
      <c r="G838" s="199" t="s">
        <v>2057</v>
      </c>
      <c r="H838" s="162" t="s">
        <v>6894</v>
      </c>
      <c r="I838" s="129" t="str">
        <f t="shared" si="94"/>
        <v>Rien</v>
      </c>
      <c r="J838" s="146">
        <v>0</v>
      </c>
      <c r="K838" s="147">
        <v>0</v>
      </c>
      <c r="L838" s="148">
        <v>0</v>
      </c>
      <c r="M838" s="149">
        <v>0</v>
      </c>
      <c r="N838" s="150">
        <v>0</v>
      </c>
      <c r="O838" s="130">
        <v>0</v>
      </c>
      <c r="P838" s="130">
        <v>0</v>
      </c>
      <c r="Q838" s="130">
        <v>0</v>
      </c>
      <c r="R838" s="130">
        <v>0</v>
      </c>
      <c r="S838" s="130">
        <v>0</v>
      </c>
      <c r="T838" s="130">
        <v>0</v>
      </c>
      <c r="U838" s="130">
        <v>0</v>
      </c>
      <c r="V838" s="524">
        <v>0</v>
      </c>
      <c r="W838" s="130">
        <v>0</v>
      </c>
      <c r="X838" s="130">
        <v>0</v>
      </c>
      <c r="Y838" s="130">
        <v>0</v>
      </c>
      <c r="Z838" s="130">
        <v>0</v>
      </c>
      <c r="AA838" s="158" t="s">
        <v>2078</v>
      </c>
      <c r="AB838" s="158"/>
      <c r="AC838" s="158"/>
      <c r="AD838" s="158"/>
      <c r="AE838" s="158" t="b">
        <f>IF(AB838="",TRUE,IF(IF(AC838="",VLOOKUP(AB838,Calculs!$A$19:$S$425,19,FALSE),VLOOKUP(AC838,Calculs!$A$19:$S$425,19,FALSE))&gt;=AD838,TRUE,FALSE))</f>
        <v>1</v>
      </c>
      <c r="AF838" s="158"/>
      <c r="AG838" s="158"/>
      <c r="AH838" s="158"/>
      <c r="AI838" s="158" t="b">
        <f>IF(AF838="",TRUE,IF(IF(AG838="",VLOOKUP(AF838,Calculs!$A$19:$S$425,19,FALSE),VLOOKUP(AG838,Calculs!$A$19:$S$425,19,FALSE))&gt;=AH838,TRUE,FALSE))</f>
        <v>1</v>
      </c>
      <c r="AJ838" s="158"/>
      <c r="AK838" s="158"/>
      <c r="AL838" s="158"/>
      <c r="AM838" s="158" t="b">
        <f>IF(AJ838="",TRUE,IF(IF(AK838="",VLOOKUP(AJ838,Calculs!$A$19:$S$425,19,FALSE),VLOOKUP(AK838,Calculs!$A$19:$S$425,19,FALSE))&gt;=AL838,TRUE,FALSE))</f>
        <v>1</v>
      </c>
      <c r="AN838" s="158"/>
      <c r="AO838" s="158"/>
      <c r="AP838" s="158"/>
      <c r="AQ838" s="158" t="b">
        <f>IF(AN838="",TRUE,IF(IF(AO838="",VLOOKUP(AN838,Calculs!$A$19:$S$425,19,FALSE),VLOOKUP(AO838,Calculs!$A$19:$S$425,19,FALSE))&gt;=AP838,TRUE,FALSE))</f>
        <v>1</v>
      </c>
      <c r="AR838" s="158"/>
      <c r="AS838" s="158" t="b">
        <f>IF(AR838="",TRUE,IF(VLOOKUP(AR838,Calculs!$A$427:$G$738,7,FALSE)&gt;0,TRUE,FALSE))</f>
        <v>1</v>
      </c>
      <c r="AT838" s="158"/>
      <c r="AU838" s="158" t="b">
        <f>IF(AT838="",TRUE,IF(VLOOKUP(AT838,Calculs!$A$740:$G$912,7,FALSE)&gt;0,TRUE,FALSE))</f>
        <v>1</v>
      </c>
      <c r="AV838" s="158" t="b">
        <f t="shared" si="95"/>
        <v>1</v>
      </c>
      <c r="AW838" s="159"/>
      <c r="AX838" s="162" t="s">
        <v>6816</v>
      </c>
      <c r="AY838" s="15">
        <v>82</v>
      </c>
      <c r="AZ838" s="555" t="s">
        <v>7060</v>
      </c>
      <c r="BA838" s="559">
        <f>IF(Verso!$B$10=Voies!$B838,1,0)</f>
        <v>0</v>
      </c>
      <c r="BB838" s="12">
        <f>IF(Verso!$B$11=Voies!$B838,1,0)</f>
        <v>0</v>
      </c>
      <c r="BC838" s="12">
        <f>IF(Verso!$B$12=Voies!$B838,1,0)</f>
        <v>0</v>
      </c>
      <c r="BD838" s="12">
        <f>IF(Verso!$B$13=Voies!$B838,1,0)</f>
        <v>0</v>
      </c>
      <c r="BE838" s="12">
        <f>IF(Verso!$B$14=Voies!$B838,1,0)</f>
        <v>0</v>
      </c>
      <c r="BF838" s="12">
        <f>IF(Verso!$B$15=Voies!$B838,1,0)</f>
        <v>0</v>
      </c>
      <c r="BG838" s="12">
        <f>IF(Verso!$B$16=Voies!$B838,1,0)</f>
        <v>0</v>
      </c>
      <c r="BH838" s="12">
        <f>IF(Verso!$B$17=Voies!$B838,1,0)</f>
        <v>0</v>
      </c>
      <c r="BI838" s="557">
        <f t="shared" si="96"/>
        <v>0</v>
      </c>
      <c r="BJ838" s="196" t="str">
        <f t="shared" si="97"/>
        <v/>
      </c>
      <c r="BK838" s="196" t="str">
        <f t="shared" si="98"/>
        <v/>
      </c>
      <c r="BL838" s="295" t="str">
        <f t="shared" si="99"/>
        <v/>
      </c>
      <c r="BM838" s="91"/>
    </row>
    <row r="839" spans="1:65" s="196" customFormat="1" ht="47.25" customHeight="1" x14ac:dyDescent="0.25">
      <c r="A839" s="162" t="str">
        <f>IF(AND(Réputation&gt;Voies!E839-1,OR(C839=TRUE,Calculs!$I$8&gt;0),Air&gt;Voies!J839-1,Eau&gt;Voies!K839-1,Feu&gt;Voies!L839-1,Terre&gt;Voies!M839-1,Vide&gt;Voies!N839-1,Constitution&gt;Voies!O839-1,Volonté&gt;Voies!P839-1,Force&gt;Voies!Q839-1,Perception&gt;Voies!R839-1,Reflexes&gt;Voies!S839-1,Agilité&gt;Voies!T839-1,Intuition&gt;Voies!U839-1,Intelligence&gt;Voies!V839-1,Souillure&gt;Voies!W839-1,Honneur&gt;X839-1,Statut&gt;Y839-1,Gloire&gt;Z839-1,AV839=TRUE),Voies!B839,"")</f>
        <v/>
      </c>
      <c r="B839" s="162" t="s">
        <v>7057</v>
      </c>
      <c r="C839" s="162" t="b">
        <f>IF(Clan=Voies!D839,TRUE,FALSE)</f>
        <v>0</v>
      </c>
      <c r="D839" s="387" t="s">
        <v>6777</v>
      </c>
      <c r="E839" s="199">
        <v>3</v>
      </c>
      <c r="F839" s="199">
        <v>3</v>
      </c>
      <c r="G839" s="199" t="s">
        <v>2057</v>
      </c>
      <c r="H839" s="162" t="s">
        <v>6894</v>
      </c>
      <c r="I839" s="129" t="str">
        <f t="shared" si="94"/>
        <v>Rien</v>
      </c>
      <c r="J839" s="146">
        <v>0</v>
      </c>
      <c r="K839" s="147">
        <v>0</v>
      </c>
      <c r="L839" s="148">
        <v>0</v>
      </c>
      <c r="M839" s="149">
        <v>0</v>
      </c>
      <c r="N839" s="150">
        <v>0</v>
      </c>
      <c r="O839" s="130">
        <v>0</v>
      </c>
      <c r="P839" s="130">
        <v>0</v>
      </c>
      <c r="Q839" s="130">
        <v>0</v>
      </c>
      <c r="R839" s="130">
        <v>0</v>
      </c>
      <c r="S839" s="130">
        <v>0</v>
      </c>
      <c r="T839" s="130">
        <v>0</v>
      </c>
      <c r="U839" s="130">
        <v>0</v>
      </c>
      <c r="V839" s="524">
        <v>0</v>
      </c>
      <c r="W839" s="130">
        <v>0</v>
      </c>
      <c r="X839" s="130">
        <v>0</v>
      </c>
      <c r="Y839" s="130">
        <v>0</v>
      </c>
      <c r="Z839" s="130">
        <v>0</v>
      </c>
      <c r="AA839" s="158" t="s">
        <v>2078</v>
      </c>
      <c r="AB839" s="158"/>
      <c r="AC839" s="158"/>
      <c r="AD839" s="158"/>
      <c r="AE839" s="158" t="b">
        <f>IF(AB839="",TRUE,IF(IF(AC839="",VLOOKUP(AB839,Calculs!$A$19:$S$425,19,FALSE),VLOOKUP(AC839,Calculs!$A$19:$S$425,19,FALSE))&gt;=AD839,TRUE,FALSE))</f>
        <v>1</v>
      </c>
      <c r="AF839" s="158"/>
      <c r="AG839" s="158"/>
      <c r="AH839" s="158"/>
      <c r="AI839" s="158" t="b">
        <f>IF(AF839="",TRUE,IF(IF(AG839="",VLOOKUP(AF839,Calculs!$A$19:$S$425,19,FALSE),VLOOKUP(AG839,Calculs!$A$19:$S$425,19,FALSE))&gt;=AH839,TRUE,FALSE))</f>
        <v>1</v>
      </c>
      <c r="AJ839" s="158"/>
      <c r="AK839" s="158"/>
      <c r="AL839" s="158"/>
      <c r="AM839" s="158" t="b">
        <f>IF(AJ839="",TRUE,IF(IF(AK839="",VLOOKUP(AJ839,Calculs!$A$19:$S$425,19,FALSE),VLOOKUP(AK839,Calculs!$A$19:$S$425,19,FALSE))&gt;=AL839,TRUE,FALSE))</f>
        <v>1</v>
      </c>
      <c r="AN839" s="158"/>
      <c r="AO839" s="158"/>
      <c r="AP839" s="158"/>
      <c r="AQ839" s="158" t="b">
        <f>IF(AN839="",TRUE,IF(IF(AO839="",VLOOKUP(AN839,Calculs!$A$19:$S$425,19,FALSE),VLOOKUP(AO839,Calculs!$A$19:$S$425,19,FALSE))&gt;=AP839,TRUE,FALSE))</f>
        <v>1</v>
      </c>
      <c r="AR839" s="158"/>
      <c r="AS839" s="158" t="b">
        <f>IF(AR839="",TRUE,IF(VLOOKUP(AR839,Calculs!$A$427:$G$738,7,FALSE)&gt;0,TRUE,FALSE))</f>
        <v>1</v>
      </c>
      <c r="AT839" s="158"/>
      <c r="AU839" s="158" t="b">
        <f>IF(AT839="",TRUE,IF(VLOOKUP(AT839,Calculs!$A$740:$G$912,7,FALSE)&gt;0,TRUE,FALSE))</f>
        <v>1</v>
      </c>
      <c r="AV839" s="158" t="b">
        <f t="shared" si="95"/>
        <v>1</v>
      </c>
      <c r="AW839" s="159"/>
      <c r="AX839" s="162" t="s">
        <v>6816</v>
      </c>
      <c r="AY839" s="15">
        <v>82</v>
      </c>
      <c r="AZ839" s="566" t="s">
        <v>7061</v>
      </c>
      <c r="BA839" s="559">
        <f>IF(Verso!$B$10=Voies!$B839,1,0)</f>
        <v>0</v>
      </c>
      <c r="BB839" s="12">
        <f>IF(Verso!$B$11=Voies!$B839,1,0)</f>
        <v>0</v>
      </c>
      <c r="BC839" s="12">
        <f>IF(Verso!$B$12=Voies!$B839,1,0)</f>
        <v>0</v>
      </c>
      <c r="BD839" s="12">
        <f>IF(Verso!$B$13=Voies!$B839,1,0)</f>
        <v>0</v>
      </c>
      <c r="BE839" s="12">
        <f>IF(Verso!$B$14=Voies!$B839,1,0)</f>
        <v>0</v>
      </c>
      <c r="BF839" s="12">
        <f>IF(Verso!$B$15=Voies!$B839,1,0)</f>
        <v>0</v>
      </c>
      <c r="BG839" s="12">
        <f>IF(Verso!$B$16=Voies!$B839,1,0)</f>
        <v>0</v>
      </c>
      <c r="BH839" s="12">
        <f>IF(Verso!$B$17=Voies!$B839,1,0)</f>
        <v>0</v>
      </c>
      <c r="BI839" s="557">
        <f t="shared" si="96"/>
        <v>0</v>
      </c>
      <c r="BJ839" s="196" t="str">
        <f t="shared" si="97"/>
        <v/>
      </c>
      <c r="BK839" s="196" t="str">
        <f t="shared" si="98"/>
        <v/>
      </c>
      <c r="BL839" s="295" t="str">
        <f t="shared" si="99"/>
        <v/>
      </c>
      <c r="BM839" s="91"/>
    </row>
    <row r="840" spans="1:65" s="196" customFormat="1" ht="47.25" customHeight="1" x14ac:dyDescent="0.25">
      <c r="A840" s="162" t="str">
        <f>IF(AND(Réputation&gt;Voies!E840-1,OR(C840=TRUE,Calculs!$I$8&gt;0),Air&gt;Voies!J840-1,Eau&gt;Voies!K840-1,Feu&gt;Voies!L840-1,Terre&gt;Voies!M840-1,Vide&gt;Voies!N840-1,Constitution&gt;Voies!O840-1,Volonté&gt;Voies!P840-1,Force&gt;Voies!Q840-1,Perception&gt;Voies!R840-1,Reflexes&gt;Voies!S840-1,Agilité&gt;Voies!T840-1,Intuition&gt;Voies!U840-1,Intelligence&gt;Voies!V840-1,Souillure&gt;Voies!W840-1,Honneur&gt;X840-1,Statut&gt;Y840-1,Gloire&gt;Z840-1,AV840=TRUE),Voies!B840,"")</f>
        <v/>
      </c>
      <c r="B840" s="162" t="s">
        <v>7058</v>
      </c>
      <c r="C840" s="162" t="b">
        <f>IF(Clan=Voies!D840,TRUE,FALSE)</f>
        <v>0</v>
      </c>
      <c r="D840" s="387" t="s">
        <v>6777</v>
      </c>
      <c r="E840" s="199">
        <v>4</v>
      </c>
      <c r="F840" s="199">
        <v>4</v>
      </c>
      <c r="G840" s="199" t="s">
        <v>2057</v>
      </c>
      <c r="H840" s="162" t="s">
        <v>6894</v>
      </c>
      <c r="I840" s="129" t="str">
        <f t="shared" si="94"/>
        <v>Rien</v>
      </c>
      <c r="J840" s="146">
        <v>0</v>
      </c>
      <c r="K840" s="147">
        <v>0</v>
      </c>
      <c r="L840" s="148">
        <v>0</v>
      </c>
      <c r="M840" s="149">
        <v>0</v>
      </c>
      <c r="N840" s="150">
        <v>0</v>
      </c>
      <c r="O840" s="130">
        <v>0</v>
      </c>
      <c r="P840" s="130">
        <v>0</v>
      </c>
      <c r="Q840" s="130">
        <v>0</v>
      </c>
      <c r="R840" s="130">
        <v>0</v>
      </c>
      <c r="S840" s="130">
        <v>0</v>
      </c>
      <c r="T840" s="130">
        <v>0</v>
      </c>
      <c r="U840" s="130">
        <v>0</v>
      </c>
      <c r="V840" s="524">
        <v>0</v>
      </c>
      <c r="W840" s="130">
        <v>0</v>
      </c>
      <c r="X840" s="130">
        <v>0</v>
      </c>
      <c r="Y840" s="130">
        <v>0</v>
      </c>
      <c r="Z840" s="130">
        <v>0</v>
      </c>
      <c r="AA840" s="158" t="s">
        <v>2078</v>
      </c>
      <c r="AB840" s="158"/>
      <c r="AC840" s="158"/>
      <c r="AD840" s="158"/>
      <c r="AE840" s="158" t="b">
        <f>IF(AB840="",TRUE,IF(IF(AC840="",VLOOKUP(AB840,Calculs!$A$19:$S$425,19,FALSE),VLOOKUP(AC840,Calculs!$A$19:$S$425,19,FALSE))&gt;=AD840,TRUE,FALSE))</f>
        <v>1</v>
      </c>
      <c r="AF840" s="158"/>
      <c r="AG840" s="158"/>
      <c r="AH840" s="158"/>
      <c r="AI840" s="158" t="b">
        <f>IF(AF840="",TRUE,IF(IF(AG840="",VLOOKUP(AF840,Calculs!$A$19:$S$425,19,FALSE),VLOOKUP(AG840,Calculs!$A$19:$S$425,19,FALSE))&gt;=AH840,TRUE,FALSE))</f>
        <v>1</v>
      </c>
      <c r="AJ840" s="158"/>
      <c r="AK840" s="158"/>
      <c r="AL840" s="158"/>
      <c r="AM840" s="158" t="b">
        <f>IF(AJ840="",TRUE,IF(IF(AK840="",VLOOKUP(AJ840,Calculs!$A$19:$S$425,19,FALSE),VLOOKUP(AK840,Calculs!$A$19:$S$425,19,FALSE))&gt;=AL840,TRUE,FALSE))</f>
        <v>1</v>
      </c>
      <c r="AN840" s="158"/>
      <c r="AO840" s="158"/>
      <c r="AP840" s="158"/>
      <c r="AQ840" s="158" t="b">
        <f>IF(AN840="",TRUE,IF(IF(AO840="",VLOOKUP(AN840,Calculs!$A$19:$S$425,19,FALSE),VLOOKUP(AO840,Calculs!$A$19:$S$425,19,FALSE))&gt;=AP840,TRUE,FALSE))</f>
        <v>1</v>
      </c>
      <c r="AR840" s="158"/>
      <c r="AS840" s="158" t="b">
        <f>IF(AR840="",TRUE,IF(VLOOKUP(AR840,Calculs!$A$427:$G$738,7,FALSE)&gt;0,TRUE,FALSE))</f>
        <v>1</v>
      </c>
      <c r="AT840" s="158"/>
      <c r="AU840" s="158" t="b">
        <f>IF(AT840="",TRUE,IF(VLOOKUP(AT840,Calculs!$A$740:$G$912,7,FALSE)&gt;0,TRUE,FALSE))</f>
        <v>1</v>
      </c>
      <c r="AV840" s="158" t="b">
        <f t="shared" si="95"/>
        <v>1</v>
      </c>
      <c r="AW840" s="159"/>
      <c r="AX840" s="162" t="s">
        <v>6816</v>
      </c>
      <c r="AY840" s="15">
        <v>82</v>
      </c>
      <c r="AZ840" s="566" t="s">
        <v>7062</v>
      </c>
      <c r="BA840" s="559">
        <f>IF(Verso!$B$10=Voies!$B840,1,0)</f>
        <v>0</v>
      </c>
      <c r="BB840" s="12">
        <f>IF(Verso!$B$11=Voies!$B840,1,0)</f>
        <v>0</v>
      </c>
      <c r="BC840" s="12">
        <f>IF(Verso!$B$12=Voies!$B840,1,0)</f>
        <v>0</v>
      </c>
      <c r="BD840" s="12">
        <f>IF(Verso!$B$13=Voies!$B840,1,0)</f>
        <v>0</v>
      </c>
      <c r="BE840" s="12">
        <f>IF(Verso!$B$14=Voies!$B840,1,0)</f>
        <v>0</v>
      </c>
      <c r="BF840" s="12">
        <f>IF(Verso!$B$15=Voies!$B840,1,0)</f>
        <v>0</v>
      </c>
      <c r="BG840" s="12">
        <f>IF(Verso!$B$16=Voies!$B840,1,0)</f>
        <v>0</v>
      </c>
      <c r="BH840" s="12">
        <f>IF(Verso!$B$17=Voies!$B840,1,0)</f>
        <v>0</v>
      </c>
      <c r="BI840" s="557">
        <f t="shared" si="96"/>
        <v>0</v>
      </c>
      <c r="BJ840" s="196" t="str">
        <f t="shared" si="97"/>
        <v/>
      </c>
      <c r="BK840" s="196" t="str">
        <f t="shared" si="98"/>
        <v/>
      </c>
      <c r="BL840" s="295" t="str">
        <f t="shared" si="99"/>
        <v/>
      </c>
      <c r="BM840" s="91"/>
    </row>
    <row r="841" spans="1:65" s="196" customFormat="1" ht="47.25" customHeight="1" x14ac:dyDescent="0.25">
      <c r="A841" s="162" t="str">
        <f>IF(AND(Réputation&gt;Voies!E841-1,OR(C841=TRUE,Calculs!$I$8&gt;0),Air&gt;Voies!J841-1,Eau&gt;Voies!K841-1,Feu&gt;Voies!L841-1,Terre&gt;Voies!M841-1,Vide&gt;Voies!N841-1,Constitution&gt;Voies!O841-1,Volonté&gt;Voies!P841-1,Force&gt;Voies!Q841-1,Perception&gt;Voies!R841-1,Reflexes&gt;Voies!S841-1,Agilité&gt;Voies!T841-1,Intuition&gt;Voies!U841-1,Intelligence&gt;Voies!V841-1,Souillure&gt;Voies!W841-1,Honneur&gt;X841-1,Statut&gt;Y841-1,Gloire&gt;Z841-1,AV841=TRUE),Voies!B841,"")</f>
        <v/>
      </c>
      <c r="B841" s="162" t="s">
        <v>7059</v>
      </c>
      <c r="C841" s="162" t="b">
        <f>IF(Clan=Voies!D841,TRUE,FALSE)</f>
        <v>0</v>
      </c>
      <c r="D841" s="387" t="s">
        <v>6777</v>
      </c>
      <c r="E841" s="199">
        <v>5</v>
      </c>
      <c r="F841" s="199">
        <v>5</v>
      </c>
      <c r="G841" s="199" t="s">
        <v>2057</v>
      </c>
      <c r="H841" s="162" t="s">
        <v>6894</v>
      </c>
      <c r="I841" s="129" t="str">
        <f t="shared" si="94"/>
        <v>Rien</v>
      </c>
      <c r="J841" s="146">
        <v>0</v>
      </c>
      <c r="K841" s="147">
        <v>0</v>
      </c>
      <c r="L841" s="148">
        <v>0</v>
      </c>
      <c r="M841" s="149">
        <v>0</v>
      </c>
      <c r="N841" s="150">
        <v>0</v>
      </c>
      <c r="O841" s="130">
        <v>0</v>
      </c>
      <c r="P841" s="130">
        <v>0</v>
      </c>
      <c r="Q841" s="130">
        <v>0</v>
      </c>
      <c r="R841" s="130">
        <v>0</v>
      </c>
      <c r="S841" s="130">
        <v>0</v>
      </c>
      <c r="T841" s="130">
        <v>0</v>
      </c>
      <c r="U841" s="130">
        <v>0</v>
      </c>
      <c r="V841" s="524">
        <v>0</v>
      </c>
      <c r="W841" s="130">
        <v>0</v>
      </c>
      <c r="X841" s="130">
        <v>0</v>
      </c>
      <c r="Y841" s="130">
        <v>0</v>
      </c>
      <c r="Z841" s="130">
        <v>0</v>
      </c>
      <c r="AA841" s="158" t="s">
        <v>2078</v>
      </c>
      <c r="AB841" s="158"/>
      <c r="AC841" s="158"/>
      <c r="AD841" s="158"/>
      <c r="AE841" s="158" t="b">
        <f>IF(AB841="",TRUE,IF(IF(AC841="",VLOOKUP(AB841,Calculs!$A$19:$S$425,19,FALSE),VLOOKUP(AC841,Calculs!$A$19:$S$425,19,FALSE))&gt;=AD841,TRUE,FALSE))</f>
        <v>1</v>
      </c>
      <c r="AF841" s="158"/>
      <c r="AG841" s="158"/>
      <c r="AH841" s="158"/>
      <c r="AI841" s="158" t="b">
        <f>IF(AF841="",TRUE,IF(IF(AG841="",VLOOKUP(AF841,Calculs!$A$19:$S$425,19,FALSE),VLOOKUP(AG841,Calculs!$A$19:$S$425,19,FALSE))&gt;=AH841,TRUE,FALSE))</f>
        <v>1</v>
      </c>
      <c r="AJ841" s="158"/>
      <c r="AK841" s="158"/>
      <c r="AL841" s="158"/>
      <c r="AM841" s="158" t="b">
        <f>IF(AJ841="",TRUE,IF(IF(AK841="",VLOOKUP(AJ841,Calculs!$A$19:$S$425,19,FALSE),VLOOKUP(AK841,Calculs!$A$19:$S$425,19,FALSE))&gt;=AL841,TRUE,FALSE))</f>
        <v>1</v>
      </c>
      <c r="AN841" s="158"/>
      <c r="AO841" s="158"/>
      <c r="AP841" s="158"/>
      <c r="AQ841" s="158" t="b">
        <f>IF(AN841="",TRUE,IF(IF(AO841="",VLOOKUP(AN841,Calculs!$A$19:$S$425,19,FALSE),VLOOKUP(AO841,Calculs!$A$19:$S$425,19,FALSE))&gt;=AP841,TRUE,FALSE))</f>
        <v>1</v>
      </c>
      <c r="AR841" s="158"/>
      <c r="AS841" s="158" t="b">
        <f>IF(AR841="",TRUE,IF(VLOOKUP(AR841,Calculs!$A$427:$G$738,7,FALSE)&gt;0,TRUE,FALSE))</f>
        <v>1</v>
      </c>
      <c r="AT841" s="158"/>
      <c r="AU841" s="158" t="b">
        <f>IF(AT841="",TRUE,IF(VLOOKUP(AT841,Calculs!$A$740:$G$912,7,FALSE)&gt;0,TRUE,FALSE))</f>
        <v>1</v>
      </c>
      <c r="AV841" s="158" t="b">
        <f t="shared" si="95"/>
        <v>1</v>
      </c>
      <c r="AW841" s="159"/>
      <c r="AX841" s="162" t="s">
        <v>6816</v>
      </c>
      <c r="AY841" s="15">
        <v>82</v>
      </c>
      <c r="AZ841" s="555" t="s">
        <v>8709</v>
      </c>
      <c r="BA841" s="559">
        <f>IF(Verso!$B$10=Voies!$B841,1,0)</f>
        <v>0</v>
      </c>
      <c r="BB841" s="12">
        <f>IF(Verso!$B$11=Voies!$B841,1,0)</f>
        <v>0</v>
      </c>
      <c r="BC841" s="12">
        <f>IF(Verso!$B$12=Voies!$B841,1,0)</f>
        <v>0</v>
      </c>
      <c r="BD841" s="12">
        <f>IF(Verso!$B$13=Voies!$B841,1,0)</f>
        <v>0</v>
      </c>
      <c r="BE841" s="12">
        <f>IF(Verso!$B$14=Voies!$B841,1,0)</f>
        <v>0</v>
      </c>
      <c r="BF841" s="12">
        <f>IF(Verso!$B$15=Voies!$B841,1,0)</f>
        <v>0</v>
      </c>
      <c r="BG841" s="12">
        <f>IF(Verso!$B$16=Voies!$B841,1,0)</f>
        <v>0</v>
      </c>
      <c r="BH841" s="12">
        <f>IF(Verso!$B$17=Voies!$B841,1,0)</f>
        <v>0</v>
      </c>
      <c r="BI841" s="557">
        <f t="shared" si="96"/>
        <v>0</v>
      </c>
      <c r="BJ841" s="196" t="str">
        <f t="shared" si="97"/>
        <v/>
      </c>
      <c r="BK841" s="196" t="str">
        <f t="shared" si="98"/>
        <v/>
      </c>
      <c r="BL841" s="295" t="str">
        <f t="shared" si="99"/>
        <v/>
      </c>
      <c r="BM841" s="91"/>
    </row>
    <row r="842" spans="1:65" s="196" customFormat="1" ht="47.25" customHeight="1" x14ac:dyDescent="0.25">
      <c r="A842" s="162" t="str">
        <f>IF(AND(Réputation&gt;Voies!E842-1,OR(C842=TRUE,Calculs!$I$8&gt;0),Air&gt;Voies!J842-1,Eau&gt;Voies!K842-1,Feu&gt;Voies!L842-1,Terre&gt;Voies!M842-1,Vide&gt;Voies!N842-1,Constitution&gt;Voies!O842-1,Volonté&gt;Voies!P842-1,Force&gt;Voies!Q842-1,Perception&gt;Voies!R842-1,Reflexes&gt;Voies!S842-1,Agilité&gt;Voies!T842-1,Intuition&gt;Voies!U842-1,Intelligence&gt;Voies!V842-1,Souillure&gt;Voies!W842-1,Honneur&gt;X842-1,Statut&gt;Y842-1,Gloire&gt;Z842-1,AV842=TRUE),Voies!B842,"")</f>
        <v/>
      </c>
      <c r="B842" s="162" t="s">
        <v>6942</v>
      </c>
      <c r="C842" s="162" t="b">
        <f>IF(Clan=Voies!D842,TRUE,FALSE)</f>
        <v>0</v>
      </c>
      <c r="D842" s="387" t="s">
        <v>6781</v>
      </c>
      <c r="E842" s="199">
        <v>1</v>
      </c>
      <c r="F842" s="199">
        <v>1</v>
      </c>
      <c r="G842" s="199" t="s">
        <v>2052</v>
      </c>
      <c r="H842" s="162" t="s">
        <v>6947</v>
      </c>
      <c r="I842" s="129" t="str">
        <f t="shared" si="94"/>
        <v>Rien</v>
      </c>
      <c r="J842" s="146">
        <v>0</v>
      </c>
      <c r="K842" s="147">
        <v>0</v>
      </c>
      <c r="L842" s="148">
        <v>0</v>
      </c>
      <c r="M842" s="149">
        <v>0</v>
      </c>
      <c r="N842" s="150">
        <v>0</v>
      </c>
      <c r="O842" s="130">
        <v>0</v>
      </c>
      <c r="P842" s="130">
        <v>0</v>
      </c>
      <c r="Q842" s="130">
        <v>0</v>
      </c>
      <c r="R842" s="130">
        <v>0</v>
      </c>
      <c r="S842" s="130">
        <v>0</v>
      </c>
      <c r="T842" s="130">
        <v>0</v>
      </c>
      <c r="U842" s="130">
        <v>0</v>
      </c>
      <c r="V842" s="524">
        <v>0</v>
      </c>
      <c r="W842" s="130">
        <v>0</v>
      </c>
      <c r="X842" s="130">
        <v>0</v>
      </c>
      <c r="Y842" s="130">
        <v>0</v>
      </c>
      <c r="Z842" s="130">
        <v>0</v>
      </c>
      <c r="AA842" s="158" t="s">
        <v>2078</v>
      </c>
      <c r="AB842" s="158"/>
      <c r="AC842" s="158"/>
      <c r="AD842" s="158"/>
      <c r="AE842" s="158" t="b">
        <f>IF(AB842="",TRUE,IF(IF(AC842="",VLOOKUP(AB842,Calculs!$A$19:$S$425,19,FALSE),VLOOKUP(AC842,Calculs!$A$19:$S$425,19,FALSE))&gt;=AD842,TRUE,FALSE))</f>
        <v>1</v>
      </c>
      <c r="AF842" s="158"/>
      <c r="AG842" s="158"/>
      <c r="AH842" s="158"/>
      <c r="AI842" s="158" t="b">
        <f>IF(AF842="",TRUE,IF(IF(AG842="",VLOOKUP(AF842,Calculs!$A$19:$S$425,19,FALSE),VLOOKUP(AG842,Calculs!$A$19:$S$425,19,FALSE))&gt;=AH842,TRUE,FALSE))</f>
        <v>1</v>
      </c>
      <c r="AJ842" s="158"/>
      <c r="AK842" s="158"/>
      <c r="AL842" s="158"/>
      <c r="AM842" s="158" t="b">
        <f>IF(AJ842="",TRUE,IF(IF(AK842="",VLOOKUP(AJ842,Calculs!$A$19:$S$425,19,FALSE),VLOOKUP(AK842,Calculs!$A$19:$S$425,19,FALSE))&gt;=AL842,TRUE,FALSE))</f>
        <v>1</v>
      </c>
      <c r="AN842" s="158"/>
      <c r="AO842" s="158"/>
      <c r="AP842" s="158"/>
      <c r="AQ842" s="158" t="b">
        <f>IF(AN842="",TRUE,IF(IF(AO842="",VLOOKUP(AN842,Calculs!$A$19:$S$425,19,FALSE),VLOOKUP(AO842,Calculs!$A$19:$S$425,19,FALSE))&gt;=AP842,TRUE,FALSE))</f>
        <v>1</v>
      </c>
      <c r="AR842" s="158"/>
      <c r="AS842" s="158" t="b">
        <f>IF(AR842="",TRUE,IF(VLOOKUP(AR842,Calculs!$A$427:$G$738,7,FALSE)&gt;0,TRUE,FALSE))</f>
        <v>1</v>
      </c>
      <c r="AT842" s="158"/>
      <c r="AU842" s="158" t="b">
        <f>IF(AT842="",TRUE,IF(VLOOKUP(AT842,Calculs!$A$740:$G$912,7,FALSE)&gt;0,TRUE,FALSE))</f>
        <v>1</v>
      </c>
      <c r="AV842" s="158" t="b">
        <f t="shared" si="95"/>
        <v>1</v>
      </c>
      <c r="AW842" s="159"/>
      <c r="AX842" s="162" t="s">
        <v>6816</v>
      </c>
      <c r="AY842" s="15">
        <v>87</v>
      </c>
      <c r="AZ842" s="555" t="s">
        <v>8710</v>
      </c>
      <c r="BA842" s="559">
        <f>IF(Verso!$B$10=Voies!$B842,1,0)</f>
        <v>0</v>
      </c>
      <c r="BB842" s="12">
        <f>IF(Verso!$B$11=Voies!$B842,1,0)</f>
        <v>0</v>
      </c>
      <c r="BC842" s="12">
        <f>IF(Verso!$B$12=Voies!$B842,1,0)</f>
        <v>0</v>
      </c>
      <c r="BD842" s="12">
        <f>IF(Verso!$B$13=Voies!$B842,1,0)</f>
        <v>0</v>
      </c>
      <c r="BE842" s="12">
        <f>IF(Verso!$B$14=Voies!$B842,1,0)</f>
        <v>0</v>
      </c>
      <c r="BF842" s="12">
        <f>IF(Verso!$B$15=Voies!$B842,1,0)</f>
        <v>0</v>
      </c>
      <c r="BG842" s="12">
        <f>IF(Verso!$B$16=Voies!$B842,1,0)</f>
        <v>0</v>
      </c>
      <c r="BH842" s="12">
        <f>IF(Verso!$B$17=Voies!$B842,1,0)</f>
        <v>0</v>
      </c>
      <c r="BI842" s="557">
        <f t="shared" si="96"/>
        <v>0</v>
      </c>
      <c r="BJ842" s="196" t="str">
        <f t="shared" si="97"/>
        <v/>
      </c>
      <c r="BK842" s="196" t="str">
        <f t="shared" si="98"/>
        <v/>
      </c>
      <c r="BL842" s="295" t="str">
        <f t="shared" si="99"/>
        <v/>
      </c>
      <c r="BM842" s="91"/>
    </row>
    <row r="843" spans="1:65" s="196" customFormat="1" ht="47.25" customHeight="1" x14ac:dyDescent="0.25">
      <c r="A843" s="162" t="str">
        <f>IF(AND(Réputation&gt;Voies!E843-1,OR(C843=TRUE,Calculs!$I$8&gt;0),Air&gt;Voies!J843-1,Eau&gt;Voies!K843-1,Feu&gt;Voies!L843-1,Terre&gt;Voies!M843-1,Vide&gt;Voies!N843-1,Constitution&gt;Voies!O843-1,Volonté&gt;Voies!P843-1,Force&gt;Voies!Q843-1,Perception&gt;Voies!R843-1,Reflexes&gt;Voies!S843-1,Agilité&gt;Voies!T843-1,Intuition&gt;Voies!U843-1,Intelligence&gt;Voies!V843-1,Souillure&gt;Voies!W843-1,Honneur&gt;X843-1,Statut&gt;Y843-1,Gloire&gt;Z843-1,AV843=TRUE),Voies!B843,"")</f>
        <v/>
      </c>
      <c r="B843" s="162" t="s">
        <v>6943</v>
      </c>
      <c r="C843" s="162" t="b">
        <f>IF(Clan=Voies!D843,TRUE,FALSE)</f>
        <v>0</v>
      </c>
      <c r="D843" s="387" t="s">
        <v>6781</v>
      </c>
      <c r="E843" s="199">
        <v>2</v>
      </c>
      <c r="F843" s="199">
        <v>2</v>
      </c>
      <c r="G843" s="199" t="s">
        <v>2052</v>
      </c>
      <c r="H843" s="162" t="s">
        <v>6947</v>
      </c>
      <c r="I843" s="129" t="str">
        <f t="shared" si="94"/>
        <v>Rien</v>
      </c>
      <c r="J843" s="146">
        <v>0</v>
      </c>
      <c r="K843" s="147">
        <v>0</v>
      </c>
      <c r="L843" s="148">
        <v>0</v>
      </c>
      <c r="M843" s="149">
        <v>0</v>
      </c>
      <c r="N843" s="150">
        <v>0</v>
      </c>
      <c r="O843" s="130">
        <v>0</v>
      </c>
      <c r="P843" s="130">
        <v>0</v>
      </c>
      <c r="Q843" s="130">
        <v>0</v>
      </c>
      <c r="R843" s="130">
        <v>0</v>
      </c>
      <c r="S843" s="130">
        <v>0</v>
      </c>
      <c r="T843" s="130">
        <v>0</v>
      </c>
      <c r="U843" s="130">
        <v>0</v>
      </c>
      <c r="V843" s="524">
        <v>0</v>
      </c>
      <c r="W843" s="130">
        <v>0</v>
      </c>
      <c r="X843" s="130">
        <v>0</v>
      </c>
      <c r="Y843" s="130">
        <v>0</v>
      </c>
      <c r="Z843" s="130">
        <v>0</v>
      </c>
      <c r="AA843" s="158" t="s">
        <v>2078</v>
      </c>
      <c r="AB843" s="158"/>
      <c r="AC843" s="158"/>
      <c r="AD843" s="158"/>
      <c r="AE843" s="158" t="b">
        <f>IF(AB843="",TRUE,IF(IF(AC843="",VLOOKUP(AB843,Calculs!$A$19:$S$425,19,FALSE),VLOOKUP(AC843,Calculs!$A$19:$S$425,19,FALSE))&gt;=AD843,TRUE,FALSE))</f>
        <v>1</v>
      </c>
      <c r="AF843" s="158"/>
      <c r="AG843" s="158"/>
      <c r="AH843" s="158"/>
      <c r="AI843" s="158" t="b">
        <f>IF(AF843="",TRUE,IF(IF(AG843="",VLOOKUP(AF843,Calculs!$A$19:$S$425,19,FALSE),VLOOKUP(AG843,Calculs!$A$19:$S$425,19,FALSE))&gt;=AH843,TRUE,FALSE))</f>
        <v>1</v>
      </c>
      <c r="AJ843" s="158"/>
      <c r="AK843" s="158"/>
      <c r="AL843" s="158"/>
      <c r="AM843" s="158" t="b">
        <f>IF(AJ843="",TRUE,IF(IF(AK843="",VLOOKUP(AJ843,Calculs!$A$19:$S$425,19,FALSE),VLOOKUP(AK843,Calculs!$A$19:$S$425,19,FALSE))&gt;=AL843,TRUE,FALSE))</f>
        <v>1</v>
      </c>
      <c r="AN843" s="158"/>
      <c r="AO843" s="158"/>
      <c r="AP843" s="158"/>
      <c r="AQ843" s="158" t="b">
        <f>IF(AN843="",TRUE,IF(IF(AO843="",VLOOKUP(AN843,Calculs!$A$19:$S$425,19,FALSE),VLOOKUP(AO843,Calculs!$A$19:$S$425,19,FALSE))&gt;=AP843,TRUE,FALSE))</f>
        <v>1</v>
      </c>
      <c r="AR843" s="158"/>
      <c r="AS843" s="158" t="b">
        <f>IF(AR843="",TRUE,IF(VLOOKUP(AR843,Calculs!$A$427:$G$738,7,FALSE)&gt;0,TRUE,FALSE))</f>
        <v>1</v>
      </c>
      <c r="AT843" s="158"/>
      <c r="AU843" s="158" t="b">
        <f>IF(AT843="",TRUE,IF(VLOOKUP(AT843,Calculs!$A$740:$G$912,7,FALSE)&gt;0,TRUE,FALSE))</f>
        <v>1</v>
      </c>
      <c r="AV843" s="158" t="b">
        <f t="shared" si="95"/>
        <v>1</v>
      </c>
      <c r="AW843" s="159"/>
      <c r="AX843" s="162" t="s">
        <v>6816</v>
      </c>
      <c r="AY843" s="15">
        <v>88</v>
      </c>
      <c r="AZ843" s="555" t="s">
        <v>6948</v>
      </c>
      <c r="BA843" s="559">
        <f>IF(Verso!$B$10=Voies!$B843,1,0)</f>
        <v>0</v>
      </c>
      <c r="BB843" s="12">
        <f>IF(Verso!$B$11=Voies!$B843,1,0)</f>
        <v>0</v>
      </c>
      <c r="BC843" s="12">
        <f>IF(Verso!$B$12=Voies!$B843,1,0)</f>
        <v>0</v>
      </c>
      <c r="BD843" s="12">
        <f>IF(Verso!$B$13=Voies!$B843,1,0)</f>
        <v>0</v>
      </c>
      <c r="BE843" s="12">
        <f>IF(Verso!$B$14=Voies!$B843,1,0)</f>
        <v>0</v>
      </c>
      <c r="BF843" s="12">
        <f>IF(Verso!$B$15=Voies!$B843,1,0)</f>
        <v>0</v>
      </c>
      <c r="BG843" s="12">
        <f>IF(Verso!$B$16=Voies!$B843,1,0)</f>
        <v>0</v>
      </c>
      <c r="BH843" s="12">
        <f>IF(Verso!$B$17=Voies!$B843,1,0)</f>
        <v>0</v>
      </c>
      <c r="BI843" s="557">
        <f t="shared" si="96"/>
        <v>0</v>
      </c>
      <c r="BJ843" s="196" t="str">
        <f t="shared" si="97"/>
        <v/>
      </c>
      <c r="BK843" s="196" t="str">
        <f t="shared" si="98"/>
        <v/>
      </c>
      <c r="BL843" s="295" t="str">
        <f t="shared" si="99"/>
        <v/>
      </c>
      <c r="BM843" s="91"/>
    </row>
    <row r="844" spans="1:65" s="196" customFormat="1" ht="47.25" customHeight="1" x14ac:dyDescent="0.25">
      <c r="A844" s="162" t="str">
        <f>IF(AND(Réputation&gt;Voies!E844-1,OR(C844=TRUE,Calculs!$I$8&gt;0),Air&gt;Voies!J844-1,Eau&gt;Voies!K844-1,Feu&gt;Voies!L844-1,Terre&gt;Voies!M844-1,Vide&gt;Voies!N844-1,Constitution&gt;Voies!O844-1,Volonté&gt;Voies!P844-1,Force&gt;Voies!Q844-1,Perception&gt;Voies!R844-1,Reflexes&gt;Voies!S844-1,Agilité&gt;Voies!T844-1,Intuition&gt;Voies!U844-1,Intelligence&gt;Voies!V844-1,Souillure&gt;Voies!W844-1,Honneur&gt;X844-1,Statut&gt;Y844-1,Gloire&gt;Z844-1,AV844=TRUE),Voies!B844,"")</f>
        <v/>
      </c>
      <c r="B844" s="162" t="s">
        <v>6944</v>
      </c>
      <c r="C844" s="162" t="b">
        <f>IF(Clan=Voies!D844,TRUE,FALSE)</f>
        <v>0</v>
      </c>
      <c r="D844" s="387" t="s">
        <v>6781</v>
      </c>
      <c r="E844" s="199">
        <v>3</v>
      </c>
      <c r="F844" s="199">
        <v>3</v>
      </c>
      <c r="G844" s="199" t="s">
        <v>2052</v>
      </c>
      <c r="H844" s="162" t="s">
        <v>6947</v>
      </c>
      <c r="I844" s="129" t="str">
        <f t="shared" si="94"/>
        <v>Rien</v>
      </c>
      <c r="J844" s="146">
        <v>0</v>
      </c>
      <c r="K844" s="147">
        <v>0</v>
      </c>
      <c r="L844" s="148">
        <v>0</v>
      </c>
      <c r="M844" s="149">
        <v>0</v>
      </c>
      <c r="N844" s="150">
        <v>0</v>
      </c>
      <c r="O844" s="130">
        <v>0</v>
      </c>
      <c r="P844" s="130">
        <v>0</v>
      </c>
      <c r="Q844" s="130">
        <v>0</v>
      </c>
      <c r="R844" s="130">
        <v>0</v>
      </c>
      <c r="S844" s="130">
        <v>0</v>
      </c>
      <c r="T844" s="130">
        <v>0</v>
      </c>
      <c r="U844" s="130">
        <v>0</v>
      </c>
      <c r="V844" s="524">
        <v>0</v>
      </c>
      <c r="W844" s="130">
        <v>0</v>
      </c>
      <c r="X844" s="130">
        <v>0</v>
      </c>
      <c r="Y844" s="130">
        <v>0</v>
      </c>
      <c r="Z844" s="130">
        <v>0</v>
      </c>
      <c r="AA844" s="158" t="s">
        <v>2078</v>
      </c>
      <c r="AB844" s="158"/>
      <c r="AC844" s="158"/>
      <c r="AD844" s="158"/>
      <c r="AE844" s="158" t="b">
        <f>IF(AB844="",TRUE,IF(IF(AC844="",VLOOKUP(AB844,Calculs!$A$19:$S$425,19,FALSE),VLOOKUP(AC844,Calculs!$A$19:$S$425,19,FALSE))&gt;=AD844,TRUE,FALSE))</f>
        <v>1</v>
      </c>
      <c r="AF844" s="158"/>
      <c r="AG844" s="158"/>
      <c r="AH844" s="158"/>
      <c r="AI844" s="158" t="b">
        <f>IF(AF844="",TRUE,IF(IF(AG844="",VLOOKUP(AF844,Calculs!$A$19:$S$425,19,FALSE),VLOOKUP(AG844,Calculs!$A$19:$S$425,19,FALSE))&gt;=AH844,TRUE,FALSE))</f>
        <v>1</v>
      </c>
      <c r="AJ844" s="158"/>
      <c r="AK844" s="158"/>
      <c r="AL844" s="158"/>
      <c r="AM844" s="158" t="b">
        <f>IF(AJ844="",TRUE,IF(IF(AK844="",VLOOKUP(AJ844,Calculs!$A$19:$S$425,19,FALSE),VLOOKUP(AK844,Calculs!$A$19:$S$425,19,FALSE))&gt;=AL844,TRUE,FALSE))</f>
        <v>1</v>
      </c>
      <c r="AN844" s="158"/>
      <c r="AO844" s="158"/>
      <c r="AP844" s="158"/>
      <c r="AQ844" s="158" t="b">
        <f>IF(AN844="",TRUE,IF(IF(AO844="",VLOOKUP(AN844,Calculs!$A$19:$S$425,19,FALSE),VLOOKUP(AO844,Calculs!$A$19:$S$425,19,FALSE))&gt;=AP844,TRUE,FALSE))</f>
        <v>1</v>
      </c>
      <c r="AR844" s="158"/>
      <c r="AS844" s="158" t="b">
        <f>IF(AR844="",TRUE,IF(VLOOKUP(AR844,Calculs!$A$427:$G$738,7,FALSE)&gt;0,TRUE,FALSE))</f>
        <v>1</v>
      </c>
      <c r="AT844" s="158"/>
      <c r="AU844" s="158" t="b">
        <f>IF(AT844="",TRUE,IF(VLOOKUP(AT844,Calculs!$A$740:$G$912,7,FALSE)&gt;0,TRUE,FALSE))</f>
        <v>1</v>
      </c>
      <c r="AV844" s="158" t="b">
        <f t="shared" si="95"/>
        <v>1</v>
      </c>
      <c r="AW844" s="159"/>
      <c r="AX844" s="162" t="s">
        <v>6816</v>
      </c>
      <c r="AY844" s="15">
        <v>88</v>
      </c>
      <c r="AZ844" s="555" t="s">
        <v>8711</v>
      </c>
      <c r="BA844" s="559">
        <f>IF(Verso!$B$10=Voies!$B844,1,0)</f>
        <v>0</v>
      </c>
      <c r="BB844" s="12">
        <f>IF(Verso!$B$11=Voies!$B844,1,0)</f>
        <v>0</v>
      </c>
      <c r="BC844" s="12">
        <f>IF(Verso!$B$12=Voies!$B844,1,0)</f>
        <v>0</v>
      </c>
      <c r="BD844" s="12">
        <f>IF(Verso!$B$13=Voies!$B844,1,0)</f>
        <v>0</v>
      </c>
      <c r="BE844" s="12">
        <f>IF(Verso!$B$14=Voies!$B844,1,0)</f>
        <v>0</v>
      </c>
      <c r="BF844" s="12">
        <f>IF(Verso!$B$15=Voies!$B844,1,0)</f>
        <v>0</v>
      </c>
      <c r="BG844" s="12">
        <f>IF(Verso!$B$16=Voies!$B844,1,0)</f>
        <v>0</v>
      </c>
      <c r="BH844" s="12">
        <f>IF(Verso!$B$17=Voies!$B844,1,0)</f>
        <v>0</v>
      </c>
      <c r="BI844" s="557">
        <f t="shared" si="96"/>
        <v>0</v>
      </c>
      <c r="BJ844" s="196" t="str">
        <f t="shared" si="97"/>
        <v/>
      </c>
      <c r="BK844" s="196" t="str">
        <f t="shared" si="98"/>
        <v/>
      </c>
      <c r="BL844" s="295" t="str">
        <f t="shared" si="99"/>
        <v/>
      </c>
      <c r="BM844" s="91"/>
    </row>
    <row r="845" spans="1:65" s="196" customFormat="1" ht="47.25" customHeight="1" x14ac:dyDescent="0.25">
      <c r="A845" s="162" t="str">
        <f>IF(AND(Réputation&gt;Voies!E845-1,OR(C845=TRUE,Calculs!$I$8&gt;0),Air&gt;Voies!J845-1,Eau&gt;Voies!K845-1,Feu&gt;Voies!L845-1,Terre&gt;Voies!M845-1,Vide&gt;Voies!N845-1,Constitution&gt;Voies!O845-1,Volonté&gt;Voies!P845-1,Force&gt;Voies!Q845-1,Perception&gt;Voies!R845-1,Reflexes&gt;Voies!S845-1,Agilité&gt;Voies!T845-1,Intuition&gt;Voies!U845-1,Intelligence&gt;Voies!V845-1,Souillure&gt;Voies!W845-1,Honneur&gt;X845-1,Statut&gt;Y845-1,Gloire&gt;Z845-1,AV845=TRUE),Voies!B845,"")</f>
        <v/>
      </c>
      <c r="B845" s="162" t="s">
        <v>6945</v>
      </c>
      <c r="C845" s="162" t="b">
        <f>IF(Clan=Voies!D845,TRUE,FALSE)</f>
        <v>0</v>
      </c>
      <c r="D845" s="387" t="s">
        <v>6781</v>
      </c>
      <c r="E845" s="199">
        <v>3</v>
      </c>
      <c r="F845" s="199">
        <v>3</v>
      </c>
      <c r="G845" s="199" t="s">
        <v>2052</v>
      </c>
      <c r="H845" s="162" t="s">
        <v>6947</v>
      </c>
      <c r="I845" s="129" t="str">
        <f t="shared" si="94"/>
        <v>Rien</v>
      </c>
      <c r="J845" s="146">
        <v>0</v>
      </c>
      <c r="K845" s="147">
        <v>0</v>
      </c>
      <c r="L845" s="148">
        <v>0</v>
      </c>
      <c r="M845" s="149">
        <v>0</v>
      </c>
      <c r="N845" s="150">
        <v>0</v>
      </c>
      <c r="O845" s="130">
        <v>0</v>
      </c>
      <c r="P845" s="130">
        <v>0</v>
      </c>
      <c r="Q845" s="130">
        <v>0</v>
      </c>
      <c r="R845" s="130">
        <v>0</v>
      </c>
      <c r="S845" s="130">
        <v>0</v>
      </c>
      <c r="T845" s="130">
        <v>0</v>
      </c>
      <c r="U845" s="130">
        <v>0</v>
      </c>
      <c r="V845" s="524">
        <v>0</v>
      </c>
      <c r="W845" s="130">
        <v>0</v>
      </c>
      <c r="X845" s="130">
        <v>0</v>
      </c>
      <c r="Y845" s="130">
        <v>0</v>
      </c>
      <c r="Z845" s="130">
        <v>0</v>
      </c>
      <c r="AA845" s="158" t="s">
        <v>2078</v>
      </c>
      <c r="AB845" s="158"/>
      <c r="AC845" s="158"/>
      <c r="AD845" s="158"/>
      <c r="AE845" s="158" t="b">
        <f>IF(AB845="",TRUE,IF(IF(AC845="",VLOOKUP(AB845,Calculs!$A$19:$S$425,19,FALSE),VLOOKUP(AC845,Calculs!$A$19:$S$425,19,FALSE))&gt;=AD845,TRUE,FALSE))</f>
        <v>1</v>
      </c>
      <c r="AF845" s="158"/>
      <c r="AG845" s="158"/>
      <c r="AH845" s="158"/>
      <c r="AI845" s="158" t="b">
        <f>IF(AF845="",TRUE,IF(IF(AG845="",VLOOKUP(AF845,Calculs!$A$19:$S$425,19,FALSE),VLOOKUP(AG845,Calculs!$A$19:$S$425,19,FALSE))&gt;=AH845,TRUE,FALSE))</f>
        <v>1</v>
      </c>
      <c r="AJ845" s="158"/>
      <c r="AK845" s="158"/>
      <c r="AL845" s="158"/>
      <c r="AM845" s="158" t="b">
        <f>IF(AJ845="",TRUE,IF(IF(AK845="",VLOOKUP(AJ845,Calculs!$A$19:$S$425,19,FALSE),VLOOKUP(AK845,Calculs!$A$19:$S$425,19,FALSE))&gt;=AL845,TRUE,FALSE))</f>
        <v>1</v>
      </c>
      <c r="AN845" s="158"/>
      <c r="AO845" s="158"/>
      <c r="AP845" s="158"/>
      <c r="AQ845" s="158" t="b">
        <f>IF(AN845="",TRUE,IF(IF(AO845="",VLOOKUP(AN845,Calculs!$A$19:$S$425,19,FALSE),VLOOKUP(AO845,Calculs!$A$19:$S$425,19,FALSE))&gt;=AP845,TRUE,FALSE))</f>
        <v>1</v>
      </c>
      <c r="AR845" s="158"/>
      <c r="AS845" s="158" t="b">
        <f>IF(AR845="",TRUE,IF(VLOOKUP(AR845,Calculs!$A$427:$G$738,7,FALSE)&gt;0,TRUE,FALSE))</f>
        <v>1</v>
      </c>
      <c r="AT845" s="158"/>
      <c r="AU845" s="158" t="b">
        <f>IF(AT845="",TRUE,IF(VLOOKUP(AT845,Calculs!$A$740:$G$912,7,FALSE)&gt;0,TRUE,FALSE))</f>
        <v>1</v>
      </c>
      <c r="AV845" s="158" t="b">
        <f t="shared" si="95"/>
        <v>1</v>
      </c>
      <c r="AW845" s="159"/>
      <c r="AX845" s="162" t="s">
        <v>6816</v>
      </c>
      <c r="AY845" s="15">
        <v>88</v>
      </c>
      <c r="AZ845" s="555" t="s">
        <v>8712</v>
      </c>
      <c r="BA845" s="559">
        <f>IF(Verso!$B$10=Voies!$B845,1,0)</f>
        <v>0</v>
      </c>
      <c r="BB845" s="12">
        <f>IF(Verso!$B$11=Voies!$B845,1,0)</f>
        <v>0</v>
      </c>
      <c r="BC845" s="12">
        <f>IF(Verso!$B$12=Voies!$B845,1,0)</f>
        <v>0</v>
      </c>
      <c r="BD845" s="12">
        <f>IF(Verso!$B$13=Voies!$B845,1,0)</f>
        <v>0</v>
      </c>
      <c r="BE845" s="12">
        <f>IF(Verso!$B$14=Voies!$B845,1,0)</f>
        <v>0</v>
      </c>
      <c r="BF845" s="12">
        <f>IF(Verso!$B$15=Voies!$B845,1,0)</f>
        <v>0</v>
      </c>
      <c r="BG845" s="12">
        <f>IF(Verso!$B$16=Voies!$B845,1,0)</f>
        <v>0</v>
      </c>
      <c r="BH845" s="12">
        <f>IF(Verso!$B$17=Voies!$B845,1,0)</f>
        <v>0</v>
      </c>
      <c r="BI845" s="557">
        <f t="shared" si="96"/>
        <v>0</v>
      </c>
      <c r="BJ845" s="196" t="str">
        <f t="shared" si="97"/>
        <v/>
      </c>
      <c r="BK845" s="196" t="str">
        <f t="shared" si="98"/>
        <v/>
      </c>
      <c r="BL845" s="295" t="str">
        <f t="shared" si="99"/>
        <v/>
      </c>
      <c r="BM845" s="91"/>
    </row>
    <row r="846" spans="1:65" s="196" customFormat="1" ht="47.25" customHeight="1" x14ac:dyDescent="0.25">
      <c r="A846" s="162" t="str">
        <f>IF(AND(Réputation&gt;Voies!E846-1,OR(C846=TRUE,Calculs!$I$8&gt;0),Air&gt;Voies!J846-1,Eau&gt;Voies!K846-1,Feu&gt;Voies!L846-1,Terre&gt;Voies!M846-1,Vide&gt;Voies!N846-1,Constitution&gt;Voies!O846-1,Volonté&gt;Voies!P846-1,Force&gt;Voies!Q846-1,Perception&gt;Voies!R846-1,Reflexes&gt;Voies!S846-1,Agilité&gt;Voies!T846-1,Intuition&gt;Voies!U846-1,Intelligence&gt;Voies!V846-1,Souillure&gt;Voies!W846-1,Honneur&gt;X846-1,Statut&gt;Y846-1,Gloire&gt;Z846-1,AV846=TRUE),Voies!B846,"")</f>
        <v/>
      </c>
      <c r="B846" s="162" t="s">
        <v>6946</v>
      </c>
      <c r="C846" s="162" t="b">
        <f>IF(Clan=Voies!D846,TRUE,FALSE)</f>
        <v>0</v>
      </c>
      <c r="D846" s="387" t="s">
        <v>6781</v>
      </c>
      <c r="E846" s="201">
        <v>5</v>
      </c>
      <c r="F846" s="201">
        <v>5</v>
      </c>
      <c r="G846" s="199" t="s">
        <v>2052</v>
      </c>
      <c r="H846" s="162" t="s">
        <v>6947</v>
      </c>
      <c r="I846" s="129" t="str">
        <f t="shared" si="94"/>
        <v>Rien</v>
      </c>
      <c r="J846" s="146">
        <v>0</v>
      </c>
      <c r="K846" s="147">
        <v>0</v>
      </c>
      <c r="L846" s="148">
        <v>0</v>
      </c>
      <c r="M846" s="149">
        <v>0</v>
      </c>
      <c r="N846" s="150">
        <v>0</v>
      </c>
      <c r="O846" s="130">
        <v>0</v>
      </c>
      <c r="P846" s="130">
        <v>0</v>
      </c>
      <c r="Q846" s="130">
        <v>0</v>
      </c>
      <c r="R846" s="130">
        <v>0</v>
      </c>
      <c r="S846" s="130">
        <v>0</v>
      </c>
      <c r="T846" s="130">
        <v>0</v>
      </c>
      <c r="U846" s="130">
        <v>0</v>
      </c>
      <c r="V846" s="524">
        <v>0</v>
      </c>
      <c r="W846" s="130">
        <v>0</v>
      </c>
      <c r="X846" s="130">
        <v>0</v>
      </c>
      <c r="Y846" s="130">
        <v>0</v>
      </c>
      <c r="Z846" s="130">
        <v>0</v>
      </c>
      <c r="AA846" s="158" t="s">
        <v>2078</v>
      </c>
      <c r="AB846" s="158"/>
      <c r="AC846" s="158"/>
      <c r="AD846" s="158"/>
      <c r="AE846" s="158" t="b">
        <f>IF(AB846="",TRUE,IF(IF(AC846="",VLOOKUP(AB846,Calculs!$A$19:$S$425,19,FALSE),VLOOKUP(AC846,Calculs!$A$19:$S$425,19,FALSE))&gt;=AD846,TRUE,FALSE))</f>
        <v>1</v>
      </c>
      <c r="AF846" s="158"/>
      <c r="AG846" s="158"/>
      <c r="AH846" s="158"/>
      <c r="AI846" s="158" t="b">
        <f>IF(AF846="",TRUE,IF(IF(AG846="",VLOOKUP(AF846,Calculs!$A$19:$S$425,19,FALSE),VLOOKUP(AG846,Calculs!$A$19:$S$425,19,FALSE))&gt;=AH846,TRUE,FALSE))</f>
        <v>1</v>
      </c>
      <c r="AJ846" s="158"/>
      <c r="AK846" s="158"/>
      <c r="AL846" s="158"/>
      <c r="AM846" s="158" t="b">
        <f>IF(AJ846="",TRUE,IF(IF(AK846="",VLOOKUP(AJ846,Calculs!$A$19:$S$425,19,FALSE),VLOOKUP(AK846,Calculs!$A$19:$S$425,19,FALSE))&gt;=AL846,TRUE,FALSE))</f>
        <v>1</v>
      </c>
      <c r="AN846" s="158"/>
      <c r="AO846" s="158"/>
      <c r="AP846" s="158"/>
      <c r="AQ846" s="158" t="b">
        <f>IF(AN846="",TRUE,IF(IF(AO846="",VLOOKUP(AN846,Calculs!$A$19:$S$425,19,FALSE),VLOOKUP(AO846,Calculs!$A$19:$S$425,19,FALSE))&gt;=AP846,TRUE,FALSE))</f>
        <v>1</v>
      </c>
      <c r="AR846" s="158"/>
      <c r="AS846" s="158" t="b">
        <f>IF(AR846="",TRUE,IF(VLOOKUP(AR846,Calculs!$A$427:$G$738,7,FALSE)&gt;0,TRUE,FALSE))</f>
        <v>1</v>
      </c>
      <c r="AT846" s="158"/>
      <c r="AU846" s="158" t="b">
        <f>IF(AT846="",TRUE,IF(VLOOKUP(AT846,Calculs!$A$740:$G$912,7,FALSE)&gt;0,TRUE,FALSE))</f>
        <v>1</v>
      </c>
      <c r="AV846" s="158" t="b">
        <f t="shared" si="95"/>
        <v>1</v>
      </c>
      <c r="AW846" s="159"/>
      <c r="AX846" s="162" t="s">
        <v>6816</v>
      </c>
      <c r="AY846" s="15">
        <v>88</v>
      </c>
      <c r="AZ846" s="555" t="s">
        <v>8713</v>
      </c>
      <c r="BA846" s="559">
        <f>IF(Verso!$B$10=Voies!$B846,1,0)</f>
        <v>0</v>
      </c>
      <c r="BB846" s="12">
        <f>IF(Verso!$B$11=Voies!$B846,1,0)</f>
        <v>0</v>
      </c>
      <c r="BC846" s="12">
        <f>IF(Verso!$B$12=Voies!$B846,1,0)</f>
        <v>0</v>
      </c>
      <c r="BD846" s="12">
        <f>IF(Verso!$B$13=Voies!$B846,1,0)</f>
        <v>0</v>
      </c>
      <c r="BE846" s="12">
        <f>IF(Verso!$B$14=Voies!$B846,1,0)</f>
        <v>0</v>
      </c>
      <c r="BF846" s="12">
        <f>IF(Verso!$B$15=Voies!$B846,1,0)</f>
        <v>0</v>
      </c>
      <c r="BG846" s="12">
        <f>IF(Verso!$B$16=Voies!$B846,1,0)</f>
        <v>0</v>
      </c>
      <c r="BH846" s="12">
        <f>IF(Verso!$B$17=Voies!$B846,1,0)</f>
        <v>0</v>
      </c>
      <c r="BI846" s="557">
        <f t="shared" si="96"/>
        <v>0</v>
      </c>
      <c r="BJ846" s="196" t="str">
        <f t="shared" si="97"/>
        <v/>
      </c>
      <c r="BK846" s="196" t="str">
        <f t="shared" si="98"/>
        <v/>
      </c>
      <c r="BL846" s="295" t="str">
        <f t="shared" si="99"/>
        <v/>
      </c>
      <c r="BM846" s="91"/>
    </row>
    <row r="847" spans="1:65" ht="47.25" customHeight="1" x14ac:dyDescent="0.25">
      <c r="A847" s="162" t="str">
        <f>IF(AND(Réputation&gt;Voies!E847-1,OR(C847=TRUE,Calculs!$I$8&gt;0),Air&gt;Voies!J847-1,Eau&gt;Voies!K847-1,Feu&gt;Voies!L847-1,Terre&gt;Voies!M847-1,Vide&gt;Voies!N847-1,Constitution&gt;Voies!O847-1,Volonté&gt;Voies!P847-1,Force&gt;Voies!Q847-1,Perception&gt;Voies!R847-1,Reflexes&gt;Voies!S847-1,Agilité&gt;Voies!T847-1,Intuition&gt;Voies!U847-1,Intelligence&gt;Voies!V847-1,Souillure&gt;Voies!W847-1,Honneur&gt;X847-1,Statut&gt;Y847-1,Gloire&gt;Z847-1,AV847=TRUE),Voies!B847,"")</f>
        <v/>
      </c>
      <c r="B847" s="162" t="s">
        <v>2180</v>
      </c>
      <c r="C847" s="162" t="b">
        <f>IF(OR(Clan="Renard",Clan="Mante"),TRUE,FALSE)</f>
        <v>0</v>
      </c>
      <c r="D847" s="388" t="s">
        <v>182</v>
      </c>
      <c r="E847" s="13">
        <v>1</v>
      </c>
      <c r="F847" s="199">
        <v>1</v>
      </c>
      <c r="G847" s="13" t="s">
        <v>2048</v>
      </c>
      <c r="H847" s="162" t="s">
        <v>414</v>
      </c>
      <c r="I847" s="129" t="str">
        <f t="shared" si="94"/>
        <v>Rien</v>
      </c>
      <c r="J847" s="146">
        <v>0</v>
      </c>
      <c r="K847" s="147">
        <v>0</v>
      </c>
      <c r="L847" s="148">
        <v>0</v>
      </c>
      <c r="M847" s="149">
        <v>0</v>
      </c>
      <c r="N847" s="150">
        <v>0</v>
      </c>
      <c r="O847" s="130">
        <v>0</v>
      </c>
      <c r="P847" s="130">
        <v>0</v>
      </c>
      <c r="Q847" s="130">
        <v>0</v>
      </c>
      <c r="R847" s="130">
        <v>0</v>
      </c>
      <c r="S847" s="130">
        <v>0</v>
      </c>
      <c r="T847" s="130">
        <v>0</v>
      </c>
      <c r="U847" s="130">
        <v>0</v>
      </c>
      <c r="V847" s="524">
        <v>0</v>
      </c>
      <c r="W847" s="130">
        <v>0</v>
      </c>
      <c r="X847" s="130">
        <v>0</v>
      </c>
      <c r="Y847" s="130">
        <v>0</v>
      </c>
      <c r="Z847" s="130">
        <v>0</v>
      </c>
      <c r="AA847" s="158" t="s">
        <v>2078</v>
      </c>
      <c r="AB847" s="158"/>
      <c r="AC847" s="158"/>
      <c r="AD847" s="158"/>
      <c r="AE847" s="158" t="b">
        <f>IF(AB847="",TRUE,IF(IF(AC847="",VLOOKUP(AB847,Calculs!$A$19:$S$425,19,FALSE),VLOOKUP(AC847,Calculs!$A$19:$S$425,19,FALSE))&gt;=AD847,TRUE,FALSE))</f>
        <v>1</v>
      </c>
      <c r="AF847" s="158"/>
      <c r="AG847" s="158"/>
      <c r="AH847" s="158"/>
      <c r="AI847" s="158" t="b">
        <f>IF(AF847="",TRUE,IF(IF(AG847="",VLOOKUP(AF847,Calculs!$A$19:$S$425,19,FALSE),VLOOKUP(AG847,Calculs!$A$19:$S$425,19,FALSE))&gt;=AH847,TRUE,FALSE))</f>
        <v>1</v>
      </c>
      <c r="AJ847" s="158"/>
      <c r="AK847" s="158"/>
      <c r="AL847" s="158"/>
      <c r="AM847" s="158" t="b">
        <f>IF(AJ847="",TRUE,IF(IF(AK847="",VLOOKUP(AJ847,Calculs!$A$19:$S$425,19,FALSE),VLOOKUP(AK847,Calculs!$A$19:$S$425,19,FALSE))&gt;=AL847,TRUE,FALSE))</f>
        <v>1</v>
      </c>
      <c r="AN847" s="158"/>
      <c r="AO847" s="158"/>
      <c r="AP847" s="158"/>
      <c r="AQ847" s="158" t="b">
        <f>IF(AN847="",TRUE,IF(IF(AO847="",VLOOKUP(AN847,Calculs!$A$19:$S$425,19,FALSE),VLOOKUP(AO847,Calculs!$A$19:$S$425,19,FALSE))&gt;=AP847,TRUE,FALSE))</f>
        <v>1</v>
      </c>
      <c r="AR847" s="158"/>
      <c r="AS847" s="158" t="b">
        <f>IF(AR847="",TRUE,IF(VLOOKUP(AR847,Calculs!$A$427:$G$738,7,FALSE)&gt;0,TRUE,FALSE))</f>
        <v>1</v>
      </c>
      <c r="AT847" s="158"/>
      <c r="AU847" s="158" t="b">
        <f>IF(AT847="",TRUE,IF(VLOOKUP(AT847,Calculs!$A$740:$G$912,7,FALSE)&gt;0,TRUE,FALSE))</f>
        <v>1</v>
      </c>
      <c r="AV847" s="158" t="b">
        <f t="shared" si="95"/>
        <v>1</v>
      </c>
      <c r="AX847" s="162" t="s">
        <v>3</v>
      </c>
      <c r="AY847" s="15">
        <v>223</v>
      </c>
      <c r="AZ847" s="555" t="s">
        <v>8714</v>
      </c>
      <c r="BA847" s="559">
        <f>IF(Verso!$B$10=Voies!$B847,1,0)</f>
        <v>0</v>
      </c>
      <c r="BB847" s="12">
        <f>IF(Verso!$B$11=Voies!$B847,1,0)</f>
        <v>0</v>
      </c>
      <c r="BC847" s="12">
        <f>IF(Verso!$B$12=Voies!$B847,1,0)</f>
        <v>0</v>
      </c>
      <c r="BD847" s="12">
        <f>IF(Verso!$B$13=Voies!$B847,1,0)</f>
        <v>0</v>
      </c>
      <c r="BE847" s="12">
        <f>IF(Verso!$B$14=Voies!$B847,1,0)</f>
        <v>0</v>
      </c>
      <c r="BF847" s="12">
        <f>IF(Verso!$B$15=Voies!$B847,1,0)</f>
        <v>0</v>
      </c>
      <c r="BG847" s="12">
        <f>IF(Verso!$B$16=Voies!$B847,1,0)</f>
        <v>0</v>
      </c>
      <c r="BH847" s="12">
        <f>IF(Verso!$B$17=Voies!$B847,1,0)</f>
        <v>0</v>
      </c>
      <c r="BI847" s="557">
        <f t="shared" si="96"/>
        <v>0</v>
      </c>
      <c r="BJ847" s="196" t="str">
        <f t="shared" si="97"/>
        <v/>
      </c>
      <c r="BK847" s="196" t="str">
        <f t="shared" si="98"/>
        <v/>
      </c>
      <c r="BL847" s="295" t="str">
        <f t="shared" si="99"/>
        <v/>
      </c>
    </row>
    <row r="848" spans="1:65" ht="47.25" customHeight="1" x14ac:dyDescent="0.25">
      <c r="A848" s="162" t="str">
        <f>IF(AND(Réputation&gt;Voies!E848-1,OR(C848=TRUE,Calculs!$I$8&gt;0),Air&gt;Voies!J848-1,Eau&gt;Voies!K848-1,Feu&gt;Voies!L848-1,Terre&gt;Voies!M848-1,Vide&gt;Voies!N848-1,Constitution&gt;Voies!O848-1,Volonté&gt;Voies!P848-1,Force&gt;Voies!Q848-1,Perception&gt;Voies!R848-1,Reflexes&gt;Voies!S848-1,Agilité&gt;Voies!T848-1,Intuition&gt;Voies!U848-1,Intelligence&gt;Voies!V848-1,Souillure&gt;Voies!W848-1,Honneur&gt;X848-1,Statut&gt;Y848-1,Gloire&gt;Z848-1,AV848=TRUE),Voies!B848,"")</f>
        <v/>
      </c>
      <c r="B848" s="162" t="s">
        <v>5879</v>
      </c>
      <c r="C848" s="162" t="b">
        <f>IF(OR(Clan="Renard",Clan="Mante"),TRUE,FALSE)</f>
        <v>0</v>
      </c>
      <c r="D848" s="387" t="s">
        <v>182</v>
      </c>
      <c r="E848" s="199">
        <v>2</v>
      </c>
      <c r="F848" s="199">
        <v>2</v>
      </c>
      <c r="G848" s="199" t="s">
        <v>2049</v>
      </c>
      <c r="H848" s="162" t="s">
        <v>466</v>
      </c>
      <c r="I848" s="129" t="s">
        <v>3634</v>
      </c>
      <c r="J848" s="146">
        <v>0</v>
      </c>
      <c r="K848" s="147">
        <v>0</v>
      </c>
      <c r="L848" s="148">
        <v>0</v>
      </c>
      <c r="M848" s="149">
        <v>0</v>
      </c>
      <c r="N848" s="150">
        <v>0</v>
      </c>
      <c r="O848" s="130">
        <v>0</v>
      </c>
      <c r="P848" s="130">
        <v>0</v>
      </c>
      <c r="Q848" s="130">
        <v>0</v>
      </c>
      <c r="R848" s="130">
        <v>0</v>
      </c>
      <c r="S848" s="130">
        <v>0</v>
      </c>
      <c r="T848" s="130">
        <v>0</v>
      </c>
      <c r="U848" s="130">
        <v>0</v>
      </c>
      <c r="V848" s="524">
        <v>0</v>
      </c>
      <c r="W848" s="130">
        <v>0</v>
      </c>
      <c r="X848" s="130">
        <v>0</v>
      </c>
      <c r="Y848" s="130">
        <v>0</v>
      </c>
      <c r="Z848" s="130">
        <v>0</v>
      </c>
      <c r="AA848" s="159" t="s">
        <v>3631</v>
      </c>
      <c r="AB848" s="159" t="s">
        <v>1269</v>
      </c>
      <c r="AD848" s="159">
        <v>3</v>
      </c>
      <c r="AE848" s="158" t="b">
        <f>IF(AB848="",TRUE,IF(IF(AC848="",VLOOKUP(AB848,Calculs!$A$19:$S$425,19,FALSE),VLOOKUP(AC848,Calculs!$A$19:$S$425,19,FALSE))&gt;=AD848,TRUE,FALSE))</f>
        <v>0</v>
      </c>
      <c r="AI848" s="158" t="b">
        <f>IF(AF848="",TRUE,IF(IF(AG848="",VLOOKUP(AF848,Calculs!$A$19:$S$425,19,FALSE),VLOOKUP(AG848,Calculs!$A$19:$S$425,19,FALSE))&gt;=AH848,TRUE,FALSE))</f>
        <v>1</v>
      </c>
      <c r="AM848" s="158" t="b">
        <f>IF(AJ848="",TRUE,IF(IF(AK848="",VLOOKUP(AJ848,Calculs!$A$19:$S$425,19,FALSE),VLOOKUP(AK848,Calculs!$A$19:$S$425,19,FALSE))&gt;=AL848,TRUE,FALSE))</f>
        <v>1</v>
      </c>
      <c r="AQ848" s="158" t="b">
        <f>IF(AN848="",TRUE,IF(IF(AO848="",VLOOKUP(AN848,Calculs!$A$19:$S$425,19,FALSE),VLOOKUP(AO848,Calculs!$A$19:$S$425,19,FALSE))&gt;=AP848,TRUE,FALSE))</f>
        <v>1</v>
      </c>
      <c r="AR848" s="158"/>
      <c r="AS848" s="158" t="b">
        <f>IF(AR848="",TRUE,IF(VLOOKUP(AR848,Calculs!$A$427:$G$738,7,FALSE)&gt;0,TRUE,FALSE))</f>
        <v>1</v>
      </c>
      <c r="AT848" s="158"/>
      <c r="AU848" s="158" t="b">
        <f>IF(AT848="",TRUE,IF(VLOOKUP(AT848,Calculs!$A$740:$G$912,7,FALSE)&gt;0,TRUE,FALSE))</f>
        <v>1</v>
      </c>
      <c r="AV848" s="158" t="b">
        <f t="shared" si="95"/>
        <v>0</v>
      </c>
      <c r="AW848" s="158" t="s">
        <v>2078</v>
      </c>
      <c r="AX848" s="162" t="s">
        <v>6061</v>
      </c>
      <c r="AY848" s="15">
        <v>170</v>
      </c>
      <c r="AZ848" s="555" t="s">
        <v>8715</v>
      </c>
      <c r="BA848" s="559">
        <f>IF(Verso!$B$10=Voies!$B848,1,0)</f>
        <v>0</v>
      </c>
      <c r="BB848" s="12">
        <f>IF(Verso!$B$11=Voies!$B848,1,0)</f>
        <v>0</v>
      </c>
      <c r="BC848" s="12">
        <f>IF(Verso!$B$12=Voies!$B848,1,0)</f>
        <v>0</v>
      </c>
      <c r="BD848" s="12">
        <f>IF(Verso!$B$13=Voies!$B848,1,0)</f>
        <v>0</v>
      </c>
      <c r="BE848" s="12">
        <f>IF(Verso!$B$14=Voies!$B848,1,0)</f>
        <v>0</v>
      </c>
      <c r="BF848" s="12">
        <f>IF(Verso!$B$15=Voies!$B848,1,0)</f>
        <v>0</v>
      </c>
      <c r="BG848" s="12">
        <f>IF(Verso!$B$16=Voies!$B848,1,0)</f>
        <v>0</v>
      </c>
      <c r="BH848" s="12">
        <f>IF(Verso!$B$17=Voies!$B848,1,0)</f>
        <v>0</v>
      </c>
      <c r="BI848" s="557">
        <f t="shared" si="96"/>
        <v>0</v>
      </c>
      <c r="BJ848" s="196" t="str">
        <f t="shared" si="97"/>
        <v/>
      </c>
      <c r="BK848" s="196" t="str">
        <f t="shared" si="98"/>
        <v/>
      </c>
      <c r="BL848" s="295" t="str">
        <f t="shared" si="99"/>
        <v/>
      </c>
    </row>
    <row r="849" spans="1:65" ht="47.25" customHeight="1" x14ac:dyDescent="0.25">
      <c r="A849" s="162" t="str">
        <f>IF(AND(Réputation&gt;Voies!E849-1,OR(C849=TRUE,Calculs!$I$8&gt;0),Air&gt;Voies!J849-1,Eau&gt;Voies!K849-1,Feu&gt;Voies!L849-1,Terre&gt;Voies!M849-1,Vide&gt;Voies!N849-1,Constitution&gt;Voies!O849-1,Volonté&gt;Voies!P849-1,Force&gt;Voies!Q849-1,Perception&gt;Voies!R849-1,Reflexes&gt;Voies!S849-1,Agilité&gt;Voies!T849-1,Intuition&gt;Voies!U849-1,Intelligence&gt;Voies!V849-1,Souillure&gt;Voies!W849-1,Honneur&gt;X849-1,Statut&gt;Y849-1,Gloire&gt;Z849-1,AV849=TRUE),Voies!B849,"")</f>
        <v/>
      </c>
      <c r="B849" s="162" t="s">
        <v>5878</v>
      </c>
      <c r="C849" s="162" t="b">
        <f>IF(OR(Clan="Renard",Clan="Mante"),TRUE,FALSE)</f>
        <v>0</v>
      </c>
      <c r="D849" s="387" t="s">
        <v>182</v>
      </c>
      <c r="E849" s="199">
        <v>3</v>
      </c>
      <c r="F849" s="199">
        <v>3</v>
      </c>
      <c r="G849" s="199" t="s">
        <v>2048</v>
      </c>
      <c r="H849" s="162" t="s">
        <v>511</v>
      </c>
      <c r="I849" s="129" t="s">
        <v>3445</v>
      </c>
      <c r="J849" s="146">
        <v>0</v>
      </c>
      <c r="K849" s="147">
        <v>0</v>
      </c>
      <c r="L849" s="148">
        <v>0</v>
      </c>
      <c r="M849" s="149">
        <v>0</v>
      </c>
      <c r="N849" s="150">
        <v>0</v>
      </c>
      <c r="O849" s="130">
        <v>0</v>
      </c>
      <c r="P849" s="130">
        <v>0</v>
      </c>
      <c r="Q849" s="130">
        <v>0</v>
      </c>
      <c r="R849" s="130">
        <v>0</v>
      </c>
      <c r="S849" s="130">
        <v>0</v>
      </c>
      <c r="T849" s="130">
        <v>0</v>
      </c>
      <c r="U849" s="130">
        <v>0</v>
      </c>
      <c r="V849" s="524">
        <v>0</v>
      </c>
      <c r="W849" s="130">
        <v>0</v>
      </c>
      <c r="X849" s="130">
        <v>0</v>
      </c>
      <c r="Y849" s="130">
        <v>0</v>
      </c>
      <c r="Z849" s="130">
        <v>0</v>
      </c>
      <c r="AA849" s="159" t="s">
        <v>6390</v>
      </c>
      <c r="AB849" s="159" t="s">
        <v>1269</v>
      </c>
      <c r="AD849" s="159">
        <v>3</v>
      </c>
      <c r="AE849" s="158" t="b">
        <f>IF(AB849="",TRUE,IF(IF(AC849="",VLOOKUP(AB849,Calculs!$A$19:$S$425,19,FALSE),VLOOKUP(AC849,Calculs!$A$19:$S$425,19,FALSE))&gt;=AD849,TRUE,FALSE))</f>
        <v>0</v>
      </c>
      <c r="AF849" s="159" t="s">
        <v>1922</v>
      </c>
      <c r="AG849" s="159" t="s">
        <v>115</v>
      </c>
      <c r="AH849" s="159">
        <v>2</v>
      </c>
      <c r="AI849" s="158" t="b">
        <f>IF(AF849="",TRUE,IF(IF(AG849="",VLOOKUP(AF849,Calculs!$A$19:$S$425,19,FALSE),VLOOKUP(AG849,Calculs!$A$19:$S$425,19,FALSE))&gt;=AH849,TRUE,FALSE))</f>
        <v>0</v>
      </c>
      <c r="AM849" s="158" t="b">
        <f>IF(AJ849="",TRUE,IF(IF(AK849="",VLOOKUP(AJ849,Calculs!$A$19:$S$425,19,FALSE),VLOOKUP(AK849,Calculs!$A$19:$S$425,19,FALSE))&gt;=AL849,TRUE,FALSE))</f>
        <v>1</v>
      </c>
      <c r="AQ849" s="158" t="b">
        <f>IF(AN849="",TRUE,IF(IF(AO849="",VLOOKUP(AN849,Calculs!$A$19:$S$425,19,FALSE),VLOOKUP(AO849,Calculs!$A$19:$S$425,19,FALSE))&gt;=AP849,TRUE,FALSE))</f>
        <v>1</v>
      </c>
      <c r="AR849" s="158"/>
      <c r="AS849" s="158" t="b">
        <f>IF(AR849="",TRUE,IF(VLOOKUP(AR849,Calculs!$A$427:$G$738,7,FALSE)&gt;0,TRUE,FALSE))</f>
        <v>1</v>
      </c>
      <c r="AT849" s="158"/>
      <c r="AU849" s="158" t="b">
        <f>IF(AT849="",TRUE,IF(VLOOKUP(AT849,Calculs!$A$740:$G$912,7,FALSE)&gt;0,TRUE,FALSE))</f>
        <v>1</v>
      </c>
      <c r="AV849" s="158" t="b">
        <f t="shared" si="95"/>
        <v>0</v>
      </c>
      <c r="AW849" s="158" t="s">
        <v>2078</v>
      </c>
      <c r="AX849" s="162" t="s">
        <v>158</v>
      </c>
      <c r="AY849" s="151">
        <v>196</v>
      </c>
      <c r="AZ849" s="555" t="s">
        <v>3446</v>
      </c>
      <c r="BA849" s="559">
        <f>IF(Verso!$B$10=Voies!$B849,1,0)</f>
        <v>0</v>
      </c>
      <c r="BB849" s="12">
        <f>IF(Verso!$B$11=Voies!$B849,1,0)</f>
        <v>0</v>
      </c>
      <c r="BC849" s="12">
        <f>IF(Verso!$B$12=Voies!$B849,1,0)</f>
        <v>0</v>
      </c>
      <c r="BD849" s="12">
        <f>IF(Verso!$B$13=Voies!$B849,1,0)</f>
        <v>0</v>
      </c>
      <c r="BE849" s="12">
        <f>IF(Verso!$B$14=Voies!$B849,1,0)</f>
        <v>0</v>
      </c>
      <c r="BF849" s="12">
        <f>IF(Verso!$B$15=Voies!$B849,1,0)</f>
        <v>0</v>
      </c>
      <c r="BG849" s="12">
        <f>IF(Verso!$B$16=Voies!$B849,1,0)</f>
        <v>0</v>
      </c>
      <c r="BH849" s="12">
        <f>IF(Verso!$B$17=Voies!$B849,1,0)</f>
        <v>0</v>
      </c>
      <c r="BI849" s="557">
        <f t="shared" si="96"/>
        <v>0</v>
      </c>
      <c r="BJ849" s="196" t="str">
        <f t="shared" si="97"/>
        <v/>
      </c>
      <c r="BK849" s="196" t="str">
        <f t="shared" si="98"/>
        <v/>
      </c>
      <c r="BL849" s="295" t="str">
        <f t="shared" si="99"/>
        <v/>
      </c>
    </row>
    <row r="850" spans="1:65" ht="47.25" customHeight="1" x14ac:dyDescent="0.25">
      <c r="A850" s="162" t="str">
        <f>IF(AND(Réputation&gt;Voies!E850-1,OR(C850=TRUE,Calculs!$I$8&gt;0),Air&gt;Voies!J850-1,Eau&gt;Voies!K850-1,Feu&gt;Voies!L850-1,Terre&gt;Voies!M850-1,Vide&gt;Voies!N850-1,Constitution&gt;Voies!O850-1,Volonté&gt;Voies!P850-1,Force&gt;Voies!Q850-1,Perception&gt;Voies!R850-1,Reflexes&gt;Voies!S850-1,Agilité&gt;Voies!T850-1,Intuition&gt;Voies!U850-1,Intelligence&gt;Voies!V850-1,Souillure&gt;Voies!W850-1,Honneur&gt;X850-1,Statut&gt;Y850-1,Gloire&gt;Z850-1,AV850=TRUE),Voies!B850,"")</f>
        <v/>
      </c>
      <c r="B850" s="162" t="s">
        <v>5877</v>
      </c>
      <c r="C850" s="162" t="b">
        <f>IF(OR(Clan="Renard",Clan="Mante"),TRUE,FALSE)</f>
        <v>0</v>
      </c>
      <c r="D850" s="387" t="s">
        <v>182</v>
      </c>
      <c r="E850" s="199">
        <v>3</v>
      </c>
      <c r="F850" s="199">
        <v>3</v>
      </c>
      <c r="G850" s="199" t="s">
        <v>2048</v>
      </c>
      <c r="H850" s="162" t="s">
        <v>512</v>
      </c>
      <c r="I850" s="129" t="s">
        <v>3445</v>
      </c>
      <c r="J850" s="146">
        <v>0</v>
      </c>
      <c r="K850" s="147">
        <v>0</v>
      </c>
      <c r="L850" s="148">
        <v>0</v>
      </c>
      <c r="M850" s="149">
        <v>0</v>
      </c>
      <c r="N850" s="150">
        <v>0</v>
      </c>
      <c r="O850" s="130">
        <v>0</v>
      </c>
      <c r="P850" s="130">
        <v>0</v>
      </c>
      <c r="Q850" s="130">
        <v>0</v>
      </c>
      <c r="R850" s="130">
        <v>0</v>
      </c>
      <c r="S850" s="130">
        <v>0</v>
      </c>
      <c r="T850" s="130">
        <v>0</v>
      </c>
      <c r="U850" s="130">
        <v>0</v>
      </c>
      <c r="V850" s="524">
        <v>0</v>
      </c>
      <c r="W850" s="130">
        <v>0</v>
      </c>
      <c r="X850" s="130">
        <v>0</v>
      </c>
      <c r="Y850" s="130">
        <v>0</v>
      </c>
      <c r="Z850" s="130">
        <v>0</v>
      </c>
      <c r="AA850" s="159" t="s">
        <v>3731</v>
      </c>
      <c r="AB850" s="159" t="s">
        <v>1269</v>
      </c>
      <c r="AD850" s="159">
        <v>2</v>
      </c>
      <c r="AE850" s="158" t="b">
        <f>IF(AB850="",TRUE,IF(IF(AC850="",VLOOKUP(AB850,Calculs!$A$19:$S$425,19,FALSE),VLOOKUP(AC850,Calculs!$A$19:$S$425,19,FALSE))&gt;=AD850,TRUE,FALSE))</f>
        <v>0</v>
      </c>
      <c r="AF850" s="159" t="s">
        <v>1278</v>
      </c>
      <c r="AH850" s="159">
        <v>3</v>
      </c>
      <c r="AI850" s="158" t="b">
        <f>IF(AF850="",TRUE,IF(IF(AG850="",VLOOKUP(AF850,Calculs!$A$19:$S$425,19,FALSE),VLOOKUP(AG850,Calculs!$A$19:$S$425,19,FALSE))&gt;=AH850,TRUE,FALSE))</f>
        <v>0</v>
      </c>
      <c r="AM850" s="158" t="b">
        <f>IF(AJ850="",TRUE,IF(IF(AK850="",VLOOKUP(AJ850,Calculs!$A$19:$S$425,19,FALSE),VLOOKUP(AK850,Calculs!$A$19:$S$425,19,FALSE))&gt;=AL850,TRUE,FALSE))</f>
        <v>1</v>
      </c>
      <c r="AQ850" s="158" t="b">
        <f>IF(AN850="",TRUE,IF(IF(AO850="",VLOOKUP(AN850,Calculs!$A$19:$S$425,19,FALSE),VLOOKUP(AO850,Calculs!$A$19:$S$425,19,FALSE))&gt;=AP850,TRUE,FALSE))</f>
        <v>1</v>
      </c>
      <c r="AR850" s="158"/>
      <c r="AS850" s="158" t="b">
        <f>IF(AR850="",TRUE,IF(VLOOKUP(AR850,Calculs!$A$427:$G$738,7,FALSE)&gt;0,TRUE,FALSE))</f>
        <v>1</v>
      </c>
      <c r="AT850" s="158"/>
      <c r="AU850" s="158" t="b">
        <f>IF(AT850="",TRUE,IF(VLOOKUP(AT850,Calculs!$A$740:$G$912,7,FALSE)&gt;0,TRUE,FALSE))</f>
        <v>1</v>
      </c>
      <c r="AV850" s="158" t="b">
        <f t="shared" si="95"/>
        <v>0</v>
      </c>
      <c r="AW850" s="158" t="s">
        <v>2078</v>
      </c>
      <c r="AX850" s="162" t="s">
        <v>2921</v>
      </c>
      <c r="AY850" s="15">
        <v>99</v>
      </c>
      <c r="AZ850" s="555" t="s">
        <v>8716</v>
      </c>
      <c r="BA850" s="559">
        <f>IF(Verso!$B$10=Voies!$B850,1,0)</f>
        <v>0</v>
      </c>
      <c r="BB850" s="12">
        <f>IF(Verso!$B$11=Voies!$B850,1,0)</f>
        <v>0</v>
      </c>
      <c r="BC850" s="12">
        <f>IF(Verso!$B$12=Voies!$B850,1,0)</f>
        <v>0</v>
      </c>
      <c r="BD850" s="12">
        <f>IF(Verso!$B$13=Voies!$B850,1,0)</f>
        <v>0</v>
      </c>
      <c r="BE850" s="12">
        <f>IF(Verso!$B$14=Voies!$B850,1,0)</f>
        <v>0</v>
      </c>
      <c r="BF850" s="12">
        <f>IF(Verso!$B$15=Voies!$B850,1,0)</f>
        <v>0</v>
      </c>
      <c r="BG850" s="12">
        <f>IF(Verso!$B$16=Voies!$B850,1,0)</f>
        <v>0</v>
      </c>
      <c r="BH850" s="12">
        <f>IF(Verso!$B$17=Voies!$B850,1,0)</f>
        <v>0</v>
      </c>
      <c r="BI850" s="557">
        <f t="shared" si="96"/>
        <v>0</v>
      </c>
      <c r="BJ850" s="196" t="str">
        <f t="shared" si="97"/>
        <v/>
      </c>
      <c r="BK850" s="196" t="str">
        <f t="shared" si="98"/>
        <v/>
      </c>
      <c r="BL850" s="295" t="str">
        <f t="shared" si="99"/>
        <v/>
      </c>
    </row>
    <row r="851" spans="1:65" ht="47.25" customHeight="1" x14ac:dyDescent="0.25">
      <c r="A851" s="162" t="str">
        <f>IF(AND(Réputation&gt;Voies!E851-1,OR(C851=TRUE,Calculs!$I$8&gt;0),Air&gt;Voies!J851-1,Eau&gt;Voies!K851-1,Feu&gt;Voies!L851-1,Terre&gt;Voies!M851-1,Vide&gt;Voies!N851-1,Constitution&gt;Voies!O851-1,Volonté&gt;Voies!P851-1,Force&gt;Voies!Q851-1,Perception&gt;Voies!R851-1,Reflexes&gt;Voies!S851-1,Agilité&gt;Voies!T851-1,Intuition&gt;Voies!U851-1,Intelligence&gt;Voies!V851-1,Souillure&gt;Voies!W851-1,Honneur&gt;X851-1,Statut&gt;Y851-1,Gloire&gt;Z851-1,AV851=TRUE),Voies!B851,"")</f>
        <v/>
      </c>
      <c r="B851" s="162" t="s">
        <v>5876</v>
      </c>
      <c r="C851" s="162" t="b">
        <f>IF(OR(Clan="Renard",Clan="Mante"),TRUE,FALSE)</f>
        <v>0</v>
      </c>
      <c r="D851" s="387" t="s">
        <v>182</v>
      </c>
      <c r="E851" s="201">
        <v>4</v>
      </c>
      <c r="F851" s="201">
        <v>4</v>
      </c>
      <c r="G851" s="201" t="s">
        <v>2048</v>
      </c>
      <c r="H851" s="219" t="s">
        <v>465</v>
      </c>
      <c r="I851" s="129" t="s">
        <v>3838</v>
      </c>
      <c r="J851" s="146">
        <v>0</v>
      </c>
      <c r="K851" s="147">
        <v>0</v>
      </c>
      <c r="L851" s="148">
        <v>0</v>
      </c>
      <c r="M851" s="149">
        <v>0</v>
      </c>
      <c r="N851" s="150">
        <v>0</v>
      </c>
      <c r="O851" s="130">
        <v>0</v>
      </c>
      <c r="P851" s="130">
        <v>0</v>
      </c>
      <c r="Q851" s="130">
        <v>0</v>
      </c>
      <c r="R851" s="130">
        <v>0</v>
      </c>
      <c r="S851" s="130">
        <v>0</v>
      </c>
      <c r="T851" s="130">
        <v>0</v>
      </c>
      <c r="U851" s="130">
        <v>0</v>
      </c>
      <c r="V851" s="524">
        <v>0</v>
      </c>
      <c r="W851" s="130">
        <v>0</v>
      </c>
      <c r="X851" s="130">
        <v>0</v>
      </c>
      <c r="Y851" s="130">
        <v>0</v>
      </c>
      <c r="Z851" s="130">
        <v>0</v>
      </c>
      <c r="AA851" s="159" t="s">
        <v>3818</v>
      </c>
      <c r="AB851" s="159" t="s">
        <v>1262</v>
      </c>
      <c r="AD851" s="159">
        <v>3</v>
      </c>
      <c r="AE851" s="158" t="b">
        <f>IF(AB851="",TRUE,IF(IF(AC851="",VLOOKUP(AB851,Calculs!$A$19:$S$425,19,FALSE),VLOOKUP(AC851,Calculs!$A$19:$S$425,19,FALSE))&gt;=AD851,TRUE,FALSE))</f>
        <v>0</v>
      </c>
      <c r="AF851" s="159" t="s">
        <v>3328</v>
      </c>
      <c r="AH851" s="159">
        <v>3</v>
      </c>
      <c r="AI851" s="158" t="b">
        <f>IF(AF851="",TRUE,IF(IF(AG851="",VLOOKUP(AF851,Calculs!$A$19:$S$425,19,FALSE),VLOOKUP(AG851,Calculs!$A$19:$S$425,19,FALSE))&gt;=AH851,TRUE,FALSE))</f>
        <v>0</v>
      </c>
      <c r="AJ851" s="159" t="s">
        <v>3326</v>
      </c>
      <c r="AL851" s="159">
        <v>3</v>
      </c>
      <c r="AM851" s="158" t="b">
        <f>IF(AJ851="",TRUE,IF(IF(AK851="",VLOOKUP(AJ851,Calculs!$A$19:$S$425,19,FALSE),VLOOKUP(AK851,Calculs!$A$19:$S$425,19,FALSE))&gt;=AL851,TRUE,FALSE))</f>
        <v>0</v>
      </c>
      <c r="AN851" s="159" t="s">
        <v>3327</v>
      </c>
      <c r="AP851" s="159">
        <v>3</v>
      </c>
      <c r="AQ851" s="158" t="b">
        <f>IF(AN851="",TRUE,IF(IF(AO851="",VLOOKUP(AN851,Calculs!$A$19:$S$425,19,FALSE),VLOOKUP(AO851,Calculs!$A$19:$S$425,19,FALSE))&gt;=AP851,TRUE,FALSE))</f>
        <v>0</v>
      </c>
      <c r="AR851" s="158"/>
      <c r="AS851" s="158" t="b">
        <f>IF(AR851="",TRUE,IF(VLOOKUP(AR851,Calculs!$A$427:$G$738,7,FALSE)&gt;0,TRUE,FALSE))</f>
        <v>1</v>
      </c>
      <c r="AT851" s="158"/>
      <c r="AU851" s="158" t="b">
        <f>IF(AT851="",TRUE,IF(VLOOKUP(AT851,Calculs!$A$740:$G$912,7,FALSE)&gt;0,TRUE,FALSE))</f>
        <v>1</v>
      </c>
      <c r="AV851" s="158" t="b">
        <f t="shared" si="95"/>
        <v>0</v>
      </c>
      <c r="AW851" s="158" t="s">
        <v>2078</v>
      </c>
      <c r="AX851" s="162" t="s">
        <v>2087</v>
      </c>
      <c r="AY851" s="15">
        <v>25</v>
      </c>
      <c r="AZ851" s="555" t="s">
        <v>3839</v>
      </c>
      <c r="BA851" s="559">
        <f>IF(Verso!$B$10=Voies!$B851,1,0)</f>
        <v>0</v>
      </c>
      <c r="BB851" s="12">
        <f>IF(Verso!$B$11=Voies!$B851,1,0)</f>
        <v>0</v>
      </c>
      <c r="BC851" s="12">
        <f>IF(Verso!$B$12=Voies!$B851,1,0)</f>
        <v>0</v>
      </c>
      <c r="BD851" s="12">
        <f>IF(Verso!$B$13=Voies!$B851,1,0)</f>
        <v>0</v>
      </c>
      <c r="BE851" s="12">
        <f>IF(Verso!$B$14=Voies!$B851,1,0)</f>
        <v>0</v>
      </c>
      <c r="BF851" s="12">
        <f>IF(Verso!$B$15=Voies!$B851,1,0)</f>
        <v>0</v>
      </c>
      <c r="BG851" s="12">
        <f>IF(Verso!$B$16=Voies!$B851,1,0)</f>
        <v>0</v>
      </c>
      <c r="BH851" s="12">
        <f>IF(Verso!$B$17=Voies!$B851,1,0)</f>
        <v>0</v>
      </c>
      <c r="BI851" s="557">
        <f t="shared" si="96"/>
        <v>0</v>
      </c>
      <c r="BJ851" s="196" t="str">
        <f t="shared" si="97"/>
        <v/>
      </c>
      <c r="BK851" s="196" t="str">
        <f t="shared" si="98"/>
        <v/>
      </c>
      <c r="BL851" s="295" t="str">
        <f t="shared" si="99"/>
        <v/>
      </c>
    </row>
    <row r="852" spans="1:65" s="196" customFormat="1" ht="47.25" customHeight="1" x14ac:dyDescent="0.25">
      <c r="A852" s="162" t="str">
        <f>IF(AND(Réputation&gt;Voies!E852-1,OR(C852=TRUE,Calculs!$I$8&gt;0),Air&gt;Voies!J852-1,Eau&gt;Voies!K852-1,Feu&gt;Voies!L852-1,Terre&gt;Voies!M852-1,Vide&gt;Voies!N852-1,Constitution&gt;Voies!O852-1,Volonté&gt;Voies!P852-1,Force&gt;Voies!Q852-1,Perception&gt;Voies!R852-1,Reflexes&gt;Voies!S852-1,Agilité&gt;Voies!T852-1,Intuition&gt;Voies!U852-1,Intelligence&gt;Voies!V852-1,Souillure&gt;Voies!W852-1,Honneur&gt;X852-1,Statut&gt;Y852-1,Gloire&gt;Z852-1,AV852=TRUE),Voies!B852,"")</f>
        <v/>
      </c>
      <c r="B852" s="162" t="s">
        <v>7177</v>
      </c>
      <c r="C852" s="162" t="b">
        <f>IF(Clan=Voies!D852,TRUE,FALSE)</f>
        <v>0</v>
      </c>
      <c r="D852" s="387" t="s">
        <v>6799</v>
      </c>
      <c r="E852" s="201">
        <v>1</v>
      </c>
      <c r="F852" s="201">
        <v>1</v>
      </c>
      <c r="G852" s="201" t="s">
        <v>2049</v>
      </c>
      <c r="H852" s="219" t="s">
        <v>7176</v>
      </c>
      <c r="I852" s="129" t="str">
        <f t="shared" ref="I852:I865" si="100">IF(B852="","","Rien")</f>
        <v>Rien</v>
      </c>
      <c r="J852" s="146">
        <v>0</v>
      </c>
      <c r="K852" s="147">
        <v>0</v>
      </c>
      <c r="L852" s="148">
        <v>0</v>
      </c>
      <c r="M852" s="149">
        <v>0</v>
      </c>
      <c r="N852" s="150">
        <v>0</v>
      </c>
      <c r="O852" s="130">
        <v>0</v>
      </c>
      <c r="P852" s="130">
        <v>0</v>
      </c>
      <c r="Q852" s="130">
        <v>0</v>
      </c>
      <c r="R852" s="130">
        <v>0</v>
      </c>
      <c r="S852" s="130">
        <v>0</v>
      </c>
      <c r="T852" s="130">
        <v>0</v>
      </c>
      <c r="U852" s="130">
        <v>0</v>
      </c>
      <c r="V852" s="524">
        <v>0</v>
      </c>
      <c r="W852" s="130">
        <v>0</v>
      </c>
      <c r="X852" s="130">
        <v>0</v>
      </c>
      <c r="Y852" s="130">
        <v>0</v>
      </c>
      <c r="Z852" s="130">
        <v>0</v>
      </c>
      <c r="AA852" s="158" t="s">
        <v>2078</v>
      </c>
      <c r="AB852" s="158"/>
      <c r="AC852" s="158"/>
      <c r="AD852" s="158"/>
      <c r="AE852" s="158" t="b">
        <f>IF(AB852="",TRUE,IF(IF(AC852="",VLOOKUP(AB852,Calculs!$A$19:$S$425,19,FALSE),VLOOKUP(AC852,Calculs!$A$19:$S$425,19,FALSE))&gt;=AD852,TRUE,FALSE))</f>
        <v>1</v>
      </c>
      <c r="AF852" s="158"/>
      <c r="AG852" s="158"/>
      <c r="AH852" s="158"/>
      <c r="AI852" s="158" t="b">
        <f>IF(AF852="",TRUE,IF(IF(AG852="",VLOOKUP(AF852,Calculs!$A$19:$S$425,19,FALSE),VLOOKUP(AG852,Calculs!$A$19:$S$425,19,FALSE))&gt;=AH852,TRUE,FALSE))</f>
        <v>1</v>
      </c>
      <c r="AJ852" s="158"/>
      <c r="AK852" s="158"/>
      <c r="AL852" s="158"/>
      <c r="AM852" s="158" t="b">
        <f>IF(AJ852="",TRUE,IF(IF(AK852="",VLOOKUP(AJ852,Calculs!$A$19:$S$425,19,FALSE),VLOOKUP(AK852,Calculs!$A$19:$S$425,19,FALSE))&gt;=AL852,TRUE,FALSE))</f>
        <v>1</v>
      </c>
      <c r="AN852" s="158"/>
      <c r="AO852" s="158"/>
      <c r="AP852" s="158"/>
      <c r="AQ852" s="158" t="b">
        <f>IF(AN852="",TRUE,IF(IF(AO852="",VLOOKUP(AN852,Calculs!$A$19:$S$425,19,FALSE),VLOOKUP(AO852,Calculs!$A$19:$S$425,19,FALSE))&gt;=AP852,TRUE,FALSE))</f>
        <v>1</v>
      </c>
      <c r="AR852" s="158"/>
      <c r="AS852" s="158" t="b">
        <f>IF(AR852="",TRUE,IF(VLOOKUP(AR852,Calculs!$A$427:$G$738,7,FALSE)&gt;0,TRUE,FALSE))</f>
        <v>1</v>
      </c>
      <c r="AT852" s="158"/>
      <c r="AU852" s="158" t="b">
        <f>IF(AT852="",TRUE,IF(VLOOKUP(AT852,Calculs!$A$740:$G$912,7,FALSE)&gt;0,TRUE,FALSE))</f>
        <v>1</v>
      </c>
      <c r="AV852" s="158" t="b">
        <f t="shared" si="95"/>
        <v>1</v>
      </c>
      <c r="AW852" s="158" t="s">
        <v>2078</v>
      </c>
      <c r="AX852" s="162" t="s">
        <v>6816</v>
      </c>
      <c r="AY852" s="15">
        <v>129</v>
      </c>
      <c r="AZ852" s="555" t="s">
        <v>7182</v>
      </c>
      <c r="BA852" s="559">
        <f>IF(Verso!$B$10=Voies!$B852,1,0)</f>
        <v>0</v>
      </c>
      <c r="BB852" s="12">
        <f>IF(Verso!$B$11=Voies!$B852,1,0)</f>
        <v>0</v>
      </c>
      <c r="BC852" s="12">
        <f>IF(Verso!$B$12=Voies!$B852,1,0)</f>
        <v>0</v>
      </c>
      <c r="BD852" s="12">
        <f>IF(Verso!$B$13=Voies!$B852,1,0)</f>
        <v>0</v>
      </c>
      <c r="BE852" s="12">
        <f>IF(Verso!$B$14=Voies!$B852,1,0)</f>
        <v>0</v>
      </c>
      <c r="BF852" s="12">
        <f>IF(Verso!$B$15=Voies!$B852,1,0)</f>
        <v>0</v>
      </c>
      <c r="BG852" s="12">
        <f>IF(Verso!$B$16=Voies!$B852,1,0)</f>
        <v>0</v>
      </c>
      <c r="BH852" s="12">
        <f>IF(Verso!$B$17=Voies!$B852,1,0)</f>
        <v>0</v>
      </c>
      <c r="BI852" s="557">
        <f t="shared" si="96"/>
        <v>0</v>
      </c>
      <c r="BJ852" s="196" t="str">
        <f t="shared" si="97"/>
        <v/>
      </c>
      <c r="BK852" s="196" t="str">
        <f t="shared" si="98"/>
        <v/>
      </c>
      <c r="BL852" s="295" t="str">
        <f t="shared" si="99"/>
        <v/>
      </c>
      <c r="BM852" s="91"/>
    </row>
    <row r="853" spans="1:65" s="196" customFormat="1" ht="47.25" customHeight="1" x14ac:dyDescent="0.25">
      <c r="A853" s="162" t="str">
        <f>IF(AND(Réputation&gt;Voies!E853-1,OR(C853=TRUE,Calculs!$I$8&gt;0),Air&gt;Voies!J853-1,Eau&gt;Voies!K853-1,Feu&gt;Voies!L853-1,Terre&gt;Voies!M853-1,Vide&gt;Voies!N853-1,Constitution&gt;Voies!O853-1,Volonté&gt;Voies!P853-1,Force&gt;Voies!Q853-1,Perception&gt;Voies!R853-1,Reflexes&gt;Voies!S853-1,Agilité&gt;Voies!T853-1,Intuition&gt;Voies!U853-1,Intelligence&gt;Voies!V853-1,Souillure&gt;Voies!W853-1,Honneur&gt;X853-1,Statut&gt;Y853-1,Gloire&gt;Z853-1,AV853=TRUE),Voies!B853,"")</f>
        <v/>
      </c>
      <c r="B853" s="162" t="s">
        <v>7178</v>
      </c>
      <c r="C853" s="162" t="b">
        <f>IF(Clan=Voies!D853,TRUE,FALSE)</f>
        <v>0</v>
      </c>
      <c r="D853" s="387" t="s">
        <v>6799</v>
      </c>
      <c r="E853" s="201">
        <v>2</v>
      </c>
      <c r="F853" s="201">
        <v>2</v>
      </c>
      <c r="G853" s="201" t="s">
        <v>2049</v>
      </c>
      <c r="H853" s="219" t="s">
        <v>7176</v>
      </c>
      <c r="I853" s="129" t="str">
        <f t="shared" si="100"/>
        <v>Rien</v>
      </c>
      <c r="J853" s="146">
        <v>0</v>
      </c>
      <c r="K853" s="147">
        <v>0</v>
      </c>
      <c r="L853" s="148">
        <v>0</v>
      </c>
      <c r="M853" s="149">
        <v>0</v>
      </c>
      <c r="N853" s="150">
        <v>0</v>
      </c>
      <c r="O853" s="130">
        <v>0</v>
      </c>
      <c r="P853" s="130">
        <v>0</v>
      </c>
      <c r="Q853" s="130">
        <v>0</v>
      </c>
      <c r="R853" s="130">
        <v>0</v>
      </c>
      <c r="S853" s="130">
        <v>0</v>
      </c>
      <c r="T853" s="130">
        <v>0</v>
      </c>
      <c r="U853" s="130">
        <v>0</v>
      </c>
      <c r="V853" s="524">
        <v>0</v>
      </c>
      <c r="W853" s="130">
        <v>0</v>
      </c>
      <c r="X853" s="130">
        <v>0</v>
      </c>
      <c r="Y853" s="130">
        <v>0</v>
      </c>
      <c r="Z853" s="130">
        <v>0</v>
      </c>
      <c r="AA853" s="158" t="s">
        <v>2078</v>
      </c>
      <c r="AB853" s="158"/>
      <c r="AC853" s="158"/>
      <c r="AD853" s="158"/>
      <c r="AE853" s="158" t="b">
        <f>IF(AB853="",TRUE,IF(IF(AC853="",VLOOKUP(AB853,Calculs!$A$19:$S$425,19,FALSE),VLOOKUP(AC853,Calculs!$A$19:$S$425,19,FALSE))&gt;=AD853,TRUE,FALSE))</f>
        <v>1</v>
      </c>
      <c r="AF853" s="158"/>
      <c r="AG853" s="158"/>
      <c r="AH853" s="158"/>
      <c r="AI853" s="158" t="b">
        <f>IF(AF853="",TRUE,IF(IF(AG853="",VLOOKUP(AF853,Calculs!$A$19:$S$425,19,FALSE),VLOOKUP(AG853,Calculs!$A$19:$S$425,19,FALSE))&gt;=AH853,TRUE,FALSE))</f>
        <v>1</v>
      </c>
      <c r="AJ853" s="158"/>
      <c r="AK853" s="158"/>
      <c r="AL853" s="158"/>
      <c r="AM853" s="158" t="b">
        <f>IF(AJ853="",TRUE,IF(IF(AK853="",VLOOKUP(AJ853,Calculs!$A$19:$S$425,19,FALSE),VLOOKUP(AK853,Calculs!$A$19:$S$425,19,FALSE))&gt;=AL853,TRUE,FALSE))</f>
        <v>1</v>
      </c>
      <c r="AN853" s="158"/>
      <c r="AO853" s="158"/>
      <c r="AP853" s="158"/>
      <c r="AQ853" s="158" t="b">
        <f>IF(AN853="",TRUE,IF(IF(AO853="",VLOOKUP(AN853,Calculs!$A$19:$S$425,19,FALSE),VLOOKUP(AO853,Calculs!$A$19:$S$425,19,FALSE))&gt;=AP853,TRUE,FALSE))</f>
        <v>1</v>
      </c>
      <c r="AR853" s="158"/>
      <c r="AS853" s="158" t="b">
        <f>IF(AR853="",TRUE,IF(VLOOKUP(AR853,Calculs!$A$427:$G$738,7,FALSE)&gt;0,TRUE,FALSE))</f>
        <v>1</v>
      </c>
      <c r="AT853" s="158"/>
      <c r="AU853" s="158" t="b">
        <f>IF(AT853="",TRUE,IF(VLOOKUP(AT853,Calculs!$A$740:$G$912,7,FALSE)&gt;0,TRUE,FALSE))</f>
        <v>1</v>
      </c>
      <c r="AV853" s="158" t="b">
        <f t="shared" si="95"/>
        <v>1</v>
      </c>
      <c r="AW853" s="158" t="s">
        <v>2078</v>
      </c>
      <c r="AX853" s="162" t="s">
        <v>6816</v>
      </c>
      <c r="AY853" s="15">
        <v>129</v>
      </c>
      <c r="AZ853" s="555" t="s">
        <v>7183</v>
      </c>
      <c r="BA853" s="559">
        <f>IF(Verso!$B$10=Voies!$B853,1,0)</f>
        <v>0</v>
      </c>
      <c r="BB853" s="12">
        <f>IF(Verso!$B$11=Voies!$B853,1,0)</f>
        <v>0</v>
      </c>
      <c r="BC853" s="12">
        <f>IF(Verso!$B$12=Voies!$B853,1,0)</f>
        <v>0</v>
      </c>
      <c r="BD853" s="12">
        <f>IF(Verso!$B$13=Voies!$B853,1,0)</f>
        <v>0</v>
      </c>
      <c r="BE853" s="12">
        <f>IF(Verso!$B$14=Voies!$B853,1,0)</f>
        <v>0</v>
      </c>
      <c r="BF853" s="12">
        <f>IF(Verso!$B$15=Voies!$B853,1,0)</f>
        <v>0</v>
      </c>
      <c r="BG853" s="12">
        <f>IF(Verso!$B$16=Voies!$B853,1,0)</f>
        <v>0</v>
      </c>
      <c r="BH853" s="12">
        <f>IF(Verso!$B$17=Voies!$B853,1,0)</f>
        <v>0</v>
      </c>
      <c r="BI853" s="557">
        <f t="shared" si="96"/>
        <v>0</v>
      </c>
      <c r="BJ853" s="196" t="str">
        <f t="shared" si="97"/>
        <v/>
      </c>
      <c r="BK853" s="196" t="str">
        <f t="shared" si="98"/>
        <v/>
      </c>
      <c r="BL853" s="295" t="str">
        <f t="shared" si="99"/>
        <v/>
      </c>
      <c r="BM853" s="91"/>
    </row>
    <row r="854" spans="1:65" s="196" customFormat="1" ht="47.25" customHeight="1" x14ac:dyDescent="0.25">
      <c r="A854" s="162" t="str">
        <f>IF(AND(Réputation&gt;Voies!E854-1,OR(C854=TRUE,Calculs!$I$8&gt;0),Air&gt;Voies!J854-1,Eau&gt;Voies!K854-1,Feu&gt;Voies!L854-1,Terre&gt;Voies!M854-1,Vide&gt;Voies!N854-1,Constitution&gt;Voies!O854-1,Volonté&gt;Voies!P854-1,Force&gt;Voies!Q854-1,Perception&gt;Voies!R854-1,Reflexes&gt;Voies!S854-1,Agilité&gt;Voies!T854-1,Intuition&gt;Voies!U854-1,Intelligence&gt;Voies!V854-1,Souillure&gt;Voies!W854-1,Honneur&gt;X854-1,Statut&gt;Y854-1,Gloire&gt;Z854-1,AV854=TRUE),Voies!B854,"")</f>
        <v/>
      </c>
      <c r="B854" s="162" t="s">
        <v>7179</v>
      </c>
      <c r="C854" s="162" t="b">
        <f>IF(Clan=Voies!D854,TRUE,FALSE)</f>
        <v>0</v>
      </c>
      <c r="D854" s="387" t="s">
        <v>6799</v>
      </c>
      <c r="E854" s="201">
        <v>3</v>
      </c>
      <c r="F854" s="201">
        <v>3</v>
      </c>
      <c r="G854" s="201" t="s">
        <v>2049</v>
      </c>
      <c r="H854" s="219" t="s">
        <v>7176</v>
      </c>
      <c r="I854" s="129" t="str">
        <f t="shared" si="100"/>
        <v>Rien</v>
      </c>
      <c r="J854" s="146">
        <v>0</v>
      </c>
      <c r="K854" s="147">
        <v>0</v>
      </c>
      <c r="L854" s="148">
        <v>0</v>
      </c>
      <c r="M854" s="149">
        <v>0</v>
      </c>
      <c r="N854" s="150">
        <v>0</v>
      </c>
      <c r="O854" s="130">
        <v>0</v>
      </c>
      <c r="P854" s="130">
        <v>0</v>
      </c>
      <c r="Q854" s="130">
        <v>0</v>
      </c>
      <c r="R854" s="130">
        <v>0</v>
      </c>
      <c r="S854" s="130">
        <v>0</v>
      </c>
      <c r="T854" s="130">
        <v>0</v>
      </c>
      <c r="U854" s="130">
        <v>0</v>
      </c>
      <c r="V854" s="524">
        <v>0</v>
      </c>
      <c r="W854" s="130">
        <v>0</v>
      </c>
      <c r="X854" s="130">
        <v>0</v>
      </c>
      <c r="Y854" s="130">
        <v>0</v>
      </c>
      <c r="Z854" s="130">
        <v>0</v>
      </c>
      <c r="AA854" s="158" t="s">
        <v>2078</v>
      </c>
      <c r="AB854" s="158"/>
      <c r="AC854" s="158"/>
      <c r="AD854" s="158"/>
      <c r="AE854" s="158" t="b">
        <f>IF(AB854="",TRUE,IF(IF(AC854="",VLOOKUP(AB854,Calculs!$A$19:$S$425,19,FALSE),VLOOKUP(AC854,Calculs!$A$19:$S$425,19,FALSE))&gt;=AD854,TRUE,FALSE))</f>
        <v>1</v>
      </c>
      <c r="AF854" s="158"/>
      <c r="AG854" s="158"/>
      <c r="AH854" s="158"/>
      <c r="AI854" s="158" t="b">
        <f>IF(AF854="",TRUE,IF(IF(AG854="",VLOOKUP(AF854,Calculs!$A$19:$S$425,19,FALSE),VLOOKUP(AG854,Calculs!$A$19:$S$425,19,FALSE))&gt;=AH854,TRUE,FALSE))</f>
        <v>1</v>
      </c>
      <c r="AJ854" s="158"/>
      <c r="AK854" s="158"/>
      <c r="AL854" s="158"/>
      <c r="AM854" s="158" t="b">
        <f>IF(AJ854="",TRUE,IF(IF(AK854="",VLOOKUP(AJ854,Calculs!$A$19:$S$425,19,FALSE),VLOOKUP(AK854,Calculs!$A$19:$S$425,19,FALSE))&gt;=AL854,TRUE,FALSE))</f>
        <v>1</v>
      </c>
      <c r="AN854" s="158"/>
      <c r="AO854" s="158"/>
      <c r="AP854" s="158"/>
      <c r="AQ854" s="158" t="b">
        <f>IF(AN854="",TRUE,IF(IF(AO854="",VLOOKUP(AN854,Calculs!$A$19:$S$425,19,FALSE),VLOOKUP(AO854,Calculs!$A$19:$S$425,19,FALSE))&gt;=AP854,TRUE,FALSE))</f>
        <v>1</v>
      </c>
      <c r="AR854" s="158"/>
      <c r="AS854" s="158" t="b">
        <f>IF(AR854="",TRUE,IF(VLOOKUP(AR854,Calculs!$A$427:$G$738,7,FALSE)&gt;0,TRUE,FALSE))</f>
        <v>1</v>
      </c>
      <c r="AT854" s="158"/>
      <c r="AU854" s="158" t="b">
        <f>IF(AT854="",TRUE,IF(VLOOKUP(AT854,Calculs!$A$740:$G$912,7,FALSE)&gt;0,TRUE,FALSE))</f>
        <v>1</v>
      </c>
      <c r="AV854" s="158" t="b">
        <f t="shared" si="95"/>
        <v>1</v>
      </c>
      <c r="AW854" s="158" t="s">
        <v>2078</v>
      </c>
      <c r="AX854" s="162" t="s">
        <v>6816</v>
      </c>
      <c r="AY854" s="15">
        <v>129</v>
      </c>
      <c r="AZ854" s="555" t="s">
        <v>7184</v>
      </c>
      <c r="BA854" s="559">
        <f>IF(Verso!$B$10=Voies!$B854,1,0)</f>
        <v>0</v>
      </c>
      <c r="BB854" s="12">
        <f>IF(Verso!$B$11=Voies!$B854,1,0)</f>
        <v>0</v>
      </c>
      <c r="BC854" s="12">
        <f>IF(Verso!$B$12=Voies!$B854,1,0)</f>
        <v>0</v>
      </c>
      <c r="BD854" s="12">
        <f>IF(Verso!$B$13=Voies!$B854,1,0)</f>
        <v>0</v>
      </c>
      <c r="BE854" s="12">
        <f>IF(Verso!$B$14=Voies!$B854,1,0)</f>
        <v>0</v>
      </c>
      <c r="BF854" s="12">
        <f>IF(Verso!$B$15=Voies!$B854,1,0)</f>
        <v>0</v>
      </c>
      <c r="BG854" s="12">
        <f>IF(Verso!$B$16=Voies!$B854,1,0)</f>
        <v>0</v>
      </c>
      <c r="BH854" s="12">
        <f>IF(Verso!$B$17=Voies!$B854,1,0)</f>
        <v>0</v>
      </c>
      <c r="BI854" s="557">
        <f t="shared" si="96"/>
        <v>0</v>
      </c>
      <c r="BJ854" s="196" t="str">
        <f t="shared" si="97"/>
        <v/>
      </c>
      <c r="BK854" s="196" t="str">
        <f t="shared" si="98"/>
        <v/>
      </c>
      <c r="BL854" s="295" t="str">
        <f t="shared" si="99"/>
        <v/>
      </c>
      <c r="BM854" s="91"/>
    </row>
    <row r="855" spans="1:65" s="196" customFormat="1" ht="47.25" customHeight="1" x14ac:dyDescent="0.25">
      <c r="A855" s="162" t="str">
        <f>IF(AND(Réputation&gt;Voies!E855-1,OR(C855=TRUE,Calculs!$I$8&gt;0),Air&gt;Voies!J855-1,Eau&gt;Voies!K855-1,Feu&gt;Voies!L855-1,Terre&gt;Voies!M855-1,Vide&gt;Voies!N855-1,Constitution&gt;Voies!O855-1,Volonté&gt;Voies!P855-1,Force&gt;Voies!Q855-1,Perception&gt;Voies!R855-1,Reflexes&gt;Voies!S855-1,Agilité&gt;Voies!T855-1,Intuition&gt;Voies!U855-1,Intelligence&gt;Voies!V855-1,Souillure&gt;Voies!W855-1,Honneur&gt;X855-1,Statut&gt;Y855-1,Gloire&gt;Z855-1,AV855=TRUE),Voies!B855,"")</f>
        <v/>
      </c>
      <c r="B855" s="162" t="s">
        <v>7180</v>
      </c>
      <c r="C855" s="162" t="b">
        <f>IF(Clan=Voies!D855,TRUE,FALSE)</f>
        <v>0</v>
      </c>
      <c r="D855" s="387" t="s">
        <v>6799</v>
      </c>
      <c r="E855" s="201">
        <v>4</v>
      </c>
      <c r="F855" s="201">
        <v>4</v>
      </c>
      <c r="G855" s="201" t="s">
        <v>2049</v>
      </c>
      <c r="H855" s="219" t="s">
        <v>7176</v>
      </c>
      <c r="I855" s="129" t="str">
        <f t="shared" si="100"/>
        <v>Rien</v>
      </c>
      <c r="J855" s="146">
        <v>0</v>
      </c>
      <c r="K855" s="147">
        <v>0</v>
      </c>
      <c r="L855" s="148">
        <v>0</v>
      </c>
      <c r="M855" s="149">
        <v>0</v>
      </c>
      <c r="N855" s="150">
        <v>0</v>
      </c>
      <c r="O855" s="130">
        <v>0</v>
      </c>
      <c r="P855" s="130">
        <v>0</v>
      </c>
      <c r="Q855" s="130">
        <v>0</v>
      </c>
      <c r="R855" s="130">
        <v>0</v>
      </c>
      <c r="S855" s="130">
        <v>0</v>
      </c>
      <c r="T855" s="130">
        <v>0</v>
      </c>
      <c r="U855" s="130">
        <v>0</v>
      </c>
      <c r="V855" s="524">
        <v>0</v>
      </c>
      <c r="W855" s="130">
        <v>0</v>
      </c>
      <c r="X855" s="130">
        <v>0</v>
      </c>
      <c r="Y855" s="130">
        <v>0</v>
      </c>
      <c r="Z855" s="130">
        <v>0</v>
      </c>
      <c r="AA855" s="158" t="s">
        <v>2078</v>
      </c>
      <c r="AB855" s="158"/>
      <c r="AC855" s="158"/>
      <c r="AD855" s="158"/>
      <c r="AE855" s="158" t="b">
        <f>IF(AB855="",TRUE,IF(IF(AC855="",VLOOKUP(AB855,Calculs!$A$19:$S$425,19,FALSE),VLOOKUP(AC855,Calculs!$A$19:$S$425,19,FALSE))&gt;=AD855,TRUE,FALSE))</f>
        <v>1</v>
      </c>
      <c r="AF855" s="158"/>
      <c r="AG855" s="158"/>
      <c r="AH855" s="158"/>
      <c r="AI855" s="158" t="b">
        <f>IF(AF855="",TRUE,IF(IF(AG855="",VLOOKUP(AF855,Calculs!$A$19:$S$425,19,FALSE),VLOOKUP(AG855,Calculs!$A$19:$S$425,19,FALSE))&gt;=AH855,TRUE,FALSE))</f>
        <v>1</v>
      </c>
      <c r="AJ855" s="158"/>
      <c r="AK855" s="158"/>
      <c r="AL855" s="158"/>
      <c r="AM855" s="158" t="b">
        <f>IF(AJ855="",TRUE,IF(IF(AK855="",VLOOKUP(AJ855,Calculs!$A$19:$S$425,19,FALSE),VLOOKUP(AK855,Calculs!$A$19:$S$425,19,FALSE))&gt;=AL855,TRUE,FALSE))</f>
        <v>1</v>
      </c>
      <c r="AN855" s="158"/>
      <c r="AO855" s="158"/>
      <c r="AP855" s="158"/>
      <c r="AQ855" s="158" t="b">
        <f>IF(AN855="",TRUE,IF(IF(AO855="",VLOOKUP(AN855,Calculs!$A$19:$S$425,19,FALSE),VLOOKUP(AO855,Calculs!$A$19:$S$425,19,FALSE))&gt;=AP855,TRUE,FALSE))</f>
        <v>1</v>
      </c>
      <c r="AR855" s="158"/>
      <c r="AS855" s="158" t="b">
        <f>IF(AR855="",TRUE,IF(VLOOKUP(AR855,Calculs!$A$427:$G$738,7,FALSE)&gt;0,TRUE,FALSE))</f>
        <v>1</v>
      </c>
      <c r="AT855" s="158"/>
      <c r="AU855" s="158" t="b">
        <f>IF(AT855="",TRUE,IF(VLOOKUP(AT855,Calculs!$A$740:$G$912,7,FALSE)&gt;0,TRUE,FALSE))</f>
        <v>1</v>
      </c>
      <c r="AV855" s="158" t="b">
        <f t="shared" si="95"/>
        <v>1</v>
      </c>
      <c r="AW855" s="158" t="s">
        <v>2078</v>
      </c>
      <c r="AX855" s="162" t="s">
        <v>6816</v>
      </c>
      <c r="AY855" s="15">
        <v>129</v>
      </c>
      <c r="AZ855" s="555" t="s">
        <v>7185</v>
      </c>
      <c r="BA855" s="559">
        <f>IF(Verso!$B$10=Voies!$B855,1,0)</f>
        <v>0</v>
      </c>
      <c r="BB855" s="12">
        <f>IF(Verso!$B$11=Voies!$B855,1,0)</f>
        <v>0</v>
      </c>
      <c r="BC855" s="12">
        <f>IF(Verso!$B$12=Voies!$B855,1,0)</f>
        <v>0</v>
      </c>
      <c r="BD855" s="12">
        <f>IF(Verso!$B$13=Voies!$B855,1,0)</f>
        <v>0</v>
      </c>
      <c r="BE855" s="12">
        <f>IF(Verso!$B$14=Voies!$B855,1,0)</f>
        <v>0</v>
      </c>
      <c r="BF855" s="12">
        <f>IF(Verso!$B$15=Voies!$B855,1,0)</f>
        <v>0</v>
      </c>
      <c r="BG855" s="12">
        <f>IF(Verso!$B$16=Voies!$B855,1,0)</f>
        <v>0</v>
      </c>
      <c r="BH855" s="12">
        <f>IF(Verso!$B$17=Voies!$B855,1,0)</f>
        <v>0</v>
      </c>
      <c r="BI855" s="557">
        <f t="shared" si="96"/>
        <v>0</v>
      </c>
      <c r="BJ855" s="196" t="str">
        <f t="shared" si="97"/>
        <v/>
      </c>
      <c r="BK855" s="196" t="str">
        <f t="shared" si="98"/>
        <v/>
      </c>
      <c r="BL855" s="295" t="str">
        <f t="shared" si="99"/>
        <v/>
      </c>
      <c r="BM855" s="91"/>
    </row>
    <row r="856" spans="1:65" s="196" customFormat="1" ht="47.25" customHeight="1" x14ac:dyDescent="0.25">
      <c r="A856" s="162" t="str">
        <f>IF(AND(Réputation&gt;Voies!E856-1,OR(C856=TRUE,Calculs!$I$8&gt;0),Air&gt;Voies!J856-1,Eau&gt;Voies!K856-1,Feu&gt;Voies!L856-1,Terre&gt;Voies!M856-1,Vide&gt;Voies!N856-1,Constitution&gt;Voies!O856-1,Volonté&gt;Voies!P856-1,Force&gt;Voies!Q856-1,Perception&gt;Voies!R856-1,Reflexes&gt;Voies!S856-1,Agilité&gt;Voies!T856-1,Intuition&gt;Voies!U856-1,Intelligence&gt;Voies!V856-1,Souillure&gt;Voies!W856-1,Honneur&gt;X856-1,Statut&gt;Y856-1,Gloire&gt;Z856-1,AV856=TRUE),Voies!B856,"")</f>
        <v/>
      </c>
      <c r="B856" s="162" t="s">
        <v>7181</v>
      </c>
      <c r="C856" s="162" t="b">
        <f>IF(Clan=Voies!D856,TRUE,FALSE)</f>
        <v>0</v>
      </c>
      <c r="D856" s="387" t="s">
        <v>6799</v>
      </c>
      <c r="E856" s="201">
        <v>5</v>
      </c>
      <c r="F856" s="201">
        <v>5</v>
      </c>
      <c r="G856" s="201" t="s">
        <v>2049</v>
      </c>
      <c r="H856" s="219" t="s">
        <v>7176</v>
      </c>
      <c r="I856" s="129" t="str">
        <f t="shared" si="100"/>
        <v>Rien</v>
      </c>
      <c r="J856" s="146">
        <v>0</v>
      </c>
      <c r="K856" s="147">
        <v>0</v>
      </c>
      <c r="L856" s="148">
        <v>0</v>
      </c>
      <c r="M856" s="149">
        <v>0</v>
      </c>
      <c r="N856" s="150">
        <v>0</v>
      </c>
      <c r="O856" s="130">
        <v>0</v>
      </c>
      <c r="P856" s="130">
        <v>0</v>
      </c>
      <c r="Q856" s="130">
        <v>0</v>
      </c>
      <c r="R856" s="130">
        <v>0</v>
      </c>
      <c r="S856" s="130">
        <v>0</v>
      </c>
      <c r="T856" s="130">
        <v>0</v>
      </c>
      <c r="U856" s="130">
        <v>0</v>
      </c>
      <c r="V856" s="524">
        <v>0</v>
      </c>
      <c r="W856" s="130">
        <v>0</v>
      </c>
      <c r="X856" s="130">
        <v>0</v>
      </c>
      <c r="Y856" s="130">
        <v>0</v>
      </c>
      <c r="Z856" s="130">
        <v>0</v>
      </c>
      <c r="AA856" s="158" t="s">
        <v>2078</v>
      </c>
      <c r="AB856" s="158"/>
      <c r="AC856" s="158"/>
      <c r="AD856" s="158"/>
      <c r="AE856" s="158" t="b">
        <f>IF(AB856="",TRUE,IF(IF(AC856="",VLOOKUP(AB856,Calculs!$A$19:$S$425,19,FALSE),VLOOKUP(AC856,Calculs!$A$19:$S$425,19,FALSE))&gt;=AD856,TRUE,FALSE))</f>
        <v>1</v>
      </c>
      <c r="AF856" s="158"/>
      <c r="AG856" s="158"/>
      <c r="AH856" s="158"/>
      <c r="AI856" s="158" t="b">
        <f>IF(AF856="",TRUE,IF(IF(AG856="",VLOOKUP(AF856,Calculs!$A$19:$S$425,19,FALSE),VLOOKUP(AG856,Calculs!$A$19:$S$425,19,FALSE))&gt;=AH856,TRUE,FALSE))</f>
        <v>1</v>
      </c>
      <c r="AJ856" s="158"/>
      <c r="AK856" s="158"/>
      <c r="AL856" s="158"/>
      <c r="AM856" s="158" t="b">
        <f>IF(AJ856="",TRUE,IF(IF(AK856="",VLOOKUP(AJ856,Calculs!$A$19:$S$425,19,FALSE),VLOOKUP(AK856,Calculs!$A$19:$S$425,19,FALSE))&gt;=AL856,TRUE,FALSE))</f>
        <v>1</v>
      </c>
      <c r="AN856" s="158"/>
      <c r="AO856" s="158"/>
      <c r="AP856" s="158"/>
      <c r="AQ856" s="158" t="b">
        <f>IF(AN856="",TRUE,IF(IF(AO856="",VLOOKUP(AN856,Calculs!$A$19:$S$425,19,FALSE),VLOOKUP(AO856,Calculs!$A$19:$S$425,19,FALSE))&gt;=AP856,TRUE,FALSE))</f>
        <v>1</v>
      </c>
      <c r="AR856" s="158"/>
      <c r="AS856" s="158" t="b">
        <f>IF(AR856="",TRUE,IF(VLOOKUP(AR856,Calculs!$A$427:$G$738,7,FALSE)&gt;0,TRUE,FALSE))</f>
        <v>1</v>
      </c>
      <c r="AT856" s="158"/>
      <c r="AU856" s="158" t="b">
        <f>IF(AT856="",TRUE,IF(VLOOKUP(AT856,Calculs!$A$740:$G$912,7,FALSE)&gt;0,TRUE,FALSE))</f>
        <v>1</v>
      </c>
      <c r="AV856" s="158" t="b">
        <f t="shared" si="95"/>
        <v>1</v>
      </c>
      <c r="AW856" s="158" t="s">
        <v>2078</v>
      </c>
      <c r="AX856" s="162" t="s">
        <v>6816</v>
      </c>
      <c r="AY856" s="15">
        <v>129</v>
      </c>
      <c r="AZ856" s="555" t="s">
        <v>7186</v>
      </c>
      <c r="BA856" s="559">
        <f>IF(Verso!$B$10=Voies!$B856,1,0)</f>
        <v>0</v>
      </c>
      <c r="BB856" s="12">
        <f>IF(Verso!$B$11=Voies!$B856,1,0)</f>
        <v>0</v>
      </c>
      <c r="BC856" s="12">
        <f>IF(Verso!$B$12=Voies!$B856,1,0)</f>
        <v>0</v>
      </c>
      <c r="BD856" s="12">
        <f>IF(Verso!$B$13=Voies!$B856,1,0)</f>
        <v>0</v>
      </c>
      <c r="BE856" s="12">
        <f>IF(Verso!$B$14=Voies!$B856,1,0)</f>
        <v>0</v>
      </c>
      <c r="BF856" s="12">
        <f>IF(Verso!$B$15=Voies!$B856,1,0)</f>
        <v>0</v>
      </c>
      <c r="BG856" s="12">
        <f>IF(Verso!$B$16=Voies!$B856,1,0)</f>
        <v>0</v>
      </c>
      <c r="BH856" s="12">
        <f>IF(Verso!$B$17=Voies!$B856,1,0)</f>
        <v>0</v>
      </c>
      <c r="BI856" s="557">
        <f t="shared" si="96"/>
        <v>0</v>
      </c>
      <c r="BJ856" s="196" t="str">
        <f t="shared" si="97"/>
        <v/>
      </c>
      <c r="BK856" s="196" t="str">
        <f t="shared" si="98"/>
        <v/>
      </c>
      <c r="BL856" s="295" t="str">
        <f t="shared" si="99"/>
        <v/>
      </c>
      <c r="BM856" s="91"/>
    </row>
    <row r="857" spans="1:65" ht="47.25" customHeight="1" x14ac:dyDescent="0.25">
      <c r="A857" s="162" t="str">
        <f>IF(AND(Réputation&gt;Voies!E857-1,OR(C857=TRUE,Calculs!$I$8&gt;0),Air&gt;Voies!J857-1,Eau&gt;Voies!K857-1,Feu&gt;Voies!L857-1,Terre&gt;Voies!M857-1,Vide&gt;Voies!N857-1,Constitution&gt;Voies!O857-1,Volonté&gt;Voies!P857-1,Force&gt;Voies!Q857-1,Perception&gt;Voies!R857-1,Reflexes&gt;Voies!S857-1,Agilité&gt;Voies!T857-1,Intuition&gt;Voies!U857-1,Intelligence&gt;Voies!V857-1,Souillure&gt;Voies!W857-1,Honneur&gt;X857-1,Statut&gt;Y857-1,Gloire&gt;Z857-1,AV857=TRUE),Voies!B857,"")</f>
        <v/>
      </c>
      <c r="B857" s="162" t="s">
        <v>2796</v>
      </c>
      <c r="C857" s="162" t="b">
        <v>1</v>
      </c>
      <c r="D857" s="388" t="s">
        <v>61</v>
      </c>
      <c r="E857" s="199">
        <v>0</v>
      </c>
      <c r="F857" s="199">
        <v>0</v>
      </c>
      <c r="G857" s="157" t="s">
        <v>2078</v>
      </c>
      <c r="H857" s="162" t="s">
        <v>2441</v>
      </c>
      <c r="I857" s="129" t="str">
        <f t="shared" si="100"/>
        <v>Rien</v>
      </c>
      <c r="J857" s="146">
        <v>0</v>
      </c>
      <c r="K857" s="147">
        <v>3</v>
      </c>
      <c r="L857" s="148">
        <v>4</v>
      </c>
      <c r="M857" s="149">
        <v>0</v>
      </c>
      <c r="N857" s="150">
        <v>0</v>
      </c>
      <c r="O857" s="130">
        <v>0</v>
      </c>
      <c r="P857" s="130">
        <v>0</v>
      </c>
      <c r="Q857" s="130">
        <v>0</v>
      </c>
      <c r="R857" s="130">
        <v>0</v>
      </c>
      <c r="S857" s="130">
        <v>0</v>
      </c>
      <c r="T857" s="130">
        <v>0</v>
      </c>
      <c r="U857" s="130">
        <v>0</v>
      </c>
      <c r="V857" s="524">
        <v>0</v>
      </c>
      <c r="W857" s="130">
        <v>0</v>
      </c>
      <c r="X857" s="130">
        <v>0</v>
      </c>
      <c r="Y857" s="130">
        <v>0</v>
      </c>
      <c r="Z857" s="130">
        <v>0</v>
      </c>
      <c r="AA857" s="159" t="s">
        <v>2794</v>
      </c>
      <c r="AB857" s="159" t="s">
        <v>231</v>
      </c>
      <c r="AC857" s="159" t="s">
        <v>6362</v>
      </c>
      <c r="AD857" s="159">
        <v>4</v>
      </c>
      <c r="AE857" s="158" t="b">
        <f>IF(AB857="",TRUE,IF(IF(AC857="",VLOOKUP(AB857,Calculs!$A$19:$S$425,19,FALSE),VLOOKUP(AC857,Calculs!$A$19:$S$425,19,FALSE))&gt;=AD857,TRUE,FALSE))</f>
        <v>0</v>
      </c>
      <c r="AI857" s="158" t="b">
        <f>IF(AF857="",TRUE,IF(IF(AG857="",VLOOKUP(AF857,Calculs!$A$19:$S$425,19,FALSE),VLOOKUP(AG857,Calculs!$A$19:$S$425,19,FALSE))&gt;=AH857,TRUE,FALSE))</f>
        <v>1</v>
      </c>
      <c r="AM857" s="158" t="b">
        <f>IF(AJ857="",TRUE,IF(IF(AK857="",VLOOKUP(AJ857,Calculs!$A$19:$S$425,19,FALSE),VLOOKUP(AK857,Calculs!$A$19:$S$425,19,FALSE))&gt;=AL857,TRUE,FALSE))</f>
        <v>1</v>
      </c>
      <c r="AQ857" s="158" t="b">
        <f>IF(AN857="",TRUE,IF(IF(AO857="",VLOOKUP(AN857,Calculs!$A$19:$S$425,19,FALSE),VLOOKUP(AO857,Calculs!$A$19:$S$425,19,FALSE))&gt;=AP857,TRUE,FALSE))</f>
        <v>1</v>
      </c>
      <c r="AR857" s="158"/>
      <c r="AS857" s="158" t="b">
        <f>IF(AR857="",TRUE,IF(VLOOKUP(AR857,Calculs!$A$427:$G$738,7,FALSE)&gt;0,TRUE,FALSE))</f>
        <v>1</v>
      </c>
      <c r="AT857" s="158"/>
      <c r="AU857" s="158" t="b">
        <f>IF(AT857="",TRUE,IF(VLOOKUP(AT857,Calculs!$A$740:$G$912,7,FALSE)&gt;0,TRUE,FALSE))</f>
        <v>1</v>
      </c>
      <c r="AV857" s="158" t="b">
        <f t="shared" si="95"/>
        <v>0</v>
      </c>
      <c r="AW857" s="159" t="s">
        <v>2795</v>
      </c>
      <c r="AX857" s="162" t="s">
        <v>2080</v>
      </c>
      <c r="AY857" s="15">
        <v>234</v>
      </c>
      <c r="AZ857" s="555" t="s">
        <v>2799</v>
      </c>
      <c r="BA857" s="559">
        <f>IF(Verso!$B$10=Voies!$B857,1,0)</f>
        <v>0</v>
      </c>
      <c r="BB857" s="12">
        <f>IF(Verso!$B$11=Voies!$B857,1,0)</f>
        <v>0</v>
      </c>
      <c r="BC857" s="12">
        <f>IF(Verso!$B$12=Voies!$B857,1,0)</f>
        <v>0</v>
      </c>
      <c r="BD857" s="12">
        <f>IF(Verso!$B$13=Voies!$B857,1,0)</f>
        <v>0</v>
      </c>
      <c r="BE857" s="12">
        <f>IF(Verso!$B$14=Voies!$B857,1,0)</f>
        <v>0</v>
      </c>
      <c r="BF857" s="12">
        <f>IF(Verso!$B$15=Voies!$B857,1,0)</f>
        <v>0</v>
      </c>
      <c r="BG857" s="12">
        <f>IF(Verso!$B$16=Voies!$B857,1,0)</f>
        <v>0</v>
      </c>
      <c r="BH857" s="12">
        <f>IF(Verso!$B$17=Voies!$B857,1,0)</f>
        <v>0</v>
      </c>
      <c r="BI857" s="557">
        <f t="shared" si="96"/>
        <v>0</v>
      </c>
      <c r="BJ857" s="196" t="str">
        <f t="shared" si="97"/>
        <v/>
      </c>
      <c r="BK857" s="196" t="str">
        <f t="shared" si="98"/>
        <v/>
      </c>
      <c r="BL857" s="295" t="str">
        <f t="shared" si="99"/>
        <v/>
      </c>
    </row>
    <row r="858" spans="1:65" s="196" customFormat="1" ht="47.25" customHeight="1" x14ac:dyDescent="0.25">
      <c r="A858" s="162" t="str">
        <f>IF(AND(Réputation&gt;Voies!E858-1,OR(C858=TRUE,Calculs!$I$8&gt;0),Air&gt;Voies!J858-1,Eau&gt;Voies!K858-1,Feu&gt;Voies!L858-1,Terre&gt;Voies!M858-1,Vide&gt;Voies!N858-1,Constitution&gt;Voies!O858-1,Volonté&gt;Voies!P858-1,Force&gt;Voies!Q858-1,Perception&gt;Voies!R858-1,Reflexes&gt;Voies!S858-1,Agilité&gt;Voies!T858-1,Intuition&gt;Voies!U858-1,Intelligence&gt;Voies!V858-1,Souillure&gt;Voies!W858-1,Honneur&gt;X858-1,Statut&gt;Y858-1,Gloire&gt;Z858-1,AV858=TRUE),Voies!B858,"")</f>
        <v/>
      </c>
      <c r="B858" s="162" t="s">
        <v>2787</v>
      </c>
      <c r="C858" s="162" t="b">
        <v>1</v>
      </c>
      <c r="D858" s="388" t="s">
        <v>61</v>
      </c>
      <c r="E858" s="199">
        <v>0</v>
      </c>
      <c r="F858" s="199">
        <v>0</v>
      </c>
      <c r="G858" s="157" t="s">
        <v>2078</v>
      </c>
      <c r="H858" s="162" t="s">
        <v>428</v>
      </c>
      <c r="I858" s="129" t="str">
        <f t="shared" si="100"/>
        <v>Rien</v>
      </c>
      <c r="J858" s="146">
        <v>0</v>
      </c>
      <c r="K858" s="147">
        <v>2</v>
      </c>
      <c r="L858" s="148">
        <v>3</v>
      </c>
      <c r="M858" s="149">
        <v>0</v>
      </c>
      <c r="N858" s="150">
        <v>0</v>
      </c>
      <c r="O858" s="130">
        <v>0</v>
      </c>
      <c r="P858" s="130">
        <v>0</v>
      </c>
      <c r="Q858" s="130">
        <v>0</v>
      </c>
      <c r="R858" s="130">
        <v>0</v>
      </c>
      <c r="S858" s="130">
        <v>0</v>
      </c>
      <c r="T858" s="130">
        <v>0</v>
      </c>
      <c r="U858" s="130">
        <v>0</v>
      </c>
      <c r="V858" s="524">
        <v>0</v>
      </c>
      <c r="W858" s="130">
        <v>0</v>
      </c>
      <c r="X858" s="130">
        <v>5</v>
      </c>
      <c r="Y858" s="130">
        <v>0</v>
      </c>
      <c r="Z858" s="130">
        <v>0</v>
      </c>
      <c r="AA858" s="159" t="s">
        <v>2786</v>
      </c>
      <c r="AB858" s="159" t="s">
        <v>231</v>
      </c>
      <c r="AC858" s="159"/>
      <c r="AD858" s="159">
        <v>3</v>
      </c>
      <c r="AE858" s="158" t="b">
        <f>IF(AB858="",TRUE,IF(IF(AC858="",VLOOKUP(AB858,Calculs!$A$19:$S$425,19,FALSE),VLOOKUP(AC858,Calculs!$A$19:$S$425,19,FALSE))&gt;=AD858,TRUE,FALSE))</f>
        <v>0</v>
      </c>
      <c r="AF858" s="159" t="s">
        <v>228</v>
      </c>
      <c r="AG858" s="159"/>
      <c r="AH858" s="159">
        <v>4</v>
      </c>
      <c r="AI858" s="158" t="b">
        <f>IF(AF858="",TRUE,IF(IF(AG858="",VLOOKUP(AF858,Calculs!$A$19:$S$425,19,FALSE),VLOOKUP(AG858,Calculs!$A$19:$S$425,19,FALSE))&gt;=AH858,TRUE,FALSE))</f>
        <v>0</v>
      </c>
      <c r="AJ858" s="159" t="s">
        <v>351</v>
      </c>
      <c r="AK858" s="159"/>
      <c r="AL858" s="159">
        <v>3</v>
      </c>
      <c r="AM858" s="158" t="b">
        <f>IF(AJ858="",TRUE,IF(IF(AK858="",VLOOKUP(AJ858,Calculs!$A$19:$S$425,19,FALSE),VLOOKUP(AK858,Calculs!$A$19:$S$425,19,FALSE))&gt;=AL858,TRUE,FALSE))</f>
        <v>0</v>
      </c>
      <c r="AN858" s="159"/>
      <c r="AO858" s="159"/>
      <c r="AP858" s="159"/>
      <c r="AQ858" s="158" t="b">
        <f>IF(AN858="",TRUE,IF(IF(AO858="",VLOOKUP(AN858,Calculs!$A$19:$S$425,19,FALSE),VLOOKUP(AO858,Calculs!$A$19:$S$425,19,FALSE))&gt;=AP858,TRUE,FALSE))</f>
        <v>1</v>
      </c>
      <c r="AR858" s="158"/>
      <c r="AS858" s="158" t="b">
        <f>IF(AR858="",TRUE,IF(VLOOKUP(AR858,Calculs!$A$427:$G$738,7,FALSE)&gt;0,TRUE,FALSE))</f>
        <v>1</v>
      </c>
      <c r="AT858" s="158"/>
      <c r="AU858" s="158" t="b">
        <f>IF(AT858="",TRUE,IF(VLOOKUP(AT858,Calculs!$A$740:$G$912,7,FALSE)&gt;0,TRUE,FALSE))</f>
        <v>1</v>
      </c>
      <c r="AV858" s="158" t="b">
        <f t="shared" si="95"/>
        <v>0</v>
      </c>
      <c r="AW858" s="158" t="s">
        <v>2078</v>
      </c>
      <c r="AX858" s="162" t="s">
        <v>2080</v>
      </c>
      <c r="AY858" s="15">
        <v>233</v>
      </c>
      <c r="AZ858" s="566" t="s">
        <v>2790</v>
      </c>
      <c r="BA858" s="559">
        <f>IF(Verso!$B$10=Voies!$B858,1,0)</f>
        <v>0</v>
      </c>
      <c r="BB858" s="12">
        <f>IF(Verso!$B$11=Voies!$B858,1,0)</f>
        <v>0</v>
      </c>
      <c r="BC858" s="12">
        <f>IF(Verso!$B$12=Voies!$B858,1,0)</f>
        <v>0</v>
      </c>
      <c r="BD858" s="12">
        <f>IF(Verso!$B$13=Voies!$B858,1,0)</f>
        <v>0</v>
      </c>
      <c r="BE858" s="12">
        <f>IF(Verso!$B$14=Voies!$B858,1,0)</f>
        <v>0</v>
      </c>
      <c r="BF858" s="12">
        <f>IF(Verso!$B$15=Voies!$B858,1,0)</f>
        <v>0</v>
      </c>
      <c r="BG858" s="12">
        <f>IF(Verso!$B$16=Voies!$B858,1,0)</f>
        <v>0</v>
      </c>
      <c r="BH858" s="12">
        <f>IF(Verso!$B$17=Voies!$B858,1,0)</f>
        <v>0</v>
      </c>
      <c r="BI858" s="557">
        <f t="shared" si="96"/>
        <v>0</v>
      </c>
      <c r="BJ858" s="196" t="str">
        <f t="shared" si="97"/>
        <v/>
      </c>
      <c r="BK858" s="196" t="str">
        <f t="shared" si="98"/>
        <v/>
      </c>
      <c r="BL858" s="295" t="str">
        <f t="shared" si="99"/>
        <v/>
      </c>
      <c r="BM858" s="91"/>
    </row>
    <row r="859" spans="1:65" ht="47.25" customHeight="1" x14ac:dyDescent="0.25">
      <c r="A859" s="162" t="str">
        <f>IF(AND(Réputation&gt;Voies!E859-1,OR(C859=TRUE,Calculs!$I$8&gt;0),Air&gt;Voies!J859-1,Eau&gt;Voies!K859-1,Feu&gt;Voies!L859-1,Terre&gt;Voies!M859-1,Vide&gt;Voies!N859-1,Constitution&gt;Voies!O859-1,Volonté&gt;Voies!P859-1,Force&gt;Voies!Q859-1,Perception&gt;Voies!R859-1,Reflexes&gt;Voies!S859-1,Agilité&gt;Voies!T859-1,Intuition&gt;Voies!U859-1,Intelligence&gt;Voies!V859-1,Souillure&gt;Voies!W859-1,Honneur&gt;X859-1,Statut&gt;Y859-1,Gloire&gt;Z859-1,AV859=TRUE),Voies!B859,"")</f>
        <v/>
      </c>
      <c r="B859" s="162" t="s">
        <v>2797</v>
      </c>
      <c r="C859" s="162" t="b">
        <v>1</v>
      </c>
      <c r="D859" s="388" t="s">
        <v>61</v>
      </c>
      <c r="E859" s="199">
        <v>0</v>
      </c>
      <c r="F859" s="199">
        <v>0</v>
      </c>
      <c r="G859" s="157" t="s">
        <v>2078</v>
      </c>
      <c r="H859" s="162" t="s">
        <v>2441</v>
      </c>
      <c r="I859" s="129" t="str">
        <f t="shared" si="100"/>
        <v>Rien</v>
      </c>
      <c r="J859" s="146">
        <v>0</v>
      </c>
      <c r="K859" s="147">
        <v>3</v>
      </c>
      <c r="L859" s="148">
        <v>4</v>
      </c>
      <c r="M859" s="149">
        <v>0</v>
      </c>
      <c r="N859" s="150">
        <v>0</v>
      </c>
      <c r="O859" s="130">
        <v>0</v>
      </c>
      <c r="P859" s="130">
        <v>0</v>
      </c>
      <c r="Q859" s="130">
        <v>0</v>
      </c>
      <c r="R859" s="130">
        <v>0</v>
      </c>
      <c r="S859" s="130">
        <v>0</v>
      </c>
      <c r="T859" s="130">
        <v>0</v>
      </c>
      <c r="U859" s="130">
        <v>0</v>
      </c>
      <c r="V859" s="524">
        <v>0</v>
      </c>
      <c r="W859" s="130">
        <v>0</v>
      </c>
      <c r="X859" s="130">
        <v>0</v>
      </c>
      <c r="Y859" s="130">
        <v>0</v>
      </c>
      <c r="Z859" s="130">
        <v>0</v>
      </c>
      <c r="AA859" s="159" t="s">
        <v>2794</v>
      </c>
      <c r="AB859" s="159" t="s">
        <v>231</v>
      </c>
      <c r="AC859" s="159" t="s">
        <v>6362</v>
      </c>
      <c r="AD859" s="159">
        <v>4</v>
      </c>
      <c r="AE859" s="158" t="b">
        <f>IF(AB859="",TRUE,IF(IF(AC859="",VLOOKUP(AB859,Calculs!$A$19:$S$425,19,FALSE),VLOOKUP(AC859,Calculs!$A$19:$S$425,19,FALSE))&gt;=AD859,TRUE,FALSE))</f>
        <v>0</v>
      </c>
      <c r="AI859" s="158" t="b">
        <f>IF(AF859="",TRUE,IF(IF(AG859="",VLOOKUP(AF859,Calculs!$A$19:$S$425,19,FALSE),VLOOKUP(AG859,Calculs!$A$19:$S$425,19,FALSE))&gt;=AH859,TRUE,FALSE))</f>
        <v>1</v>
      </c>
      <c r="AM859" s="158" t="b">
        <f>IF(AJ859="",TRUE,IF(IF(AK859="",VLOOKUP(AJ859,Calculs!$A$19:$S$425,19,FALSE),VLOOKUP(AK859,Calculs!$A$19:$S$425,19,FALSE))&gt;=AL859,TRUE,FALSE))</f>
        <v>1</v>
      </c>
      <c r="AQ859" s="158" t="b">
        <f>IF(AN859="",TRUE,IF(IF(AO859="",VLOOKUP(AN859,Calculs!$A$19:$S$425,19,FALSE),VLOOKUP(AO859,Calculs!$A$19:$S$425,19,FALSE))&gt;=AP859,TRUE,FALSE))</f>
        <v>1</v>
      </c>
      <c r="AR859" s="158"/>
      <c r="AS859" s="158" t="b">
        <f>IF(AR859="",TRUE,IF(VLOOKUP(AR859,Calculs!$A$427:$G$738,7,FALSE)&gt;0,TRUE,FALSE))</f>
        <v>1</v>
      </c>
      <c r="AT859" s="158"/>
      <c r="AU859" s="158" t="b">
        <f>IF(AT859="",TRUE,IF(VLOOKUP(AT859,Calculs!$A$740:$G$912,7,FALSE)&gt;0,TRUE,FALSE))</f>
        <v>1</v>
      </c>
      <c r="AV859" s="158" t="b">
        <f t="shared" si="95"/>
        <v>0</v>
      </c>
      <c r="AW859" s="159" t="s">
        <v>2795</v>
      </c>
      <c r="AX859" s="162" t="s">
        <v>2080</v>
      </c>
      <c r="AY859" s="15">
        <v>234</v>
      </c>
      <c r="AZ859" s="555" t="s">
        <v>2800</v>
      </c>
      <c r="BA859" s="559">
        <f>IF(Verso!$B$10=Voies!$B859,1,0)</f>
        <v>0</v>
      </c>
      <c r="BB859" s="12">
        <f>IF(Verso!$B$11=Voies!$B859,1,0)</f>
        <v>0</v>
      </c>
      <c r="BC859" s="12">
        <f>IF(Verso!$B$12=Voies!$B859,1,0)</f>
        <v>0</v>
      </c>
      <c r="BD859" s="12">
        <f>IF(Verso!$B$13=Voies!$B859,1,0)</f>
        <v>0</v>
      </c>
      <c r="BE859" s="12">
        <f>IF(Verso!$B$14=Voies!$B859,1,0)</f>
        <v>0</v>
      </c>
      <c r="BF859" s="12">
        <f>IF(Verso!$B$15=Voies!$B859,1,0)</f>
        <v>0</v>
      </c>
      <c r="BG859" s="12">
        <f>IF(Verso!$B$16=Voies!$B859,1,0)</f>
        <v>0</v>
      </c>
      <c r="BH859" s="12">
        <f>IF(Verso!$B$17=Voies!$B859,1,0)</f>
        <v>0</v>
      </c>
      <c r="BI859" s="557">
        <f t="shared" si="96"/>
        <v>0</v>
      </c>
      <c r="BJ859" s="196" t="str">
        <f t="shared" si="97"/>
        <v/>
      </c>
      <c r="BK859" s="196" t="str">
        <f t="shared" si="98"/>
        <v/>
      </c>
      <c r="BL859" s="295" t="str">
        <f t="shared" si="99"/>
        <v/>
      </c>
    </row>
    <row r="860" spans="1:65" ht="47.25" customHeight="1" x14ac:dyDescent="0.25">
      <c r="A860" s="162" t="str">
        <f>IF(AND(Réputation&gt;Voies!E860-1,OR(C860=TRUE,Calculs!$I$8&gt;0),Air&gt;Voies!J860-1,Eau&gt;Voies!K860-1,Feu&gt;Voies!L860-1,Terre&gt;Voies!M860-1,Vide&gt;Voies!N860-1,Constitution&gt;Voies!O860-1,Volonté&gt;Voies!P860-1,Force&gt;Voies!Q860-1,Perception&gt;Voies!R860-1,Reflexes&gt;Voies!S860-1,Agilité&gt;Voies!T860-1,Intuition&gt;Voies!U860-1,Intelligence&gt;Voies!V860-1,Souillure&gt;Voies!W860-1,Honneur&gt;X860-1,Statut&gt;Y860-1,Gloire&gt;Z860-1,AV860=TRUE),Voies!B860,"")</f>
        <v/>
      </c>
      <c r="B860" s="162" t="s">
        <v>2788</v>
      </c>
      <c r="C860" s="162" t="b">
        <v>1</v>
      </c>
      <c r="D860" s="388" t="s">
        <v>61</v>
      </c>
      <c r="E860" s="199">
        <v>0</v>
      </c>
      <c r="F860" s="199">
        <v>0</v>
      </c>
      <c r="G860" s="157" t="s">
        <v>2078</v>
      </c>
      <c r="H860" s="162" t="s">
        <v>428</v>
      </c>
      <c r="I860" s="129" t="str">
        <f t="shared" si="100"/>
        <v>Rien</v>
      </c>
      <c r="J860" s="146">
        <v>0</v>
      </c>
      <c r="K860" s="147">
        <v>2</v>
      </c>
      <c r="L860" s="148">
        <v>3</v>
      </c>
      <c r="M860" s="149">
        <v>0</v>
      </c>
      <c r="N860" s="150">
        <v>0</v>
      </c>
      <c r="O860" s="130">
        <v>0</v>
      </c>
      <c r="P860" s="130">
        <v>0</v>
      </c>
      <c r="Q860" s="130">
        <v>0</v>
      </c>
      <c r="R860" s="130">
        <v>0</v>
      </c>
      <c r="S860" s="130">
        <v>0</v>
      </c>
      <c r="T860" s="130">
        <v>0</v>
      </c>
      <c r="U860" s="130">
        <v>0</v>
      </c>
      <c r="V860" s="524">
        <v>0</v>
      </c>
      <c r="W860" s="130">
        <v>0</v>
      </c>
      <c r="X860" s="130">
        <v>5</v>
      </c>
      <c r="Y860" s="130">
        <v>0</v>
      </c>
      <c r="Z860" s="130">
        <v>0</v>
      </c>
      <c r="AA860" s="159" t="s">
        <v>2786</v>
      </c>
      <c r="AB860" s="159" t="s">
        <v>231</v>
      </c>
      <c r="AD860" s="159">
        <v>3</v>
      </c>
      <c r="AE860" s="158" t="b">
        <f>IF(AB860="",TRUE,IF(IF(AC860="",VLOOKUP(AB860,Calculs!$A$19:$S$425,19,FALSE),VLOOKUP(AC860,Calculs!$A$19:$S$425,19,FALSE))&gt;=AD860,TRUE,FALSE))</f>
        <v>0</v>
      </c>
      <c r="AF860" s="159" t="s">
        <v>228</v>
      </c>
      <c r="AH860" s="159">
        <v>4</v>
      </c>
      <c r="AI860" s="158" t="b">
        <f>IF(AF860="",TRUE,IF(IF(AG860="",VLOOKUP(AF860,Calculs!$A$19:$S$425,19,FALSE),VLOOKUP(AG860,Calculs!$A$19:$S$425,19,FALSE))&gt;=AH860,TRUE,FALSE))</f>
        <v>0</v>
      </c>
      <c r="AJ860" s="159" t="s">
        <v>351</v>
      </c>
      <c r="AL860" s="159">
        <v>3</v>
      </c>
      <c r="AM860" s="158" t="b">
        <f>IF(AJ860="",TRUE,IF(IF(AK860="",VLOOKUP(AJ860,Calculs!$A$19:$S$425,19,FALSE),VLOOKUP(AK860,Calculs!$A$19:$S$425,19,FALSE))&gt;=AL860,TRUE,FALSE))</f>
        <v>0</v>
      </c>
      <c r="AQ860" s="158" t="b">
        <f>IF(AN860="",TRUE,IF(IF(AO860="",VLOOKUP(AN860,Calculs!$A$19:$S$425,19,FALSE),VLOOKUP(AO860,Calculs!$A$19:$S$425,19,FALSE))&gt;=AP860,TRUE,FALSE))</f>
        <v>1</v>
      </c>
      <c r="AR860" s="158"/>
      <c r="AS860" s="158" t="b">
        <f>IF(AR860="",TRUE,IF(VLOOKUP(AR860,Calculs!$A$427:$G$738,7,FALSE)&gt;0,TRUE,FALSE))</f>
        <v>1</v>
      </c>
      <c r="AT860" s="158"/>
      <c r="AU860" s="158" t="b">
        <f>IF(AT860="",TRUE,IF(VLOOKUP(AT860,Calculs!$A$740:$G$912,7,FALSE)&gt;0,TRUE,FALSE))</f>
        <v>1</v>
      </c>
      <c r="AV860" s="158" t="b">
        <f t="shared" si="95"/>
        <v>0</v>
      </c>
      <c r="AW860" s="158" t="s">
        <v>2078</v>
      </c>
      <c r="AX860" s="162" t="s">
        <v>2080</v>
      </c>
      <c r="AY860" s="15">
        <v>233</v>
      </c>
      <c r="AZ860" s="555" t="s">
        <v>2791</v>
      </c>
      <c r="BA860" s="559">
        <f>IF(Verso!$B$10=Voies!$B860,1,0)</f>
        <v>0</v>
      </c>
      <c r="BB860" s="12">
        <f>IF(Verso!$B$11=Voies!$B860,1,0)</f>
        <v>0</v>
      </c>
      <c r="BC860" s="12">
        <f>IF(Verso!$B$12=Voies!$B860,1,0)</f>
        <v>0</v>
      </c>
      <c r="BD860" s="12">
        <f>IF(Verso!$B$13=Voies!$B860,1,0)</f>
        <v>0</v>
      </c>
      <c r="BE860" s="12">
        <f>IF(Verso!$B$14=Voies!$B860,1,0)</f>
        <v>0</v>
      </c>
      <c r="BF860" s="12">
        <f>IF(Verso!$B$15=Voies!$B860,1,0)</f>
        <v>0</v>
      </c>
      <c r="BG860" s="12">
        <f>IF(Verso!$B$16=Voies!$B860,1,0)</f>
        <v>0</v>
      </c>
      <c r="BH860" s="12">
        <f>IF(Verso!$B$17=Voies!$B860,1,0)</f>
        <v>0</v>
      </c>
      <c r="BI860" s="557">
        <f t="shared" si="96"/>
        <v>0</v>
      </c>
      <c r="BJ860" s="196" t="str">
        <f t="shared" si="97"/>
        <v/>
      </c>
      <c r="BK860" s="196" t="str">
        <f t="shared" si="98"/>
        <v/>
      </c>
      <c r="BL860" s="295" t="str">
        <f t="shared" si="99"/>
        <v/>
      </c>
    </row>
    <row r="861" spans="1:65" s="196" customFormat="1" ht="47.25" customHeight="1" x14ac:dyDescent="0.25">
      <c r="A861" s="162" t="str">
        <f>IF(AND(Réputation&gt;Voies!E861-1,OR(C861=TRUE,Calculs!$I$8&gt;0),Air&gt;Voies!J861-1,Eau&gt;Voies!K861-1,Feu&gt;Voies!L861-1,Terre&gt;Voies!M861-1,Vide&gt;Voies!N861-1,Constitution&gt;Voies!O861-1,Volonté&gt;Voies!P861-1,Force&gt;Voies!Q861-1,Perception&gt;Voies!R861-1,Reflexes&gt;Voies!S861-1,Agilité&gt;Voies!T861-1,Intuition&gt;Voies!U861-1,Intelligence&gt;Voies!V861-1,Souillure&gt;Voies!W861-1,Honneur&gt;X861-1,Statut&gt;Y861-1,Gloire&gt;Z861-1,AV861=TRUE),Voies!B861,"")</f>
        <v/>
      </c>
      <c r="B861" s="162" t="s">
        <v>2798</v>
      </c>
      <c r="C861" s="162" t="b">
        <v>1</v>
      </c>
      <c r="D861" s="388" t="s">
        <v>61</v>
      </c>
      <c r="E861" s="199">
        <v>0</v>
      </c>
      <c r="F861" s="199">
        <v>0</v>
      </c>
      <c r="G861" s="157" t="s">
        <v>2078</v>
      </c>
      <c r="H861" s="162" t="s">
        <v>2441</v>
      </c>
      <c r="I861" s="129" t="str">
        <f t="shared" si="100"/>
        <v>Rien</v>
      </c>
      <c r="J861" s="146">
        <v>0</v>
      </c>
      <c r="K861" s="147">
        <v>3</v>
      </c>
      <c r="L861" s="148">
        <v>4</v>
      </c>
      <c r="M861" s="149">
        <v>0</v>
      </c>
      <c r="N861" s="150">
        <v>0</v>
      </c>
      <c r="O861" s="130">
        <v>0</v>
      </c>
      <c r="P861" s="130">
        <v>0</v>
      </c>
      <c r="Q861" s="130">
        <v>0</v>
      </c>
      <c r="R861" s="130">
        <v>0</v>
      </c>
      <c r="S861" s="130">
        <v>0</v>
      </c>
      <c r="T861" s="130">
        <v>0</v>
      </c>
      <c r="U861" s="130">
        <v>0</v>
      </c>
      <c r="V861" s="524">
        <v>0</v>
      </c>
      <c r="W861" s="130">
        <v>0</v>
      </c>
      <c r="X861" s="130">
        <v>0</v>
      </c>
      <c r="Y861" s="130">
        <v>0</v>
      </c>
      <c r="Z861" s="130">
        <v>0</v>
      </c>
      <c r="AA861" s="159" t="s">
        <v>2794</v>
      </c>
      <c r="AB861" s="159" t="s">
        <v>231</v>
      </c>
      <c r="AC861" s="159" t="s">
        <v>6362</v>
      </c>
      <c r="AD861" s="159">
        <v>4</v>
      </c>
      <c r="AE861" s="158" t="b">
        <f>IF(AB861="",TRUE,IF(IF(AC861="",VLOOKUP(AB861,Calculs!$A$19:$S$425,19,FALSE),VLOOKUP(AC861,Calculs!$A$19:$S$425,19,FALSE))&gt;=AD861,TRUE,FALSE))</f>
        <v>0</v>
      </c>
      <c r="AF861" s="159"/>
      <c r="AG861" s="159"/>
      <c r="AH861" s="159"/>
      <c r="AI861" s="158" t="b">
        <f>IF(AF861="",TRUE,IF(IF(AG861="",VLOOKUP(AF861,Calculs!$A$19:$S$425,19,FALSE),VLOOKUP(AG861,Calculs!$A$19:$S$425,19,FALSE))&gt;=AH861,TRUE,FALSE))</f>
        <v>1</v>
      </c>
      <c r="AJ861" s="159"/>
      <c r="AK861" s="159"/>
      <c r="AL861" s="159"/>
      <c r="AM861" s="158" t="b">
        <f>IF(AJ861="",TRUE,IF(IF(AK861="",VLOOKUP(AJ861,Calculs!$A$19:$S$425,19,FALSE),VLOOKUP(AK861,Calculs!$A$19:$S$425,19,FALSE))&gt;=AL861,TRUE,FALSE))</f>
        <v>1</v>
      </c>
      <c r="AN861" s="159"/>
      <c r="AO861" s="159"/>
      <c r="AP861" s="159"/>
      <c r="AQ861" s="158" t="b">
        <f>IF(AN861="",TRUE,IF(IF(AO861="",VLOOKUP(AN861,Calculs!$A$19:$S$425,19,FALSE),VLOOKUP(AO861,Calculs!$A$19:$S$425,19,FALSE))&gt;=AP861,TRUE,FALSE))</f>
        <v>1</v>
      </c>
      <c r="AR861" s="158"/>
      <c r="AS861" s="158" t="b">
        <f>IF(AR861="",TRUE,IF(VLOOKUP(AR861,Calculs!$A$427:$G$738,7,FALSE)&gt;0,TRUE,FALSE))</f>
        <v>1</v>
      </c>
      <c r="AT861" s="158"/>
      <c r="AU861" s="158" t="b">
        <f>IF(AT861="",TRUE,IF(VLOOKUP(AT861,Calculs!$A$740:$G$912,7,FALSE)&gt;0,TRUE,FALSE))</f>
        <v>1</v>
      </c>
      <c r="AV861" s="158" t="b">
        <f t="shared" si="95"/>
        <v>0</v>
      </c>
      <c r="AW861" s="159" t="s">
        <v>2795</v>
      </c>
      <c r="AX861" s="162" t="s">
        <v>2080</v>
      </c>
      <c r="AY861" s="15">
        <v>234</v>
      </c>
      <c r="AZ861" s="555" t="s">
        <v>2682</v>
      </c>
      <c r="BA861" s="559">
        <f>IF(Verso!$B$10=Voies!$B861,1,0)</f>
        <v>0</v>
      </c>
      <c r="BB861" s="12">
        <f>IF(Verso!$B$11=Voies!$B861,1,0)</f>
        <v>0</v>
      </c>
      <c r="BC861" s="12">
        <f>IF(Verso!$B$12=Voies!$B861,1,0)</f>
        <v>0</v>
      </c>
      <c r="BD861" s="12">
        <f>IF(Verso!$B$13=Voies!$B861,1,0)</f>
        <v>0</v>
      </c>
      <c r="BE861" s="12">
        <f>IF(Verso!$B$14=Voies!$B861,1,0)</f>
        <v>0</v>
      </c>
      <c r="BF861" s="12">
        <f>IF(Verso!$B$15=Voies!$B861,1,0)</f>
        <v>0</v>
      </c>
      <c r="BG861" s="12">
        <f>IF(Verso!$B$16=Voies!$B861,1,0)</f>
        <v>0</v>
      </c>
      <c r="BH861" s="12">
        <f>IF(Verso!$B$17=Voies!$B861,1,0)</f>
        <v>0</v>
      </c>
      <c r="BI861" s="557">
        <f t="shared" si="96"/>
        <v>0</v>
      </c>
      <c r="BJ861" s="196" t="str">
        <f t="shared" si="97"/>
        <v/>
      </c>
      <c r="BK861" s="196" t="str">
        <f t="shared" si="98"/>
        <v/>
      </c>
      <c r="BL861" s="295" t="str">
        <f t="shared" si="99"/>
        <v/>
      </c>
      <c r="BM861" s="91"/>
    </row>
    <row r="862" spans="1:65" s="196" customFormat="1" ht="47.25" customHeight="1" x14ac:dyDescent="0.25">
      <c r="A862" s="162" t="str">
        <f>IF(AND(Réputation&gt;Voies!E862-1,OR(C862=TRUE,Calculs!$I$8&gt;0),Air&gt;Voies!J862-1,Eau&gt;Voies!K862-1,Feu&gt;Voies!L862-1,Terre&gt;Voies!M862-1,Vide&gt;Voies!N862-1,Constitution&gt;Voies!O862-1,Volonté&gt;Voies!P862-1,Force&gt;Voies!Q862-1,Perception&gt;Voies!R862-1,Reflexes&gt;Voies!S862-1,Agilité&gt;Voies!T862-1,Intuition&gt;Voies!U862-1,Intelligence&gt;Voies!V862-1,Souillure&gt;Voies!W862-1,Honneur&gt;X862-1,Statut&gt;Y862-1,Gloire&gt;Z862-1,AV862=TRUE),Voies!B862,"")</f>
        <v/>
      </c>
      <c r="B862" s="162" t="s">
        <v>2789</v>
      </c>
      <c r="C862" s="162" t="b">
        <v>1</v>
      </c>
      <c r="D862" s="388" t="s">
        <v>61</v>
      </c>
      <c r="E862" s="199">
        <v>0</v>
      </c>
      <c r="F862" s="199">
        <v>0</v>
      </c>
      <c r="G862" s="157" t="s">
        <v>2078</v>
      </c>
      <c r="H862" s="162" t="s">
        <v>428</v>
      </c>
      <c r="I862" s="129" t="str">
        <f t="shared" si="100"/>
        <v>Rien</v>
      </c>
      <c r="J862" s="146">
        <v>0</v>
      </c>
      <c r="K862" s="147">
        <v>2</v>
      </c>
      <c r="L862" s="148">
        <v>3</v>
      </c>
      <c r="M862" s="149">
        <v>0</v>
      </c>
      <c r="N862" s="150">
        <v>0</v>
      </c>
      <c r="O862" s="130">
        <v>0</v>
      </c>
      <c r="P862" s="130">
        <v>0</v>
      </c>
      <c r="Q862" s="130">
        <v>0</v>
      </c>
      <c r="R862" s="130">
        <v>0</v>
      </c>
      <c r="S862" s="130">
        <v>0</v>
      </c>
      <c r="T862" s="130">
        <v>0</v>
      </c>
      <c r="U862" s="130">
        <v>0</v>
      </c>
      <c r="V862" s="524">
        <v>0</v>
      </c>
      <c r="W862" s="130">
        <v>0</v>
      </c>
      <c r="X862" s="130">
        <v>5</v>
      </c>
      <c r="Y862" s="130">
        <v>0</v>
      </c>
      <c r="Z862" s="130">
        <v>0</v>
      </c>
      <c r="AA862" s="159" t="s">
        <v>2786</v>
      </c>
      <c r="AB862" s="159" t="s">
        <v>231</v>
      </c>
      <c r="AC862" s="159"/>
      <c r="AD862" s="159">
        <v>3</v>
      </c>
      <c r="AE862" s="158" t="b">
        <f>IF(AB862="",TRUE,IF(IF(AC862="",VLOOKUP(AB862,Calculs!$A$19:$S$425,19,FALSE),VLOOKUP(AC862,Calculs!$A$19:$S$425,19,FALSE))&gt;=AD862,TRUE,FALSE))</f>
        <v>0</v>
      </c>
      <c r="AF862" s="159" t="s">
        <v>228</v>
      </c>
      <c r="AG862" s="159"/>
      <c r="AH862" s="159">
        <v>4</v>
      </c>
      <c r="AI862" s="158" t="b">
        <f>IF(AF862="",TRUE,IF(IF(AG862="",VLOOKUP(AF862,Calculs!$A$19:$S$425,19,FALSE),VLOOKUP(AG862,Calculs!$A$19:$S$425,19,FALSE))&gt;=AH862,TRUE,FALSE))</f>
        <v>0</v>
      </c>
      <c r="AJ862" s="159" t="s">
        <v>351</v>
      </c>
      <c r="AK862" s="159"/>
      <c r="AL862" s="159">
        <v>3</v>
      </c>
      <c r="AM862" s="158" t="b">
        <f>IF(AJ862="",TRUE,IF(IF(AK862="",VLOOKUP(AJ862,Calculs!$A$19:$S$425,19,FALSE),VLOOKUP(AK862,Calculs!$A$19:$S$425,19,FALSE))&gt;=AL862,TRUE,FALSE))</f>
        <v>0</v>
      </c>
      <c r="AN862" s="159"/>
      <c r="AO862" s="159"/>
      <c r="AP862" s="159"/>
      <c r="AQ862" s="158" t="b">
        <f>IF(AN862="",TRUE,IF(IF(AO862="",VLOOKUP(AN862,Calculs!$A$19:$S$425,19,FALSE),VLOOKUP(AO862,Calculs!$A$19:$S$425,19,FALSE))&gt;=AP862,TRUE,FALSE))</f>
        <v>1</v>
      </c>
      <c r="AR862" s="158"/>
      <c r="AS862" s="158" t="b">
        <f>IF(AR862="",TRUE,IF(VLOOKUP(AR862,Calculs!$A$427:$G$738,7,FALSE)&gt;0,TRUE,FALSE))</f>
        <v>1</v>
      </c>
      <c r="AT862" s="158"/>
      <c r="AU862" s="158" t="b">
        <f>IF(AT862="",TRUE,IF(VLOOKUP(AT862,Calculs!$A$740:$G$912,7,FALSE)&gt;0,TRUE,FALSE))</f>
        <v>1</v>
      </c>
      <c r="AV862" s="158" t="b">
        <f t="shared" si="95"/>
        <v>0</v>
      </c>
      <c r="AW862" s="158" t="s">
        <v>2078</v>
      </c>
      <c r="AX862" s="162" t="s">
        <v>2080</v>
      </c>
      <c r="AY862" s="15">
        <v>233</v>
      </c>
      <c r="AZ862" s="555" t="s">
        <v>2792</v>
      </c>
      <c r="BA862" s="559">
        <f>IF(Verso!$B$10=Voies!$B862,1,0)</f>
        <v>0</v>
      </c>
      <c r="BB862" s="12">
        <f>IF(Verso!$B$11=Voies!$B862,1,0)</f>
        <v>0</v>
      </c>
      <c r="BC862" s="12">
        <f>IF(Verso!$B$12=Voies!$B862,1,0)</f>
        <v>0</v>
      </c>
      <c r="BD862" s="12">
        <f>IF(Verso!$B$13=Voies!$B862,1,0)</f>
        <v>0</v>
      </c>
      <c r="BE862" s="12">
        <f>IF(Verso!$B$14=Voies!$B862,1,0)</f>
        <v>0</v>
      </c>
      <c r="BF862" s="12">
        <f>IF(Verso!$B$15=Voies!$B862,1,0)</f>
        <v>0</v>
      </c>
      <c r="BG862" s="12">
        <f>IF(Verso!$B$16=Voies!$B862,1,0)</f>
        <v>0</v>
      </c>
      <c r="BH862" s="12">
        <f>IF(Verso!$B$17=Voies!$B862,1,0)</f>
        <v>0</v>
      </c>
      <c r="BI862" s="557">
        <f t="shared" si="96"/>
        <v>0</v>
      </c>
      <c r="BJ862" s="196" t="str">
        <f t="shared" si="97"/>
        <v/>
      </c>
      <c r="BK862" s="196" t="str">
        <f t="shared" si="98"/>
        <v/>
      </c>
      <c r="BL862" s="295" t="str">
        <f t="shared" si="99"/>
        <v/>
      </c>
      <c r="BM862" s="91"/>
    </row>
    <row r="863" spans="1:65" s="196" customFormat="1" ht="47.25" customHeight="1" x14ac:dyDescent="0.25">
      <c r="A863" s="162" t="str">
        <f>IF(AND(Réputation&gt;Voies!E863-1,OR(C863=TRUE,Calculs!$I$8&gt;0),Air&gt;Voies!J863-1,Eau&gt;Voies!K863-1,Feu&gt;Voies!L863-1,Terre&gt;Voies!M863-1,Vide&gt;Voies!N863-1,Constitution&gt;Voies!O863-1,Volonté&gt;Voies!P863-1,Force&gt;Voies!Q863-1,Perception&gt;Voies!R863-1,Reflexes&gt;Voies!S863-1,Agilité&gt;Voies!T863-1,Intuition&gt;Voies!U863-1,Intelligence&gt;Voies!V863-1,Souillure&gt;Voies!W863-1,Honneur&gt;X863-1,Statut&gt;Y863-1,Gloire&gt;Z863-1,AV863=TRUE),Voies!B863,"")</f>
        <v>Force de Mon Père</v>
      </c>
      <c r="B863" s="162" t="s">
        <v>2802</v>
      </c>
      <c r="C863" s="162" t="b">
        <v>1</v>
      </c>
      <c r="D863" s="388" t="s">
        <v>61</v>
      </c>
      <c r="E863" s="199">
        <v>1</v>
      </c>
      <c r="F863" s="199">
        <v>1</v>
      </c>
      <c r="G863" s="157" t="s">
        <v>2078</v>
      </c>
      <c r="H863" s="162" t="s">
        <v>277</v>
      </c>
      <c r="I863" s="129" t="str">
        <f t="shared" si="100"/>
        <v>Rien</v>
      </c>
      <c r="J863" s="146">
        <v>0</v>
      </c>
      <c r="K863" s="147">
        <v>0</v>
      </c>
      <c r="L863" s="148">
        <v>0</v>
      </c>
      <c r="M863" s="149">
        <v>0</v>
      </c>
      <c r="N863" s="150">
        <v>0</v>
      </c>
      <c r="O863" s="130">
        <v>0</v>
      </c>
      <c r="P863" s="130">
        <v>0</v>
      </c>
      <c r="Q863" s="130">
        <v>0</v>
      </c>
      <c r="R863" s="130">
        <v>0</v>
      </c>
      <c r="S863" s="130">
        <v>0</v>
      </c>
      <c r="T863" s="130">
        <v>0</v>
      </c>
      <c r="U863" s="130">
        <v>0</v>
      </c>
      <c r="V863" s="524">
        <v>0</v>
      </c>
      <c r="W863" s="130">
        <v>0</v>
      </c>
      <c r="X863" s="130">
        <v>0</v>
      </c>
      <c r="Y863" s="130">
        <v>0</v>
      </c>
      <c r="Z863" s="130">
        <v>0</v>
      </c>
      <c r="AA863" s="158" t="s">
        <v>2078</v>
      </c>
      <c r="AB863" s="158"/>
      <c r="AC863" s="158"/>
      <c r="AD863" s="158"/>
      <c r="AE863" s="158" t="b">
        <f>IF(AB863="",TRUE,IF(IF(AC863="",VLOOKUP(AB863,Calculs!$A$19:$S$425,19,FALSE),VLOOKUP(AC863,Calculs!$A$19:$S$425,19,FALSE))&gt;=AD863,TRUE,FALSE))</f>
        <v>1</v>
      </c>
      <c r="AF863" s="158"/>
      <c r="AG863" s="158"/>
      <c r="AH863" s="158"/>
      <c r="AI863" s="158" t="b">
        <f>IF(AF863="",TRUE,IF(IF(AG863="",VLOOKUP(AF863,Calculs!$A$19:$S$425,19,FALSE),VLOOKUP(AG863,Calculs!$A$19:$S$425,19,FALSE))&gt;=AH863,TRUE,FALSE))</f>
        <v>1</v>
      </c>
      <c r="AJ863" s="158"/>
      <c r="AK863" s="158"/>
      <c r="AL863" s="158"/>
      <c r="AM863" s="158" t="b">
        <f>IF(AJ863="",TRUE,IF(IF(AK863="",VLOOKUP(AJ863,Calculs!$A$19:$S$425,19,FALSE),VLOOKUP(AK863,Calculs!$A$19:$S$425,19,FALSE))&gt;=AL863,TRUE,FALSE))</f>
        <v>1</v>
      </c>
      <c r="AN863" s="158"/>
      <c r="AO863" s="158"/>
      <c r="AP863" s="158"/>
      <c r="AQ863" s="158" t="b">
        <f>IF(AN863="",TRUE,IF(IF(AO863="",VLOOKUP(AN863,Calculs!$A$19:$S$425,19,FALSE),VLOOKUP(AO863,Calculs!$A$19:$S$425,19,FALSE))&gt;=AP863,TRUE,FALSE))</f>
        <v>1</v>
      </c>
      <c r="AR863" s="158"/>
      <c r="AS863" s="158" t="b">
        <f>IF(AR863="",TRUE,IF(VLOOKUP(AR863,Calculs!$A$427:$G$738,7,FALSE)&gt;0,TRUE,FALSE))</f>
        <v>1</v>
      </c>
      <c r="AT863" s="158"/>
      <c r="AU863" s="158" t="b">
        <f>IF(AT863="",TRUE,IF(VLOOKUP(AT863,Calculs!$A$740:$G$912,7,FALSE)&gt;0,TRUE,FALSE))</f>
        <v>1</v>
      </c>
      <c r="AV863" s="158" t="b">
        <f t="shared" si="95"/>
        <v>1</v>
      </c>
      <c r="AW863" s="158" t="s">
        <v>2078</v>
      </c>
      <c r="AX863" s="162" t="s">
        <v>2080</v>
      </c>
      <c r="AY863" s="15">
        <v>236</v>
      </c>
      <c r="AZ863" s="555" t="s">
        <v>8717</v>
      </c>
      <c r="BA863" s="559">
        <f>IF(Verso!$B$10=Voies!$B863,1,0)</f>
        <v>0</v>
      </c>
      <c r="BB863" s="12">
        <f>IF(Verso!$B$11=Voies!$B863,1,0)</f>
        <v>0</v>
      </c>
      <c r="BC863" s="12">
        <f>IF(Verso!$B$12=Voies!$B863,1,0)</f>
        <v>0</v>
      </c>
      <c r="BD863" s="12">
        <f>IF(Verso!$B$13=Voies!$B863,1,0)</f>
        <v>0</v>
      </c>
      <c r="BE863" s="12">
        <f>IF(Verso!$B$14=Voies!$B863,1,0)</f>
        <v>0</v>
      </c>
      <c r="BF863" s="12">
        <f>IF(Verso!$B$15=Voies!$B863,1,0)</f>
        <v>0</v>
      </c>
      <c r="BG863" s="12">
        <f>IF(Verso!$B$16=Voies!$B863,1,0)</f>
        <v>0</v>
      </c>
      <c r="BH863" s="12">
        <f>IF(Verso!$B$17=Voies!$B863,1,0)</f>
        <v>0</v>
      </c>
      <c r="BI863" s="557">
        <f t="shared" si="96"/>
        <v>0</v>
      </c>
      <c r="BJ863" s="196">
        <f t="shared" si="97"/>
        <v>863</v>
      </c>
      <c r="BK863" s="196" t="str">
        <f t="shared" si="98"/>
        <v/>
      </c>
      <c r="BL863" s="295" t="str">
        <f t="shared" si="99"/>
        <v/>
      </c>
      <c r="BM863" s="91"/>
    </row>
    <row r="864" spans="1:65" ht="47.25" customHeight="1" x14ac:dyDescent="0.25">
      <c r="A864" s="162" t="str">
        <f>IF(AND(Réputation&gt;Voies!E864-1,OR(C864=TRUE,Calculs!$I$8&gt;0),Air&gt;Voies!J864-1,Eau&gt;Voies!K864-1,Feu&gt;Voies!L864-1,Terre&gt;Voies!M864-1,Vide&gt;Voies!N864-1,Constitution&gt;Voies!O864-1,Volonté&gt;Voies!P864-1,Force&gt;Voies!Q864-1,Perception&gt;Voies!R864-1,Reflexes&gt;Voies!S864-1,Agilité&gt;Voies!T864-1,Intuition&gt;Voies!U864-1,Intelligence&gt;Voies!V864-1,Souillure&gt;Voies!W864-1,Honneur&gt;X864-1,Statut&gt;Y864-1,Gloire&gt;Z864-1,AV864=TRUE),Voies!B864,"")</f>
        <v>Danse des Boutons de Cerise</v>
      </c>
      <c r="B864" s="162" t="s">
        <v>7393</v>
      </c>
      <c r="C864" s="162" t="b">
        <v>1</v>
      </c>
      <c r="D864" s="388" t="s">
        <v>61</v>
      </c>
      <c r="E864" s="13">
        <v>1</v>
      </c>
      <c r="F864" s="199">
        <v>1</v>
      </c>
      <c r="G864" s="157" t="s">
        <v>2057</v>
      </c>
      <c r="H864" s="162" t="s">
        <v>7392</v>
      </c>
      <c r="I864" s="129" t="str">
        <f t="shared" si="100"/>
        <v>Rien</v>
      </c>
      <c r="J864" s="146">
        <v>0</v>
      </c>
      <c r="K864" s="147">
        <v>0</v>
      </c>
      <c r="L864" s="148">
        <v>0</v>
      </c>
      <c r="M864" s="149">
        <v>0</v>
      </c>
      <c r="N864" s="150">
        <v>0</v>
      </c>
      <c r="O864" s="130">
        <v>0</v>
      </c>
      <c r="P864" s="130">
        <v>0</v>
      </c>
      <c r="Q864" s="130">
        <v>0</v>
      </c>
      <c r="R864" s="130">
        <v>0</v>
      </c>
      <c r="S864" s="130">
        <v>0</v>
      </c>
      <c r="T864" s="130">
        <v>0</v>
      </c>
      <c r="U864" s="130">
        <v>0</v>
      </c>
      <c r="V864" s="524">
        <v>0</v>
      </c>
      <c r="W864" s="130">
        <v>0</v>
      </c>
      <c r="X864" s="130">
        <v>0</v>
      </c>
      <c r="Y864" s="130">
        <v>0</v>
      </c>
      <c r="Z864" s="130">
        <v>0</v>
      </c>
      <c r="AA864" s="158" t="s">
        <v>2078</v>
      </c>
      <c r="AB864" s="158"/>
      <c r="AC864" s="158"/>
      <c r="AD864" s="158"/>
      <c r="AE864" s="158" t="b">
        <f>IF(AB864="",TRUE,IF(IF(AC864="",VLOOKUP(AB864,Calculs!$A$19:$S$425,19,FALSE),VLOOKUP(AC864,Calculs!$A$19:$S$425,19,FALSE))&gt;=AD864,TRUE,FALSE))</f>
        <v>1</v>
      </c>
      <c r="AF864" s="158"/>
      <c r="AG864" s="158"/>
      <c r="AH864" s="158"/>
      <c r="AI864" s="158" t="b">
        <f>IF(AF864="",TRUE,IF(IF(AG864="",VLOOKUP(AF864,Calculs!$A$19:$S$425,19,FALSE),VLOOKUP(AG864,Calculs!$A$19:$S$425,19,FALSE))&gt;=AH864,TRUE,FALSE))</f>
        <v>1</v>
      </c>
      <c r="AJ864" s="158"/>
      <c r="AK864" s="158"/>
      <c r="AL864" s="158"/>
      <c r="AM864" s="158" t="b">
        <f>IF(AJ864="",TRUE,IF(IF(AK864="",VLOOKUP(AJ864,Calculs!$A$19:$S$425,19,FALSE),VLOOKUP(AK864,Calculs!$A$19:$S$425,19,FALSE))&gt;=AL864,TRUE,FALSE))</f>
        <v>1</v>
      </c>
      <c r="AN864" s="158"/>
      <c r="AO864" s="158"/>
      <c r="AP864" s="158"/>
      <c r="AQ864" s="158" t="b">
        <f>IF(AN864="",TRUE,IF(IF(AO864="",VLOOKUP(AN864,Calculs!$A$19:$S$425,19,FALSE),VLOOKUP(AO864,Calculs!$A$19:$S$425,19,FALSE))&gt;=AP864,TRUE,FALSE))</f>
        <v>1</v>
      </c>
      <c r="AR864" s="158"/>
      <c r="AS864" s="158" t="b">
        <f>IF(AR864="",TRUE,IF(VLOOKUP(AR864,Calculs!$A$427:$G$738,7,FALSE)&gt;0,TRUE,FALSE))</f>
        <v>1</v>
      </c>
      <c r="AT864" s="158"/>
      <c r="AU864" s="158" t="b">
        <f>IF(AT864="",TRUE,IF(VLOOKUP(AT864,Calculs!$A$740:$G$912,7,FALSE)&gt;0,TRUE,FALSE))</f>
        <v>1</v>
      </c>
      <c r="AV864" s="158" t="b">
        <f t="shared" si="95"/>
        <v>1</v>
      </c>
      <c r="AW864" s="158" t="s">
        <v>2078</v>
      </c>
      <c r="AX864" s="162" t="s">
        <v>7226</v>
      </c>
      <c r="AY864" s="15">
        <v>74</v>
      </c>
      <c r="AZ864" s="555" t="str">
        <f>CONCATENATE("Lorsque vous dépensez un Pvide pour augmenter une compétence Sociale, vous obtenez un bonus de ",Gloire*2)</f>
        <v>Lorsque vous dépensez un Pvide pour augmenter une compétence Sociale, vous obtenez un bonus de 2</v>
      </c>
      <c r="BA864" s="559">
        <f>IF(Verso!$B$10=Voies!$B864,1,0)</f>
        <v>0</v>
      </c>
      <c r="BB864" s="12">
        <f>IF(Verso!$B$11=Voies!$B864,1,0)</f>
        <v>0</v>
      </c>
      <c r="BC864" s="12">
        <f>IF(Verso!$B$12=Voies!$B864,1,0)</f>
        <v>0</v>
      </c>
      <c r="BD864" s="12">
        <f>IF(Verso!$B$13=Voies!$B864,1,0)</f>
        <v>0</v>
      </c>
      <c r="BE864" s="12">
        <f>IF(Verso!$B$14=Voies!$B864,1,0)</f>
        <v>0</v>
      </c>
      <c r="BF864" s="12">
        <f>IF(Verso!$B$15=Voies!$B864,1,0)</f>
        <v>0</v>
      </c>
      <c r="BG864" s="12">
        <f>IF(Verso!$B$16=Voies!$B864,1,0)</f>
        <v>0</v>
      </c>
      <c r="BH864" s="12">
        <f>IF(Verso!$B$17=Voies!$B864,1,0)</f>
        <v>0</v>
      </c>
      <c r="BI864" s="557">
        <f t="shared" si="96"/>
        <v>0</v>
      </c>
      <c r="BJ864" s="196">
        <f t="shared" si="97"/>
        <v>864</v>
      </c>
      <c r="BK864" s="196" t="str">
        <f t="shared" si="98"/>
        <v/>
      </c>
      <c r="BL864" s="295" t="str">
        <f t="shared" si="99"/>
        <v/>
      </c>
    </row>
    <row r="865" spans="1:65" ht="47.25" customHeight="1" x14ac:dyDescent="0.25">
      <c r="A865" s="162" t="str">
        <f>IF(AND(Réputation&gt;Voies!E865-1,OR(C865=TRUE,Calculs!$I$8&gt;0),Air&gt;Voies!J865-1,Eau&gt;Voies!K865-1,Feu&gt;Voies!L865-1,Terre&gt;Voies!M865-1,Vide&gt;Voies!N865-1,Constitution&gt;Voies!O865-1,Volonté&gt;Voies!P865-1,Force&gt;Voies!Q865-1,Perception&gt;Voies!R865-1,Reflexes&gt;Voies!S865-1,Agilité&gt;Voies!T865-1,Intuition&gt;Voies!U865-1,Intelligence&gt;Voies!V865-1,Souillure&gt;Voies!W865-1,Honneur&gt;X865-1,Statut&gt;Y865-1,Gloire&gt;Z865-1,AV865=TRUE),Voies!B865,"")</f>
        <v>La Volonté du Peuple</v>
      </c>
      <c r="B865" s="162" t="s">
        <v>2411</v>
      </c>
      <c r="C865" s="162" t="b">
        <v>1</v>
      </c>
      <c r="D865" s="388" t="s">
        <v>61</v>
      </c>
      <c r="E865" s="199">
        <v>1</v>
      </c>
      <c r="F865" s="199">
        <v>1</v>
      </c>
      <c r="G865" s="199" t="s">
        <v>2049</v>
      </c>
      <c r="H865" s="162" t="s">
        <v>286</v>
      </c>
      <c r="I865" s="129" t="str">
        <f t="shared" si="100"/>
        <v>Rien</v>
      </c>
      <c r="J865" s="146">
        <v>0</v>
      </c>
      <c r="K865" s="147">
        <v>0</v>
      </c>
      <c r="L865" s="148">
        <v>0</v>
      </c>
      <c r="M865" s="149">
        <v>0</v>
      </c>
      <c r="N865" s="150">
        <v>0</v>
      </c>
      <c r="O865" s="130">
        <v>0</v>
      </c>
      <c r="P865" s="130">
        <v>0</v>
      </c>
      <c r="Q865" s="130">
        <v>0</v>
      </c>
      <c r="R865" s="130">
        <v>0</v>
      </c>
      <c r="S865" s="130">
        <v>0</v>
      </c>
      <c r="T865" s="130">
        <v>0</v>
      </c>
      <c r="U865" s="130">
        <v>0</v>
      </c>
      <c r="V865" s="524">
        <v>0</v>
      </c>
      <c r="W865" s="130">
        <v>0</v>
      </c>
      <c r="X865" s="130">
        <v>0</v>
      </c>
      <c r="Y865" s="130">
        <v>0</v>
      </c>
      <c r="Z865" s="130">
        <v>0</v>
      </c>
      <c r="AA865" s="158" t="s">
        <v>2078</v>
      </c>
      <c r="AB865" s="158"/>
      <c r="AC865" s="158"/>
      <c r="AD865" s="158"/>
      <c r="AE865" s="158" t="b">
        <f>IF(AB865="",TRUE,IF(IF(AC865="",VLOOKUP(AB865,Calculs!$A$19:$S$425,19,FALSE),VLOOKUP(AC865,Calculs!$A$19:$S$425,19,FALSE))&gt;=AD865,TRUE,FALSE))</f>
        <v>1</v>
      </c>
      <c r="AF865" s="158"/>
      <c r="AG865" s="158"/>
      <c r="AH865" s="158"/>
      <c r="AI865" s="158" t="b">
        <f>IF(AF865="",TRUE,IF(IF(AG865="",VLOOKUP(AF865,Calculs!$A$19:$S$425,19,FALSE),VLOOKUP(AG865,Calculs!$A$19:$S$425,19,FALSE))&gt;=AH865,TRUE,FALSE))</f>
        <v>1</v>
      </c>
      <c r="AJ865" s="158"/>
      <c r="AK865" s="158"/>
      <c r="AL865" s="158"/>
      <c r="AM865" s="158" t="b">
        <f>IF(AJ865="",TRUE,IF(IF(AK865="",VLOOKUP(AJ865,Calculs!$A$19:$S$425,19,FALSE),VLOOKUP(AK865,Calculs!$A$19:$S$425,19,FALSE))&gt;=AL865,TRUE,FALSE))</f>
        <v>1</v>
      </c>
      <c r="AN865" s="158"/>
      <c r="AO865" s="158"/>
      <c r="AP865" s="158"/>
      <c r="AQ865" s="158" t="b">
        <f>IF(AN865="",TRUE,IF(IF(AO865="",VLOOKUP(AN865,Calculs!$A$19:$S$425,19,FALSE),VLOOKUP(AO865,Calculs!$A$19:$S$425,19,FALSE))&gt;=AP865,TRUE,FALSE))</f>
        <v>1</v>
      </c>
      <c r="AR865" s="158"/>
      <c r="AS865" s="158" t="b">
        <f>IF(AR865="",TRUE,IF(VLOOKUP(AR865,Calculs!$A$427:$G$738,7,FALSE)&gt;0,TRUE,FALSE))</f>
        <v>1</v>
      </c>
      <c r="AT865" s="158"/>
      <c r="AU865" s="158" t="b">
        <f>IF(AT865="",TRUE,IF(VLOOKUP(AT865,Calculs!$A$740:$G$912,7,FALSE)&gt;0,TRUE,FALSE))</f>
        <v>1</v>
      </c>
      <c r="AV865" s="158" t="b">
        <f t="shared" si="95"/>
        <v>1</v>
      </c>
      <c r="AW865" s="158" t="s">
        <v>2078</v>
      </c>
      <c r="AX865" s="162" t="s">
        <v>3</v>
      </c>
      <c r="AY865" s="15">
        <v>234</v>
      </c>
      <c r="AZ865" s="555" t="str">
        <f>CONCATENATE("Quand vous dépensez un Pvide pour ajouter +1g1 à un jet de Compétence ou de Trait ajoutez +",Honneur,"  au total de ce jet")</f>
        <v>Quand vous dépensez un Pvide pour ajouter +1g1 à un jet de Compétence ou de Trait ajoutez +0  au total de ce jet</v>
      </c>
      <c r="BA865" s="559">
        <f>IF(Verso!$B$10=Voies!$B865,1,0)</f>
        <v>0</v>
      </c>
      <c r="BB865" s="12">
        <f>IF(Verso!$B$11=Voies!$B865,1,0)</f>
        <v>0</v>
      </c>
      <c r="BC865" s="12">
        <f>IF(Verso!$B$12=Voies!$B865,1,0)</f>
        <v>0</v>
      </c>
      <c r="BD865" s="12">
        <f>IF(Verso!$B$13=Voies!$B865,1,0)</f>
        <v>0</v>
      </c>
      <c r="BE865" s="12">
        <f>IF(Verso!$B$14=Voies!$B865,1,0)</f>
        <v>0</v>
      </c>
      <c r="BF865" s="12">
        <f>IF(Verso!$B$15=Voies!$B865,1,0)</f>
        <v>0</v>
      </c>
      <c r="BG865" s="12">
        <f>IF(Verso!$B$16=Voies!$B865,1,0)</f>
        <v>0</v>
      </c>
      <c r="BH865" s="12">
        <f>IF(Verso!$B$17=Voies!$B865,1,0)</f>
        <v>0</v>
      </c>
      <c r="BI865" s="557">
        <f t="shared" si="96"/>
        <v>0</v>
      </c>
      <c r="BJ865" s="196">
        <f t="shared" si="97"/>
        <v>865</v>
      </c>
      <c r="BK865" s="196" t="str">
        <f t="shared" si="98"/>
        <v/>
      </c>
      <c r="BL865" s="295" t="str">
        <f t="shared" si="99"/>
        <v/>
      </c>
    </row>
    <row r="866" spans="1:65" ht="47.25" customHeight="1" x14ac:dyDescent="0.25">
      <c r="A866" s="162" t="str">
        <f>IF(AND(Réputation&gt;Voies!E866-1,OR(C866=TRUE,Calculs!$I$8&gt;0),Air&gt;Voies!J866-1,Eau&gt;Voies!K866-1,Feu&gt;Voies!L866-1,Terre&gt;Voies!M866-1,Vide&gt;Voies!N866-1,Constitution&gt;Voies!O866-1,Volonté&gt;Voies!P866-1,Force&gt;Voies!Q866-1,Perception&gt;Voies!R866-1,Reflexes&gt;Voies!S866-1,Agilité&gt;Voies!T866-1,Intuition&gt;Voies!U866-1,Intelligence&gt;Voies!V866-1,Souillure&gt;Voies!W866-1,Honneur&gt;X866-1,Statut&gt;Y866-1,Gloire&gt;Z866-1,AV866=TRUE),Voies!B866,"")</f>
        <v>Unité de But</v>
      </c>
      <c r="B866" s="162" t="s">
        <v>3653</v>
      </c>
      <c r="C866" s="162" t="b">
        <v>1</v>
      </c>
      <c r="D866" s="388" t="s">
        <v>61</v>
      </c>
      <c r="E866" s="199">
        <v>1</v>
      </c>
      <c r="F866" s="199">
        <v>1</v>
      </c>
      <c r="G866" s="199" t="s">
        <v>2049</v>
      </c>
      <c r="H866" s="162" t="s">
        <v>280</v>
      </c>
      <c r="I866" s="129" t="s">
        <v>3654</v>
      </c>
      <c r="J866" s="146">
        <v>0</v>
      </c>
      <c r="K866" s="147">
        <v>0</v>
      </c>
      <c r="L866" s="148">
        <v>0</v>
      </c>
      <c r="M866" s="149">
        <v>0</v>
      </c>
      <c r="N866" s="150">
        <v>0</v>
      </c>
      <c r="O866" s="130">
        <v>0</v>
      </c>
      <c r="P866" s="130">
        <v>0</v>
      </c>
      <c r="Q866" s="130">
        <v>0</v>
      </c>
      <c r="R866" s="130">
        <v>0</v>
      </c>
      <c r="S866" s="130">
        <v>0</v>
      </c>
      <c r="T866" s="130">
        <v>0</v>
      </c>
      <c r="U866" s="130">
        <v>0</v>
      </c>
      <c r="V866" s="524">
        <v>0</v>
      </c>
      <c r="W866" s="130">
        <v>0</v>
      </c>
      <c r="X866" s="130">
        <v>0</v>
      </c>
      <c r="Y866" s="130">
        <v>0</v>
      </c>
      <c r="Z866" s="130">
        <v>0</v>
      </c>
      <c r="AA866" s="158" t="s">
        <v>2078</v>
      </c>
      <c r="AB866" s="158"/>
      <c r="AC866" s="158"/>
      <c r="AD866" s="158"/>
      <c r="AE866" s="158" t="b">
        <f>IF(AB866="",TRUE,IF(IF(AC866="",VLOOKUP(AB866,Calculs!$A$19:$S$425,19,FALSE),VLOOKUP(AC866,Calculs!$A$19:$S$425,19,FALSE))&gt;=AD866,TRUE,FALSE))</f>
        <v>1</v>
      </c>
      <c r="AF866" s="158"/>
      <c r="AG866" s="158"/>
      <c r="AH866" s="158"/>
      <c r="AI866" s="158" t="b">
        <f>IF(AF866="",TRUE,IF(IF(AG866="",VLOOKUP(AF866,Calculs!$A$19:$S$425,19,FALSE),VLOOKUP(AG866,Calculs!$A$19:$S$425,19,FALSE))&gt;=AH866,TRUE,FALSE))</f>
        <v>1</v>
      </c>
      <c r="AJ866" s="158"/>
      <c r="AK866" s="158"/>
      <c r="AL866" s="158"/>
      <c r="AM866" s="158" t="b">
        <f>IF(AJ866="",TRUE,IF(IF(AK866="",VLOOKUP(AJ866,Calculs!$A$19:$S$425,19,FALSE),VLOOKUP(AK866,Calculs!$A$19:$S$425,19,FALSE))&gt;=AL866,TRUE,FALSE))</f>
        <v>1</v>
      </c>
      <c r="AN866" s="158"/>
      <c r="AO866" s="158"/>
      <c r="AP866" s="158"/>
      <c r="AQ866" s="158" t="b">
        <f>IF(AN866="",TRUE,IF(IF(AO866="",VLOOKUP(AN866,Calculs!$A$19:$S$425,19,FALSE),VLOOKUP(AO866,Calculs!$A$19:$S$425,19,FALSE))&gt;=AP866,TRUE,FALSE))</f>
        <v>1</v>
      </c>
      <c r="AR866" s="158"/>
      <c r="AS866" s="158" t="b">
        <f>IF(AR866="",TRUE,IF(VLOOKUP(AR866,Calculs!$A$427:$G$738,7,FALSE)&gt;0,TRUE,FALSE))</f>
        <v>1</v>
      </c>
      <c r="AT866" s="158"/>
      <c r="AU866" s="158" t="b">
        <f>IF(AT866="",TRUE,IF(VLOOKUP(AT866,Calculs!$A$740:$G$912,7,FALSE)&gt;0,TRUE,FALSE))</f>
        <v>1</v>
      </c>
      <c r="AV866" s="158" t="b">
        <f t="shared" si="95"/>
        <v>1</v>
      </c>
      <c r="AW866" s="158" t="s">
        <v>2078</v>
      </c>
      <c r="AX866" s="162" t="s">
        <v>2077</v>
      </c>
      <c r="AY866" s="15">
        <v>123</v>
      </c>
      <c r="AZ866" s="555" t="s">
        <v>3655</v>
      </c>
      <c r="BA866" s="559">
        <f>IF(Verso!$B$10=Voies!$B866,1,0)</f>
        <v>0</v>
      </c>
      <c r="BB866" s="12">
        <f>IF(Verso!$B$11=Voies!$B866,1,0)</f>
        <v>0</v>
      </c>
      <c r="BC866" s="12">
        <f>IF(Verso!$B$12=Voies!$B866,1,0)</f>
        <v>0</v>
      </c>
      <c r="BD866" s="12">
        <f>IF(Verso!$B$13=Voies!$B866,1,0)</f>
        <v>0</v>
      </c>
      <c r="BE866" s="12">
        <f>IF(Verso!$B$14=Voies!$B866,1,0)</f>
        <v>0</v>
      </c>
      <c r="BF866" s="12">
        <f>IF(Verso!$B$15=Voies!$B866,1,0)</f>
        <v>0</v>
      </c>
      <c r="BG866" s="12">
        <f>IF(Verso!$B$16=Voies!$B866,1,0)</f>
        <v>0</v>
      </c>
      <c r="BH866" s="12">
        <f>IF(Verso!$B$17=Voies!$B866,1,0)</f>
        <v>0</v>
      </c>
      <c r="BI866" s="557">
        <f t="shared" si="96"/>
        <v>0</v>
      </c>
      <c r="BJ866" s="196">
        <f t="shared" si="97"/>
        <v>866</v>
      </c>
      <c r="BK866" s="196" t="str">
        <f t="shared" si="98"/>
        <v/>
      </c>
      <c r="BL866" s="295" t="str">
        <f t="shared" si="99"/>
        <v/>
      </c>
    </row>
    <row r="867" spans="1:65" s="196" customFormat="1" ht="47.25" customHeight="1" x14ac:dyDescent="0.25">
      <c r="A867" s="162" t="str">
        <f>IF(AND(Réputation&gt;Voies!E867-1,OR(C867=TRUE,Calculs!$I$8&gt;0),Air&gt;Voies!J867-1,Eau&gt;Voies!K867-1,Feu&gt;Voies!L867-1,Terre&gt;Voies!M867-1,Vide&gt;Voies!N867-1,Constitution&gt;Voies!O867-1,Volonté&gt;Voies!P867-1,Force&gt;Voies!Q867-1,Perception&gt;Voies!R867-1,Reflexes&gt;Voies!S867-1,Agilité&gt;Voies!T867-1,Intuition&gt;Voies!U867-1,Intelligence&gt;Voies!V867-1,Souillure&gt;Voies!W867-1,Honneur&gt;X867-1,Statut&gt;Y867-1,Gloire&gt;Z867-1,AV867=TRUE),Voies!B867,"")</f>
        <v>De la Fumée au Coup</v>
      </c>
      <c r="B867" s="162" t="s">
        <v>7391</v>
      </c>
      <c r="C867" s="162" t="b">
        <v>1</v>
      </c>
      <c r="D867" s="388" t="s">
        <v>61</v>
      </c>
      <c r="E867" s="199">
        <v>1</v>
      </c>
      <c r="F867" s="199">
        <v>1</v>
      </c>
      <c r="G867" s="199" t="s">
        <v>2049</v>
      </c>
      <c r="H867" s="162" t="s">
        <v>7390</v>
      </c>
      <c r="I867" s="129" t="str">
        <f>IF(B867="","","Rien")</f>
        <v>Rien</v>
      </c>
      <c r="J867" s="146">
        <v>0</v>
      </c>
      <c r="K867" s="147">
        <v>0</v>
      </c>
      <c r="L867" s="148">
        <v>0</v>
      </c>
      <c r="M867" s="149">
        <v>0</v>
      </c>
      <c r="N867" s="150">
        <v>0</v>
      </c>
      <c r="O867" s="130">
        <v>0</v>
      </c>
      <c r="P867" s="130">
        <v>0</v>
      </c>
      <c r="Q867" s="130">
        <v>0</v>
      </c>
      <c r="R867" s="130">
        <v>0</v>
      </c>
      <c r="S867" s="130">
        <v>0</v>
      </c>
      <c r="T867" s="130">
        <v>0</v>
      </c>
      <c r="U867" s="130">
        <v>0</v>
      </c>
      <c r="V867" s="524">
        <v>0</v>
      </c>
      <c r="W867" s="130">
        <v>0</v>
      </c>
      <c r="X867" s="130">
        <v>0</v>
      </c>
      <c r="Y867" s="130">
        <v>0</v>
      </c>
      <c r="Z867" s="130">
        <v>0</v>
      </c>
      <c r="AA867" s="158" t="s">
        <v>2078</v>
      </c>
      <c r="AB867" s="158"/>
      <c r="AC867" s="158"/>
      <c r="AD867" s="158"/>
      <c r="AE867" s="158" t="b">
        <f>IF(AB867="",TRUE,IF(IF(AC867="",VLOOKUP(AB867,Calculs!$A$19:$S$425,19,FALSE),VLOOKUP(AC867,Calculs!$A$19:$S$425,19,FALSE))&gt;=AD867,TRUE,FALSE))</f>
        <v>1</v>
      </c>
      <c r="AF867" s="158"/>
      <c r="AG867" s="158"/>
      <c r="AH867" s="158"/>
      <c r="AI867" s="158" t="b">
        <f>IF(AF867="",TRUE,IF(IF(AG867="",VLOOKUP(AF867,Calculs!$A$19:$S$425,19,FALSE),VLOOKUP(AG867,Calculs!$A$19:$S$425,19,FALSE))&gt;=AH867,TRUE,FALSE))</f>
        <v>1</v>
      </c>
      <c r="AJ867" s="158"/>
      <c r="AK867" s="158"/>
      <c r="AL867" s="158"/>
      <c r="AM867" s="158" t="b">
        <f>IF(AJ867="",TRUE,IF(IF(AK867="",VLOOKUP(AJ867,Calculs!$A$19:$S$425,19,FALSE),VLOOKUP(AK867,Calculs!$A$19:$S$425,19,FALSE))&gt;=AL867,TRUE,FALSE))</f>
        <v>1</v>
      </c>
      <c r="AN867" s="158"/>
      <c r="AO867" s="158"/>
      <c r="AP867" s="158"/>
      <c r="AQ867" s="158" t="b">
        <f>IF(AN867="",TRUE,IF(IF(AO867="",VLOOKUP(AN867,Calculs!$A$19:$S$425,19,FALSE),VLOOKUP(AO867,Calculs!$A$19:$S$425,19,FALSE))&gt;=AP867,TRUE,FALSE))</f>
        <v>1</v>
      </c>
      <c r="AR867" s="158"/>
      <c r="AS867" s="158" t="b">
        <f>IF(AR867="",TRUE,IF(VLOOKUP(AR867,Calculs!$A$427:$G$738,7,FALSE)&gt;0,TRUE,FALSE))</f>
        <v>1</v>
      </c>
      <c r="AT867" s="158"/>
      <c r="AU867" s="158" t="b">
        <f>IF(AT867="",TRUE,IF(VLOOKUP(AT867,Calculs!$A$740:$G$912,7,FALSE)&gt;0,TRUE,FALSE))</f>
        <v>1</v>
      </c>
      <c r="AV867" s="158" t="b">
        <f t="shared" si="95"/>
        <v>1</v>
      </c>
      <c r="AW867" s="158" t="s">
        <v>2078</v>
      </c>
      <c r="AX867" s="162" t="s">
        <v>7226</v>
      </c>
      <c r="AY867" s="15">
        <v>74</v>
      </c>
      <c r="AZ867" s="555" t="s">
        <v>8718</v>
      </c>
      <c r="BA867" s="559">
        <f>IF(Verso!$B$10=Voies!$B867,1,0)</f>
        <v>0</v>
      </c>
      <c r="BB867" s="12">
        <f>IF(Verso!$B$11=Voies!$B867,1,0)</f>
        <v>0</v>
      </c>
      <c r="BC867" s="12">
        <f>IF(Verso!$B$12=Voies!$B867,1,0)</f>
        <v>0</v>
      </c>
      <c r="BD867" s="12">
        <f>IF(Verso!$B$13=Voies!$B867,1,0)</f>
        <v>0</v>
      </c>
      <c r="BE867" s="12">
        <f>IF(Verso!$B$14=Voies!$B867,1,0)</f>
        <v>0</v>
      </c>
      <c r="BF867" s="12">
        <f>IF(Verso!$B$15=Voies!$B867,1,0)</f>
        <v>0</v>
      </c>
      <c r="BG867" s="12">
        <f>IF(Verso!$B$16=Voies!$B867,1,0)</f>
        <v>0</v>
      </c>
      <c r="BH867" s="12">
        <f>IF(Verso!$B$17=Voies!$B867,1,0)</f>
        <v>0</v>
      </c>
      <c r="BI867" s="557">
        <f t="shared" si="96"/>
        <v>0</v>
      </c>
      <c r="BJ867" s="196">
        <f t="shared" si="97"/>
        <v>867</v>
      </c>
      <c r="BK867" s="196" t="str">
        <f t="shared" si="98"/>
        <v/>
      </c>
      <c r="BL867" s="295" t="str">
        <f t="shared" si="99"/>
        <v/>
      </c>
      <c r="BM867" s="91"/>
    </row>
    <row r="868" spans="1:65" ht="47.25" customHeight="1" x14ac:dyDescent="0.25">
      <c r="A868" s="162" t="str">
        <f>IF(AND(Réputation&gt;Voies!E868-1,OR(C868=TRUE,Calculs!$I$8&gt;0),Air&gt;Voies!J868-1,Eau&gt;Voies!K868-1,Feu&gt;Voies!L868-1,Terre&gt;Voies!M868-1,Vide&gt;Voies!N868-1,Constitution&gt;Voies!O868-1,Volonté&gt;Voies!P868-1,Force&gt;Voies!Q868-1,Perception&gt;Voies!R868-1,Reflexes&gt;Voies!S868-1,Agilité&gt;Voies!T868-1,Intuition&gt;Voies!U868-1,Intelligence&gt;Voies!V868-1,Souillure&gt;Voies!W868-1,Honneur&gt;X868-1,Statut&gt;Y868-1,Gloire&gt;Z868-1,AV868=TRUE),Voies!B868,"")</f>
        <v>Meute de Loups</v>
      </c>
      <c r="B868" s="162" t="s">
        <v>7395</v>
      </c>
      <c r="C868" s="162" t="b">
        <v>1</v>
      </c>
      <c r="D868" s="388" t="s">
        <v>61</v>
      </c>
      <c r="E868" s="13">
        <v>1</v>
      </c>
      <c r="F868" s="199">
        <v>1</v>
      </c>
      <c r="G868" s="199" t="s">
        <v>2049</v>
      </c>
      <c r="H868" s="162" t="s">
        <v>7394</v>
      </c>
      <c r="I868" s="129" t="str">
        <f>IF(B868="","","Rien")</f>
        <v>Rien</v>
      </c>
      <c r="J868" s="146">
        <v>0</v>
      </c>
      <c r="K868" s="147">
        <v>0</v>
      </c>
      <c r="L868" s="148">
        <v>0</v>
      </c>
      <c r="M868" s="149">
        <v>0</v>
      </c>
      <c r="N868" s="150">
        <v>0</v>
      </c>
      <c r="O868" s="130">
        <v>0</v>
      </c>
      <c r="P868" s="130">
        <v>0</v>
      </c>
      <c r="Q868" s="130">
        <v>0</v>
      </c>
      <c r="R868" s="130">
        <v>0</v>
      </c>
      <c r="S868" s="130">
        <v>0</v>
      </c>
      <c r="T868" s="130">
        <v>0</v>
      </c>
      <c r="U868" s="130">
        <v>0</v>
      </c>
      <c r="V868" s="524">
        <v>0</v>
      </c>
      <c r="W868" s="130">
        <v>0</v>
      </c>
      <c r="X868" s="130">
        <v>0</v>
      </c>
      <c r="Y868" s="130">
        <v>0</v>
      </c>
      <c r="Z868" s="130">
        <v>0</v>
      </c>
      <c r="AA868" s="158" t="s">
        <v>2078</v>
      </c>
      <c r="AB868" s="158"/>
      <c r="AC868" s="158"/>
      <c r="AD868" s="158"/>
      <c r="AE868" s="158" t="b">
        <f>IF(AB868="",TRUE,IF(IF(AC868="",VLOOKUP(AB868,Calculs!$A$19:$S$425,19,FALSE),VLOOKUP(AC868,Calculs!$A$19:$S$425,19,FALSE))&gt;=AD868,TRUE,FALSE))</f>
        <v>1</v>
      </c>
      <c r="AF868" s="158"/>
      <c r="AG868" s="158"/>
      <c r="AH868" s="158"/>
      <c r="AI868" s="158" t="b">
        <f>IF(AF868="",TRUE,IF(IF(AG868="",VLOOKUP(AF868,Calculs!$A$19:$S$425,19,FALSE),VLOOKUP(AG868,Calculs!$A$19:$S$425,19,FALSE))&gt;=AH868,TRUE,FALSE))</f>
        <v>1</v>
      </c>
      <c r="AJ868" s="158"/>
      <c r="AK868" s="158"/>
      <c r="AL868" s="158"/>
      <c r="AM868" s="158" t="b">
        <f>IF(AJ868="",TRUE,IF(IF(AK868="",VLOOKUP(AJ868,Calculs!$A$19:$S$425,19,FALSE),VLOOKUP(AK868,Calculs!$A$19:$S$425,19,FALSE))&gt;=AL868,TRUE,FALSE))</f>
        <v>1</v>
      </c>
      <c r="AN868" s="158"/>
      <c r="AO868" s="158"/>
      <c r="AP868" s="158"/>
      <c r="AQ868" s="158" t="b">
        <f>IF(AN868="",TRUE,IF(IF(AO868="",VLOOKUP(AN868,Calculs!$A$19:$S$425,19,FALSE),VLOOKUP(AO868,Calculs!$A$19:$S$425,19,FALSE))&gt;=AP868,TRUE,FALSE))</f>
        <v>1</v>
      </c>
      <c r="AR868" s="158"/>
      <c r="AS868" s="158" t="b">
        <f>IF(AR868="",TRUE,IF(VLOOKUP(AR868,Calculs!$A$427:$G$738,7,FALSE)&gt;0,TRUE,FALSE))</f>
        <v>1</v>
      </c>
      <c r="AT868" s="158"/>
      <c r="AU868" s="158" t="b">
        <f>IF(AT868="",TRUE,IF(VLOOKUP(AT868,Calculs!$A$740:$G$912,7,FALSE)&gt;0,TRUE,FALSE))</f>
        <v>1</v>
      </c>
      <c r="AV868" s="158" t="b">
        <f t="shared" si="95"/>
        <v>1</v>
      </c>
      <c r="AW868" s="158" t="s">
        <v>2078</v>
      </c>
      <c r="AX868" s="162" t="s">
        <v>7226</v>
      </c>
      <c r="AY868" s="15">
        <v>74</v>
      </c>
      <c r="AZ868" s="555" t="s">
        <v>8719</v>
      </c>
      <c r="BA868" s="559">
        <f>IF(Verso!$B$10=Voies!$B868,1,0)</f>
        <v>0</v>
      </c>
      <c r="BB868" s="12">
        <f>IF(Verso!$B$11=Voies!$B868,1,0)</f>
        <v>0</v>
      </c>
      <c r="BC868" s="12">
        <f>IF(Verso!$B$12=Voies!$B868,1,0)</f>
        <v>0</v>
      </c>
      <c r="BD868" s="12">
        <f>IF(Verso!$B$13=Voies!$B868,1,0)</f>
        <v>0</v>
      </c>
      <c r="BE868" s="12">
        <f>IF(Verso!$B$14=Voies!$B868,1,0)</f>
        <v>0</v>
      </c>
      <c r="BF868" s="12">
        <f>IF(Verso!$B$15=Voies!$B868,1,0)</f>
        <v>0</v>
      </c>
      <c r="BG868" s="12">
        <f>IF(Verso!$B$16=Voies!$B868,1,0)</f>
        <v>0</v>
      </c>
      <c r="BH868" s="12">
        <f>IF(Verso!$B$17=Voies!$B868,1,0)</f>
        <v>0</v>
      </c>
      <c r="BI868" s="557">
        <f t="shared" si="96"/>
        <v>0</v>
      </c>
      <c r="BJ868" s="196">
        <f t="shared" si="97"/>
        <v>868</v>
      </c>
      <c r="BK868" s="196" t="str">
        <f t="shared" si="98"/>
        <v/>
      </c>
      <c r="BL868" s="295" t="str">
        <f t="shared" si="99"/>
        <v/>
      </c>
    </row>
    <row r="869" spans="1:65" ht="47.25" customHeight="1" x14ac:dyDescent="0.25">
      <c r="A869" s="162" t="str">
        <f>IF(AND(Réputation&gt;Voies!E869-1,OR(C869=TRUE,Calculs!$I$8&gt;0),Air&gt;Voies!J869-1,Eau&gt;Voies!K869-1,Feu&gt;Voies!L869-1,Terre&gt;Voies!M869-1,Vide&gt;Voies!N869-1,Constitution&gt;Voies!O869-1,Volonté&gt;Voies!P869-1,Force&gt;Voies!Q869-1,Perception&gt;Voies!R869-1,Reflexes&gt;Voies!S869-1,Agilité&gt;Voies!T869-1,Intuition&gt;Voies!U869-1,Intelligence&gt;Voies!V869-1,Souillure&gt;Voies!W869-1,Honneur&gt;X869-1,Statut&gt;Y869-1,Gloire&gt;Z869-1,AV869=TRUE),Voies!B869,"")</f>
        <v>Crocs de Pierre</v>
      </c>
      <c r="B869" s="162" t="s">
        <v>7399</v>
      </c>
      <c r="C869" s="162" t="b">
        <v>1</v>
      </c>
      <c r="D869" s="388" t="s">
        <v>61</v>
      </c>
      <c r="E869" s="13">
        <v>1</v>
      </c>
      <c r="F869" s="199">
        <v>1</v>
      </c>
      <c r="G869" s="199" t="s">
        <v>2049</v>
      </c>
      <c r="H869" s="162" t="s">
        <v>7398</v>
      </c>
      <c r="I869" s="129" t="str">
        <f>IF(B869="","","Rien")</f>
        <v>Rien</v>
      </c>
      <c r="J869" s="146">
        <v>0</v>
      </c>
      <c r="K869" s="147">
        <v>0</v>
      </c>
      <c r="L869" s="148">
        <v>0</v>
      </c>
      <c r="M869" s="149">
        <v>0</v>
      </c>
      <c r="N869" s="150">
        <v>0</v>
      </c>
      <c r="O869" s="130">
        <v>0</v>
      </c>
      <c r="P869" s="130">
        <v>0</v>
      </c>
      <c r="Q869" s="130">
        <v>0</v>
      </c>
      <c r="R869" s="130">
        <v>0</v>
      </c>
      <c r="S869" s="130">
        <v>0</v>
      </c>
      <c r="T869" s="130">
        <v>0</v>
      </c>
      <c r="U869" s="130">
        <v>0</v>
      </c>
      <c r="V869" s="524">
        <v>0</v>
      </c>
      <c r="W869" s="130">
        <v>0</v>
      </c>
      <c r="X869" s="130">
        <v>0</v>
      </c>
      <c r="Y869" s="130">
        <v>0</v>
      </c>
      <c r="Z869" s="130">
        <v>0</v>
      </c>
      <c r="AA869" s="158" t="s">
        <v>2078</v>
      </c>
      <c r="AB869" s="158"/>
      <c r="AC869" s="158"/>
      <c r="AD869" s="158"/>
      <c r="AE869" s="158" t="b">
        <f>IF(AB869="",TRUE,IF(IF(AC869="",VLOOKUP(AB869,Calculs!$A$19:$S$425,19,FALSE),VLOOKUP(AC869,Calculs!$A$19:$S$425,19,FALSE))&gt;=AD869,TRUE,FALSE))</f>
        <v>1</v>
      </c>
      <c r="AF869" s="158"/>
      <c r="AG869" s="158"/>
      <c r="AH869" s="158"/>
      <c r="AI869" s="158" t="b">
        <f>IF(AF869="",TRUE,IF(IF(AG869="",VLOOKUP(AF869,Calculs!$A$19:$S$425,19,FALSE),VLOOKUP(AG869,Calculs!$A$19:$S$425,19,FALSE))&gt;=AH869,TRUE,FALSE))</f>
        <v>1</v>
      </c>
      <c r="AJ869" s="158"/>
      <c r="AK869" s="158"/>
      <c r="AL869" s="158"/>
      <c r="AM869" s="158" t="b">
        <f>IF(AJ869="",TRUE,IF(IF(AK869="",VLOOKUP(AJ869,Calculs!$A$19:$S$425,19,FALSE),VLOOKUP(AK869,Calculs!$A$19:$S$425,19,FALSE))&gt;=AL869,TRUE,FALSE))</f>
        <v>1</v>
      </c>
      <c r="AN869" s="158"/>
      <c r="AO869" s="158"/>
      <c r="AP869" s="158"/>
      <c r="AQ869" s="158" t="b">
        <f>IF(AN869="",TRUE,IF(IF(AO869="",VLOOKUP(AN869,Calculs!$A$19:$S$425,19,FALSE),VLOOKUP(AO869,Calculs!$A$19:$S$425,19,FALSE))&gt;=AP869,TRUE,FALSE))</f>
        <v>1</v>
      </c>
      <c r="AR869" s="158"/>
      <c r="AS869" s="158" t="b">
        <f>IF(AR869="",TRUE,IF(VLOOKUP(AR869,Calculs!$A$427:$G$738,7,FALSE)&gt;0,TRUE,FALSE))</f>
        <v>1</v>
      </c>
      <c r="AT869" s="158"/>
      <c r="AU869" s="158" t="b">
        <f>IF(AT869="",TRUE,IF(VLOOKUP(AT869,Calculs!$A$740:$G$912,7,FALSE)&gt;0,TRUE,FALSE))</f>
        <v>1</v>
      </c>
      <c r="AV869" s="158" t="b">
        <f t="shared" si="95"/>
        <v>1</v>
      </c>
      <c r="AW869" s="158" t="s">
        <v>2078</v>
      </c>
      <c r="AX869" s="162" t="s">
        <v>7226</v>
      </c>
      <c r="AY869" s="15">
        <v>75</v>
      </c>
      <c r="AZ869" s="555" t="s">
        <v>7400</v>
      </c>
      <c r="BA869" s="559">
        <f>IF(Verso!$B$10=Voies!$B869,1,0)</f>
        <v>0</v>
      </c>
      <c r="BB869" s="12">
        <f>IF(Verso!$B$11=Voies!$B869,1,0)</f>
        <v>0</v>
      </c>
      <c r="BC869" s="12">
        <f>IF(Verso!$B$12=Voies!$B869,1,0)</f>
        <v>0</v>
      </c>
      <c r="BD869" s="12">
        <f>IF(Verso!$B$13=Voies!$B869,1,0)</f>
        <v>0</v>
      </c>
      <c r="BE869" s="12">
        <f>IF(Verso!$B$14=Voies!$B869,1,0)</f>
        <v>0</v>
      </c>
      <c r="BF869" s="12">
        <f>IF(Verso!$B$15=Voies!$B869,1,0)</f>
        <v>0</v>
      </c>
      <c r="BG869" s="12">
        <f>IF(Verso!$B$16=Voies!$B869,1,0)</f>
        <v>0</v>
      </c>
      <c r="BH869" s="12">
        <f>IF(Verso!$B$17=Voies!$B869,1,0)</f>
        <v>0</v>
      </c>
      <c r="BI869" s="557">
        <f t="shared" si="96"/>
        <v>0</v>
      </c>
      <c r="BJ869" s="196">
        <f t="shared" si="97"/>
        <v>869</v>
      </c>
      <c r="BK869" s="196" t="str">
        <f t="shared" si="98"/>
        <v/>
      </c>
      <c r="BL869" s="295" t="str">
        <f t="shared" si="99"/>
        <v/>
      </c>
    </row>
    <row r="870" spans="1:65" ht="47.25" customHeight="1" x14ac:dyDescent="0.25">
      <c r="A870" s="162" t="str">
        <f>IF(AND(Réputation&gt;Voies!E870-1,OR(C870=TRUE,Calculs!$I$8&gt;0),Air&gt;Voies!J870-1,Eau&gt;Voies!K870-1,Feu&gt;Voies!L870-1,Terre&gt;Voies!M870-1,Vide&gt;Voies!N870-1,Constitution&gt;Voies!O870-1,Volonté&gt;Voies!P870-1,Force&gt;Voies!Q870-1,Perception&gt;Voies!R870-1,Reflexes&gt;Voies!S870-1,Agilité&gt;Voies!T870-1,Intuition&gt;Voies!U870-1,Intelligence&gt;Voies!V870-1,Souillure&gt;Voies!W870-1,Honneur&gt;X870-1,Statut&gt;Y870-1,Gloire&gt;Z870-1,AV870=TRUE),Voies!B870,"")</f>
        <v>Grâce des Ombres</v>
      </c>
      <c r="B870" s="162" t="s">
        <v>3717</v>
      </c>
      <c r="C870" s="162" t="b">
        <v>1</v>
      </c>
      <c r="D870" s="388" t="s">
        <v>61</v>
      </c>
      <c r="E870" s="13">
        <v>1</v>
      </c>
      <c r="F870" s="199">
        <v>1</v>
      </c>
      <c r="G870" s="199" t="s">
        <v>2052</v>
      </c>
      <c r="H870" s="162" t="s">
        <v>278</v>
      </c>
      <c r="I870" s="129" t="s">
        <v>3718</v>
      </c>
      <c r="J870" s="146">
        <v>0</v>
      </c>
      <c r="K870" s="147">
        <v>0</v>
      </c>
      <c r="L870" s="148">
        <v>0</v>
      </c>
      <c r="M870" s="149">
        <v>0</v>
      </c>
      <c r="N870" s="150">
        <v>0</v>
      </c>
      <c r="O870" s="130">
        <v>0</v>
      </c>
      <c r="P870" s="130">
        <v>0</v>
      </c>
      <c r="Q870" s="130">
        <v>0</v>
      </c>
      <c r="R870" s="130">
        <v>0</v>
      </c>
      <c r="S870" s="130">
        <v>0</v>
      </c>
      <c r="T870" s="130">
        <v>0</v>
      </c>
      <c r="U870" s="130">
        <v>0</v>
      </c>
      <c r="V870" s="524">
        <v>0</v>
      </c>
      <c r="W870" s="130">
        <v>0</v>
      </c>
      <c r="X870" s="130">
        <v>0</v>
      </c>
      <c r="Y870" s="130">
        <v>0</v>
      </c>
      <c r="Z870" s="130">
        <v>0</v>
      </c>
      <c r="AA870" s="158" t="s">
        <v>2078</v>
      </c>
      <c r="AB870" s="158"/>
      <c r="AC870" s="158"/>
      <c r="AD870" s="158"/>
      <c r="AE870" s="158" t="b">
        <f>IF(AB870="",TRUE,IF(IF(AC870="",VLOOKUP(AB870,Calculs!$A$19:$S$425,19,FALSE),VLOOKUP(AC870,Calculs!$A$19:$S$425,19,FALSE))&gt;=AD870,TRUE,FALSE))</f>
        <v>1</v>
      </c>
      <c r="AF870" s="158"/>
      <c r="AG870" s="158"/>
      <c r="AH870" s="158"/>
      <c r="AI870" s="158" t="b">
        <f>IF(AF870="",TRUE,IF(IF(AG870="",VLOOKUP(AF870,Calculs!$A$19:$S$425,19,FALSE),VLOOKUP(AG870,Calculs!$A$19:$S$425,19,FALSE))&gt;=AH870,TRUE,FALSE))</f>
        <v>1</v>
      </c>
      <c r="AJ870" s="158"/>
      <c r="AK870" s="158"/>
      <c r="AL870" s="158"/>
      <c r="AM870" s="158" t="b">
        <f>IF(AJ870="",TRUE,IF(IF(AK870="",VLOOKUP(AJ870,Calculs!$A$19:$S$425,19,FALSE),VLOOKUP(AK870,Calculs!$A$19:$S$425,19,FALSE))&gt;=AL870,TRUE,FALSE))</f>
        <v>1</v>
      </c>
      <c r="AN870" s="158"/>
      <c r="AO870" s="158"/>
      <c r="AP870" s="158"/>
      <c r="AQ870" s="158" t="b">
        <f>IF(AN870="",TRUE,IF(IF(AO870="",VLOOKUP(AN870,Calculs!$A$19:$S$425,19,FALSE),VLOOKUP(AO870,Calculs!$A$19:$S$425,19,FALSE))&gt;=AP870,TRUE,FALSE))</f>
        <v>1</v>
      </c>
      <c r="AR870" s="158"/>
      <c r="AS870" s="158" t="b">
        <f>IF(AR870="",TRUE,IF(VLOOKUP(AR870,Calculs!$A$427:$G$738,7,FALSE)&gt;0,TRUE,FALSE))</f>
        <v>1</v>
      </c>
      <c r="AT870" s="158"/>
      <c r="AU870" s="158" t="b">
        <f>IF(AT870="",TRUE,IF(VLOOKUP(AT870,Calculs!$A$740:$G$912,7,FALSE)&gt;0,TRUE,FALSE))</f>
        <v>1</v>
      </c>
      <c r="AV870" s="158" t="b">
        <f t="shared" si="95"/>
        <v>1</v>
      </c>
      <c r="AW870" s="158" t="s">
        <v>2078</v>
      </c>
      <c r="AX870" s="162" t="s">
        <v>2076</v>
      </c>
      <c r="AY870" s="151">
        <v>103</v>
      </c>
      <c r="AZ870" s="555" t="s">
        <v>3719</v>
      </c>
      <c r="BA870" s="559">
        <f>IF(Verso!$B$10=Voies!$B870,1,0)</f>
        <v>0</v>
      </c>
      <c r="BB870" s="12">
        <f>IF(Verso!$B$11=Voies!$B870,1,0)</f>
        <v>0</v>
      </c>
      <c r="BC870" s="12">
        <f>IF(Verso!$B$12=Voies!$B870,1,0)</f>
        <v>0</v>
      </c>
      <c r="BD870" s="12">
        <f>IF(Verso!$B$13=Voies!$B870,1,0)</f>
        <v>0</v>
      </c>
      <c r="BE870" s="12">
        <f>IF(Verso!$B$14=Voies!$B870,1,0)</f>
        <v>0</v>
      </c>
      <c r="BF870" s="12">
        <f>IF(Verso!$B$15=Voies!$B870,1,0)</f>
        <v>0</v>
      </c>
      <c r="BG870" s="12">
        <f>IF(Verso!$B$16=Voies!$B870,1,0)</f>
        <v>0</v>
      </c>
      <c r="BH870" s="12">
        <f>IF(Verso!$B$17=Voies!$B870,1,0)</f>
        <v>0</v>
      </c>
      <c r="BI870" s="557">
        <f t="shared" si="96"/>
        <v>0</v>
      </c>
      <c r="BJ870" s="196">
        <f t="shared" si="97"/>
        <v>870</v>
      </c>
      <c r="BK870" s="196" t="str">
        <f t="shared" si="98"/>
        <v/>
      </c>
      <c r="BL870" s="295" t="str">
        <f t="shared" si="99"/>
        <v/>
      </c>
    </row>
    <row r="871" spans="1:65" s="196" customFormat="1" ht="47.25" customHeight="1" x14ac:dyDescent="0.25">
      <c r="A871" s="162" t="str">
        <f>IF(AND(Réputation&gt;Voies!E871-1,OR(C871=TRUE,Calculs!$I$8&gt;0),Air&gt;Voies!J871-1,Eau&gt;Voies!K871-1,Feu&gt;Voies!L871-1,Terre&gt;Voies!M871-1,Vide&gt;Voies!N871-1,Constitution&gt;Voies!O871-1,Volonté&gt;Voies!P871-1,Force&gt;Voies!Q871-1,Perception&gt;Voies!R871-1,Reflexes&gt;Voies!S871-1,Agilité&gt;Voies!T871-1,Intuition&gt;Voies!U871-1,Intelligence&gt;Voies!V871-1,Souillure&gt;Voies!W871-1,Honneur&gt;X871-1,Statut&gt;Y871-1,Gloire&gt;Z871-1,AV871=TRUE),Voies!B871,"")</f>
        <v>La Vengeance du Peuple</v>
      </c>
      <c r="B871" s="162" t="s">
        <v>6201</v>
      </c>
      <c r="C871" s="162" t="b">
        <v>1</v>
      </c>
      <c r="D871" s="388" t="s">
        <v>61</v>
      </c>
      <c r="E871" s="201">
        <v>1</v>
      </c>
      <c r="F871" s="201">
        <v>1</v>
      </c>
      <c r="G871" s="201" t="s">
        <v>2060</v>
      </c>
      <c r="H871" s="219" t="s">
        <v>6200</v>
      </c>
      <c r="I871" s="129" t="str">
        <f>IF(B871="","","Rien")</f>
        <v>Rien</v>
      </c>
      <c r="J871" s="146">
        <v>0</v>
      </c>
      <c r="K871" s="147">
        <v>0</v>
      </c>
      <c r="L871" s="148">
        <v>0</v>
      </c>
      <c r="M871" s="149">
        <v>0</v>
      </c>
      <c r="N871" s="150">
        <v>0</v>
      </c>
      <c r="O871" s="130">
        <v>0</v>
      </c>
      <c r="P871" s="130">
        <v>0</v>
      </c>
      <c r="Q871" s="130">
        <v>0</v>
      </c>
      <c r="R871" s="130">
        <v>0</v>
      </c>
      <c r="S871" s="130">
        <v>0</v>
      </c>
      <c r="T871" s="130">
        <v>0</v>
      </c>
      <c r="U871" s="130">
        <v>0</v>
      </c>
      <c r="V871" s="524">
        <v>0</v>
      </c>
      <c r="W871" s="130">
        <v>0</v>
      </c>
      <c r="X871" s="130">
        <v>0</v>
      </c>
      <c r="Y871" s="130">
        <v>0</v>
      </c>
      <c r="Z871" s="130">
        <v>0</v>
      </c>
      <c r="AA871" s="158" t="s">
        <v>2078</v>
      </c>
      <c r="AB871" s="158"/>
      <c r="AC871" s="158"/>
      <c r="AD871" s="158"/>
      <c r="AE871" s="158" t="b">
        <f>IF(AB871="",TRUE,IF(IF(AC871="",VLOOKUP(AB871,Calculs!$A$19:$S$425,19,FALSE),VLOOKUP(AC871,Calculs!$A$19:$S$425,19,FALSE))&gt;=AD871,TRUE,FALSE))</f>
        <v>1</v>
      </c>
      <c r="AF871" s="158"/>
      <c r="AG871" s="158"/>
      <c r="AH871" s="158"/>
      <c r="AI871" s="158" t="b">
        <f>IF(AF871="",TRUE,IF(IF(AG871="",VLOOKUP(AF871,Calculs!$A$19:$S$425,19,FALSE),VLOOKUP(AG871,Calculs!$A$19:$S$425,19,FALSE))&gt;=AH871,TRUE,FALSE))</f>
        <v>1</v>
      </c>
      <c r="AJ871" s="158"/>
      <c r="AK871" s="158"/>
      <c r="AL871" s="158"/>
      <c r="AM871" s="158" t="b">
        <f>IF(AJ871="",TRUE,IF(IF(AK871="",VLOOKUP(AJ871,Calculs!$A$19:$S$425,19,FALSE),VLOOKUP(AK871,Calculs!$A$19:$S$425,19,FALSE))&gt;=AL871,TRUE,FALSE))</f>
        <v>1</v>
      </c>
      <c r="AN871" s="158"/>
      <c r="AO871" s="158"/>
      <c r="AP871" s="158"/>
      <c r="AQ871" s="158" t="b">
        <f>IF(AN871="",TRUE,IF(IF(AO871="",VLOOKUP(AN871,Calculs!$A$19:$S$425,19,FALSE),VLOOKUP(AO871,Calculs!$A$19:$S$425,19,FALSE))&gt;=AP871,TRUE,FALSE))</f>
        <v>1</v>
      </c>
      <c r="AR871" s="158"/>
      <c r="AS871" s="158" t="b">
        <f>IF(AR871="",TRUE,IF(VLOOKUP(AR871,Calculs!$A$427:$G$738,7,FALSE)&gt;0,TRUE,FALSE))</f>
        <v>1</v>
      </c>
      <c r="AT871" s="158"/>
      <c r="AU871" s="158" t="b">
        <f>IF(AT871="",TRUE,IF(VLOOKUP(AT871,Calculs!$A$740:$G$912,7,FALSE)&gt;0,TRUE,FALSE))</f>
        <v>1</v>
      </c>
      <c r="AV871" s="158" t="b">
        <f t="shared" si="95"/>
        <v>1</v>
      </c>
      <c r="AW871" s="158" t="s">
        <v>6202</v>
      </c>
      <c r="AX871" s="162" t="s">
        <v>6192</v>
      </c>
      <c r="AY871" s="15">
        <v>182</v>
      </c>
      <c r="AZ871" s="566" t="s">
        <v>6203</v>
      </c>
      <c r="BA871" s="559">
        <f>IF(Verso!$B$10=Voies!$B871,1,0)</f>
        <v>0</v>
      </c>
      <c r="BB871" s="12">
        <f>IF(Verso!$B$11=Voies!$B871,1,0)</f>
        <v>0</v>
      </c>
      <c r="BC871" s="12">
        <f>IF(Verso!$B$12=Voies!$B871,1,0)</f>
        <v>0</v>
      </c>
      <c r="BD871" s="12">
        <f>IF(Verso!$B$13=Voies!$B871,1,0)</f>
        <v>0</v>
      </c>
      <c r="BE871" s="12">
        <f>IF(Verso!$B$14=Voies!$B871,1,0)</f>
        <v>0</v>
      </c>
      <c r="BF871" s="12">
        <f>IF(Verso!$B$15=Voies!$B871,1,0)</f>
        <v>0</v>
      </c>
      <c r="BG871" s="12">
        <f>IF(Verso!$B$16=Voies!$B871,1,0)</f>
        <v>0</v>
      </c>
      <c r="BH871" s="12">
        <f>IF(Verso!$B$17=Voies!$B871,1,0)</f>
        <v>0</v>
      </c>
      <c r="BI871" s="557">
        <f t="shared" si="96"/>
        <v>0</v>
      </c>
      <c r="BJ871" s="196">
        <f t="shared" si="97"/>
        <v>871</v>
      </c>
      <c r="BK871" s="196" t="str">
        <f t="shared" si="98"/>
        <v/>
      </c>
      <c r="BL871" s="295" t="str">
        <f t="shared" si="99"/>
        <v/>
      </c>
      <c r="BM871" s="91"/>
    </row>
    <row r="872" spans="1:65" ht="47.25" customHeight="1" x14ac:dyDescent="0.25">
      <c r="A872" s="162" t="str">
        <f>IF(AND(Réputation&gt;Voies!E872-1,OR(C872=TRUE,Calculs!$I$8&gt;0),Air&gt;Voies!J872-1,Eau&gt;Voies!K872-1,Feu&gt;Voies!L872-1,Terre&gt;Voies!M872-1,Vide&gt;Voies!N872-1,Constitution&gt;Voies!O872-1,Volonté&gt;Voies!P872-1,Force&gt;Voies!Q872-1,Perception&gt;Voies!R872-1,Reflexes&gt;Voies!S872-1,Agilité&gt;Voies!T872-1,Intuition&gt;Voies!U872-1,Intelligence&gt;Voies!V872-1,Souillure&gt;Voies!W872-1,Honneur&gt;X872-1,Statut&gt;Y872-1,Gloire&gt;Z872-1,AV872=TRUE),Voies!B872,"")</f>
        <v>Caresse du Vide (Mystique)</v>
      </c>
      <c r="B872" s="162" t="s">
        <v>6214</v>
      </c>
      <c r="C872" s="162" t="b">
        <v>1</v>
      </c>
      <c r="D872" s="388" t="s">
        <v>61</v>
      </c>
      <c r="E872" s="199">
        <v>1</v>
      </c>
      <c r="F872" s="199">
        <v>1</v>
      </c>
      <c r="G872" s="199" t="s">
        <v>2048</v>
      </c>
      <c r="H872" s="162" t="s">
        <v>6210</v>
      </c>
      <c r="I872" s="129" t="str">
        <f>IF(B872="","","Rien")</f>
        <v>Rien</v>
      </c>
      <c r="J872" s="146">
        <v>0</v>
      </c>
      <c r="K872" s="147">
        <v>0</v>
      </c>
      <c r="L872" s="148">
        <v>0</v>
      </c>
      <c r="M872" s="149">
        <v>0</v>
      </c>
      <c r="N872" s="150">
        <v>0</v>
      </c>
      <c r="O872" s="130">
        <v>0</v>
      </c>
      <c r="P872" s="130">
        <v>0</v>
      </c>
      <c r="Q872" s="130">
        <v>0</v>
      </c>
      <c r="R872" s="130">
        <v>0</v>
      </c>
      <c r="S872" s="130">
        <v>0</v>
      </c>
      <c r="T872" s="130">
        <v>0</v>
      </c>
      <c r="U872" s="130">
        <v>0</v>
      </c>
      <c r="V872" s="524">
        <v>0</v>
      </c>
      <c r="W872" s="130">
        <v>0</v>
      </c>
      <c r="X872" s="130">
        <v>0</v>
      </c>
      <c r="Y872" s="130">
        <v>0</v>
      </c>
      <c r="Z872" s="130">
        <v>0</v>
      </c>
      <c r="AA872" s="158" t="s">
        <v>2078</v>
      </c>
      <c r="AB872" s="158"/>
      <c r="AC872" s="158"/>
      <c r="AD872" s="158"/>
      <c r="AE872" s="158" t="b">
        <f>IF(AB872="",TRUE,IF(IF(AC872="",VLOOKUP(AB872,Calculs!$A$19:$S$425,19,FALSE),VLOOKUP(AC872,Calculs!$A$19:$S$425,19,FALSE))&gt;=AD872,TRUE,FALSE))</f>
        <v>1</v>
      </c>
      <c r="AF872" s="158"/>
      <c r="AG872" s="158"/>
      <c r="AH872" s="158"/>
      <c r="AI872" s="158" t="b">
        <f>IF(AF872="",TRUE,IF(IF(AG872="",VLOOKUP(AF872,Calculs!$A$19:$S$425,19,FALSE),VLOOKUP(AG872,Calculs!$A$19:$S$425,19,FALSE))&gt;=AH872,TRUE,FALSE))</f>
        <v>1</v>
      </c>
      <c r="AJ872" s="158"/>
      <c r="AK872" s="158"/>
      <c r="AL872" s="158"/>
      <c r="AM872" s="158" t="b">
        <f>IF(AJ872="",TRUE,IF(IF(AK872="",VLOOKUP(AJ872,Calculs!$A$19:$S$425,19,FALSE),VLOOKUP(AK872,Calculs!$A$19:$S$425,19,FALSE))&gt;=AL872,TRUE,FALSE))</f>
        <v>1</v>
      </c>
      <c r="AN872" s="158"/>
      <c r="AO872" s="158"/>
      <c r="AP872" s="158"/>
      <c r="AQ872" s="158" t="b">
        <f>IF(AN872="",TRUE,IF(IF(AO872="",VLOOKUP(AN872,Calculs!$A$19:$S$425,19,FALSE),VLOOKUP(AO872,Calculs!$A$19:$S$425,19,FALSE))&gt;=AP872,TRUE,FALSE))</f>
        <v>1</v>
      </c>
      <c r="AR872" s="158"/>
      <c r="AS872" s="158" t="b">
        <f>IF(AR872="",TRUE,IF(VLOOKUP(AR872,Calculs!$A$427:$G$738,7,FALSE)&gt;0,TRUE,FALSE))</f>
        <v>1</v>
      </c>
      <c r="AT872" s="158"/>
      <c r="AU872" s="158" t="b">
        <f>IF(AT872="",TRUE,IF(VLOOKUP(AT872,Calculs!$A$740:$G$912,7,FALSE)&gt;0,TRUE,FALSE))</f>
        <v>1</v>
      </c>
      <c r="AV872" s="158" t="b">
        <f t="shared" si="95"/>
        <v>1</v>
      </c>
      <c r="AW872" s="158" t="s">
        <v>2078</v>
      </c>
      <c r="AX872" s="162" t="s">
        <v>6192</v>
      </c>
      <c r="AY872" s="15">
        <v>184</v>
      </c>
      <c r="AZ872" s="566" t="s">
        <v>8720</v>
      </c>
      <c r="BA872" s="559">
        <f>IF(Verso!$B$10=Voies!$B872,1,0)</f>
        <v>0</v>
      </c>
      <c r="BB872" s="12">
        <f>IF(Verso!$B$11=Voies!$B872,1,0)</f>
        <v>0</v>
      </c>
      <c r="BC872" s="12">
        <f>IF(Verso!$B$12=Voies!$B872,1,0)</f>
        <v>0</v>
      </c>
      <c r="BD872" s="12">
        <f>IF(Verso!$B$13=Voies!$B872,1,0)</f>
        <v>0</v>
      </c>
      <c r="BE872" s="12">
        <f>IF(Verso!$B$14=Voies!$B872,1,0)</f>
        <v>0</v>
      </c>
      <c r="BF872" s="12">
        <f>IF(Verso!$B$15=Voies!$B872,1,0)</f>
        <v>0</v>
      </c>
      <c r="BG872" s="12">
        <f>IF(Verso!$B$16=Voies!$B872,1,0)</f>
        <v>0</v>
      </c>
      <c r="BH872" s="12">
        <f>IF(Verso!$B$17=Voies!$B872,1,0)</f>
        <v>0</v>
      </c>
      <c r="BI872" s="557">
        <f t="shared" si="96"/>
        <v>0</v>
      </c>
      <c r="BJ872" s="196">
        <f t="shared" si="97"/>
        <v>872</v>
      </c>
      <c r="BK872" s="196" t="str">
        <f t="shared" si="98"/>
        <v/>
      </c>
      <c r="BL872" s="295" t="str">
        <f t="shared" si="99"/>
        <v/>
      </c>
    </row>
    <row r="873" spans="1:65" ht="47.25" customHeight="1" x14ac:dyDescent="0.25">
      <c r="A873" s="162" t="str">
        <f>IF(AND(Réputation&gt;Voies!E873-1,OR(C873=TRUE,Calculs!$I$8&gt;0),Air&gt;Voies!J873-1,Eau&gt;Voies!K873-1,Feu&gt;Voies!L873-1,Terre&gt;Voies!M873-1,Vide&gt;Voies!N873-1,Constitution&gt;Voies!O873-1,Volonté&gt;Voies!P873-1,Force&gt;Voies!Q873-1,Perception&gt;Voies!R873-1,Reflexes&gt;Voies!S873-1,Agilité&gt;Voies!T873-1,Intuition&gt;Voies!U873-1,Intelligence&gt;Voies!V873-1,Souillure&gt;Voies!W873-1,Honneur&gt;X873-1,Statut&gt;Y873-1,Gloire&gt;Z873-1,AV873=TRUE),Voies!B873,"")</f>
        <v>Âme de l'Etudiant</v>
      </c>
      <c r="B873" s="162" t="s">
        <v>2427</v>
      </c>
      <c r="C873" s="162" t="b">
        <v>1</v>
      </c>
      <c r="D873" s="388" t="s">
        <v>61</v>
      </c>
      <c r="E873" s="13">
        <v>1</v>
      </c>
      <c r="F873" s="199">
        <v>1</v>
      </c>
      <c r="G873" s="199" t="s">
        <v>2048</v>
      </c>
      <c r="H873" s="162" t="s">
        <v>274</v>
      </c>
      <c r="I873" s="129" t="str">
        <f>IF(B873="","","Rien")</f>
        <v>Rien</v>
      </c>
      <c r="J873" s="146">
        <v>0</v>
      </c>
      <c r="K873" s="147">
        <v>0</v>
      </c>
      <c r="L873" s="148">
        <v>0</v>
      </c>
      <c r="M873" s="149">
        <v>0</v>
      </c>
      <c r="N873" s="150">
        <v>0</v>
      </c>
      <c r="O873" s="130">
        <v>0</v>
      </c>
      <c r="P873" s="130">
        <v>0</v>
      </c>
      <c r="Q873" s="130">
        <v>0</v>
      </c>
      <c r="R873" s="130">
        <v>0</v>
      </c>
      <c r="S873" s="130">
        <v>0</v>
      </c>
      <c r="T873" s="130">
        <v>0</v>
      </c>
      <c r="U873" s="130">
        <v>0</v>
      </c>
      <c r="V873" s="524">
        <v>0</v>
      </c>
      <c r="W873" s="130">
        <v>0</v>
      </c>
      <c r="X873" s="130">
        <v>0</v>
      </c>
      <c r="Y873" s="130">
        <v>0</v>
      </c>
      <c r="Z873" s="130">
        <v>0</v>
      </c>
      <c r="AA873" s="158" t="s">
        <v>2078</v>
      </c>
      <c r="AB873" s="158"/>
      <c r="AC873" s="158"/>
      <c r="AD873" s="158"/>
      <c r="AE873" s="158" t="b">
        <f>IF(AB873="",TRUE,IF(IF(AC873="",VLOOKUP(AB873,Calculs!$A$19:$S$425,19,FALSE),VLOOKUP(AC873,Calculs!$A$19:$S$425,19,FALSE))&gt;=AD873,TRUE,FALSE))</f>
        <v>1</v>
      </c>
      <c r="AF873" s="158"/>
      <c r="AG873" s="158"/>
      <c r="AH873" s="158"/>
      <c r="AI873" s="158" t="b">
        <f>IF(AF873="",TRUE,IF(IF(AG873="",VLOOKUP(AF873,Calculs!$A$19:$S$425,19,FALSE),VLOOKUP(AG873,Calculs!$A$19:$S$425,19,FALSE))&gt;=AH873,TRUE,FALSE))</f>
        <v>1</v>
      </c>
      <c r="AJ873" s="158"/>
      <c r="AK873" s="158"/>
      <c r="AL873" s="158"/>
      <c r="AM873" s="158" t="b">
        <f>IF(AJ873="",TRUE,IF(IF(AK873="",VLOOKUP(AJ873,Calculs!$A$19:$S$425,19,FALSE),VLOOKUP(AK873,Calculs!$A$19:$S$425,19,FALSE))&gt;=AL873,TRUE,FALSE))</f>
        <v>1</v>
      </c>
      <c r="AN873" s="158"/>
      <c r="AO873" s="158"/>
      <c r="AP873" s="158"/>
      <c r="AQ873" s="158" t="b">
        <f>IF(AN873="",TRUE,IF(IF(AO873="",VLOOKUP(AN873,Calculs!$A$19:$S$425,19,FALSE),VLOOKUP(AO873,Calculs!$A$19:$S$425,19,FALSE))&gt;=AP873,TRUE,FALSE))</f>
        <v>1</v>
      </c>
      <c r="AR873" s="158"/>
      <c r="AS873" s="158" t="b">
        <f>IF(AR873="",TRUE,IF(VLOOKUP(AR873,Calculs!$A$427:$G$738,7,FALSE)&gt;0,TRUE,FALSE))</f>
        <v>1</v>
      </c>
      <c r="AT873" s="158"/>
      <c r="AU873" s="158" t="b">
        <f>IF(AT873="",TRUE,IF(VLOOKUP(AT873,Calculs!$A$740:$G$912,7,FALSE)&gt;0,TRUE,FALSE))</f>
        <v>1</v>
      </c>
      <c r="AV873" s="158" t="b">
        <f t="shared" si="95"/>
        <v>1</v>
      </c>
      <c r="AW873" s="158" t="s">
        <v>2078</v>
      </c>
      <c r="AX873" s="162" t="s">
        <v>2075</v>
      </c>
      <c r="AY873" s="15">
        <v>207</v>
      </c>
      <c r="AZ873" s="566" t="s">
        <v>2432</v>
      </c>
      <c r="BA873" s="559">
        <f>IF(Verso!$B$10=Voies!$B873,1,0)</f>
        <v>0</v>
      </c>
      <c r="BB873" s="12">
        <f>IF(Verso!$B$11=Voies!$B873,1,0)</f>
        <v>0</v>
      </c>
      <c r="BC873" s="12">
        <f>IF(Verso!$B$12=Voies!$B873,1,0)</f>
        <v>0</v>
      </c>
      <c r="BD873" s="12">
        <f>IF(Verso!$B$13=Voies!$B873,1,0)</f>
        <v>0</v>
      </c>
      <c r="BE873" s="12">
        <f>IF(Verso!$B$14=Voies!$B873,1,0)</f>
        <v>0</v>
      </c>
      <c r="BF873" s="12">
        <f>IF(Verso!$B$15=Voies!$B873,1,0)</f>
        <v>0</v>
      </c>
      <c r="BG873" s="12">
        <f>IF(Verso!$B$16=Voies!$B873,1,0)</f>
        <v>0</v>
      </c>
      <c r="BH873" s="12">
        <f>IF(Verso!$B$17=Voies!$B873,1,0)</f>
        <v>0</v>
      </c>
      <c r="BI873" s="557">
        <f t="shared" si="96"/>
        <v>0</v>
      </c>
      <c r="BJ873" s="196">
        <f t="shared" si="97"/>
        <v>873</v>
      </c>
      <c r="BK873" s="196" t="str">
        <f t="shared" si="98"/>
        <v/>
      </c>
      <c r="BL873" s="295" t="str">
        <f t="shared" si="99"/>
        <v/>
      </c>
    </row>
    <row r="874" spans="1:65" ht="47.25" customHeight="1" x14ac:dyDescent="0.25">
      <c r="A874" s="162" t="str">
        <f>IF(AND(Réputation&gt;Voies!E874-1,OR(C874=TRUE,Calculs!$I$8&gt;0),Air&gt;Voies!J874-1,Eau&gt;Voies!K874-1,Feu&gt;Voies!L874-1,Terre&gt;Voies!M874-1,Vide&gt;Voies!N874-1,Constitution&gt;Voies!O874-1,Volonté&gt;Voies!P874-1,Force&gt;Voies!Q874-1,Perception&gt;Voies!R874-1,Reflexes&gt;Voies!S874-1,Agilité&gt;Voies!T874-1,Intuition&gt;Voies!U874-1,Intelligence&gt;Voies!V874-1,Souillure&gt;Voies!W874-1,Honneur&gt;X874-1,Statut&gt;Y874-1,Gloire&gt;Z874-1,AV874=TRUE),Voies!B874,"")</f>
        <v>La Voie de la Discipline</v>
      </c>
      <c r="B874" s="162" t="s">
        <v>2428</v>
      </c>
      <c r="C874" s="162" t="b">
        <v>1</v>
      </c>
      <c r="D874" s="388" t="s">
        <v>61</v>
      </c>
      <c r="E874" s="199">
        <v>1</v>
      </c>
      <c r="F874" s="199">
        <v>1</v>
      </c>
      <c r="G874" s="199" t="s">
        <v>2048</v>
      </c>
      <c r="H874" s="162" t="s">
        <v>281</v>
      </c>
      <c r="I874" s="129" t="str">
        <f>IF(B874="","","Rien")</f>
        <v>Rien</v>
      </c>
      <c r="J874" s="146">
        <v>0</v>
      </c>
      <c r="K874" s="147">
        <v>0</v>
      </c>
      <c r="L874" s="148">
        <v>0</v>
      </c>
      <c r="M874" s="149">
        <v>0</v>
      </c>
      <c r="N874" s="150">
        <v>0</v>
      </c>
      <c r="O874" s="130">
        <v>0</v>
      </c>
      <c r="P874" s="130">
        <v>0</v>
      </c>
      <c r="Q874" s="130">
        <v>0</v>
      </c>
      <c r="R874" s="130">
        <v>0</v>
      </c>
      <c r="S874" s="130">
        <v>0</v>
      </c>
      <c r="T874" s="130">
        <v>0</v>
      </c>
      <c r="U874" s="130">
        <v>0</v>
      </c>
      <c r="V874" s="524">
        <v>0</v>
      </c>
      <c r="W874" s="130">
        <v>0</v>
      </c>
      <c r="X874" s="130">
        <v>0</v>
      </c>
      <c r="Y874" s="130">
        <v>0</v>
      </c>
      <c r="Z874" s="130">
        <v>0</v>
      </c>
      <c r="AA874" s="158" t="s">
        <v>2078</v>
      </c>
      <c r="AB874" s="158"/>
      <c r="AC874" s="158"/>
      <c r="AD874" s="158"/>
      <c r="AE874" s="158" t="b">
        <f>IF(AB874="",TRUE,IF(IF(AC874="",VLOOKUP(AB874,Calculs!$A$19:$S$425,19,FALSE),VLOOKUP(AC874,Calculs!$A$19:$S$425,19,FALSE))&gt;=AD874,TRUE,FALSE))</f>
        <v>1</v>
      </c>
      <c r="AF874" s="158"/>
      <c r="AG874" s="158"/>
      <c r="AH874" s="158"/>
      <c r="AI874" s="158" t="b">
        <f>IF(AF874="",TRUE,IF(IF(AG874="",VLOOKUP(AF874,Calculs!$A$19:$S$425,19,FALSE),VLOOKUP(AG874,Calculs!$A$19:$S$425,19,FALSE))&gt;=AH874,TRUE,FALSE))</f>
        <v>1</v>
      </c>
      <c r="AJ874" s="158"/>
      <c r="AK874" s="158"/>
      <c r="AL874" s="158"/>
      <c r="AM874" s="158" t="b">
        <f>IF(AJ874="",TRUE,IF(IF(AK874="",VLOOKUP(AJ874,Calculs!$A$19:$S$425,19,FALSE),VLOOKUP(AK874,Calculs!$A$19:$S$425,19,FALSE))&gt;=AL874,TRUE,FALSE))</f>
        <v>1</v>
      </c>
      <c r="AN874" s="158"/>
      <c r="AO874" s="158"/>
      <c r="AP874" s="158"/>
      <c r="AQ874" s="158" t="b">
        <f>IF(AN874="",TRUE,IF(IF(AO874="",VLOOKUP(AN874,Calculs!$A$19:$S$425,19,FALSE),VLOOKUP(AO874,Calculs!$A$19:$S$425,19,FALSE))&gt;=AP874,TRUE,FALSE))</f>
        <v>1</v>
      </c>
      <c r="AR874" s="158"/>
      <c r="AS874" s="158" t="b">
        <f>IF(AR874="",TRUE,IF(VLOOKUP(AR874,Calculs!$A$427:$G$738,7,FALSE)&gt;0,TRUE,FALSE))</f>
        <v>1</v>
      </c>
      <c r="AT874" s="158"/>
      <c r="AU874" s="158" t="b">
        <f>IF(AT874="",TRUE,IF(VLOOKUP(AT874,Calculs!$A$740:$G$912,7,FALSE)&gt;0,TRUE,FALSE))</f>
        <v>1</v>
      </c>
      <c r="AV874" s="158" t="b">
        <f t="shared" si="95"/>
        <v>1</v>
      </c>
      <c r="AW874" s="158" t="s">
        <v>2078</v>
      </c>
      <c r="AX874" s="162" t="s">
        <v>2075</v>
      </c>
      <c r="AY874" s="15">
        <v>207</v>
      </c>
      <c r="AZ874" s="555" t="s">
        <v>2433</v>
      </c>
      <c r="BA874" s="559">
        <f>IF(Verso!$B$10=Voies!$B874,1,0)</f>
        <v>0</v>
      </c>
      <c r="BB874" s="12">
        <f>IF(Verso!$B$11=Voies!$B874,1,0)</f>
        <v>0</v>
      </c>
      <c r="BC874" s="12">
        <f>IF(Verso!$B$12=Voies!$B874,1,0)</f>
        <v>0</v>
      </c>
      <c r="BD874" s="12">
        <f>IF(Verso!$B$13=Voies!$B874,1,0)</f>
        <v>0</v>
      </c>
      <c r="BE874" s="12">
        <f>IF(Verso!$B$14=Voies!$B874,1,0)</f>
        <v>0</v>
      </c>
      <c r="BF874" s="12">
        <f>IF(Verso!$B$15=Voies!$B874,1,0)</f>
        <v>0</v>
      </c>
      <c r="BG874" s="12">
        <f>IF(Verso!$B$16=Voies!$B874,1,0)</f>
        <v>0</v>
      </c>
      <c r="BH874" s="12">
        <f>IF(Verso!$B$17=Voies!$B874,1,0)</f>
        <v>0</v>
      </c>
      <c r="BI874" s="557">
        <f t="shared" si="96"/>
        <v>0</v>
      </c>
      <c r="BJ874" s="196">
        <f t="shared" si="97"/>
        <v>874</v>
      </c>
      <c r="BK874" s="196" t="str">
        <f t="shared" si="98"/>
        <v/>
      </c>
      <c r="BL874" s="295" t="str">
        <f t="shared" si="99"/>
        <v/>
      </c>
    </row>
    <row r="875" spans="1:65" ht="47.25" customHeight="1" x14ac:dyDescent="0.25">
      <c r="A875" s="162" t="str">
        <f>IF(AND(Réputation&gt;Voies!E875-1,OR(C875=TRUE,Calculs!$I$8&gt;0),Air&gt;Voies!J875-1,Eau&gt;Voies!K875-1,Feu&gt;Voies!L875-1,Terre&gt;Voies!M875-1,Vide&gt;Voies!N875-1,Constitution&gt;Voies!O875-1,Volonté&gt;Voies!P875-1,Force&gt;Voies!Q875-1,Perception&gt;Voies!R875-1,Reflexes&gt;Voies!S875-1,Agilité&gt;Voies!T875-1,Intuition&gt;Voies!U875-1,Intelligence&gt;Voies!V875-1,Souillure&gt;Voies!W875-1,Honneur&gt;X875-1,Statut&gt;Y875-1,Gloire&gt;Z875-1,AV875=TRUE),Voies!B875,"")</f>
        <v>Le Don des Kami</v>
      </c>
      <c r="B875" s="162" t="s">
        <v>2429</v>
      </c>
      <c r="C875" s="162" t="b">
        <v>1</v>
      </c>
      <c r="D875" s="388" t="s">
        <v>61</v>
      </c>
      <c r="E875" s="199">
        <v>1</v>
      </c>
      <c r="F875" s="199">
        <v>1</v>
      </c>
      <c r="G875" s="199" t="s">
        <v>2048</v>
      </c>
      <c r="H875" s="162" t="s">
        <v>282</v>
      </c>
      <c r="I875" s="129" t="str">
        <f>IF(B875="","","Rien")</f>
        <v>Rien</v>
      </c>
      <c r="J875" s="146">
        <v>0</v>
      </c>
      <c r="K875" s="147">
        <v>0</v>
      </c>
      <c r="L875" s="148">
        <v>0</v>
      </c>
      <c r="M875" s="149">
        <v>0</v>
      </c>
      <c r="N875" s="150">
        <v>0</v>
      </c>
      <c r="O875" s="130">
        <v>0</v>
      </c>
      <c r="P875" s="130">
        <v>0</v>
      </c>
      <c r="Q875" s="130">
        <v>0</v>
      </c>
      <c r="R875" s="130">
        <v>0</v>
      </c>
      <c r="S875" s="130">
        <v>0</v>
      </c>
      <c r="T875" s="130">
        <v>0</v>
      </c>
      <c r="U875" s="130">
        <v>0</v>
      </c>
      <c r="V875" s="524">
        <v>0</v>
      </c>
      <c r="W875" s="130">
        <v>0</v>
      </c>
      <c r="X875" s="130">
        <v>0</v>
      </c>
      <c r="Y875" s="130">
        <v>0</v>
      </c>
      <c r="Z875" s="130">
        <v>0</v>
      </c>
      <c r="AA875" s="158" t="s">
        <v>2078</v>
      </c>
      <c r="AB875" s="158"/>
      <c r="AC875" s="158"/>
      <c r="AD875" s="158"/>
      <c r="AE875" s="158" t="b">
        <f>IF(AB875="",TRUE,IF(IF(AC875="",VLOOKUP(AB875,Calculs!$A$19:$S$425,19,FALSE),VLOOKUP(AC875,Calculs!$A$19:$S$425,19,FALSE))&gt;=AD875,TRUE,FALSE))</f>
        <v>1</v>
      </c>
      <c r="AF875" s="158"/>
      <c r="AG875" s="158"/>
      <c r="AH875" s="158"/>
      <c r="AI875" s="158" t="b">
        <f>IF(AF875="",TRUE,IF(IF(AG875="",VLOOKUP(AF875,Calculs!$A$19:$S$425,19,FALSE),VLOOKUP(AG875,Calculs!$A$19:$S$425,19,FALSE))&gt;=AH875,TRUE,FALSE))</f>
        <v>1</v>
      </c>
      <c r="AJ875" s="158"/>
      <c r="AK875" s="158"/>
      <c r="AL875" s="158"/>
      <c r="AM875" s="158" t="b">
        <f>IF(AJ875="",TRUE,IF(IF(AK875="",VLOOKUP(AJ875,Calculs!$A$19:$S$425,19,FALSE),VLOOKUP(AK875,Calculs!$A$19:$S$425,19,FALSE))&gt;=AL875,TRUE,FALSE))</f>
        <v>1</v>
      </c>
      <c r="AN875" s="158"/>
      <c r="AO875" s="158"/>
      <c r="AP875" s="158"/>
      <c r="AQ875" s="158" t="b">
        <f>IF(AN875="",TRUE,IF(IF(AO875="",VLOOKUP(AN875,Calculs!$A$19:$S$425,19,FALSE),VLOOKUP(AO875,Calculs!$A$19:$S$425,19,FALSE))&gt;=AP875,TRUE,FALSE))</f>
        <v>1</v>
      </c>
      <c r="AR875" s="158"/>
      <c r="AS875" s="158" t="b">
        <f>IF(AR875="",TRUE,IF(VLOOKUP(AR875,Calculs!$A$427:$G$738,7,FALSE)&gt;0,TRUE,FALSE))</f>
        <v>1</v>
      </c>
      <c r="AT875" s="158"/>
      <c r="AU875" s="158" t="b">
        <f>IF(AT875="",TRUE,IF(VLOOKUP(AT875,Calculs!$A$740:$G$912,7,FALSE)&gt;0,TRUE,FALSE))</f>
        <v>1</v>
      </c>
      <c r="AV875" s="158" t="b">
        <f t="shared" si="95"/>
        <v>1</v>
      </c>
      <c r="AW875" s="158" t="s">
        <v>2078</v>
      </c>
      <c r="AX875" s="162" t="s">
        <v>2075</v>
      </c>
      <c r="AY875" s="15">
        <v>207</v>
      </c>
      <c r="AZ875" s="555" t="s">
        <v>2434</v>
      </c>
      <c r="BA875" s="559">
        <f>IF(Verso!$B$10=Voies!$B875,1,0)</f>
        <v>0</v>
      </c>
      <c r="BB875" s="12">
        <f>IF(Verso!$B$11=Voies!$B875,1,0)</f>
        <v>0</v>
      </c>
      <c r="BC875" s="12">
        <f>IF(Verso!$B$12=Voies!$B875,1,0)</f>
        <v>0</v>
      </c>
      <c r="BD875" s="12">
        <f>IF(Verso!$B$13=Voies!$B875,1,0)</f>
        <v>0</v>
      </c>
      <c r="BE875" s="12">
        <f>IF(Verso!$B$14=Voies!$B875,1,0)</f>
        <v>0</v>
      </c>
      <c r="BF875" s="12">
        <f>IF(Verso!$B$15=Voies!$B875,1,0)</f>
        <v>0</v>
      </c>
      <c r="BG875" s="12">
        <f>IF(Verso!$B$16=Voies!$B875,1,0)</f>
        <v>0</v>
      </c>
      <c r="BH875" s="12">
        <f>IF(Verso!$B$17=Voies!$B875,1,0)</f>
        <v>0</v>
      </c>
      <c r="BI875" s="557">
        <f t="shared" si="96"/>
        <v>0</v>
      </c>
      <c r="BJ875" s="196">
        <f t="shared" si="97"/>
        <v>875</v>
      </c>
      <c r="BK875" s="196" t="str">
        <f t="shared" si="98"/>
        <v/>
      </c>
      <c r="BL875" s="295" t="str">
        <f t="shared" si="99"/>
        <v/>
      </c>
    </row>
    <row r="876" spans="1:65" s="196" customFormat="1" ht="47.25" customHeight="1" x14ac:dyDescent="0.25">
      <c r="A876" s="162" t="str">
        <f>IF(AND(Réputation&gt;Voies!E876-1,OR(C876=TRUE,Calculs!$I$8&gt;0),Air&gt;Voies!J876-1,Eau&gt;Voies!K876-1,Feu&gt;Voies!L876-1,Terre&gt;Voies!M876-1,Vide&gt;Voies!N876-1,Constitution&gt;Voies!O876-1,Volonté&gt;Voies!P876-1,Force&gt;Voies!Q876-1,Perception&gt;Voies!R876-1,Reflexes&gt;Voies!S876-1,Agilité&gt;Voies!T876-1,Intuition&gt;Voies!U876-1,Intelligence&gt;Voies!V876-1,Souillure&gt;Voies!W876-1,Honneur&gt;X876-1,Statut&gt;Y876-1,Gloire&gt;Z876-1,AV876=TRUE),Voies!B876,"")</f>
        <v/>
      </c>
      <c r="B876" s="162" t="s">
        <v>8042</v>
      </c>
      <c r="C876" s="162" t="b">
        <v>1</v>
      </c>
      <c r="D876" s="388" t="s">
        <v>61</v>
      </c>
      <c r="E876" s="199">
        <v>1</v>
      </c>
      <c r="F876" s="199">
        <v>1</v>
      </c>
      <c r="G876" s="199" t="s">
        <v>2048</v>
      </c>
      <c r="H876" s="162" t="s">
        <v>8043</v>
      </c>
      <c r="I876" s="129" t="s">
        <v>8044</v>
      </c>
      <c r="J876" s="146">
        <v>3</v>
      </c>
      <c r="K876" s="147">
        <v>0</v>
      </c>
      <c r="L876" s="148">
        <v>0</v>
      </c>
      <c r="M876" s="149">
        <v>0</v>
      </c>
      <c r="N876" s="150">
        <v>0</v>
      </c>
      <c r="O876" s="130">
        <v>0</v>
      </c>
      <c r="P876" s="130">
        <v>0</v>
      </c>
      <c r="Q876" s="130">
        <v>0</v>
      </c>
      <c r="R876" s="130">
        <v>0</v>
      </c>
      <c r="S876" s="130">
        <v>0</v>
      </c>
      <c r="T876" s="130">
        <v>0</v>
      </c>
      <c r="U876" s="130">
        <v>0</v>
      </c>
      <c r="V876" s="524">
        <v>0</v>
      </c>
      <c r="W876" s="130">
        <v>0</v>
      </c>
      <c r="X876" s="130">
        <v>0</v>
      </c>
      <c r="Y876" s="130">
        <v>0</v>
      </c>
      <c r="Z876" s="130">
        <v>0</v>
      </c>
      <c r="AA876" s="158" t="s">
        <v>2078</v>
      </c>
      <c r="AB876" s="158"/>
      <c r="AC876" s="158"/>
      <c r="AD876" s="158"/>
      <c r="AE876" s="158" t="b">
        <f>IF(AB876="",TRUE,IF(IF(AC876="",VLOOKUP(AB876,Calculs!$A$19:$S$425,19,FALSE),VLOOKUP(AC876,Calculs!$A$19:$S$425,19,FALSE))&gt;=AD876,TRUE,FALSE))</f>
        <v>1</v>
      </c>
      <c r="AF876" s="158"/>
      <c r="AG876" s="158"/>
      <c r="AH876" s="158"/>
      <c r="AI876" s="158" t="b">
        <f>IF(AF876="",TRUE,IF(IF(AG876="",VLOOKUP(AF876,Calculs!$A$19:$S$425,19,FALSE),VLOOKUP(AG876,Calculs!$A$19:$S$425,19,FALSE))&gt;=AH876,TRUE,FALSE))</f>
        <v>1</v>
      </c>
      <c r="AJ876" s="158"/>
      <c r="AK876" s="158"/>
      <c r="AL876" s="158"/>
      <c r="AM876" s="158" t="b">
        <f>IF(AJ876="",TRUE,IF(IF(AK876="",VLOOKUP(AJ876,Calculs!$A$19:$S$425,19,FALSE),VLOOKUP(AK876,Calculs!$A$19:$S$425,19,FALSE))&gt;=AL876,TRUE,FALSE))</f>
        <v>1</v>
      </c>
      <c r="AN876" s="158"/>
      <c r="AO876" s="158"/>
      <c r="AP876" s="158"/>
      <c r="AQ876" s="158" t="b">
        <f>IF(AN876="",TRUE,IF(IF(AO876="",VLOOKUP(AN876,Calculs!$A$19:$S$425,19,FALSE),VLOOKUP(AO876,Calculs!$A$19:$S$425,19,FALSE))&gt;=AP876,TRUE,FALSE))</f>
        <v>1</v>
      </c>
      <c r="AR876" s="158"/>
      <c r="AS876" s="158" t="b">
        <f>IF(AR876="",TRUE,IF(VLOOKUP(AR876,Calculs!$A$427:$G$738,7,FALSE)&gt;0,TRUE,FALSE))</f>
        <v>1</v>
      </c>
      <c r="AT876" s="158"/>
      <c r="AU876" s="158" t="b">
        <f>IF(AT876="",TRUE,IF(VLOOKUP(AT876,Calculs!$A$740:$G$912,7,FALSE)&gt;0,TRUE,FALSE))</f>
        <v>1</v>
      </c>
      <c r="AV876" s="158" t="b">
        <f t="shared" si="95"/>
        <v>1</v>
      </c>
      <c r="AW876" s="158" t="s">
        <v>8045</v>
      </c>
      <c r="AX876" s="162" t="s">
        <v>8021</v>
      </c>
      <c r="AY876" s="15">
        <v>37</v>
      </c>
      <c r="AZ876" s="555" t="s">
        <v>8046</v>
      </c>
      <c r="BA876" s="559">
        <f>IF(Verso!$B$10=Voies!$B876,1,0)</f>
        <v>0</v>
      </c>
      <c r="BB876" s="12">
        <f>IF(Verso!$B$11=Voies!$B876,1,0)</f>
        <v>0</v>
      </c>
      <c r="BC876" s="12">
        <f>IF(Verso!$B$12=Voies!$B876,1,0)</f>
        <v>0</v>
      </c>
      <c r="BD876" s="12">
        <f>IF(Verso!$B$13=Voies!$B876,1,0)</f>
        <v>0</v>
      </c>
      <c r="BE876" s="12">
        <f>IF(Verso!$B$14=Voies!$B876,1,0)</f>
        <v>0</v>
      </c>
      <c r="BF876" s="12">
        <f>IF(Verso!$B$15=Voies!$B876,1,0)</f>
        <v>0</v>
      </c>
      <c r="BG876" s="12">
        <f>IF(Verso!$B$16=Voies!$B876,1,0)</f>
        <v>0</v>
      </c>
      <c r="BH876" s="12">
        <f>IF(Verso!$B$17=Voies!$B876,1,0)</f>
        <v>0</v>
      </c>
      <c r="BI876" s="557">
        <f t="shared" si="96"/>
        <v>0</v>
      </c>
      <c r="BJ876" s="196" t="str">
        <f t="shared" si="97"/>
        <v/>
      </c>
      <c r="BK876" s="196" t="str">
        <f t="shared" si="98"/>
        <v/>
      </c>
      <c r="BL876" s="295" t="str">
        <f t="shared" si="99"/>
        <v/>
      </c>
      <c r="BM876" s="91"/>
    </row>
    <row r="877" spans="1:65" ht="47.25" customHeight="1" x14ac:dyDescent="0.25">
      <c r="A877" s="162" t="str">
        <f>IF(AND(Réputation&gt;Voies!E877-1,OR(C877=TRUE,Calculs!$I$8&gt;0),Air&gt;Voies!J877-1,Eau&gt;Voies!K877-1,Feu&gt;Voies!L877-1,Terre&gt;Voies!M877-1,Vide&gt;Voies!N877-1,Constitution&gt;Voies!O877-1,Volonté&gt;Voies!P877-1,Force&gt;Voies!Q877-1,Perception&gt;Voies!R877-1,Reflexes&gt;Voies!S877-1,Agilité&gt;Voies!T877-1,Intuition&gt;Voies!U877-1,Intelligence&gt;Voies!V877-1,Souillure&gt;Voies!W877-1,Honneur&gt;X877-1,Statut&gt;Y877-1,Gloire&gt;Z877-1,AV877=TRUE),Voies!B877,"")</f>
        <v/>
      </c>
      <c r="B877" s="162" t="s">
        <v>2803</v>
      </c>
      <c r="C877" s="162" t="b">
        <v>1</v>
      </c>
      <c r="D877" s="388" t="s">
        <v>61</v>
      </c>
      <c r="E877" s="199">
        <v>2</v>
      </c>
      <c r="F877" s="199">
        <v>2</v>
      </c>
      <c r="G877" s="157" t="s">
        <v>2078</v>
      </c>
      <c r="H877" s="162" t="s">
        <v>277</v>
      </c>
      <c r="I877" s="129" t="str">
        <f>IF(B877="","","Rien")</f>
        <v>Rien</v>
      </c>
      <c r="J877" s="146">
        <v>0</v>
      </c>
      <c r="K877" s="147">
        <v>0</v>
      </c>
      <c r="L877" s="148">
        <v>0</v>
      </c>
      <c r="M877" s="149">
        <v>0</v>
      </c>
      <c r="N877" s="150">
        <v>0</v>
      </c>
      <c r="O877" s="130">
        <v>0</v>
      </c>
      <c r="P877" s="130">
        <v>0</v>
      </c>
      <c r="Q877" s="130">
        <v>0</v>
      </c>
      <c r="R877" s="130">
        <v>0</v>
      </c>
      <c r="S877" s="130">
        <v>0</v>
      </c>
      <c r="T877" s="130">
        <v>0</v>
      </c>
      <c r="U877" s="130">
        <v>0</v>
      </c>
      <c r="V877" s="524">
        <v>0</v>
      </c>
      <c r="W877" s="130">
        <v>0</v>
      </c>
      <c r="X877" s="130">
        <v>0</v>
      </c>
      <c r="Y877" s="130">
        <v>0</v>
      </c>
      <c r="Z877" s="130">
        <v>0</v>
      </c>
      <c r="AA877" s="158" t="s">
        <v>2078</v>
      </c>
      <c r="AB877" s="158"/>
      <c r="AC877" s="158"/>
      <c r="AD877" s="158"/>
      <c r="AE877" s="158" t="b">
        <f>IF(AB877="",TRUE,IF(IF(AC877="",VLOOKUP(AB877,Calculs!$A$19:$S$425,19,FALSE),VLOOKUP(AC877,Calculs!$A$19:$S$425,19,FALSE))&gt;=AD877,TRUE,FALSE))</f>
        <v>1</v>
      </c>
      <c r="AF877" s="158"/>
      <c r="AG877" s="158"/>
      <c r="AH877" s="158"/>
      <c r="AI877" s="158" t="b">
        <f>IF(AF877="",TRUE,IF(IF(AG877="",VLOOKUP(AF877,Calculs!$A$19:$S$425,19,FALSE),VLOOKUP(AG877,Calculs!$A$19:$S$425,19,FALSE))&gt;=AH877,TRUE,FALSE))</f>
        <v>1</v>
      </c>
      <c r="AJ877" s="158"/>
      <c r="AK877" s="158"/>
      <c r="AL877" s="158"/>
      <c r="AM877" s="158" t="b">
        <f>IF(AJ877="",TRUE,IF(IF(AK877="",VLOOKUP(AJ877,Calculs!$A$19:$S$425,19,FALSE),VLOOKUP(AK877,Calculs!$A$19:$S$425,19,FALSE))&gt;=AL877,TRUE,FALSE))</f>
        <v>1</v>
      </c>
      <c r="AN877" s="158"/>
      <c r="AO877" s="158"/>
      <c r="AP877" s="158"/>
      <c r="AQ877" s="158" t="b">
        <f>IF(AN877="",TRUE,IF(IF(AO877="",VLOOKUP(AN877,Calculs!$A$19:$S$425,19,FALSE),VLOOKUP(AO877,Calculs!$A$19:$S$425,19,FALSE))&gt;=AP877,TRUE,FALSE))</f>
        <v>1</v>
      </c>
      <c r="AR877" s="158"/>
      <c r="AS877" s="158" t="b">
        <f>IF(AR877="",TRUE,IF(VLOOKUP(AR877,Calculs!$A$427:$G$738,7,FALSE)&gt;0,TRUE,FALSE))</f>
        <v>1</v>
      </c>
      <c r="AT877" s="158"/>
      <c r="AU877" s="158" t="b">
        <f>IF(AT877="",TRUE,IF(VLOOKUP(AT877,Calculs!$A$740:$G$912,7,FALSE)&gt;0,TRUE,FALSE))</f>
        <v>1</v>
      </c>
      <c r="AV877" s="158" t="b">
        <f t="shared" si="95"/>
        <v>1</v>
      </c>
      <c r="AW877" s="158" t="s">
        <v>2078</v>
      </c>
      <c r="AX877" s="162" t="s">
        <v>2080</v>
      </c>
      <c r="AY877" s="15">
        <v>236</v>
      </c>
      <c r="AZ877" s="555" t="s">
        <v>2808</v>
      </c>
      <c r="BA877" s="559">
        <f>IF(Verso!$B$10=Voies!$B877,1,0)</f>
        <v>0</v>
      </c>
      <c r="BB877" s="12">
        <f>IF(Verso!$B$11=Voies!$B877,1,0)</f>
        <v>0</v>
      </c>
      <c r="BC877" s="12">
        <f>IF(Verso!$B$12=Voies!$B877,1,0)</f>
        <v>0</v>
      </c>
      <c r="BD877" s="12">
        <f>IF(Verso!$B$13=Voies!$B877,1,0)</f>
        <v>0</v>
      </c>
      <c r="BE877" s="12">
        <f>IF(Verso!$B$14=Voies!$B877,1,0)</f>
        <v>0</v>
      </c>
      <c r="BF877" s="12">
        <f>IF(Verso!$B$15=Voies!$B877,1,0)</f>
        <v>0</v>
      </c>
      <c r="BG877" s="12">
        <f>IF(Verso!$B$16=Voies!$B877,1,0)</f>
        <v>0</v>
      </c>
      <c r="BH877" s="12">
        <f>IF(Verso!$B$17=Voies!$B877,1,0)</f>
        <v>0</v>
      </c>
      <c r="BI877" s="557">
        <f t="shared" si="96"/>
        <v>0</v>
      </c>
      <c r="BJ877" s="196" t="str">
        <f t="shared" si="97"/>
        <v/>
      </c>
      <c r="BK877" s="196" t="str">
        <f t="shared" si="98"/>
        <v/>
      </c>
      <c r="BL877" s="295" t="str">
        <f t="shared" si="99"/>
        <v/>
      </c>
    </row>
    <row r="878" spans="1:65" s="196" customFormat="1" ht="47.25" customHeight="1" x14ac:dyDescent="0.25">
      <c r="A878" s="162" t="str">
        <f>IF(AND(Réputation&gt;Voies!E878-1,OR(C878=TRUE,Calculs!$I$8&gt;0),Air&gt;Voies!J878-1,Eau&gt;Voies!K878-1,Feu&gt;Voies!L878-1,Terre&gt;Voies!M878-1,Vide&gt;Voies!N878-1,Constitution&gt;Voies!O878-1,Volonté&gt;Voies!P878-1,Force&gt;Voies!Q878-1,Perception&gt;Voies!R878-1,Reflexes&gt;Voies!S878-1,Agilité&gt;Voies!T878-1,Intuition&gt;Voies!U878-1,Intelligence&gt;Voies!V878-1,Souillure&gt;Voies!W878-1,Honneur&gt;X878-1,Statut&gt;Y878-1,Gloire&gt;Z878-1,AV878=TRUE),Voies!B878,"")</f>
        <v/>
      </c>
      <c r="B878" s="162" t="s">
        <v>3558</v>
      </c>
      <c r="C878" s="162" t="b">
        <v>1</v>
      </c>
      <c r="D878" s="388" t="s">
        <v>61</v>
      </c>
      <c r="E878" s="199">
        <v>2</v>
      </c>
      <c r="F878" s="199">
        <v>2</v>
      </c>
      <c r="G878" s="199" t="s">
        <v>2049</v>
      </c>
      <c r="H878" s="162" t="s">
        <v>456</v>
      </c>
      <c r="I878" s="129" t="s">
        <v>3341</v>
      </c>
      <c r="J878" s="146">
        <v>0</v>
      </c>
      <c r="K878" s="147">
        <v>0</v>
      </c>
      <c r="L878" s="148">
        <v>0</v>
      </c>
      <c r="M878" s="149">
        <v>0</v>
      </c>
      <c r="N878" s="150">
        <v>0</v>
      </c>
      <c r="O878" s="130">
        <v>0</v>
      </c>
      <c r="P878" s="130">
        <v>0</v>
      </c>
      <c r="Q878" s="130">
        <v>0</v>
      </c>
      <c r="R878" s="130">
        <v>0</v>
      </c>
      <c r="S878" s="130">
        <v>0</v>
      </c>
      <c r="T878" s="130">
        <v>0</v>
      </c>
      <c r="U878" s="130">
        <v>0</v>
      </c>
      <c r="V878" s="524">
        <v>0</v>
      </c>
      <c r="W878" s="130">
        <v>0</v>
      </c>
      <c r="X878" s="130">
        <v>0</v>
      </c>
      <c r="Y878" s="130">
        <v>0</v>
      </c>
      <c r="Z878" s="130">
        <v>0</v>
      </c>
      <c r="AA878" s="159" t="s">
        <v>3452</v>
      </c>
      <c r="AB878" s="159" t="s">
        <v>1268</v>
      </c>
      <c r="AC878" s="159"/>
      <c r="AD878" s="159">
        <v>3</v>
      </c>
      <c r="AE878" s="158" t="b">
        <f>IF(AB878="",TRUE,IF(IF(AC878="",VLOOKUP(AB878,Calculs!$A$19:$S$425,19,FALSE),VLOOKUP(AC878,Calculs!$A$19:$S$425,19,FALSE))&gt;=AD878,TRUE,FALSE))</f>
        <v>0</v>
      </c>
      <c r="AF878" s="159"/>
      <c r="AG878" s="159"/>
      <c r="AH878" s="159"/>
      <c r="AI878" s="158" t="b">
        <f>IF(AF878="",TRUE,IF(IF(AG878="",VLOOKUP(AF878,Calculs!$A$19:$S$425,19,FALSE),VLOOKUP(AG878,Calculs!$A$19:$S$425,19,FALSE))&gt;=AH878,TRUE,FALSE))</f>
        <v>1</v>
      </c>
      <c r="AJ878" s="159"/>
      <c r="AK878" s="159"/>
      <c r="AL878" s="159"/>
      <c r="AM878" s="158" t="b">
        <f>IF(AJ878="",TRUE,IF(IF(AK878="",VLOOKUP(AJ878,Calculs!$A$19:$S$425,19,FALSE),VLOOKUP(AK878,Calculs!$A$19:$S$425,19,FALSE))&gt;=AL878,TRUE,FALSE))</f>
        <v>1</v>
      </c>
      <c r="AN878" s="159"/>
      <c r="AO878" s="159"/>
      <c r="AP878" s="159"/>
      <c r="AQ878" s="158" t="b">
        <f>IF(AN878="",TRUE,IF(IF(AO878="",VLOOKUP(AN878,Calculs!$A$19:$S$425,19,FALSE),VLOOKUP(AO878,Calculs!$A$19:$S$425,19,FALSE))&gt;=AP878,TRUE,FALSE))</f>
        <v>1</v>
      </c>
      <c r="AR878" s="158" t="s">
        <v>699</v>
      </c>
      <c r="AS878" s="158" t="b">
        <f>IF(AR878="",TRUE,IF(VLOOKUP(AR878,Calculs!$A$427:$G$738,7,FALSE)&gt;0,TRUE,FALSE))</f>
        <v>0</v>
      </c>
      <c r="AT878" s="158"/>
      <c r="AU878" s="158" t="b">
        <f>IF(AT878="",TRUE,IF(VLOOKUP(AT878,Calculs!$A$740:$G$912,7,FALSE)&gt;0,TRUE,FALSE))</f>
        <v>1</v>
      </c>
      <c r="AV878" s="158" t="b">
        <f t="shared" si="95"/>
        <v>0</v>
      </c>
      <c r="AW878" s="159" t="s">
        <v>3451</v>
      </c>
      <c r="AX878" s="162" t="s">
        <v>2075</v>
      </c>
      <c r="AY878" s="15">
        <v>202</v>
      </c>
      <c r="AZ878" s="555" t="s">
        <v>8721</v>
      </c>
      <c r="BA878" s="559">
        <f>IF(Verso!$B$10=Voies!$B878,1,0)</f>
        <v>0</v>
      </c>
      <c r="BB878" s="12">
        <f>IF(Verso!$B$11=Voies!$B878,1,0)</f>
        <v>0</v>
      </c>
      <c r="BC878" s="12">
        <f>IF(Verso!$B$12=Voies!$B878,1,0)</f>
        <v>0</v>
      </c>
      <c r="BD878" s="12">
        <f>IF(Verso!$B$13=Voies!$B878,1,0)</f>
        <v>0</v>
      </c>
      <c r="BE878" s="12">
        <f>IF(Verso!$B$14=Voies!$B878,1,0)</f>
        <v>0</v>
      </c>
      <c r="BF878" s="12">
        <f>IF(Verso!$B$15=Voies!$B878,1,0)</f>
        <v>0</v>
      </c>
      <c r="BG878" s="12">
        <f>IF(Verso!$B$16=Voies!$B878,1,0)</f>
        <v>0</v>
      </c>
      <c r="BH878" s="12">
        <f>IF(Verso!$B$17=Voies!$B878,1,0)</f>
        <v>0</v>
      </c>
      <c r="BI878" s="557">
        <f t="shared" si="96"/>
        <v>0</v>
      </c>
      <c r="BJ878" s="196" t="str">
        <f t="shared" si="97"/>
        <v/>
      </c>
      <c r="BK878" s="196" t="str">
        <f t="shared" si="98"/>
        <v/>
      </c>
      <c r="BL878" s="295" t="str">
        <f t="shared" si="99"/>
        <v/>
      </c>
      <c r="BM878" s="91"/>
    </row>
    <row r="879" spans="1:65" s="196" customFormat="1" ht="47.25" customHeight="1" x14ac:dyDescent="0.25">
      <c r="A879" s="162" t="str">
        <f>IF(AND(Réputation&gt;Voies!E879-1,OR(C879=TRUE,Calculs!$I$8&gt;0),Air&gt;Voies!J879-1,Eau&gt;Voies!K879-1,Feu&gt;Voies!L879-1,Terre&gt;Voies!M879-1,Vide&gt;Voies!N879-1,Constitution&gt;Voies!O879-1,Volonté&gt;Voies!P879-1,Force&gt;Voies!Q879-1,Perception&gt;Voies!R879-1,Reflexes&gt;Voies!S879-1,Agilité&gt;Voies!T879-1,Intuition&gt;Voies!U879-1,Intelligence&gt;Voies!V879-1,Souillure&gt;Voies!W879-1,Honneur&gt;X879-1,Statut&gt;Y879-1,Gloire&gt;Z879-1,AV879=TRUE),Voies!B879,"")</f>
        <v/>
      </c>
      <c r="B879" s="162" t="s">
        <v>2414</v>
      </c>
      <c r="C879" s="162" t="b">
        <v>1</v>
      </c>
      <c r="D879" s="388" t="s">
        <v>61</v>
      </c>
      <c r="E879" s="199">
        <v>2</v>
      </c>
      <c r="F879" s="199">
        <v>1</v>
      </c>
      <c r="G879" s="199" t="s">
        <v>2049</v>
      </c>
      <c r="H879" s="162" t="s">
        <v>2413</v>
      </c>
      <c r="I879" s="129" t="str">
        <f>IF(B879="","","Rien")</f>
        <v>Rien</v>
      </c>
      <c r="J879" s="146">
        <v>0</v>
      </c>
      <c r="K879" s="147">
        <v>0</v>
      </c>
      <c r="L879" s="148">
        <v>0</v>
      </c>
      <c r="M879" s="149">
        <v>0</v>
      </c>
      <c r="N879" s="150">
        <v>0</v>
      </c>
      <c r="O879" s="130">
        <v>0</v>
      </c>
      <c r="P879" s="130">
        <v>0</v>
      </c>
      <c r="Q879" s="130">
        <v>0</v>
      </c>
      <c r="R879" s="130">
        <v>0</v>
      </c>
      <c r="S879" s="130">
        <v>0</v>
      </c>
      <c r="T879" s="130">
        <v>0</v>
      </c>
      <c r="U879" s="130">
        <v>0</v>
      </c>
      <c r="V879" s="524">
        <v>0</v>
      </c>
      <c r="W879" s="130">
        <v>0</v>
      </c>
      <c r="X879" s="130">
        <v>0</v>
      </c>
      <c r="Y879" s="130">
        <v>0</v>
      </c>
      <c r="Z879" s="130">
        <v>0</v>
      </c>
      <c r="AA879" s="158" t="s">
        <v>2078</v>
      </c>
      <c r="AB879" s="158"/>
      <c r="AC879" s="158"/>
      <c r="AD879" s="158"/>
      <c r="AE879" s="158" t="b">
        <f>IF(AB879="",TRUE,IF(IF(AC879="",VLOOKUP(AB879,Calculs!$A$19:$S$425,19,FALSE),VLOOKUP(AC879,Calculs!$A$19:$S$425,19,FALSE))&gt;=AD879,TRUE,FALSE))</f>
        <v>1</v>
      </c>
      <c r="AF879" s="158"/>
      <c r="AG879" s="158"/>
      <c r="AH879" s="158"/>
      <c r="AI879" s="158" t="b">
        <f>IF(AF879="",TRUE,IF(IF(AG879="",VLOOKUP(AF879,Calculs!$A$19:$S$425,19,FALSE),VLOOKUP(AG879,Calculs!$A$19:$S$425,19,FALSE))&gt;=AH879,TRUE,FALSE))</f>
        <v>1</v>
      </c>
      <c r="AJ879" s="158"/>
      <c r="AK879" s="158"/>
      <c r="AL879" s="158"/>
      <c r="AM879" s="158" t="b">
        <f>IF(AJ879="",TRUE,IF(IF(AK879="",VLOOKUP(AJ879,Calculs!$A$19:$S$425,19,FALSE),VLOOKUP(AK879,Calculs!$A$19:$S$425,19,FALSE))&gt;=AL879,TRUE,FALSE))</f>
        <v>1</v>
      </c>
      <c r="AN879" s="158"/>
      <c r="AO879" s="158"/>
      <c r="AP879" s="158"/>
      <c r="AQ879" s="158" t="b">
        <f>IF(AN879="",TRUE,IF(IF(AO879="",VLOOKUP(AN879,Calculs!$A$19:$S$425,19,FALSE),VLOOKUP(AO879,Calculs!$A$19:$S$425,19,FALSE))&gt;=AP879,TRUE,FALSE))</f>
        <v>1</v>
      </c>
      <c r="AR879" s="158"/>
      <c r="AS879" s="158" t="b">
        <f>IF(AR879="",TRUE,IF(VLOOKUP(AR879,Calculs!$A$427:$G$738,7,FALSE)&gt;0,TRUE,FALSE))</f>
        <v>1</v>
      </c>
      <c r="AT879" s="158"/>
      <c r="AU879" s="158" t="b">
        <f>IF(AT879="",TRUE,IF(VLOOKUP(AT879,Calculs!$A$740:$G$912,7,FALSE)&gt;0,TRUE,FALSE))</f>
        <v>1</v>
      </c>
      <c r="AV879" s="158" t="b">
        <f t="shared" si="95"/>
        <v>1</v>
      </c>
      <c r="AW879" s="158" t="s">
        <v>2078</v>
      </c>
      <c r="AX879" s="162" t="s">
        <v>3</v>
      </c>
      <c r="AY879" s="15">
        <v>234</v>
      </c>
      <c r="AZ879" s="555" t="str">
        <f>CONCATENATE("+",ROUNDDOWN(Honneur/2,0)," au total de vos jets d'Iaijutsu")</f>
        <v>+0 au total de vos jets d'Iaijutsu</v>
      </c>
      <c r="BA879" s="559">
        <f>IF(Verso!$B$10=Voies!$B879,1,0)</f>
        <v>0</v>
      </c>
      <c r="BB879" s="12">
        <f>IF(Verso!$B$11=Voies!$B879,1,0)</f>
        <v>0</v>
      </c>
      <c r="BC879" s="12">
        <f>IF(Verso!$B$12=Voies!$B879,1,0)</f>
        <v>0</v>
      </c>
      <c r="BD879" s="12">
        <f>IF(Verso!$B$13=Voies!$B879,1,0)</f>
        <v>0</v>
      </c>
      <c r="BE879" s="12">
        <f>IF(Verso!$B$14=Voies!$B879,1,0)</f>
        <v>0</v>
      </c>
      <c r="BF879" s="12">
        <f>IF(Verso!$B$15=Voies!$B879,1,0)</f>
        <v>0</v>
      </c>
      <c r="BG879" s="12">
        <f>IF(Verso!$B$16=Voies!$B879,1,0)</f>
        <v>0</v>
      </c>
      <c r="BH879" s="12">
        <f>IF(Verso!$B$17=Voies!$B879,1,0)</f>
        <v>0</v>
      </c>
      <c r="BI879" s="557">
        <f t="shared" si="96"/>
        <v>0</v>
      </c>
      <c r="BJ879" s="196" t="str">
        <f t="shared" si="97"/>
        <v/>
      </c>
      <c r="BK879" s="196" t="str">
        <f t="shared" si="98"/>
        <v/>
      </c>
      <c r="BL879" s="295" t="str">
        <f t="shared" si="99"/>
        <v/>
      </c>
      <c r="BM879" s="91"/>
    </row>
    <row r="880" spans="1:65" ht="47.25" customHeight="1" x14ac:dyDescent="0.25">
      <c r="A880" s="162" t="str">
        <f>IF(AND(Réputation&gt;Voies!E880-1,OR(C880=TRUE,Calculs!$I$8&gt;0),Air&gt;Voies!J880-1,Eau&gt;Voies!K880-1,Feu&gt;Voies!L880-1,Terre&gt;Voies!M880-1,Vide&gt;Voies!N880-1,Constitution&gt;Voies!O880-1,Volonté&gt;Voies!P880-1,Force&gt;Voies!Q880-1,Perception&gt;Voies!R880-1,Reflexes&gt;Voies!S880-1,Agilité&gt;Voies!T880-1,Intuition&gt;Voies!U880-1,Intelligence&gt;Voies!V880-1,Souillure&gt;Voies!W880-1,Honneur&gt;X880-1,Statut&gt;Y880-1,Gloire&gt;Z880-1,AV880=TRUE),Voies!B880,"")</f>
        <v/>
      </c>
      <c r="B880" s="162" t="s">
        <v>3559</v>
      </c>
      <c r="C880" s="162" t="b">
        <v>1</v>
      </c>
      <c r="D880" s="388" t="s">
        <v>61</v>
      </c>
      <c r="E880" s="199">
        <v>2</v>
      </c>
      <c r="F880" s="199">
        <v>2</v>
      </c>
      <c r="G880" s="199" t="s">
        <v>2049</v>
      </c>
      <c r="H880" s="162" t="s">
        <v>255</v>
      </c>
      <c r="I880" s="129" t="s">
        <v>3341</v>
      </c>
      <c r="J880" s="146">
        <v>0</v>
      </c>
      <c r="K880" s="147">
        <v>0</v>
      </c>
      <c r="L880" s="148">
        <v>0</v>
      </c>
      <c r="M880" s="149">
        <v>0</v>
      </c>
      <c r="N880" s="150">
        <v>0</v>
      </c>
      <c r="O880" s="130">
        <v>0</v>
      </c>
      <c r="P880" s="130">
        <v>0</v>
      </c>
      <c r="Q880" s="130">
        <v>0</v>
      </c>
      <c r="R880" s="130">
        <v>0</v>
      </c>
      <c r="S880" s="130">
        <v>0</v>
      </c>
      <c r="T880" s="130">
        <v>0</v>
      </c>
      <c r="U880" s="130">
        <v>0</v>
      </c>
      <c r="V880" s="524">
        <v>0</v>
      </c>
      <c r="W880" s="130">
        <v>0</v>
      </c>
      <c r="X880" s="130">
        <v>0</v>
      </c>
      <c r="Y880" s="130">
        <v>0</v>
      </c>
      <c r="Z880" s="130">
        <v>0</v>
      </c>
      <c r="AA880" s="158" t="s">
        <v>2078</v>
      </c>
      <c r="AB880" s="158"/>
      <c r="AC880" s="158"/>
      <c r="AD880" s="158"/>
      <c r="AE880" s="158" t="b">
        <f>IF(AB880="",TRUE,IF(IF(AC880="",VLOOKUP(AB880,Calculs!$A$19:$S$425,19,FALSE),VLOOKUP(AC880,Calculs!$A$19:$S$425,19,FALSE))&gt;=AD880,TRUE,FALSE))</f>
        <v>1</v>
      </c>
      <c r="AF880" s="158"/>
      <c r="AG880" s="158"/>
      <c r="AH880" s="158"/>
      <c r="AI880" s="158" t="b">
        <f>IF(AF880="",TRUE,IF(IF(AG880="",VLOOKUP(AF880,Calculs!$A$19:$S$425,19,FALSE),VLOOKUP(AG880,Calculs!$A$19:$S$425,19,FALSE))&gt;=AH880,TRUE,FALSE))</f>
        <v>1</v>
      </c>
      <c r="AJ880" s="158"/>
      <c r="AK880" s="158"/>
      <c r="AL880" s="158"/>
      <c r="AM880" s="158" t="b">
        <f>IF(AJ880="",TRUE,IF(IF(AK880="",VLOOKUP(AJ880,Calculs!$A$19:$S$425,19,FALSE),VLOOKUP(AK880,Calculs!$A$19:$S$425,19,FALSE))&gt;=AL880,TRUE,FALSE))</f>
        <v>1</v>
      </c>
      <c r="AN880" s="158"/>
      <c r="AO880" s="158"/>
      <c r="AP880" s="158"/>
      <c r="AQ880" s="158" t="b">
        <f>IF(AN880="",TRUE,IF(IF(AO880="",VLOOKUP(AN880,Calculs!$A$19:$S$425,19,FALSE),VLOOKUP(AO880,Calculs!$A$19:$S$425,19,FALSE))&gt;=AP880,TRUE,FALSE))</f>
        <v>1</v>
      </c>
      <c r="AR880" s="158"/>
      <c r="AS880" s="158" t="b">
        <f>IF(AR880="",TRUE,IF(VLOOKUP(AR880,Calculs!$A$427:$G$738,7,FALSE)&gt;0,TRUE,FALSE))</f>
        <v>1</v>
      </c>
      <c r="AT880" s="158" t="s">
        <v>953</v>
      </c>
      <c r="AU880" s="158" t="b">
        <f>IF(AT880="",TRUE,IF(VLOOKUP(AT880,Calculs!$A$740:$G$912,7,FALSE)&gt;0,TRUE,FALSE))</f>
        <v>0</v>
      </c>
      <c r="AV880" s="158" t="b">
        <f t="shared" si="95"/>
        <v>0</v>
      </c>
      <c r="AW880" s="159" t="s">
        <v>6465</v>
      </c>
      <c r="AX880" s="162" t="s">
        <v>2075</v>
      </c>
      <c r="AY880" s="15">
        <v>202</v>
      </c>
      <c r="AZ880" s="566" t="s">
        <v>3560</v>
      </c>
      <c r="BA880" s="559">
        <f>IF(Verso!$B$10=Voies!$B880,1,0)</f>
        <v>0</v>
      </c>
      <c r="BB880" s="12">
        <f>IF(Verso!$B$11=Voies!$B880,1,0)</f>
        <v>0</v>
      </c>
      <c r="BC880" s="12">
        <f>IF(Verso!$B$12=Voies!$B880,1,0)</f>
        <v>0</v>
      </c>
      <c r="BD880" s="12">
        <f>IF(Verso!$B$13=Voies!$B880,1,0)</f>
        <v>0</v>
      </c>
      <c r="BE880" s="12">
        <f>IF(Verso!$B$14=Voies!$B880,1,0)</f>
        <v>0</v>
      </c>
      <c r="BF880" s="12">
        <f>IF(Verso!$B$15=Voies!$B880,1,0)</f>
        <v>0</v>
      </c>
      <c r="BG880" s="12">
        <f>IF(Verso!$B$16=Voies!$B880,1,0)</f>
        <v>0</v>
      </c>
      <c r="BH880" s="12">
        <f>IF(Verso!$B$17=Voies!$B880,1,0)</f>
        <v>0</v>
      </c>
      <c r="BI880" s="557">
        <f t="shared" si="96"/>
        <v>0</v>
      </c>
      <c r="BJ880" s="196" t="str">
        <f t="shared" si="97"/>
        <v/>
      </c>
      <c r="BK880" s="196" t="str">
        <f t="shared" si="98"/>
        <v/>
      </c>
      <c r="BL880" s="295" t="str">
        <f t="shared" si="99"/>
        <v/>
      </c>
    </row>
    <row r="881" spans="1:65" ht="47.25" customHeight="1" x14ac:dyDescent="0.25">
      <c r="A881" s="162" t="str">
        <f>IF(AND(Réputation&gt;Voies!E881-1,OR(C881=TRUE,Calculs!$I$8&gt;0),Air&gt;Voies!J881-1,Eau&gt;Voies!K881-1,Feu&gt;Voies!L881-1,Terre&gt;Voies!M881-1,Vide&gt;Voies!N881-1,Constitution&gt;Voies!O881-1,Volonté&gt;Voies!P881-1,Force&gt;Voies!Q881-1,Perception&gt;Voies!R881-1,Reflexes&gt;Voies!S881-1,Agilité&gt;Voies!T881-1,Intuition&gt;Voies!U881-1,Intelligence&gt;Voies!V881-1,Souillure&gt;Voies!W881-1,Honneur&gt;X881-1,Statut&gt;Y881-1,Gloire&gt;Z881-1,AV881=TRUE),Voies!B881,"")</f>
        <v/>
      </c>
      <c r="B881" s="219" t="s">
        <v>288</v>
      </c>
      <c r="C881" s="162" t="b">
        <v>1</v>
      </c>
      <c r="D881" s="387" t="s">
        <v>61</v>
      </c>
      <c r="E881" s="201">
        <v>2</v>
      </c>
      <c r="F881" s="201">
        <v>2</v>
      </c>
      <c r="G881" s="201" t="s">
        <v>2049</v>
      </c>
      <c r="H881" s="219" t="s">
        <v>288</v>
      </c>
      <c r="I881" s="129" t="s">
        <v>3842</v>
      </c>
      <c r="J881" s="146">
        <v>0</v>
      </c>
      <c r="K881" s="147">
        <v>0</v>
      </c>
      <c r="L881" s="148">
        <v>0</v>
      </c>
      <c r="M881" s="149">
        <v>0</v>
      </c>
      <c r="N881" s="150">
        <v>0</v>
      </c>
      <c r="O881" s="130">
        <v>0</v>
      </c>
      <c r="P881" s="130">
        <v>0</v>
      </c>
      <c r="Q881" s="130">
        <v>0</v>
      </c>
      <c r="R881" s="130">
        <v>0</v>
      </c>
      <c r="S881" s="130">
        <v>0</v>
      </c>
      <c r="T881" s="130">
        <v>0</v>
      </c>
      <c r="U881" s="130">
        <v>0</v>
      </c>
      <c r="V881" s="524">
        <v>0</v>
      </c>
      <c r="W881" s="130">
        <v>0</v>
      </c>
      <c r="X881" s="130">
        <v>0</v>
      </c>
      <c r="Y881" s="130">
        <v>0</v>
      </c>
      <c r="Z881" s="130">
        <v>0</v>
      </c>
      <c r="AA881" s="158" t="s">
        <v>2078</v>
      </c>
      <c r="AB881" s="158"/>
      <c r="AC881" s="158"/>
      <c r="AD881" s="158"/>
      <c r="AE881" s="158" t="b">
        <f>IF(AB881="",TRUE,IF(IF(AC881="",VLOOKUP(AB881,Calculs!$A$19:$S$425,19,FALSE),VLOOKUP(AC881,Calculs!$A$19:$S$425,19,FALSE))&gt;=AD881,TRUE,FALSE))</f>
        <v>1</v>
      </c>
      <c r="AF881" s="158"/>
      <c r="AG881" s="158"/>
      <c r="AH881" s="158"/>
      <c r="AI881" s="158" t="b">
        <f>IF(AF881="",TRUE,IF(IF(AG881="",VLOOKUP(AF881,Calculs!$A$19:$S$425,19,FALSE),VLOOKUP(AG881,Calculs!$A$19:$S$425,19,FALSE))&gt;=AH881,TRUE,FALSE))</f>
        <v>1</v>
      </c>
      <c r="AJ881" s="158"/>
      <c r="AK881" s="158"/>
      <c r="AL881" s="158"/>
      <c r="AM881" s="158" t="b">
        <f>IF(AJ881="",TRUE,IF(IF(AK881="",VLOOKUP(AJ881,Calculs!$A$19:$S$425,19,FALSE),VLOOKUP(AK881,Calculs!$A$19:$S$425,19,FALSE))&gt;=AL881,TRUE,FALSE))</f>
        <v>1</v>
      </c>
      <c r="AN881" s="158"/>
      <c r="AO881" s="158"/>
      <c r="AP881" s="158"/>
      <c r="AQ881" s="158" t="b">
        <f>IF(AN881="",TRUE,IF(IF(AO881="",VLOOKUP(AN881,Calculs!$A$19:$S$425,19,FALSE),VLOOKUP(AO881,Calculs!$A$19:$S$425,19,FALSE))&gt;=AP881,TRUE,FALSE))</f>
        <v>1</v>
      </c>
      <c r="AR881" s="158"/>
      <c r="AS881" s="158" t="b">
        <f>IF(AR881="",TRUE,IF(VLOOKUP(AR881,Calculs!$A$427:$G$738,7,FALSE)&gt;0,TRUE,FALSE))</f>
        <v>1</v>
      </c>
      <c r="AT881" s="158"/>
      <c r="AU881" s="158" t="b">
        <f>IF(AT881="",TRUE,IF(VLOOKUP(AT881,Calculs!$A$740:$G$912,7,FALSE)&gt;0,TRUE,FALSE))</f>
        <v>1</v>
      </c>
      <c r="AV881" s="158" t="b">
        <f t="shared" si="95"/>
        <v>1</v>
      </c>
      <c r="AW881" s="158" t="s">
        <v>2078</v>
      </c>
      <c r="AX881" s="162" t="s">
        <v>2074</v>
      </c>
      <c r="AY881" s="15">
        <v>168</v>
      </c>
      <c r="AZ881" s="555" t="s">
        <v>3843</v>
      </c>
      <c r="BA881" s="559">
        <f>IF(Verso!$B$10=Voies!$B881,1,0)</f>
        <v>0</v>
      </c>
      <c r="BB881" s="12">
        <f>IF(Verso!$B$11=Voies!$B881,1,0)</f>
        <v>0</v>
      </c>
      <c r="BC881" s="12">
        <f>IF(Verso!$B$12=Voies!$B881,1,0)</f>
        <v>0</v>
      </c>
      <c r="BD881" s="12">
        <f>IF(Verso!$B$13=Voies!$B881,1,0)</f>
        <v>0</v>
      </c>
      <c r="BE881" s="12">
        <f>IF(Verso!$B$14=Voies!$B881,1,0)</f>
        <v>0</v>
      </c>
      <c r="BF881" s="12">
        <f>IF(Verso!$B$15=Voies!$B881,1,0)</f>
        <v>0</v>
      </c>
      <c r="BG881" s="12">
        <f>IF(Verso!$B$16=Voies!$B881,1,0)</f>
        <v>0</v>
      </c>
      <c r="BH881" s="12">
        <f>IF(Verso!$B$17=Voies!$B881,1,0)</f>
        <v>0</v>
      </c>
      <c r="BI881" s="557">
        <f t="shared" si="96"/>
        <v>0</v>
      </c>
      <c r="BJ881" s="196" t="str">
        <f t="shared" si="97"/>
        <v/>
      </c>
      <c r="BK881" s="196" t="str">
        <f t="shared" si="98"/>
        <v/>
      </c>
      <c r="BL881" s="295" t="str">
        <f t="shared" si="99"/>
        <v/>
      </c>
    </row>
    <row r="882" spans="1:65" ht="47.25" customHeight="1" x14ac:dyDescent="0.25">
      <c r="A882" s="162" t="str">
        <f>IF(AND(Réputation&gt;Voies!E882-1,OR(C882=TRUE,Calculs!$I$8&gt;0),Air&gt;Voies!J882-1,Eau&gt;Voies!K882-1,Feu&gt;Voies!L882-1,Terre&gt;Voies!M882-1,Vide&gt;Voies!N882-1,Constitution&gt;Voies!O882-1,Volonté&gt;Voies!P882-1,Force&gt;Voies!Q882-1,Perception&gt;Voies!R882-1,Reflexes&gt;Voies!S882-1,Agilité&gt;Voies!T882-1,Intuition&gt;Voies!U882-1,Intelligence&gt;Voies!V882-1,Souillure&gt;Voies!W882-1,Honneur&gt;X882-1,Statut&gt;Y882-1,Gloire&gt;Z882-1,AV882=TRUE),Voies!B882,"")</f>
        <v/>
      </c>
      <c r="B882" s="162" t="s">
        <v>3779</v>
      </c>
      <c r="C882" s="162" t="b">
        <v>1</v>
      </c>
      <c r="D882" s="388" t="s">
        <v>61</v>
      </c>
      <c r="E882" s="199">
        <v>2</v>
      </c>
      <c r="F882" s="199">
        <v>2</v>
      </c>
      <c r="G882" s="199" t="s">
        <v>2049</v>
      </c>
      <c r="H882" s="162" t="s">
        <v>292</v>
      </c>
      <c r="I882" s="129" t="s">
        <v>3744</v>
      </c>
      <c r="J882" s="146">
        <v>0</v>
      </c>
      <c r="K882" s="147">
        <v>0</v>
      </c>
      <c r="L882" s="148">
        <v>0</v>
      </c>
      <c r="M882" s="149">
        <v>0</v>
      </c>
      <c r="N882" s="150">
        <v>0</v>
      </c>
      <c r="O882" s="130">
        <v>0</v>
      </c>
      <c r="P882" s="130">
        <v>0</v>
      </c>
      <c r="Q882" s="130">
        <v>0</v>
      </c>
      <c r="R882" s="130">
        <v>0</v>
      </c>
      <c r="S882" s="130">
        <v>0</v>
      </c>
      <c r="T882" s="130">
        <v>0</v>
      </c>
      <c r="U882" s="130">
        <v>0</v>
      </c>
      <c r="V882" s="524">
        <v>0</v>
      </c>
      <c r="W882" s="130">
        <v>0</v>
      </c>
      <c r="X882" s="130">
        <v>0</v>
      </c>
      <c r="Y882" s="130">
        <v>0</v>
      </c>
      <c r="Z882" s="130">
        <v>0</v>
      </c>
      <c r="AA882" s="158" t="s">
        <v>2078</v>
      </c>
      <c r="AB882" s="158"/>
      <c r="AC882" s="158"/>
      <c r="AD882" s="158"/>
      <c r="AE882" s="158" t="b">
        <f>IF(AB882="",TRUE,IF(IF(AC882="",VLOOKUP(AB882,Calculs!$A$19:$S$425,19,FALSE),VLOOKUP(AC882,Calculs!$A$19:$S$425,19,FALSE))&gt;=AD882,TRUE,FALSE))</f>
        <v>1</v>
      </c>
      <c r="AF882" s="158"/>
      <c r="AG882" s="158"/>
      <c r="AH882" s="158"/>
      <c r="AI882" s="158" t="b">
        <f>IF(AF882="",TRUE,IF(IF(AG882="",VLOOKUP(AF882,Calculs!$A$19:$S$425,19,FALSE),VLOOKUP(AG882,Calculs!$A$19:$S$425,19,FALSE))&gt;=AH882,TRUE,FALSE))</f>
        <v>1</v>
      </c>
      <c r="AJ882" s="158"/>
      <c r="AK882" s="158"/>
      <c r="AL882" s="158"/>
      <c r="AM882" s="158" t="b">
        <f>IF(AJ882="",TRUE,IF(IF(AK882="",VLOOKUP(AJ882,Calculs!$A$19:$S$425,19,FALSE),VLOOKUP(AK882,Calculs!$A$19:$S$425,19,FALSE))&gt;=AL882,TRUE,FALSE))</f>
        <v>1</v>
      </c>
      <c r="AN882" s="158"/>
      <c r="AO882" s="158"/>
      <c r="AP882" s="158"/>
      <c r="AQ882" s="158" t="b">
        <f>IF(AN882="",TRUE,IF(IF(AO882="",VLOOKUP(AN882,Calculs!$A$19:$S$425,19,FALSE),VLOOKUP(AO882,Calculs!$A$19:$S$425,19,FALSE))&gt;=AP882,TRUE,FALSE))</f>
        <v>1</v>
      </c>
      <c r="AR882" s="158"/>
      <c r="AS882" s="158" t="b">
        <f>IF(AR882="",TRUE,IF(VLOOKUP(AR882,Calculs!$A$427:$G$738,7,FALSE)&gt;0,TRUE,FALSE))</f>
        <v>1</v>
      </c>
      <c r="AT882" s="158"/>
      <c r="AU882" s="158" t="b">
        <f>IF(AT882="",TRUE,IF(VLOOKUP(AT882,Calculs!$A$740:$G$912,7,FALSE)&gt;0,TRUE,FALSE))</f>
        <v>1</v>
      </c>
      <c r="AV882" s="158" t="b">
        <f t="shared" si="95"/>
        <v>1</v>
      </c>
      <c r="AW882" s="158" t="s">
        <v>2078</v>
      </c>
      <c r="AX882" s="162" t="s">
        <v>2080</v>
      </c>
      <c r="AY882" s="15">
        <v>234</v>
      </c>
      <c r="AZ882" s="555" t="str">
        <f>CONCATENATE("En posture de Centre et au Round immédiatement après avoir quitté cette posture, ajoutez un bonus de ",Vide*2," à votre ND d'armure ")</f>
        <v xml:space="preserve">En posture de Centre et au Round immédiatement après avoir quitté cette posture, ajoutez un bonus de 4 à votre ND d'armure </v>
      </c>
      <c r="BA882" s="559">
        <f>IF(Verso!$B$10=Voies!$B882,1,0)</f>
        <v>0</v>
      </c>
      <c r="BB882" s="12">
        <f>IF(Verso!$B$11=Voies!$B882,1,0)</f>
        <v>0</v>
      </c>
      <c r="BC882" s="12">
        <f>IF(Verso!$B$12=Voies!$B882,1,0)</f>
        <v>0</v>
      </c>
      <c r="BD882" s="12">
        <f>IF(Verso!$B$13=Voies!$B882,1,0)</f>
        <v>0</v>
      </c>
      <c r="BE882" s="12">
        <f>IF(Verso!$B$14=Voies!$B882,1,0)</f>
        <v>0</v>
      </c>
      <c r="BF882" s="12">
        <f>IF(Verso!$B$15=Voies!$B882,1,0)</f>
        <v>0</v>
      </c>
      <c r="BG882" s="12">
        <f>IF(Verso!$B$16=Voies!$B882,1,0)</f>
        <v>0</v>
      </c>
      <c r="BH882" s="12">
        <f>IF(Verso!$B$17=Voies!$B882,1,0)</f>
        <v>0</v>
      </c>
      <c r="BI882" s="557">
        <f t="shared" si="96"/>
        <v>0</v>
      </c>
      <c r="BJ882" s="196" t="str">
        <f t="shared" si="97"/>
        <v/>
      </c>
      <c r="BK882" s="196" t="str">
        <f t="shared" si="98"/>
        <v/>
      </c>
      <c r="BL882" s="295" t="str">
        <f t="shared" si="99"/>
        <v/>
      </c>
    </row>
    <row r="883" spans="1:65" ht="47.25" customHeight="1" x14ac:dyDescent="0.25">
      <c r="A883" s="162" t="str">
        <f>IF(AND(Réputation&gt;Voies!E883-1,OR(C883=TRUE,Calculs!$I$8&gt;0),Air&gt;Voies!J883-1,Eau&gt;Voies!K883-1,Feu&gt;Voies!L883-1,Terre&gt;Voies!M883-1,Vide&gt;Voies!N883-1,Constitution&gt;Voies!O883-1,Volonté&gt;Voies!P883-1,Force&gt;Voies!Q883-1,Perception&gt;Voies!R883-1,Reflexes&gt;Voies!S883-1,Agilité&gt;Voies!T883-1,Intuition&gt;Voies!U883-1,Intelligence&gt;Voies!V883-1,Souillure&gt;Voies!W883-1,Honneur&gt;X883-1,Statut&gt;Y883-1,Gloire&gt;Z883-1,AV883=TRUE),Voies!B883,"")</f>
        <v/>
      </c>
      <c r="B883" s="162" t="s">
        <v>3845</v>
      </c>
      <c r="C883" s="162" t="b">
        <v>1</v>
      </c>
      <c r="D883" s="387" t="s">
        <v>61</v>
      </c>
      <c r="E883" s="201">
        <v>2</v>
      </c>
      <c r="F883" s="201">
        <v>2</v>
      </c>
      <c r="G883" s="201" t="s">
        <v>2049</v>
      </c>
      <c r="H883" s="355" t="s">
        <v>1938</v>
      </c>
      <c r="I883" s="129" t="s">
        <v>3844</v>
      </c>
      <c r="J883" s="146">
        <v>0</v>
      </c>
      <c r="K883" s="147">
        <v>0</v>
      </c>
      <c r="L883" s="148">
        <v>0</v>
      </c>
      <c r="M883" s="149">
        <v>0</v>
      </c>
      <c r="N883" s="150">
        <v>0</v>
      </c>
      <c r="O883" s="130">
        <v>0</v>
      </c>
      <c r="P883" s="130">
        <v>0</v>
      </c>
      <c r="Q883" s="130">
        <v>0</v>
      </c>
      <c r="R883" s="130">
        <v>0</v>
      </c>
      <c r="S883" s="130">
        <v>0</v>
      </c>
      <c r="T883" s="130">
        <v>0</v>
      </c>
      <c r="U883" s="130">
        <v>0</v>
      </c>
      <c r="V883" s="524">
        <v>0</v>
      </c>
      <c r="W883" s="130">
        <v>0</v>
      </c>
      <c r="X883" s="130">
        <v>0</v>
      </c>
      <c r="Y883" s="130">
        <v>0</v>
      </c>
      <c r="Z883" s="130">
        <v>0</v>
      </c>
      <c r="AA883" s="158" t="s">
        <v>2078</v>
      </c>
      <c r="AB883" s="158"/>
      <c r="AC883" s="158"/>
      <c r="AD883" s="158"/>
      <c r="AE883" s="158" t="b">
        <f>IF(AB883="",TRUE,IF(IF(AC883="",VLOOKUP(AB883,Calculs!$A$19:$S$425,19,FALSE),VLOOKUP(AC883,Calculs!$A$19:$S$425,19,FALSE))&gt;=AD883,TRUE,FALSE))</f>
        <v>1</v>
      </c>
      <c r="AF883" s="158"/>
      <c r="AG883" s="158"/>
      <c r="AH883" s="158"/>
      <c r="AI883" s="158" t="b">
        <f>IF(AF883="",TRUE,IF(IF(AG883="",VLOOKUP(AF883,Calculs!$A$19:$S$425,19,FALSE),VLOOKUP(AG883,Calculs!$A$19:$S$425,19,FALSE))&gt;=AH883,TRUE,FALSE))</f>
        <v>1</v>
      </c>
      <c r="AJ883" s="158"/>
      <c r="AK883" s="158"/>
      <c r="AL883" s="158"/>
      <c r="AM883" s="158" t="b">
        <f>IF(AJ883="",TRUE,IF(IF(AK883="",VLOOKUP(AJ883,Calculs!$A$19:$S$425,19,FALSE),VLOOKUP(AK883,Calculs!$A$19:$S$425,19,FALSE))&gt;=AL883,TRUE,FALSE))</f>
        <v>1</v>
      </c>
      <c r="AN883" s="158"/>
      <c r="AO883" s="158"/>
      <c r="AP883" s="158"/>
      <c r="AQ883" s="158" t="b">
        <f>IF(AN883="",TRUE,IF(IF(AO883="",VLOOKUP(AN883,Calculs!$A$19:$S$425,19,FALSE),VLOOKUP(AO883,Calculs!$A$19:$S$425,19,FALSE))&gt;=AP883,TRUE,FALSE))</f>
        <v>1</v>
      </c>
      <c r="AR883" s="158"/>
      <c r="AS883" s="158" t="b">
        <f>IF(AR883="",TRUE,IF(VLOOKUP(AR883,Calculs!$A$427:$G$738,7,FALSE)&gt;0,TRUE,FALSE))</f>
        <v>1</v>
      </c>
      <c r="AT883" s="158"/>
      <c r="AU883" s="158" t="b">
        <f>IF(AT883="",TRUE,IF(VLOOKUP(AT883,Calculs!$A$740:$G$912,7,FALSE)&gt;0,TRUE,FALSE))</f>
        <v>1</v>
      </c>
      <c r="AV883" s="158" t="b">
        <f t="shared" si="95"/>
        <v>1</v>
      </c>
      <c r="AW883" s="158" t="s">
        <v>2078</v>
      </c>
      <c r="AX883" s="162" t="s">
        <v>2074</v>
      </c>
      <c r="AY883" s="15">
        <v>169</v>
      </c>
      <c r="AZ883" s="555" t="s">
        <v>3846</v>
      </c>
      <c r="BA883" s="559">
        <f>IF(Verso!$B$10=Voies!$B883,1,0)</f>
        <v>0</v>
      </c>
      <c r="BB883" s="12">
        <f>IF(Verso!$B$11=Voies!$B883,1,0)</f>
        <v>0</v>
      </c>
      <c r="BC883" s="12">
        <f>IF(Verso!$B$12=Voies!$B883,1,0)</f>
        <v>0</v>
      </c>
      <c r="BD883" s="12">
        <f>IF(Verso!$B$13=Voies!$B883,1,0)</f>
        <v>0</v>
      </c>
      <c r="BE883" s="12">
        <f>IF(Verso!$B$14=Voies!$B883,1,0)</f>
        <v>0</v>
      </c>
      <c r="BF883" s="12">
        <f>IF(Verso!$B$15=Voies!$B883,1,0)</f>
        <v>0</v>
      </c>
      <c r="BG883" s="12">
        <f>IF(Verso!$B$16=Voies!$B883,1,0)</f>
        <v>0</v>
      </c>
      <c r="BH883" s="12">
        <f>IF(Verso!$B$17=Voies!$B883,1,0)</f>
        <v>0</v>
      </c>
      <c r="BI883" s="557">
        <f t="shared" si="96"/>
        <v>0</v>
      </c>
      <c r="BJ883" s="196" t="str">
        <f t="shared" si="97"/>
        <v/>
      </c>
      <c r="BK883" s="196" t="str">
        <f t="shared" si="98"/>
        <v/>
      </c>
      <c r="BL883" s="295" t="str">
        <f t="shared" si="99"/>
        <v/>
      </c>
    </row>
    <row r="884" spans="1:65" s="196" customFormat="1" ht="47.25" customHeight="1" x14ac:dyDescent="0.25">
      <c r="A884" s="162" t="str">
        <f>IF(AND(Réputation&gt;Voies!E884-1,OR(C884=TRUE,Calculs!$I$8&gt;0),Air&gt;Voies!J884-1,Eau&gt;Voies!K884-1,Feu&gt;Voies!L884-1,Terre&gt;Voies!M884-1,Vide&gt;Voies!N884-1,Constitution&gt;Voies!O884-1,Volonté&gt;Voies!P884-1,Force&gt;Voies!Q884-1,Perception&gt;Voies!R884-1,Reflexes&gt;Voies!S884-1,Agilité&gt;Voies!T884-1,Intuition&gt;Voies!U884-1,Intelligence&gt;Voies!V884-1,Souillure&gt;Voies!W884-1,Honneur&gt;X884-1,Statut&gt;Y884-1,Gloire&gt;Z884-1,AV884=TRUE),Voies!B884,"")</f>
        <v/>
      </c>
      <c r="B884" s="162" t="s">
        <v>8049</v>
      </c>
      <c r="C884" s="162" t="b">
        <v>1</v>
      </c>
      <c r="D884" s="387" t="s">
        <v>61</v>
      </c>
      <c r="E884" s="201">
        <v>2</v>
      </c>
      <c r="F884" s="201">
        <v>2</v>
      </c>
      <c r="G884" s="201" t="s">
        <v>2049</v>
      </c>
      <c r="H884" s="162" t="s">
        <v>8047</v>
      </c>
      <c r="I884" s="129" t="s">
        <v>8048</v>
      </c>
      <c r="J884" s="146">
        <v>0</v>
      </c>
      <c r="K884" s="147">
        <v>0</v>
      </c>
      <c r="L884" s="148">
        <v>0</v>
      </c>
      <c r="M884" s="149">
        <v>0</v>
      </c>
      <c r="N884" s="150">
        <v>0</v>
      </c>
      <c r="O884" s="130">
        <v>0</v>
      </c>
      <c r="P884" s="130">
        <v>3</v>
      </c>
      <c r="Q884" s="130">
        <v>0</v>
      </c>
      <c r="R884" s="130">
        <v>0</v>
      </c>
      <c r="S884" s="130">
        <v>0</v>
      </c>
      <c r="T884" s="130">
        <v>0</v>
      </c>
      <c r="U884" s="130">
        <v>0</v>
      </c>
      <c r="V884" s="524">
        <v>0</v>
      </c>
      <c r="W884" s="130">
        <v>0</v>
      </c>
      <c r="X884" s="130">
        <v>0</v>
      </c>
      <c r="Y884" s="130">
        <v>0</v>
      </c>
      <c r="Z884" s="130">
        <v>0</v>
      </c>
      <c r="AA884" s="158" t="s">
        <v>2078</v>
      </c>
      <c r="AB884" s="158"/>
      <c r="AC884" s="158"/>
      <c r="AD884" s="158"/>
      <c r="AE884" s="158" t="b">
        <f>IF(AB884="",TRUE,IF(IF(AC884="",VLOOKUP(AB884,Calculs!$A$19:$S$425,19,FALSE),VLOOKUP(AC884,Calculs!$A$19:$S$425,19,FALSE))&gt;=AD884,TRUE,FALSE))</f>
        <v>1</v>
      </c>
      <c r="AF884" s="158"/>
      <c r="AG884" s="158"/>
      <c r="AH884" s="158"/>
      <c r="AI884" s="158" t="b">
        <f>IF(AF884="",TRUE,IF(IF(AG884="",VLOOKUP(AF884,Calculs!$A$19:$S$425,19,FALSE),VLOOKUP(AG884,Calculs!$A$19:$S$425,19,FALSE))&gt;=AH884,TRUE,FALSE))</f>
        <v>1</v>
      </c>
      <c r="AJ884" s="158"/>
      <c r="AK884" s="158"/>
      <c r="AL884" s="158"/>
      <c r="AM884" s="158" t="b">
        <f>IF(AJ884="",TRUE,IF(IF(AK884="",VLOOKUP(AJ884,Calculs!$A$19:$S$425,19,FALSE),VLOOKUP(AK884,Calculs!$A$19:$S$425,19,FALSE))&gt;=AL884,TRUE,FALSE))</f>
        <v>1</v>
      </c>
      <c r="AN884" s="158"/>
      <c r="AO884" s="158"/>
      <c r="AP884" s="158"/>
      <c r="AQ884" s="158" t="b">
        <f>IF(AN884="",TRUE,IF(IF(AO884="",VLOOKUP(AN884,Calculs!$A$19:$S$425,19,FALSE),VLOOKUP(AO884,Calculs!$A$19:$S$425,19,FALSE))&gt;=AP884,TRUE,FALSE))</f>
        <v>1</v>
      </c>
      <c r="AR884" s="158"/>
      <c r="AS884" s="158" t="b">
        <f>IF(AR884="",TRUE,IF(VLOOKUP(AR884,Calculs!$A$427:$G$738,7,FALSE)&gt;0,TRUE,FALSE))</f>
        <v>1</v>
      </c>
      <c r="AT884" s="158"/>
      <c r="AU884" s="158" t="b">
        <f>IF(AT884="",TRUE,IF(VLOOKUP(AT884,Calculs!$A$740:$G$912,7,FALSE)&gt;0,TRUE,FALSE))</f>
        <v>1</v>
      </c>
      <c r="AV884" s="158" t="b">
        <f t="shared" si="95"/>
        <v>1</v>
      </c>
      <c r="AW884" s="158" t="s">
        <v>2078</v>
      </c>
      <c r="AX884" s="162" t="s">
        <v>8021</v>
      </c>
      <c r="AY884" s="15">
        <v>38</v>
      </c>
      <c r="AZ884" s="555" t="str">
        <f>CONCATENATE("Vous pouvez dépenser un Pvide en ActG pour gagner un effet de Peur égal à ",Réputation," jusqu'à la fin du round suivant.")</f>
        <v>Vous pouvez dépenser un Pvide en ActG pour gagner un effet de Peur égal à 1 jusqu'à la fin du round suivant.</v>
      </c>
      <c r="BA884" s="559">
        <f>IF(Verso!$B$10=Voies!$B884,1,0)</f>
        <v>0</v>
      </c>
      <c r="BB884" s="12">
        <f>IF(Verso!$B$11=Voies!$B884,1,0)</f>
        <v>0</v>
      </c>
      <c r="BC884" s="12">
        <f>IF(Verso!$B$12=Voies!$B884,1,0)</f>
        <v>0</v>
      </c>
      <c r="BD884" s="12">
        <f>IF(Verso!$B$13=Voies!$B884,1,0)</f>
        <v>0</v>
      </c>
      <c r="BE884" s="12">
        <f>IF(Verso!$B$14=Voies!$B884,1,0)</f>
        <v>0</v>
      </c>
      <c r="BF884" s="12">
        <f>IF(Verso!$B$15=Voies!$B884,1,0)</f>
        <v>0</v>
      </c>
      <c r="BG884" s="12">
        <f>IF(Verso!$B$16=Voies!$B884,1,0)</f>
        <v>0</v>
      </c>
      <c r="BH884" s="12">
        <f>IF(Verso!$B$17=Voies!$B884,1,0)</f>
        <v>0</v>
      </c>
      <c r="BI884" s="557">
        <f t="shared" si="96"/>
        <v>0</v>
      </c>
      <c r="BJ884" s="196" t="str">
        <f t="shared" si="97"/>
        <v/>
      </c>
      <c r="BK884" s="196" t="str">
        <f t="shared" si="98"/>
        <v/>
      </c>
      <c r="BL884" s="295" t="str">
        <f t="shared" si="99"/>
        <v/>
      </c>
      <c r="BM884" s="91"/>
    </row>
    <row r="885" spans="1:65" ht="47.25" customHeight="1" x14ac:dyDescent="0.25">
      <c r="A885" s="162" t="str">
        <f>IF(AND(Réputation&gt;Voies!E885-1,OR(C885=TRUE,Calculs!$I$8&gt;0),Air&gt;Voies!J885-1,Eau&gt;Voies!K885-1,Feu&gt;Voies!L885-1,Terre&gt;Voies!M885-1,Vide&gt;Voies!N885-1,Constitution&gt;Voies!O885-1,Volonté&gt;Voies!P885-1,Force&gt;Voies!Q885-1,Perception&gt;Voies!R885-1,Reflexes&gt;Voies!S885-1,Agilité&gt;Voies!T885-1,Intuition&gt;Voies!U885-1,Intelligence&gt;Voies!V885-1,Souillure&gt;Voies!W885-1,Honneur&gt;X885-1,Statut&gt;Y885-1,Gloire&gt;Z885-1,AV885=TRUE),Voies!B885,"")</f>
        <v/>
      </c>
      <c r="B885" s="162" t="s">
        <v>3565</v>
      </c>
      <c r="C885" s="162" t="b">
        <v>1</v>
      </c>
      <c r="D885" s="388" t="s">
        <v>61</v>
      </c>
      <c r="E885" s="13">
        <v>2</v>
      </c>
      <c r="F885" s="199">
        <v>2</v>
      </c>
      <c r="G885" s="199" t="s">
        <v>2049</v>
      </c>
      <c r="H885" s="162" t="s">
        <v>623</v>
      </c>
      <c r="I885" s="129" t="s">
        <v>3341</v>
      </c>
      <c r="J885" s="146">
        <v>0</v>
      </c>
      <c r="K885" s="147">
        <v>0</v>
      </c>
      <c r="L885" s="148">
        <v>0</v>
      </c>
      <c r="M885" s="149">
        <v>0</v>
      </c>
      <c r="N885" s="150">
        <v>0</v>
      </c>
      <c r="O885" s="130">
        <v>0</v>
      </c>
      <c r="P885" s="130">
        <v>0</v>
      </c>
      <c r="Q885" s="130">
        <v>0</v>
      </c>
      <c r="R885" s="130">
        <v>0</v>
      </c>
      <c r="S885" s="130">
        <v>0</v>
      </c>
      <c r="T885" s="130">
        <v>0</v>
      </c>
      <c r="U885" s="130">
        <v>0</v>
      </c>
      <c r="V885" s="524">
        <v>0</v>
      </c>
      <c r="W885" s="130">
        <v>0</v>
      </c>
      <c r="X885" s="130">
        <v>4</v>
      </c>
      <c r="Y885" s="130">
        <v>0</v>
      </c>
      <c r="Z885" s="130">
        <v>0</v>
      </c>
      <c r="AA885" s="159" t="s">
        <v>3564</v>
      </c>
      <c r="AB885" s="159" t="s">
        <v>311</v>
      </c>
      <c r="AD885" s="159">
        <v>1</v>
      </c>
      <c r="AE885" s="158" t="b">
        <f>IF(AB885="",TRUE,IF(IF(AC885="",VLOOKUP(AB885,Calculs!$A$19:$S$425,19,FALSE),VLOOKUP(AC885,Calculs!$A$19:$S$425,19,FALSE))&gt;=AD885,TRUE,FALSE))</f>
        <v>0</v>
      </c>
      <c r="AF885" s="159" t="s">
        <v>1268</v>
      </c>
      <c r="AH885" s="159">
        <v>2</v>
      </c>
      <c r="AI885" s="158" t="b">
        <f>IF(AF885="",TRUE,IF(IF(AG885="",VLOOKUP(AF885,Calculs!$A$19:$S$425,19,FALSE),VLOOKUP(AG885,Calculs!$A$19:$S$425,19,FALSE))&gt;=AH885,TRUE,FALSE))</f>
        <v>0</v>
      </c>
      <c r="AM885" s="158" t="b">
        <f>IF(AJ885="",TRUE,IF(IF(AK885="",VLOOKUP(AJ885,Calculs!$A$19:$S$425,19,FALSE),VLOOKUP(AK885,Calculs!$A$19:$S$425,19,FALSE))&gt;=AL885,TRUE,FALSE))</f>
        <v>1</v>
      </c>
      <c r="AQ885" s="158" t="b">
        <f>IF(AN885="",TRUE,IF(IF(AO885="",VLOOKUP(AN885,Calculs!$A$19:$S$425,19,FALSE),VLOOKUP(AO885,Calculs!$A$19:$S$425,19,FALSE))&gt;=AP885,TRUE,FALSE))</f>
        <v>1</v>
      </c>
      <c r="AR885" s="158"/>
      <c r="AS885" s="158" t="b">
        <f>IF(AR885="",TRUE,IF(VLOOKUP(AR885,Calculs!$A$427:$G$738,7,FALSE)&gt;0,TRUE,FALSE))</f>
        <v>1</v>
      </c>
      <c r="AT885" s="158"/>
      <c r="AU885" s="158" t="b">
        <f>IF(AT885="",TRUE,IF(VLOOKUP(AT885,Calculs!$A$740:$G$912,7,FALSE)&gt;0,TRUE,FALSE))</f>
        <v>1</v>
      </c>
      <c r="AV885" s="158" t="b">
        <f t="shared" si="95"/>
        <v>0</v>
      </c>
      <c r="AW885" s="158" t="s">
        <v>2078</v>
      </c>
      <c r="AX885" s="162" t="s">
        <v>2075</v>
      </c>
      <c r="AY885" s="15">
        <v>203</v>
      </c>
      <c r="AZ885" s="555" t="s">
        <v>3566</v>
      </c>
      <c r="BA885" s="559">
        <f>IF(Verso!$B$10=Voies!$B885,1,0)</f>
        <v>0</v>
      </c>
      <c r="BB885" s="12">
        <f>IF(Verso!$B$11=Voies!$B885,1,0)</f>
        <v>0</v>
      </c>
      <c r="BC885" s="12">
        <f>IF(Verso!$B$12=Voies!$B885,1,0)</f>
        <v>0</v>
      </c>
      <c r="BD885" s="12">
        <f>IF(Verso!$B$13=Voies!$B885,1,0)</f>
        <v>0</v>
      </c>
      <c r="BE885" s="12">
        <f>IF(Verso!$B$14=Voies!$B885,1,0)</f>
        <v>0</v>
      </c>
      <c r="BF885" s="12">
        <f>IF(Verso!$B$15=Voies!$B885,1,0)</f>
        <v>0</v>
      </c>
      <c r="BG885" s="12">
        <f>IF(Verso!$B$16=Voies!$B885,1,0)</f>
        <v>0</v>
      </c>
      <c r="BH885" s="12">
        <f>IF(Verso!$B$17=Voies!$B885,1,0)</f>
        <v>0</v>
      </c>
      <c r="BI885" s="557">
        <f t="shared" si="96"/>
        <v>0</v>
      </c>
      <c r="BJ885" s="196" t="str">
        <f t="shared" si="97"/>
        <v/>
      </c>
      <c r="BK885" s="196" t="str">
        <f t="shared" si="98"/>
        <v/>
      </c>
      <c r="BL885" s="295" t="str">
        <f t="shared" si="99"/>
        <v/>
      </c>
    </row>
    <row r="886" spans="1:65" ht="47.25" customHeight="1" x14ac:dyDescent="0.25">
      <c r="A886" s="162" t="str">
        <f>IF(AND(Réputation&gt;Voies!E886-1,OR(C886=TRUE,Calculs!$I$8&gt;0),Air&gt;Voies!J886-1,Eau&gt;Voies!K886-1,Feu&gt;Voies!L886-1,Terre&gt;Voies!M886-1,Vide&gt;Voies!N886-1,Constitution&gt;Voies!O886-1,Volonté&gt;Voies!P886-1,Force&gt;Voies!Q886-1,Perception&gt;Voies!R886-1,Reflexes&gt;Voies!S886-1,Agilité&gt;Voies!T886-1,Intuition&gt;Voies!U886-1,Intelligence&gt;Voies!V886-1,Souillure&gt;Voies!W886-1,Honneur&gt;X886-1,Statut&gt;Y886-1,Gloire&gt;Z886-1,AV886=TRUE),Voies!B886,"")</f>
        <v/>
      </c>
      <c r="B886" s="162" t="s">
        <v>3568</v>
      </c>
      <c r="C886" s="162" t="b">
        <v>1</v>
      </c>
      <c r="D886" s="388" t="s">
        <v>61</v>
      </c>
      <c r="E886" s="199">
        <v>2</v>
      </c>
      <c r="F886" s="199">
        <v>2</v>
      </c>
      <c r="G886" s="199" t="s">
        <v>2049</v>
      </c>
      <c r="H886" s="162" t="s">
        <v>275</v>
      </c>
      <c r="I886" s="129" t="s">
        <v>3341</v>
      </c>
      <c r="J886" s="146">
        <v>0</v>
      </c>
      <c r="K886" s="147">
        <v>0</v>
      </c>
      <c r="L886" s="148">
        <v>0</v>
      </c>
      <c r="M886" s="149">
        <v>0</v>
      </c>
      <c r="N886" s="150">
        <v>0</v>
      </c>
      <c r="O886" s="130">
        <v>0</v>
      </c>
      <c r="P886" s="130">
        <v>0</v>
      </c>
      <c r="Q886" s="130">
        <v>0</v>
      </c>
      <c r="R886" s="130">
        <v>0</v>
      </c>
      <c r="S886" s="130">
        <v>0</v>
      </c>
      <c r="T886" s="130">
        <v>0</v>
      </c>
      <c r="U886" s="130">
        <v>0</v>
      </c>
      <c r="V886" s="524">
        <v>0</v>
      </c>
      <c r="W886" s="130">
        <v>0</v>
      </c>
      <c r="X886" s="130">
        <v>5</v>
      </c>
      <c r="Y886" s="130">
        <v>0</v>
      </c>
      <c r="Z886" s="130">
        <v>0</v>
      </c>
      <c r="AA886" s="159" t="s">
        <v>6347</v>
      </c>
      <c r="AB886" s="159" t="s">
        <v>3325</v>
      </c>
      <c r="AC886" s="159" t="s">
        <v>3189</v>
      </c>
      <c r="AD886" s="159">
        <v>3</v>
      </c>
      <c r="AE886" s="158" t="b">
        <f>IF(AB886="",TRUE,IF(IF(AC886="",VLOOKUP(AB886,Calculs!$A$19:$S$425,19,FALSE),VLOOKUP(AC886,Calculs!$A$19:$S$425,19,FALSE))&gt;=AD886,TRUE,FALSE))</f>
        <v>0</v>
      </c>
      <c r="AI886" s="158" t="b">
        <f>IF(AF886="",TRUE,IF(IF(AG886="",VLOOKUP(AF886,Calculs!$A$19:$S$425,19,FALSE),VLOOKUP(AG886,Calculs!$A$19:$S$425,19,FALSE))&gt;=AH886,TRUE,FALSE))</f>
        <v>1</v>
      </c>
      <c r="AM886" s="158" t="b">
        <f>IF(AJ886="",TRUE,IF(IF(AK886="",VLOOKUP(AJ886,Calculs!$A$19:$S$425,19,FALSE),VLOOKUP(AK886,Calculs!$A$19:$S$425,19,FALSE))&gt;=AL886,TRUE,FALSE))</f>
        <v>1</v>
      </c>
      <c r="AQ886" s="158" t="b">
        <f>IF(AN886="",TRUE,IF(IF(AO886="",VLOOKUP(AN886,Calculs!$A$19:$S$425,19,FALSE),VLOOKUP(AO886,Calculs!$A$19:$S$425,19,FALSE))&gt;=AP886,TRUE,FALSE))</f>
        <v>1</v>
      </c>
      <c r="AR886" s="158"/>
      <c r="AS886" s="158" t="b">
        <f>IF(AR886="",TRUE,IF(VLOOKUP(AR886,Calculs!$A$427:$G$738,7,FALSE)&gt;0,TRUE,FALSE))</f>
        <v>1</v>
      </c>
      <c r="AT886" s="158"/>
      <c r="AU886" s="158" t="b">
        <f>IF(AT886="",TRUE,IF(VLOOKUP(AT886,Calculs!$A$740:$G$912,7,FALSE)&gt;0,TRUE,FALSE))</f>
        <v>1</v>
      </c>
      <c r="AV886" s="158" t="b">
        <f t="shared" si="95"/>
        <v>0</v>
      </c>
      <c r="AW886" s="159" t="s">
        <v>3567</v>
      </c>
      <c r="AX886" s="162" t="s">
        <v>2075</v>
      </c>
      <c r="AY886" s="15">
        <v>203</v>
      </c>
      <c r="AZ886" s="566" t="s">
        <v>3569</v>
      </c>
      <c r="BA886" s="559">
        <f>IF(Verso!$B$10=Voies!$B886,1,0)</f>
        <v>0</v>
      </c>
      <c r="BB886" s="12">
        <f>IF(Verso!$B$11=Voies!$B886,1,0)</f>
        <v>0</v>
      </c>
      <c r="BC886" s="12">
        <f>IF(Verso!$B$12=Voies!$B886,1,0)</f>
        <v>0</v>
      </c>
      <c r="BD886" s="12">
        <f>IF(Verso!$B$13=Voies!$B886,1,0)</f>
        <v>0</v>
      </c>
      <c r="BE886" s="12">
        <f>IF(Verso!$B$14=Voies!$B886,1,0)</f>
        <v>0</v>
      </c>
      <c r="BF886" s="12">
        <f>IF(Verso!$B$15=Voies!$B886,1,0)</f>
        <v>0</v>
      </c>
      <c r="BG886" s="12">
        <f>IF(Verso!$B$16=Voies!$B886,1,0)</f>
        <v>0</v>
      </c>
      <c r="BH886" s="12">
        <f>IF(Verso!$B$17=Voies!$B886,1,0)</f>
        <v>0</v>
      </c>
      <c r="BI886" s="557">
        <f t="shared" si="96"/>
        <v>0</v>
      </c>
      <c r="BJ886" s="196" t="str">
        <f t="shared" si="97"/>
        <v/>
      </c>
      <c r="BK886" s="196" t="str">
        <f t="shared" si="98"/>
        <v/>
      </c>
      <c r="BL886" s="295" t="str">
        <f t="shared" si="99"/>
        <v/>
      </c>
    </row>
    <row r="887" spans="1:65" ht="47.25" customHeight="1" x14ac:dyDescent="0.25">
      <c r="A887" s="162" t="str">
        <f>IF(AND(Réputation&gt;Voies!E887-1,OR(C887=TRUE,Calculs!$I$8&gt;0),Air&gt;Voies!J887-1,Eau&gt;Voies!K887-1,Feu&gt;Voies!L887-1,Terre&gt;Voies!M887-1,Vide&gt;Voies!N887-1,Constitution&gt;Voies!O887-1,Volonté&gt;Voies!P887-1,Force&gt;Voies!Q887-1,Perception&gt;Voies!R887-1,Reflexes&gt;Voies!S887-1,Agilité&gt;Voies!T887-1,Intuition&gt;Voies!U887-1,Intelligence&gt;Voies!V887-1,Souillure&gt;Voies!W887-1,Honneur&gt;X887-1,Statut&gt;Y887-1,Gloire&gt;Z887-1,AV887=TRUE),Voies!B887,"")</f>
        <v/>
      </c>
      <c r="B887" s="162" t="s">
        <v>6020</v>
      </c>
      <c r="C887" s="162" t="b">
        <v>1</v>
      </c>
      <c r="D887" s="388" t="s">
        <v>61</v>
      </c>
      <c r="E887" s="13">
        <v>2</v>
      </c>
      <c r="F887" s="199">
        <v>2</v>
      </c>
      <c r="G887" s="199" t="s">
        <v>2049</v>
      </c>
      <c r="H887" s="162" t="s">
        <v>6019</v>
      </c>
      <c r="I887" s="129" t="s">
        <v>3370</v>
      </c>
      <c r="J887" s="146">
        <v>0</v>
      </c>
      <c r="K887" s="147">
        <v>0</v>
      </c>
      <c r="L887" s="148">
        <v>0</v>
      </c>
      <c r="M887" s="149">
        <v>0</v>
      </c>
      <c r="N887" s="150">
        <v>0</v>
      </c>
      <c r="O887" s="130">
        <v>0</v>
      </c>
      <c r="P887" s="130">
        <v>0</v>
      </c>
      <c r="Q887" s="130">
        <v>0</v>
      </c>
      <c r="R887" s="130">
        <v>0</v>
      </c>
      <c r="S887" s="130">
        <v>0</v>
      </c>
      <c r="T887" s="130">
        <v>0</v>
      </c>
      <c r="U887" s="130">
        <v>0</v>
      </c>
      <c r="V887" s="524">
        <v>0</v>
      </c>
      <c r="W887" s="130">
        <v>0</v>
      </c>
      <c r="X887" s="130">
        <v>0</v>
      </c>
      <c r="Y887" s="130">
        <v>0</v>
      </c>
      <c r="Z887" s="130">
        <v>0</v>
      </c>
      <c r="AA887" s="159" t="s">
        <v>6348</v>
      </c>
      <c r="AB887" s="159" t="s">
        <v>3325</v>
      </c>
      <c r="AC887" s="159" t="s">
        <v>3191</v>
      </c>
      <c r="AD887" s="159">
        <v>2</v>
      </c>
      <c r="AE887" s="158" t="b">
        <f>IF(AB887="",TRUE,IF(IF(AC887="",VLOOKUP(AB887,Calculs!$A$19:$S$425,19,FALSE),VLOOKUP(AC887,Calculs!$A$19:$S$425,19,FALSE))&gt;=AD887,TRUE,FALSE))</f>
        <v>0</v>
      </c>
      <c r="AI887" s="158" t="b">
        <f>IF(AF887="",TRUE,IF(IF(AG887="",VLOOKUP(AF887,Calculs!$A$19:$S$425,19,FALSE),VLOOKUP(AG887,Calculs!$A$19:$S$425,19,FALSE))&gt;=AH887,TRUE,FALSE))</f>
        <v>1</v>
      </c>
      <c r="AM887" s="158" t="b">
        <f>IF(AJ887="",TRUE,IF(IF(AK887="",VLOOKUP(AJ887,Calculs!$A$19:$S$425,19,FALSE),VLOOKUP(AK887,Calculs!$A$19:$S$425,19,FALSE))&gt;=AL887,TRUE,FALSE))</f>
        <v>1</v>
      </c>
      <c r="AQ887" s="158" t="b">
        <f>IF(AN887="",TRUE,IF(IF(AO887="",VLOOKUP(AN887,Calculs!$A$19:$S$425,19,FALSE),VLOOKUP(AO887,Calculs!$A$19:$S$425,19,FALSE))&gt;=AP887,TRUE,FALSE))</f>
        <v>1</v>
      </c>
      <c r="AR887" s="158" t="s">
        <v>699</v>
      </c>
      <c r="AS887" s="158" t="b">
        <f>IF(AR887="",TRUE,IF(VLOOKUP(AR887,Calculs!$A$427:$G$738,7,FALSE)&gt;0,TRUE,FALSE))</f>
        <v>0</v>
      </c>
      <c r="AT887" s="158"/>
      <c r="AU887" s="158" t="b">
        <f>IF(AT887="",TRUE,IF(VLOOKUP(AT887,Calculs!$A$740:$G$912,7,FALSE)&gt;0,TRUE,FALSE))</f>
        <v>1</v>
      </c>
      <c r="AV887" s="158" t="b">
        <f t="shared" si="95"/>
        <v>0</v>
      </c>
      <c r="AW887" s="159" t="s">
        <v>6022</v>
      </c>
      <c r="AX887" s="162" t="s">
        <v>6010</v>
      </c>
      <c r="AZ887" s="555" t="s">
        <v>6023</v>
      </c>
      <c r="BA887" s="559">
        <f>IF(Verso!$B$10=Voies!$B887,1,0)</f>
        <v>0</v>
      </c>
      <c r="BB887" s="12">
        <f>IF(Verso!$B$11=Voies!$B887,1,0)</f>
        <v>0</v>
      </c>
      <c r="BC887" s="12">
        <f>IF(Verso!$B$12=Voies!$B887,1,0)</f>
        <v>0</v>
      </c>
      <c r="BD887" s="12">
        <f>IF(Verso!$B$13=Voies!$B887,1,0)</f>
        <v>0</v>
      </c>
      <c r="BE887" s="12">
        <f>IF(Verso!$B$14=Voies!$B887,1,0)</f>
        <v>0</v>
      </c>
      <c r="BF887" s="12">
        <f>IF(Verso!$B$15=Voies!$B887,1,0)</f>
        <v>0</v>
      </c>
      <c r="BG887" s="12">
        <f>IF(Verso!$B$16=Voies!$B887,1,0)</f>
        <v>0</v>
      </c>
      <c r="BH887" s="12">
        <f>IF(Verso!$B$17=Voies!$B887,1,0)</f>
        <v>0</v>
      </c>
      <c r="BI887" s="557">
        <f t="shared" si="96"/>
        <v>0</v>
      </c>
      <c r="BJ887" s="196" t="str">
        <f t="shared" si="97"/>
        <v/>
      </c>
      <c r="BK887" s="196" t="str">
        <f t="shared" si="98"/>
        <v/>
      </c>
      <c r="BL887" s="295" t="str">
        <f t="shared" si="99"/>
        <v/>
      </c>
    </row>
    <row r="888" spans="1:65" ht="47.25" customHeight="1" x14ac:dyDescent="0.25">
      <c r="A888" s="162" t="str">
        <f>IF(AND(Réputation&gt;Voies!E888-1,OR(C888=TRUE,Calculs!$I$8&gt;0),Air&gt;Voies!J888-1,Eau&gt;Voies!K888-1,Feu&gt;Voies!L888-1,Terre&gt;Voies!M888-1,Vide&gt;Voies!N888-1,Constitution&gt;Voies!O888-1,Volonté&gt;Voies!P888-1,Force&gt;Voies!Q888-1,Perception&gt;Voies!R888-1,Reflexes&gt;Voies!S888-1,Agilité&gt;Voies!T888-1,Intuition&gt;Voies!U888-1,Intelligence&gt;Voies!V888-1,Souillure&gt;Voies!W888-1,Honneur&gt;X888-1,Statut&gt;Y888-1,Gloire&gt;Z888-1,AV888=TRUE),Voies!B888,"")</f>
        <v/>
      </c>
      <c r="B888" s="162" t="s">
        <v>2197</v>
      </c>
      <c r="C888" s="162" t="b">
        <v>1</v>
      </c>
      <c r="D888" s="388" t="s">
        <v>61</v>
      </c>
      <c r="E888" s="13">
        <v>2</v>
      </c>
      <c r="F888" s="199">
        <v>2</v>
      </c>
      <c r="G888" s="199" t="s">
        <v>2052</v>
      </c>
      <c r="H888" s="162" t="s">
        <v>574</v>
      </c>
      <c r="I888" s="129" t="s">
        <v>3341</v>
      </c>
      <c r="J888" s="146">
        <v>0</v>
      </c>
      <c r="K888" s="147">
        <v>0</v>
      </c>
      <c r="L888" s="148">
        <v>0</v>
      </c>
      <c r="M888" s="149">
        <v>0</v>
      </c>
      <c r="N888" s="150">
        <v>0</v>
      </c>
      <c r="O888" s="130">
        <v>0</v>
      </c>
      <c r="P888" s="130">
        <v>0</v>
      </c>
      <c r="Q888" s="130">
        <v>0</v>
      </c>
      <c r="R888" s="130">
        <v>0</v>
      </c>
      <c r="S888" s="130">
        <v>0</v>
      </c>
      <c r="T888" s="130">
        <v>0</v>
      </c>
      <c r="U888" s="130">
        <v>0</v>
      </c>
      <c r="V888" s="524">
        <v>0</v>
      </c>
      <c r="W888" s="130">
        <v>0</v>
      </c>
      <c r="X888" s="130">
        <v>0</v>
      </c>
      <c r="Y888" s="130">
        <v>0</v>
      </c>
      <c r="Z888" s="130">
        <v>0</v>
      </c>
      <c r="AA888" s="159" t="s">
        <v>3342</v>
      </c>
      <c r="AB888" s="159" t="s">
        <v>189</v>
      </c>
      <c r="AD888" s="159">
        <v>3</v>
      </c>
      <c r="AE888" s="158" t="b">
        <f>IF(AB888="",TRUE,IF(IF(AC888="",VLOOKUP(AB888,Calculs!$A$19:$S$425,19,FALSE),VLOOKUP(AC888,Calculs!$A$19:$S$425,19,FALSE))&gt;=AD888,TRUE,FALSE))</f>
        <v>0</v>
      </c>
      <c r="AF888" s="159" t="s">
        <v>1208</v>
      </c>
      <c r="AH888" s="159">
        <v>3</v>
      </c>
      <c r="AI888" s="158" t="b">
        <f>IF(AF888="",TRUE,IF(IF(AG888="",VLOOKUP(AF888,Calculs!$A$19:$S$425,19,FALSE),VLOOKUP(AG888,Calculs!$A$19:$S$425,19,FALSE))&gt;=AH888,TRUE,FALSE))</f>
        <v>0</v>
      </c>
      <c r="AM888" s="158" t="b">
        <f>IF(AJ888="",TRUE,IF(IF(AK888="",VLOOKUP(AJ888,Calculs!$A$19:$S$425,19,FALSE),VLOOKUP(AK888,Calculs!$A$19:$S$425,19,FALSE))&gt;=AL888,TRUE,FALSE))</f>
        <v>1</v>
      </c>
      <c r="AQ888" s="158" t="b">
        <f>IF(AN888="",TRUE,IF(IF(AO888="",VLOOKUP(AN888,Calculs!$A$19:$S$425,19,FALSE),VLOOKUP(AO888,Calculs!$A$19:$S$425,19,FALSE))&gt;=AP888,TRUE,FALSE))</f>
        <v>1</v>
      </c>
      <c r="AR888" s="158"/>
      <c r="AS888" s="158" t="b">
        <f>IF(AR888="",TRUE,IF(VLOOKUP(AR888,Calculs!$A$427:$G$738,7,FALSE)&gt;0,TRUE,FALSE))</f>
        <v>1</v>
      </c>
      <c r="AT888" s="158"/>
      <c r="AU888" s="158" t="b">
        <f>IF(AT888="",TRUE,IF(VLOOKUP(AT888,Calculs!$A$740:$G$912,7,FALSE)&gt;0,TRUE,FALSE))</f>
        <v>1</v>
      </c>
      <c r="AV888" s="158" t="b">
        <f t="shared" si="95"/>
        <v>0</v>
      </c>
      <c r="AW888" s="159" t="s">
        <v>3343</v>
      </c>
      <c r="AX888" s="162" t="s">
        <v>118</v>
      </c>
      <c r="AY888" s="15">
        <v>180</v>
      </c>
      <c r="AZ888" s="566" t="str">
        <f>CONCATENATE("'+2g1 lorsque vous faites un Test Social contre une personne d'un Statut à ",Statut,", tant que vous restez humble et poli")</f>
        <v>'+2g1 lorsque vous faites un Test Social contre une personne d'un Statut à 1, tant que vous restez humble et poli</v>
      </c>
      <c r="BA888" s="559">
        <f>IF(Verso!$B$10=Voies!$B888,1,0)</f>
        <v>0</v>
      </c>
      <c r="BB888" s="12">
        <f>IF(Verso!$B$11=Voies!$B888,1,0)</f>
        <v>0</v>
      </c>
      <c r="BC888" s="12">
        <f>IF(Verso!$B$12=Voies!$B888,1,0)</f>
        <v>0</v>
      </c>
      <c r="BD888" s="12">
        <f>IF(Verso!$B$13=Voies!$B888,1,0)</f>
        <v>0</v>
      </c>
      <c r="BE888" s="12">
        <f>IF(Verso!$B$14=Voies!$B888,1,0)</f>
        <v>0</v>
      </c>
      <c r="BF888" s="12">
        <f>IF(Verso!$B$15=Voies!$B888,1,0)</f>
        <v>0</v>
      </c>
      <c r="BG888" s="12">
        <f>IF(Verso!$B$16=Voies!$B888,1,0)</f>
        <v>0</v>
      </c>
      <c r="BH888" s="12">
        <f>IF(Verso!$B$17=Voies!$B888,1,0)</f>
        <v>0</v>
      </c>
      <c r="BI888" s="557">
        <f t="shared" si="96"/>
        <v>0</v>
      </c>
      <c r="BJ888" s="196" t="str">
        <f t="shared" si="97"/>
        <v/>
      </c>
      <c r="BK888" s="196" t="str">
        <f t="shared" si="98"/>
        <v/>
      </c>
      <c r="BL888" s="295" t="str">
        <f t="shared" si="99"/>
        <v/>
      </c>
    </row>
    <row r="889" spans="1:65" ht="47.25" customHeight="1" x14ac:dyDescent="0.25">
      <c r="A889" s="162" t="str">
        <f>IF(AND(Réputation&gt;Voies!E889-1,OR(C889=TRUE,Calculs!$I$8&gt;0),Air&gt;Voies!J889-1,Eau&gt;Voies!K889-1,Feu&gt;Voies!L889-1,Terre&gt;Voies!M889-1,Vide&gt;Voies!N889-1,Constitution&gt;Voies!O889-1,Volonté&gt;Voies!P889-1,Force&gt;Voies!Q889-1,Perception&gt;Voies!R889-1,Reflexes&gt;Voies!S889-1,Agilité&gt;Voies!T889-1,Intuition&gt;Voies!U889-1,Intelligence&gt;Voies!V889-1,Souillure&gt;Voies!W889-1,Honneur&gt;X889-1,Statut&gt;Y889-1,Gloire&gt;Z889-1,AV889=TRUE),Voies!B889,"")</f>
        <v/>
      </c>
      <c r="B889" s="162" t="s">
        <v>6198</v>
      </c>
      <c r="C889" s="162" t="b">
        <v>1</v>
      </c>
      <c r="D889" s="388" t="s">
        <v>61</v>
      </c>
      <c r="E889" s="13">
        <v>2</v>
      </c>
      <c r="F889" s="199">
        <v>2</v>
      </c>
      <c r="G889" s="157" t="s">
        <v>2060</v>
      </c>
      <c r="H889" s="162" t="s">
        <v>6199</v>
      </c>
      <c r="I889" s="129" t="s">
        <v>3853</v>
      </c>
      <c r="J889" s="146">
        <v>0</v>
      </c>
      <c r="K889" s="147">
        <v>0</v>
      </c>
      <c r="L889" s="148">
        <v>0</v>
      </c>
      <c r="M889" s="149">
        <v>0</v>
      </c>
      <c r="N889" s="150">
        <v>0</v>
      </c>
      <c r="O889" s="130">
        <v>0</v>
      </c>
      <c r="P889" s="130">
        <v>0</v>
      </c>
      <c r="Q889" s="130">
        <v>0</v>
      </c>
      <c r="R889" s="130">
        <v>0</v>
      </c>
      <c r="S889" s="130">
        <v>0</v>
      </c>
      <c r="T889" s="130">
        <v>0</v>
      </c>
      <c r="U889" s="130">
        <v>0</v>
      </c>
      <c r="V889" s="524">
        <v>0</v>
      </c>
      <c r="W889" s="130">
        <v>0</v>
      </c>
      <c r="X889" s="130">
        <v>0</v>
      </c>
      <c r="Y889" s="130">
        <v>0</v>
      </c>
      <c r="Z889" s="130">
        <v>0</v>
      </c>
      <c r="AA889" s="158" t="s">
        <v>3151</v>
      </c>
      <c r="AB889" s="158" t="s">
        <v>1282</v>
      </c>
      <c r="AC889" s="158"/>
      <c r="AD889" s="158">
        <v>3</v>
      </c>
      <c r="AE889" s="158" t="b">
        <f>IF(AB889="",TRUE,IF(IF(AC889="",VLOOKUP(AB889,Calculs!$A$19:$S$425,19,FALSE),VLOOKUP(AC889,Calculs!$A$19:$S$425,19,FALSE))&gt;=AD889,TRUE,FALSE))</f>
        <v>0</v>
      </c>
      <c r="AF889" s="158"/>
      <c r="AG889" s="158"/>
      <c r="AH889" s="158"/>
      <c r="AI889" s="158" t="b">
        <f>IF(AF889="",TRUE,IF(IF(AG889="",VLOOKUP(AF889,Calculs!$A$19:$S$425,19,FALSE),VLOOKUP(AG889,Calculs!$A$19:$S$425,19,FALSE))&gt;=AH889,TRUE,FALSE))</f>
        <v>1</v>
      </c>
      <c r="AJ889" s="158"/>
      <c r="AK889" s="158"/>
      <c r="AL889" s="158"/>
      <c r="AM889" s="158" t="b">
        <f>IF(AJ889="",TRUE,IF(IF(AK889="",VLOOKUP(AJ889,Calculs!$A$19:$S$425,19,FALSE),VLOOKUP(AK889,Calculs!$A$19:$S$425,19,FALSE))&gt;=AL889,TRUE,FALSE))</f>
        <v>1</v>
      </c>
      <c r="AN889" s="158"/>
      <c r="AO889" s="158"/>
      <c r="AP889" s="158"/>
      <c r="AQ889" s="158" t="b">
        <f>IF(AN889="",TRUE,IF(IF(AO889="",VLOOKUP(AN889,Calculs!$A$19:$S$425,19,FALSE),VLOOKUP(AO889,Calculs!$A$19:$S$425,19,FALSE))&gt;=AP889,TRUE,FALSE))</f>
        <v>1</v>
      </c>
      <c r="AR889" s="158"/>
      <c r="AS889" s="158" t="b">
        <f>IF(AR889="",TRUE,IF(VLOOKUP(AR889,Calculs!$A$427:$G$738,7,FALSE)&gt;0,TRUE,FALSE))</f>
        <v>1</v>
      </c>
      <c r="AT889" s="158"/>
      <c r="AU889" s="158" t="b">
        <f>IF(AT889="",TRUE,IF(VLOOKUP(AT889,Calculs!$A$740:$G$912,7,FALSE)&gt;0,TRUE,FALSE))</f>
        <v>1</v>
      </c>
      <c r="AV889" s="158" t="b">
        <f t="shared" si="95"/>
        <v>0</v>
      </c>
      <c r="AW889" s="158" t="s">
        <v>2078</v>
      </c>
      <c r="AX889" s="162" t="s">
        <v>6192</v>
      </c>
      <c r="AY889" s="15">
        <v>182</v>
      </c>
      <c r="AZ889" s="566" t="s">
        <v>8722</v>
      </c>
      <c r="BA889" s="559">
        <f>IF(Verso!$B$10=Voies!$B889,1,0)</f>
        <v>0</v>
      </c>
      <c r="BB889" s="12">
        <f>IF(Verso!$B$11=Voies!$B889,1,0)</f>
        <v>0</v>
      </c>
      <c r="BC889" s="12">
        <f>IF(Verso!$B$12=Voies!$B889,1,0)</f>
        <v>0</v>
      </c>
      <c r="BD889" s="12">
        <f>IF(Verso!$B$13=Voies!$B889,1,0)</f>
        <v>0</v>
      </c>
      <c r="BE889" s="12">
        <f>IF(Verso!$B$14=Voies!$B889,1,0)</f>
        <v>0</v>
      </c>
      <c r="BF889" s="12">
        <f>IF(Verso!$B$15=Voies!$B889,1,0)</f>
        <v>0</v>
      </c>
      <c r="BG889" s="12">
        <f>IF(Verso!$B$16=Voies!$B889,1,0)</f>
        <v>0</v>
      </c>
      <c r="BH889" s="12">
        <f>IF(Verso!$B$17=Voies!$B889,1,0)</f>
        <v>0</v>
      </c>
      <c r="BI889" s="557">
        <f t="shared" si="96"/>
        <v>0</v>
      </c>
      <c r="BJ889" s="196" t="str">
        <f t="shared" si="97"/>
        <v/>
      </c>
      <c r="BK889" s="196" t="str">
        <f t="shared" si="98"/>
        <v/>
      </c>
      <c r="BL889" s="295" t="str">
        <f t="shared" si="99"/>
        <v/>
      </c>
    </row>
    <row r="890" spans="1:65" ht="47.25" customHeight="1" x14ac:dyDescent="0.25">
      <c r="A890" s="162" t="str">
        <f>IF(AND(Réputation&gt;Voies!E890-1,OR(C890=TRUE,Calculs!$I$8&gt;0),Air&gt;Voies!J890-1,Eau&gt;Voies!K890-1,Feu&gt;Voies!L890-1,Terre&gt;Voies!M890-1,Vide&gt;Voies!N890-1,Constitution&gt;Voies!O890-1,Volonté&gt;Voies!P890-1,Force&gt;Voies!Q890-1,Perception&gt;Voies!R890-1,Reflexes&gt;Voies!S890-1,Agilité&gt;Voies!T890-1,Intuition&gt;Voies!U890-1,Intelligence&gt;Voies!V890-1,Souillure&gt;Voies!W890-1,Honneur&gt;X890-1,Statut&gt;Y890-1,Gloire&gt;Z890-1,AV890=TRUE),Voies!B890,"")</f>
        <v/>
      </c>
      <c r="B890" s="162" t="s">
        <v>6194</v>
      </c>
      <c r="C890" s="162" t="b">
        <v>1</v>
      </c>
      <c r="D890" s="388" t="s">
        <v>61</v>
      </c>
      <c r="E890" s="13">
        <v>2</v>
      </c>
      <c r="F890" s="199">
        <v>2</v>
      </c>
      <c r="G890" s="157" t="s">
        <v>2060</v>
      </c>
      <c r="H890" s="162" t="s">
        <v>6195</v>
      </c>
      <c r="I890" s="129" t="str">
        <f>IF(B890="","","Rien")</f>
        <v>Rien</v>
      </c>
      <c r="J890" s="146">
        <v>0</v>
      </c>
      <c r="K890" s="147">
        <v>0</v>
      </c>
      <c r="L890" s="148">
        <v>0</v>
      </c>
      <c r="M890" s="149">
        <v>0</v>
      </c>
      <c r="N890" s="150">
        <v>0</v>
      </c>
      <c r="O890" s="130">
        <v>0</v>
      </c>
      <c r="P890" s="130">
        <v>0</v>
      </c>
      <c r="Q890" s="130">
        <v>0</v>
      </c>
      <c r="R890" s="130">
        <v>0</v>
      </c>
      <c r="S890" s="130">
        <v>0</v>
      </c>
      <c r="T890" s="130">
        <v>0</v>
      </c>
      <c r="U890" s="130">
        <v>0</v>
      </c>
      <c r="V890" s="524">
        <v>0</v>
      </c>
      <c r="W890" s="130">
        <v>0</v>
      </c>
      <c r="X890" s="130">
        <v>0</v>
      </c>
      <c r="Y890" s="130">
        <v>0</v>
      </c>
      <c r="Z890" s="130">
        <v>0</v>
      </c>
      <c r="AA890" s="158" t="s">
        <v>6196</v>
      </c>
      <c r="AB890" s="158" t="s">
        <v>1244</v>
      </c>
      <c r="AC890" s="158"/>
      <c r="AD890" s="158">
        <v>3</v>
      </c>
      <c r="AE890" s="158" t="b">
        <f>IF(AB890="",TRUE,IF(IF(AC890="",VLOOKUP(AB890,Calculs!$A$19:$S$425,19,FALSE),VLOOKUP(AC890,Calculs!$A$19:$S$425,19,FALSE))&gt;=AD890,TRUE,FALSE))</f>
        <v>0</v>
      </c>
      <c r="AF890" s="158" t="s">
        <v>1282</v>
      </c>
      <c r="AG890" s="158"/>
      <c r="AH890" s="158">
        <v>3</v>
      </c>
      <c r="AI890" s="158" t="b">
        <f>IF(AF890="",TRUE,IF(IF(AG890="",VLOOKUP(AF890,Calculs!$A$19:$S$425,19,FALSE),VLOOKUP(AG890,Calculs!$A$19:$S$425,19,FALSE))&gt;=AH890,TRUE,FALSE))</f>
        <v>0</v>
      </c>
      <c r="AJ890" s="158"/>
      <c r="AK890" s="158"/>
      <c r="AL890" s="158"/>
      <c r="AM890" s="158" t="b">
        <f>IF(AJ890="",TRUE,IF(IF(AK890="",VLOOKUP(AJ890,Calculs!$A$19:$S$425,19,FALSE),VLOOKUP(AK890,Calculs!$A$19:$S$425,19,FALSE))&gt;=AL890,TRUE,FALSE))</f>
        <v>1</v>
      </c>
      <c r="AN890" s="158"/>
      <c r="AO890" s="158"/>
      <c r="AP890" s="158"/>
      <c r="AQ890" s="158" t="b">
        <f>IF(AN890="",TRUE,IF(IF(AO890="",VLOOKUP(AN890,Calculs!$A$19:$S$425,19,FALSE),VLOOKUP(AO890,Calculs!$A$19:$S$425,19,FALSE))&gt;=AP890,TRUE,FALSE))</f>
        <v>1</v>
      </c>
      <c r="AR890" s="158"/>
      <c r="AS890" s="158" t="b">
        <f>IF(AR890="",TRUE,IF(VLOOKUP(AR890,Calculs!$A$427:$G$738,7,FALSE)&gt;0,TRUE,FALSE))</f>
        <v>1</v>
      </c>
      <c r="AT890" s="158"/>
      <c r="AU890" s="158" t="b">
        <f>IF(AT890="",TRUE,IF(VLOOKUP(AT890,Calculs!$A$740:$G$912,7,FALSE)&gt;0,TRUE,FALSE))</f>
        <v>1</v>
      </c>
      <c r="AV890" s="158" t="b">
        <f t="shared" si="95"/>
        <v>0</v>
      </c>
      <c r="AW890" s="158" t="s">
        <v>2078</v>
      </c>
      <c r="AX890" s="162" t="s">
        <v>6192</v>
      </c>
      <c r="AY890" s="15">
        <v>182</v>
      </c>
      <c r="AZ890" s="566" t="s">
        <v>6197</v>
      </c>
      <c r="BA890" s="559">
        <f>IF(Verso!$B$10=Voies!$B890,1,0)</f>
        <v>0</v>
      </c>
      <c r="BB890" s="12">
        <f>IF(Verso!$B$11=Voies!$B890,1,0)</f>
        <v>0</v>
      </c>
      <c r="BC890" s="12">
        <f>IF(Verso!$B$12=Voies!$B890,1,0)</f>
        <v>0</v>
      </c>
      <c r="BD890" s="12">
        <f>IF(Verso!$B$13=Voies!$B890,1,0)</f>
        <v>0</v>
      </c>
      <c r="BE890" s="12">
        <f>IF(Verso!$B$14=Voies!$B890,1,0)</f>
        <v>0</v>
      </c>
      <c r="BF890" s="12">
        <f>IF(Verso!$B$15=Voies!$B890,1,0)</f>
        <v>0</v>
      </c>
      <c r="BG890" s="12">
        <f>IF(Verso!$B$16=Voies!$B890,1,0)</f>
        <v>0</v>
      </c>
      <c r="BH890" s="12">
        <f>IF(Verso!$B$17=Voies!$B890,1,0)</f>
        <v>0</v>
      </c>
      <c r="BI890" s="557">
        <f t="shared" si="96"/>
        <v>0</v>
      </c>
      <c r="BJ890" s="196" t="str">
        <f t="shared" si="97"/>
        <v/>
      </c>
      <c r="BK890" s="196" t="str">
        <f t="shared" si="98"/>
        <v/>
      </c>
      <c r="BL890" s="295" t="str">
        <f t="shared" si="99"/>
        <v/>
      </c>
    </row>
    <row r="891" spans="1:65" ht="47.25" customHeight="1" x14ac:dyDescent="0.25">
      <c r="A891" s="162" t="str">
        <f>IF(AND(Réputation&gt;Voies!E891-1,OR(C891=TRUE,Calculs!$I$8&gt;0),Air&gt;Voies!J891-1,Eau&gt;Voies!K891-1,Feu&gt;Voies!L891-1,Terre&gt;Voies!M891-1,Vide&gt;Voies!N891-1,Constitution&gt;Voies!O891-1,Volonté&gt;Voies!P891-1,Force&gt;Voies!Q891-1,Perception&gt;Voies!R891-1,Reflexes&gt;Voies!S891-1,Agilité&gt;Voies!T891-1,Intuition&gt;Voies!U891-1,Intelligence&gt;Voies!V891-1,Souillure&gt;Voies!W891-1,Honneur&gt;X891-1,Statut&gt;Y891-1,Gloire&gt;Z891-1,AV891=TRUE),Voies!B891,"")</f>
        <v/>
      </c>
      <c r="B891" s="162" t="s">
        <v>3562</v>
      </c>
      <c r="C891" s="162" t="b">
        <v>1</v>
      </c>
      <c r="D891" s="388" t="s">
        <v>61</v>
      </c>
      <c r="E891" s="13">
        <v>2</v>
      </c>
      <c r="F891" s="199">
        <v>2</v>
      </c>
      <c r="G891" s="13" t="s">
        <v>2060</v>
      </c>
      <c r="H891" s="162" t="s">
        <v>458</v>
      </c>
      <c r="I891" s="129" t="s">
        <v>3341</v>
      </c>
      <c r="J891" s="146">
        <v>0</v>
      </c>
      <c r="K891" s="147">
        <v>0</v>
      </c>
      <c r="L891" s="148">
        <v>0</v>
      </c>
      <c r="M891" s="149">
        <v>0</v>
      </c>
      <c r="N891" s="150">
        <v>0</v>
      </c>
      <c r="O891" s="130">
        <v>0</v>
      </c>
      <c r="P891" s="130">
        <v>0</v>
      </c>
      <c r="Q891" s="130">
        <v>0</v>
      </c>
      <c r="R891" s="130">
        <v>0</v>
      </c>
      <c r="S891" s="130">
        <v>0</v>
      </c>
      <c r="T891" s="130">
        <v>0</v>
      </c>
      <c r="U891" s="130">
        <v>0</v>
      </c>
      <c r="V891" s="524">
        <v>0</v>
      </c>
      <c r="W891" s="130">
        <v>0</v>
      </c>
      <c r="X891" s="130">
        <v>0</v>
      </c>
      <c r="Y891" s="130">
        <v>0</v>
      </c>
      <c r="Z891" s="130">
        <v>0</v>
      </c>
      <c r="AA891" s="159" t="s">
        <v>3561</v>
      </c>
      <c r="AB891" s="159" t="str">
        <f>AF890</f>
        <v>Discrétion</v>
      </c>
      <c r="AD891" s="159">
        <v>3</v>
      </c>
      <c r="AE891" s="158" t="b">
        <f>IF(AB891="",TRUE,IF(IF(AC891="",VLOOKUP(AB891,Calculs!$A$19:$S$425,19,FALSE),VLOOKUP(AC891,Calculs!$A$19:$S$425,19,FALSE))&gt;=AD891,TRUE,FALSE))</f>
        <v>0</v>
      </c>
      <c r="AF891" s="159" t="s">
        <v>1230</v>
      </c>
      <c r="AH891" s="159">
        <v>3</v>
      </c>
      <c r="AI891" s="158" t="b">
        <f>IF(AF891="",TRUE,IF(IF(AG891="",VLOOKUP(AF891,Calculs!$A$19:$S$425,19,FALSE),VLOOKUP(AG891,Calculs!$A$19:$S$425,19,FALSE))&gt;=AH891,TRUE,FALSE))</f>
        <v>0</v>
      </c>
      <c r="AM891" s="158" t="b">
        <f>IF(AJ891="",TRUE,IF(IF(AK891="",VLOOKUP(AJ891,Calculs!$A$19:$S$425,19,FALSE),VLOOKUP(AK891,Calculs!$A$19:$S$425,19,FALSE))&gt;=AL891,TRUE,FALSE))</f>
        <v>1</v>
      </c>
      <c r="AQ891" s="158" t="b">
        <f>IF(AN891="",TRUE,IF(IF(AO891="",VLOOKUP(AN891,Calculs!$A$19:$S$425,19,FALSE),VLOOKUP(AO891,Calculs!$A$19:$S$425,19,FALSE))&gt;=AP891,TRUE,FALSE))</f>
        <v>1</v>
      </c>
      <c r="AR891" s="158"/>
      <c r="AS891" s="158" t="b">
        <f>IF(AR891="",TRUE,IF(VLOOKUP(AR891,Calculs!$A$427:$G$738,7,FALSE)&gt;0,TRUE,FALSE))</f>
        <v>1</v>
      </c>
      <c r="AT891" s="158"/>
      <c r="AU891" s="158" t="b">
        <f>IF(AT891="",TRUE,IF(VLOOKUP(AT891,Calculs!$A$740:$G$912,7,FALSE)&gt;0,TRUE,FALSE))</f>
        <v>1</v>
      </c>
      <c r="AV891" s="158" t="b">
        <f t="shared" si="95"/>
        <v>0</v>
      </c>
      <c r="AW891" s="158" t="s">
        <v>2078</v>
      </c>
      <c r="AX891" s="162" t="s">
        <v>2075</v>
      </c>
      <c r="AY891" s="15">
        <v>202</v>
      </c>
      <c r="AZ891" s="555" t="s">
        <v>3563</v>
      </c>
      <c r="BA891" s="559">
        <f>IF(Verso!$B$10=Voies!$B891,1,0)</f>
        <v>0</v>
      </c>
      <c r="BB891" s="12">
        <f>IF(Verso!$B$11=Voies!$B891,1,0)</f>
        <v>0</v>
      </c>
      <c r="BC891" s="12">
        <f>IF(Verso!$B$12=Voies!$B891,1,0)</f>
        <v>0</v>
      </c>
      <c r="BD891" s="12">
        <f>IF(Verso!$B$13=Voies!$B891,1,0)</f>
        <v>0</v>
      </c>
      <c r="BE891" s="12">
        <f>IF(Verso!$B$14=Voies!$B891,1,0)</f>
        <v>0</v>
      </c>
      <c r="BF891" s="12">
        <f>IF(Verso!$B$15=Voies!$B891,1,0)</f>
        <v>0</v>
      </c>
      <c r="BG891" s="12">
        <f>IF(Verso!$B$16=Voies!$B891,1,0)</f>
        <v>0</v>
      </c>
      <c r="BH891" s="12">
        <f>IF(Verso!$B$17=Voies!$B891,1,0)</f>
        <v>0</v>
      </c>
      <c r="BI891" s="557">
        <f t="shared" si="96"/>
        <v>0</v>
      </c>
      <c r="BJ891" s="196" t="str">
        <f t="shared" si="97"/>
        <v/>
      </c>
      <c r="BK891" s="196" t="str">
        <f t="shared" si="98"/>
        <v/>
      </c>
      <c r="BL891" s="295" t="str">
        <f t="shared" si="99"/>
        <v/>
      </c>
    </row>
    <row r="892" spans="1:65" ht="47.25" customHeight="1" x14ac:dyDescent="0.25">
      <c r="A892" s="162" t="str">
        <f>IF(AND(Réputation&gt;Voies!E892-1,OR(C892=TRUE,Calculs!$I$8&gt;0),Air&gt;Voies!J892-1,Eau&gt;Voies!K892-1,Feu&gt;Voies!L892-1,Terre&gt;Voies!M892-1,Vide&gt;Voies!N892-1,Constitution&gt;Voies!O892-1,Volonté&gt;Voies!P892-1,Force&gt;Voies!Q892-1,Perception&gt;Voies!R892-1,Reflexes&gt;Voies!S892-1,Agilité&gt;Voies!T892-1,Intuition&gt;Voies!U892-1,Intelligence&gt;Voies!V892-1,Souillure&gt;Voies!W892-1,Honneur&gt;X892-1,Statut&gt;Y892-1,Gloire&gt;Z892-1,AV892=TRUE),Voies!B892,"")</f>
        <v/>
      </c>
      <c r="B892" s="162" t="s">
        <v>2806</v>
      </c>
      <c r="C892" s="162" t="b">
        <v>1</v>
      </c>
      <c r="D892" s="388" t="s">
        <v>61</v>
      </c>
      <c r="E892" s="13">
        <v>3</v>
      </c>
      <c r="F892" s="199">
        <v>3</v>
      </c>
      <c r="G892" s="157" t="s">
        <v>2078</v>
      </c>
      <c r="H892" s="162" t="s">
        <v>277</v>
      </c>
      <c r="I892" s="129" t="str">
        <f>IF(B892="","","Rien")</f>
        <v>Rien</v>
      </c>
      <c r="J892" s="146">
        <v>0</v>
      </c>
      <c r="K892" s="147">
        <v>0</v>
      </c>
      <c r="L892" s="148">
        <v>0</v>
      </c>
      <c r="M892" s="149">
        <v>0</v>
      </c>
      <c r="N892" s="150">
        <v>0</v>
      </c>
      <c r="O892" s="130">
        <v>0</v>
      </c>
      <c r="P892" s="130">
        <v>0</v>
      </c>
      <c r="Q892" s="130">
        <v>0</v>
      </c>
      <c r="R892" s="130">
        <v>0</v>
      </c>
      <c r="S892" s="130">
        <v>0</v>
      </c>
      <c r="T892" s="130">
        <v>0</v>
      </c>
      <c r="U892" s="130">
        <v>0</v>
      </c>
      <c r="V892" s="524">
        <v>0</v>
      </c>
      <c r="W892" s="130">
        <v>0</v>
      </c>
      <c r="X892" s="130">
        <v>0</v>
      </c>
      <c r="Y892" s="130">
        <v>0</v>
      </c>
      <c r="Z892" s="130">
        <v>0</v>
      </c>
      <c r="AA892" s="158" t="s">
        <v>2078</v>
      </c>
      <c r="AB892" s="158"/>
      <c r="AC892" s="158"/>
      <c r="AD892" s="158"/>
      <c r="AE892" s="158" t="b">
        <f>IF(AB892="",TRUE,IF(IF(AC892="",VLOOKUP(AB892,Calculs!$A$19:$S$425,19,FALSE),VLOOKUP(AC892,Calculs!$A$19:$S$425,19,FALSE))&gt;=AD892,TRUE,FALSE))</f>
        <v>1</v>
      </c>
      <c r="AF892" s="158"/>
      <c r="AG892" s="158"/>
      <c r="AH892" s="158"/>
      <c r="AI892" s="158" t="b">
        <f>IF(AF892="",TRUE,IF(IF(AG892="",VLOOKUP(AF892,Calculs!$A$19:$S$425,19,FALSE),VLOOKUP(AG892,Calculs!$A$19:$S$425,19,FALSE))&gt;=AH892,TRUE,FALSE))</f>
        <v>1</v>
      </c>
      <c r="AJ892" s="158"/>
      <c r="AK892" s="158"/>
      <c r="AL892" s="158"/>
      <c r="AM892" s="158" t="b">
        <f>IF(AJ892="",TRUE,IF(IF(AK892="",VLOOKUP(AJ892,Calculs!$A$19:$S$425,19,FALSE),VLOOKUP(AK892,Calculs!$A$19:$S$425,19,FALSE))&gt;=AL892,TRUE,FALSE))</f>
        <v>1</v>
      </c>
      <c r="AN892" s="158"/>
      <c r="AO892" s="158"/>
      <c r="AP892" s="158"/>
      <c r="AQ892" s="158" t="b">
        <f>IF(AN892="",TRUE,IF(IF(AO892="",VLOOKUP(AN892,Calculs!$A$19:$S$425,19,FALSE),VLOOKUP(AO892,Calculs!$A$19:$S$425,19,FALSE))&gt;=AP892,TRUE,FALSE))</f>
        <v>1</v>
      </c>
      <c r="AR892" s="158"/>
      <c r="AS892" s="158" t="b">
        <f>IF(AR892="",TRUE,IF(VLOOKUP(AR892,Calculs!$A$427:$G$738,7,FALSE)&gt;0,TRUE,FALSE))</f>
        <v>1</v>
      </c>
      <c r="AT892" s="158"/>
      <c r="AU892" s="158" t="b">
        <f>IF(AT892="",TRUE,IF(VLOOKUP(AT892,Calculs!$A$740:$G$912,7,FALSE)&gt;0,TRUE,FALSE))</f>
        <v>1</v>
      </c>
      <c r="AV892" s="158" t="b">
        <f t="shared" si="95"/>
        <v>1</v>
      </c>
      <c r="AW892" s="158" t="s">
        <v>2078</v>
      </c>
      <c r="AX892" s="162" t="s">
        <v>2080</v>
      </c>
      <c r="AY892" s="15">
        <v>236</v>
      </c>
      <c r="AZ892" s="555" t="s">
        <v>2805</v>
      </c>
      <c r="BA892" s="559">
        <f>IF(Verso!$B$10=Voies!$B892,1,0)</f>
        <v>0</v>
      </c>
      <c r="BB892" s="12">
        <f>IF(Verso!$B$11=Voies!$B892,1,0)</f>
        <v>0</v>
      </c>
      <c r="BC892" s="12">
        <f>IF(Verso!$B$12=Voies!$B892,1,0)</f>
        <v>0</v>
      </c>
      <c r="BD892" s="12">
        <f>IF(Verso!$B$13=Voies!$B892,1,0)</f>
        <v>0</v>
      </c>
      <c r="BE892" s="12">
        <f>IF(Verso!$B$14=Voies!$B892,1,0)</f>
        <v>0</v>
      </c>
      <c r="BF892" s="12">
        <f>IF(Verso!$B$15=Voies!$B892,1,0)</f>
        <v>0</v>
      </c>
      <c r="BG892" s="12">
        <f>IF(Verso!$B$16=Voies!$B892,1,0)</f>
        <v>0</v>
      </c>
      <c r="BH892" s="12">
        <f>IF(Verso!$B$17=Voies!$B892,1,0)</f>
        <v>0</v>
      </c>
      <c r="BI892" s="557">
        <f t="shared" si="96"/>
        <v>0</v>
      </c>
      <c r="BJ892" s="196" t="str">
        <f t="shared" si="97"/>
        <v/>
      </c>
      <c r="BK892" s="196" t="str">
        <f t="shared" si="98"/>
        <v/>
      </c>
      <c r="BL892" s="295" t="str">
        <f t="shared" si="99"/>
        <v/>
      </c>
    </row>
    <row r="893" spans="1:65" ht="47.25" customHeight="1" x14ac:dyDescent="0.25">
      <c r="A893" s="162" t="str">
        <f>IF(AND(Réputation&gt;Voies!E893-1,OR(C893=TRUE,Calculs!$I$8&gt;0),Air&gt;Voies!J893-1,Eau&gt;Voies!K893-1,Feu&gt;Voies!L893-1,Terre&gt;Voies!M893-1,Vide&gt;Voies!N893-1,Constitution&gt;Voies!O893-1,Volonté&gt;Voies!P893-1,Force&gt;Voies!Q893-1,Perception&gt;Voies!R893-1,Reflexes&gt;Voies!S893-1,Agilité&gt;Voies!T893-1,Intuition&gt;Voies!U893-1,Intelligence&gt;Voies!V893-1,Souillure&gt;Voies!W893-1,Honneur&gt;X893-1,Statut&gt;Y893-1,Gloire&gt;Z893-1,AV893=TRUE),Voies!B893,"")</f>
        <v/>
      </c>
      <c r="B893" s="162" t="s">
        <v>3570</v>
      </c>
      <c r="C893" s="162" t="b">
        <v>1</v>
      </c>
      <c r="D893" s="388" t="s">
        <v>61</v>
      </c>
      <c r="E893" s="199">
        <v>3</v>
      </c>
      <c r="F893" s="199">
        <v>3</v>
      </c>
      <c r="G893" s="199" t="s">
        <v>2049</v>
      </c>
      <c r="H893" s="162" t="s">
        <v>459</v>
      </c>
      <c r="I893" s="129" t="s">
        <v>3340</v>
      </c>
      <c r="J893" s="146">
        <v>0</v>
      </c>
      <c r="K893" s="147">
        <v>0</v>
      </c>
      <c r="L893" s="148">
        <v>0</v>
      </c>
      <c r="M893" s="149">
        <v>0</v>
      </c>
      <c r="N893" s="150">
        <v>0</v>
      </c>
      <c r="O893" s="130">
        <v>0</v>
      </c>
      <c r="P893" s="130">
        <v>0</v>
      </c>
      <c r="Q893" s="130">
        <v>0</v>
      </c>
      <c r="R893" s="130">
        <v>0</v>
      </c>
      <c r="S893" s="130">
        <v>0</v>
      </c>
      <c r="T893" s="130">
        <v>0</v>
      </c>
      <c r="U893" s="130">
        <v>0</v>
      </c>
      <c r="V893" s="524">
        <v>0</v>
      </c>
      <c r="W893" s="130">
        <v>0</v>
      </c>
      <c r="X893" s="130">
        <v>0</v>
      </c>
      <c r="Y893" s="130">
        <v>0</v>
      </c>
      <c r="Z893" s="130">
        <v>0</v>
      </c>
      <c r="AA893" s="159" t="s">
        <v>3571</v>
      </c>
      <c r="AB893" s="159" t="s">
        <v>1267</v>
      </c>
      <c r="AD893" s="159">
        <v>3</v>
      </c>
      <c r="AE893" s="158" t="b">
        <f>IF(AB893="",TRUE,IF(IF(AC893="",VLOOKUP(AB893,Calculs!$A$19:$S$425,19,FALSE),VLOOKUP(AC893,Calculs!$A$19:$S$425,19,FALSE))&gt;=AD893,TRUE,FALSE))</f>
        <v>0</v>
      </c>
      <c r="AF893" s="159" t="s">
        <v>1268</v>
      </c>
      <c r="AH893" s="159">
        <v>4</v>
      </c>
      <c r="AI893" s="158" t="b">
        <f>IF(AF893="",TRUE,IF(IF(AG893="",VLOOKUP(AF893,Calculs!$A$19:$S$425,19,FALSE),VLOOKUP(AG893,Calculs!$A$19:$S$425,19,FALSE))&gt;=AH893,TRUE,FALSE))</f>
        <v>0</v>
      </c>
      <c r="AM893" s="158" t="b">
        <f>IF(AJ893="",TRUE,IF(IF(AK893="",VLOOKUP(AJ893,Calculs!$A$19:$S$425,19,FALSE),VLOOKUP(AK893,Calculs!$A$19:$S$425,19,FALSE))&gt;=AL893,TRUE,FALSE))</f>
        <v>1</v>
      </c>
      <c r="AQ893" s="158" t="b">
        <f>IF(AN893="",TRUE,IF(IF(AO893="",VLOOKUP(AN893,Calculs!$A$19:$S$425,19,FALSE),VLOOKUP(AO893,Calculs!$A$19:$S$425,19,FALSE))&gt;=AP893,TRUE,FALSE))</f>
        <v>1</v>
      </c>
      <c r="AR893" s="158"/>
      <c r="AS893" s="158" t="b">
        <f>IF(AR893="",TRUE,IF(VLOOKUP(AR893,Calculs!$A$427:$G$738,7,FALSE)&gt;0,TRUE,FALSE))</f>
        <v>1</v>
      </c>
      <c r="AT893" s="158"/>
      <c r="AU893" s="158" t="b">
        <f>IF(AT893="",TRUE,IF(VLOOKUP(AT893,Calculs!$A$740:$G$912,7,FALSE)&gt;0,TRUE,FALSE))</f>
        <v>1</v>
      </c>
      <c r="AV893" s="158" t="b">
        <f t="shared" si="95"/>
        <v>0</v>
      </c>
      <c r="AW893" s="158" t="s">
        <v>2078</v>
      </c>
      <c r="AX893" s="162" t="s">
        <v>2075</v>
      </c>
      <c r="AY893" s="15">
        <v>203</v>
      </c>
      <c r="AZ893" s="555" t="s">
        <v>3579</v>
      </c>
      <c r="BA893" s="559">
        <f>IF(Verso!$B$10=Voies!$B893,1,0)</f>
        <v>0</v>
      </c>
      <c r="BB893" s="12">
        <f>IF(Verso!$B$11=Voies!$B893,1,0)</f>
        <v>0</v>
      </c>
      <c r="BC893" s="12">
        <f>IF(Verso!$B$12=Voies!$B893,1,0)</f>
        <v>0</v>
      </c>
      <c r="BD893" s="12">
        <f>IF(Verso!$B$13=Voies!$B893,1,0)</f>
        <v>0</v>
      </c>
      <c r="BE893" s="12">
        <f>IF(Verso!$B$14=Voies!$B893,1,0)</f>
        <v>0</v>
      </c>
      <c r="BF893" s="12">
        <f>IF(Verso!$B$15=Voies!$B893,1,0)</f>
        <v>0</v>
      </c>
      <c r="BG893" s="12">
        <f>IF(Verso!$B$16=Voies!$B893,1,0)</f>
        <v>0</v>
      </c>
      <c r="BH893" s="12">
        <f>IF(Verso!$B$17=Voies!$B893,1,0)</f>
        <v>0</v>
      </c>
      <c r="BI893" s="557">
        <f t="shared" si="96"/>
        <v>0</v>
      </c>
      <c r="BJ893" s="196" t="str">
        <f t="shared" si="97"/>
        <v/>
      </c>
      <c r="BK893" s="196" t="str">
        <f t="shared" si="98"/>
        <v/>
      </c>
      <c r="BL893" s="295" t="str">
        <f t="shared" si="99"/>
        <v/>
      </c>
    </row>
    <row r="894" spans="1:65" ht="47.25" customHeight="1" x14ac:dyDescent="0.25">
      <c r="A894" s="162" t="str">
        <f>IF(AND(Réputation&gt;Voies!E894-1,OR(C894=TRUE,Calculs!$I$8&gt;0),Air&gt;Voies!J894-1,Eau&gt;Voies!K894-1,Feu&gt;Voies!L894-1,Terre&gt;Voies!M894-1,Vide&gt;Voies!N894-1,Constitution&gt;Voies!O894-1,Volonté&gt;Voies!P894-1,Force&gt;Voies!Q894-1,Perception&gt;Voies!R894-1,Reflexes&gt;Voies!S894-1,Agilité&gt;Voies!T894-1,Intuition&gt;Voies!U894-1,Intelligence&gt;Voies!V894-1,Souillure&gt;Voies!W894-1,Honneur&gt;X894-1,Statut&gt;Y894-1,Gloire&gt;Z894-1,AV894=TRUE),Voies!B894,"")</f>
        <v/>
      </c>
      <c r="B894" s="162" t="s">
        <v>3572</v>
      </c>
      <c r="C894" s="162" t="b">
        <v>1</v>
      </c>
      <c r="D894" s="388" t="s">
        <v>61</v>
      </c>
      <c r="E894" s="13">
        <v>3</v>
      </c>
      <c r="F894" s="199">
        <v>3</v>
      </c>
      <c r="G894" s="199" t="s">
        <v>2049</v>
      </c>
      <c r="H894" s="162" t="s">
        <v>273</v>
      </c>
      <c r="I894" s="129" t="s">
        <v>3340</v>
      </c>
      <c r="J894" s="146">
        <v>0</v>
      </c>
      <c r="K894" s="147">
        <v>0</v>
      </c>
      <c r="L894" s="148">
        <v>0</v>
      </c>
      <c r="M894" s="149">
        <v>0</v>
      </c>
      <c r="N894" s="150">
        <v>0</v>
      </c>
      <c r="O894" s="130">
        <v>0</v>
      </c>
      <c r="P894" s="130">
        <v>0</v>
      </c>
      <c r="Q894" s="130">
        <v>0</v>
      </c>
      <c r="R894" s="130">
        <v>0</v>
      </c>
      <c r="S894" s="130">
        <v>0</v>
      </c>
      <c r="T894" s="130">
        <v>0</v>
      </c>
      <c r="U894" s="130">
        <v>0</v>
      </c>
      <c r="V894" s="524">
        <v>0</v>
      </c>
      <c r="W894" s="130">
        <v>0</v>
      </c>
      <c r="X894" s="130">
        <v>0</v>
      </c>
      <c r="Y894" s="130">
        <v>0</v>
      </c>
      <c r="Z894" s="130">
        <v>0</v>
      </c>
      <c r="AA894" s="159" t="s">
        <v>3573</v>
      </c>
      <c r="AB894" s="159" t="s">
        <v>1274</v>
      </c>
      <c r="AD894" s="159">
        <v>3</v>
      </c>
      <c r="AE894" s="158" t="b">
        <f>IF(AB894="",TRUE,IF(IF(AC894="",VLOOKUP(AB894,Calculs!$A$19:$S$425,19,FALSE),VLOOKUP(AC894,Calculs!$A$19:$S$425,19,FALSE))&gt;=AD894,TRUE,FALSE))</f>
        <v>0</v>
      </c>
      <c r="AI894" s="158" t="b">
        <f>IF(AF894="",TRUE,IF(IF(AG894="",VLOOKUP(AF894,Calculs!$A$19:$S$425,19,FALSE),VLOOKUP(AG894,Calculs!$A$19:$S$425,19,FALSE))&gt;=AH894,TRUE,FALSE))</f>
        <v>1</v>
      </c>
      <c r="AM894" s="158" t="b">
        <f>IF(AJ894="",TRUE,IF(IF(AK894="",VLOOKUP(AJ894,Calculs!$A$19:$S$425,19,FALSE),VLOOKUP(AK894,Calculs!$A$19:$S$425,19,FALSE))&gt;=AL894,TRUE,FALSE))</f>
        <v>1</v>
      </c>
      <c r="AQ894" s="158" t="b">
        <f>IF(AN894="",TRUE,IF(IF(AO894="",VLOOKUP(AN894,Calculs!$A$19:$S$425,19,FALSE),VLOOKUP(AO894,Calculs!$A$19:$S$425,19,FALSE))&gt;=AP894,TRUE,FALSE))</f>
        <v>1</v>
      </c>
      <c r="AR894" s="158" t="s">
        <v>668</v>
      </c>
      <c r="AS894" s="158" t="b">
        <f>IF(AR894="",TRUE,IF(VLOOKUP(AR894,Calculs!$A$427:$G$738,7,FALSE)&gt;0,TRUE,FALSE))</f>
        <v>0</v>
      </c>
      <c r="AT894" s="158"/>
      <c r="AU894" s="158" t="b">
        <f>IF(AT894="",TRUE,IF(VLOOKUP(AT894,Calculs!$A$740:$G$912,7,FALSE)&gt;0,TRUE,FALSE))</f>
        <v>1</v>
      </c>
      <c r="AV894" s="158" t="b">
        <f t="shared" si="95"/>
        <v>0</v>
      </c>
      <c r="AW894" s="159" t="s">
        <v>3574</v>
      </c>
      <c r="AX894" s="162" t="s">
        <v>2075</v>
      </c>
      <c r="AY894" s="15">
        <v>203</v>
      </c>
      <c r="AZ894" s="555" t="s">
        <v>3575</v>
      </c>
      <c r="BA894" s="559">
        <f>IF(Verso!$B$10=Voies!$B894,1,0)</f>
        <v>0</v>
      </c>
      <c r="BB894" s="12">
        <f>IF(Verso!$B$11=Voies!$B894,1,0)</f>
        <v>0</v>
      </c>
      <c r="BC894" s="12">
        <f>IF(Verso!$B$12=Voies!$B894,1,0)</f>
        <v>0</v>
      </c>
      <c r="BD894" s="12">
        <f>IF(Verso!$B$13=Voies!$B894,1,0)</f>
        <v>0</v>
      </c>
      <c r="BE894" s="12">
        <f>IF(Verso!$B$14=Voies!$B894,1,0)</f>
        <v>0</v>
      </c>
      <c r="BF894" s="12">
        <f>IF(Verso!$B$15=Voies!$B894,1,0)</f>
        <v>0</v>
      </c>
      <c r="BG894" s="12">
        <f>IF(Verso!$B$16=Voies!$B894,1,0)</f>
        <v>0</v>
      </c>
      <c r="BH894" s="12">
        <f>IF(Verso!$B$17=Voies!$B894,1,0)</f>
        <v>0</v>
      </c>
      <c r="BI894" s="557">
        <f t="shared" si="96"/>
        <v>0</v>
      </c>
      <c r="BJ894" s="196" t="str">
        <f t="shared" si="97"/>
        <v/>
      </c>
      <c r="BK894" s="196" t="str">
        <f t="shared" si="98"/>
        <v/>
      </c>
      <c r="BL894" s="295" t="str">
        <f t="shared" si="99"/>
        <v/>
      </c>
    </row>
    <row r="895" spans="1:65" ht="47.25" customHeight="1" x14ac:dyDescent="0.25">
      <c r="A895" s="162" t="str">
        <f>IF(AND(Réputation&gt;Voies!E895-1,OR(C895=TRUE,Calculs!$I$8&gt;0),Air&gt;Voies!J895-1,Eau&gt;Voies!K895-1,Feu&gt;Voies!L895-1,Terre&gt;Voies!M895-1,Vide&gt;Voies!N895-1,Constitution&gt;Voies!O895-1,Volonté&gt;Voies!P895-1,Force&gt;Voies!Q895-1,Perception&gt;Voies!R895-1,Reflexes&gt;Voies!S895-1,Agilité&gt;Voies!T895-1,Intuition&gt;Voies!U895-1,Intelligence&gt;Voies!V895-1,Souillure&gt;Voies!W895-1,Honneur&gt;X895-1,Statut&gt;Y895-1,Gloire&gt;Z895-1,AV895=TRUE),Voies!B895,"")</f>
        <v/>
      </c>
      <c r="B895" s="162" t="s">
        <v>3716</v>
      </c>
      <c r="C895" s="162" t="b">
        <v>1</v>
      </c>
      <c r="D895" s="388" t="s">
        <v>61</v>
      </c>
      <c r="E895" s="199">
        <v>3</v>
      </c>
      <c r="F895" s="199">
        <v>3</v>
      </c>
      <c r="G895" s="199" t="s">
        <v>2049</v>
      </c>
      <c r="H895" s="162" t="s">
        <v>293</v>
      </c>
      <c r="I895" s="129" t="s">
        <v>3340</v>
      </c>
      <c r="J895" s="146">
        <v>0</v>
      </c>
      <c r="K895" s="147">
        <v>0</v>
      </c>
      <c r="L895" s="148">
        <v>0</v>
      </c>
      <c r="M895" s="149">
        <v>0</v>
      </c>
      <c r="N895" s="150">
        <v>0</v>
      </c>
      <c r="O895" s="130">
        <v>0</v>
      </c>
      <c r="P895" s="130">
        <v>0</v>
      </c>
      <c r="Q895" s="130">
        <v>0</v>
      </c>
      <c r="R895" s="130">
        <v>0</v>
      </c>
      <c r="S895" s="130">
        <v>0</v>
      </c>
      <c r="T895" s="130">
        <v>0</v>
      </c>
      <c r="U895" s="130">
        <v>0</v>
      </c>
      <c r="V895" s="524">
        <v>0</v>
      </c>
      <c r="W895" s="130">
        <v>1</v>
      </c>
      <c r="X895" s="130">
        <v>0</v>
      </c>
      <c r="Y895" s="130">
        <v>0</v>
      </c>
      <c r="Z895" s="130">
        <v>0</v>
      </c>
      <c r="AA895" s="159" t="s">
        <v>6373</v>
      </c>
      <c r="AB895" s="159" t="s">
        <v>3325</v>
      </c>
      <c r="AC895" s="159" t="s">
        <v>3170</v>
      </c>
      <c r="AD895" s="159">
        <v>3</v>
      </c>
      <c r="AE895" s="158" t="b">
        <f>IF(AB895="",TRUE,IF(IF(AC895="",VLOOKUP(AB895,Calculs!$A$19:$S$425,19,FALSE),VLOOKUP(AC895,Calculs!$A$19:$S$425,19,FALSE))&gt;=AD895,TRUE,FALSE))</f>
        <v>0</v>
      </c>
      <c r="AI895" s="158" t="b">
        <f>IF(AF895="",TRUE,IF(IF(AG895="",VLOOKUP(AF895,Calculs!$A$19:$S$425,19,FALSE),VLOOKUP(AG895,Calculs!$A$19:$S$425,19,FALSE))&gt;=AH895,TRUE,FALSE))</f>
        <v>1</v>
      </c>
      <c r="AM895" s="158" t="b">
        <f>IF(AJ895="",TRUE,IF(IF(AK895="",VLOOKUP(AJ895,Calculs!$A$19:$S$425,19,FALSE),VLOOKUP(AK895,Calculs!$A$19:$S$425,19,FALSE))&gt;=AL895,TRUE,FALSE))</f>
        <v>1</v>
      </c>
      <c r="AQ895" s="158" t="b">
        <f>IF(AN895="",TRUE,IF(IF(AO895="",VLOOKUP(AN895,Calculs!$A$19:$S$425,19,FALSE),VLOOKUP(AO895,Calculs!$A$19:$S$425,19,FALSE))&gt;=AP895,TRUE,FALSE))</f>
        <v>1</v>
      </c>
      <c r="AR895" s="158"/>
      <c r="AS895" s="158" t="b">
        <f>IF(AR895="",TRUE,IF(VLOOKUP(AR895,Calculs!$A$427:$G$738,7,FALSE)&gt;0,TRUE,FALSE))</f>
        <v>1</v>
      </c>
      <c r="AT895" s="158"/>
      <c r="AU895" s="158" t="b">
        <f>IF(AT895="",TRUE,IF(VLOOKUP(AT895,Calculs!$A$740:$G$912,7,FALSE)&gt;0,TRUE,FALSE))</f>
        <v>1</v>
      </c>
      <c r="AV895" s="158" t="b">
        <f t="shared" si="95"/>
        <v>0</v>
      </c>
      <c r="AX895" s="162" t="s">
        <v>2076</v>
      </c>
      <c r="AY895" s="15">
        <v>220</v>
      </c>
      <c r="AZ895" s="555" t="str">
        <f>CONCATENATE("Contre l'Outremonde, ajoutez ",Souillure,"g0 d'atk mais gagnez +3 pts de Souillure. Qd vous tuez une telle créature, dépensez Pvide pour perdre un pt de Souillure ou si la créature est vraiment puissante Test d'Opposition de Terre. En cas de succès (voir MJ) perdez toute votre Souillure.")</f>
        <v>Contre l'Outremonde, ajoutez 0g0 d'atk mais gagnez +3 pts de Souillure. Qd vous tuez une telle créature, dépensez Pvide pour perdre un pt de Souillure ou si la créature est vraiment puissante Test d'Opposition de Terre. En cas de succès (voir MJ) perdez toute votre Souillure.</v>
      </c>
      <c r="BA895" s="559">
        <f>IF(Verso!$B$10=Voies!$B895,1,0)</f>
        <v>0</v>
      </c>
      <c r="BB895" s="12">
        <f>IF(Verso!$B$11=Voies!$B895,1,0)</f>
        <v>0</v>
      </c>
      <c r="BC895" s="12">
        <f>IF(Verso!$B$12=Voies!$B895,1,0)</f>
        <v>0</v>
      </c>
      <c r="BD895" s="12">
        <f>IF(Verso!$B$13=Voies!$B895,1,0)</f>
        <v>0</v>
      </c>
      <c r="BE895" s="12">
        <f>IF(Verso!$B$14=Voies!$B895,1,0)</f>
        <v>0</v>
      </c>
      <c r="BF895" s="12">
        <f>IF(Verso!$B$15=Voies!$B895,1,0)</f>
        <v>0</v>
      </c>
      <c r="BG895" s="12">
        <f>IF(Verso!$B$16=Voies!$B895,1,0)</f>
        <v>0</v>
      </c>
      <c r="BH895" s="12">
        <f>IF(Verso!$B$17=Voies!$B895,1,0)</f>
        <v>0</v>
      </c>
      <c r="BI895" s="557">
        <f t="shared" si="96"/>
        <v>0</v>
      </c>
      <c r="BJ895" s="196" t="str">
        <f t="shared" si="97"/>
        <v/>
      </c>
      <c r="BK895" s="196" t="str">
        <f t="shared" si="98"/>
        <v/>
      </c>
      <c r="BL895" s="295" t="str">
        <f t="shared" si="99"/>
        <v/>
      </c>
    </row>
    <row r="896" spans="1:65" ht="47.25" customHeight="1" x14ac:dyDescent="0.25">
      <c r="A896" s="162" t="str">
        <f>IF(AND(Réputation&gt;Voies!E896-1,OR(C896=TRUE,Calculs!$I$8&gt;0),Air&gt;Voies!J896-1,Eau&gt;Voies!K896-1,Feu&gt;Voies!L896-1,Terre&gt;Voies!M896-1,Vide&gt;Voies!N896-1,Constitution&gt;Voies!O896-1,Volonté&gt;Voies!P896-1,Force&gt;Voies!Q896-1,Perception&gt;Voies!R896-1,Reflexes&gt;Voies!S896-1,Agilité&gt;Voies!T896-1,Intuition&gt;Voies!U896-1,Intelligence&gt;Voies!V896-1,Souillure&gt;Voies!W896-1,Honneur&gt;X896-1,Statut&gt;Y896-1,Gloire&gt;Z896-1,AV896=TRUE),Voies!B896,"")</f>
        <v/>
      </c>
      <c r="B896" s="162" t="s">
        <v>2415</v>
      </c>
      <c r="C896" s="162" t="b">
        <v>1</v>
      </c>
      <c r="D896" s="388" t="s">
        <v>61</v>
      </c>
      <c r="E896" s="199">
        <v>3</v>
      </c>
      <c r="F896" s="199">
        <v>3</v>
      </c>
      <c r="G896" s="199" t="s">
        <v>2049</v>
      </c>
      <c r="H896" s="162" t="s">
        <v>2416</v>
      </c>
      <c r="I896" s="129" t="str">
        <f>IF(B896="","","Rien")</f>
        <v>Rien</v>
      </c>
      <c r="J896" s="146">
        <v>0</v>
      </c>
      <c r="K896" s="147">
        <v>0</v>
      </c>
      <c r="L896" s="148">
        <v>0</v>
      </c>
      <c r="M896" s="149">
        <v>0</v>
      </c>
      <c r="N896" s="150">
        <v>0</v>
      </c>
      <c r="O896" s="130">
        <v>0</v>
      </c>
      <c r="P896" s="130">
        <v>0</v>
      </c>
      <c r="Q896" s="130">
        <v>0</v>
      </c>
      <c r="R896" s="130">
        <v>0</v>
      </c>
      <c r="S896" s="130">
        <v>0</v>
      </c>
      <c r="T896" s="130">
        <v>0</v>
      </c>
      <c r="U896" s="130">
        <v>0</v>
      </c>
      <c r="V896" s="524">
        <v>0</v>
      </c>
      <c r="W896" s="130">
        <v>0</v>
      </c>
      <c r="X896" s="130">
        <v>0</v>
      </c>
      <c r="Y896" s="130">
        <v>0</v>
      </c>
      <c r="Z896" s="130">
        <v>0</v>
      </c>
      <c r="AA896" s="158" t="s">
        <v>2078</v>
      </c>
      <c r="AB896" s="158"/>
      <c r="AC896" s="158"/>
      <c r="AD896" s="158"/>
      <c r="AE896" s="158" t="b">
        <f>IF(AB896="",TRUE,IF(IF(AC896="",VLOOKUP(AB896,Calculs!$A$19:$S$425,19,FALSE),VLOOKUP(AC896,Calculs!$A$19:$S$425,19,FALSE))&gt;=AD896,TRUE,FALSE))</f>
        <v>1</v>
      </c>
      <c r="AF896" s="158"/>
      <c r="AG896" s="158"/>
      <c r="AH896" s="158"/>
      <c r="AI896" s="158" t="b">
        <f>IF(AF896="",TRUE,IF(IF(AG896="",VLOOKUP(AF896,Calculs!$A$19:$S$425,19,FALSE),VLOOKUP(AG896,Calculs!$A$19:$S$425,19,FALSE))&gt;=AH896,TRUE,FALSE))</f>
        <v>1</v>
      </c>
      <c r="AJ896" s="158"/>
      <c r="AK896" s="158"/>
      <c r="AL896" s="158"/>
      <c r="AM896" s="158" t="b">
        <f>IF(AJ896="",TRUE,IF(IF(AK896="",VLOOKUP(AJ896,Calculs!$A$19:$S$425,19,FALSE),VLOOKUP(AK896,Calculs!$A$19:$S$425,19,FALSE))&gt;=AL896,TRUE,FALSE))</f>
        <v>1</v>
      </c>
      <c r="AN896" s="158"/>
      <c r="AO896" s="158"/>
      <c r="AP896" s="158"/>
      <c r="AQ896" s="158" t="b">
        <f>IF(AN896="",TRUE,IF(IF(AO896="",VLOOKUP(AN896,Calculs!$A$19:$S$425,19,FALSE),VLOOKUP(AO896,Calculs!$A$19:$S$425,19,FALSE))&gt;=AP896,TRUE,FALSE))</f>
        <v>1</v>
      </c>
      <c r="AR896" s="158"/>
      <c r="AS896" s="158" t="b">
        <f>IF(AR896="",TRUE,IF(VLOOKUP(AR896,Calculs!$A$427:$G$738,7,FALSE)&gt;0,TRUE,FALSE))</f>
        <v>1</v>
      </c>
      <c r="AT896" s="158"/>
      <c r="AU896" s="158" t="b">
        <f>IF(AT896="",TRUE,IF(VLOOKUP(AT896,Calculs!$A$740:$G$912,7,FALSE)&gt;0,TRUE,FALSE))</f>
        <v>1</v>
      </c>
      <c r="AV896" s="158" t="b">
        <f t="shared" si="95"/>
        <v>1</v>
      </c>
      <c r="AW896" s="158" t="s">
        <v>2078</v>
      </c>
      <c r="AX896" s="162" t="s">
        <v>3</v>
      </c>
      <c r="AY896" s="15">
        <v>235</v>
      </c>
      <c r="AZ896" s="555" t="s">
        <v>8723</v>
      </c>
      <c r="BA896" s="559">
        <f>IF(Verso!$B$10=Voies!$B896,1,0)</f>
        <v>0</v>
      </c>
      <c r="BB896" s="12">
        <f>IF(Verso!$B$11=Voies!$B896,1,0)</f>
        <v>0</v>
      </c>
      <c r="BC896" s="12">
        <f>IF(Verso!$B$12=Voies!$B896,1,0)</f>
        <v>0</v>
      </c>
      <c r="BD896" s="12">
        <f>IF(Verso!$B$13=Voies!$B896,1,0)</f>
        <v>0</v>
      </c>
      <c r="BE896" s="12">
        <f>IF(Verso!$B$14=Voies!$B896,1,0)</f>
        <v>0</v>
      </c>
      <c r="BF896" s="12">
        <f>IF(Verso!$B$15=Voies!$B896,1,0)</f>
        <v>0</v>
      </c>
      <c r="BG896" s="12">
        <f>IF(Verso!$B$16=Voies!$B896,1,0)</f>
        <v>0</v>
      </c>
      <c r="BH896" s="12">
        <f>IF(Verso!$B$17=Voies!$B896,1,0)</f>
        <v>0</v>
      </c>
      <c r="BI896" s="557">
        <f t="shared" si="96"/>
        <v>0</v>
      </c>
      <c r="BJ896" s="196" t="str">
        <f t="shared" si="97"/>
        <v/>
      </c>
      <c r="BK896" s="196" t="str">
        <f t="shared" si="98"/>
        <v/>
      </c>
      <c r="BL896" s="295" t="str">
        <f t="shared" si="99"/>
        <v/>
      </c>
    </row>
    <row r="897" spans="1:65" ht="47.25" customHeight="1" x14ac:dyDescent="0.25">
      <c r="A897" s="162" t="str">
        <f>IF(AND(Réputation&gt;Voies!E897-1,OR(C897=TRUE,Calculs!$I$8&gt;0),Air&gt;Voies!J897-1,Eau&gt;Voies!K897-1,Feu&gt;Voies!L897-1,Terre&gt;Voies!M897-1,Vide&gt;Voies!N897-1,Constitution&gt;Voies!O897-1,Volonté&gt;Voies!P897-1,Force&gt;Voies!Q897-1,Perception&gt;Voies!R897-1,Reflexes&gt;Voies!S897-1,Agilité&gt;Voies!T897-1,Intuition&gt;Voies!U897-1,Intelligence&gt;Voies!V897-1,Souillure&gt;Voies!W897-1,Honneur&gt;X897-1,Statut&gt;Y897-1,Gloire&gt;Z897-1,AV897=TRUE),Voies!B897,"")</f>
        <v/>
      </c>
      <c r="B897" s="162" t="s">
        <v>3577</v>
      </c>
      <c r="C897" s="162" t="b">
        <v>1</v>
      </c>
      <c r="D897" s="388" t="s">
        <v>61</v>
      </c>
      <c r="E897" s="199">
        <v>3</v>
      </c>
      <c r="F897" s="199">
        <v>3</v>
      </c>
      <c r="G897" s="199" t="s">
        <v>2049</v>
      </c>
      <c r="H897" s="162" t="s">
        <v>108</v>
      </c>
      <c r="I897" s="129" t="s">
        <v>3340</v>
      </c>
      <c r="J897" s="146">
        <v>0</v>
      </c>
      <c r="K897" s="147">
        <v>0</v>
      </c>
      <c r="L897" s="148">
        <v>0</v>
      </c>
      <c r="M897" s="149">
        <v>0</v>
      </c>
      <c r="N897" s="150">
        <v>0</v>
      </c>
      <c r="O897" s="130">
        <v>0</v>
      </c>
      <c r="P897" s="130">
        <v>0</v>
      </c>
      <c r="Q897" s="130">
        <v>0</v>
      </c>
      <c r="R897" s="130">
        <v>0</v>
      </c>
      <c r="S897" s="130">
        <v>0</v>
      </c>
      <c r="T897" s="130">
        <v>0</v>
      </c>
      <c r="U897" s="130">
        <v>0</v>
      </c>
      <c r="V897" s="524">
        <v>0</v>
      </c>
      <c r="W897" s="130">
        <v>0</v>
      </c>
      <c r="X897" s="130">
        <v>0</v>
      </c>
      <c r="Y897" s="130">
        <v>0</v>
      </c>
      <c r="Z897" s="130">
        <v>0</v>
      </c>
      <c r="AA897" s="159" t="s">
        <v>3576</v>
      </c>
      <c r="AB897" s="159" t="s">
        <v>1267</v>
      </c>
      <c r="AD897" s="159">
        <v>2</v>
      </c>
      <c r="AE897" s="158" t="b">
        <f>IF(AB897="",TRUE,IF(IF(AC897="",VLOOKUP(AB897,Calculs!$A$19:$S$425,19,FALSE),VLOOKUP(AC897,Calculs!$A$19:$S$425,19,FALSE))&gt;=AD897,TRUE,FALSE))</f>
        <v>0</v>
      </c>
      <c r="AF897" s="159" t="s">
        <v>1277</v>
      </c>
      <c r="AH897" s="159">
        <v>3</v>
      </c>
      <c r="AI897" s="158" t="b">
        <f>IF(AF897="",TRUE,IF(IF(AG897="",VLOOKUP(AF897,Calculs!$A$19:$S$425,19,FALSE),VLOOKUP(AG897,Calculs!$A$19:$S$425,19,FALSE))&gt;=AH897,TRUE,FALSE))</f>
        <v>0</v>
      </c>
      <c r="AM897" s="158" t="b">
        <f>IF(AJ897="",TRUE,IF(IF(AK897="",VLOOKUP(AJ897,Calculs!$A$19:$S$425,19,FALSE),VLOOKUP(AK897,Calculs!$A$19:$S$425,19,FALSE))&gt;=AL897,TRUE,FALSE))</f>
        <v>1</v>
      </c>
      <c r="AQ897" s="158" t="b">
        <f>IF(AN897="",TRUE,IF(IF(AO897="",VLOOKUP(AN897,Calculs!$A$19:$S$425,19,FALSE),VLOOKUP(AO897,Calculs!$A$19:$S$425,19,FALSE))&gt;=AP897,TRUE,FALSE))</f>
        <v>1</v>
      </c>
      <c r="AR897" s="158"/>
      <c r="AS897" s="158" t="b">
        <f>IF(AR897="",TRUE,IF(VLOOKUP(AR897,Calculs!$A$427:$G$738,7,FALSE)&gt;0,TRUE,FALSE))</f>
        <v>1</v>
      </c>
      <c r="AT897" s="158"/>
      <c r="AU897" s="158" t="b">
        <f>IF(AT897="",TRUE,IF(VLOOKUP(AT897,Calculs!$A$740:$G$912,7,FALSE)&gt;0,TRUE,FALSE))</f>
        <v>1</v>
      </c>
      <c r="AV897" s="158" t="b">
        <f t="shared" si="95"/>
        <v>0</v>
      </c>
      <c r="AW897" s="158" t="s">
        <v>2078</v>
      </c>
      <c r="AX897" s="162" t="s">
        <v>2075</v>
      </c>
      <c r="AY897" s="15">
        <v>203</v>
      </c>
      <c r="AZ897" s="555" t="s">
        <v>3578</v>
      </c>
      <c r="BA897" s="559">
        <f>IF(Verso!$B$10=Voies!$B897,1,0)</f>
        <v>0</v>
      </c>
      <c r="BB897" s="12">
        <f>IF(Verso!$B$11=Voies!$B897,1,0)</f>
        <v>0</v>
      </c>
      <c r="BC897" s="12">
        <f>IF(Verso!$B$12=Voies!$B897,1,0)</f>
        <v>0</v>
      </c>
      <c r="BD897" s="12">
        <f>IF(Verso!$B$13=Voies!$B897,1,0)</f>
        <v>0</v>
      </c>
      <c r="BE897" s="12">
        <f>IF(Verso!$B$14=Voies!$B897,1,0)</f>
        <v>0</v>
      </c>
      <c r="BF897" s="12">
        <f>IF(Verso!$B$15=Voies!$B897,1,0)</f>
        <v>0</v>
      </c>
      <c r="BG897" s="12">
        <f>IF(Verso!$B$16=Voies!$B897,1,0)</f>
        <v>0</v>
      </c>
      <c r="BH897" s="12">
        <f>IF(Verso!$B$17=Voies!$B897,1,0)</f>
        <v>0</v>
      </c>
      <c r="BI897" s="557">
        <f t="shared" si="96"/>
        <v>0</v>
      </c>
      <c r="BJ897" s="196" t="str">
        <f t="shared" si="97"/>
        <v/>
      </c>
      <c r="BK897" s="196" t="str">
        <f t="shared" si="98"/>
        <v/>
      </c>
      <c r="BL897" s="295" t="str">
        <f t="shared" si="99"/>
        <v/>
      </c>
    </row>
    <row r="898" spans="1:65" ht="47.25" customHeight="1" x14ac:dyDescent="0.25">
      <c r="A898" s="162" t="str">
        <f>IF(AND(Réputation&gt;Voies!E898-1,OR(C898=TRUE,Calculs!$I$8&gt;0),Air&gt;Voies!J898-1,Eau&gt;Voies!K898-1,Feu&gt;Voies!L898-1,Terre&gt;Voies!M898-1,Vide&gt;Voies!N898-1,Constitution&gt;Voies!O898-1,Volonté&gt;Voies!P898-1,Force&gt;Voies!Q898-1,Perception&gt;Voies!R898-1,Reflexes&gt;Voies!S898-1,Agilité&gt;Voies!T898-1,Intuition&gt;Voies!U898-1,Intelligence&gt;Voies!V898-1,Souillure&gt;Voies!W898-1,Honneur&gt;X898-1,Statut&gt;Y898-1,Gloire&gt;Z898-1,AV898=TRUE),Voies!B898,"")</f>
        <v/>
      </c>
      <c r="B898" s="162" t="s">
        <v>3674</v>
      </c>
      <c r="C898" s="162" t="b">
        <v>1</v>
      </c>
      <c r="D898" s="388" t="s">
        <v>61</v>
      </c>
      <c r="E898" s="199">
        <v>3</v>
      </c>
      <c r="F898" s="199">
        <v>3</v>
      </c>
      <c r="G898" s="199" t="s">
        <v>2049</v>
      </c>
      <c r="H898" s="162" t="s">
        <v>294</v>
      </c>
      <c r="I898" s="129" t="s">
        <v>3340</v>
      </c>
      <c r="J898" s="146">
        <v>0</v>
      </c>
      <c r="K898" s="147">
        <v>0</v>
      </c>
      <c r="L898" s="148">
        <v>0</v>
      </c>
      <c r="M898" s="149">
        <v>0</v>
      </c>
      <c r="N898" s="150">
        <v>0</v>
      </c>
      <c r="O898" s="130">
        <v>0</v>
      </c>
      <c r="P898" s="130">
        <v>0</v>
      </c>
      <c r="Q898" s="130">
        <v>0</v>
      </c>
      <c r="R898" s="130">
        <v>0</v>
      </c>
      <c r="S898" s="130">
        <v>0</v>
      </c>
      <c r="T898" s="130">
        <v>0</v>
      </c>
      <c r="U898" s="130">
        <v>0</v>
      </c>
      <c r="V898" s="524">
        <v>0</v>
      </c>
      <c r="W898" s="130">
        <v>0</v>
      </c>
      <c r="X898" s="130">
        <v>3</v>
      </c>
      <c r="Y898" s="130">
        <v>0</v>
      </c>
      <c r="Z898" s="130">
        <v>0</v>
      </c>
      <c r="AA898" s="159" t="s">
        <v>3673</v>
      </c>
      <c r="AE898" s="158" t="b">
        <f>IF(AB898="",TRUE,IF(IF(AC898="",VLOOKUP(AB898,Calculs!$A$19:$S$425,19,FALSE),VLOOKUP(AC898,Calculs!$A$19:$S$425,19,FALSE))&gt;=AD898,TRUE,FALSE))</f>
        <v>1</v>
      </c>
      <c r="AI898" s="158" t="b">
        <f>IF(AF898="",TRUE,IF(IF(AG898="",VLOOKUP(AF898,Calculs!$A$19:$S$425,19,FALSE),VLOOKUP(AG898,Calculs!$A$19:$S$425,19,FALSE))&gt;=AH898,TRUE,FALSE))</f>
        <v>1</v>
      </c>
      <c r="AM898" s="158" t="b">
        <f>IF(AJ898="",TRUE,IF(IF(AK898="",VLOOKUP(AJ898,Calculs!$A$19:$S$425,19,FALSE),VLOOKUP(AK898,Calculs!$A$19:$S$425,19,FALSE))&gt;=AL898,TRUE,FALSE))</f>
        <v>1</v>
      </c>
      <c r="AQ898" s="158" t="b">
        <f>IF(AN898="",TRUE,IF(IF(AO898="",VLOOKUP(AN898,Calculs!$A$19:$S$425,19,FALSE),VLOOKUP(AO898,Calculs!$A$19:$S$425,19,FALSE))&gt;=AP898,TRUE,FALSE))</f>
        <v>1</v>
      </c>
      <c r="AR898" s="158"/>
      <c r="AS898" s="158" t="b">
        <f>IF(AR898="",TRUE,IF(VLOOKUP(AR898,Calculs!$A$427:$G$738,7,FALSE)&gt;0,TRUE,FALSE))</f>
        <v>1</v>
      </c>
      <c r="AT898" s="158"/>
      <c r="AU898" s="158" t="b">
        <f>IF(AT898="",TRUE,IF(VLOOKUP(AT898,Calculs!$A$740:$G$912,7,FALSE)&gt;0,TRUE,FALSE))</f>
        <v>1</v>
      </c>
      <c r="AV898" s="158" t="b">
        <f t="shared" si="95"/>
        <v>1</v>
      </c>
      <c r="AW898" s="158" t="s">
        <v>2078</v>
      </c>
      <c r="AX898" s="162" t="s">
        <v>2077</v>
      </c>
      <c r="AY898" s="15">
        <v>275</v>
      </c>
      <c r="AZ898" s="555" t="s">
        <v>3675</v>
      </c>
      <c r="BA898" s="559">
        <f>IF(Verso!$B$10=Voies!$B898,1,0)</f>
        <v>0</v>
      </c>
      <c r="BB898" s="12">
        <f>IF(Verso!$B$11=Voies!$B898,1,0)</f>
        <v>0</v>
      </c>
      <c r="BC898" s="12">
        <f>IF(Verso!$B$12=Voies!$B898,1,0)</f>
        <v>0</v>
      </c>
      <c r="BD898" s="12">
        <f>IF(Verso!$B$13=Voies!$B898,1,0)</f>
        <v>0</v>
      </c>
      <c r="BE898" s="12">
        <f>IF(Verso!$B$14=Voies!$B898,1,0)</f>
        <v>0</v>
      </c>
      <c r="BF898" s="12">
        <f>IF(Verso!$B$15=Voies!$B898,1,0)</f>
        <v>0</v>
      </c>
      <c r="BG898" s="12">
        <f>IF(Verso!$B$16=Voies!$B898,1,0)</f>
        <v>0</v>
      </c>
      <c r="BH898" s="12">
        <f>IF(Verso!$B$17=Voies!$B898,1,0)</f>
        <v>0</v>
      </c>
      <c r="BI898" s="557">
        <f t="shared" si="96"/>
        <v>0</v>
      </c>
      <c r="BJ898" s="196" t="str">
        <f t="shared" si="97"/>
        <v/>
      </c>
      <c r="BK898" s="196" t="str">
        <f t="shared" si="98"/>
        <v/>
      </c>
      <c r="BL898" s="295" t="str">
        <f t="shared" si="99"/>
        <v/>
      </c>
    </row>
    <row r="899" spans="1:65" ht="47.25" customHeight="1" x14ac:dyDescent="0.25">
      <c r="A899" s="162" t="str">
        <f>IF(AND(Réputation&gt;Voies!E899-1,OR(C899=TRUE,Calculs!$I$8&gt;0),Air&gt;Voies!J899-1,Eau&gt;Voies!K899-1,Feu&gt;Voies!L899-1,Terre&gt;Voies!M899-1,Vide&gt;Voies!N899-1,Constitution&gt;Voies!O899-1,Volonté&gt;Voies!P899-1,Force&gt;Voies!Q899-1,Perception&gt;Voies!R899-1,Reflexes&gt;Voies!S899-1,Agilité&gt;Voies!T899-1,Intuition&gt;Voies!U899-1,Intelligence&gt;Voies!V899-1,Souillure&gt;Voies!W899-1,Honneur&gt;X899-1,Statut&gt;Y899-1,Gloire&gt;Z899-1,AV899=TRUE),Voies!B899,"")</f>
        <v/>
      </c>
      <c r="B899" s="162" t="s">
        <v>3581</v>
      </c>
      <c r="C899" s="162" t="b">
        <v>1</v>
      </c>
      <c r="D899" s="388" t="s">
        <v>61</v>
      </c>
      <c r="E899" s="199">
        <v>3</v>
      </c>
      <c r="F899" s="199">
        <v>3</v>
      </c>
      <c r="G899" s="199" t="s">
        <v>2049</v>
      </c>
      <c r="H899" s="162" t="s">
        <v>460</v>
      </c>
      <c r="I899" s="129" t="s">
        <v>3340</v>
      </c>
      <c r="J899" s="146">
        <v>0</v>
      </c>
      <c r="K899" s="147">
        <v>0</v>
      </c>
      <c r="L899" s="148">
        <v>0</v>
      </c>
      <c r="M899" s="149">
        <v>0</v>
      </c>
      <c r="N899" s="150">
        <v>0</v>
      </c>
      <c r="O899" s="130">
        <v>0</v>
      </c>
      <c r="P899" s="130">
        <v>0</v>
      </c>
      <c r="Q899" s="130">
        <v>0</v>
      </c>
      <c r="R899" s="130">
        <v>0</v>
      </c>
      <c r="S899" s="130">
        <v>0</v>
      </c>
      <c r="T899" s="130">
        <v>0</v>
      </c>
      <c r="U899" s="130">
        <v>0</v>
      </c>
      <c r="V899" s="524">
        <v>0</v>
      </c>
      <c r="W899" s="130">
        <v>0</v>
      </c>
      <c r="X899" s="130">
        <v>0</v>
      </c>
      <c r="Y899" s="130">
        <v>0</v>
      </c>
      <c r="Z899" s="130">
        <v>0</v>
      </c>
      <c r="AA899" s="158" t="s">
        <v>2078</v>
      </c>
      <c r="AB899" s="158"/>
      <c r="AC899" s="158"/>
      <c r="AD899" s="158"/>
      <c r="AE899" s="158" t="b">
        <f>IF(AB899="",TRUE,IF(IF(AC899="",VLOOKUP(AB899,Calculs!$A$19:$S$425,19,FALSE),VLOOKUP(AC899,Calculs!$A$19:$S$425,19,FALSE))&gt;=AD899,TRUE,FALSE))</f>
        <v>1</v>
      </c>
      <c r="AF899" s="158"/>
      <c r="AG899" s="158"/>
      <c r="AH899" s="158"/>
      <c r="AI899" s="158" t="b">
        <f>IF(AF899="",TRUE,IF(IF(AG899="",VLOOKUP(AF899,Calculs!$A$19:$S$425,19,FALSE),VLOOKUP(AG899,Calculs!$A$19:$S$425,19,FALSE))&gt;=AH899,TRUE,FALSE))</f>
        <v>1</v>
      </c>
      <c r="AJ899" s="158"/>
      <c r="AK899" s="158"/>
      <c r="AL899" s="158"/>
      <c r="AM899" s="158" t="b">
        <f>IF(AJ899="",TRUE,IF(IF(AK899="",VLOOKUP(AJ899,Calculs!$A$19:$S$425,19,FALSE),VLOOKUP(AK899,Calculs!$A$19:$S$425,19,FALSE))&gt;=AL899,TRUE,FALSE))</f>
        <v>1</v>
      </c>
      <c r="AN899" s="158"/>
      <c r="AO899" s="158"/>
      <c r="AP899" s="158"/>
      <c r="AQ899" s="158" t="b">
        <f>IF(AN899="",TRUE,IF(IF(AO899="",VLOOKUP(AN899,Calculs!$A$19:$S$425,19,FALSE),VLOOKUP(AO899,Calculs!$A$19:$S$425,19,FALSE))&gt;=AP899,TRUE,FALSE))</f>
        <v>1</v>
      </c>
      <c r="AR899" s="158" t="s">
        <v>670</v>
      </c>
      <c r="AS899" s="158" t="b">
        <f>IF(AR899="",TRUE,IF(VLOOKUP(AR899,Calculs!$A$427:$G$738,7,FALSE)&gt;0,TRUE,FALSE))</f>
        <v>0</v>
      </c>
      <c r="AT899" s="158"/>
      <c r="AU899" s="158" t="b">
        <f>IF(AT899="",TRUE,IF(VLOOKUP(AT899,Calculs!$A$740:$G$912,7,FALSE)&gt;0,TRUE,FALSE))</f>
        <v>1</v>
      </c>
      <c r="AV899" s="158" t="b">
        <f t="shared" ref="AV899:AV962" si="101">IF(AND(AE899=TRUE,AI899=TRUE,AM899=TRUE,AQ899=TRUE,AS899=TRUE,AU899=TRUE),TRUE,FALSE)</f>
        <v>0</v>
      </c>
      <c r="AW899" s="159" t="s">
        <v>3580</v>
      </c>
      <c r="AX899" s="162" t="s">
        <v>2075</v>
      </c>
      <c r="AY899" s="15">
        <v>204</v>
      </c>
      <c r="AZ899" s="555" t="str">
        <f>CONCATENATE("Lorsque vous vous battez contre un adversaire ayant un Rang d'Honneur inférieur à ",Honneur," et maniez une arme Samurai, vous pouvez effectuer une attaque au Corps à Corps au prix d'une AS au lieu d'une AC.")</f>
        <v>Lorsque vous vous battez contre un adversaire ayant un Rang d'Honneur inférieur à 0 et maniez une arme Samurai, vous pouvez effectuer une attaque au Corps à Corps au prix d'une AS au lieu d'une AC.</v>
      </c>
      <c r="BA899" s="559">
        <f>IF(Verso!$B$10=Voies!$B899,1,0)</f>
        <v>0</v>
      </c>
      <c r="BB899" s="12">
        <f>IF(Verso!$B$11=Voies!$B899,1,0)</f>
        <v>0</v>
      </c>
      <c r="BC899" s="12">
        <f>IF(Verso!$B$12=Voies!$B899,1,0)</f>
        <v>0</v>
      </c>
      <c r="BD899" s="12">
        <f>IF(Verso!$B$13=Voies!$B899,1,0)</f>
        <v>0</v>
      </c>
      <c r="BE899" s="12">
        <f>IF(Verso!$B$14=Voies!$B899,1,0)</f>
        <v>0</v>
      </c>
      <c r="BF899" s="12">
        <f>IF(Verso!$B$15=Voies!$B899,1,0)</f>
        <v>0</v>
      </c>
      <c r="BG899" s="12">
        <f>IF(Verso!$B$16=Voies!$B899,1,0)</f>
        <v>0</v>
      </c>
      <c r="BH899" s="12">
        <f>IF(Verso!$B$17=Voies!$B899,1,0)</f>
        <v>0</v>
      </c>
      <c r="BI899" s="557">
        <f t="shared" ref="BI899:BI962" si="102">SUM(BA899:BH899)</f>
        <v>0</v>
      </c>
      <c r="BJ899" s="196" t="str">
        <f t="shared" si="97"/>
        <v/>
      </c>
      <c r="BK899" s="196" t="str">
        <f t="shared" si="98"/>
        <v/>
      </c>
      <c r="BL899" s="295" t="str">
        <f t="shared" si="99"/>
        <v/>
      </c>
    </row>
    <row r="900" spans="1:65" ht="47.25" customHeight="1" x14ac:dyDescent="0.25">
      <c r="A900" s="162" t="str">
        <f>IF(AND(Réputation&gt;Voies!E900-1,OR(C900=TRUE,Calculs!$I$8&gt;0),Air&gt;Voies!J900-1,Eau&gt;Voies!K900-1,Feu&gt;Voies!L900-1,Terre&gt;Voies!M900-1,Vide&gt;Voies!N900-1,Constitution&gt;Voies!O900-1,Volonté&gt;Voies!P900-1,Force&gt;Voies!Q900-1,Perception&gt;Voies!R900-1,Reflexes&gt;Voies!S900-1,Agilité&gt;Voies!T900-1,Intuition&gt;Voies!U900-1,Intelligence&gt;Voies!V900-1,Souillure&gt;Voies!W900-1,Honneur&gt;X900-1,Statut&gt;Y900-1,Gloire&gt;Z900-1,AV900=TRUE),Voies!B900,"")</f>
        <v/>
      </c>
      <c r="B900" s="162" t="s">
        <v>3584</v>
      </c>
      <c r="C900" s="162" t="b">
        <v>1</v>
      </c>
      <c r="D900" s="388" t="s">
        <v>61</v>
      </c>
      <c r="E900" s="13">
        <v>3</v>
      </c>
      <c r="F900" s="199">
        <v>3</v>
      </c>
      <c r="G900" s="199" t="s">
        <v>2049</v>
      </c>
      <c r="H900" s="162" t="s">
        <v>283</v>
      </c>
      <c r="I900" s="129" t="s">
        <v>3340</v>
      </c>
      <c r="J900" s="146">
        <v>0</v>
      </c>
      <c r="K900" s="147">
        <v>0</v>
      </c>
      <c r="L900" s="148">
        <v>0</v>
      </c>
      <c r="M900" s="149">
        <v>0</v>
      </c>
      <c r="N900" s="150">
        <v>0</v>
      </c>
      <c r="O900" s="130">
        <v>0</v>
      </c>
      <c r="P900" s="130">
        <v>0</v>
      </c>
      <c r="Q900" s="130">
        <v>0</v>
      </c>
      <c r="R900" s="130">
        <v>0</v>
      </c>
      <c r="S900" s="130">
        <v>0</v>
      </c>
      <c r="T900" s="130">
        <v>0</v>
      </c>
      <c r="U900" s="130">
        <v>0</v>
      </c>
      <c r="V900" s="524">
        <v>0</v>
      </c>
      <c r="W900" s="130">
        <v>0</v>
      </c>
      <c r="X900" s="130">
        <v>0</v>
      </c>
      <c r="Y900" s="130">
        <v>0</v>
      </c>
      <c r="Z900" s="130">
        <v>0</v>
      </c>
      <c r="AA900" s="159" t="s">
        <v>3582</v>
      </c>
      <c r="AB900" s="159" t="s">
        <v>1273</v>
      </c>
      <c r="AD900" s="159">
        <v>3</v>
      </c>
      <c r="AE900" s="158" t="b">
        <f>IF(AB900="",TRUE,IF(IF(AC900="",VLOOKUP(AB900,Calculs!$A$19:$S$425,19,FALSE),VLOOKUP(AC900,Calculs!$A$19:$S$425,19,FALSE))&gt;=AD900,TRUE,FALSE))</f>
        <v>0</v>
      </c>
      <c r="AF900" s="159" t="s">
        <v>3324</v>
      </c>
      <c r="AH900" s="159">
        <v>3</v>
      </c>
      <c r="AI900" s="158" t="b">
        <f>IF(AF900="",TRUE,IF(IF(AG900="",VLOOKUP(AF900,Calculs!$A$19:$S$425,19,FALSE),VLOOKUP(AG900,Calculs!$A$19:$S$425,19,FALSE))&gt;=AH900,TRUE,FALSE))</f>
        <v>0</v>
      </c>
      <c r="AM900" s="158" t="b">
        <f>IF(AJ900="",TRUE,IF(IF(AK900="",VLOOKUP(AJ900,Calculs!$A$19:$S$425,19,FALSE),VLOOKUP(AK900,Calculs!$A$19:$S$425,19,FALSE))&gt;=AL900,TRUE,FALSE))</f>
        <v>1</v>
      </c>
      <c r="AQ900" s="158" t="b">
        <f>IF(AN900="",TRUE,IF(IF(AO900="",VLOOKUP(AN900,Calculs!$A$19:$S$425,19,FALSE),VLOOKUP(AO900,Calculs!$A$19:$S$425,19,FALSE))&gt;=AP900,TRUE,FALSE))</f>
        <v>1</v>
      </c>
      <c r="AR900" s="158"/>
      <c r="AS900" s="158" t="b">
        <f>IF(AR900="",TRUE,IF(VLOOKUP(AR900,Calculs!$A$427:$G$738,7,FALSE)&gt;0,TRUE,FALSE))</f>
        <v>1</v>
      </c>
      <c r="AT900" s="158"/>
      <c r="AU900" s="158" t="b">
        <f>IF(AT900="",TRUE,IF(VLOOKUP(AT900,Calculs!$A$740:$G$912,7,FALSE)&gt;0,TRUE,FALSE))</f>
        <v>1</v>
      </c>
      <c r="AV900" s="158" t="b">
        <f t="shared" si="101"/>
        <v>0</v>
      </c>
      <c r="AW900" s="159" t="s">
        <v>3583</v>
      </c>
      <c r="AX900" s="162" t="s">
        <v>2075</v>
      </c>
      <c r="AY900" s="15">
        <v>203</v>
      </c>
      <c r="AZ900" s="555" t="s">
        <v>3585</v>
      </c>
      <c r="BA900" s="559">
        <f>IF(Verso!$B$10=Voies!$B900,1,0)</f>
        <v>0</v>
      </c>
      <c r="BB900" s="12">
        <f>IF(Verso!$B$11=Voies!$B900,1,0)</f>
        <v>0</v>
      </c>
      <c r="BC900" s="12">
        <f>IF(Verso!$B$12=Voies!$B900,1,0)</f>
        <v>0</v>
      </c>
      <c r="BD900" s="12">
        <f>IF(Verso!$B$13=Voies!$B900,1,0)</f>
        <v>0</v>
      </c>
      <c r="BE900" s="12">
        <f>IF(Verso!$B$14=Voies!$B900,1,0)</f>
        <v>0</v>
      </c>
      <c r="BF900" s="12">
        <f>IF(Verso!$B$15=Voies!$B900,1,0)</f>
        <v>0</v>
      </c>
      <c r="BG900" s="12">
        <f>IF(Verso!$B$16=Voies!$B900,1,0)</f>
        <v>0</v>
      </c>
      <c r="BH900" s="12">
        <f>IF(Verso!$B$17=Voies!$B900,1,0)</f>
        <v>0</v>
      </c>
      <c r="BI900" s="557">
        <f t="shared" si="102"/>
        <v>0</v>
      </c>
      <c r="BJ900" s="196" t="str">
        <f t="shared" ref="BJ900:BJ963" si="103">IF(A900="","",ROW())</f>
        <v/>
      </c>
      <c r="BK900" s="196" t="str">
        <f t="shared" ref="BK900:BK963" si="104">IFERROR(SMALL(BJ:BJ,ROW()-2),"")</f>
        <v/>
      </c>
      <c r="BL900" s="295" t="str">
        <f t="shared" ref="BL900:BL963" si="105">IFERROR(INDEX(A:A,BK900),"")</f>
        <v/>
      </c>
    </row>
    <row r="901" spans="1:65" ht="47.25" customHeight="1" x14ac:dyDescent="0.25">
      <c r="A901" s="162" t="str">
        <f>IF(AND(Réputation&gt;Voies!E901-1,OR(C901=TRUE,Calculs!$I$8&gt;0),Air&gt;Voies!J901-1,Eau&gt;Voies!K901-1,Feu&gt;Voies!L901-1,Terre&gt;Voies!M901-1,Vide&gt;Voies!N901-1,Constitution&gt;Voies!O901-1,Volonté&gt;Voies!P901-1,Force&gt;Voies!Q901-1,Perception&gt;Voies!R901-1,Reflexes&gt;Voies!S901-1,Agilité&gt;Voies!T901-1,Intuition&gt;Voies!U901-1,Intelligence&gt;Voies!V901-1,Souillure&gt;Voies!W901-1,Honneur&gt;X901-1,Statut&gt;Y901-1,Gloire&gt;Z901-1,AV901=TRUE),Voies!B901,"")</f>
        <v/>
      </c>
      <c r="B901" s="162" t="s">
        <v>3339</v>
      </c>
      <c r="C901" s="162" t="b">
        <v>1</v>
      </c>
      <c r="D901" s="388" t="s">
        <v>61</v>
      </c>
      <c r="E901" s="13">
        <v>3</v>
      </c>
      <c r="F901" s="199">
        <v>3</v>
      </c>
      <c r="G901" s="199" t="s">
        <v>2052</v>
      </c>
      <c r="H901" s="162" t="s">
        <v>3336</v>
      </c>
      <c r="I901" s="129" t="s">
        <v>3340</v>
      </c>
      <c r="J901" s="146">
        <v>0</v>
      </c>
      <c r="K901" s="147">
        <v>0</v>
      </c>
      <c r="L901" s="148">
        <v>0</v>
      </c>
      <c r="M901" s="149">
        <v>0</v>
      </c>
      <c r="N901" s="150">
        <v>0</v>
      </c>
      <c r="O901" s="130">
        <v>0</v>
      </c>
      <c r="P901" s="130">
        <v>0</v>
      </c>
      <c r="Q901" s="130">
        <v>0</v>
      </c>
      <c r="R901" s="130">
        <v>0</v>
      </c>
      <c r="S901" s="130">
        <v>0</v>
      </c>
      <c r="T901" s="130">
        <v>0</v>
      </c>
      <c r="U901" s="130">
        <v>0</v>
      </c>
      <c r="V901" s="524">
        <v>0</v>
      </c>
      <c r="W901" s="130">
        <v>0</v>
      </c>
      <c r="X901" s="130">
        <v>0</v>
      </c>
      <c r="Y901" s="130">
        <v>0</v>
      </c>
      <c r="Z901" s="130">
        <v>0</v>
      </c>
      <c r="AA901" s="159" t="s">
        <v>3337</v>
      </c>
      <c r="AB901" s="159" t="s">
        <v>1244</v>
      </c>
      <c r="AD901" s="159">
        <v>3</v>
      </c>
      <c r="AE901" s="158" t="b">
        <f>IF(AB901="",TRUE,IF(IF(AC901="",VLOOKUP(AB901,Calculs!$A$19:$S$425,19,FALSE),VLOOKUP(AC901,Calculs!$A$19:$S$425,19,FALSE))&gt;=AD901,TRUE,FALSE))</f>
        <v>0</v>
      </c>
      <c r="AI901" s="158" t="b">
        <f>IF(AF901="",TRUE,IF(IF(AG901="",VLOOKUP(AF901,Calculs!$A$19:$S$425,19,FALSE),VLOOKUP(AG901,Calculs!$A$19:$S$425,19,FALSE))&gt;=AH901,TRUE,FALSE))</f>
        <v>1</v>
      </c>
      <c r="AM901" s="158" t="b">
        <f>IF(AJ901="",TRUE,IF(IF(AK901="",VLOOKUP(AJ901,Calculs!$A$19:$S$425,19,FALSE),VLOOKUP(AK901,Calculs!$A$19:$S$425,19,FALSE))&gt;=AL901,TRUE,FALSE))</f>
        <v>1</v>
      </c>
      <c r="AQ901" s="158" t="b">
        <f>IF(AN901="",TRUE,IF(IF(AO901="",VLOOKUP(AN901,Calculs!$A$19:$S$425,19,FALSE),VLOOKUP(AO901,Calculs!$A$19:$S$425,19,FALSE))&gt;=AP901,TRUE,FALSE))</f>
        <v>1</v>
      </c>
      <c r="AR901" s="158"/>
      <c r="AS901" s="158" t="b">
        <f>IF(AR901="",TRUE,IF(VLOOKUP(AR901,Calculs!$A$427:$G$738,7,FALSE)&gt;0,TRUE,FALSE))</f>
        <v>1</v>
      </c>
      <c r="AT901" s="158"/>
      <c r="AU901" s="158" t="b">
        <f>IF(AT901="",TRUE,IF(VLOOKUP(AT901,Calculs!$A$740:$G$912,7,FALSE)&gt;0,TRUE,FALSE))</f>
        <v>1</v>
      </c>
      <c r="AV901" s="158" t="b">
        <f t="shared" si="101"/>
        <v>0</v>
      </c>
      <c r="AW901" s="159" t="s">
        <v>3338</v>
      </c>
      <c r="AX901" s="162" t="s">
        <v>118</v>
      </c>
      <c r="AY901" s="15">
        <v>180</v>
      </c>
      <c r="AZ901" s="555" t="s">
        <v>8724</v>
      </c>
      <c r="BA901" s="559">
        <f>IF(Verso!$B$10=Voies!$B901,1,0)</f>
        <v>0</v>
      </c>
      <c r="BB901" s="12">
        <f>IF(Verso!$B$11=Voies!$B901,1,0)</f>
        <v>0</v>
      </c>
      <c r="BC901" s="12">
        <f>IF(Verso!$B$12=Voies!$B901,1,0)</f>
        <v>0</v>
      </c>
      <c r="BD901" s="12">
        <f>IF(Verso!$B$13=Voies!$B901,1,0)</f>
        <v>0</v>
      </c>
      <c r="BE901" s="12">
        <f>IF(Verso!$B$14=Voies!$B901,1,0)</f>
        <v>0</v>
      </c>
      <c r="BF901" s="12">
        <f>IF(Verso!$B$15=Voies!$B901,1,0)</f>
        <v>0</v>
      </c>
      <c r="BG901" s="12">
        <f>IF(Verso!$B$16=Voies!$B901,1,0)</f>
        <v>0</v>
      </c>
      <c r="BH901" s="12">
        <f>IF(Verso!$B$17=Voies!$B901,1,0)</f>
        <v>0</v>
      </c>
      <c r="BI901" s="557">
        <f t="shared" si="102"/>
        <v>0</v>
      </c>
      <c r="BJ901" s="196" t="str">
        <f t="shared" si="103"/>
        <v/>
      </c>
      <c r="BK901" s="196" t="str">
        <f t="shared" si="104"/>
        <v/>
      </c>
      <c r="BL901" s="295" t="str">
        <f t="shared" si="105"/>
        <v/>
      </c>
    </row>
    <row r="902" spans="1:65" ht="47.25" customHeight="1" x14ac:dyDescent="0.25">
      <c r="A902" s="162" t="str">
        <f>IF(AND(Réputation&gt;Voies!E902-1,OR(C902=TRUE,Calculs!$I$8&gt;0),Air&gt;Voies!J902-1,Eau&gt;Voies!K902-1,Feu&gt;Voies!L902-1,Terre&gt;Voies!M902-1,Vide&gt;Voies!N902-1,Constitution&gt;Voies!O902-1,Volonté&gt;Voies!P902-1,Force&gt;Voies!Q902-1,Perception&gt;Voies!R902-1,Reflexes&gt;Voies!S902-1,Agilité&gt;Voies!T902-1,Intuition&gt;Voies!U902-1,Intelligence&gt;Voies!V902-1,Souillure&gt;Voies!W902-1,Honneur&gt;X902-1,Statut&gt;Y902-1,Gloire&gt;Z902-1,AV902=TRUE),Voies!B902,"")</f>
        <v/>
      </c>
      <c r="B902" s="162" t="s">
        <v>5841</v>
      </c>
      <c r="C902" s="162" t="b">
        <v>1</v>
      </c>
      <c r="D902" s="388" t="s">
        <v>61</v>
      </c>
      <c r="E902" s="199">
        <v>3</v>
      </c>
      <c r="F902" s="199">
        <v>3</v>
      </c>
      <c r="G902" s="199" t="s">
        <v>2052</v>
      </c>
      <c r="H902" s="162" t="s">
        <v>4411</v>
      </c>
      <c r="I902" s="129" t="s">
        <v>3340</v>
      </c>
      <c r="J902" s="146">
        <v>0</v>
      </c>
      <c r="K902" s="147">
        <v>0</v>
      </c>
      <c r="L902" s="148">
        <v>0</v>
      </c>
      <c r="M902" s="149">
        <v>0</v>
      </c>
      <c r="N902" s="150">
        <v>0</v>
      </c>
      <c r="O902" s="130">
        <v>0</v>
      </c>
      <c r="P902" s="130">
        <v>0</v>
      </c>
      <c r="Q902" s="130">
        <v>0</v>
      </c>
      <c r="R902" s="130">
        <v>0</v>
      </c>
      <c r="S902" s="130">
        <v>0</v>
      </c>
      <c r="T902" s="130">
        <v>0</v>
      </c>
      <c r="U902" s="130">
        <v>0</v>
      </c>
      <c r="V902" s="524">
        <v>0</v>
      </c>
      <c r="W902" s="130">
        <v>0</v>
      </c>
      <c r="X902" s="130">
        <v>0</v>
      </c>
      <c r="Y902" s="130">
        <v>0</v>
      </c>
      <c r="Z902" s="130">
        <v>0</v>
      </c>
      <c r="AA902" s="159" t="s">
        <v>6378</v>
      </c>
      <c r="AB902" s="159" t="s">
        <v>311</v>
      </c>
      <c r="AD902" s="159">
        <v>4</v>
      </c>
      <c r="AE902" s="158" t="b">
        <f>IF(AB902="",TRUE,IF(IF(AC902="",VLOOKUP(AB902,Calculs!$A$19:$S$425,19,FALSE),VLOOKUP(AC902,Calculs!$A$19:$S$425,19,FALSE))&gt;=AD902,TRUE,FALSE))</f>
        <v>0</v>
      </c>
      <c r="AF902" s="159" t="s">
        <v>3325</v>
      </c>
      <c r="AG902" s="159" t="s">
        <v>3170</v>
      </c>
      <c r="AH902" s="159">
        <v>3</v>
      </c>
      <c r="AI902" s="158" t="b">
        <f>IF(AF902="",TRUE,IF(IF(AG902="",VLOOKUP(AF902,Calculs!$A$19:$S$425,19,FALSE),VLOOKUP(AG902,Calculs!$A$19:$S$425,19,FALSE))&gt;=AH902,TRUE,FALSE))</f>
        <v>0</v>
      </c>
      <c r="AM902" s="158" t="b">
        <f>IF(AJ902="",TRUE,IF(IF(AK902="",VLOOKUP(AJ902,Calculs!$A$19:$S$425,19,FALSE),VLOOKUP(AK902,Calculs!$A$19:$S$425,19,FALSE))&gt;=AL902,TRUE,FALSE))</f>
        <v>1</v>
      </c>
      <c r="AQ902" s="158" t="b">
        <f>IF(AN902="",TRUE,IF(IF(AO902="",VLOOKUP(AN902,Calculs!$A$19:$S$425,19,FALSE),VLOOKUP(AO902,Calculs!$A$19:$S$425,19,FALSE))&gt;=AP902,TRUE,FALSE))</f>
        <v>1</v>
      </c>
      <c r="AR902" s="158"/>
      <c r="AS902" s="158" t="b">
        <f>IF(AR902="",TRUE,IF(VLOOKUP(AR902,Calculs!$A$427:$G$738,7,FALSE)&gt;0,TRUE,FALSE))</f>
        <v>1</v>
      </c>
      <c r="AT902" s="158"/>
      <c r="AU902" s="158" t="b">
        <f>IF(AT902="",TRUE,IF(VLOOKUP(AT902,Calculs!$A$740:$G$912,7,FALSE)&gt;0,TRUE,FALSE))</f>
        <v>1</v>
      </c>
      <c r="AV902" s="158" t="b">
        <f t="shared" si="101"/>
        <v>0</v>
      </c>
      <c r="AW902" s="159" t="s">
        <v>5843</v>
      </c>
      <c r="AX902" s="162" t="s">
        <v>4403</v>
      </c>
      <c r="AY902" s="15">
        <v>186</v>
      </c>
      <c r="AZ902" s="566" t="s">
        <v>8725</v>
      </c>
      <c r="BA902" s="559">
        <f>IF(Verso!$B$10=Voies!$B902,1,0)</f>
        <v>0</v>
      </c>
      <c r="BB902" s="12">
        <f>IF(Verso!$B$11=Voies!$B902,1,0)</f>
        <v>0</v>
      </c>
      <c r="BC902" s="12">
        <f>IF(Verso!$B$12=Voies!$B902,1,0)</f>
        <v>0</v>
      </c>
      <c r="BD902" s="12">
        <f>IF(Verso!$B$13=Voies!$B902,1,0)</f>
        <v>0</v>
      </c>
      <c r="BE902" s="12">
        <f>IF(Verso!$B$14=Voies!$B902,1,0)</f>
        <v>0</v>
      </c>
      <c r="BF902" s="12">
        <f>IF(Verso!$B$15=Voies!$B902,1,0)</f>
        <v>0</v>
      </c>
      <c r="BG902" s="12">
        <f>IF(Verso!$B$16=Voies!$B902,1,0)</f>
        <v>0</v>
      </c>
      <c r="BH902" s="12">
        <f>IF(Verso!$B$17=Voies!$B902,1,0)</f>
        <v>0</v>
      </c>
      <c r="BI902" s="557">
        <f t="shared" si="102"/>
        <v>0</v>
      </c>
      <c r="BJ902" s="196" t="str">
        <f t="shared" si="103"/>
        <v/>
      </c>
      <c r="BK902" s="196" t="str">
        <f t="shared" si="104"/>
        <v/>
      </c>
      <c r="BL902" s="295" t="str">
        <f t="shared" si="105"/>
        <v/>
      </c>
    </row>
    <row r="903" spans="1:65" ht="47.25" customHeight="1" x14ac:dyDescent="0.25">
      <c r="A903" s="162" t="str">
        <f>IF(AND(Réputation&gt;Voies!E903-1,OR(C903=TRUE,Calculs!$I$8&gt;0),Air&gt;Voies!J903-1,Eau&gt;Voies!K903-1,Feu&gt;Voies!L903-1,Terre&gt;Voies!M903-1,Vide&gt;Voies!N903-1,Constitution&gt;Voies!O903-1,Volonté&gt;Voies!P903-1,Force&gt;Voies!Q903-1,Perception&gt;Voies!R903-1,Reflexes&gt;Voies!S903-1,Agilité&gt;Voies!T903-1,Intuition&gt;Voies!U903-1,Intelligence&gt;Voies!V903-1,Souillure&gt;Voies!W903-1,Honneur&gt;X903-1,Statut&gt;Y903-1,Gloire&gt;Z903-1,AV903=TRUE),Voies!B903,"")</f>
        <v/>
      </c>
      <c r="B903" s="162" t="s">
        <v>3776</v>
      </c>
      <c r="C903" s="162" t="b">
        <v>1</v>
      </c>
      <c r="D903" s="388" t="s">
        <v>61</v>
      </c>
      <c r="E903" s="13">
        <v>3</v>
      </c>
      <c r="F903" s="199">
        <v>3</v>
      </c>
      <c r="G903" s="199" t="s">
        <v>2048</v>
      </c>
      <c r="H903" s="162" t="s">
        <v>289</v>
      </c>
      <c r="I903" s="129" t="s">
        <v>3775</v>
      </c>
      <c r="J903" s="146">
        <v>0</v>
      </c>
      <c r="K903" s="147">
        <v>0</v>
      </c>
      <c r="L903" s="148">
        <v>0</v>
      </c>
      <c r="M903" s="149">
        <v>0</v>
      </c>
      <c r="N903" s="150">
        <v>0</v>
      </c>
      <c r="O903" s="130">
        <v>0</v>
      </c>
      <c r="P903" s="130">
        <v>0</v>
      </c>
      <c r="Q903" s="130">
        <v>0</v>
      </c>
      <c r="R903" s="130">
        <v>0</v>
      </c>
      <c r="S903" s="130">
        <v>0</v>
      </c>
      <c r="T903" s="130">
        <v>0</v>
      </c>
      <c r="U903" s="130">
        <v>0</v>
      </c>
      <c r="V903" s="524">
        <v>0</v>
      </c>
      <c r="W903" s="130">
        <v>0</v>
      </c>
      <c r="X903" s="130">
        <v>5</v>
      </c>
      <c r="Y903" s="130">
        <v>0</v>
      </c>
      <c r="Z903" s="130">
        <v>0</v>
      </c>
      <c r="AA903" s="159" t="s">
        <v>3777</v>
      </c>
      <c r="AB903" s="159" t="s">
        <v>1264</v>
      </c>
      <c r="AD903" s="159">
        <v>3</v>
      </c>
      <c r="AE903" s="158" t="b">
        <f>IF(AB903="",TRUE,IF(IF(AC903="",VLOOKUP(AB903,Calculs!$A$19:$S$425,19,FALSE),VLOOKUP(AC903,Calculs!$A$19:$S$425,19,FALSE))&gt;=AD903,TRUE,FALSE))</f>
        <v>0</v>
      </c>
      <c r="AI903" s="158" t="b">
        <f>IF(AF903="",TRUE,IF(IF(AG903="",VLOOKUP(AF903,Calculs!$A$19:$S$425,19,FALSE),VLOOKUP(AG903,Calculs!$A$19:$S$425,19,FALSE))&gt;=AH903,TRUE,FALSE))</f>
        <v>1</v>
      </c>
      <c r="AM903" s="158" t="b">
        <f>IF(AJ903="",TRUE,IF(IF(AK903="",VLOOKUP(AJ903,Calculs!$A$19:$S$425,19,FALSE),VLOOKUP(AK903,Calculs!$A$19:$S$425,19,FALSE))&gt;=AL903,TRUE,FALSE))</f>
        <v>1</v>
      </c>
      <c r="AQ903" s="158" t="b">
        <f>IF(AN903="",TRUE,IF(IF(AO903="",VLOOKUP(AN903,Calculs!$A$19:$S$425,19,FALSE),VLOOKUP(AO903,Calculs!$A$19:$S$425,19,FALSE))&gt;=AP903,TRUE,FALSE))</f>
        <v>1</v>
      </c>
      <c r="AR903" s="158"/>
      <c r="AS903" s="158" t="b">
        <f>IF(AR903="",TRUE,IF(VLOOKUP(AR903,Calculs!$A$427:$G$738,7,FALSE)&gt;0,TRUE,FALSE))</f>
        <v>1</v>
      </c>
      <c r="AT903" s="158"/>
      <c r="AU903" s="158" t="b">
        <f>IF(AT903="",TRUE,IF(VLOOKUP(AT903,Calculs!$A$740:$G$912,7,FALSE)&gt;0,TRUE,FALSE))</f>
        <v>1</v>
      </c>
      <c r="AV903" s="158" t="b">
        <f t="shared" si="101"/>
        <v>0</v>
      </c>
      <c r="AW903" s="158" t="s">
        <v>2078</v>
      </c>
      <c r="AX903" s="162" t="s">
        <v>2080</v>
      </c>
      <c r="AY903" s="15">
        <v>235</v>
      </c>
      <c r="AZ903" s="555" t="s">
        <v>3778</v>
      </c>
      <c r="BA903" s="559">
        <f>IF(Verso!$B$10=Voies!$B903,1,0)</f>
        <v>0</v>
      </c>
      <c r="BB903" s="12">
        <f>IF(Verso!$B$11=Voies!$B903,1,0)</f>
        <v>0</v>
      </c>
      <c r="BC903" s="12">
        <f>IF(Verso!$B$12=Voies!$B903,1,0)</f>
        <v>0</v>
      </c>
      <c r="BD903" s="12">
        <f>IF(Verso!$B$13=Voies!$B903,1,0)</f>
        <v>0</v>
      </c>
      <c r="BE903" s="12">
        <f>IF(Verso!$B$14=Voies!$B903,1,0)</f>
        <v>0</v>
      </c>
      <c r="BF903" s="12">
        <f>IF(Verso!$B$15=Voies!$B903,1,0)</f>
        <v>0</v>
      </c>
      <c r="BG903" s="12">
        <f>IF(Verso!$B$16=Voies!$B903,1,0)</f>
        <v>0</v>
      </c>
      <c r="BH903" s="12">
        <f>IF(Verso!$B$17=Voies!$B903,1,0)</f>
        <v>0</v>
      </c>
      <c r="BI903" s="557">
        <f t="shared" si="102"/>
        <v>0</v>
      </c>
      <c r="BJ903" s="196" t="str">
        <f t="shared" si="103"/>
        <v/>
      </c>
      <c r="BK903" s="196" t="str">
        <f t="shared" si="104"/>
        <v/>
      </c>
      <c r="BL903" s="295" t="str">
        <f t="shared" si="105"/>
        <v/>
      </c>
    </row>
    <row r="904" spans="1:65" ht="47.25" customHeight="1" x14ac:dyDescent="0.25">
      <c r="A904" s="162" t="str">
        <f>IF(AND(Réputation&gt;Voies!E904-1,OR(C904=TRUE,Calculs!$I$8&gt;0),Air&gt;Voies!J904-1,Eau&gt;Voies!K904-1,Feu&gt;Voies!L904-1,Terre&gt;Voies!M904-1,Vide&gt;Voies!N904-1,Constitution&gt;Voies!O904-1,Volonté&gt;Voies!P904-1,Force&gt;Voies!Q904-1,Perception&gt;Voies!R904-1,Reflexes&gt;Voies!S904-1,Agilité&gt;Voies!T904-1,Intuition&gt;Voies!U904-1,Intelligence&gt;Voies!V904-1,Souillure&gt;Voies!W904-1,Honneur&gt;X904-1,Statut&gt;Y904-1,Gloire&gt;Z904-1,AV904=TRUE),Voies!B904,"")</f>
        <v/>
      </c>
      <c r="B904" s="162" t="s">
        <v>2804</v>
      </c>
      <c r="C904" s="162" t="b">
        <v>1</v>
      </c>
      <c r="D904" s="388" t="s">
        <v>61</v>
      </c>
      <c r="E904" s="13">
        <v>4</v>
      </c>
      <c r="F904" s="199">
        <v>4</v>
      </c>
      <c r="G904" s="157" t="s">
        <v>2078</v>
      </c>
      <c r="H904" s="162" t="s">
        <v>277</v>
      </c>
      <c r="I904" s="129" t="str">
        <f>IF(B904="","","Rien")</f>
        <v>Rien</v>
      </c>
      <c r="J904" s="146">
        <v>0</v>
      </c>
      <c r="K904" s="147">
        <v>0</v>
      </c>
      <c r="L904" s="148">
        <v>0</v>
      </c>
      <c r="M904" s="149">
        <v>0</v>
      </c>
      <c r="N904" s="150">
        <v>0</v>
      </c>
      <c r="O904" s="130">
        <v>0</v>
      </c>
      <c r="P904" s="130">
        <v>0</v>
      </c>
      <c r="Q904" s="130">
        <v>0</v>
      </c>
      <c r="R904" s="130">
        <v>0</v>
      </c>
      <c r="S904" s="130">
        <v>0</v>
      </c>
      <c r="T904" s="130">
        <v>0</v>
      </c>
      <c r="U904" s="130">
        <v>0</v>
      </c>
      <c r="V904" s="524">
        <v>0</v>
      </c>
      <c r="W904" s="130">
        <v>0</v>
      </c>
      <c r="X904" s="130">
        <v>0</v>
      </c>
      <c r="Y904" s="130">
        <v>0</v>
      </c>
      <c r="Z904" s="130">
        <v>0</v>
      </c>
      <c r="AA904" s="158" t="s">
        <v>2078</v>
      </c>
      <c r="AB904" s="158"/>
      <c r="AC904" s="158"/>
      <c r="AD904" s="158"/>
      <c r="AE904" s="158" t="b">
        <f>IF(AB904="",TRUE,IF(IF(AC904="",VLOOKUP(AB904,Calculs!$A$19:$S$425,19,FALSE),VLOOKUP(AC904,Calculs!$A$19:$S$425,19,FALSE))&gt;=AD904,TRUE,FALSE))</f>
        <v>1</v>
      </c>
      <c r="AF904" s="158"/>
      <c r="AG904" s="158"/>
      <c r="AH904" s="158"/>
      <c r="AI904" s="158" t="b">
        <f>IF(AF904="",TRUE,IF(IF(AG904="",VLOOKUP(AF904,Calculs!$A$19:$S$425,19,FALSE),VLOOKUP(AG904,Calculs!$A$19:$S$425,19,FALSE))&gt;=AH904,TRUE,FALSE))</f>
        <v>1</v>
      </c>
      <c r="AJ904" s="158"/>
      <c r="AK904" s="158"/>
      <c r="AL904" s="158"/>
      <c r="AM904" s="158" t="b">
        <f>IF(AJ904="",TRUE,IF(IF(AK904="",VLOOKUP(AJ904,Calculs!$A$19:$S$425,19,FALSE),VLOOKUP(AK904,Calculs!$A$19:$S$425,19,FALSE))&gt;=AL904,TRUE,FALSE))</f>
        <v>1</v>
      </c>
      <c r="AN904" s="158"/>
      <c r="AO904" s="158"/>
      <c r="AP904" s="158"/>
      <c r="AQ904" s="158" t="b">
        <f>IF(AN904="",TRUE,IF(IF(AO904="",VLOOKUP(AN904,Calculs!$A$19:$S$425,19,FALSE),VLOOKUP(AO904,Calculs!$A$19:$S$425,19,FALSE))&gt;=AP904,TRUE,FALSE))</f>
        <v>1</v>
      </c>
      <c r="AR904" s="158"/>
      <c r="AS904" s="158" t="b">
        <f>IF(AR904="",TRUE,IF(VLOOKUP(AR904,Calculs!$A$427:$G$738,7,FALSE)&gt;0,TRUE,FALSE))</f>
        <v>1</v>
      </c>
      <c r="AT904" s="158"/>
      <c r="AU904" s="158" t="b">
        <f>IF(AT904="",TRUE,IF(VLOOKUP(AT904,Calculs!$A$740:$G$912,7,FALSE)&gt;0,TRUE,FALSE))</f>
        <v>1</v>
      </c>
      <c r="AV904" s="158" t="b">
        <f t="shared" si="101"/>
        <v>1</v>
      </c>
      <c r="AW904" s="158" t="s">
        <v>2078</v>
      </c>
      <c r="AX904" s="162" t="s">
        <v>2080</v>
      </c>
      <c r="AY904" s="15">
        <v>236</v>
      </c>
      <c r="AZ904" s="555" t="s">
        <v>8726</v>
      </c>
      <c r="BA904" s="559">
        <f>IF(Verso!$B$10=Voies!$B904,1,0)</f>
        <v>0</v>
      </c>
      <c r="BB904" s="12">
        <f>IF(Verso!$B$11=Voies!$B904,1,0)</f>
        <v>0</v>
      </c>
      <c r="BC904" s="12">
        <f>IF(Verso!$B$12=Voies!$B904,1,0)</f>
        <v>0</v>
      </c>
      <c r="BD904" s="12">
        <f>IF(Verso!$B$13=Voies!$B904,1,0)</f>
        <v>0</v>
      </c>
      <c r="BE904" s="12">
        <f>IF(Verso!$B$14=Voies!$B904,1,0)</f>
        <v>0</v>
      </c>
      <c r="BF904" s="12">
        <f>IF(Verso!$B$15=Voies!$B904,1,0)</f>
        <v>0</v>
      </c>
      <c r="BG904" s="12">
        <f>IF(Verso!$B$16=Voies!$B904,1,0)</f>
        <v>0</v>
      </c>
      <c r="BH904" s="12">
        <f>IF(Verso!$B$17=Voies!$B904,1,0)</f>
        <v>0</v>
      </c>
      <c r="BI904" s="557">
        <f t="shared" si="102"/>
        <v>0</v>
      </c>
      <c r="BJ904" s="196" t="str">
        <f t="shared" si="103"/>
        <v/>
      </c>
      <c r="BK904" s="196" t="str">
        <f t="shared" si="104"/>
        <v/>
      </c>
      <c r="BL904" s="295" t="str">
        <f t="shared" si="105"/>
        <v/>
      </c>
    </row>
    <row r="905" spans="1:65" s="196" customFormat="1" ht="47.25" customHeight="1" x14ac:dyDescent="0.25">
      <c r="A905" s="162" t="str">
        <f>IF(AND(Réputation&gt;Voies!E905-1,OR(C905=TRUE,Calculs!$I$8&gt;0),Air&gt;Voies!J905-1,Eau&gt;Voies!K905-1,Feu&gt;Voies!L905-1,Terre&gt;Voies!M905-1,Vide&gt;Voies!N905-1,Constitution&gt;Voies!O905-1,Volonté&gt;Voies!P905-1,Force&gt;Voies!Q905-1,Perception&gt;Voies!R905-1,Reflexes&gt;Voies!S905-1,Agilité&gt;Voies!T905-1,Intuition&gt;Voies!U905-1,Intelligence&gt;Voies!V905-1,Souillure&gt;Voies!W905-1,Honneur&gt;X905-1,Statut&gt;Y905-1,Gloire&gt;Z905-1,AV905=TRUE),Voies!B905,"")</f>
        <v/>
      </c>
      <c r="B905" s="162" t="s">
        <v>3587</v>
      </c>
      <c r="C905" s="162" t="b">
        <v>1</v>
      </c>
      <c r="D905" s="388" t="s">
        <v>61</v>
      </c>
      <c r="E905" s="199">
        <v>4</v>
      </c>
      <c r="F905" s="199">
        <v>4</v>
      </c>
      <c r="G905" s="199" t="s">
        <v>2049</v>
      </c>
      <c r="H905" s="162" t="s">
        <v>285</v>
      </c>
      <c r="I905" s="129" t="s">
        <v>3547</v>
      </c>
      <c r="J905" s="146">
        <v>0</v>
      </c>
      <c r="K905" s="147">
        <v>0</v>
      </c>
      <c r="L905" s="148">
        <v>0</v>
      </c>
      <c r="M905" s="149">
        <v>0</v>
      </c>
      <c r="N905" s="150">
        <v>0</v>
      </c>
      <c r="O905" s="130">
        <v>0</v>
      </c>
      <c r="P905" s="130">
        <v>0</v>
      </c>
      <c r="Q905" s="130">
        <v>0</v>
      </c>
      <c r="R905" s="130">
        <v>0</v>
      </c>
      <c r="S905" s="130">
        <v>0</v>
      </c>
      <c r="T905" s="130">
        <v>0</v>
      </c>
      <c r="U905" s="130">
        <v>0</v>
      </c>
      <c r="V905" s="524">
        <v>0</v>
      </c>
      <c r="W905" s="130">
        <v>0</v>
      </c>
      <c r="X905" s="130">
        <v>5</v>
      </c>
      <c r="Y905" s="130">
        <v>0</v>
      </c>
      <c r="Z905" s="130">
        <v>0</v>
      </c>
      <c r="AA905" s="159" t="s">
        <v>3586</v>
      </c>
      <c r="AB905" s="159" t="s">
        <v>351</v>
      </c>
      <c r="AC905" s="159"/>
      <c r="AD905" s="159">
        <v>4</v>
      </c>
      <c r="AE905" s="158" t="b">
        <f>IF(AB905="",TRUE,IF(IF(AC905="",VLOOKUP(AB905,Calculs!$A$19:$S$425,19,FALSE),VLOOKUP(AC905,Calculs!$A$19:$S$425,19,FALSE))&gt;=AD905,TRUE,FALSE))</f>
        <v>0</v>
      </c>
      <c r="AF905" s="159"/>
      <c r="AG905" s="159"/>
      <c r="AH905" s="159"/>
      <c r="AI905" s="158" t="b">
        <f>IF(AF905="",TRUE,IF(IF(AG905="",VLOOKUP(AF905,Calculs!$A$19:$S$425,19,FALSE),VLOOKUP(AG905,Calculs!$A$19:$S$425,19,FALSE))&gt;=AH905,TRUE,FALSE))</f>
        <v>1</v>
      </c>
      <c r="AJ905" s="159"/>
      <c r="AK905" s="159"/>
      <c r="AL905" s="159"/>
      <c r="AM905" s="158" t="b">
        <f>IF(AJ905="",TRUE,IF(IF(AK905="",VLOOKUP(AJ905,Calculs!$A$19:$S$425,19,FALSE),VLOOKUP(AK905,Calculs!$A$19:$S$425,19,FALSE))&gt;=AL905,TRUE,FALSE))</f>
        <v>1</v>
      </c>
      <c r="AN905" s="159"/>
      <c r="AO905" s="159"/>
      <c r="AP905" s="159"/>
      <c r="AQ905" s="158" t="b">
        <f>IF(AN905="",TRUE,IF(IF(AO905="",VLOOKUP(AN905,Calculs!$A$19:$S$425,19,FALSE),VLOOKUP(AO905,Calculs!$A$19:$S$425,19,FALSE))&gt;=AP905,TRUE,FALSE))</f>
        <v>1</v>
      </c>
      <c r="AR905" s="158" t="s">
        <v>670</v>
      </c>
      <c r="AS905" s="158" t="b">
        <f>IF(AR905="",TRUE,IF(VLOOKUP(AR905,Calculs!$A$427:$G$738,7,FALSE)&gt;0,TRUE,FALSE))</f>
        <v>0</v>
      </c>
      <c r="AT905" s="158"/>
      <c r="AU905" s="158" t="b">
        <f>IF(AT905="",TRUE,IF(VLOOKUP(AT905,Calculs!$A$740:$G$912,7,FALSE)&gt;0,TRUE,FALSE))</f>
        <v>1</v>
      </c>
      <c r="AV905" s="158" t="b">
        <f t="shared" si="101"/>
        <v>0</v>
      </c>
      <c r="AW905" s="159" t="s">
        <v>3580</v>
      </c>
      <c r="AX905" s="162" t="s">
        <v>2075</v>
      </c>
      <c r="AY905" s="15">
        <v>205</v>
      </c>
      <c r="AZ905" s="555" t="s">
        <v>8727</v>
      </c>
      <c r="BA905" s="559">
        <f>IF(Verso!$B$10=Voies!$B905,1,0)</f>
        <v>0</v>
      </c>
      <c r="BB905" s="12">
        <f>IF(Verso!$B$11=Voies!$B905,1,0)</f>
        <v>0</v>
      </c>
      <c r="BC905" s="12">
        <f>IF(Verso!$B$12=Voies!$B905,1,0)</f>
        <v>0</v>
      </c>
      <c r="BD905" s="12">
        <f>IF(Verso!$B$13=Voies!$B905,1,0)</f>
        <v>0</v>
      </c>
      <c r="BE905" s="12">
        <f>IF(Verso!$B$14=Voies!$B905,1,0)</f>
        <v>0</v>
      </c>
      <c r="BF905" s="12">
        <f>IF(Verso!$B$15=Voies!$B905,1,0)</f>
        <v>0</v>
      </c>
      <c r="BG905" s="12">
        <f>IF(Verso!$B$16=Voies!$B905,1,0)</f>
        <v>0</v>
      </c>
      <c r="BH905" s="12">
        <f>IF(Verso!$B$17=Voies!$B905,1,0)</f>
        <v>0</v>
      </c>
      <c r="BI905" s="557">
        <f t="shared" si="102"/>
        <v>0</v>
      </c>
      <c r="BJ905" s="196" t="str">
        <f t="shared" si="103"/>
        <v/>
      </c>
      <c r="BK905" s="196" t="str">
        <f t="shared" si="104"/>
        <v/>
      </c>
      <c r="BL905" s="295" t="str">
        <f t="shared" si="105"/>
        <v/>
      </c>
      <c r="BM905" s="91"/>
    </row>
    <row r="906" spans="1:65" ht="47.25" customHeight="1" x14ac:dyDescent="0.25">
      <c r="A906" s="162" t="str">
        <f>IF(AND(Réputation&gt;Voies!E906-1,OR(C906=TRUE,Calculs!$I$8&gt;0),Air&gt;Voies!J906-1,Eau&gt;Voies!K906-1,Feu&gt;Voies!L906-1,Terre&gt;Voies!M906-1,Vide&gt;Voies!N906-1,Constitution&gt;Voies!O906-1,Volonté&gt;Voies!P906-1,Force&gt;Voies!Q906-1,Perception&gt;Voies!R906-1,Reflexes&gt;Voies!S906-1,Agilité&gt;Voies!T906-1,Intuition&gt;Voies!U906-1,Intelligence&gt;Voies!V906-1,Souillure&gt;Voies!W906-1,Honneur&gt;X906-1,Statut&gt;Y906-1,Gloire&gt;Z906-1,AV906=TRUE),Voies!B906,"")</f>
        <v/>
      </c>
      <c r="B906" s="162" t="s">
        <v>3548</v>
      </c>
      <c r="C906" s="162" t="b">
        <v>1</v>
      </c>
      <c r="D906" s="388" t="s">
        <v>61</v>
      </c>
      <c r="E906" s="13">
        <v>4</v>
      </c>
      <c r="F906" s="199">
        <v>4</v>
      </c>
      <c r="G906" s="199" t="s">
        <v>2049</v>
      </c>
      <c r="H906" s="162" t="s">
        <v>598</v>
      </c>
      <c r="I906" s="129" t="s">
        <v>3547</v>
      </c>
      <c r="J906" s="146">
        <v>0</v>
      </c>
      <c r="K906" s="147">
        <v>0</v>
      </c>
      <c r="L906" s="148">
        <v>0</v>
      </c>
      <c r="M906" s="149">
        <v>0</v>
      </c>
      <c r="N906" s="150">
        <v>0</v>
      </c>
      <c r="O906" s="130">
        <v>0</v>
      </c>
      <c r="P906" s="130">
        <v>0</v>
      </c>
      <c r="Q906" s="130">
        <v>0</v>
      </c>
      <c r="R906" s="130">
        <v>0</v>
      </c>
      <c r="S906" s="130">
        <v>4</v>
      </c>
      <c r="T906" s="130">
        <v>4</v>
      </c>
      <c r="U906" s="130">
        <v>0</v>
      </c>
      <c r="V906" s="524">
        <v>0</v>
      </c>
      <c r="W906" s="130">
        <v>0</v>
      </c>
      <c r="X906" s="130">
        <v>0</v>
      </c>
      <c r="Y906" s="130">
        <v>0</v>
      </c>
      <c r="Z906" s="130">
        <v>0</v>
      </c>
      <c r="AA906" s="158" t="s">
        <v>2078</v>
      </c>
      <c r="AB906" s="158"/>
      <c r="AC906" s="158"/>
      <c r="AD906" s="158"/>
      <c r="AE906" s="158" t="b">
        <f>IF(AB906="",TRUE,IF(IF(AC906="",VLOOKUP(AB906,Calculs!$A$19:$S$425,19,FALSE),VLOOKUP(AC906,Calculs!$A$19:$S$425,19,FALSE))&gt;=AD906,TRUE,FALSE))</f>
        <v>1</v>
      </c>
      <c r="AF906" s="158"/>
      <c r="AG906" s="158"/>
      <c r="AH906" s="158"/>
      <c r="AI906" s="158" t="b">
        <f>IF(AF906="",TRUE,IF(IF(AG906="",VLOOKUP(AF906,Calculs!$A$19:$S$425,19,FALSE),VLOOKUP(AG906,Calculs!$A$19:$S$425,19,FALSE))&gt;=AH906,TRUE,FALSE))</f>
        <v>1</v>
      </c>
      <c r="AJ906" s="158"/>
      <c r="AK906" s="158"/>
      <c r="AL906" s="158"/>
      <c r="AM906" s="158" t="b">
        <f>IF(AJ906="",TRUE,IF(IF(AK906="",VLOOKUP(AJ906,Calculs!$A$19:$S$425,19,FALSE),VLOOKUP(AK906,Calculs!$A$19:$S$425,19,FALSE))&gt;=AL906,TRUE,FALSE))</f>
        <v>1</v>
      </c>
      <c r="AN906" s="158"/>
      <c r="AO906" s="158"/>
      <c r="AP906" s="158"/>
      <c r="AQ906" s="158" t="b">
        <f>IF(AN906="",TRUE,IF(IF(AO906="",VLOOKUP(AN906,Calculs!$A$19:$S$425,19,FALSE),VLOOKUP(AO906,Calculs!$A$19:$S$425,19,FALSE))&gt;=AP906,TRUE,FALSE))</f>
        <v>1</v>
      </c>
      <c r="AR906" s="158"/>
      <c r="AS906" s="158" t="b">
        <f>IF(AR906="",TRUE,IF(VLOOKUP(AR906,Calculs!$A$427:$G$738,7,FALSE)&gt;0,TRUE,FALSE))</f>
        <v>1</v>
      </c>
      <c r="AT906" s="158"/>
      <c r="AU906" s="158" t="b">
        <f>IF(AT906="",TRUE,IF(VLOOKUP(AT906,Calculs!$A$740:$G$912,7,FALSE)&gt;0,TRUE,FALSE))</f>
        <v>1</v>
      </c>
      <c r="AV906" s="158" t="b">
        <f t="shared" si="101"/>
        <v>1</v>
      </c>
      <c r="AW906" s="159" t="s">
        <v>3546</v>
      </c>
      <c r="AX906" s="162" t="s">
        <v>2075</v>
      </c>
      <c r="AY906" s="15">
        <v>49</v>
      </c>
      <c r="AZ906" s="555" t="s">
        <v>8728</v>
      </c>
      <c r="BA906" s="559">
        <f>IF(Verso!$B$10=Voies!$B906,1,0)</f>
        <v>0</v>
      </c>
      <c r="BB906" s="12">
        <f>IF(Verso!$B$11=Voies!$B906,1,0)</f>
        <v>0</v>
      </c>
      <c r="BC906" s="12">
        <f>IF(Verso!$B$12=Voies!$B906,1,0)</f>
        <v>0</v>
      </c>
      <c r="BD906" s="12">
        <f>IF(Verso!$B$13=Voies!$B906,1,0)</f>
        <v>0</v>
      </c>
      <c r="BE906" s="12">
        <f>IF(Verso!$B$14=Voies!$B906,1,0)</f>
        <v>0</v>
      </c>
      <c r="BF906" s="12">
        <f>IF(Verso!$B$15=Voies!$B906,1,0)</f>
        <v>0</v>
      </c>
      <c r="BG906" s="12">
        <f>IF(Verso!$B$16=Voies!$B906,1,0)</f>
        <v>0</v>
      </c>
      <c r="BH906" s="12">
        <f>IF(Verso!$B$17=Voies!$B906,1,0)</f>
        <v>0</v>
      </c>
      <c r="BI906" s="557">
        <f t="shared" si="102"/>
        <v>0</v>
      </c>
      <c r="BJ906" s="196" t="str">
        <f t="shared" si="103"/>
        <v/>
      </c>
      <c r="BK906" s="196" t="str">
        <f t="shared" si="104"/>
        <v/>
      </c>
      <c r="BL906" s="295" t="str">
        <f t="shared" si="105"/>
        <v/>
      </c>
    </row>
    <row r="907" spans="1:65" ht="47.25" customHeight="1" x14ac:dyDescent="0.25">
      <c r="A907" s="162" t="str">
        <f>IF(AND(Réputation&gt;Voies!E907-1,OR(C907=TRUE,Calculs!$I$8&gt;0),Air&gt;Voies!J907-1,Eau&gt;Voies!K907-1,Feu&gt;Voies!L907-1,Terre&gt;Voies!M907-1,Vide&gt;Voies!N907-1,Constitution&gt;Voies!O907-1,Volonté&gt;Voies!P907-1,Force&gt;Voies!Q907-1,Perception&gt;Voies!R907-1,Reflexes&gt;Voies!S907-1,Agilité&gt;Voies!T907-1,Intuition&gt;Voies!U907-1,Intelligence&gt;Voies!V907-1,Souillure&gt;Voies!W907-1,Honneur&gt;X907-1,Statut&gt;Y907-1,Gloire&gt;Z907-1,AV907=TRUE),Voies!B907,"")</f>
        <v/>
      </c>
      <c r="B907" s="162" t="s">
        <v>3589</v>
      </c>
      <c r="C907" s="162" t="b">
        <v>1</v>
      </c>
      <c r="D907" s="388" t="s">
        <v>61</v>
      </c>
      <c r="E907" s="13">
        <v>4</v>
      </c>
      <c r="F907" s="199">
        <v>4</v>
      </c>
      <c r="G907" s="199" t="s">
        <v>2049</v>
      </c>
      <c r="H907" s="162" t="s">
        <v>284</v>
      </c>
      <c r="I907" s="129" t="s">
        <v>3547</v>
      </c>
      <c r="J907" s="146">
        <v>0</v>
      </c>
      <c r="K907" s="147">
        <v>0</v>
      </c>
      <c r="L907" s="148">
        <v>0</v>
      </c>
      <c r="M907" s="149">
        <v>0</v>
      </c>
      <c r="N907" s="150">
        <v>0</v>
      </c>
      <c r="O907" s="130">
        <v>0</v>
      </c>
      <c r="P907" s="130">
        <v>0</v>
      </c>
      <c r="Q907" s="130">
        <v>0</v>
      </c>
      <c r="R907" s="130">
        <v>0</v>
      </c>
      <c r="S907" s="130">
        <v>0</v>
      </c>
      <c r="T907" s="130">
        <v>0</v>
      </c>
      <c r="U907" s="130">
        <v>0</v>
      </c>
      <c r="V907" s="524">
        <v>0</v>
      </c>
      <c r="W907" s="130">
        <v>0</v>
      </c>
      <c r="X907" s="130">
        <v>0</v>
      </c>
      <c r="Y907" s="130">
        <v>0</v>
      </c>
      <c r="Z907" s="130">
        <v>0</v>
      </c>
      <c r="AA907" s="158" t="s">
        <v>2078</v>
      </c>
      <c r="AB907" s="158"/>
      <c r="AC907" s="158"/>
      <c r="AD907" s="158"/>
      <c r="AE907" s="158" t="b">
        <f>IF(AB907="",TRUE,IF(IF(AC907="",VLOOKUP(AB907,Calculs!$A$19:$S$425,19,FALSE),VLOOKUP(AC907,Calculs!$A$19:$S$425,19,FALSE))&gt;=AD907,TRUE,FALSE))</f>
        <v>1</v>
      </c>
      <c r="AF907" s="158"/>
      <c r="AG907" s="158"/>
      <c r="AH907" s="158"/>
      <c r="AI907" s="158" t="b">
        <f>IF(AF907="",TRUE,IF(IF(AG907="",VLOOKUP(AF907,Calculs!$A$19:$S$425,19,FALSE),VLOOKUP(AG907,Calculs!$A$19:$S$425,19,FALSE))&gt;=AH907,TRUE,FALSE))</f>
        <v>1</v>
      </c>
      <c r="AJ907" s="158"/>
      <c r="AK907" s="158"/>
      <c r="AL907" s="158"/>
      <c r="AM907" s="158" t="b">
        <f>IF(AJ907="",TRUE,IF(IF(AK907="",VLOOKUP(AJ907,Calculs!$A$19:$S$425,19,FALSE),VLOOKUP(AK907,Calculs!$A$19:$S$425,19,FALSE))&gt;=AL907,TRUE,FALSE))</f>
        <v>1</v>
      </c>
      <c r="AN907" s="158"/>
      <c r="AO907" s="158"/>
      <c r="AP907" s="158"/>
      <c r="AQ907" s="158" t="b">
        <f>IF(AN907="",TRUE,IF(IF(AO907="",VLOOKUP(AN907,Calculs!$A$19:$S$425,19,FALSE),VLOOKUP(AO907,Calculs!$A$19:$S$425,19,FALSE))&gt;=AP907,TRUE,FALSE))</f>
        <v>1</v>
      </c>
      <c r="AR907" s="158"/>
      <c r="AS907" s="158" t="b">
        <f>IF(AR907="",TRUE,IF(VLOOKUP(AR907,Calculs!$A$427:$G$738,7,FALSE)&gt;0,TRUE,FALSE))</f>
        <v>1</v>
      </c>
      <c r="AT907" s="158"/>
      <c r="AU907" s="158" t="b">
        <f>IF(AT907="",TRUE,IF(VLOOKUP(AT907,Calculs!$A$740:$G$912,7,FALSE)&gt;0,TRUE,FALSE))</f>
        <v>1</v>
      </c>
      <c r="AV907" s="158" t="b">
        <f t="shared" si="101"/>
        <v>1</v>
      </c>
      <c r="AW907" s="159" t="s">
        <v>3588</v>
      </c>
      <c r="AX907" s="162" t="s">
        <v>2075</v>
      </c>
      <c r="AY907" s="15">
        <v>205</v>
      </c>
      <c r="AZ907" s="555" t="s">
        <v>3590</v>
      </c>
      <c r="BA907" s="559">
        <f>IF(Verso!$B$10=Voies!$B907,1,0)</f>
        <v>0</v>
      </c>
      <c r="BB907" s="12">
        <f>IF(Verso!$B$11=Voies!$B907,1,0)</f>
        <v>0</v>
      </c>
      <c r="BC907" s="12">
        <f>IF(Verso!$B$12=Voies!$B907,1,0)</f>
        <v>0</v>
      </c>
      <c r="BD907" s="12">
        <f>IF(Verso!$B$13=Voies!$B907,1,0)</f>
        <v>0</v>
      </c>
      <c r="BE907" s="12">
        <f>IF(Verso!$B$14=Voies!$B907,1,0)</f>
        <v>0</v>
      </c>
      <c r="BF907" s="12">
        <f>IF(Verso!$B$15=Voies!$B907,1,0)</f>
        <v>0</v>
      </c>
      <c r="BG907" s="12">
        <f>IF(Verso!$B$16=Voies!$B907,1,0)</f>
        <v>0</v>
      </c>
      <c r="BH907" s="12">
        <f>IF(Verso!$B$17=Voies!$B907,1,0)</f>
        <v>0</v>
      </c>
      <c r="BI907" s="557">
        <f t="shared" si="102"/>
        <v>0</v>
      </c>
      <c r="BJ907" s="196" t="str">
        <f t="shared" si="103"/>
        <v/>
      </c>
      <c r="BK907" s="196" t="str">
        <f t="shared" si="104"/>
        <v/>
      </c>
      <c r="BL907" s="295" t="str">
        <f t="shared" si="105"/>
        <v/>
      </c>
    </row>
    <row r="908" spans="1:65" ht="47.25" customHeight="1" x14ac:dyDescent="0.25">
      <c r="A908" s="162" t="str">
        <f>IF(AND(Réputation&gt;Voies!E908-1,OR(C908=TRUE,Calculs!$I$8&gt;0),Air&gt;Voies!J908-1,Eau&gt;Voies!K908-1,Feu&gt;Voies!L908-1,Terre&gt;Voies!M908-1,Vide&gt;Voies!N908-1,Constitution&gt;Voies!O908-1,Volonté&gt;Voies!P908-1,Force&gt;Voies!Q908-1,Perception&gt;Voies!R908-1,Reflexes&gt;Voies!S908-1,Agilité&gt;Voies!T908-1,Intuition&gt;Voies!U908-1,Intelligence&gt;Voies!V908-1,Souillure&gt;Voies!W908-1,Honneur&gt;X908-1,Statut&gt;Y908-1,Gloire&gt;Z908-1,AV908=TRUE),Voies!B908,"")</f>
        <v/>
      </c>
      <c r="B908" s="162" t="s">
        <v>3592</v>
      </c>
      <c r="C908" s="162" t="b">
        <v>1</v>
      </c>
      <c r="D908" s="388" t="s">
        <v>61</v>
      </c>
      <c r="E908" s="13">
        <v>4</v>
      </c>
      <c r="F908" s="199">
        <v>4</v>
      </c>
      <c r="G908" s="199" t="s">
        <v>2049</v>
      </c>
      <c r="H908" s="162" t="s">
        <v>295</v>
      </c>
      <c r="I908" s="129" t="s">
        <v>3547</v>
      </c>
      <c r="J908" s="146">
        <v>0</v>
      </c>
      <c r="K908" s="147">
        <v>0</v>
      </c>
      <c r="L908" s="148">
        <v>0</v>
      </c>
      <c r="M908" s="149">
        <v>0</v>
      </c>
      <c r="N908" s="150">
        <v>0</v>
      </c>
      <c r="O908" s="130">
        <v>0</v>
      </c>
      <c r="P908" s="130">
        <v>0</v>
      </c>
      <c r="Q908" s="130">
        <v>0</v>
      </c>
      <c r="R908" s="130">
        <v>0</v>
      </c>
      <c r="S908" s="130">
        <v>0</v>
      </c>
      <c r="T908" s="130">
        <v>0</v>
      </c>
      <c r="U908" s="130">
        <v>0</v>
      </c>
      <c r="V908" s="524">
        <v>0</v>
      </c>
      <c r="W908" s="130">
        <v>0</v>
      </c>
      <c r="X908" s="130">
        <v>0</v>
      </c>
      <c r="Y908" s="130">
        <v>0</v>
      </c>
      <c r="Z908" s="130">
        <v>0</v>
      </c>
      <c r="AA908" s="158" t="s">
        <v>2078</v>
      </c>
      <c r="AB908" s="158"/>
      <c r="AC908" s="158"/>
      <c r="AD908" s="158"/>
      <c r="AE908" s="158" t="b">
        <f>IF(AB908="",TRUE,IF(IF(AC908="",VLOOKUP(AB908,Calculs!$A$19:$S$425,19,FALSE),VLOOKUP(AC908,Calculs!$A$19:$S$425,19,FALSE))&gt;=AD908,TRUE,FALSE))</f>
        <v>1</v>
      </c>
      <c r="AF908" s="158"/>
      <c r="AG908" s="158"/>
      <c r="AH908" s="158"/>
      <c r="AI908" s="158" t="b">
        <f>IF(AF908="",TRUE,IF(IF(AG908="",VLOOKUP(AF908,Calculs!$A$19:$S$425,19,FALSE),VLOOKUP(AG908,Calculs!$A$19:$S$425,19,FALSE))&gt;=AH908,TRUE,FALSE))</f>
        <v>1</v>
      </c>
      <c r="AJ908" s="158"/>
      <c r="AK908" s="158"/>
      <c r="AL908" s="158"/>
      <c r="AM908" s="158" t="b">
        <f>IF(AJ908="",TRUE,IF(IF(AK908="",VLOOKUP(AJ908,Calculs!$A$19:$S$425,19,FALSE),VLOOKUP(AK908,Calculs!$A$19:$S$425,19,FALSE))&gt;=AL908,TRUE,FALSE))</f>
        <v>1</v>
      </c>
      <c r="AN908" s="158"/>
      <c r="AO908" s="158"/>
      <c r="AP908" s="158"/>
      <c r="AQ908" s="158" t="b">
        <f>IF(AN908="",TRUE,IF(IF(AO908="",VLOOKUP(AN908,Calculs!$A$19:$S$425,19,FALSE),VLOOKUP(AO908,Calculs!$A$19:$S$425,19,FALSE))&gt;=AP908,TRUE,FALSE))</f>
        <v>1</v>
      </c>
      <c r="AR908" s="158"/>
      <c r="AS908" s="158" t="b">
        <f>IF(AR908="",TRUE,IF(VLOOKUP(AR908,Calculs!$A$427:$G$738,7,FALSE)&gt;0,TRUE,FALSE))</f>
        <v>1</v>
      </c>
      <c r="AT908" s="158"/>
      <c r="AU908" s="158" t="b">
        <f>IF(AT908="",TRUE,IF(VLOOKUP(AT908,Calculs!$A$740:$G$912,7,FALSE)&gt;0,TRUE,FALSE))</f>
        <v>1</v>
      </c>
      <c r="AV908" s="158" t="b">
        <f t="shared" si="101"/>
        <v>1</v>
      </c>
      <c r="AW908" s="159" t="s">
        <v>3591</v>
      </c>
      <c r="AX908" s="162" t="s">
        <v>2075</v>
      </c>
      <c r="AY908" s="15">
        <v>205</v>
      </c>
      <c r="AZ908" s="555" t="s">
        <v>3593</v>
      </c>
      <c r="BA908" s="559">
        <f>IF(Verso!$B$10=Voies!$B908,1,0)</f>
        <v>0</v>
      </c>
      <c r="BB908" s="12">
        <f>IF(Verso!$B$11=Voies!$B908,1,0)</f>
        <v>0</v>
      </c>
      <c r="BC908" s="12">
        <f>IF(Verso!$B$12=Voies!$B908,1,0)</f>
        <v>0</v>
      </c>
      <c r="BD908" s="12">
        <f>IF(Verso!$B$13=Voies!$B908,1,0)</f>
        <v>0</v>
      </c>
      <c r="BE908" s="12">
        <f>IF(Verso!$B$14=Voies!$B908,1,0)</f>
        <v>0</v>
      </c>
      <c r="BF908" s="12">
        <f>IF(Verso!$B$15=Voies!$B908,1,0)</f>
        <v>0</v>
      </c>
      <c r="BG908" s="12">
        <f>IF(Verso!$B$16=Voies!$B908,1,0)</f>
        <v>0</v>
      </c>
      <c r="BH908" s="12">
        <f>IF(Verso!$B$17=Voies!$B908,1,0)</f>
        <v>0</v>
      </c>
      <c r="BI908" s="557">
        <f t="shared" si="102"/>
        <v>0</v>
      </c>
      <c r="BJ908" s="196" t="str">
        <f t="shared" si="103"/>
        <v/>
      </c>
      <c r="BK908" s="196" t="str">
        <f t="shared" si="104"/>
        <v/>
      </c>
      <c r="BL908" s="295" t="str">
        <f t="shared" si="105"/>
        <v/>
      </c>
    </row>
    <row r="909" spans="1:65" ht="47.25" customHeight="1" x14ac:dyDescent="0.25">
      <c r="A909" s="162" t="str">
        <f>IF(AND(Réputation&gt;Voies!E909-1,OR(C909=TRUE,Calculs!$I$8&gt;0),Air&gt;Voies!J909-1,Eau&gt;Voies!K909-1,Feu&gt;Voies!L909-1,Terre&gt;Voies!M909-1,Vide&gt;Voies!N909-1,Constitution&gt;Voies!O909-1,Volonté&gt;Voies!P909-1,Force&gt;Voies!Q909-1,Perception&gt;Voies!R909-1,Reflexes&gt;Voies!S909-1,Agilité&gt;Voies!T909-1,Intuition&gt;Voies!U909-1,Intelligence&gt;Voies!V909-1,Souillure&gt;Voies!W909-1,Honneur&gt;X909-1,Statut&gt;Y909-1,Gloire&gt;Z909-1,AV909=TRUE),Voies!B909,"")</f>
        <v/>
      </c>
      <c r="B909" s="162" t="s">
        <v>2417</v>
      </c>
      <c r="C909" s="162" t="b">
        <v>1</v>
      </c>
      <c r="D909" s="388" t="s">
        <v>61</v>
      </c>
      <c r="E909" s="13">
        <v>4</v>
      </c>
      <c r="F909" s="199">
        <v>4</v>
      </c>
      <c r="G909" s="199" t="s">
        <v>2049</v>
      </c>
      <c r="H909" s="162" t="s">
        <v>276</v>
      </c>
      <c r="I909" s="129" t="str">
        <f>IF(B909="","","Rien")</f>
        <v>Rien</v>
      </c>
      <c r="J909" s="146">
        <v>0</v>
      </c>
      <c r="K909" s="147">
        <v>0</v>
      </c>
      <c r="L909" s="148">
        <v>0</v>
      </c>
      <c r="M909" s="149">
        <v>0</v>
      </c>
      <c r="N909" s="150">
        <v>0</v>
      </c>
      <c r="O909" s="130">
        <v>0</v>
      </c>
      <c r="P909" s="130">
        <v>0</v>
      </c>
      <c r="Q909" s="130">
        <v>0</v>
      </c>
      <c r="R909" s="130">
        <v>0</v>
      </c>
      <c r="S909" s="130">
        <v>0</v>
      </c>
      <c r="T909" s="130">
        <v>0</v>
      </c>
      <c r="U909" s="130">
        <v>0</v>
      </c>
      <c r="V909" s="524">
        <v>0</v>
      </c>
      <c r="W909" s="130">
        <v>0</v>
      </c>
      <c r="X909" s="130">
        <v>0</v>
      </c>
      <c r="Y909" s="130">
        <v>0</v>
      </c>
      <c r="Z909" s="130">
        <v>0</v>
      </c>
      <c r="AA909" s="158" t="s">
        <v>2078</v>
      </c>
      <c r="AB909" s="158"/>
      <c r="AC909" s="158"/>
      <c r="AD909" s="158"/>
      <c r="AE909" s="158" t="b">
        <f>IF(AB909="",TRUE,IF(IF(AC909="",VLOOKUP(AB909,Calculs!$A$19:$S$425,19,FALSE),VLOOKUP(AC909,Calculs!$A$19:$S$425,19,FALSE))&gt;=AD909,TRUE,FALSE))</f>
        <v>1</v>
      </c>
      <c r="AF909" s="158"/>
      <c r="AG909" s="158"/>
      <c r="AH909" s="158"/>
      <c r="AI909" s="158" t="b">
        <f>IF(AF909="",TRUE,IF(IF(AG909="",VLOOKUP(AF909,Calculs!$A$19:$S$425,19,FALSE),VLOOKUP(AG909,Calculs!$A$19:$S$425,19,FALSE))&gt;=AH909,TRUE,FALSE))</f>
        <v>1</v>
      </c>
      <c r="AJ909" s="158"/>
      <c r="AK909" s="158"/>
      <c r="AL909" s="158"/>
      <c r="AM909" s="158" t="b">
        <f>IF(AJ909="",TRUE,IF(IF(AK909="",VLOOKUP(AJ909,Calculs!$A$19:$S$425,19,FALSE),VLOOKUP(AK909,Calculs!$A$19:$S$425,19,FALSE))&gt;=AL909,TRUE,FALSE))</f>
        <v>1</v>
      </c>
      <c r="AN909" s="158"/>
      <c r="AO909" s="158"/>
      <c r="AP909" s="158"/>
      <c r="AQ909" s="158" t="b">
        <f>IF(AN909="",TRUE,IF(IF(AO909="",VLOOKUP(AN909,Calculs!$A$19:$S$425,19,FALSE),VLOOKUP(AO909,Calculs!$A$19:$S$425,19,FALSE))&gt;=AP909,TRUE,FALSE))</f>
        <v>1</v>
      </c>
      <c r="AR909" s="158"/>
      <c r="AS909" s="158" t="b">
        <f>IF(AR909="",TRUE,IF(VLOOKUP(AR909,Calculs!$A$427:$G$738,7,FALSE)&gt;0,TRUE,FALSE))</f>
        <v>1</v>
      </c>
      <c r="AT909" s="158"/>
      <c r="AU909" s="158" t="b">
        <f>IF(AT909="",TRUE,IF(VLOOKUP(AT909,Calculs!$A$740:$G$912,7,FALSE)&gt;0,TRUE,FALSE))</f>
        <v>1</v>
      </c>
      <c r="AV909" s="158" t="b">
        <f t="shared" si="101"/>
        <v>1</v>
      </c>
      <c r="AW909" s="158" t="s">
        <v>2078</v>
      </c>
      <c r="AX909" s="162" t="s">
        <v>3</v>
      </c>
      <c r="AY909" s="15">
        <v>235</v>
      </c>
      <c r="AZ909" s="555" t="str">
        <f>CONCATENATE("Vous gagnez ",Constitution," Blessures Supplémentaires à chaque Rg. de Blessure. Ajoutez +",Constitution," aux jets de Dommages de vos attaques de Corps à Corps.")</f>
        <v>Vous gagnez 2 Blessures Supplémentaires à chaque Rg. de Blessure. Ajoutez +2 aux jets de Dommages de vos attaques de Corps à Corps.</v>
      </c>
      <c r="BA909" s="559">
        <f>IF(Verso!$B$10=Voies!$B909,1,0)</f>
        <v>0</v>
      </c>
      <c r="BB909" s="12">
        <f>IF(Verso!$B$11=Voies!$B909,1,0)</f>
        <v>0</v>
      </c>
      <c r="BC909" s="12">
        <f>IF(Verso!$B$12=Voies!$B909,1,0)</f>
        <v>0</v>
      </c>
      <c r="BD909" s="12">
        <f>IF(Verso!$B$13=Voies!$B909,1,0)</f>
        <v>0</v>
      </c>
      <c r="BE909" s="12">
        <f>IF(Verso!$B$14=Voies!$B909,1,0)</f>
        <v>0</v>
      </c>
      <c r="BF909" s="12">
        <f>IF(Verso!$B$15=Voies!$B909,1,0)</f>
        <v>0</v>
      </c>
      <c r="BG909" s="12">
        <f>IF(Verso!$B$16=Voies!$B909,1,0)</f>
        <v>0</v>
      </c>
      <c r="BH909" s="12">
        <f>IF(Verso!$B$17=Voies!$B909,1,0)</f>
        <v>0</v>
      </c>
      <c r="BI909" s="557">
        <f t="shared" si="102"/>
        <v>0</v>
      </c>
      <c r="BJ909" s="196" t="str">
        <f t="shared" si="103"/>
        <v/>
      </c>
      <c r="BK909" s="196" t="str">
        <f t="shared" si="104"/>
        <v/>
      </c>
      <c r="BL909" s="295" t="str">
        <f t="shared" si="105"/>
        <v/>
      </c>
    </row>
    <row r="910" spans="1:65" ht="47.25" customHeight="1" x14ac:dyDescent="0.25">
      <c r="A910" s="162" t="str">
        <f>IF(AND(Réputation&gt;Voies!E910-1,OR(C910=TRUE,Calculs!$I$8&gt;0),Air&gt;Voies!J910-1,Eau&gt;Voies!K910-1,Feu&gt;Voies!L910-1,Terre&gt;Voies!M910-1,Vide&gt;Voies!N910-1,Constitution&gt;Voies!O910-1,Volonté&gt;Voies!P910-1,Force&gt;Voies!Q910-1,Perception&gt;Voies!R910-1,Reflexes&gt;Voies!S910-1,Agilité&gt;Voies!T910-1,Intuition&gt;Voies!U910-1,Intelligence&gt;Voies!V910-1,Souillure&gt;Voies!W910-1,Honneur&gt;X910-1,Statut&gt;Y910-1,Gloire&gt;Z910-1,AV910=TRUE),Voies!B910,"")</f>
        <v/>
      </c>
      <c r="B910" s="162" t="s">
        <v>3649</v>
      </c>
      <c r="C910" s="162" t="b">
        <v>1</v>
      </c>
      <c r="D910" s="387" t="s">
        <v>61</v>
      </c>
      <c r="E910" s="13">
        <v>4</v>
      </c>
      <c r="F910" s="199">
        <v>4</v>
      </c>
      <c r="G910" s="199" t="s">
        <v>2049</v>
      </c>
      <c r="H910" s="162" t="s">
        <v>279</v>
      </c>
      <c r="I910" s="129" t="s">
        <v>3650</v>
      </c>
      <c r="J910" s="146">
        <v>0</v>
      </c>
      <c r="K910" s="147">
        <v>0</v>
      </c>
      <c r="L910" s="148">
        <v>0</v>
      </c>
      <c r="M910" s="149">
        <v>0</v>
      </c>
      <c r="N910" s="150">
        <v>0</v>
      </c>
      <c r="O910" s="130">
        <v>0</v>
      </c>
      <c r="P910" s="130">
        <v>0</v>
      </c>
      <c r="Q910" s="130">
        <v>0</v>
      </c>
      <c r="R910" s="130">
        <v>0</v>
      </c>
      <c r="S910" s="130">
        <v>0</v>
      </c>
      <c r="T910" s="130">
        <v>0</v>
      </c>
      <c r="U910" s="130">
        <v>0</v>
      </c>
      <c r="V910" s="524">
        <v>0</v>
      </c>
      <c r="W910" s="130">
        <v>0</v>
      </c>
      <c r="X910" s="130">
        <v>0</v>
      </c>
      <c r="Y910" s="130">
        <v>0</v>
      </c>
      <c r="Z910" s="130">
        <v>0</v>
      </c>
      <c r="AA910" s="159" t="s">
        <v>3651</v>
      </c>
      <c r="AB910" s="159" t="s">
        <v>376</v>
      </c>
      <c r="AD910" s="159">
        <v>5</v>
      </c>
      <c r="AE910" s="158" t="b">
        <f>IF(AB910="",TRUE,IF(IF(AC910="",VLOOKUP(AB910,Calculs!$A$19:$S$425,19,FALSE),VLOOKUP(AC910,Calculs!$A$19:$S$425,19,FALSE))&gt;=AD910,TRUE,FALSE))</f>
        <v>0</v>
      </c>
      <c r="AF910" s="159" t="s">
        <v>1221</v>
      </c>
      <c r="AH910" s="159">
        <v>5</v>
      </c>
      <c r="AI910" s="158" t="b">
        <f>IF(AF910="",TRUE,IF(IF(AG910="",VLOOKUP(AF910,Calculs!$A$19:$S$425,19,FALSE),VLOOKUP(AG910,Calculs!$A$19:$S$425,19,FALSE))&gt;=AH910,TRUE,FALSE))</f>
        <v>0</v>
      </c>
      <c r="AM910" s="158" t="b">
        <f>IF(AJ910="",TRUE,IF(IF(AK910="",VLOOKUP(AJ910,Calculs!$A$19:$S$425,19,FALSE),VLOOKUP(AK910,Calculs!$A$19:$S$425,19,FALSE))&gt;=AL910,TRUE,FALSE))</f>
        <v>1</v>
      </c>
      <c r="AQ910" s="158" t="b">
        <f>IF(AN910="",TRUE,IF(IF(AO910="",VLOOKUP(AN910,Calculs!$A$19:$S$425,19,FALSE),VLOOKUP(AO910,Calculs!$A$19:$S$425,19,FALSE))&gt;=AP910,TRUE,FALSE))</f>
        <v>1</v>
      </c>
      <c r="AR910" s="158"/>
      <c r="AS910" s="158" t="b">
        <f>IF(AR910="",TRUE,IF(VLOOKUP(AR910,Calculs!$A$427:$G$738,7,FALSE)&gt;0,TRUE,FALSE))</f>
        <v>1</v>
      </c>
      <c r="AT910" s="158"/>
      <c r="AU910" s="158" t="b">
        <f>IF(AT910="",TRUE,IF(VLOOKUP(AT910,Calculs!$A$740:$G$912,7,FALSE)&gt;0,TRUE,FALSE))</f>
        <v>1</v>
      </c>
      <c r="AV910" s="158" t="b">
        <f t="shared" si="101"/>
        <v>0</v>
      </c>
      <c r="AW910" s="159" t="s">
        <v>3652</v>
      </c>
      <c r="AX910" s="162" t="s">
        <v>2077</v>
      </c>
      <c r="AY910" s="151">
        <v>123</v>
      </c>
      <c r="AZ910" s="555" t="s">
        <v>8729</v>
      </c>
      <c r="BA910" s="559">
        <f>IF(Verso!$B$10=Voies!$B910,1,0)</f>
        <v>0</v>
      </c>
      <c r="BB910" s="12">
        <f>IF(Verso!$B$11=Voies!$B910,1,0)</f>
        <v>0</v>
      </c>
      <c r="BC910" s="12">
        <f>IF(Verso!$B$12=Voies!$B910,1,0)</f>
        <v>0</v>
      </c>
      <c r="BD910" s="12">
        <f>IF(Verso!$B$13=Voies!$B910,1,0)</f>
        <v>0</v>
      </c>
      <c r="BE910" s="12">
        <f>IF(Verso!$B$14=Voies!$B910,1,0)</f>
        <v>0</v>
      </c>
      <c r="BF910" s="12">
        <f>IF(Verso!$B$15=Voies!$B910,1,0)</f>
        <v>0</v>
      </c>
      <c r="BG910" s="12">
        <f>IF(Verso!$B$16=Voies!$B910,1,0)</f>
        <v>0</v>
      </c>
      <c r="BH910" s="12">
        <f>IF(Verso!$B$17=Voies!$B910,1,0)</f>
        <v>0</v>
      </c>
      <c r="BI910" s="557">
        <f t="shared" si="102"/>
        <v>0</v>
      </c>
      <c r="BJ910" s="196" t="str">
        <f t="shared" si="103"/>
        <v/>
      </c>
      <c r="BK910" s="196" t="str">
        <f t="shared" si="104"/>
        <v/>
      </c>
      <c r="BL910" s="295" t="str">
        <f t="shared" si="105"/>
        <v/>
      </c>
    </row>
    <row r="911" spans="1:65" ht="47.25" customHeight="1" x14ac:dyDescent="0.25">
      <c r="A911" s="162" t="str">
        <f>IF(AND(Réputation&gt;Voies!E911-1,OR(C911=TRUE,Calculs!$I$8&gt;0),Air&gt;Voies!J911-1,Eau&gt;Voies!K911-1,Feu&gt;Voies!L911-1,Terre&gt;Voies!M911-1,Vide&gt;Voies!N911-1,Constitution&gt;Voies!O911-1,Volonté&gt;Voies!P911-1,Force&gt;Voies!Q911-1,Perception&gt;Voies!R911-1,Reflexes&gt;Voies!S911-1,Agilité&gt;Voies!T911-1,Intuition&gt;Voies!U911-1,Intelligence&gt;Voies!V911-1,Souillure&gt;Voies!W911-1,Honneur&gt;X911-1,Statut&gt;Y911-1,Gloire&gt;Z911-1,AV911=TRUE),Voies!B911,"")</f>
        <v/>
      </c>
      <c r="B911" s="162" t="s">
        <v>7397</v>
      </c>
      <c r="C911" s="162" t="b">
        <v>1</v>
      </c>
      <c r="D911" s="387" t="s">
        <v>61</v>
      </c>
      <c r="E911" s="13">
        <v>4</v>
      </c>
      <c r="F911" s="199">
        <v>4</v>
      </c>
      <c r="G911" s="199" t="s">
        <v>2049</v>
      </c>
      <c r="H911" s="162" t="s">
        <v>428</v>
      </c>
      <c r="I911" s="129" t="s">
        <v>3650</v>
      </c>
      <c r="J911" s="146">
        <v>0</v>
      </c>
      <c r="K911" s="147">
        <v>0</v>
      </c>
      <c r="L911" s="148">
        <v>0</v>
      </c>
      <c r="M911" s="149">
        <v>0</v>
      </c>
      <c r="N911" s="150">
        <v>0</v>
      </c>
      <c r="O911" s="130">
        <v>0</v>
      </c>
      <c r="P911" s="130">
        <v>0</v>
      </c>
      <c r="Q911" s="130">
        <v>0</v>
      </c>
      <c r="R911" s="130">
        <v>0</v>
      </c>
      <c r="S911" s="130">
        <v>0</v>
      </c>
      <c r="T911" s="130">
        <v>0</v>
      </c>
      <c r="U911" s="130">
        <v>0</v>
      </c>
      <c r="V911" s="524">
        <v>0</v>
      </c>
      <c r="W911" s="130">
        <v>0</v>
      </c>
      <c r="X911" s="130">
        <v>0</v>
      </c>
      <c r="Y911" s="130">
        <v>0</v>
      </c>
      <c r="Z911" s="130">
        <v>0</v>
      </c>
      <c r="AA911" s="159" t="s">
        <v>7396</v>
      </c>
      <c r="AB911" s="159" t="s">
        <v>231</v>
      </c>
      <c r="AD911" s="159">
        <v>2</v>
      </c>
      <c r="AE911" s="158" t="b">
        <f>IF(AB911="",TRUE,IF(IF(AC911="",VLOOKUP(AB911,Calculs!$A$19:$S$425,19,FALSE),VLOOKUP(AC911,Calculs!$A$19:$S$425,19,FALSE))&gt;=AD911,TRUE,FALSE))</f>
        <v>0</v>
      </c>
      <c r="AI911" s="158" t="b">
        <f>IF(AF911="",TRUE,IF(IF(AG911="",VLOOKUP(AF911,Calculs!$A$19:$S$425,19,FALSE),VLOOKUP(AG911,Calculs!$A$19:$S$425,19,FALSE))&gt;=AH911,TRUE,FALSE))</f>
        <v>1</v>
      </c>
      <c r="AM911" s="158" t="b">
        <f>IF(AJ911="",TRUE,IF(IF(AK911="",VLOOKUP(AJ911,Calculs!$A$19:$S$425,19,FALSE),VLOOKUP(AK911,Calculs!$A$19:$S$425,19,FALSE))&gt;=AL911,TRUE,FALSE))</f>
        <v>1</v>
      </c>
      <c r="AQ911" s="158" t="b">
        <f>IF(AN911="",TRUE,IF(IF(AO911="",VLOOKUP(AN911,Calculs!$A$19:$S$425,19,FALSE),VLOOKUP(AO911,Calculs!$A$19:$S$425,19,FALSE))&gt;=AP911,TRUE,FALSE))</f>
        <v>1</v>
      </c>
      <c r="AR911" s="158"/>
      <c r="AS911" s="158" t="b">
        <f>IF(AR911="",TRUE,IF(VLOOKUP(AR911,Calculs!$A$427:$G$738,7,FALSE)&gt;0,TRUE,FALSE))</f>
        <v>1</v>
      </c>
      <c r="AT911" s="158"/>
      <c r="AU911" s="158" t="b">
        <f>IF(AT911="",TRUE,IF(VLOOKUP(AT911,Calculs!$A$740:$G$912,7,FALSE)&gt;0,TRUE,FALSE))</f>
        <v>1</v>
      </c>
      <c r="AV911" s="158" t="b">
        <f t="shared" si="101"/>
        <v>0</v>
      </c>
      <c r="AW911" s="158" t="s">
        <v>2078</v>
      </c>
      <c r="AX911" s="162" t="s">
        <v>7226</v>
      </c>
      <c r="AY911" s="151">
        <v>75</v>
      </c>
      <c r="AZ911" s="555" t="str">
        <f>CONCATENATE("Vous pouvez augmenter ou diminuer de ",Honneur," le résultat de vos tests d'Art de la Guerre sur la tableau des combats de masse. Vous bénéficiez du même bonus lors d'Opportunités Héroïques ou Duels dans les Combats de masse.")</f>
        <v>Vous pouvez augmenter ou diminuer de 0 le résultat de vos tests d'Art de la Guerre sur la tableau des combats de masse. Vous bénéficiez du même bonus lors d'Opportunités Héroïques ou Duels dans les Combats de masse.</v>
      </c>
      <c r="BA911" s="559">
        <f>IF(Verso!$B$10=Voies!$B911,1,0)</f>
        <v>0</v>
      </c>
      <c r="BB911" s="12">
        <f>IF(Verso!$B$11=Voies!$B911,1,0)</f>
        <v>0</v>
      </c>
      <c r="BC911" s="12">
        <f>IF(Verso!$B$12=Voies!$B911,1,0)</f>
        <v>0</v>
      </c>
      <c r="BD911" s="12">
        <f>IF(Verso!$B$13=Voies!$B911,1,0)</f>
        <v>0</v>
      </c>
      <c r="BE911" s="12">
        <f>IF(Verso!$B$14=Voies!$B911,1,0)</f>
        <v>0</v>
      </c>
      <c r="BF911" s="12">
        <f>IF(Verso!$B$15=Voies!$B911,1,0)</f>
        <v>0</v>
      </c>
      <c r="BG911" s="12">
        <f>IF(Verso!$B$16=Voies!$B911,1,0)</f>
        <v>0</v>
      </c>
      <c r="BH911" s="12">
        <f>IF(Verso!$B$17=Voies!$B911,1,0)</f>
        <v>0</v>
      </c>
      <c r="BI911" s="557">
        <f t="shared" si="102"/>
        <v>0</v>
      </c>
      <c r="BJ911" s="196" t="str">
        <f t="shared" si="103"/>
        <v/>
      </c>
      <c r="BK911" s="196" t="str">
        <f t="shared" si="104"/>
        <v/>
      </c>
      <c r="BL911" s="295" t="str">
        <f t="shared" si="105"/>
        <v/>
      </c>
    </row>
    <row r="912" spans="1:65" ht="47.25" customHeight="1" x14ac:dyDescent="0.25">
      <c r="A912" s="162" t="str">
        <f>IF(AND(Réputation&gt;Voies!E912-1,OR(C912=TRUE,Calculs!$I$8&gt;0),Air&gt;Voies!J912-1,Eau&gt;Voies!K912-1,Feu&gt;Voies!L912-1,Terre&gt;Voies!M912-1,Vide&gt;Voies!N912-1,Constitution&gt;Voies!O912-1,Volonté&gt;Voies!P912-1,Force&gt;Voies!Q912-1,Perception&gt;Voies!R912-1,Reflexes&gt;Voies!S912-1,Agilité&gt;Voies!T912-1,Intuition&gt;Voies!U912-1,Intelligence&gt;Voies!V912-1,Souillure&gt;Voies!W912-1,Honneur&gt;X912-1,Statut&gt;Y912-1,Gloire&gt;Z912-1,AV912=TRUE),Voies!B912,"")</f>
        <v/>
      </c>
      <c r="B912" s="162" t="s">
        <v>3774</v>
      </c>
      <c r="C912" s="162" t="b">
        <v>1</v>
      </c>
      <c r="D912" s="388" t="s">
        <v>61</v>
      </c>
      <c r="E912" s="13">
        <v>4</v>
      </c>
      <c r="F912" s="199">
        <v>4</v>
      </c>
      <c r="G912" s="199" t="s">
        <v>2048</v>
      </c>
      <c r="H912" s="162" t="s">
        <v>290</v>
      </c>
      <c r="I912" s="129" t="s">
        <v>3771</v>
      </c>
      <c r="J912" s="146">
        <v>0</v>
      </c>
      <c r="K912" s="147">
        <v>0</v>
      </c>
      <c r="L912" s="148">
        <v>0</v>
      </c>
      <c r="M912" s="149">
        <v>0</v>
      </c>
      <c r="N912" s="150">
        <v>0</v>
      </c>
      <c r="O912" s="130">
        <v>0</v>
      </c>
      <c r="P912" s="130">
        <v>0</v>
      </c>
      <c r="Q912" s="130">
        <v>0</v>
      </c>
      <c r="R912" s="130">
        <v>0</v>
      </c>
      <c r="S912" s="130">
        <v>0</v>
      </c>
      <c r="T912" s="130">
        <v>0</v>
      </c>
      <c r="U912" s="130">
        <v>0</v>
      </c>
      <c r="V912" s="524">
        <v>0</v>
      </c>
      <c r="W912" s="130">
        <v>0</v>
      </c>
      <c r="X912" s="130">
        <v>0</v>
      </c>
      <c r="Y912" s="130">
        <v>0</v>
      </c>
      <c r="Z912" s="130">
        <v>0</v>
      </c>
      <c r="AA912" s="159" t="s">
        <v>3773</v>
      </c>
      <c r="AB912" s="159" t="s">
        <v>1272</v>
      </c>
      <c r="AD912" s="159">
        <v>3</v>
      </c>
      <c r="AE912" s="158" t="b">
        <f>IF(AB912="",TRUE,IF(IF(AC912="",VLOOKUP(AB912,Calculs!$A$19:$S$425,19,FALSE),VLOOKUP(AC912,Calculs!$A$19:$S$425,19,FALSE))&gt;=AD912,TRUE,FALSE))</f>
        <v>0</v>
      </c>
      <c r="AF912" s="159" t="s">
        <v>1277</v>
      </c>
      <c r="AH912" s="159">
        <v>3</v>
      </c>
      <c r="AI912" s="158" t="b">
        <f>IF(AF912="",TRUE,IF(IF(AG912="",VLOOKUP(AF912,Calculs!$A$19:$S$425,19,FALSE),VLOOKUP(AG912,Calculs!$A$19:$S$425,19,FALSE))&gt;=AH912,TRUE,FALSE))</f>
        <v>0</v>
      </c>
      <c r="AJ912" s="159" t="s">
        <v>351</v>
      </c>
      <c r="AL912" s="159">
        <v>3</v>
      </c>
      <c r="AM912" s="158" t="b">
        <f>IF(AJ912="",TRUE,IF(IF(AK912="",VLOOKUP(AJ912,Calculs!$A$19:$S$425,19,FALSE),VLOOKUP(AK912,Calculs!$A$19:$S$425,19,FALSE))&gt;=AL912,TRUE,FALSE))</f>
        <v>0</v>
      </c>
      <c r="AN912" s="159" t="s">
        <v>1275</v>
      </c>
      <c r="AP912" s="159">
        <v>3</v>
      </c>
      <c r="AQ912" s="158" t="b">
        <f>IF(AN912="",TRUE,IF(IF(AO912="",VLOOKUP(AN912,Calculs!$A$19:$S$425,19,FALSE),VLOOKUP(AO912,Calculs!$A$19:$S$425,19,FALSE))&gt;=AP912,TRUE,FALSE))</f>
        <v>0</v>
      </c>
      <c r="AR912" s="158"/>
      <c r="AS912" s="158" t="b">
        <f>IF(AR912="",TRUE,IF(VLOOKUP(AR912,Calculs!$A$427:$G$738,7,FALSE)&gt;0,TRUE,FALSE))</f>
        <v>1</v>
      </c>
      <c r="AT912" s="158"/>
      <c r="AU912" s="158" t="b">
        <f>IF(AT912="",TRUE,IF(VLOOKUP(AT912,Calculs!$A$740:$G$912,7,FALSE)&gt;0,TRUE,FALSE))</f>
        <v>1</v>
      </c>
      <c r="AV912" s="158" t="b">
        <f t="shared" si="101"/>
        <v>0</v>
      </c>
      <c r="AW912" s="159" t="s">
        <v>3772</v>
      </c>
      <c r="AX912" s="162" t="s">
        <v>2080</v>
      </c>
      <c r="AY912" s="15">
        <v>235</v>
      </c>
      <c r="AZ912" s="555" t="s">
        <v>8730</v>
      </c>
      <c r="BA912" s="559">
        <f>IF(Verso!$B$10=Voies!$B912,1,0)</f>
        <v>0</v>
      </c>
      <c r="BB912" s="12">
        <f>IF(Verso!$B$11=Voies!$B912,1,0)</f>
        <v>0</v>
      </c>
      <c r="BC912" s="12">
        <f>IF(Verso!$B$12=Voies!$B912,1,0)</f>
        <v>0</v>
      </c>
      <c r="BD912" s="12">
        <f>IF(Verso!$B$13=Voies!$B912,1,0)</f>
        <v>0</v>
      </c>
      <c r="BE912" s="12">
        <f>IF(Verso!$B$14=Voies!$B912,1,0)</f>
        <v>0</v>
      </c>
      <c r="BF912" s="12">
        <f>IF(Verso!$B$15=Voies!$B912,1,0)</f>
        <v>0</v>
      </c>
      <c r="BG912" s="12">
        <f>IF(Verso!$B$16=Voies!$B912,1,0)</f>
        <v>0</v>
      </c>
      <c r="BH912" s="12">
        <f>IF(Verso!$B$17=Voies!$B912,1,0)</f>
        <v>0</v>
      </c>
      <c r="BI912" s="557">
        <f t="shared" si="102"/>
        <v>0</v>
      </c>
      <c r="BJ912" s="196" t="str">
        <f t="shared" si="103"/>
        <v/>
      </c>
      <c r="BK912" s="196" t="str">
        <f t="shared" si="104"/>
        <v/>
      </c>
      <c r="BL912" s="295" t="str">
        <f t="shared" si="105"/>
        <v/>
      </c>
    </row>
    <row r="913" spans="1:65" ht="47.25" customHeight="1" x14ac:dyDescent="0.25">
      <c r="A913" s="162" t="str">
        <f>IF(AND(Réputation&gt;Voies!E913-1,OR(C913=TRUE,Calculs!$I$8&gt;0),Air&gt;Voies!J913-1,Eau&gt;Voies!K913-1,Feu&gt;Voies!L913-1,Terre&gt;Voies!M913-1,Vide&gt;Voies!N913-1,Constitution&gt;Voies!O913-1,Volonté&gt;Voies!P913-1,Force&gt;Voies!Q913-1,Perception&gt;Voies!R913-1,Reflexes&gt;Voies!S913-1,Agilité&gt;Voies!T913-1,Intuition&gt;Voies!U913-1,Intelligence&gt;Voies!V913-1,Souillure&gt;Voies!W913-1,Honneur&gt;X913-1,Statut&gt;Y913-1,Gloire&gt;Z913-1,AV913=TRUE),Voies!B913,"")</f>
        <v/>
      </c>
      <c r="B913" s="162" t="s">
        <v>2807</v>
      </c>
      <c r="C913" s="162" t="b">
        <v>1</v>
      </c>
      <c r="D913" s="388" t="s">
        <v>61</v>
      </c>
      <c r="E913" s="199">
        <v>5</v>
      </c>
      <c r="F913" s="199">
        <v>5</v>
      </c>
      <c r="G913" s="157" t="s">
        <v>2078</v>
      </c>
      <c r="H913" s="162" t="s">
        <v>277</v>
      </c>
      <c r="I913" s="129" t="str">
        <f>IF(B913="","","Rien")</f>
        <v>Rien</v>
      </c>
      <c r="J913" s="146">
        <v>0</v>
      </c>
      <c r="K913" s="147">
        <v>0</v>
      </c>
      <c r="L913" s="148">
        <v>0</v>
      </c>
      <c r="M913" s="149">
        <v>0</v>
      </c>
      <c r="N913" s="150">
        <v>0</v>
      </c>
      <c r="O913" s="130">
        <v>0</v>
      </c>
      <c r="P913" s="130">
        <v>0</v>
      </c>
      <c r="Q913" s="130">
        <v>0</v>
      </c>
      <c r="R913" s="130">
        <v>0</v>
      </c>
      <c r="S913" s="130">
        <v>0</v>
      </c>
      <c r="T913" s="130">
        <v>0</v>
      </c>
      <c r="U913" s="130">
        <v>0</v>
      </c>
      <c r="V913" s="524">
        <v>0</v>
      </c>
      <c r="W913" s="130">
        <v>0</v>
      </c>
      <c r="X913" s="130">
        <v>0</v>
      </c>
      <c r="Y913" s="130">
        <v>0</v>
      </c>
      <c r="Z913" s="130">
        <v>0</v>
      </c>
      <c r="AA913" s="158" t="s">
        <v>2078</v>
      </c>
      <c r="AB913" s="158"/>
      <c r="AC913" s="158"/>
      <c r="AD913" s="158"/>
      <c r="AE913" s="158" t="b">
        <f>IF(AB913="",TRUE,IF(IF(AC913="",VLOOKUP(AB913,Calculs!$A$19:$S$425,19,FALSE),VLOOKUP(AC913,Calculs!$A$19:$S$425,19,FALSE))&gt;=AD913,TRUE,FALSE))</f>
        <v>1</v>
      </c>
      <c r="AF913" s="158"/>
      <c r="AG913" s="158"/>
      <c r="AH913" s="158"/>
      <c r="AI913" s="158" t="b">
        <f>IF(AF913="",TRUE,IF(IF(AG913="",VLOOKUP(AF913,Calculs!$A$19:$S$425,19,FALSE),VLOOKUP(AG913,Calculs!$A$19:$S$425,19,FALSE))&gt;=AH913,TRUE,FALSE))</f>
        <v>1</v>
      </c>
      <c r="AJ913" s="158"/>
      <c r="AK913" s="158"/>
      <c r="AL913" s="158"/>
      <c r="AM913" s="158" t="b">
        <f>IF(AJ913="",TRUE,IF(IF(AK913="",VLOOKUP(AJ913,Calculs!$A$19:$S$425,19,FALSE),VLOOKUP(AK913,Calculs!$A$19:$S$425,19,FALSE))&gt;=AL913,TRUE,FALSE))</f>
        <v>1</v>
      </c>
      <c r="AN913" s="158"/>
      <c r="AO913" s="158"/>
      <c r="AP913" s="158"/>
      <c r="AQ913" s="158" t="b">
        <f>IF(AN913="",TRUE,IF(IF(AO913="",VLOOKUP(AN913,Calculs!$A$19:$S$425,19,FALSE),VLOOKUP(AO913,Calculs!$A$19:$S$425,19,FALSE))&gt;=AP913,TRUE,FALSE))</f>
        <v>1</v>
      </c>
      <c r="AR913" s="158"/>
      <c r="AS913" s="158" t="b">
        <f>IF(AR913="",TRUE,IF(VLOOKUP(AR913,Calculs!$A$427:$G$738,7,FALSE)&gt;0,TRUE,FALSE))</f>
        <v>1</v>
      </c>
      <c r="AT913" s="158"/>
      <c r="AU913" s="158" t="b">
        <f>IF(AT913="",TRUE,IF(VLOOKUP(AT913,Calculs!$A$740:$G$912,7,FALSE)&gt;0,TRUE,FALSE))</f>
        <v>1</v>
      </c>
      <c r="AV913" s="158" t="b">
        <f t="shared" si="101"/>
        <v>1</v>
      </c>
      <c r="AW913" s="158" t="s">
        <v>2078</v>
      </c>
      <c r="AX913" s="162" t="s">
        <v>2080</v>
      </c>
      <c r="AY913" s="15">
        <v>236</v>
      </c>
      <c r="AZ913" s="555" t="s">
        <v>2809</v>
      </c>
      <c r="BA913" s="559">
        <f>IF(Verso!$B$10=Voies!$B913,1,0)</f>
        <v>0</v>
      </c>
      <c r="BB913" s="12">
        <f>IF(Verso!$B$11=Voies!$B913,1,0)</f>
        <v>0</v>
      </c>
      <c r="BC913" s="12">
        <f>IF(Verso!$B$12=Voies!$B913,1,0)</f>
        <v>0</v>
      </c>
      <c r="BD913" s="12">
        <f>IF(Verso!$B$13=Voies!$B913,1,0)</f>
        <v>0</v>
      </c>
      <c r="BE913" s="12">
        <f>IF(Verso!$B$14=Voies!$B913,1,0)</f>
        <v>0</v>
      </c>
      <c r="BF913" s="12">
        <f>IF(Verso!$B$15=Voies!$B913,1,0)</f>
        <v>0</v>
      </c>
      <c r="BG913" s="12">
        <f>IF(Verso!$B$16=Voies!$B913,1,0)</f>
        <v>0</v>
      </c>
      <c r="BH913" s="12">
        <f>IF(Verso!$B$17=Voies!$B913,1,0)</f>
        <v>0</v>
      </c>
      <c r="BI913" s="557">
        <f t="shared" si="102"/>
        <v>0</v>
      </c>
      <c r="BJ913" s="196" t="str">
        <f t="shared" si="103"/>
        <v/>
      </c>
      <c r="BK913" s="196" t="str">
        <f t="shared" si="104"/>
        <v/>
      </c>
      <c r="BL913" s="295" t="str">
        <f t="shared" si="105"/>
        <v/>
      </c>
    </row>
    <row r="914" spans="1:65" ht="47.25" customHeight="1" x14ac:dyDescent="0.25">
      <c r="A914" s="162" t="str">
        <f>IF(AND(Réputation&gt;Voies!E914-1,OR(C914=TRUE,Calculs!$I$8&gt;0),Air&gt;Voies!J914-1,Eau&gt;Voies!K914-1,Feu&gt;Voies!L914-1,Terre&gt;Voies!M914-1,Vide&gt;Voies!N914-1,Constitution&gt;Voies!O914-1,Volonté&gt;Voies!P914-1,Force&gt;Voies!Q914-1,Perception&gt;Voies!R914-1,Reflexes&gt;Voies!S914-1,Agilité&gt;Voies!T914-1,Intuition&gt;Voies!U914-1,Intelligence&gt;Voies!V914-1,Souillure&gt;Voies!W914-1,Honneur&gt;X914-1,Statut&gt;Y914-1,Gloire&gt;Z914-1,AV914=TRUE),Voies!B914,"")</f>
        <v/>
      </c>
      <c r="B914" s="162" t="s">
        <v>3596</v>
      </c>
      <c r="C914" s="162" t="b">
        <v>1</v>
      </c>
      <c r="D914" s="388" t="s">
        <v>61</v>
      </c>
      <c r="E914" s="199">
        <v>5</v>
      </c>
      <c r="F914" s="199">
        <v>5</v>
      </c>
      <c r="G914" s="199" t="s">
        <v>2049</v>
      </c>
      <c r="H914" s="162" t="s">
        <v>457</v>
      </c>
      <c r="I914" s="129" t="s">
        <v>3557</v>
      </c>
      <c r="J914" s="146">
        <v>0</v>
      </c>
      <c r="K914" s="147">
        <v>0</v>
      </c>
      <c r="L914" s="148">
        <v>0</v>
      </c>
      <c r="M914" s="149">
        <v>4</v>
      </c>
      <c r="N914" s="150">
        <v>0</v>
      </c>
      <c r="O914" s="130">
        <v>0</v>
      </c>
      <c r="P914" s="130">
        <v>0</v>
      </c>
      <c r="Q914" s="130">
        <v>0</v>
      </c>
      <c r="R914" s="130">
        <v>0</v>
      </c>
      <c r="S914" s="130">
        <v>0</v>
      </c>
      <c r="T914" s="130">
        <v>0</v>
      </c>
      <c r="U914" s="130">
        <v>0</v>
      </c>
      <c r="V914" s="524">
        <v>0</v>
      </c>
      <c r="W914" s="130">
        <v>0</v>
      </c>
      <c r="X914" s="130">
        <v>0</v>
      </c>
      <c r="Y914" s="130">
        <v>0</v>
      </c>
      <c r="Z914" s="130">
        <v>0</v>
      </c>
      <c r="AA914" s="159" t="s">
        <v>3111</v>
      </c>
      <c r="AE914" s="158" t="b">
        <f>IF(AB914="",TRUE,IF(IF(AC914="",VLOOKUP(AB914,Calculs!$A$19:$S$425,19,FALSE),VLOOKUP(AC914,Calculs!$A$19:$S$425,19,FALSE))&gt;=AD914,TRUE,FALSE))</f>
        <v>1</v>
      </c>
      <c r="AI914" s="158" t="b">
        <f>IF(AF914="",TRUE,IF(IF(AG914="",VLOOKUP(AF914,Calculs!$A$19:$S$425,19,FALSE),VLOOKUP(AG914,Calculs!$A$19:$S$425,19,FALSE))&gt;=AH914,TRUE,FALSE))</f>
        <v>1</v>
      </c>
      <c r="AM914" s="158" t="b">
        <f>IF(AJ914="",TRUE,IF(IF(AK914="",VLOOKUP(AJ914,Calculs!$A$19:$S$425,19,FALSE),VLOOKUP(AK914,Calculs!$A$19:$S$425,19,FALSE))&gt;=AL914,TRUE,FALSE))</f>
        <v>1</v>
      </c>
      <c r="AQ914" s="158" t="b">
        <f>IF(AN914="",TRUE,IF(IF(AO914="",VLOOKUP(AN914,Calculs!$A$19:$S$425,19,FALSE),VLOOKUP(AO914,Calculs!$A$19:$S$425,19,FALSE))&gt;=AP914,TRUE,FALSE))</f>
        <v>1</v>
      </c>
      <c r="AR914" s="158"/>
      <c r="AS914" s="158" t="b">
        <f>IF(AR914="",TRUE,IF(VLOOKUP(AR914,Calculs!$A$427:$G$738,7,FALSE)&gt;0,TRUE,FALSE))</f>
        <v>1</v>
      </c>
      <c r="AT914" s="158"/>
      <c r="AU914" s="158" t="b">
        <f>IF(AT914="",TRUE,IF(VLOOKUP(AT914,Calculs!$A$740:$G$912,7,FALSE)&gt;0,TRUE,FALSE))</f>
        <v>1</v>
      </c>
      <c r="AV914" s="158" t="b">
        <f t="shared" si="101"/>
        <v>1</v>
      </c>
      <c r="AW914" s="158" t="s">
        <v>2078</v>
      </c>
      <c r="AX914" s="162" t="s">
        <v>2075</v>
      </c>
      <c r="AY914" s="151">
        <v>206</v>
      </c>
      <c r="AZ914" s="555" t="str">
        <f>CONCATENATE("Lorsque vous combattez aux côtés de membres de la Fraternité du Gantelet de Fer, dépensez un Pvide pour annuler ",Vide*5," dégâts infligés à un de vos alliés.")</f>
        <v>Lorsque vous combattez aux côtés de membres de la Fraternité du Gantelet de Fer, dépensez un Pvide pour annuler 10 dégâts infligés à un de vos alliés.</v>
      </c>
      <c r="BA914" s="559">
        <f>IF(Verso!$B$10=Voies!$B914,1,0)</f>
        <v>0</v>
      </c>
      <c r="BB914" s="12">
        <f>IF(Verso!$B$11=Voies!$B914,1,0)</f>
        <v>0</v>
      </c>
      <c r="BC914" s="12">
        <f>IF(Verso!$B$12=Voies!$B914,1,0)</f>
        <v>0</v>
      </c>
      <c r="BD914" s="12">
        <f>IF(Verso!$B$13=Voies!$B914,1,0)</f>
        <v>0</v>
      </c>
      <c r="BE914" s="12">
        <f>IF(Verso!$B$14=Voies!$B914,1,0)</f>
        <v>0</v>
      </c>
      <c r="BF914" s="12">
        <f>IF(Verso!$B$15=Voies!$B914,1,0)</f>
        <v>0</v>
      </c>
      <c r="BG914" s="12">
        <f>IF(Verso!$B$16=Voies!$B914,1,0)</f>
        <v>0</v>
      </c>
      <c r="BH914" s="12">
        <f>IF(Verso!$B$17=Voies!$B914,1,0)</f>
        <v>0</v>
      </c>
      <c r="BI914" s="557">
        <f t="shared" si="102"/>
        <v>0</v>
      </c>
      <c r="BJ914" s="196" t="str">
        <f t="shared" si="103"/>
        <v/>
      </c>
      <c r="BK914" s="196" t="str">
        <f t="shared" si="104"/>
        <v/>
      </c>
      <c r="BL914" s="295" t="str">
        <f t="shared" si="105"/>
        <v/>
      </c>
    </row>
    <row r="915" spans="1:65" ht="47.25" customHeight="1" x14ac:dyDescent="0.25">
      <c r="A915" s="162" t="str">
        <f>IF(AND(Réputation&gt;Voies!E915-1,OR(C915=TRUE,Calculs!$I$8&gt;0),Air&gt;Voies!J915-1,Eau&gt;Voies!K915-1,Feu&gt;Voies!L915-1,Terre&gt;Voies!M915-1,Vide&gt;Voies!N915-1,Constitution&gt;Voies!O915-1,Volonté&gt;Voies!P915-1,Force&gt;Voies!Q915-1,Perception&gt;Voies!R915-1,Reflexes&gt;Voies!S915-1,Agilité&gt;Voies!T915-1,Intuition&gt;Voies!U915-1,Intelligence&gt;Voies!V915-1,Souillure&gt;Voies!W915-1,Honneur&gt;X915-1,Statut&gt;Y915-1,Gloire&gt;Z915-1,AV915=TRUE),Voies!B915,"")</f>
        <v/>
      </c>
      <c r="B915" s="162" t="s">
        <v>3597</v>
      </c>
      <c r="C915" s="162" t="b">
        <v>1</v>
      </c>
      <c r="D915" s="388" t="s">
        <v>61</v>
      </c>
      <c r="E915" s="199">
        <v>5</v>
      </c>
      <c r="F915" s="199">
        <v>5</v>
      </c>
      <c r="G915" s="199" t="s">
        <v>2049</v>
      </c>
      <c r="H915" s="162" t="s">
        <v>296</v>
      </c>
      <c r="I915" s="129" t="s">
        <v>3557</v>
      </c>
      <c r="J915" s="146">
        <v>0</v>
      </c>
      <c r="K915" s="147">
        <v>0</v>
      </c>
      <c r="L915" s="148">
        <v>0</v>
      </c>
      <c r="M915" s="149">
        <v>0</v>
      </c>
      <c r="N915" s="150">
        <v>0</v>
      </c>
      <c r="O915" s="130">
        <v>0</v>
      </c>
      <c r="P915" s="130">
        <v>0</v>
      </c>
      <c r="Q915" s="130">
        <v>0</v>
      </c>
      <c r="R915" s="130">
        <v>0</v>
      </c>
      <c r="S915" s="130">
        <v>0</v>
      </c>
      <c r="T915" s="130">
        <v>0</v>
      </c>
      <c r="U915" s="130">
        <v>0</v>
      </c>
      <c r="V915" s="524">
        <v>0</v>
      </c>
      <c r="W915" s="130">
        <v>0</v>
      </c>
      <c r="X915" s="130">
        <v>5</v>
      </c>
      <c r="Y915" s="130">
        <v>0</v>
      </c>
      <c r="Z915" s="130">
        <v>0</v>
      </c>
      <c r="AA915" s="158" t="s">
        <v>2078</v>
      </c>
      <c r="AB915" s="158"/>
      <c r="AC915" s="158"/>
      <c r="AD915" s="158"/>
      <c r="AE915" s="158" t="b">
        <f>IF(AB915="",TRUE,IF(IF(AC915="",VLOOKUP(AB915,Calculs!$A$19:$S$425,19,FALSE),VLOOKUP(AC915,Calculs!$A$19:$S$425,19,FALSE))&gt;=AD915,TRUE,FALSE))</f>
        <v>1</v>
      </c>
      <c r="AF915" s="158"/>
      <c r="AG915" s="158"/>
      <c r="AH915" s="158"/>
      <c r="AI915" s="158" t="b">
        <f>IF(AF915="",TRUE,IF(IF(AG915="",VLOOKUP(AF915,Calculs!$A$19:$S$425,19,FALSE),VLOOKUP(AG915,Calculs!$A$19:$S$425,19,FALSE))&gt;=AH915,TRUE,FALSE))</f>
        <v>1</v>
      </c>
      <c r="AJ915" s="158"/>
      <c r="AK915" s="158"/>
      <c r="AL915" s="158"/>
      <c r="AM915" s="158" t="b">
        <f>IF(AJ915="",TRUE,IF(IF(AK915="",VLOOKUP(AJ915,Calculs!$A$19:$S$425,19,FALSE),VLOOKUP(AK915,Calculs!$A$19:$S$425,19,FALSE))&gt;=AL915,TRUE,FALSE))</f>
        <v>1</v>
      </c>
      <c r="AN915" s="158"/>
      <c r="AO915" s="158"/>
      <c r="AP915" s="158"/>
      <c r="AQ915" s="158" t="b">
        <f>IF(AN915="",TRUE,IF(IF(AO915="",VLOOKUP(AN915,Calculs!$A$19:$S$425,19,FALSE),VLOOKUP(AO915,Calculs!$A$19:$S$425,19,FALSE))&gt;=AP915,TRUE,FALSE))</f>
        <v>1</v>
      </c>
      <c r="AR915" s="158"/>
      <c r="AS915" s="158" t="b">
        <f>IF(AR915="",TRUE,IF(VLOOKUP(AR915,Calculs!$A$427:$G$738,7,FALSE)&gt;0,TRUE,FALSE))</f>
        <v>1</v>
      </c>
      <c r="AT915" s="158"/>
      <c r="AU915" s="158" t="b">
        <f>IF(AT915="",TRUE,IF(VLOOKUP(AT915,Calculs!$A$740:$G$912,7,FALSE)&gt;0,TRUE,FALSE))</f>
        <v>1</v>
      </c>
      <c r="AV915" s="158" t="b">
        <f t="shared" si="101"/>
        <v>1</v>
      </c>
      <c r="AW915" s="158" t="s">
        <v>2078</v>
      </c>
      <c r="AX915" s="162" t="s">
        <v>2075</v>
      </c>
      <c r="AY915" s="15">
        <v>206</v>
      </c>
      <c r="AZ915" s="555" t="str">
        <f>CONCATENATE("Chaque fois que vous dépensez un Pvide pour ajouter +1g1 +",Honneur," au total de ce jet d'attaque.")</f>
        <v>Chaque fois que vous dépensez un Pvide pour ajouter +1g1 +0 au total de ce jet d'attaque.</v>
      </c>
      <c r="BA915" s="559">
        <f>IF(Verso!$B$10=Voies!$B915,1,0)</f>
        <v>0</v>
      </c>
      <c r="BB915" s="12">
        <f>IF(Verso!$B$11=Voies!$B915,1,0)</f>
        <v>0</v>
      </c>
      <c r="BC915" s="12">
        <f>IF(Verso!$B$12=Voies!$B915,1,0)</f>
        <v>0</v>
      </c>
      <c r="BD915" s="12">
        <f>IF(Verso!$B$13=Voies!$B915,1,0)</f>
        <v>0</v>
      </c>
      <c r="BE915" s="12">
        <f>IF(Verso!$B$14=Voies!$B915,1,0)</f>
        <v>0</v>
      </c>
      <c r="BF915" s="12">
        <f>IF(Verso!$B$15=Voies!$B915,1,0)</f>
        <v>0</v>
      </c>
      <c r="BG915" s="12">
        <f>IF(Verso!$B$16=Voies!$B915,1,0)</f>
        <v>0</v>
      </c>
      <c r="BH915" s="12">
        <f>IF(Verso!$B$17=Voies!$B915,1,0)</f>
        <v>0</v>
      </c>
      <c r="BI915" s="557">
        <f t="shared" si="102"/>
        <v>0</v>
      </c>
      <c r="BJ915" s="196" t="str">
        <f t="shared" si="103"/>
        <v/>
      </c>
      <c r="BK915" s="196" t="str">
        <f t="shared" si="104"/>
        <v/>
      </c>
      <c r="BL915" s="295" t="str">
        <f t="shared" si="105"/>
        <v/>
      </c>
    </row>
    <row r="916" spans="1:65" ht="47.25" customHeight="1" x14ac:dyDescent="0.25">
      <c r="A916" s="162" t="str">
        <f>IF(AND(Réputation&gt;Voies!E916-1,OR(C916=TRUE,Calculs!$I$8&gt;0),Air&gt;Voies!J916-1,Eau&gt;Voies!K916-1,Feu&gt;Voies!L916-1,Terre&gt;Voies!M916-1,Vide&gt;Voies!N916-1,Constitution&gt;Voies!O916-1,Volonté&gt;Voies!P916-1,Force&gt;Voies!Q916-1,Perception&gt;Voies!R916-1,Reflexes&gt;Voies!S916-1,Agilité&gt;Voies!T916-1,Intuition&gt;Voies!U916-1,Intelligence&gt;Voies!V916-1,Souillure&gt;Voies!W916-1,Honneur&gt;X916-1,Statut&gt;Y916-1,Gloire&gt;Z916-1,AV916=TRUE),Voies!B916,"")</f>
        <v/>
      </c>
      <c r="B916" s="162" t="s">
        <v>2418</v>
      </c>
      <c r="C916" s="162" t="b">
        <v>1</v>
      </c>
      <c r="D916" s="388" t="s">
        <v>61</v>
      </c>
      <c r="E916" s="199">
        <v>5</v>
      </c>
      <c r="F916" s="199">
        <v>5</v>
      </c>
      <c r="G916" s="199" t="s">
        <v>2049</v>
      </c>
      <c r="H916" s="162" t="s">
        <v>291</v>
      </c>
      <c r="I916" s="129" t="str">
        <f>IF(B916="","","Rien")</f>
        <v>Rien</v>
      </c>
      <c r="J916" s="146">
        <v>0</v>
      </c>
      <c r="K916" s="147">
        <v>0</v>
      </c>
      <c r="L916" s="148">
        <v>0</v>
      </c>
      <c r="M916" s="149">
        <v>0</v>
      </c>
      <c r="N916" s="150">
        <v>0</v>
      </c>
      <c r="O916" s="130">
        <v>0</v>
      </c>
      <c r="P916" s="130">
        <v>0</v>
      </c>
      <c r="Q916" s="130">
        <v>0</v>
      </c>
      <c r="R916" s="130">
        <v>0</v>
      </c>
      <c r="S916" s="130">
        <v>0</v>
      </c>
      <c r="T916" s="130">
        <v>0</v>
      </c>
      <c r="U916" s="130">
        <v>0</v>
      </c>
      <c r="V916" s="524">
        <v>0</v>
      </c>
      <c r="W916" s="130">
        <v>0</v>
      </c>
      <c r="X916" s="130">
        <v>0</v>
      </c>
      <c r="Y916" s="130">
        <v>0</v>
      </c>
      <c r="Z916" s="130">
        <v>0</v>
      </c>
      <c r="AA916" s="158" t="s">
        <v>2078</v>
      </c>
      <c r="AB916" s="158"/>
      <c r="AC916" s="158"/>
      <c r="AD916" s="158"/>
      <c r="AE916" s="158" t="b">
        <f>IF(AB916="",TRUE,IF(IF(AC916="",VLOOKUP(AB916,Calculs!$A$19:$S$425,19,FALSE),VLOOKUP(AC916,Calculs!$A$19:$S$425,19,FALSE))&gt;=AD916,TRUE,FALSE))</f>
        <v>1</v>
      </c>
      <c r="AF916" s="158"/>
      <c r="AG916" s="158"/>
      <c r="AH916" s="158"/>
      <c r="AI916" s="158" t="b">
        <f>IF(AF916="",TRUE,IF(IF(AG916="",VLOOKUP(AF916,Calculs!$A$19:$S$425,19,FALSE),VLOOKUP(AG916,Calculs!$A$19:$S$425,19,FALSE))&gt;=AH916,TRUE,FALSE))</f>
        <v>1</v>
      </c>
      <c r="AJ916" s="158"/>
      <c r="AK916" s="158"/>
      <c r="AL916" s="158"/>
      <c r="AM916" s="158" t="b">
        <f>IF(AJ916="",TRUE,IF(IF(AK916="",VLOOKUP(AJ916,Calculs!$A$19:$S$425,19,FALSE),VLOOKUP(AK916,Calculs!$A$19:$S$425,19,FALSE))&gt;=AL916,TRUE,FALSE))</f>
        <v>1</v>
      </c>
      <c r="AN916" s="158"/>
      <c r="AO916" s="158"/>
      <c r="AP916" s="158"/>
      <c r="AQ916" s="158" t="b">
        <f>IF(AN916="",TRUE,IF(IF(AO916="",VLOOKUP(AN916,Calculs!$A$19:$S$425,19,FALSE),VLOOKUP(AO916,Calculs!$A$19:$S$425,19,FALSE))&gt;=AP916,TRUE,FALSE))</f>
        <v>1</v>
      </c>
      <c r="AR916" s="158"/>
      <c r="AS916" s="158" t="b">
        <f>IF(AR916="",TRUE,IF(VLOOKUP(AR916,Calculs!$A$427:$G$738,7,FALSE)&gt;0,TRUE,FALSE))</f>
        <v>1</v>
      </c>
      <c r="AT916" s="158"/>
      <c r="AU916" s="158" t="b">
        <f>IF(AT916="",TRUE,IF(VLOOKUP(AT916,Calculs!$A$740:$G$912,7,FALSE)&gt;0,TRUE,FALSE))</f>
        <v>1</v>
      </c>
      <c r="AV916" s="158" t="b">
        <f t="shared" si="101"/>
        <v>1</v>
      </c>
      <c r="AW916" s="158" t="s">
        <v>2078</v>
      </c>
      <c r="AX916" s="162" t="s">
        <v>3</v>
      </c>
      <c r="AY916" s="15">
        <v>235</v>
      </c>
      <c r="AZ916" s="555" t="s">
        <v>8731</v>
      </c>
      <c r="BA916" s="559">
        <f>IF(Verso!$B$10=Voies!$B916,1,0)</f>
        <v>0</v>
      </c>
      <c r="BB916" s="12">
        <f>IF(Verso!$B$11=Voies!$B916,1,0)</f>
        <v>0</v>
      </c>
      <c r="BC916" s="12">
        <f>IF(Verso!$B$12=Voies!$B916,1,0)</f>
        <v>0</v>
      </c>
      <c r="BD916" s="12">
        <f>IF(Verso!$B$13=Voies!$B916,1,0)</f>
        <v>0</v>
      </c>
      <c r="BE916" s="12">
        <f>IF(Verso!$B$14=Voies!$B916,1,0)</f>
        <v>0</v>
      </c>
      <c r="BF916" s="12">
        <f>IF(Verso!$B$15=Voies!$B916,1,0)</f>
        <v>0</v>
      </c>
      <c r="BG916" s="12">
        <f>IF(Verso!$B$16=Voies!$B916,1,0)</f>
        <v>0</v>
      </c>
      <c r="BH916" s="12">
        <f>IF(Verso!$B$17=Voies!$B916,1,0)</f>
        <v>0</v>
      </c>
      <c r="BI916" s="557">
        <f t="shared" si="102"/>
        <v>0</v>
      </c>
      <c r="BJ916" s="196" t="str">
        <f t="shared" si="103"/>
        <v/>
      </c>
      <c r="BK916" s="196" t="str">
        <f t="shared" si="104"/>
        <v/>
      </c>
      <c r="BL916" s="295" t="str">
        <f t="shared" si="105"/>
        <v/>
      </c>
    </row>
    <row r="917" spans="1:65" ht="47.25" customHeight="1" x14ac:dyDescent="0.25">
      <c r="A917" s="162" t="str">
        <f>IF(AND(Réputation&gt;Voies!E917-1,OR(C917=TRUE,Calculs!$I$8&gt;0),Air&gt;Voies!J917-1,Eau&gt;Voies!K917-1,Feu&gt;Voies!L917-1,Terre&gt;Voies!M917-1,Vide&gt;Voies!N917-1,Constitution&gt;Voies!O917-1,Volonté&gt;Voies!P917-1,Force&gt;Voies!Q917-1,Perception&gt;Voies!R917-1,Reflexes&gt;Voies!S917-1,Agilité&gt;Voies!T917-1,Intuition&gt;Voies!U917-1,Intelligence&gt;Voies!V917-1,Souillure&gt;Voies!W917-1,Honneur&gt;X917-1,Statut&gt;Y917-1,Gloire&gt;Z917-1,AV917=TRUE),Voies!B917,"")</f>
        <v/>
      </c>
      <c r="B917" s="162" t="s">
        <v>3594</v>
      </c>
      <c r="C917" s="162" t="b">
        <v>1</v>
      </c>
      <c r="D917" s="388" t="s">
        <v>61</v>
      </c>
      <c r="E917" s="199">
        <v>5</v>
      </c>
      <c r="F917" s="199">
        <v>5</v>
      </c>
      <c r="G917" s="199" t="s">
        <v>2060</v>
      </c>
      <c r="H917" s="162" t="s">
        <v>461</v>
      </c>
      <c r="I917" s="129" t="s">
        <v>3557</v>
      </c>
      <c r="J917" s="146">
        <v>0</v>
      </c>
      <c r="K917" s="147">
        <v>0</v>
      </c>
      <c r="L917" s="148">
        <v>0</v>
      </c>
      <c r="M917" s="149">
        <v>0</v>
      </c>
      <c r="N917" s="150">
        <v>0</v>
      </c>
      <c r="O917" s="130">
        <v>0</v>
      </c>
      <c r="P917" s="130">
        <v>0</v>
      </c>
      <c r="Q917" s="130">
        <v>0</v>
      </c>
      <c r="R917" s="130">
        <v>0</v>
      </c>
      <c r="S917" s="130">
        <v>0</v>
      </c>
      <c r="T917" s="130">
        <v>0</v>
      </c>
      <c r="U917" s="130">
        <v>0</v>
      </c>
      <c r="V917" s="524">
        <v>0</v>
      </c>
      <c r="W917" s="130">
        <v>0</v>
      </c>
      <c r="X917" s="130">
        <v>0</v>
      </c>
      <c r="Y917" s="130">
        <v>0</v>
      </c>
      <c r="Z917" s="130">
        <v>0</v>
      </c>
      <c r="AA917" s="159" t="s">
        <v>3595</v>
      </c>
      <c r="AB917" s="159" t="s">
        <v>1267</v>
      </c>
      <c r="AD917" s="159">
        <v>4</v>
      </c>
      <c r="AE917" s="158" t="b">
        <f>IF(AB917="",TRUE,IF(IF(AC917="",VLOOKUP(AB917,Calculs!$A$19:$S$425,19,FALSE),VLOOKUP(AC917,Calculs!$A$19:$S$425,19,FALSE))&gt;=AD917,TRUE,FALSE))</f>
        <v>0</v>
      </c>
      <c r="AF917" s="159" t="s">
        <v>1282</v>
      </c>
      <c r="AH917" s="159">
        <v>4</v>
      </c>
      <c r="AI917" s="158" t="b">
        <f>IF(AF917="",TRUE,IF(IF(AG917="",VLOOKUP(AF917,Calculs!$A$19:$S$425,19,FALSE),VLOOKUP(AG917,Calculs!$A$19:$S$425,19,FALSE))&gt;=AH917,TRUE,FALSE))</f>
        <v>0</v>
      </c>
      <c r="AJ917" s="159" t="s">
        <v>1230</v>
      </c>
      <c r="AL917" s="159">
        <v>4</v>
      </c>
      <c r="AM917" s="158" t="b">
        <f>IF(AJ917="",TRUE,IF(IF(AK917="",VLOOKUP(AJ917,Calculs!$A$19:$S$425,19,FALSE),VLOOKUP(AK917,Calculs!$A$19:$S$425,19,FALSE))&gt;=AL917,TRUE,FALSE))</f>
        <v>0</v>
      </c>
      <c r="AQ917" s="158" t="b">
        <f>IF(AN917="",TRUE,IF(IF(AO917="",VLOOKUP(AN917,Calculs!$A$19:$S$425,19,FALSE),VLOOKUP(AO917,Calculs!$A$19:$S$425,19,FALSE))&gt;=AP917,TRUE,FALSE))</f>
        <v>1</v>
      </c>
      <c r="AR917" s="158"/>
      <c r="AS917" s="158" t="b">
        <f>IF(AR917="",TRUE,IF(VLOOKUP(AR917,Calculs!$A$427:$G$738,7,FALSE)&gt;0,TRUE,FALSE))</f>
        <v>1</v>
      </c>
      <c r="AT917" s="158"/>
      <c r="AU917" s="158" t="b">
        <f>IF(AT917="",TRUE,IF(VLOOKUP(AT917,Calculs!$A$740:$G$912,7,FALSE)&gt;0,TRUE,FALSE))</f>
        <v>1</v>
      </c>
      <c r="AV917" s="158" t="b">
        <f t="shared" si="101"/>
        <v>0</v>
      </c>
      <c r="AW917" s="158" t="s">
        <v>2078</v>
      </c>
      <c r="AX917" s="162" t="s">
        <v>2075</v>
      </c>
      <c r="AY917" s="15">
        <v>206</v>
      </c>
      <c r="AZ917" s="555" t="s">
        <v>8732</v>
      </c>
      <c r="BA917" s="559">
        <f>IF(Verso!$B$10=Voies!$B917,1,0)</f>
        <v>0</v>
      </c>
      <c r="BB917" s="12">
        <f>IF(Verso!$B$11=Voies!$B917,1,0)</f>
        <v>0</v>
      </c>
      <c r="BC917" s="12">
        <f>IF(Verso!$B$12=Voies!$B917,1,0)</f>
        <v>0</v>
      </c>
      <c r="BD917" s="12">
        <f>IF(Verso!$B$13=Voies!$B917,1,0)</f>
        <v>0</v>
      </c>
      <c r="BE917" s="12">
        <f>IF(Verso!$B$14=Voies!$B917,1,0)</f>
        <v>0</v>
      </c>
      <c r="BF917" s="12">
        <f>IF(Verso!$B$15=Voies!$B917,1,0)</f>
        <v>0</v>
      </c>
      <c r="BG917" s="12">
        <f>IF(Verso!$B$16=Voies!$B917,1,0)</f>
        <v>0</v>
      </c>
      <c r="BH917" s="12">
        <f>IF(Verso!$B$17=Voies!$B917,1,0)</f>
        <v>0</v>
      </c>
      <c r="BI917" s="557">
        <f t="shared" si="102"/>
        <v>0</v>
      </c>
      <c r="BJ917" s="196" t="str">
        <f t="shared" si="103"/>
        <v/>
      </c>
      <c r="BK917" s="196" t="str">
        <f t="shared" si="104"/>
        <v/>
      </c>
      <c r="BL917" s="295" t="str">
        <f t="shared" si="105"/>
        <v/>
      </c>
    </row>
    <row r="918" spans="1:65" s="196" customFormat="1" ht="47.25" customHeight="1" x14ac:dyDescent="0.25">
      <c r="A918" s="162" t="str">
        <f>IF(AND(Réputation&gt;Voies!E918-1,OR(C918=TRUE,Calculs!$I$8&gt;0),Air&gt;Voies!J918-1,Eau&gt;Voies!K918-1,Feu&gt;Voies!L918-1,Terre&gt;Voies!M918-1,Vide&gt;Voies!N918-1,Constitution&gt;Voies!O918-1,Volonté&gt;Voies!P918-1,Force&gt;Voies!Q918-1,Perception&gt;Voies!R918-1,Reflexes&gt;Voies!S918-1,Agilité&gt;Voies!T918-1,Intuition&gt;Voies!U918-1,Intelligence&gt;Voies!V918-1,Souillure&gt;Voies!W918-1,Honneur&gt;X918-1,Statut&gt;Y918-1,Gloire&gt;Z918-1,AV918=TRUE),Voies!B918,"")</f>
        <v/>
      </c>
      <c r="B918" s="162" t="s">
        <v>7328</v>
      </c>
      <c r="C918" s="162" t="b">
        <f>IF(Clan=Voies!D918,TRUE,FALSE)</f>
        <v>0</v>
      </c>
      <c r="D918" s="388" t="s">
        <v>7299</v>
      </c>
      <c r="E918" s="199">
        <v>1</v>
      </c>
      <c r="F918" s="199">
        <v>1</v>
      </c>
      <c r="G918" s="157" t="s">
        <v>2049</v>
      </c>
      <c r="H918" s="162" t="s">
        <v>7316</v>
      </c>
      <c r="I918" s="129" t="str">
        <f t="shared" ref="I918:I941" si="106">IF(B918="","","Rien")</f>
        <v>Rien</v>
      </c>
      <c r="J918" s="146">
        <v>0</v>
      </c>
      <c r="K918" s="147">
        <v>0</v>
      </c>
      <c r="L918" s="148">
        <v>0</v>
      </c>
      <c r="M918" s="149">
        <v>0</v>
      </c>
      <c r="N918" s="150">
        <v>0</v>
      </c>
      <c r="O918" s="130">
        <v>0</v>
      </c>
      <c r="P918" s="130">
        <v>0</v>
      </c>
      <c r="Q918" s="130">
        <v>0</v>
      </c>
      <c r="R918" s="130">
        <v>0</v>
      </c>
      <c r="S918" s="130">
        <v>0</v>
      </c>
      <c r="T918" s="130">
        <v>0</v>
      </c>
      <c r="U918" s="130">
        <v>0</v>
      </c>
      <c r="V918" s="524">
        <v>0</v>
      </c>
      <c r="W918" s="130">
        <v>0</v>
      </c>
      <c r="X918" s="130">
        <v>0</v>
      </c>
      <c r="Y918" s="130">
        <v>0</v>
      </c>
      <c r="Z918" s="130">
        <v>0</v>
      </c>
      <c r="AA918" s="158" t="s">
        <v>2078</v>
      </c>
      <c r="AB918" s="158"/>
      <c r="AC918" s="158"/>
      <c r="AD918" s="158"/>
      <c r="AE918" s="158" t="b">
        <f>IF(AB918="",TRUE,IF(IF(AC918="",VLOOKUP(AB918,Calculs!$A$19:$S$425,19,FALSE),VLOOKUP(AC918,Calculs!$A$19:$S$425,19,FALSE))&gt;=AD918,TRUE,FALSE))</f>
        <v>1</v>
      </c>
      <c r="AF918" s="158"/>
      <c r="AG918" s="158"/>
      <c r="AH918" s="158"/>
      <c r="AI918" s="158" t="b">
        <f>IF(AF918="",TRUE,IF(IF(AG918="",VLOOKUP(AF918,Calculs!$A$19:$S$425,19,FALSE),VLOOKUP(AG918,Calculs!$A$19:$S$425,19,FALSE))&gt;=AH918,TRUE,FALSE))</f>
        <v>1</v>
      </c>
      <c r="AJ918" s="158"/>
      <c r="AK918" s="158"/>
      <c r="AL918" s="158"/>
      <c r="AM918" s="158" t="b">
        <f>IF(AJ918="",TRUE,IF(IF(AK918="",VLOOKUP(AJ918,Calculs!$A$19:$S$425,19,FALSE),VLOOKUP(AK918,Calculs!$A$19:$S$425,19,FALSE))&gt;=AL918,TRUE,FALSE))</f>
        <v>1</v>
      </c>
      <c r="AN918" s="158"/>
      <c r="AO918" s="158"/>
      <c r="AP918" s="158"/>
      <c r="AQ918" s="158" t="b">
        <f>IF(AN918="",TRUE,IF(IF(AO918="",VLOOKUP(AN918,Calculs!$A$19:$S$425,19,FALSE),VLOOKUP(AO918,Calculs!$A$19:$S$425,19,FALSE))&gt;=AP918,TRUE,FALSE))</f>
        <v>1</v>
      </c>
      <c r="AR918" s="158"/>
      <c r="AS918" s="158" t="b">
        <f>IF(AR918="",TRUE,IF(VLOOKUP(AR918,Calculs!$A$427:$G$738,7,FALSE)&gt;0,TRUE,FALSE))</f>
        <v>1</v>
      </c>
      <c r="AT918" s="158"/>
      <c r="AU918" s="158" t="b">
        <f>IF(AT918="",TRUE,IF(VLOOKUP(AT918,Calculs!$A$740:$G$912,7,FALSE)&gt;0,TRUE,FALSE))</f>
        <v>1</v>
      </c>
      <c r="AV918" s="158" t="b">
        <f t="shared" si="101"/>
        <v>1</v>
      </c>
      <c r="AW918" s="158" t="s">
        <v>2078</v>
      </c>
      <c r="AX918" s="162" t="s">
        <v>6816</v>
      </c>
      <c r="AY918" s="15">
        <v>74</v>
      </c>
      <c r="AZ918" s="555" t="str">
        <f>CONCATENATE("+",Honneur," aux jets de Défense et d'attaque. Vous ne souffrez d'aucune pénalité à votre ND d'armure quand vous tentez une manœuvre de Garde.")</f>
        <v>+0 aux jets de Défense et d'attaque. Vous ne souffrez d'aucune pénalité à votre ND d'armure quand vous tentez une manœuvre de Garde.</v>
      </c>
      <c r="BA918" s="559">
        <f>IF(Verso!$B$10=Voies!$B918,1,0)</f>
        <v>0</v>
      </c>
      <c r="BB918" s="12">
        <f>IF(Verso!$B$11=Voies!$B918,1,0)</f>
        <v>0</v>
      </c>
      <c r="BC918" s="12">
        <f>IF(Verso!$B$12=Voies!$B918,1,0)</f>
        <v>0</v>
      </c>
      <c r="BD918" s="12">
        <f>IF(Verso!$B$13=Voies!$B918,1,0)</f>
        <v>0</v>
      </c>
      <c r="BE918" s="12">
        <f>IF(Verso!$B$14=Voies!$B918,1,0)</f>
        <v>0</v>
      </c>
      <c r="BF918" s="12">
        <f>IF(Verso!$B$15=Voies!$B918,1,0)</f>
        <v>0</v>
      </c>
      <c r="BG918" s="12">
        <f>IF(Verso!$B$16=Voies!$B918,1,0)</f>
        <v>0</v>
      </c>
      <c r="BH918" s="12">
        <f>IF(Verso!$B$17=Voies!$B918,1,0)</f>
        <v>0</v>
      </c>
      <c r="BI918" s="557">
        <f t="shared" si="102"/>
        <v>0</v>
      </c>
      <c r="BJ918" s="196" t="str">
        <f t="shared" si="103"/>
        <v/>
      </c>
      <c r="BK918" s="196" t="str">
        <f t="shared" si="104"/>
        <v/>
      </c>
      <c r="BL918" s="295" t="str">
        <f t="shared" si="105"/>
        <v/>
      </c>
      <c r="BM918" s="91"/>
    </row>
    <row r="919" spans="1:65" s="196" customFormat="1" ht="47.25" customHeight="1" x14ac:dyDescent="0.25">
      <c r="A919" s="162" t="str">
        <f>IF(AND(Réputation&gt;Voies!E919-1,OR(C919=TRUE,Calculs!$I$8&gt;0),Air&gt;Voies!J919-1,Eau&gt;Voies!K919-1,Feu&gt;Voies!L919-1,Terre&gt;Voies!M919-1,Vide&gt;Voies!N919-1,Constitution&gt;Voies!O919-1,Volonté&gt;Voies!P919-1,Force&gt;Voies!Q919-1,Perception&gt;Voies!R919-1,Reflexes&gt;Voies!S919-1,Agilité&gt;Voies!T919-1,Intuition&gt;Voies!U919-1,Intelligence&gt;Voies!V919-1,Souillure&gt;Voies!W919-1,Honneur&gt;X919-1,Statut&gt;Y919-1,Gloire&gt;Z919-1,AV919=TRUE),Voies!B919,"")</f>
        <v/>
      </c>
      <c r="B919" s="162" t="s">
        <v>7333</v>
      </c>
      <c r="C919" s="162" t="b">
        <f>IF(Clan=Voies!D919,TRUE,FALSE)</f>
        <v>0</v>
      </c>
      <c r="D919" s="388" t="s">
        <v>7299</v>
      </c>
      <c r="E919" s="199">
        <v>1</v>
      </c>
      <c r="F919" s="199">
        <v>1</v>
      </c>
      <c r="G919" s="157" t="s">
        <v>2048</v>
      </c>
      <c r="H919" s="162" t="s">
        <v>7317</v>
      </c>
      <c r="I919" s="129" t="str">
        <f t="shared" si="106"/>
        <v>Rien</v>
      </c>
      <c r="J919" s="146">
        <v>0</v>
      </c>
      <c r="K919" s="147">
        <v>0</v>
      </c>
      <c r="L919" s="148">
        <v>0</v>
      </c>
      <c r="M919" s="149">
        <v>0</v>
      </c>
      <c r="N919" s="150">
        <v>0</v>
      </c>
      <c r="O919" s="130">
        <v>0</v>
      </c>
      <c r="P919" s="130">
        <v>0</v>
      </c>
      <c r="Q919" s="130">
        <v>0</v>
      </c>
      <c r="R919" s="130">
        <v>0</v>
      </c>
      <c r="S919" s="130">
        <v>0</v>
      </c>
      <c r="T919" s="130">
        <v>0</v>
      </c>
      <c r="U919" s="130">
        <v>0</v>
      </c>
      <c r="V919" s="524">
        <v>0</v>
      </c>
      <c r="W919" s="130">
        <v>0</v>
      </c>
      <c r="X919" s="130">
        <v>0</v>
      </c>
      <c r="Y919" s="130">
        <v>0</v>
      </c>
      <c r="Z919" s="130">
        <v>0</v>
      </c>
      <c r="AA919" s="158" t="s">
        <v>2078</v>
      </c>
      <c r="AB919" s="158"/>
      <c r="AC919" s="158"/>
      <c r="AD919" s="158"/>
      <c r="AE919" s="158" t="b">
        <f>IF(AB919="",TRUE,IF(IF(AC919="",VLOOKUP(AB919,Calculs!$A$19:$S$425,19,FALSE),VLOOKUP(AC919,Calculs!$A$19:$S$425,19,FALSE))&gt;=AD919,TRUE,FALSE))</f>
        <v>1</v>
      </c>
      <c r="AF919" s="158"/>
      <c r="AG919" s="158"/>
      <c r="AH919" s="158"/>
      <c r="AI919" s="158" t="b">
        <f>IF(AF919="",TRUE,IF(IF(AG919="",VLOOKUP(AF919,Calculs!$A$19:$S$425,19,FALSE),VLOOKUP(AG919,Calculs!$A$19:$S$425,19,FALSE))&gt;=AH919,TRUE,FALSE))</f>
        <v>1</v>
      </c>
      <c r="AJ919" s="158"/>
      <c r="AK919" s="158"/>
      <c r="AL919" s="158"/>
      <c r="AM919" s="158" t="b">
        <f>IF(AJ919="",TRUE,IF(IF(AK919="",VLOOKUP(AJ919,Calculs!$A$19:$S$425,19,FALSE),VLOOKUP(AK919,Calculs!$A$19:$S$425,19,FALSE))&gt;=AL919,TRUE,FALSE))</f>
        <v>1</v>
      </c>
      <c r="AN919" s="158"/>
      <c r="AO919" s="158"/>
      <c r="AP919" s="158"/>
      <c r="AQ919" s="158" t="b">
        <f>IF(AN919="",TRUE,IF(IF(AO919="",VLOOKUP(AN919,Calculs!$A$19:$S$425,19,FALSE),VLOOKUP(AO919,Calculs!$A$19:$S$425,19,FALSE))&gt;=AP919,TRUE,FALSE))</f>
        <v>1</v>
      </c>
      <c r="AR919" s="158"/>
      <c r="AS919" s="158" t="b">
        <f>IF(AR919="",TRUE,IF(VLOOKUP(AR919,Calculs!$A$427:$G$738,7,FALSE)&gt;0,TRUE,FALSE))</f>
        <v>1</v>
      </c>
      <c r="AT919" s="158"/>
      <c r="AU919" s="158" t="b">
        <f>IF(AT919="",TRUE,IF(VLOOKUP(AT919,Calculs!$A$740:$G$912,7,FALSE)&gt;0,TRUE,FALSE))</f>
        <v>1</v>
      </c>
      <c r="AV919" s="158" t="b">
        <f t="shared" si="101"/>
        <v>1</v>
      </c>
      <c r="AW919" s="158" t="s">
        <v>2078</v>
      </c>
      <c r="AX919" s="162" t="s">
        <v>6816</v>
      </c>
      <c r="AY919" s="15">
        <v>75</v>
      </c>
      <c r="AZ919" s="555" t="s">
        <v>8733</v>
      </c>
      <c r="BA919" s="559">
        <f>IF(Verso!$B$10=Voies!$B919,1,0)</f>
        <v>0</v>
      </c>
      <c r="BB919" s="12">
        <f>IF(Verso!$B$11=Voies!$B919,1,0)</f>
        <v>0</v>
      </c>
      <c r="BC919" s="12">
        <f>IF(Verso!$B$12=Voies!$B919,1,0)</f>
        <v>0</v>
      </c>
      <c r="BD919" s="12">
        <f>IF(Verso!$B$13=Voies!$B919,1,0)</f>
        <v>0</v>
      </c>
      <c r="BE919" s="12">
        <f>IF(Verso!$B$14=Voies!$B919,1,0)</f>
        <v>0</v>
      </c>
      <c r="BF919" s="12">
        <f>IF(Verso!$B$15=Voies!$B919,1,0)</f>
        <v>0</v>
      </c>
      <c r="BG919" s="12">
        <f>IF(Verso!$B$16=Voies!$B919,1,0)</f>
        <v>0</v>
      </c>
      <c r="BH919" s="12">
        <f>IF(Verso!$B$17=Voies!$B919,1,0)</f>
        <v>0</v>
      </c>
      <c r="BI919" s="557">
        <f t="shared" si="102"/>
        <v>0</v>
      </c>
      <c r="BJ919" s="196" t="str">
        <f t="shared" si="103"/>
        <v/>
      </c>
      <c r="BK919" s="196" t="str">
        <f t="shared" si="104"/>
        <v/>
      </c>
      <c r="BL919" s="295" t="str">
        <f t="shared" si="105"/>
        <v/>
      </c>
      <c r="BM919" s="91"/>
    </row>
    <row r="920" spans="1:65" s="196" customFormat="1" ht="47.25" customHeight="1" x14ac:dyDescent="0.25">
      <c r="A920" s="162" t="str">
        <f>IF(AND(Réputation&gt;Voies!E920-1,OR(C920=TRUE,Calculs!$I$8&gt;0),Air&gt;Voies!J920-1,Eau&gt;Voies!K920-1,Feu&gt;Voies!L920-1,Terre&gt;Voies!M920-1,Vide&gt;Voies!N920-1,Constitution&gt;Voies!O920-1,Volonté&gt;Voies!P920-1,Force&gt;Voies!Q920-1,Perception&gt;Voies!R920-1,Reflexes&gt;Voies!S920-1,Agilité&gt;Voies!T920-1,Intuition&gt;Voies!U920-1,Intelligence&gt;Voies!V920-1,Souillure&gt;Voies!W920-1,Honneur&gt;X920-1,Statut&gt;Y920-1,Gloire&gt;Z920-1,AV920=TRUE),Voies!B920,"")</f>
        <v/>
      </c>
      <c r="B920" s="162" t="s">
        <v>7329</v>
      </c>
      <c r="C920" s="162" t="b">
        <f>IF(Clan=Voies!D920,TRUE,FALSE)</f>
        <v>0</v>
      </c>
      <c r="D920" s="388" t="s">
        <v>7299</v>
      </c>
      <c r="E920" s="199">
        <v>2</v>
      </c>
      <c r="F920" s="199">
        <v>2</v>
      </c>
      <c r="G920" s="157" t="s">
        <v>2049</v>
      </c>
      <c r="H920" s="162" t="s">
        <v>7316</v>
      </c>
      <c r="I920" s="129" t="str">
        <f t="shared" si="106"/>
        <v>Rien</v>
      </c>
      <c r="J920" s="146">
        <v>0</v>
      </c>
      <c r="K920" s="147">
        <v>0</v>
      </c>
      <c r="L920" s="148">
        <v>0</v>
      </c>
      <c r="M920" s="149">
        <v>0</v>
      </c>
      <c r="N920" s="150">
        <v>0</v>
      </c>
      <c r="O920" s="130">
        <v>0</v>
      </c>
      <c r="P920" s="130">
        <v>0</v>
      </c>
      <c r="Q920" s="130">
        <v>0</v>
      </c>
      <c r="R920" s="130">
        <v>0</v>
      </c>
      <c r="S920" s="130">
        <v>0</v>
      </c>
      <c r="T920" s="130">
        <v>0</v>
      </c>
      <c r="U920" s="130">
        <v>0</v>
      </c>
      <c r="V920" s="524">
        <v>0</v>
      </c>
      <c r="W920" s="130">
        <v>0</v>
      </c>
      <c r="X920" s="130">
        <v>0</v>
      </c>
      <c r="Y920" s="130">
        <v>0</v>
      </c>
      <c r="Z920" s="130">
        <v>0</v>
      </c>
      <c r="AA920" s="158" t="s">
        <v>2078</v>
      </c>
      <c r="AB920" s="158"/>
      <c r="AC920" s="158"/>
      <c r="AD920" s="158"/>
      <c r="AE920" s="158" t="b">
        <f>IF(AB920="",TRUE,IF(IF(AC920="",VLOOKUP(AB920,Calculs!$A$19:$S$425,19,FALSE),VLOOKUP(AC920,Calculs!$A$19:$S$425,19,FALSE))&gt;=AD920,TRUE,FALSE))</f>
        <v>1</v>
      </c>
      <c r="AF920" s="158"/>
      <c r="AG920" s="158"/>
      <c r="AH920" s="158"/>
      <c r="AI920" s="158" t="b">
        <f>IF(AF920="",TRUE,IF(IF(AG920="",VLOOKUP(AF920,Calculs!$A$19:$S$425,19,FALSE),VLOOKUP(AG920,Calculs!$A$19:$S$425,19,FALSE))&gt;=AH920,TRUE,FALSE))</f>
        <v>1</v>
      </c>
      <c r="AJ920" s="158"/>
      <c r="AK920" s="158"/>
      <c r="AL920" s="158"/>
      <c r="AM920" s="158" t="b">
        <f>IF(AJ920="",TRUE,IF(IF(AK920="",VLOOKUP(AJ920,Calculs!$A$19:$S$425,19,FALSE),VLOOKUP(AK920,Calculs!$A$19:$S$425,19,FALSE))&gt;=AL920,TRUE,FALSE))</f>
        <v>1</v>
      </c>
      <c r="AN920" s="158"/>
      <c r="AO920" s="158"/>
      <c r="AP920" s="158"/>
      <c r="AQ920" s="158" t="b">
        <f>IF(AN920="",TRUE,IF(IF(AO920="",VLOOKUP(AN920,Calculs!$A$19:$S$425,19,FALSE),VLOOKUP(AO920,Calculs!$A$19:$S$425,19,FALSE))&gt;=AP920,TRUE,FALSE))</f>
        <v>1</v>
      </c>
      <c r="AR920" s="158"/>
      <c r="AS920" s="158" t="b">
        <f>IF(AR920="",TRUE,IF(VLOOKUP(AR920,Calculs!$A$427:$G$738,7,FALSE)&gt;0,TRUE,FALSE))</f>
        <v>1</v>
      </c>
      <c r="AT920" s="158"/>
      <c r="AU920" s="158" t="b">
        <f>IF(AT920="",TRUE,IF(VLOOKUP(AT920,Calculs!$A$740:$G$912,7,FALSE)&gt;0,TRUE,FALSE))</f>
        <v>1</v>
      </c>
      <c r="AV920" s="158" t="b">
        <f t="shared" si="101"/>
        <v>1</v>
      </c>
      <c r="AW920" s="158" t="s">
        <v>2078</v>
      </c>
      <c r="AX920" s="162" t="s">
        <v>6816</v>
      </c>
      <c r="AY920" s="15">
        <v>74</v>
      </c>
      <c r="AZ920" s="555" t="s">
        <v>8734</v>
      </c>
      <c r="BA920" s="559">
        <f>IF(Verso!$B$10=Voies!$B920,1,0)</f>
        <v>0</v>
      </c>
      <c r="BB920" s="12">
        <f>IF(Verso!$B$11=Voies!$B920,1,0)</f>
        <v>0</v>
      </c>
      <c r="BC920" s="12">
        <f>IF(Verso!$B$12=Voies!$B920,1,0)</f>
        <v>0</v>
      </c>
      <c r="BD920" s="12">
        <f>IF(Verso!$B$13=Voies!$B920,1,0)</f>
        <v>0</v>
      </c>
      <c r="BE920" s="12">
        <f>IF(Verso!$B$14=Voies!$B920,1,0)</f>
        <v>0</v>
      </c>
      <c r="BF920" s="12">
        <f>IF(Verso!$B$15=Voies!$B920,1,0)</f>
        <v>0</v>
      </c>
      <c r="BG920" s="12">
        <f>IF(Verso!$B$16=Voies!$B920,1,0)</f>
        <v>0</v>
      </c>
      <c r="BH920" s="12">
        <f>IF(Verso!$B$17=Voies!$B920,1,0)</f>
        <v>0</v>
      </c>
      <c r="BI920" s="557">
        <f t="shared" si="102"/>
        <v>0</v>
      </c>
      <c r="BJ920" s="196" t="str">
        <f t="shared" si="103"/>
        <v/>
      </c>
      <c r="BK920" s="196" t="str">
        <f t="shared" si="104"/>
        <v/>
      </c>
      <c r="BL920" s="295" t="str">
        <f t="shared" si="105"/>
        <v/>
      </c>
      <c r="BM920" s="91"/>
    </row>
    <row r="921" spans="1:65" s="196" customFormat="1" ht="47.25" customHeight="1" x14ac:dyDescent="0.25">
      <c r="A921" s="162" t="str">
        <f>IF(AND(Réputation&gt;Voies!E921-1,OR(C921=TRUE,Calculs!$I$8&gt;0),Air&gt;Voies!J921-1,Eau&gt;Voies!K921-1,Feu&gt;Voies!L921-1,Terre&gt;Voies!M921-1,Vide&gt;Voies!N921-1,Constitution&gt;Voies!O921-1,Volonté&gt;Voies!P921-1,Force&gt;Voies!Q921-1,Perception&gt;Voies!R921-1,Reflexes&gt;Voies!S921-1,Agilité&gt;Voies!T921-1,Intuition&gt;Voies!U921-1,Intelligence&gt;Voies!V921-1,Souillure&gt;Voies!W921-1,Honneur&gt;X921-1,Statut&gt;Y921-1,Gloire&gt;Z921-1,AV921=TRUE),Voies!B921,"")</f>
        <v/>
      </c>
      <c r="B921" s="162" t="s">
        <v>7330</v>
      </c>
      <c r="C921" s="162" t="b">
        <f>IF(Clan=Voies!D921,TRUE,FALSE)</f>
        <v>0</v>
      </c>
      <c r="D921" s="388" t="s">
        <v>7299</v>
      </c>
      <c r="E921" s="199">
        <v>3</v>
      </c>
      <c r="F921" s="199">
        <v>3</v>
      </c>
      <c r="G921" s="157" t="s">
        <v>2049</v>
      </c>
      <c r="H921" s="162" t="s">
        <v>7316</v>
      </c>
      <c r="I921" s="129" t="str">
        <f t="shared" si="106"/>
        <v>Rien</v>
      </c>
      <c r="J921" s="146">
        <v>0</v>
      </c>
      <c r="K921" s="147">
        <v>0</v>
      </c>
      <c r="L921" s="148">
        <v>0</v>
      </c>
      <c r="M921" s="149">
        <v>0</v>
      </c>
      <c r="N921" s="150">
        <v>0</v>
      </c>
      <c r="O921" s="130">
        <v>0</v>
      </c>
      <c r="P921" s="130">
        <v>0</v>
      </c>
      <c r="Q921" s="130">
        <v>0</v>
      </c>
      <c r="R921" s="130">
        <v>0</v>
      </c>
      <c r="S921" s="130">
        <v>0</v>
      </c>
      <c r="T921" s="130">
        <v>0</v>
      </c>
      <c r="U921" s="130">
        <v>0</v>
      </c>
      <c r="V921" s="524">
        <v>0</v>
      </c>
      <c r="W921" s="130">
        <v>0</v>
      </c>
      <c r="X921" s="130">
        <v>0</v>
      </c>
      <c r="Y921" s="130">
        <v>0</v>
      </c>
      <c r="Z921" s="130">
        <v>0</v>
      </c>
      <c r="AA921" s="158" t="s">
        <v>2078</v>
      </c>
      <c r="AB921" s="158"/>
      <c r="AC921" s="158"/>
      <c r="AD921" s="158"/>
      <c r="AE921" s="158" t="b">
        <f>IF(AB921="",TRUE,IF(IF(AC921="",VLOOKUP(AB921,Calculs!$A$19:$S$425,19,FALSE),VLOOKUP(AC921,Calculs!$A$19:$S$425,19,FALSE))&gt;=AD921,TRUE,FALSE))</f>
        <v>1</v>
      </c>
      <c r="AF921" s="158"/>
      <c r="AG921" s="158"/>
      <c r="AH921" s="158"/>
      <c r="AI921" s="158" t="b">
        <f>IF(AF921="",TRUE,IF(IF(AG921="",VLOOKUP(AF921,Calculs!$A$19:$S$425,19,FALSE),VLOOKUP(AG921,Calculs!$A$19:$S$425,19,FALSE))&gt;=AH921,TRUE,FALSE))</f>
        <v>1</v>
      </c>
      <c r="AJ921" s="158"/>
      <c r="AK921" s="158"/>
      <c r="AL921" s="158"/>
      <c r="AM921" s="158" t="b">
        <f>IF(AJ921="",TRUE,IF(IF(AK921="",VLOOKUP(AJ921,Calculs!$A$19:$S$425,19,FALSE),VLOOKUP(AK921,Calculs!$A$19:$S$425,19,FALSE))&gt;=AL921,TRUE,FALSE))</f>
        <v>1</v>
      </c>
      <c r="AN921" s="158"/>
      <c r="AO921" s="158"/>
      <c r="AP921" s="158"/>
      <c r="AQ921" s="158" t="b">
        <f>IF(AN921="",TRUE,IF(IF(AO921="",VLOOKUP(AN921,Calculs!$A$19:$S$425,19,FALSE),VLOOKUP(AO921,Calculs!$A$19:$S$425,19,FALSE))&gt;=AP921,TRUE,FALSE))</f>
        <v>1</v>
      </c>
      <c r="AR921" s="158"/>
      <c r="AS921" s="158" t="b">
        <f>IF(AR921="",TRUE,IF(VLOOKUP(AR921,Calculs!$A$427:$G$738,7,FALSE)&gt;0,TRUE,FALSE))</f>
        <v>1</v>
      </c>
      <c r="AT921" s="158"/>
      <c r="AU921" s="158" t="b">
        <f>IF(AT921="",TRUE,IF(VLOOKUP(AT921,Calculs!$A$740:$G$912,7,FALSE)&gt;0,TRUE,FALSE))</f>
        <v>1</v>
      </c>
      <c r="AV921" s="158" t="b">
        <f t="shared" si="101"/>
        <v>1</v>
      </c>
      <c r="AW921" s="158" t="s">
        <v>2078</v>
      </c>
      <c r="AX921" s="162" t="s">
        <v>6816</v>
      </c>
      <c r="AY921" s="15">
        <v>74</v>
      </c>
      <c r="AZ921" s="555" t="s">
        <v>2682</v>
      </c>
      <c r="BA921" s="559">
        <f>IF(Verso!$B$10=Voies!$B921,1,0)</f>
        <v>0</v>
      </c>
      <c r="BB921" s="12">
        <f>IF(Verso!$B$11=Voies!$B921,1,0)</f>
        <v>0</v>
      </c>
      <c r="BC921" s="12">
        <f>IF(Verso!$B$12=Voies!$B921,1,0)</f>
        <v>0</v>
      </c>
      <c r="BD921" s="12">
        <f>IF(Verso!$B$13=Voies!$B921,1,0)</f>
        <v>0</v>
      </c>
      <c r="BE921" s="12">
        <f>IF(Verso!$B$14=Voies!$B921,1,0)</f>
        <v>0</v>
      </c>
      <c r="BF921" s="12">
        <f>IF(Verso!$B$15=Voies!$B921,1,0)</f>
        <v>0</v>
      </c>
      <c r="BG921" s="12">
        <f>IF(Verso!$B$16=Voies!$B921,1,0)</f>
        <v>0</v>
      </c>
      <c r="BH921" s="12">
        <f>IF(Verso!$B$17=Voies!$B921,1,0)</f>
        <v>0</v>
      </c>
      <c r="BI921" s="557">
        <f t="shared" si="102"/>
        <v>0</v>
      </c>
      <c r="BJ921" s="196" t="str">
        <f t="shared" si="103"/>
        <v/>
      </c>
      <c r="BK921" s="196" t="str">
        <f t="shared" si="104"/>
        <v/>
      </c>
      <c r="BL921" s="295" t="str">
        <f t="shared" si="105"/>
        <v/>
      </c>
      <c r="BM921" s="91"/>
    </row>
    <row r="922" spans="1:65" s="196" customFormat="1" ht="47.25" customHeight="1" x14ac:dyDescent="0.25">
      <c r="A922" s="162" t="str">
        <f>IF(AND(Réputation&gt;Voies!E922-1,OR(C922=TRUE,Calculs!$I$8&gt;0),Air&gt;Voies!J922-1,Eau&gt;Voies!K922-1,Feu&gt;Voies!L922-1,Terre&gt;Voies!M922-1,Vide&gt;Voies!N922-1,Constitution&gt;Voies!O922-1,Volonté&gt;Voies!P922-1,Force&gt;Voies!Q922-1,Perception&gt;Voies!R922-1,Reflexes&gt;Voies!S922-1,Agilité&gt;Voies!T922-1,Intuition&gt;Voies!U922-1,Intelligence&gt;Voies!V922-1,Souillure&gt;Voies!W922-1,Honneur&gt;X922-1,Statut&gt;Y922-1,Gloire&gt;Z922-1,AV922=TRUE),Voies!B922,"")</f>
        <v/>
      </c>
      <c r="B922" s="162" t="s">
        <v>7331</v>
      </c>
      <c r="C922" s="162" t="b">
        <f>IF(Clan=Voies!D922,TRUE,FALSE)</f>
        <v>0</v>
      </c>
      <c r="D922" s="388" t="s">
        <v>7299</v>
      </c>
      <c r="E922" s="199">
        <v>4</v>
      </c>
      <c r="F922" s="199">
        <v>4</v>
      </c>
      <c r="G922" s="157" t="s">
        <v>2049</v>
      </c>
      <c r="H922" s="162" t="s">
        <v>7316</v>
      </c>
      <c r="I922" s="129" t="str">
        <f t="shared" si="106"/>
        <v>Rien</v>
      </c>
      <c r="J922" s="146">
        <v>0</v>
      </c>
      <c r="K922" s="147">
        <v>0</v>
      </c>
      <c r="L922" s="148">
        <v>0</v>
      </c>
      <c r="M922" s="149">
        <v>0</v>
      </c>
      <c r="N922" s="150">
        <v>0</v>
      </c>
      <c r="O922" s="130">
        <v>0</v>
      </c>
      <c r="P922" s="130">
        <v>0</v>
      </c>
      <c r="Q922" s="130">
        <v>0</v>
      </c>
      <c r="R922" s="130">
        <v>0</v>
      </c>
      <c r="S922" s="130">
        <v>0</v>
      </c>
      <c r="T922" s="130">
        <v>0</v>
      </c>
      <c r="U922" s="130">
        <v>0</v>
      </c>
      <c r="V922" s="524">
        <v>0</v>
      </c>
      <c r="W922" s="130">
        <v>0</v>
      </c>
      <c r="X922" s="130">
        <v>0</v>
      </c>
      <c r="Y922" s="130">
        <v>0</v>
      </c>
      <c r="Z922" s="130">
        <v>0</v>
      </c>
      <c r="AA922" s="158" t="s">
        <v>2078</v>
      </c>
      <c r="AB922" s="158"/>
      <c r="AC922" s="158"/>
      <c r="AD922" s="158"/>
      <c r="AE922" s="158" t="b">
        <f>IF(AB922="",TRUE,IF(IF(AC922="",VLOOKUP(AB922,Calculs!$A$19:$S$425,19,FALSE),VLOOKUP(AC922,Calculs!$A$19:$S$425,19,FALSE))&gt;=AD922,TRUE,FALSE))</f>
        <v>1</v>
      </c>
      <c r="AF922" s="158"/>
      <c r="AG922" s="158"/>
      <c r="AH922" s="158"/>
      <c r="AI922" s="158" t="b">
        <f>IF(AF922="",TRUE,IF(IF(AG922="",VLOOKUP(AF922,Calculs!$A$19:$S$425,19,FALSE),VLOOKUP(AG922,Calculs!$A$19:$S$425,19,FALSE))&gt;=AH922,TRUE,FALSE))</f>
        <v>1</v>
      </c>
      <c r="AJ922" s="158"/>
      <c r="AK922" s="158"/>
      <c r="AL922" s="158"/>
      <c r="AM922" s="158" t="b">
        <f>IF(AJ922="",TRUE,IF(IF(AK922="",VLOOKUP(AJ922,Calculs!$A$19:$S$425,19,FALSE),VLOOKUP(AK922,Calculs!$A$19:$S$425,19,FALSE))&gt;=AL922,TRUE,FALSE))</f>
        <v>1</v>
      </c>
      <c r="AN922" s="158"/>
      <c r="AO922" s="158"/>
      <c r="AP922" s="158"/>
      <c r="AQ922" s="158" t="b">
        <f>IF(AN922="",TRUE,IF(IF(AO922="",VLOOKUP(AN922,Calculs!$A$19:$S$425,19,FALSE),VLOOKUP(AO922,Calculs!$A$19:$S$425,19,FALSE))&gt;=AP922,TRUE,FALSE))</f>
        <v>1</v>
      </c>
      <c r="AR922" s="158"/>
      <c r="AS922" s="158" t="b">
        <f>IF(AR922="",TRUE,IF(VLOOKUP(AR922,Calculs!$A$427:$G$738,7,FALSE)&gt;0,TRUE,FALSE))</f>
        <v>1</v>
      </c>
      <c r="AT922" s="158"/>
      <c r="AU922" s="158" t="b">
        <f>IF(AT922="",TRUE,IF(VLOOKUP(AT922,Calculs!$A$740:$G$912,7,FALSE)&gt;0,TRUE,FALSE))</f>
        <v>1</v>
      </c>
      <c r="AV922" s="158" t="b">
        <f t="shared" si="101"/>
        <v>1</v>
      </c>
      <c r="AW922" s="158" t="s">
        <v>2078</v>
      </c>
      <c r="AX922" s="162" t="s">
        <v>6816</v>
      </c>
      <c r="AY922" s="15">
        <v>74</v>
      </c>
      <c r="AZ922" s="555" t="str">
        <f>CONCATENATE("Vous pouvez dépenser un Pvide en AS pour ignorer toutes les pénalités de blessures pendant ",Honneur," rounds.")</f>
        <v>Vous pouvez dépenser un Pvide en AS pour ignorer toutes les pénalités de blessures pendant 0 rounds.</v>
      </c>
      <c r="BA922" s="559">
        <f>IF(Verso!$B$10=Voies!$B922,1,0)</f>
        <v>0</v>
      </c>
      <c r="BB922" s="12">
        <f>IF(Verso!$B$11=Voies!$B922,1,0)</f>
        <v>0</v>
      </c>
      <c r="BC922" s="12">
        <f>IF(Verso!$B$12=Voies!$B922,1,0)</f>
        <v>0</v>
      </c>
      <c r="BD922" s="12">
        <f>IF(Verso!$B$13=Voies!$B922,1,0)</f>
        <v>0</v>
      </c>
      <c r="BE922" s="12">
        <f>IF(Verso!$B$14=Voies!$B922,1,0)</f>
        <v>0</v>
      </c>
      <c r="BF922" s="12">
        <f>IF(Verso!$B$15=Voies!$B922,1,0)</f>
        <v>0</v>
      </c>
      <c r="BG922" s="12">
        <f>IF(Verso!$B$16=Voies!$B922,1,0)</f>
        <v>0</v>
      </c>
      <c r="BH922" s="12">
        <f>IF(Verso!$B$17=Voies!$B922,1,0)</f>
        <v>0</v>
      </c>
      <c r="BI922" s="557">
        <f t="shared" si="102"/>
        <v>0</v>
      </c>
      <c r="BJ922" s="196" t="str">
        <f t="shared" si="103"/>
        <v/>
      </c>
      <c r="BK922" s="196" t="str">
        <f t="shared" si="104"/>
        <v/>
      </c>
      <c r="BL922" s="295" t="str">
        <f t="shared" si="105"/>
        <v/>
      </c>
      <c r="BM922" s="91"/>
    </row>
    <row r="923" spans="1:65" s="196" customFormat="1" ht="47.25" customHeight="1" x14ac:dyDescent="0.25">
      <c r="A923" s="162" t="str">
        <f>IF(AND(Réputation&gt;Voies!E923-1,OR(C923=TRUE,Calculs!$I$8&gt;0),Air&gt;Voies!J923-1,Eau&gt;Voies!K923-1,Feu&gt;Voies!L923-1,Terre&gt;Voies!M923-1,Vide&gt;Voies!N923-1,Constitution&gt;Voies!O923-1,Volonté&gt;Voies!P923-1,Force&gt;Voies!Q923-1,Perception&gt;Voies!R923-1,Reflexes&gt;Voies!S923-1,Agilité&gt;Voies!T923-1,Intuition&gt;Voies!U923-1,Intelligence&gt;Voies!V923-1,Souillure&gt;Voies!W923-1,Honneur&gt;X923-1,Statut&gt;Y923-1,Gloire&gt;Z923-1,AV923=TRUE),Voies!B923,"")</f>
        <v/>
      </c>
      <c r="B923" s="162" t="s">
        <v>7332</v>
      </c>
      <c r="C923" s="162" t="b">
        <f>IF(Clan=Voies!D923,TRUE,FALSE)</f>
        <v>0</v>
      </c>
      <c r="D923" s="388" t="s">
        <v>7299</v>
      </c>
      <c r="E923" s="199">
        <v>5</v>
      </c>
      <c r="F923" s="199">
        <v>5</v>
      </c>
      <c r="G923" s="157" t="s">
        <v>2049</v>
      </c>
      <c r="H923" s="162" t="s">
        <v>7316</v>
      </c>
      <c r="I923" s="129" t="str">
        <f t="shared" si="106"/>
        <v>Rien</v>
      </c>
      <c r="J923" s="146">
        <v>0</v>
      </c>
      <c r="K923" s="147">
        <v>0</v>
      </c>
      <c r="L923" s="148">
        <v>0</v>
      </c>
      <c r="M923" s="149">
        <v>0</v>
      </c>
      <c r="N923" s="150">
        <v>0</v>
      </c>
      <c r="O923" s="130">
        <v>0</v>
      </c>
      <c r="P923" s="130">
        <v>0</v>
      </c>
      <c r="Q923" s="130">
        <v>0</v>
      </c>
      <c r="R923" s="130">
        <v>0</v>
      </c>
      <c r="S923" s="130">
        <v>0</v>
      </c>
      <c r="T923" s="130">
        <v>0</v>
      </c>
      <c r="U923" s="130">
        <v>0</v>
      </c>
      <c r="V923" s="524">
        <v>0</v>
      </c>
      <c r="W923" s="130">
        <v>0</v>
      </c>
      <c r="X923" s="130">
        <v>0</v>
      </c>
      <c r="Y923" s="130">
        <v>0</v>
      </c>
      <c r="Z923" s="130">
        <v>0</v>
      </c>
      <c r="AA923" s="158" t="s">
        <v>2078</v>
      </c>
      <c r="AB923" s="158"/>
      <c r="AC923" s="158"/>
      <c r="AD923" s="158"/>
      <c r="AE923" s="158" t="b">
        <f>IF(AB923="",TRUE,IF(IF(AC923="",VLOOKUP(AB923,Calculs!$A$19:$S$425,19,FALSE),VLOOKUP(AC923,Calculs!$A$19:$S$425,19,FALSE))&gt;=AD923,TRUE,FALSE))</f>
        <v>1</v>
      </c>
      <c r="AF923" s="158"/>
      <c r="AG923" s="158"/>
      <c r="AH923" s="158"/>
      <c r="AI923" s="158" t="b">
        <f>IF(AF923="",TRUE,IF(IF(AG923="",VLOOKUP(AF923,Calculs!$A$19:$S$425,19,FALSE),VLOOKUP(AG923,Calculs!$A$19:$S$425,19,FALSE))&gt;=AH923,TRUE,FALSE))</f>
        <v>1</v>
      </c>
      <c r="AJ923" s="158"/>
      <c r="AK923" s="158"/>
      <c r="AL923" s="158"/>
      <c r="AM923" s="158" t="b">
        <f>IF(AJ923="",TRUE,IF(IF(AK923="",VLOOKUP(AJ923,Calculs!$A$19:$S$425,19,FALSE),VLOOKUP(AK923,Calculs!$A$19:$S$425,19,FALSE))&gt;=AL923,TRUE,FALSE))</f>
        <v>1</v>
      </c>
      <c r="AN923" s="158"/>
      <c r="AO923" s="158"/>
      <c r="AP923" s="158"/>
      <c r="AQ923" s="158" t="b">
        <f>IF(AN923="",TRUE,IF(IF(AO923="",VLOOKUP(AN923,Calculs!$A$19:$S$425,19,FALSE),VLOOKUP(AO923,Calculs!$A$19:$S$425,19,FALSE))&gt;=AP923,TRUE,FALSE))</f>
        <v>1</v>
      </c>
      <c r="AR923" s="158"/>
      <c r="AS923" s="158" t="b">
        <f>IF(AR923="",TRUE,IF(VLOOKUP(AR923,Calculs!$A$427:$G$738,7,FALSE)&gt;0,TRUE,FALSE))</f>
        <v>1</v>
      </c>
      <c r="AT923" s="158"/>
      <c r="AU923" s="158" t="b">
        <f>IF(AT923="",TRUE,IF(VLOOKUP(AT923,Calculs!$A$740:$G$912,7,FALSE)&gt;0,TRUE,FALSE))</f>
        <v>1</v>
      </c>
      <c r="AV923" s="158" t="b">
        <f t="shared" si="101"/>
        <v>1</v>
      </c>
      <c r="AW923" s="158" t="s">
        <v>2078</v>
      </c>
      <c r="AX923" s="162" t="s">
        <v>6816</v>
      </c>
      <c r="AY923" s="15">
        <v>75</v>
      </c>
      <c r="AZ923" s="555" t="str">
        <f>CONCATENATE(Honneur," fois par jours, vous pouvez dépenser un Pvide en AS pour relancer un jet échoué même s'il a déjà été relancé.")</f>
        <v>0 fois par jours, vous pouvez dépenser un Pvide en AS pour relancer un jet échoué même s'il a déjà été relancé.</v>
      </c>
      <c r="BA923" s="559">
        <f>IF(Verso!$B$10=Voies!$B923,1,0)</f>
        <v>0</v>
      </c>
      <c r="BB923" s="12">
        <f>IF(Verso!$B$11=Voies!$B923,1,0)</f>
        <v>0</v>
      </c>
      <c r="BC923" s="12">
        <f>IF(Verso!$B$12=Voies!$B923,1,0)</f>
        <v>0</v>
      </c>
      <c r="BD923" s="12">
        <f>IF(Verso!$B$13=Voies!$B923,1,0)</f>
        <v>0</v>
      </c>
      <c r="BE923" s="12">
        <f>IF(Verso!$B$14=Voies!$B923,1,0)</f>
        <v>0</v>
      </c>
      <c r="BF923" s="12">
        <f>IF(Verso!$B$15=Voies!$B923,1,0)</f>
        <v>0</v>
      </c>
      <c r="BG923" s="12">
        <f>IF(Verso!$B$16=Voies!$B923,1,0)</f>
        <v>0</v>
      </c>
      <c r="BH923" s="12">
        <f>IF(Verso!$B$17=Voies!$B923,1,0)</f>
        <v>0</v>
      </c>
      <c r="BI923" s="557">
        <f t="shared" si="102"/>
        <v>0</v>
      </c>
      <c r="BJ923" s="196" t="str">
        <f t="shared" si="103"/>
        <v/>
      </c>
      <c r="BK923" s="196" t="str">
        <f t="shared" si="104"/>
        <v/>
      </c>
      <c r="BL923" s="295" t="str">
        <f t="shared" si="105"/>
        <v/>
      </c>
      <c r="BM923" s="91"/>
    </row>
    <row r="924" spans="1:65" ht="47.25" customHeight="1" x14ac:dyDescent="0.25">
      <c r="A924" s="162" t="str">
        <f>IF(AND(Réputation&gt;Voies!E924-1,OR(C924=TRUE,Calculs!$I$8&gt;0),Air&gt;Voies!J924-1,Eau&gt;Voies!K924-1,Feu&gt;Voies!L924-1,Terre&gt;Voies!M924-1,Vide&gt;Voies!N924-1,Constitution&gt;Voies!O924-1,Volonté&gt;Voies!P924-1,Force&gt;Voies!Q924-1,Perception&gt;Voies!R924-1,Reflexes&gt;Voies!S924-1,Agilité&gt;Voies!T924-1,Intuition&gt;Voies!U924-1,Intelligence&gt;Voies!V924-1,Souillure&gt;Voies!W924-1,Honneur&gt;X924-1,Statut&gt;Y924-1,Gloire&gt;Z924-1,AV924=TRUE),Voies!B924,"")</f>
        <v/>
      </c>
      <c r="B924" s="162" t="s">
        <v>2922</v>
      </c>
      <c r="C924" s="162" t="b">
        <f>IF(Clan=Voies!D924,TRUE,FALSE)</f>
        <v>0</v>
      </c>
      <c r="D924" s="388" t="s">
        <v>310</v>
      </c>
      <c r="E924" s="13">
        <v>1</v>
      </c>
      <c r="F924" s="199">
        <v>1</v>
      </c>
      <c r="G924" s="199" t="s">
        <v>2049</v>
      </c>
      <c r="H924" s="162" t="s">
        <v>305</v>
      </c>
      <c r="I924" s="129" t="str">
        <f t="shared" si="106"/>
        <v>Rien</v>
      </c>
      <c r="J924" s="146">
        <v>0</v>
      </c>
      <c r="K924" s="147">
        <v>0</v>
      </c>
      <c r="L924" s="148">
        <v>0</v>
      </c>
      <c r="M924" s="149">
        <v>0</v>
      </c>
      <c r="N924" s="150">
        <v>0</v>
      </c>
      <c r="O924" s="130">
        <v>0</v>
      </c>
      <c r="P924" s="130">
        <v>0</v>
      </c>
      <c r="Q924" s="130">
        <v>0</v>
      </c>
      <c r="R924" s="130">
        <v>0</v>
      </c>
      <c r="S924" s="130">
        <v>0</v>
      </c>
      <c r="T924" s="130">
        <v>0</v>
      </c>
      <c r="U924" s="130">
        <v>0</v>
      </c>
      <c r="V924" s="524">
        <v>0</v>
      </c>
      <c r="W924" s="130">
        <v>0</v>
      </c>
      <c r="X924" s="130">
        <v>0</v>
      </c>
      <c r="Y924" s="130">
        <v>0</v>
      </c>
      <c r="Z924" s="130">
        <v>0</v>
      </c>
      <c r="AA924" s="158" t="s">
        <v>2078</v>
      </c>
      <c r="AB924" s="158"/>
      <c r="AC924" s="158"/>
      <c r="AD924" s="158"/>
      <c r="AE924" s="158" t="b">
        <f>IF(AB924="",TRUE,IF(IF(AC924="",VLOOKUP(AB924,Calculs!$A$19:$S$425,19,FALSE),VLOOKUP(AC924,Calculs!$A$19:$S$425,19,FALSE))&gt;=AD924,TRUE,FALSE))</f>
        <v>1</v>
      </c>
      <c r="AF924" s="158"/>
      <c r="AG924" s="158"/>
      <c r="AH924" s="158"/>
      <c r="AI924" s="158" t="b">
        <f>IF(AF924="",TRUE,IF(IF(AG924="",VLOOKUP(AF924,Calculs!$A$19:$S$425,19,FALSE),VLOOKUP(AG924,Calculs!$A$19:$S$425,19,FALSE))&gt;=AH924,TRUE,FALSE))</f>
        <v>1</v>
      </c>
      <c r="AJ924" s="158"/>
      <c r="AK924" s="158"/>
      <c r="AL924" s="158"/>
      <c r="AM924" s="158" t="b">
        <f>IF(AJ924="",TRUE,IF(IF(AK924="",VLOOKUP(AJ924,Calculs!$A$19:$S$425,19,FALSE),VLOOKUP(AK924,Calculs!$A$19:$S$425,19,FALSE))&gt;=AL924,TRUE,FALSE))</f>
        <v>1</v>
      </c>
      <c r="AN924" s="158"/>
      <c r="AO924" s="158"/>
      <c r="AP924" s="158"/>
      <c r="AQ924" s="158" t="b">
        <f>IF(AN924="",TRUE,IF(IF(AO924="",VLOOKUP(AN924,Calculs!$A$19:$S$425,19,FALSE),VLOOKUP(AO924,Calculs!$A$19:$S$425,19,FALSE))&gt;=AP924,TRUE,FALSE))</f>
        <v>1</v>
      </c>
      <c r="AR924" s="158"/>
      <c r="AS924" s="158" t="b">
        <f>IF(AR924="",TRUE,IF(VLOOKUP(AR924,Calculs!$A$427:$G$738,7,FALSE)&gt;0,TRUE,FALSE))</f>
        <v>1</v>
      </c>
      <c r="AT924" s="158"/>
      <c r="AU924" s="158" t="b">
        <f>IF(AT924="",TRUE,IF(VLOOKUP(AT924,Calculs!$A$740:$G$912,7,FALSE)&gt;0,TRUE,FALSE))</f>
        <v>1</v>
      </c>
      <c r="AV924" s="158" t="b">
        <f t="shared" si="101"/>
        <v>1</v>
      </c>
      <c r="AW924" s="158" t="s">
        <v>2078</v>
      </c>
      <c r="AX924" s="162" t="s">
        <v>2921</v>
      </c>
      <c r="AY924" s="15">
        <v>104</v>
      </c>
      <c r="AZ924" s="566" t="s">
        <v>8735</v>
      </c>
      <c r="BA924" s="559">
        <f>IF(Verso!$B$10=Voies!$B924,1,0)</f>
        <v>0</v>
      </c>
      <c r="BB924" s="12">
        <f>IF(Verso!$B$11=Voies!$B924,1,0)</f>
        <v>0</v>
      </c>
      <c r="BC924" s="12">
        <f>IF(Verso!$B$12=Voies!$B924,1,0)</f>
        <v>0</v>
      </c>
      <c r="BD924" s="12">
        <f>IF(Verso!$B$13=Voies!$B924,1,0)</f>
        <v>0</v>
      </c>
      <c r="BE924" s="12">
        <f>IF(Verso!$B$14=Voies!$B924,1,0)</f>
        <v>0</v>
      </c>
      <c r="BF924" s="12">
        <f>IF(Verso!$B$15=Voies!$B924,1,0)</f>
        <v>0</v>
      </c>
      <c r="BG924" s="12">
        <f>IF(Verso!$B$16=Voies!$B924,1,0)</f>
        <v>0</v>
      </c>
      <c r="BH924" s="12">
        <f>IF(Verso!$B$17=Voies!$B924,1,0)</f>
        <v>0</v>
      </c>
      <c r="BI924" s="557">
        <f t="shared" si="102"/>
        <v>0</v>
      </c>
      <c r="BJ924" s="196" t="str">
        <f t="shared" si="103"/>
        <v/>
      </c>
      <c r="BK924" s="196" t="str">
        <f t="shared" si="104"/>
        <v/>
      </c>
      <c r="BL924" s="295" t="str">
        <f t="shared" si="105"/>
        <v/>
      </c>
    </row>
    <row r="925" spans="1:65" ht="47.25" customHeight="1" x14ac:dyDescent="0.25">
      <c r="A925" s="162" t="str">
        <f>IF(AND(Réputation&gt;Voies!E925-1,OR(C925=TRUE,Calculs!$I$8&gt;0),Air&gt;Voies!J925-1,Eau&gt;Voies!K925-1,Feu&gt;Voies!L925-1,Terre&gt;Voies!M925-1,Vide&gt;Voies!N925-1,Constitution&gt;Voies!O925-1,Volonté&gt;Voies!P925-1,Force&gt;Voies!Q925-1,Perception&gt;Voies!R925-1,Reflexes&gt;Voies!S925-1,Agilité&gt;Voies!T925-1,Intuition&gt;Voies!U925-1,Intelligence&gt;Voies!V925-1,Souillure&gt;Voies!W925-1,Honneur&gt;X925-1,Statut&gt;Y925-1,Gloire&gt;Z925-1,AV925=TRUE),Voies!B925,"")</f>
        <v/>
      </c>
      <c r="B925" s="162" t="s">
        <v>2931</v>
      </c>
      <c r="C925" s="162" t="b">
        <f>IF(Clan=Voies!D925,TRUE,FALSE)</f>
        <v>0</v>
      </c>
      <c r="D925" s="388" t="s">
        <v>310</v>
      </c>
      <c r="E925" s="13">
        <v>1</v>
      </c>
      <c r="F925" s="199">
        <v>1</v>
      </c>
      <c r="G925" s="199" t="s">
        <v>2061</v>
      </c>
      <c r="H925" s="162" t="s">
        <v>306</v>
      </c>
      <c r="I925" s="129" t="str">
        <f t="shared" si="106"/>
        <v>Rien</v>
      </c>
      <c r="J925" s="146">
        <v>0</v>
      </c>
      <c r="K925" s="147">
        <v>0</v>
      </c>
      <c r="L925" s="148">
        <v>0</v>
      </c>
      <c r="M925" s="149">
        <v>0</v>
      </c>
      <c r="N925" s="150">
        <v>0</v>
      </c>
      <c r="O925" s="130">
        <v>0</v>
      </c>
      <c r="P925" s="130">
        <v>0</v>
      </c>
      <c r="Q925" s="130">
        <v>0</v>
      </c>
      <c r="R925" s="130">
        <v>0</v>
      </c>
      <c r="S925" s="130">
        <v>0</v>
      </c>
      <c r="T925" s="130">
        <v>0</v>
      </c>
      <c r="U925" s="130">
        <v>0</v>
      </c>
      <c r="V925" s="524">
        <v>0</v>
      </c>
      <c r="W925" s="130">
        <v>0</v>
      </c>
      <c r="X925" s="130">
        <v>0</v>
      </c>
      <c r="Y925" s="130">
        <v>0</v>
      </c>
      <c r="Z925" s="130">
        <v>0</v>
      </c>
      <c r="AA925" s="158" t="s">
        <v>2078</v>
      </c>
      <c r="AB925" s="158"/>
      <c r="AC925" s="158"/>
      <c r="AD925" s="158"/>
      <c r="AE925" s="158" t="b">
        <f>IF(AB925="",TRUE,IF(IF(AC925="",VLOOKUP(AB925,Calculs!$A$19:$S$425,19,FALSE),VLOOKUP(AC925,Calculs!$A$19:$S$425,19,FALSE))&gt;=AD925,TRUE,FALSE))</f>
        <v>1</v>
      </c>
      <c r="AF925" s="158"/>
      <c r="AG925" s="158"/>
      <c r="AH925" s="158"/>
      <c r="AI925" s="158" t="b">
        <f>IF(AF925="",TRUE,IF(IF(AG925="",VLOOKUP(AF925,Calculs!$A$19:$S$425,19,FALSE),VLOOKUP(AG925,Calculs!$A$19:$S$425,19,FALSE))&gt;=AH925,TRUE,FALSE))</f>
        <v>1</v>
      </c>
      <c r="AJ925" s="158"/>
      <c r="AK925" s="158"/>
      <c r="AL925" s="158"/>
      <c r="AM925" s="158" t="b">
        <f>IF(AJ925="",TRUE,IF(IF(AK925="",VLOOKUP(AJ925,Calculs!$A$19:$S$425,19,FALSE),VLOOKUP(AK925,Calculs!$A$19:$S$425,19,FALSE))&gt;=AL925,TRUE,FALSE))</f>
        <v>1</v>
      </c>
      <c r="AN925" s="158"/>
      <c r="AO925" s="158"/>
      <c r="AP925" s="158"/>
      <c r="AQ925" s="158" t="b">
        <f>IF(AN925="",TRUE,IF(IF(AO925="",VLOOKUP(AN925,Calculs!$A$19:$S$425,19,FALSE),VLOOKUP(AO925,Calculs!$A$19:$S$425,19,FALSE))&gt;=AP925,TRUE,FALSE))</f>
        <v>1</v>
      </c>
      <c r="AR925" s="158"/>
      <c r="AS925" s="158" t="b">
        <f>IF(AR925="",TRUE,IF(VLOOKUP(AR925,Calculs!$A$427:$G$738,7,FALSE)&gt;0,TRUE,FALSE))</f>
        <v>1</v>
      </c>
      <c r="AT925" s="158"/>
      <c r="AU925" s="158" t="b">
        <f>IF(AT925="",TRUE,IF(VLOOKUP(AT925,Calculs!$A$740:$G$912,7,FALSE)&gt;0,TRUE,FALSE))</f>
        <v>1</v>
      </c>
      <c r="AV925" s="158" t="b">
        <f t="shared" si="101"/>
        <v>1</v>
      </c>
      <c r="AW925" s="158" t="s">
        <v>2078</v>
      </c>
      <c r="AX925" s="162" t="s">
        <v>2921</v>
      </c>
      <c r="AY925" s="15">
        <v>105</v>
      </c>
      <c r="AZ925" s="555" t="str">
        <f>CONCATENATE("+",Vide," à votre ND d'Armure. +",Vide,"g0 à tout Test d'Opposition de Compétence Sociale, pour résister à une technique Sociale ou à un Effet de Peur")</f>
        <v>+2 à votre ND d'Armure. +2g0 à tout Test d'Opposition de Compétence Sociale, pour résister à une technique Sociale ou à un Effet de Peur</v>
      </c>
      <c r="BA925" s="559">
        <f>IF(Verso!$B$10=Voies!$B925,1,0)</f>
        <v>0</v>
      </c>
      <c r="BB925" s="12">
        <f>IF(Verso!$B$11=Voies!$B925,1,0)</f>
        <v>0</v>
      </c>
      <c r="BC925" s="12">
        <f>IF(Verso!$B$12=Voies!$B925,1,0)</f>
        <v>0</v>
      </c>
      <c r="BD925" s="12">
        <f>IF(Verso!$B$13=Voies!$B925,1,0)</f>
        <v>0</v>
      </c>
      <c r="BE925" s="12">
        <f>IF(Verso!$B$14=Voies!$B925,1,0)</f>
        <v>0</v>
      </c>
      <c r="BF925" s="12">
        <f>IF(Verso!$B$15=Voies!$B925,1,0)</f>
        <v>0</v>
      </c>
      <c r="BG925" s="12">
        <f>IF(Verso!$B$16=Voies!$B925,1,0)</f>
        <v>0</v>
      </c>
      <c r="BH925" s="12">
        <f>IF(Verso!$B$17=Voies!$B925,1,0)</f>
        <v>0</v>
      </c>
      <c r="BI925" s="557">
        <f t="shared" si="102"/>
        <v>0</v>
      </c>
      <c r="BJ925" s="196" t="str">
        <f t="shared" si="103"/>
        <v/>
      </c>
      <c r="BK925" s="196" t="str">
        <f t="shared" si="104"/>
        <v/>
      </c>
      <c r="BL925" s="295" t="str">
        <f t="shared" si="105"/>
        <v/>
      </c>
    </row>
    <row r="926" spans="1:65" ht="47.25" customHeight="1" x14ac:dyDescent="0.25">
      <c r="A926" s="162" t="str">
        <f>IF(AND(Réputation&gt;Voies!E926-1,OR(C926=TRUE,Calculs!$I$8&gt;0),Air&gt;Voies!J926-1,Eau&gt;Voies!K926-1,Feu&gt;Voies!L926-1,Terre&gt;Voies!M926-1,Vide&gt;Voies!N926-1,Constitution&gt;Voies!O926-1,Volonté&gt;Voies!P926-1,Force&gt;Voies!Q926-1,Perception&gt;Voies!R926-1,Reflexes&gt;Voies!S926-1,Agilité&gt;Voies!T926-1,Intuition&gt;Voies!U926-1,Intelligence&gt;Voies!V926-1,Souillure&gt;Voies!W926-1,Honneur&gt;X926-1,Statut&gt;Y926-1,Gloire&gt;Z926-1,AV926=TRUE),Voies!B926,"")</f>
        <v/>
      </c>
      <c r="B926" s="162" t="s">
        <v>2923</v>
      </c>
      <c r="C926" s="162" t="b">
        <f>IF(Clan=Voies!D926,TRUE,FALSE)</f>
        <v>0</v>
      </c>
      <c r="D926" s="388" t="s">
        <v>310</v>
      </c>
      <c r="E926" s="13">
        <v>2</v>
      </c>
      <c r="F926" s="199">
        <v>2</v>
      </c>
      <c r="G926" s="199" t="s">
        <v>2049</v>
      </c>
      <c r="H926" s="162" t="s">
        <v>305</v>
      </c>
      <c r="I926" s="129" t="str">
        <f t="shared" si="106"/>
        <v>Rien</v>
      </c>
      <c r="J926" s="146">
        <v>0</v>
      </c>
      <c r="K926" s="147">
        <v>0</v>
      </c>
      <c r="L926" s="148">
        <v>0</v>
      </c>
      <c r="M926" s="149">
        <v>0</v>
      </c>
      <c r="N926" s="150">
        <v>0</v>
      </c>
      <c r="O926" s="130">
        <v>0</v>
      </c>
      <c r="P926" s="130">
        <v>0</v>
      </c>
      <c r="Q926" s="130">
        <v>0</v>
      </c>
      <c r="R926" s="130">
        <v>0</v>
      </c>
      <c r="S926" s="130">
        <v>0</v>
      </c>
      <c r="T926" s="130">
        <v>0</v>
      </c>
      <c r="U926" s="130">
        <v>0</v>
      </c>
      <c r="V926" s="524">
        <v>0</v>
      </c>
      <c r="W926" s="130">
        <v>0</v>
      </c>
      <c r="X926" s="130">
        <v>0</v>
      </c>
      <c r="Y926" s="130">
        <v>0</v>
      </c>
      <c r="Z926" s="130">
        <v>0</v>
      </c>
      <c r="AA926" s="158" t="s">
        <v>2078</v>
      </c>
      <c r="AB926" s="158"/>
      <c r="AC926" s="158"/>
      <c r="AD926" s="158"/>
      <c r="AE926" s="158" t="b">
        <f>IF(AB926="",TRUE,IF(IF(AC926="",VLOOKUP(AB926,Calculs!$A$19:$S$425,19,FALSE),VLOOKUP(AC926,Calculs!$A$19:$S$425,19,FALSE))&gt;=AD926,TRUE,FALSE))</f>
        <v>1</v>
      </c>
      <c r="AF926" s="158"/>
      <c r="AG926" s="158"/>
      <c r="AH926" s="158"/>
      <c r="AI926" s="158" t="b">
        <f>IF(AF926="",TRUE,IF(IF(AG926="",VLOOKUP(AF926,Calculs!$A$19:$S$425,19,FALSE),VLOOKUP(AG926,Calculs!$A$19:$S$425,19,FALSE))&gt;=AH926,TRUE,FALSE))</f>
        <v>1</v>
      </c>
      <c r="AJ926" s="158"/>
      <c r="AK926" s="158"/>
      <c r="AL926" s="158"/>
      <c r="AM926" s="158" t="b">
        <f>IF(AJ926="",TRUE,IF(IF(AK926="",VLOOKUP(AJ926,Calculs!$A$19:$S$425,19,FALSE),VLOOKUP(AK926,Calculs!$A$19:$S$425,19,FALSE))&gt;=AL926,TRUE,FALSE))</f>
        <v>1</v>
      </c>
      <c r="AN926" s="158"/>
      <c r="AO926" s="158"/>
      <c r="AP926" s="158"/>
      <c r="AQ926" s="158" t="b">
        <f>IF(AN926="",TRUE,IF(IF(AO926="",VLOOKUP(AN926,Calculs!$A$19:$S$425,19,FALSE),VLOOKUP(AO926,Calculs!$A$19:$S$425,19,FALSE))&gt;=AP926,TRUE,FALSE))</f>
        <v>1</v>
      </c>
      <c r="AR926" s="158"/>
      <c r="AS926" s="158" t="b">
        <f>IF(AR926="",TRUE,IF(VLOOKUP(AR926,Calculs!$A$427:$G$738,7,FALSE)&gt;0,TRUE,FALSE))</f>
        <v>1</v>
      </c>
      <c r="AT926" s="158"/>
      <c r="AU926" s="158" t="b">
        <f>IF(AT926="",TRUE,IF(VLOOKUP(AT926,Calculs!$A$740:$G$912,7,FALSE)&gt;0,TRUE,FALSE))</f>
        <v>1</v>
      </c>
      <c r="AV926" s="158" t="b">
        <f t="shared" si="101"/>
        <v>1</v>
      </c>
      <c r="AW926" s="158" t="s">
        <v>2078</v>
      </c>
      <c r="AX926" s="162" t="s">
        <v>2921</v>
      </c>
      <c r="AY926" s="15">
        <v>104</v>
      </c>
      <c r="AZ926" s="555" t="s">
        <v>2927</v>
      </c>
      <c r="BA926" s="559">
        <f>IF(Verso!$B$10=Voies!$B926,1,0)</f>
        <v>0</v>
      </c>
      <c r="BB926" s="12">
        <f>IF(Verso!$B$11=Voies!$B926,1,0)</f>
        <v>0</v>
      </c>
      <c r="BC926" s="12">
        <f>IF(Verso!$B$12=Voies!$B926,1,0)</f>
        <v>0</v>
      </c>
      <c r="BD926" s="12">
        <f>IF(Verso!$B$13=Voies!$B926,1,0)</f>
        <v>0</v>
      </c>
      <c r="BE926" s="12">
        <f>IF(Verso!$B$14=Voies!$B926,1,0)</f>
        <v>0</v>
      </c>
      <c r="BF926" s="12">
        <f>IF(Verso!$B$15=Voies!$B926,1,0)</f>
        <v>0</v>
      </c>
      <c r="BG926" s="12">
        <f>IF(Verso!$B$16=Voies!$B926,1,0)</f>
        <v>0</v>
      </c>
      <c r="BH926" s="12">
        <f>IF(Verso!$B$17=Voies!$B926,1,0)</f>
        <v>0</v>
      </c>
      <c r="BI926" s="557">
        <f t="shared" si="102"/>
        <v>0</v>
      </c>
      <c r="BJ926" s="196" t="str">
        <f t="shared" si="103"/>
        <v/>
      </c>
      <c r="BK926" s="196" t="str">
        <f t="shared" si="104"/>
        <v/>
      </c>
      <c r="BL926" s="295" t="str">
        <f t="shared" si="105"/>
        <v/>
      </c>
    </row>
    <row r="927" spans="1:65" ht="47.25" customHeight="1" x14ac:dyDescent="0.25">
      <c r="A927" s="162" t="str">
        <f>IF(AND(Réputation&gt;Voies!E927-1,OR(C927=TRUE,Calculs!$I$8&gt;0),Air&gt;Voies!J927-1,Eau&gt;Voies!K927-1,Feu&gt;Voies!L927-1,Terre&gt;Voies!M927-1,Vide&gt;Voies!N927-1,Constitution&gt;Voies!O927-1,Volonté&gt;Voies!P927-1,Force&gt;Voies!Q927-1,Perception&gt;Voies!R927-1,Reflexes&gt;Voies!S927-1,Agilité&gt;Voies!T927-1,Intuition&gt;Voies!U927-1,Intelligence&gt;Voies!V927-1,Souillure&gt;Voies!W927-1,Honneur&gt;X927-1,Statut&gt;Y927-1,Gloire&gt;Z927-1,AV927=TRUE),Voies!B927,"")</f>
        <v/>
      </c>
      <c r="B927" s="162" t="s">
        <v>2932</v>
      </c>
      <c r="C927" s="162" t="b">
        <f>IF(Clan=Voies!D927,TRUE,FALSE)</f>
        <v>0</v>
      </c>
      <c r="D927" s="388" t="s">
        <v>310</v>
      </c>
      <c r="E927" s="13">
        <v>2</v>
      </c>
      <c r="F927" s="199">
        <v>2</v>
      </c>
      <c r="G927" s="199" t="s">
        <v>2061</v>
      </c>
      <c r="H927" s="162" t="s">
        <v>306</v>
      </c>
      <c r="I927" s="129" t="str">
        <f t="shared" si="106"/>
        <v>Rien</v>
      </c>
      <c r="J927" s="146">
        <v>0</v>
      </c>
      <c r="K927" s="147">
        <v>0</v>
      </c>
      <c r="L927" s="148">
        <v>0</v>
      </c>
      <c r="M927" s="149">
        <v>0</v>
      </c>
      <c r="N927" s="150">
        <v>0</v>
      </c>
      <c r="O927" s="130">
        <v>0</v>
      </c>
      <c r="P927" s="130">
        <v>0</v>
      </c>
      <c r="Q927" s="130">
        <v>0</v>
      </c>
      <c r="R927" s="130">
        <v>0</v>
      </c>
      <c r="S927" s="130">
        <v>0</v>
      </c>
      <c r="T927" s="130">
        <v>0</v>
      </c>
      <c r="U927" s="130">
        <v>0</v>
      </c>
      <c r="V927" s="524">
        <v>0</v>
      </c>
      <c r="W927" s="130">
        <v>0</v>
      </c>
      <c r="X927" s="130">
        <v>0</v>
      </c>
      <c r="Y927" s="130">
        <v>0</v>
      </c>
      <c r="Z927" s="130">
        <v>0</v>
      </c>
      <c r="AA927" s="158" t="s">
        <v>2078</v>
      </c>
      <c r="AB927" s="158"/>
      <c r="AC927" s="158"/>
      <c r="AD927" s="158"/>
      <c r="AE927" s="158" t="b">
        <f>IF(AB927="",TRUE,IF(IF(AC927="",VLOOKUP(AB927,Calculs!$A$19:$S$425,19,FALSE),VLOOKUP(AC927,Calculs!$A$19:$S$425,19,FALSE))&gt;=AD927,TRUE,FALSE))</f>
        <v>1</v>
      </c>
      <c r="AF927" s="158"/>
      <c r="AG927" s="158"/>
      <c r="AH927" s="158"/>
      <c r="AI927" s="158" t="b">
        <f>IF(AF927="",TRUE,IF(IF(AG927="",VLOOKUP(AF927,Calculs!$A$19:$S$425,19,FALSE),VLOOKUP(AG927,Calculs!$A$19:$S$425,19,FALSE))&gt;=AH927,TRUE,FALSE))</f>
        <v>1</v>
      </c>
      <c r="AJ927" s="158"/>
      <c r="AK927" s="158"/>
      <c r="AL927" s="158"/>
      <c r="AM927" s="158" t="b">
        <f>IF(AJ927="",TRUE,IF(IF(AK927="",VLOOKUP(AJ927,Calculs!$A$19:$S$425,19,FALSE),VLOOKUP(AK927,Calculs!$A$19:$S$425,19,FALSE))&gt;=AL927,TRUE,FALSE))</f>
        <v>1</v>
      </c>
      <c r="AN927" s="158"/>
      <c r="AO927" s="158"/>
      <c r="AP927" s="158"/>
      <c r="AQ927" s="158" t="b">
        <f>IF(AN927="",TRUE,IF(IF(AO927="",VLOOKUP(AN927,Calculs!$A$19:$S$425,19,FALSE),VLOOKUP(AO927,Calculs!$A$19:$S$425,19,FALSE))&gt;=AP927,TRUE,FALSE))</f>
        <v>1</v>
      </c>
      <c r="AR927" s="158"/>
      <c r="AS927" s="158" t="b">
        <f>IF(AR927="",TRUE,IF(VLOOKUP(AR927,Calculs!$A$427:$G$738,7,FALSE)&gt;0,TRUE,FALSE))</f>
        <v>1</v>
      </c>
      <c r="AT927" s="158"/>
      <c r="AU927" s="158" t="b">
        <f>IF(AT927="",TRUE,IF(VLOOKUP(AT927,Calculs!$A$740:$G$912,7,FALSE)&gt;0,TRUE,FALSE))</f>
        <v>1</v>
      </c>
      <c r="AV927" s="158" t="b">
        <f t="shared" si="101"/>
        <v>1</v>
      </c>
      <c r="AW927" s="158" t="s">
        <v>2078</v>
      </c>
      <c r="AX927" s="162" t="s">
        <v>2921</v>
      </c>
      <c r="AY927" s="15">
        <v>105</v>
      </c>
      <c r="AZ927" s="555" t="s">
        <v>2936</v>
      </c>
      <c r="BA927" s="559">
        <f>IF(Verso!$B$10=Voies!$B927,1,0)</f>
        <v>0</v>
      </c>
      <c r="BB927" s="12">
        <f>IF(Verso!$B$11=Voies!$B927,1,0)</f>
        <v>0</v>
      </c>
      <c r="BC927" s="12">
        <f>IF(Verso!$B$12=Voies!$B927,1,0)</f>
        <v>0</v>
      </c>
      <c r="BD927" s="12">
        <f>IF(Verso!$B$13=Voies!$B927,1,0)</f>
        <v>0</v>
      </c>
      <c r="BE927" s="12">
        <f>IF(Verso!$B$14=Voies!$B927,1,0)</f>
        <v>0</v>
      </c>
      <c r="BF927" s="12">
        <f>IF(Verso!$B$15=Voies!$B927,1,0)</f>
        <v>0</v>
      </c>
      <c r="BG927" s="12">
        <f>IF(Verso!$B$16=Voies!$B927,1,0)</f>
        <v>0</v>
      </c>
      <c r="BH927" s="12">
        <f>IF(Verso!$B$17=Voies!$B927,1,0)</f>
        <v>0</v>
      </c>
      <c r="BI927" s="557">
        <f t="shared" si="102"/>
        <v>0</v>
      </c>
      <c r="BJ927" s="196" t="str">
        <f t="shared" si="103"/>
        <v/>
      </c>
      <c r="BK927" s="196" t="str">
        <f t="shared" si="104"/>
        <v/>
      </c>
      <c r="BL927" s="295" t="str">
        <f t="shared" si="105"/>
        <v/>
      </c>
    </row>
    <row r="928" spans="1:65" ht="47.25" customHeight="1" x14ac:dyDescent="0.25">
      <c r="A928" s="162" t="str">
        <f>IF(AND(Réputation&gt;Voies!E928-1,OR(C928=TRUE,Calculs!$I$8&gt;0),Air&gt;Voies!J928-1,Eau&gt;Voies!K928-1,Feu&gt;Voies!L928-1,Terre&gt;Voies!M928-1,Vide&gt;Voies!N928-1,Constitution&gt;Voies!O928-1,Volonté&gt;Voies!P928-1,Force&gt;Voies!Q928-1,Perception&gt;Voies!R928-1,Reflexes&gt;Voies!S928-1,Agilité&gt;Voies!T928-1,Intuition&gt;Voies!U928-1,Intelligence&gt;Voies!V928-1,Souillure&gt;Voies!W928-1,Honneur&gt;X928-1,Statut&gt;Y928-1,Gloire&gt;Z928-1,AV928=TRUE),Voies!B928,"")</f>
        <v/>
      </c>
      <c r="B928" s="162" t="s">
        <v>2924</v>
      </c>
      <c r="C928" s="162" t="b">
        <f>IF(Clan=Voies!D928,TRUE,FALSE)</f>
        <v>0</v>
      </c>
      <c r="D928" s="388" t="s">
        <v>310</v>
      </c>
      <c r="E928" s="13">
        <v>3</v>
      </c>
      <c r="F928" s="199">
        <v>3</v>
      </c>
      <c r="G928" s="199" t="s">
        <v>2049</v>
      </c>
      <c r="H928" s="162" t="s">
        <v>305</v>
      </c>
      <c r="I928" s="129" t="str">
        <f t="shared" si="106"/>
        <v>Rien</v>
      </c>
      <c r="J928" s="146">
        <v>0</v>
      </c>
      <c r="K928" s="147">
        <v>0</v>
      </c>
      <c r="L928" s="148">
        <v>0</v>
      </c>
      <c r="M928" s="149">
        <v>0</v>
      </c>
      <c r="N928" s="150">
        <v>0</v>
      </c>
      <c r="O928" s="130">
        <v>0</v>
      </c>
      <c r="P928" s="130">
        <v>0</v>
      </c>
      <c r="Q928" s="130">
        <v>0</v>
      </c>
      <c r="R928" s="130">
        <v>0</v>
      </c>
      <c r="S928" s="130">
        <v>0</v>
      </c>
      <c r="T928" s="130">
        <v>0</v>
      </c>
      <c r="U928" s="130">
        <v>0</v>
      </c>
      <c r="V928" s="524">
        <v>0</v>
      </c>
      <c r="W928" s="130">
        <v>0</v>
      </c>
      <c r="X928" s="130">
        <v>0</v>
      </c>
      <c r="Y928" s="130">
        <v>0</v>
      </c>
      <c r="Z928" s="130">
        <v>0</v>
      </c>
      <c r="AA928" s="158" t="s">
        <v>2078</v>
      </c>
      <c r="AB928" s="158"/>
      <c r="AC928" s="158"/>
      <c r="AD928" s="158"/>
      <c r="AE928" s="158" t="b">
        <f>IF(AB928="",TRUE,IF(IF(AC928="",VLOOKUP(AB928,Calculs!$A$19:$S$425,19,FALSE),VLOOKUP(AC928,Calculs!$A$19:$S$425,19,FALSE))&gt;=AD928,TRUE,FALSE))</f>
        <v>1</v>
      </c>
      <c r="AF928" s="158"/>
      <c r="AG928" s="158"/>
      <c r="AH928" s="158"/>
      <c r="AI928" s="158" t="b">
        <f>IF(AF928="",TRUE,IF(IF(AG928="",VLOOKUP(AF928,Calculs!$A$19:$S$425,19,FALSE),VLOOKUP(AG928,Calculs!$A$19:$S$425,19,FALSE))&gt;=AH928,TRUE,FALSE))</f>
        <v>1</v>
      </c>
      <c r="AJ928" s="158"/>
      <c r="AK928" s="158"/>
      <c r="AL928" s="158"/>
      <c r="AM928" s="158" t="b">
        <f>IF(AJ928="",TRUE,IF(IF(AK928="",VLOOKUP(AJ928,Calculs!$A$19:$S$425,19,FALSE),VLOOKUP(AK928,Calculs!$A$19:$S$425,19,FALSE))&gt;=AL928,TRUE,FALSE))</f>
        <v>1</v>
      </c>
      <c r="AN928" s="158"/>
      <c r="AO928" s="158"/>
      <c r="AP928" s="158"/>
      <c r="AQ928" s="158" t="b">
        <f>IF(AN928="",TRUE,IF(IF(AO928="",VLOOKUP(AN928,Calculs!$A$19:$S$425,19,FALSE),VLOOKUP(AO928,Calculs!$A$19:$S$425,19,FALSE))&gt;=AP928,TRUE,FALSE))</f>
        <v>1</v>
      </c>
      <c r="AR928" s="158"/>
      <c r="AS928" s="158" t="b">
        <f>IF(AR928="",TRUE,IF(VLOOKUP(AR928,Calculs!$A$427:$G$738,7,FALSE)&gt;0,TRUE,FALSE))</f>
        <v>1</v>
      </c>
      <c r="AT928" s="158"/>
      <c r="AU928" s="158" t="b">
        <f>IF(AT928="",TRUE,IF(VLOOKUP(AT928,Calculs!$A$740:$G$912,7,FALSE)&gt;0,TRUE,FALSE))</f>
        <v>1</v>
      </c>
      <c r="AV928" s="158" t="b">
        <f t="shared" si="101"/>
        <v>1</v>
      </c>
      <c r="AW928" s="158" t="s">
        <v>2078</v>
      </c>
      <c r="AX928" s="162" t="s">
        <v>2921</v>
      </c>
      <c r="AY928" s="15">
        <v>104</v>
      </c>
      <c r="AZ928" s="555" t="s">
        <v>2928</v>
      </c>
      <c r="BA928" s="559">
        <f>IF(Verso!$B$10=Voies!$B928,1,0)</f>
        <v>0</v>
      </c>
      <c r="BB928" s="12">
        <f>IF(Verso!$B$11=Voies!$B928,1,0)</f>
        <v>0</v>
      </c>
      <c r="BC928" s="12">
        <f>IF(Verso!$B$12=Voies!$B928,1,0)</f>
        <v>0</v>
      </c>
      <c r="BD928" s="12">
        <f>IF(Verso!$B$13=Voies!$B928,1,0)</f>
        <v>0</v>
      </c>
      <c r="BE928" s="12">
        <f>IF(Verso!$B$14=Voies!$B928,1,0)</f>
        <v>0</v>
      </c>
      <c r="BF928" s="12">
        <f>IF(Verso!$B$15=Voies!$B928,1,0)</f>
        <v>0</v>
      </c>
      <c r="BG928" s="12">
        <f>IF(Verso!$B$16=Voies!$B928,1,0)</f>
        <v>0</v>
      </c>
      <c r="BH928" s="12">
        <f>IF(Verso!$B$17=Voies!$B928,1,0)</f>
        <v>0</v>
      </c>
      <c r="BI928" s="557">
        <f t="shared" si="102"/>
        <v>0</v>
      </c>
      <c r="BJ928" s="196" t="str">
        <f t="shared" si="103"/>
        <v/>
      </c>
      <c r="BK928" s="196" t="str">
        <f t="shared" si="104"/>
        <v/>
      </c>
      <c r="BL928" s="295" t="str">
        <f t="shared" si="105"/>
        <v/>
      </c>
    </row>
    <row r="929" spans="1:65" ht="47.25" customHeight="1" x14ac:dyDescent="0.25">
      <c r="A929" s="162" t="str">
        <f>IF(AND(Réputation&gt;Voies!E929-1,OR(C929=TRUE,Calculs!$I$8&gt;0),Air&gt;Voies!J929-1,Eau&gt;Voies!K929-1,Feu&gt;Voies!L929-1,Terre&gt;Voies!M929-1,Vide&gt;Voies!N929-1,Constitution&gt;Voies!O929-1,Volonté&gt;Voies!P929-1,Force&gt;Voies!Q929-1,Perception&gt;Voies!R929-1,Reflexes&gt;Voies!S929-1,Agilité&gt;Voies!T929-1,Intuition&gt;Voies!U929-1,Intelligence&gt;Voies!V929-1,Souillure&gt;Voies!W929-1,Honneur&gt;X929-1,Statut&gt;Y929-1,Gloire&gt;Z929-1,AV929=TRUE),Voies!B929,"")</f>
        <v/>
      </c>
      <c r="B929" s="162" t="s">
        <v>2933</v>
      </c>
      <c r="C929" s="162" t="b">
        <f>IF(Clan=Voies!D929,TRUE,FALSE)</f>
        <v>0</v>
      </c>
      <c r="D929" s="388" t="s">
        <v>310</v>
      </c>
      <c r="E929" s="13">
        <v>3</v>
      </c>
      <c r="F929" s="199">
        <v>3</v>
      </c>
      <c r="G929" s="199" t="s">
        <v>2061</v>
      </c>
      <c r="H929" s="162" t="s">
        <v>306</v>
      </c>
      <c r="I929" s="129" t="str">
        <f t="shared" si="106"/>
        <v>Rien</v>
      </c>
      <c r="J929" s="146">
        <v>0</v>
      </c>
      <c r="K929" s="147">
        <v>0</v>
      </c>
      <c r="L929" s="148">
        <v>0</v>
      </c>
      <c r="M929" s="149">
        <v>0</v>
      </c>
      <c r="N929" s="150">
        <v>0</v>
      </c>
      <c r="O929" s="130">
        <v>0</v>
      </c>
      <c r="P929" s="130">
        <v>0</v>
      </c>
      <c r="Q929" s="130">
        <v>0</v>
      </c>
      <c r="R929" s="130">
        <v>0</v>
      </c>
      <c r="S929" s="130">
        <v>0</v>
      </c>
      <c r="T929" s="130">
        <v>0</v>
      </c>
      <c r="U929" s="130">
        <v>0</v>
      </c>
      <c r="V929" s="524">
        <v>0</v>
      </c>
      <c r="W929" s="130">
        <v>0</v>
      </c>
      <c r="X929" s="130">
        <v>0</v>
      </c>
      <c r="Y929" s="130">
        <v>0</v>
      </c>
      <c r="Z929" s="130">
        <v>0</v>
      </c>
      <c r="AA929" s="158" t="s">
        <v>2078</v>
      </c>
      <c r="AB929" s="158"/>
      <c r="AC929" s="158"/>
      <c r="AD929" s="158"/>
      <c r="AE929" s="158" t="b">
        <f>IF(AB929="",TRUE,IF(IF(AC929="",VLOOKUP(AB929,Calculs!$A$19:$S$425,19,FALSE),VLOOKUP(AC929,Calculs!$A$19:$S$425,19,FALSE))&gt;=AD929,TRUE,FALSE))</f>
        <v>1</v>
      </c>
      <c r="AF929" s="158"/>
      <c r="AG929" s="158"/>
      <c r="AH929" s="158"/>
      <c r="AI929" s="158" t="b">
        <f>IF(AF929="",TRUE,IF(IF(AG929="",VLOOKUP(AF929,Calculs!$A$19:$S$425,19,FALSE),VLOOKUP(AG929,Calculs!$A$19:$S$425,19,FALSE))&gt;=AH929,TRUE,FALSE))</f>
        <v>1</v>
      </c>
      <c r="AJ929" s="158"/>
      <c r="AK929" s="158"/>
      <c r="AL929" s="158"/>
      <c r="AM929" s="158" t="b">
        <f>IF(AJ929="",TRUE,IF(IF(AK929="",VLOOKUP(AJ929,Calculs!$A$19:$S$425,19,FALSE),VLOOKUP(AK929,Calculs!$A$19:$S$425,19,FALSE))&gt;=AL929,TRUE,FALSE))</f>
        <v>1</v>
      </c>
      <c r="AN929" s="158"/>
      <c r="AO929" s="158"/>
      <c r="AP929" s="158"/>
      <c r="AQ929" s="158" t="b">
        <f>IF(AN929="",TRUE,IF(IF(AO929="",VLOOKUP(AN929,Calculs!$A$19:$S$425,19,FALSE),VLOOKUP(AO929,Calculs!$A$19:$S$425,19,FALSE))&gt;=AP929,TRUE,FALSE))</f>
        <v>1</v>
      </c>
      <c r="AR929" s="158"/>
      <c r="AS929" s="158" t="b">
        <f>IF(AR929="",TRUE,IF(VLOOKUP(AR929,Calculs!$A$427:$G$738,7,FALSE)&gt;0,TRUE,FALSE))</f>
        <v>1</v>
      </c>
      <c r="AT929" s="158"/>
      <c r="AU929" s="158" t="b">
        <f>IF(AT929="",TRUE,IF(VLOOKUP(AT929,Calculs!$A$740:$G$912,7,FALSE)&gt;0,TRUE,FALSE))</f>
        <v>1</v>
      </c>
      <c r="AV929" s="158" t="b">
        <f t="shared" si="101"/>
        <v>1</v>
      </c>
      <c r="AW929" s="158" t="s">
        <v>2078</v>
      </c>
      <c r="AX929" s="162" t="s">
        <v>2921</v>
      </c>
      <c r="AY929" s="15">
        <v>105</v>
      </c>
      <c r="AZ929" s="555" t="str">
        <f>CONCATENATE("+",Vide," à tous vos tests basés sur la Perception.")</f>
        <v>+2 à tous vos tests basés sur la Perception.</v>
      </c>
      <c r="BA929" s="559">
        <f>IF(Verso!$B$10=Voies!$B929,1,0)</f>
        <v>0</v>
      </c>
      <c r="BB929" s="12">
        <f>IF(Verso!$B$11=Voies!$B929,1,0)</f>
        <v>0</v>
      </c>
      <c r="BC929" s="12">
        <f>IF(Verso!$B$12=Voies!$B929,1,0)</f>
        <v>0</v>
      </c>
      <c r="BD929" s="12">
        <f>IF(Verso!$B$13=Voies!$B929,1,0)</f>
        <v>0</v>
      </c>
      <c r="BE929" s="12">
        <f>IF(Verso!$B$14=Voies!$B929,1,0)</f>
        <v>0</v>
      </c>
      <c r="BF929" s="12">
        <f>IF(Verso!$B$15=Voies!$B929,1,0)</f>
        <v>0</v>
      </c>
      <c r="BG929" s="12">
        <f>IF(Verso!$B$16=Voies!$B929,1,0)</f>
        <v>0</v>
      </c>
      <c r="BH929" s="12">
        <f>IF(Verso!$B$17=Voies!$B929,1,0)</f>
        <v>0</v>
      </c>
      <c r="BI929" s="557">
        <f t="shared" si="102"/>
        <v>0</v>
      </c>
      <c r="BJ929" s="196" t="str">
        <f t="shared" si="103"/>
        <v/>
      </c>
      <c r="BK929" s="196" t="str">
        <f t="shared" si="104"/>
        <v/>
      </c>
      <c r="BL929" s="295" t="str">
        <f t="shared" si="105"/>
        <v/>
      </c>
    </row>
    <row r="930" spans="1:65" ht="47.25" customHeight="1" x14ac:dyDescent="0.25">
      <c r="A930" s="162" t="str">
        <f>IF(AND(Réputation&gt;Voies!E930-1,OR(C930=TRUE,Calculs!$I$8&gt;0),Air&gt;Voies!J930-1,Eau&gt;Voies!K930-1,Feu&gt;Voies!L930-1,Terre&gt;Voies!M930-1,Vide&gt;Voies!N930-1,Constitution&gt;Voies!O930-1,Volonté&gt;Voies!P930-1,Force&gt;Voies!Q930-1,Perception&gt;Voies!R930-1,Reflexes&gt;Voies!S930-1,Agilité&gt;Voies!T930-1,Intuition&gt;Voies!U930-1,Intelligence&gt;Voies!V930-1,Souillure&gt;Voies!W930-1,Honneur&gt;X930-1,Statut&gt;Y930-1,Gloire&gt;Z930-1,AV930=TRUE),Voies!B930,"")</f>
        <v/>
      </c>
      <c r="B930" s="162" t="s">
        <v>2925</v>
      </c>
      <c r="C930" s="162" t="b">
        <f>IF(Clan=Voies!D930,TRUE,FALSE)</f>
        <v>0</v>
      </c>
      <c r="D930" s="388" t="s">
        <v>310</v>
      </c>
      <c r="E930" s="13">
        <v>4</v>
      </c>
      <c r="F930" s="199">
        <v>4</v>
      </c>
      <c r="G930" s="13" t="s">
        <v>2049</v>
      </c>
      <c r="H930" s="162" t="s">
        <v>305</v>
      </c>
      <c r="I930" s="129" t="str">
        <f t="shared" si="106"/>
        <v>Rien</v>
      </c>
      <c r="J930" s="146">
        <v>0</v>
      </c>
      <c r="K930" s="147">
        <v>0</v>
      </c>
      <c r="L930" s="148">
        <v>0</v>
      </c>
      <c r="M930" s="149">
        <v>0</v>
      </c>
      <c r="N930" s="150">
        <v>0</v>
      </c>
      <c r="O930" s="130">
        <v>0</v>
      </c>
      <c r="P930" s="130">
        <v>0</v>
      </c>
      <c r="Q930" s="130">
        <v>0</v>
      </c>
      <c r="R930" s="130">
        <v>0</v>
      </c>
      <c r="S930" s="130">
        <v>0</v>
      </c>
      <c r="T930" s="130">
        <v>0</v>
      </c>
      <c r="U930" s="130">
        <v>0</v>
      </c>
      <c r="V930" s="524">
        <v>0</v>
      </c>
      <c r="W930" s="130">
        <v>0</v>
      </c>
      <c r="X930" s="130">
        <v>0</v>
      </c>
      <c r="Y930" s="130">
        <v>0</v>
      </c>
      <c r="Z930" s="130">
        <v>0</v>
      </c>
      <c r="AA930" s="158" t="s">
        <v>2078</v>
      </c>
      <c r="AB930" s="158"/>
      <c r="AC930" s="158"/>
      <c r="AD930" s="158"/>
      <c r="AE930" s="158" t="b">
        <f>IF(AB930="",TRUE,IF(IF(AC930="",VLOOKUP(AB930,Calculs!$A$19:$S$425,19,FALSE),VLOOKUP(AC930,Calculs!$A$19:$S$425,19,FALSE))&gt;=AD930,TRUE,FALSE))</f>
        <v>1</v>
      </c>
      <c r="AF930" s="158"/>
      <c r="AG930" s="158"/>
      <c r="AH930" s="158"/>
      <c r="AI930" s="158" t="b">
        <f>IF(AF930="",TRUE,IF(IF(AG930="",VLOOKUP(AF930,Calculs!$A$19:$S$425,19,FALSE),VLOOKUP(AG930,Calculs!$A$19:$S$425,19,FALSE))&gt;=AH930,TRUE,FALSE))</f>
        <v>1</v>
      </c>
      <c r="AJ930" s="158"/>
      <c r="AK930" s="158"/>
      <c r="AL930" s="158"/>
      <c r="AM930" s="158" t="b">
        <f>IF(AJ930="",TRUE,IF(IF(AK930="",VLOOKUP(AJ930,Calculs!$A$19:$S$425,19,FALSE),VLOOKUP(AK930,Calculs!$A$19:$S$425,19,FALSE))&gt;=AL930,TRUE,FALSE))</f>
        <v>1</v>
      </c>
      <c r="AN930" s="158"/>
      <c r="AO930" s="158"/>
      <c r="AP930" s="158"/>
      <c r="AQ930" s="158" t="b">
        <f>IF(AN930="",TRUE,IF(IF(AO930="",VLOOKUP(AN930,Calculs!$A$19:$S$425,19,FALSE),VLOOKUP(AO930,Calculs!$A$19:$S$425,19,FALSE))&gt;=AP930,TRUE,FALSE))</f>
        <v>1</v>
      </c>
      <c r="AR930" s="158"/>
      <c r="AS930" s="158" t="b">
        <f>IF(AR930="",TRUE,IF(VLOOKUP(AR930,Calculs!$A$427:$G$738,7,FALSE)&gt;0,TRUE,FALSE))</f>
        <v>1</v>
      </c>
      <c r="AT930" s="158"/>
      <c r="AU930" s="158" t="b">
        <f>IF(AT930="",TRUE,IF(VLOOKUP(AT930,Calculs!$A$740:$G$912,7,FALSE)&gt;0,TRUE,FALSE))</f>
        <v>1</v>
      </c>
      <c r="AV930" s="158" t="b">
        <f t="shared" si="101"/>
        <v>1</v>
      </c>
      <c r="AW930" s="158" t="s">
        <v>2078</v>
      </c>
      <c r="AX930" s="162" t="s">
        <v>2921</v>
      </c>
      <c r="AY930" s="15">
        <v>104</v>
      </c>
      <c r="AZ930" s="555" t="s">
        <v>2929</v>
      </c>
      <c r="BA930" s="559">
        <f>IF(Verso!$B$10=Voies!$B930,1,0)</f>
        <v>0</v>
      </c>
      <c r="BB930" s="12">
        <f>IF(Verso!$B$11=Voies!$B930,1,0)</f>
        <v>0</v>
      </c>
      <c r="BC930" s="12">
        <f>IF(Verso!$B$12=Voies!$B930,1,0)</f>
        <v>0</v>
      </c>
      <c r="BD930" s="12">
        <f>IF(Verso!$B$13=Voies!$B930,1,0)</f>
        <v>0</v>
      </c>
      <c r="BE930" s="12">
        <f>IF(Verso!$B$14=Voies!$B930,1,0)</f>
        <v>0</v>
      </c>
      <c r="BF930" s="12">
        <f>IF(Verso!$B$15=Voies!$B930,1,0)</f>
        <v>0</v>
      </c>
      <c r="BG930" s="12">
        <f>IF(Verso!$B$16=Voies!$B930,1,0)</f>
        <v>0</v>
      </c>
      <c r="BH930" s="12">
        <f>IF(Verso!$B$17=Voies!$B930,1,0)</f>
        <v>0</v>
      </c>
      <c r="BI930" s="557">
        <f t="shared" si="102"/>
        <v>0</v>
      </c>
      <c r="BJ930" s="196" t="str">
        <f t="shared" si="103"/>
        <v/>
      </c>
      <c r="BK930" s="196" t="str">
        <f t="shared" si="104"/>
        <v/>
      </c>
      <c r="BL930" s="295" t="str">
        <f t="shared" si="105"/>
        <v/>
      </c>
    </row>
    <row r="931" spans="1:65" ht="47.25" customHeight="1" x14ac:dyDescent="0.25">
      <c r="A931" s="162" t="str">
        <f>IF(AND(Réputation&gt;Voies!E931-1,OR(C931=TRUE,Calculs!$I$8&gt;0),Air&gt;Voies!J931-1,Eau&gt;Voies!K931-1,Feu&gt;Voies!L931-1,Terre&gt;Voies!M931-1,Vide&gt;Voies!N931-1,Constitution&gt;Voies!O931-1,Volonté&gt;Voies!P931-1,Force&gt;Voies!Q931-1,Perception&gt;Voies!R931-1,Reflexes&gt;Voies!S931-1,Agilité&gt;Voies!T931-1,Intuition&gt;Voies!U931-1,Intelligence&gt;Voies!V931-1,Souillure&gt;Voies!W931-1,Honneur&gt;X931-1,Statut&gt;Y931-1,Gloire&gt;Z931-1,AV931=TRUE),Voies!B931,"")</f>
        <v/>
      </c>
      <c r="B931" s="162" t="s">
        <v>2934</v>
      </c>
      <c r="C931" s="162" t="b">
        <f>IF(Clan=Voies!D931,TRUE,FALSE)</f>
        <v>0</v>
      </c>
      <c r="D931" s="388" t="s">
        <v>310</v>
      </c>
      <c r="E931" s="13">
        <v>4</v>
      </c>
      <c r="F931" s="199">
        <v>4</v>
      </c>
      <c r="G931" s="199" t="s">
        <v>2061</v>
      </c>
      <c r="H931" s="162" t="s">
        <v>306</v>
      </c>
      <c r="I931" s="129" t="str">
        <f t="shared" si="106"/>
        <v>Rien</v>
      </c>
      <c r="J931" s="146">
        <v>0</v>
      </c>
      <c r="K931" s="147">
        <v>0</v>
      </c>
      <c r="L931" s="148">
        <v>0</v>
      </c>
      <c r="M931" s="149">
        <v>0</v>
      </c>
      <c r="N931" s="150">
        <v>0</v>
      </c>
      <c r="O931" s="130">
        <v>0</v>
      </c>
      <c r="P931" s="130">
        <v>0</v>
      </c>
      <c r="Q931" s="130">
        <v>0</v>
      </c>
      <c r="R931" s="130">
        <v>0</v>
      </c>
      <c r="S931" s="130">
        <v>0</v>
      </c>
      <c r="T931" s="130">
        <v>0</v>
      </c>
      <c r="U931" s="130">
        <v>0</v>
      </c>
      <c r="V931" s="524">
        <v>0</v>
      </c>
      <c r="W931" s="130">
        <v>0</v>
      </c>
      <c r="X931" s="130">
        <v>0</v>
      </c>
      <c r="Y931" s="130">
        <v>0</v>
      </c>
      <c r="Z931" s="130">
        <v>0</v>
      </c>
      <c r="AA931" s="158" t="s">
        <v>2078</v>
      </c>
      <c r="AB931" s="158"/>
      <c r="AC931" s="158"/>
      <c r="AD931" s="158"/>
      <c r="AE931" s="158" t="b">
        <f>IF(AB931="",TRUE,IF(IF(AC931="",VLOOKUP(AB931,Calculs!$A$19:$S$425,19,FALSE),VLOOKUP(AC931,Calculs!$A$19:$S$425,19,FALSE))&gt;=AD931,TRUE,FALSE))</f>
        <v>1</v>
      </c>
      <c r="AF931" s="158"/>
      <c r="AG931" s="158"/>
      <c r="AH931" s="158"/>
      <c r="AI931" s="158" t="b">
        <f>IF(AF931="",TRUE,IF(IF(AG931="",VLOOKUP(AF931,Calculs!$A$19:$S$425,19,FALSE),VLOOKUP(AG931,Calculs!$A$19:$S$425,19,FALSE))&gt;=AH931,TRUE,FALSE))</f>
        <v>1</v>
      </c>
      <c r="AJ931" s="158"/>
      <c r="AK931" s="158"/>
      <c r="AL931" s="158"/>
      <c r="AM931" s="158" t="b">
        <f>IF(AJ931="",TRUE,IF(IF(AK931="",VLOOKUP(AJ931,Calculs!$A$19:$S$425,19,FALSE),VLOOKUP(AK931,Calculs!$A$19:$S$425,19,FALSE))&gt;=AL931,TRUE,FALSE))</f>
        <v>1</v>
      </c>
      <c r="AN931" s="158"/>
      <c r="AO931" s="158"/>
      <c r="AP931" s="158"/>
      <c r="AQ931" s="158" t="b">
        <f>IF(AN931="",TRUE,IF(IF(AO931="",VLOOKUP(AN931,Calculs!$A$19:$S$425,19,FALSE),VLOOKUP(AO931,Calculs!$A$19:$S$425,19,FALSE))&gt;=AP931,TRUE,FALSE))</f>
        <v>1</v>
      </c>
      <c r="AR931" s="158"/>
      <c r="AS931" s="158" t="b">
        <f>IF(AR931="",TRUE,IF(VLOOKUP(AR931,Calculs!$A$427:$G$738,7,FALSE)&gt;0,TRUE,FALSE))</f>
        <v>1</v>
      </c>
      <c r="AT931" s="158"/>
      <c r="AU931" s="158" t="b">
        <f>IF(AT931="",TRUE,IF(VLOOKUP(AT931,Calculs!$A$740:$G$912,7,FALSE)&gt;0,TRUE,FALSE))</f>
        <v>1</v>
      </c>
      <c r="AV931" s="158" t="b">
        <f t="shared" si="101"/>
        <v>1</v>
      </c>
      <c r="AW931" s="158" t="s">
        <v>2078</v>
      </c>
      <c r="AX931" s="162" t="s">
        <v>2921</v>
      </c>
      <c r="AY931" s="15">
        <v>105</v>
      </c>
      <c r="AZ931" s="555" t="s">
        <v>2937</v>
      </c>
      <c r="BA931" s="559">
        <f>IF(Verso!$B$10=Voies!$B931,1,0)</f>
        <v>0</v>
      </c>
      <c r="BB931" s="12">
        <f>IF(Verso!$B$11=Voies!$B931,1,0)</f>
        <v>0</v>
      </c>
      <c r="BC931" s="12">
        <f>IF(Verso!$B$12=Voies!$B931,1,0)</f>
        <v>0</v>
      </c>
      <c r="BD931" s="12">
        <f>IF(Verso!$B$13=Voies!$B931,1,0)</f>
        <v>0</v>
      </c>
      <c r="BE931" s="12">
        <f>IF(Verso!$B$14=Voies!$B931,1,0)</f>
        <v>0</v>
      </c>
      <c r="BF931" s="12">
        <f>IF(Verso!$B$15=Voies!$B931,1,0)</f>
        <v>0</v>
      </c>
      <c r="BG931" s="12">
        <f>IF(Verso!$B$16=Voies!$B931,1,0)</f>
        <v>0</v>
      </c>
      <c r="BH931" s="12">
        <f>IF(Verso!$B$17=Voies!$B931,1,0)</f>
        <v>0</v>
      </c>
      <c r="BI931" s="557">
        <f t="shared" si="102"/>
        <v>0</v>
      </c>
      <c r="BJ931" s="196" t="str">
        <f t="shared" si="103"/>
        <v/>
      </c>
      <c r="BK931" s="196" t="str">
        <f t="shared" si="104"/>
        <v/>
      </c>
      <c r="BL931" s="295" t="str">
        <f t="shared" si="105"/>
        <v/>
      </c>
    </row>
    <row r="932" spans="1:65" ht="47.25" customHeight="1" x14ac:dyDescent="0.25">
      <c r="A932" s="162" t="str">
        <f>IF(AND(Réputation&gt;Voies!E932-1,OR(C932=TRUE,Calculs!$I$8&gt;0),Air&gt;Voies!J932-1,Eau&gt;Voies!K932-1,Feu&gt;Voies!L932-1,Terre&gt;Voies!M932-1,Vide&gt;Voies!N932-1,Constitution&gt;Voies!O932-1,Volonté&gt;Voies!P932-1,Force&gt;Voies!Q932-1,Perception&gt;Voies!R932-1,Reflexes&gt;Voies!S932-1,Agilité&gt;Voies!T932-1,Intuition&gt;Voies!U932-1,Intelligence&gt;Voies!V932-1,Souillure&gt;Voies!W932-1,Honneur&gt;X932-1,Statut&gt;Y932-1,Gloire&gt;Z932-1,AV932=TRUE),Voies!B932,"")</f>
        <v/>
      </c>
      <c r="B932" s="162" t="s">
        <v>2926</v>
      </c>
      <c r="C932" s="162" t="b">
        <f>IF(Clan=Voies!D932,TRUE,FALSE)</f>
        <v>0</v>
      </c>
      <c r="D932" s="388" t="s">
        <v>310</v>
      </c>
      <c r="E932" s="13">
        <v>5</v>
      </c>
      <c r="F932" s="199">
        <v>5</v>
      </c>
      <c r="G932" s="13" t="s">
        <v>2049</v>
      </c>
      <c r="H932" s="162" t="s">
        <v>305</v>
      </c>
      <c r="I932" s="129" t="str">
        <f t="shared" si="106"/>
        <v>Rien</v>
      </c>
      <c r="J932" s="146">
        <v>0</v>
      </c>
      <c r="K932" s="147">
        <v>0</v>
      </c>
      <c r="L932" s="148">
        <v>0</v>
      </c>
      <c r="M932" s="149">
        <v>0</v>
      </c>
      <c r="N932" s="150">
        <v>0</v>
      </c>
      <c r="O932" s="130">
        <v>0</v>
      </c>
      <c r="P932" s="130">
        <v>0</v>
      </c>
      <c r="Q932" s="130">
        <v>0</v>
      </c>
      <c r="R932" s="130">
        <v>0</v>
      </c>
      <c r="S932" s="130">
        <v>0</v>
      </c>
      <c r="T932" s="130">
        <v>0</v>
      </c>
      <c r="U932" s="130">
        <v>0</v>
      </c>
      <c r="V932" s="524">
        <v>0</v>
      </c>
      <c r="W932" s="130">
        <v>0</v>
      </c>
      <c r="X932" s="130">
        <v>0</v>
      </c>
      <c r="Y932" s="130">
        <v>0</v>
      </c>
      <c r="Z932" s="130">
        <v>0</v>
      </c>
      <c r="AA932" s="158" t="s">
        <v>2078</v>
      </c>
      <c r="AB932" s="158"/>
      <c r="AC932" s="158"/>
      <c r="AD932" s="158"/>
      <c r="AE932" s="158" t="b">
        <f>IF(AB932="",TRUE,IF(IF(AC932="",VLOOKUP(AB932,Calculs!$A$19:$S$425,19,FALSE),VLOOKUP(AC932,Calculs!$A$19:$S$425,19,FALSE))&gt;=AD932,TRUE,FALSE))</f>
        <v>1</v>
      </c>
      <c r="AF932" s="158"/>
      <c r="AG932" s="158"/>
      <c r="AH932" s="158"/>
      <c r="AI932" s="158" t="b">
        <f>IF(AF932="",TRUE,IF(IF(AG932="",VLOOKUP(AF932,Calculs!$A$19:$S$425,19,FALSE),VLOOKUP(AG932,Calculs!$A$19:$S$425,19,FALSE))&gt;=AH932,TRUE,FALSE))</f>
        <v>1</v>
      </c>
      <c r="AJ932" s="158"/>
      <c r="AK932" s="158"/>
      <c r="AL932" s="158"/>
      <c r="AM932" s="158" t="b">
        <f>IF(AJ932="",TRUE,IF(IF(AK932="",VLOOKUP(AJ932,Calculs!$A$19:$S$425,19,FALSE),VLOOKUP(AK932,Calculs!$A$19:$S$425,19,FALSE))&gt;=AL932,TRUE,FALSE))</f>
        <v>1</v>
      </c>
      <c r="AN932" s="158"/>
      <c r="AO932" s="158"/>
      <c r="AP932" s="158"/>
      <c r="AQ932" s="158" t="b">
        <f>IF(AN932="",TRUE,IF(IF(AO932="",VLOOKUP(AN932,Calculs!$A$19:$S$425,19,FALSE),VLOOKUP(AO932,Calculs!$A$19:$S$425,19,FALSE))&gt;=AP932,TRUE,FALSE))</f>
        <v>1</v>
      </c>
      <c r="AR932" s="158"/>
      <c r="AS932" s="158" t="b">
        <f>IF(AR932="",TRUE,IF(VLOOKUP(AR932,Calculs!$A$427:$G$738,7,FALSE)&gt;0,TRUE,FALSE))</f>
        <v>1</v>
      </c>
      <c r="AT932" s="158"/>
      <c r="AU932" s="158" t="b">
        <f>IF(AT932="",TRUE,IF(VLOOKUP(AT932,Calculs!$A$740:$G$912,7,FALSE)&gt;0,TRUE,FALSE))</f>
        <v>1</v>
      </c>
      <c r="AV932" s="158" t="b">
        <f t="shared" si="101"/>
        <v>1</v>
      </c>
      <c r="AW932" s="158" t="s">
        <v>2078</v>
      </c>
      <c r="AX932" s="162" t="s">
        <v>2921</v>
      </c>
      <c r="AY932" s="15">
        <v>104</v>
      </c>
      <c r="AZ932" s="555" t="s">
        <v>2930</v>
      </c>
      <c r="BA932" s="559">
        <f>IF(Verso!$B$10=Voies!$B932,1,0)</f>
        <v>0</v>
      </c>
      <c r="BB932" s="12">
        <f>IF(Verso!$B$11=Voies!$B932,1,0)</f>
        <v>0</v>
      </c>
      <c r="BC932" s="12">
        <f>IF(Verso!$B$12=Voies!$B932,1,0)</f>
        <v>0</v>
      </c>
      <c r="BD932" s="12">
        <f>IF(Verso!$B$13=Voies!$B932,1,0)</f>
        <v>0</v>
      </c>
      <c r="BE932" s="12">
        <f>IF(Verso!$B$14=Voies!$B932,1,0)</f>
        <v>0</v>
      </c>
      <c r="BF932" s="12">
        <f>IF(Verso!$B$15=Voies!$B932,1,0)</f>
        <v>0</v>
      </c>
      <c r="BG932" s="12">
        <f>IF(Verso!$B$16=Voies!$B932,1,0)</f>
        <v>0</v>
      </c>
      <c r="BH932" s="12">
        <f>IF(Verso!$B$17=Voies!$B932,1,0)</f>
        <v>0</v>
      </c>
      <c r="BI932" s="557">
        <f t="shared" si="102"/>
        <v>0</v>
      </c>
      <c r="BJ932" s="196" t="str">
        <f t="shared" si="103"/>
        <v/>
      </c>
      <c r="BK932" s="196" t="str">
        <f t="shared" si="104"/>
        <v/>
      </c>
      <c r="BL932" s="295" t="str">
        <f t="shared" si="105"/>
        <v/>
      </c>
    </row>
    <row r="933" spans="1:65" ht="47.25" customHeight="1" x14ac:dyDescent="0.25">
      <c r="A933" s="162" t="str">
        <f>IF(AND(Réputation&gt;Voies!E933-1,OR(C933=TRUE,Calculs!$I$8&gt;0),Air&gt;Voies!J933-1,Eau&gt;Voies!K933-1,Feu&gt;Voies!L933-1,Terre&gt;Voies!M933-1,Vide&gt;Voies!N933-1,Constitution&gt;Voies!O933-1,Volonté&gt;Voies!P933-1,Force&gt;Voies!Q933-1,Perception&gt;Voies!R933-1,Reflexes&gt;Voies!S933-1,Agilité&gt;Voies!T933-1,Intuition&gt;Voies!U933-1,Intelligence&gt;Voies!V933-1,Souillure&gt;Voies!W933-1,Honneur&gt;X933-1,Statut&gt;Y933-1,Gloire&gt;Z933-1,AV933=TRUE),Voies!B933,"")</f>
        <v/>
      </c>
      <c r="B933" s="162" t="s">
        <v>2935</v>
      </c>
      <c r="C933" s="162" t="b">
        <f>IF(Clan=Voies!D933,TRUE,FALSE)</f>
        <v>0</v>
      </c>
      <c r="D933" s="388" t="s">
        <v>310</v>
      </c>
      <c r="E933" s="13">
        <v>5</v>
      </c>
      <c r="F933" s="199">
        <v>5</v>
      </c>
      <c r="G933" s="13" t="s">
        <v>2061</v>
      </c>
      <c r="H933" s="162" t="s">
        <v>306</v>
      </c>
      <c r="I933" s="129" t="str">
        <f t="shared" si="106"/>
        <v>Rien</v>
      </c>
      <c r="J933" s="146">
        <v>0</v>
      </c>
      <c r="K933" s="147">
        <v>0</v>
      </c>
      <c r="L933" s="148">
        <v>0</v>
      </c>
      <c r="M933" s="149">
        <v>0</v>
      </c>
      <c r="N933" s="150">
        <v>0</v>
      </c>
      <c r="O933" s="130">
        <v>0</v>
      </c>
      <c r="P933" s="130">
        <v>0</v>
      </c>
      <c r="Q933" s="130">
        <v>0</v>
      </c>
      <c r="R933" s="130">
        <v>0</v>
      </c>
      <c r="S933" s="130">
        <v>0</v>
      </c>
      <c r="T933" s="130">
        <v>0</v>
      </c>
      <c r="U933" s="130">
        <v>0</v>
      </c>
      <c r="V933" s="524">
        <v>0</v>
      </c>
      <c r="W933" s="130">
        <v>0</v>
      </c>
      <c r="X933" s="130">
        <v>0</v>
      </c>
      <c r="Y933" s="130">
        <v>0</v>
      </c>
      <c r="Z933" s="130">
        <v>0</v>
      </c>
      <c r="AA933" s="158" t="s">
        <v>2078</v>
      </c>
      <c r="AB933" s="158"/>
      <c r="AC933" s="158"/>
      <c r="AD933" s="158"/>
      <c r="AE933" s="158" t="b">
        <f>IF(AB933="",TRUE,IF(IF(AC933="",VLOOKUP(AB933,Calculs!$A$19:$S$425,19,FALSE),VLOOKUP(AC933,Calculs!$A$19:$S$425,19,FALSE))&gt;=AD933,TRUE,FALSE))</f>
        <v>1</v>
      </c>
      <c r="AF933" s="158"/>
      <c r="AG933" s="158"/>
      <c r="AH933" s="158"/>
      <c r="AI933" s="158" t="b">
        <f>IF(AF933="",TRUE,IF(IF(AG933="",VLOOKUP(AF933,Calculs!$A$19:$S$425,19,FALSE),VLOOKUP(AG933,Calculs!$A$19:$S$425,19,FALSE))&gt;=AH933,TRUE,FALSE))</f>
        <v>1</v>
      </c>
      <c r="AJ933" s="158"/>
      <c r="AK933" s="158"/>
      <c r="AL933" s="158"/>
      <c r="AM933" s="158" t="b">
        <f>IF(AJ933="",TRUE,IF(IF(AK933="",VLOOKUP(AJ933,Calculs!$A$19:$S$425,19,FALSE),VLOOKUP(AK933,Calculs!$A$19:$S$425,19,FALSE))&gt;=AL933,TRUE,FALSE))</f>
        <v>1</v>
      </c>
      <c r="AN933" s="158"/>
      <c r="AO933" s="158"/>
      <c r="AP933" s="158"/>
      <c r="AQ933" s="158" t="b">
        <f>IF(AN933="",TRUE,IF(IF(AO933="",VLOOKUP(AN933,Calculs!$A$19:$S$425,19,FALSE),VLOOKUP(AO933,Calculs!$A$19:$S$425,19,FALSE))&gt;=AP933,TRUE,FALSE))</f>
        <v>1</v>
      </c>
      <c r="AR933" s="158"/>
      <c r="AS933" s="158" t="b">
        <f>IF(AR933="",TRUE,IF(VLOOKUP(AR933,Calculs!$A$427:$G$738,7,FALSE)&gt;0,TRUE,FALSE))</f>
        <v>1</v>
      </c>
      <c r="AT933" s="158"/>
      <c r="AU933" s="158" t="b">
        <f>IF(AT933="",TRUE,IF(VLOOKUP(AT933,Calculs!$A$740:$G$912,7,FALSE)&gt;0,TRUE,FALSE))</f>
        <v>1</v>
      </c>
      <c r="AV933" s="158" t="b">
        <f t="shared" si="101"/>
        <v>1</v>
      </c>
      <c r="AW933" s="158" t="s">
        <v>2078</v>
      </c>
      <c r="AX933" s="162" t="s">
        <v>2921</v>
      </c>
      <c r="AY933" s="15">
        <v>105</v>
      </c>
      <c r="AZ933" s="555" t="str">
        <f>CONCATENATE("Dépensez un Pvide qd.vous touchez  avec un couteau ou à Mains Nues pour faire un Test d'Opposition de Vide. En cas de succès, votre adversaire a un malus de ",Vide,"g0 à tous ses Tests jusqu'à la fin du combat.")</f>
        <v>Dépensez un Pvide qd.vous touchez  avec un couteau ou à Mains Nues pour faire un Test d'Opposition de Vide. En cas de succès, votre adversaire a un malus de 2g0 à tous ses Tests jusqu'à la fin du combat.</v>
      </c>
      <c r="BA933" s="559">
        <f>IF(Verso!$B$10=Voies!$B933,1,0)</f>
        <v>0</v>
      </c>
      <c r="BB933" s="12">
        <f>IF(Verso!$B$11=Voies!$B933,1,0)</f>
        <v>0</v>
      </c>
      <c r="BC933" s="12">
        <f>IF(Verso!$B$12=Voies!$B933,1,0)</f>
        <v>0</v>
      </c>
      <c r="BD933" s="12">
        <f>IF(Verso!$B$13=Voies!$B933,1,0)</f>
        <v>0</v>
      </c>
      <c r="BE933" s="12">
        <f>IF(Verso!$B$14=Voies!$B933,1,0)</f>
        <v>0</v>
      </c>
      <c r="BF933" s="12">
        <f>IF(Verso!$B$15=Voies!$B933,1,0)</f>
        <v>0</v>
      </c>
      <c r="BG933" s="12">
        <f>IF(Verso!$B$16=Voies!$B933,1,0)</f>
        <v>0</v>
      </c>
      <c r="BH933" s="12">
        <f>IF(Verso!$B$17=Voies!$B933,1,0)</f>
        <v>0</v>
      </c>
      <c r="BI933" s="557">
        <f t="shared" si="102"/>
        <v>0</v>
      </c>
      <c r="BJ933" s="196" t="str">
        <f t="shared" si="103"/>
        <v/>
      </c>
      <c r="BK933" s="196" t="str">
        <f t="shared" si="104"/>
        <v/>
      </c>
      <c r="BL933" s="295" t="str">
        <f t="shared" si="105"/>
        <v/>
      </c>
    </row>
    <row r="934" spans="1:65" s="196" customFormat="1" ht="47.25" customHeight="1" x14ac:dyDescent="0.25">
      <c r="A934" s="162" t="str">
        <f>IF(AND(Réputation&gt;Voies!E934-1,OR(C934=TRUE,Calculs!$I$8&gt;0),Air&gt;Voies!J934-1,Eau&gt;Voies!K934-1,Feu&gt;Voies!L934-1,Terre&gt;Voies!M934-1,Vide&gt;Voies!N934-1,Constitution&gt;Voies!O934-1,Volonté&gt;Voies!P934-1,Force&gt;Voies!Q934-1,Perception&gt;Voies!R934-1,Reflexes&gt;Voies!S934-1,Agilité&gt;Voies!T934-1,Intuition&gt;Voies!U934-1,Intelligence&gt;Voies!V934-1,Souillure&gt;Voies!W934-1,Honneur&gt;X934-1,Statut&gt;Y934-1,Gloire&gt;Z934-1,AV934=TRUE),Voies!B934,"")</f>
        <v/>
      </c>
      <c r="B934" s="162" t="s">
        <v>7187</v>
      </c>
      <c r="C934" s="162" t="b">
        <f>IF(Clan=Voies!D934,TRUE,FALSE)</f>
        <v>0</v>
      </c>
      <c r="D934" s="388" t="s">
        <v>6801</v>
      </c>
      <c r="E934" s="199">
        <v>1</v>
      </c>
      <c r="F934" s="199">
        <v>1</v>
      </c>
      <c r="G934" s="199" t="s">
        <v>2048</v>
      </c>
      <c r="H934" s="162" t="s">
        <v>7087</v>
      </c>
      <c r="I934" s="129" t="str">
        <f t="shared" si="106"/>
        <v>Rien</v>
      </c>
      <c r="J934" s="146">
        <v>0</v>
      </c>
      <c r="K934" s="147">
        <v>0</v>
      </c>
      <c r="L934" s="148">
        <v>0</v>
      </c>
      <c r="M934" s="149">
        <v>0</v>
      </c>
      <c r="N934" s="150">
        <v>0</v>
      </c>
      <c r="O934" s="130">
        <v>0</v>
      </c>
      <c r="P934" s="130">
        <v>0</v>
      </c>
      <c r="Q934" s="130">
        <v>0</v>
      </c>
      <c r="R934" s="130">
        <v>0</v>
      </c>
      <c r="S934" s="130">
        <v>0</v>
      </c>
      <c r="T934" s="130">
        <v>0</v>
      </c>
      <c r="U934" s="130">
        <v>0</v>
      </c>
      <c r="V934" s="524">
        <v>0</v>
      </c>
      <c r="W934" s="130">
        <v>0</v>
      </c>
      <c r="X934" s="130">
        <v>0</v>
      </c>
      <c r="Y934" s="130">
        <v>0</v>
      </c>
      <c r="Z934" s="130">
        <v>0</v>
      </c>
      <c r="AA934" s="158" t="s">
        <v>2078</v>
      </c>
      <c r="AB934" s="158"/>
      <c r="AC934" s="158"/>
      <c r="AD934" s="158"/>
      <c r="AE934" s="158" t="b">
        <f>IF(AB934="",TRUE,IF(IF(AC934="",VLOOKUP(AB934,Calculs!$A$19:$S$425,19,FALSE),VLOOKUP(AC934,Calculs!$A$19:$S$425,19,FALSE))&gt;=AD934,TRUE,FALSE))</f>
        <v>1</v>
      </c>
      <c r="AF934" s="158"/>
      <c r="AG934" s="158"/>
      <c r="AH934" s="158"/>
      <c r="AI934" s="158" t="b">
        <f>IF(AF934="",TRUE,IF(IF(AG934="",VLOOKUP(AF934,Calculs!$A$19:$S$425,19,FALSE),VLOOKUP(AG934,Calculs!$A$19:$S$425,19,FALSE))&gt;=AH934,TRUE,FALSE))</f>
        <v>1</v>
      </c>
      <c r="AJ934" s="158"/>
      <c r="AK934" s="158"/>
      <c r="AL934" s="158"/>
      <c r="AM934" s="158" t="b">
        <f>IF(AJ934="",TRUE,IF(IF(AK934="",VLOOKUP(AJ934,Calculs!$A$19:$S$425,19,FALSE),VLOOKUP(AK934,Calculs!$A$19:$S$425,19,FALSE))&gt;=AL934,TRUE,FALSE))</f>
        <v>1</v>
      </c>
      <c r="AN934" s="158"/>
      <c r="AO934" s="158"/>
      <c r="AP934" s="158"/>
      <c r="AQ934" s="158" t="b">
        <f>IF(AN934="",TRUE,IF(IF(AO934="",VLOOKUP(AN934,Calculs!$A$19:$S$425,19,FALSE),VLOOKUP(AO934,Calculs!$A$19:$S$425,19,FALSE))&gt;=AP934,TRUE,FALSE))</f>
        <v>1</v>
      </c>
      <c r="AR934" s="158"/>
      <c r="AS934" s="158" t="b">
        <f>IF(AR934="",TRUE,IF(VLOOKUP(AR934,Calculs!$A$427:$G$738,7,FALSE)&gt;0,TRUE,FALSE))</f>
        <v>1</v>
      </c>
      <c r="AT934" s="158"/>
      <c r="AU934" s="158" t="b">
        <f>IF(AT934="",TRUE,IF(VLOOKUP(AT934,Calculs!$A$740:$G$912,7,FALSE)&gt;0,TRUE,FALSE))</f>
        <v>1</v>
      </c>
      <c r="AV934" s="158" t="b">
        <f t="shared" si="101"/>
        <v>1</v>
      </c>
      <c r="AW934" s="158" t="s">
        <v>2078</v>
      </c>
      <c r="AX934" s="162" t="s">
        <v>6816</v>
      </c>
      <c r="AY934" s="15">
        <v>130</v>
      </c>
      <c r="AZ934" s="555" t="s">
        <v>8736</v>
      </c>
      <c r="BA934" s="559">
        <f>IF(Verso!$B$10=Voies!$B934,1,0)</f>
        <v>0</v>
      </c>
      <c r="BB934" s="12">
        <f>IF(Verso!$B$11=Voies!$B934,1,0)</f>
        <v>0</v>
      </c>
      <c r="BC934" s="12">
        <f>IF(Verso!$B$12=Voies!$B934,1,0)</f>
        <v>0</v>
      </c>
      <c r="BD934" s="12">
        <f>IF(Verso!$B$13=Voies!$B934,1,0)</f>
        <v>0</v>
      </c>
      <c r="BE934" s="12">
        <f>IF(Verso!$B$14=Voies!$B934,1,0)</f>
        <v>0</v>
      </c>
      <c r="BF934" s="12">
        <f>IF(Verso!$B$15=Voies!$B934,1,0)</f>
        <v>0</v>
      </c>
      <c r="BG934" s="12">
        <f>IF(Verso!$B$16=Voies!$B934,1,0)</f>
        <v>0</v>
      </c>
      <c r="BH934" s="12">
        <f>IF(Verso!$B$17=Voies!$B934,1,0)</f>
        <v>0</v>
      </c>
      <c r="BI934" s="557">
        <f t="shared" si="102"/>
        <v>0</v>
      </c>
      <c r="BJ934" s="196" t="str">
        <f t="shared" si="103"/>
        <v/>
      </c>
      <c r="BK934" s="196" t="str">
        <f t="shared" si="104"/>
        <v/>
      </c>
      <c r="BL934" s="295" t="str">
        <f t="shared" si="105"/>
        <v/>
      </c>
      <c r="BM934" s="91"/>
    </row>
    <row r="935" spans="1:65" ht="47.25" customHeight="1" x14ac:dyDescent="0.25">
      <c r="A935" s="162" t="str">
        <f>IF(AND(Réputation&gt;Voies!E935-1,OR(C935=TRUE,Calculs!$I$8&gt;0),Air&gt;Voies!J935-1,Eau&gt;Voies!K935-1,Feu&gt;Voies!L935-1,Terre&gt;Voies!M935-1,Vide&gt;Voies!N935-1,Constitution&gt;Voies!O935-1,Volonté&gt;Voies!P935-1,Force&gt;Voies!Q935-1,Perception&gt;Voies!R935-1,Reflexes&gt;Voies!S935-1,Agilité&gt;Voies!T935-1,Intuition&gt;Voies!U935-1,Intelligence&gt;Voies!V935-1,Souillure&gt;Voies!W935-1,Honneur&gt;X935-1,Statut&gt;Y935-1,Gloire&gt;Z935-1,AV935=TRUE),Voies!B935,"")</f>
        <v/>
      </c>
      <c r="B935" s="162" t="s">
        <v>2182</v>
      </c>
      <c r="C935" s="162" t="b">
        <f>IF(OR(Clan="Sanglier",AND(Contexte_jeu="L'Empire Stellaire d'Emeraude",Clan="Blaireau")),TRUE,FALSE)</f>
        <v>0</v>
      </c>
      <c r="D935" s="388" t="s">
        <v>336</v>
      </c>
      <c r="E935" s="13">
        <v>1</v>
      </c>
      <c r="F935" s="199">
        <v>1</v>
      </c>
      <c r="G935" s="13" t="s">
        <v>2049</v>
      </c>
      <c r="H935" s="162" t="s">
        <v>402</v>
      </c>
      <c r="I935" s="129" t="str">
        <f t="shared" si="106"/>
        <v>Rien</v>
      </c>
      <c r="J935" s="146">
        <v>0</v>
      </c>
      <c r="K935" s="147">
        <v>0</v>
      </c>
      <c r="L935" s="148">
        <v>0</v>
      </c>
      <c r="M935" s="149">
        <v>0</v>
      </c>
      <c r="N935" s="150">
        <v>0</v>
      </c>
      <c r="O935" s="130">
        <v>0</v>
      </c>
      <c r="P935" s="130">
        <v>0</v>
      </c>
      <c r="Q935" s="130">
        <v>0</v>
      </c>
      <c r="R935" s="130">
        <v>0</v>
      </c>
      <c r="S935" s="130">
        <v>0</v>
      </c>
      <c r="T935" s="130">
        <v>0</v>
      </c>
      <c r="U935" s="130">
        <v>0</v>
      </c>
      <c r="V935" s="524">
        <v>0</v>
      </c>
      <c r="W935" s="130">
        <v>0</v>
      </c>
      <c r="X935" s="130">
        <v>0</v>
      </c>
      <c r="Y935" s="130">
        <v>0</v>
      </c>
      <c r="Z935" s="130">
        <v>0</v>
      </c>
      <c r="AA935" s="158" t="s">
        <v>2078</v>
      </c>
      <c r="AB935" s="158"/>
      <c r="AC935" s="158"/>
      <c r="AD935" s="158"/>
      <c r="AE935" s="158" t="b">
        <f>IF(AB935="",TRUE,IF(IF(AC935="",VLOOKUP(AB935,Calculs!$A$19:$S$425,19,FALSE),VLOOKUP(AC935,Calculs!$A$19:$S$425,19,FALSE))&gt;=AD935,TRUE,FALSE))</f>
        <v>1</v>
      </c>
      <c r="AF935" s="158"/>
      <c r="AG935" s="158"/>
      <c r="AH935" s="158"/>
      <c r="AI935" s="158" t="b">
        <f>IF(AF935="",TRUE,IF(IF(AG935="",VLOOKUP(AF935,Calculs!$A$19:$S$425,19,FALSE),VLOOKUP(AG935,Calculs!$A$19:$S$425,19,FALSE))&gt;=AH935,TRUE,FALSE))</f>
        <v>1</v>
      </c>
      <c r="AJ935" s="158"/>
      <c r="AK935" s="158"/>
      <c r="AL935" s="158"/>
      <c r="AM935" s="158" t="b">
        <f>IF(AJ935="",TRUE,IF(IF(AK935="",VLOOKUP(AJ935,Calculs!$A$19:$S$425,19,FALSE),VLOOKUP(AK935,Calculs!$A$19:$S$425,19,FALSE))&gt;=AL935,TRUE,FALSE))</f>
        <v>1</v>
      </c>
      <c r="AN935" s="158"/>
      <c r="AO935" s="158"/>
      <c r="AP935" s="158"/>
      <c r="AQ935" s="158" t="b">
        <f>IF(AN935="",TRUE,IF(IF(AO935="",VLOOKUP(AN935,Calculs!$A$19:$S$425,19,FALSE),VLOOKUP(AO935,Calculs!$A$19:$S$425,19,FALSE))&gt;=AP935,TRUE,FALSE))</f>
        <v>1</v>
      </c>
      <c r="AR935" s="158"/>
      <c r="AS935" s="158" t="b">
        <f>IF(AR935="",TRUE,IF(VLOOKUP(AR935,Calculs!$A$427:$G$738,7,FALSE)&gt;0,TRUE,FALSE))</f>
        <v>1</v>
      </c>
      <c r="AT935" s="158"/>
      <c r="AU935" s="158" t="b">
        <f>IF(AT935="",TRUE,IF(VLOOKUP(AT935,Calculs!$A$740:$G$912,7,FALSE)&gt;0,TRUE,FALSE))</f>
        <v>1</v>
      </c>
      <c r="AV935" s="158" t="b">
        <f t="shared" si="101"/>
        <v>1</v>
      </c>
      <c r="AW935" s="158" t="s">
        <v>2078</v>
      </c>
      <c r="AX935" s="162" t="s">
        <v>3</v>
      </c>
      <c r="AY935" s="15">
        <v>223</v>
      </c>
      <c r="AZ935" s="555" t="s">
        <v>8737</v>
      </c>
      <c r="BA935" s="559">
        <f>IF(Verso!$B$10=Voies!$B935,1,0)</f>
        <v>0</v>
      </c>
      <c r="BB935" s="12">
        <f>IF(Verso!$B$11=Voies!$B935,1,0)</f>
        <v>0</v>
      </c>
      <c r="BC935" s="12">
        <f>IF(Verso!$B$12=Voies!$B935,1,0)</f>
        <v>0</v>
      </c>
      <c r="BD935" s="12">
        <f>IF(Verso!$B$13=Voies!$B935,1,0)</f>
        <v>0</v>
      </c>
      <c r="BE935" s="12">
        <f>IF(Verso!$B$14=Voies!$B935,1,0)</f>
        <v>0</v>
      </c>
      <c r="BF935" s="12">
        <f>IF(Verso!$B$15=Voies!$B935,1,0)</f>
        <v>0</v>
      </c>
      <c r="BG935" s="12">
        <f>IF(Verso!$B$16=Voies!$B935,1,0)</f>
        <v>0</v>
      </c>
      <c r="BH935" s="12">
        <f>IF(Verso!$B$17=Voies!$B935,1,0)</f>
        <v>0</v>
      </c>
      <c r="BI935" s="557">
        <f t="shared" si="102"/>
        <v>0</v>
      </c>
      <c r="BJ935" s="196" t="str">
        <f t="shared" si="103"/>
        <v/>
      </c>
      <c r="BK935" s="196" t="str">
        <f t="shared" si="104"/>
        <v/>
      </c>
      <c r="BL935" s="295" t="str">
        <f t="shared" si="105"/>
        <v/>
      </c>
    </row>
    <row r="936" spans="1:65" ht="47.25" customHeight="1" x14ac:dyDescent="0.25">
      <c r="A936" s="162" t="str">
        <f>IF(AND(Réputation&gt;Voies!E936-1,OR(C936=TRUE,Calculs!$I$8&gt;0),Air&gt;Voies!J936-1,Eau&gt;Voies!K936-1,Feu&gt;Voies!L936-1,Terre&gt;Voies!M936-1,Vide&gt;Voies!N936-1,Constitution&gt;Voies!O936-1,Volonté&gt;Voies!P936-1,Force&gt;Voies!Q936-1,Perception&gt;Voies!R936-1,Reflexes&gt;Voies!S936-1,Agilité&gt;Voies!T936-1,Intuition&gt;Voies!U936-1,Intelligence&gt;Voies!V936-1,Souillure&gt;Voies!W936-1,Honneur&gt;X936-1,Statut&gt;Y936-1,Gloire&gt;Z936-1,AV936=TRUE),Voies!B936,"")</f>
        <v/>
      </c>
      <c r="B936" s="162" t="s">
        <v>2183</v>
      </c>
      <c r="C936" s="162" t="b">
        <f>IF(OR(Clan="Sanglier",AND(Contexte_jeu="L'Empire Stellaire d'Emeraude",Clan="Blaireau")),TRUE,FALSE)</f>
        <v>0</v>
      </c>
      <c r="D936" s="388" t="s">
        <v>336</v>
      </c>
      <c r="E936" s="13">
        <v>2</v>
      </c>
      <c r="F936" s="199">
        <v>2</v>
      </c>
      <c r="G936" s="13" t="s">
        <v>2049</v>
      </c>
      <c r="H936" s="162" t="s">
        <v>402</v>
      </c>
      <c r="I936" s="129" t="str">
        <f t="shared" si="106"/>
        <v>Rien</v>
      </c>
      <c r="J936" s="146">
        <v>0</v>
      </c>
      <c r="K936" s="147">
        <v>0</v>
      </c>
      <c r="L936" s="148">
        <v>0</v>
      </c>
      <c r="M936" s="149">
        <v>0</v>
      </c>
      <c r="N936" s="150">
        <v>0</v>
      </c>
      <c r="O936" s="130">
        <v>0</v>
      </c>
      <c r="P936" s="130">
        <v>0</v>
      </c>
      <c r="Q936" s="130">
        <v>0</v>
      </c>
      <c r="R936" s="130">
        <v>0</v>
      </c>
      <c r="S936" s="130">
        <v>0</v>
      </c>
      <c r="T936" s="130">
        <v>0</v>
      </c>
      <c r="U936" s="130">
        <v>0</v>
      </c>
      <c r="V936" s="524">
        <v>0</v>
      </c>
      <c r="W936" s="130">
        <v>0</v>
      </c>
      <c r="X936" s="130">
        <v>0</v>
      </c>
      <c r="Y936" s="130">
        <v>0</v>
      </c>
      <c r="Z936" s="130">
        <v>0</v>
      </c>
      <c r="AA936" s="158" t="s">
        <v>2078</v>
      </c>
      <c r="AB936" s="158"/>
      <c r="AC936" s="158"/>
      <c r="AD936" s="158"/>
      <c r="AE936" s="158" t="b">
        <f>IF(AB936="",TRUE,IF(IF(AC936="",VLOOKUP(AB936,Calculs!$A$19:$S$425,19,FALSE),VLOOKUP(AC936,Calculs!$A$19:$S$425,19,FALSE))&gt;=AD936,TRUE,FALSE))</f>
        <v>1</v>
      </c>
      <c r="AF936" s="158"/>
      <c r="AG936" s="158"/>
      <c r="AH936" s="158"/>
      <c r="AI936" s="158" t="b">
        <f>IF(AF936="",TRUE,IF(IF(AG936="",VLOOKUP(AF936,Calculs!$A$19:$S$425,19,FALSE),VLOOKUP(AG936,Calculs!$A$19:$S$425,19,FALSE))&gt;=AH936,TRUE,FALSE))</f>
        <v>1</v>
      </c>
      <c r="AJ936" s="158"/>
      <c r="AK936" s="158"/>
      <c r="AL936" s="158"/>
      <c r="AM936" s="158" t="b">
        <f>IF(AJ936="",TRUE,IF(IF(AK936="",VLOOKUP(AJ936,Calculs!$A$19:$S$425,19,FALSE),VLOOKUP(AK936,Calculs!$A$19:$S$425,19,FALSE))&gt;=AL936,TRUE,FALSE))</f>
        <v>1</v>
      </c>
      <c r="AN936" s="158"/>
      <c r="AO936" s="158"/>
      <c r="AP936" s="158"/>
      <c r="AQ936" s="158" t="b">
        <f>IF(AN936="",TRUE,IF(IF(AO936="",VLOOKUP(AN936,Calculs!$A$19:$S$425,19,FALSE),VLOOKUP(AO936,Calculs!$A$19:$S$425,19,FALSE))&gt;=AP936,TRUE,FALSE))</f>
        <v>1</v>
      </c>
      <c r="AR936" s="158"/>
      <c r="AS936" s="158" t="b">
        <f>IF(AR936="",TRUE,IF(VLOOKUP(AR936,Calculs!$A$427:$G$738,7,FALSE)&gt;0,TRUE,FALSE))</f>
        <v>1</v>
      </c>
      <c r="AT936" s="158"/>
      <c r="AU936" s="158" t="b">
        <f>IF(AT936="",TRUE,IF(VLOOKUP(AT936,Calculs!$A$740:$G$912,7,FALSE)&gt;0,TRUE,FALSE))</f>
        <v>1</v>
      </c>
      <c r="AV936" s="158" t="b">
        <f t="shared" si="101"/>
        <v>1</v>
      </c>
      <c r="AW936" s="158" t="s">
        <v>2078</v>
      </c>
      <c r="AX936" s="162" t="s">
        <v>3</v>
      </c>
      <c r="AY936" s="15">
        <v>223</v>
      </c>
      <c r="AZ936" s="555" t="s">
        <v>2188</v>
      </c>
      <c r="BA936" s="559">
        <f>IF(Verso!$B$10=Voies!$B936,1,0)</f>
        <v>0</v>
      </c>
      <c r="BB936" s="12">
        <f>IF(Verso!$B$11=Voies!$B936,1,0)</f>
        <v>0</v>
      </c>
      <c r="BC936" s="12">
        <f>IF(Verso!$B$12=Voies!$B936,1,0)</f>
        <v>0</v>
      </c>
      <c r="BD936" s="12">
        <f>IF(Verso!$B$13=Voies!$B936,1,0)</f>
        <v>0</v>
      </c>
      <c r="BE936" s="12">
        <f>IF(Verso!$B$14=Voies!$B936,1,0)</f>
        <v>0</v>
      </c>
      <c r="BF936" s="12">
        <f>IF(Verso!$B$15=Voies!$B936,1,0)</f>
        <v>0</v>
      </c>
      <c r="BG936" s="12">
        <f>IF(Verso!$B$16=Voies!$B936,1,0)</f>
        <v>0</v>
      </c>
      <c r="BH936" s="12">
        <f>IF(Verso!$B$17=Voies!$B936,1,0)</f>
        <v>0</v>
      </c>
      <c r="BI936" s="557">
        <f t="shared" si="102"/>
        <v>0</v>
      </c>
      <c r="BJ936" s="196" t="str">
        <f t="shared" si="103"/>
        <v/>
      </c>
      <c r="BK936" s="196" t="str">
        <f t="shared" si="104"/>
        <v/>
      </c>
      <c r="BL936" s="295" t="str">
        <f t="shared" si="105"/>
        <v/>
      </c>
    </row>
    <row r="937" spans="1:65" ht="47.25" customHeight="1" x14ac:dyDescent="0.25">
      <c r="A937" s="162" t="str">
        <f>IF(AND(Réputation&gt;Voies!E937-1,OR(C937=TRUE,Calculs!$I$8&gt;0),Air&gt;Voies!J937-1,Eau&gt;Voies!K937-1,Feu&gt;Voies!L937-1,Terre&gt;Voies!M937-1,Vide&gt;Voies!N937-1,Constitution&gt;Voies!O937-1,Volonté&gt;Voies!P937-1,Force&gt;Voies!Q937-1,Perception&gt;Voies!R937-1,Reflexes&gt;Voies!S937-1,Agilité&gt;Voies!T937-1,Intuition&gt;Voies!U937-1,Intelligence&gt;Voies!V937-1,Souillure&gt;Voies!W937-1,Honneur&gt;X937-1,Statut&gt;Y937-1,Gloire&gt;Z937-1,AV937=TRUE),Voies!B937,"")</f>
        <v/>
      </c>
      <c r="B937" s="162" t="s">
        <v>2184</v>
      </c>
      <c r="C937" s="162" t="b">
        <f>IF(OR(Clan="Sanglier",AND(Contexte_jeu="L'Empire Stellaire d'Emeraude",Clan="Blaireau")),TRUE,FALSE)</f>
        <v>0</v>
      </c>
      <c r="D937" s="388" t="s">
        <v>336</v>
      </c>
      <c r="E937" s="13">
        <v>3</v>
      </c>
      <c r="F937" s="199">
        <v>3</v>
      </c>
      <c r="G937" s="13" t="s">
        <v>2049</v>
      </c>
      <c r="H937" s="162" t="s">
        <v>402</v>
      </c>
      <c r="I937" s="129" t="str">
        <f t="shared" si="106"/>
        <v>Rien</v>
      </c>
      <c r="J937" s="146">
        <v>0</v>
      </c>
      <c r="K937" s="147">
        <v>0</v>
      </c>
      <c r="L937" s="148">
        <v>0</v>
      </c>
      <c r="M937" s="149">
        <v>0</v>
      </c>
      <c r="N937" s="150">
        <v>0</v>
      </c>
      <c r="O937" s="130">
        <v>0</v>
      </c>
      <c r="P937" s="130">
        <v>0</v>
      </c>
      <c r="Q937" s="130">
        <v>0</v>
      </c>
      <c r="R937" s="130">
        <v>0</v>
      </c>
      <c r="S937" s="130">
        <v>0</v>
      </c>
      <c r="T937" s="130">
        <v>0</v>
      </c>
      <c r="U937" s="130">
        <v>0</v>
      </c>
      <c r="V937" s="524">
        <v>0</v>
      </c>
      <c r="W937" s="130">
        <v>0</v>
      </c>
      <c r="X937" s="130">
        <v>0</v>
      </c>
      <c r="Y937" s="130">
        <v>0</v>
      </c>
      <c r="Z937" s="130">
        <v>0</v>
      </c>
      <c r="AA937" s="158" t="s">
        <v>2078</v>
      </c>
      <c r="AB937" s="158"/>
      <c r="AC937" s="158"/>
      <c r="AD937" s="158"/>
      <c r="AE937" s="158" t="b">
        <f>IF(AB937="",TRUE,IF(IF(AC937="",VLOOKUP(AB937,Calculs!$A$19:$S$425,19,FALSE),VLOOKUP(AC937,Calculs!$A$19:$S$425,19,FALSE))&gt;=AD937,TRUE,FALSE))</f>
        <v>1</v>
      </c>
      <c r="AF937" s="158"/>
      <c r="AG937" s="158"/>
      <c r="AH937" s="158"/>
      <c r="AI937" s="158" t="b">
        <f>IF(AF937="",TRUE,IF(IF(AG937="",VLOOKUP(AF937,Calculs!$A$19:$S$425,19,FALSE),VLOOKUP(AG937,Calculs!$A$19:$S$425,19,FALSE))&gt;=AH937,TRUE,FALSE))</f>
        <v>1</v>
      </c>
      <c r="AJ937" s="158"/>
      <c r="AK937" s="158"/>
      <c r="AL937" s="158"/>
      <c r="AM937" s="158" t="b">
        <f>IF(AJ937="",TRUE,IF(IF(AK937="",VLOOKUP(AJ937,Calculs!$A$19:$S$425,19,FALSE),VLOOKUP(AK937,Calculs!$A$19:$S$425,19,FALSE))&gt;=AL937,TRUE,FALSE))</f>
        <v>1</v>
      </c>
      <c r="AN937" s="158"/>
      <c r="AO937" s="158"/>
      <c r="AP937" s="158"/>
      <c r="AQ937" s="158" t="b">
        <f>IF(AN937="",TRUE,IF(IF(AO937="",VLOOKUP(AN937,Calculs!$A$19:$S$425,19,FALSE),VLOOKUP(AO937,Calculs!$A$19:$S$425,19,FALSE))&gt;=AP937,TRUE,FALSE))</f>
        <v>1</v>
      </c>
      <c r="AR937" s="158"/>
      <c r="AS937" s="158" t="b">
        <f>IF(AR937="",TRUE,IF(VLOOKUP(AR937,Calculs!$A$427:$G$738,7,FALSE)&gt;0,TRUE,FALSE))</f>
        <v>1</v>
      </c>
      <c r="AT937" s="158"/>
      <c r="AU937" s="158" t="b">
        <f>IF(AT937="",TRUE,IF(VLOOKUP(AT937,Calculs!$A$740:$G$912,7,FALSE)&gt;0,TRUE,FALSE))</f>
        <v>1</v>
      </c>
      <c r="AV937" s="158" t="b">
        <f t="shared" si="101"/>
        <v>1</v>
      </c>
      <c r="AW937" s="158" t="s">
        <v>2078</v>
      </c>
      <c r="AX937" s="162" t="s">
        <v>3</v>
      </c>
      <c r="AY937" s="15">
        <v>223</v>
      </c>
      <c r="AZ937" s="555" t="s">
        <v>6840</v>
      </c>
      <c r="BA937" s="559">
        <f>IF(Verso!$B$10=Voies!$B937,1,0)</f>
        <v>0</v>
      </c>
      <c r="BB937" s="12">
        <f>IF(Verso!$B$11=Voies!$B937,1,0)</f>
        <v>0</v>
      </c>
      <c r="BC937" s="12">
        <f>IF(Verso!$B$12=Voies!$B937,1,0)</f>
        <v>0</v>
      </c>
      <c r="BD937" s="12">
        <f>IF(Verso!$B$13=Voies!$B937,1,0)</f>
        <v>0</v>
      </c>
      <c r="BE937" s="12">
        <f>IF(Verso!$B$14=Voies!$B937,1,0)</f>
        <v>0</v>
      </c>
      <c r="BF937" s="12">
        <f>IF(Verso!$B$15=Voies!$B937,1,0)</f>
        <v>0</v>
      </c>
      <c r="BG937" s="12">
        <f>IF(Verso!$B$16=Voies!$B937,1,0)</f>
        <v>0</v>
      </c>
      <c r="BH937" s="12">
        <f>IF(Verso!$B$17=Voies!$B937,1,0)</f>
        <v>0</v>
      </c>
      <c r="BI937" s="557">
        <f t="shared" si="102"/>
        <v>0</v>
      </c>
      <c r="BJ937" s="196" t="str">
        <f t="shared" si="103"/>
        <v/>
      </c>
      <c r="BK937" s="196" t="str">
        <f t="shared" si="104"/>
        <v/>
      </c>
      <c r="BL937" s="295" t="str">
        <f t="shared" si="105"/>
        <v/>
      </c>
    </row>
    <row r="938" spans="1:65" ht="47.25" customHeight="1" x14ac:dyDescent="0.25">
      <c r="A938" s="162" t="str">
        <f>IF(AND(Réputation&gt;Voies!E938-1,OR(C938=TRUE,Calculs!$I$8&gt;0),Air&gt;Voies!J938-1,Eau&gt;Voies!K938-1,Feu&gt;Voies!L938-1,Terre&gt;Voies!M938-1,Vide&gt;Voies!N938-1,Constitution&gt;Voies!O938-1,Volonté&gt;Voies!P938-1,Force&gt;Voies!Q938-1,Perception&gt;Voies!R938-1,Reflexes&gt;Voies!S938-1,Agilité&gt;Voies!T938-1,Intuition&gt;Voies!U938-1,Intelligence&gt;Voies!V938-1,Souillure&gt;Voies!W938-1,Honneur&gt;X938-1,Statut&gt;Y938-1,Gloire&gt;Z938-1,AV938=TRUE),Voies!B938,"")</f>
        <v/>
      </c>
      <c r="B938" s="162" t="s">
        <v>2185</v>
      </c>
      <c r="C938" s="162" t="b">
        <f>IF(OR(Clan="Sanglier",AND(Contexte_jeu="L'Empire Stellaire d'Emeraude",Clan="Blaireau")),TRUE,FALSE)</f>
        <v>0</v>
      </c>
      <c r="D938" s="388" t="s">
        <v>336</v>
      </c>
      <c r="E938" s="13">
        <v>4</v>
      </c>
      <c r="F938" s="199">
        <v>4</v>
      </c>
      <c r="G938" s="13" t="s">
        <v>2049</v>
      </c>
      <c r="H938" s="162" t="s">
        <v>402</v>
      </c>
      <c r="I938" s="129" t="str">
        <f t="shared" si="106"/>
        <v>Rien</v>
      </c>
      <c r="J938" s="146">
        <v>0</v>
      </c>
      <c r="K938" s="147">
        <v>0</v>
      </c>
      <c r="L938" s="148">
        <v>0</v>
      </c>
      <c r="M938" s="149">
        <v>0</v>
      </c>
      <c r="N938" s="150">
        <v>0</v>
      </c>
      <c r="O938" s="130">
        <v>0</v>
      </c>
      <c r="P938" s="130">
        <v>0</v>
      </c>
      <c r="Q938" s="130">
        <v>0</v>
      </c>
      <c r="R938" s="130">
        <v>0</v>
      </c>
      <c r="S938" s="130">
        <v>0</v>
      </c>
      <c r="T938" s="130">
        <v>0</v>
      </c>
      <c r="U938" s="130">
        <v>0</v>
      </c>
      <c r="V938" s="524">
        <v>0</v>
      </c>
      <c r="W938" s="130">
        <v>0</v>
      </c>
      <c r="X938" s="130">
        <v>0</v>
      </c>
      <c r="Y938" s="130">
        <v>0</v>
      </c>
      <c r="Z938" s="130">
        <v>0</v>
      </c>
      <c r="AA938" s="158" t="s">
        <v>2078</v>
      </c>
      <c r="AB938" s="158"/>
      <c r="AC938" s="158"/>
      <c r="AD938" s="158"/>
      <c r="AE938" s="158" t="b">
        <f>IF(AB938="",TRUE,IF(IF(AC938="",VLOOKUP(AB938,Calculs!$A$19:$S$425,19,FALSE),VLOOKUP(AC938,Calculs!$A$19:$S$425,19,FALSE))&gt;=AD938,TRUE,FALSE))</f>
        <v>1</v>
      </c>
      <c r="AF938" s="158"/>
      <c r="AG938" s="158"/>
      <c r="AH938" s="158"/>
      <c r="AI938" s="158" t="b">
        <f>IF(AF938="",TRUE,IF(IF(AG938="",VLOOKUP(AF938,Calculs!$A$19:$S$425,19,FALSE),VLOOKUP(AG938,Calculs!$A$19:$S$425,19,FALSE))&gt;=AH938,TRUE,FALSE))</f>
        <v>1</v>
      </c>
      <c r="AJ938" s="158"/>
      <c r="AK938" s="158"/>
      <c r="AL938" s="158"/>
      <c r="AM938" s="158" t="b">
        <f>IF(AJ938="",TRUE,IF(IF(AK938="",VLOOKUP(AJ938,Calculs!$A$19:$S$425,19,FALSE),VLOOKUP(AK938,Calculs!$A$19:$S$425,19,FALSE))&gt;=AL938,TRUE,FALSE))</f>
        <v>1</v>
      </c>
      <c r="AN938" s="158"/>
      <c r="AO938" s="158"/>
      <c r="AP938" s="158"/>
      <c r="AQ938" s="158" t="b">
        <f>IF(AN938="",TRUE,IF(IF(AO938="",VLOOKUP(AN938,Calculs!$A$19:$S$425,19,FALSE),VLOOKUP(AO938,Calculs!$A$19:$S$425,19,FALSE))&gt;=AP938,TRUE,FALSE))</f>
        <v>1</v>
      </c>
      <c r="AR938" s="158"/>
      <c r="AS938" s="158" t="b">
        <f>IF(AR938="",TRUE,IF(VLOOKUP(AR938,Calculs!$A$427:$G$738,7,FALSE)&gt;0,TRUE,FALSE))</f>
        <v>1</v>
      </c>
      <c r="AT938" s="158"/>
      <c r="AU938" s="158" t="b">
        <f>IF(AT938="",TRUE,IF(VLOOKUP(AT938,Calculs!$A$740:$G$912,7,FALSE)&gt;0,TRUE,FALSE))</f>
        <v>1</v>
      </c>
      <c r="AV938" s="158" t="b">
        <f t="shared" si="101"/>
        <v>1</v>
      </c>
      <c r="AW938" s="158" t="s">
        <v>2078</v>
      </c>
      <c r="AX938" s="162" t="s">
        <v>3</v>
      </c>
      <c r="AY938" s="15">
        <v>223</v>
      </c>
      <c r="AZ938" s="555" t="s">
        <v>2189</v>
      </c>
      <c r="BA938" s="559">
        <f>IF(Verso!$B$10=Voies!$B938,1,0)</f>
        <v>0</v>
      </c>
      <c r="BB938" s="12">
        <f>IF(Verso!$B$11=Voies!$B938,1,0)</f>
        <v>0</v>
      </c>
      <c r="BC938" s="12">
        <f>IF(Verso!$B$12=Voies!$B938,1,0)</f>
        <v>0</v>
      </c>
      <c r="BD938" s="12">
        <f>IF(Verso!$B$13=Voies!$B938,1,0)</f>
        <v>0</v>
      </c>
      <c r="BE938" s="12">
        <f>IF(Verso!$B$14=Voies!$B938,1,0)</f>
        <v>0</v>
      </c>
      <c r="BF938" s="12">
        <f>IF(Verso!$B$15=Voies!$B938,1,0)</f>
        <v>0</v>
      </c>
      <c r="BG938" s="12">
        <f>IF(Verso!$B$16=Voies!$B938,1,0)</f>
        <v>0</v>
      </c>
      <c r="BH938" s="12">
        <f>IF(Verso!$B$17=Voies!$B938,1,0)</f>
        <v>0</v>
      </c>
      <c r="BI938" s="557">
        <f t="shared" si="102"/>
        <v>0</v>
      </c>
      <c r="BJ938" s="196" t="str">
        <f t="shared" si="103"/>
        <v/>
      </c>
      <c r="BK938" s="196" t="str">
        <f t="shared" si="104"/>
        <v/>
      </c>
      <c r="BL938" s="295" t="str">
        <f t="shared" si="105"/>
        <v/>
      </c>
    </row>
    <row r="939" spans="1:65" ht="47.25" customHeight="1" x14ac:dyDescent="0.25">
      <c r="A939" s="162" t="str">
        <f>IF(AND(Réputation&gt;Voies!E939-1,OR(C939=TRUE,Calculs!$I$8&gt;0),Air&gt;Voies!J939-1,Eau&gt;Voies!K939-1,Feu&gt;Voies!L939-1,Terre&gt;Voies!M939-1,Vide&gt;Voies!N939-1,Constitution&gt;Voies!O939-1,Volonté&gt;Voies!P939-1,Force&gt;Voies!Q939-1,Perception&gt;Voies!R939-1,Reflexes&gt;Voies!S939-1,Agilité&gt;Voies!T939-1,Intuition&gt;Voies!U939-1,Intelligence&gt;Voies!V939-1,Souillure&gt;Voies!W939-1,Honneur&gt;X939-1,Statut&gt;Y939-1,Gloire&gt;Z939-1,AV939=TRUE),Voies!B939,"")</f>
        <v/>
      </c>
      <c r="B939" s="162" t="s">
        <v>2186</v>
      </c>
      <c r="C939" s="162" t="b">
        <f>IF(OR(Clan="Sanglier",AND(Contexte_jeu="L'Empire Stellaire d'Emeraude",Clan="Blaireau")),TRUE,FALSE)</f>
        <v>0</v>
      </c>
      <c r="D939" s="388" t="s">
        <v>336</v>
      </c>
      <c r="E939" s="13">
        <v>5</v>
      </c>
      <c r="F939" s="199">
        <v>5</v>
      </c>
      <c r="G939" s="13" t="s">
        <v>2049</v>
      </c>
      <c r="H939" s="162" t="s">
        <v>402</v>
      </c>
      <c r="I939" s="129" t="str">
        <f t="shared" si="106"/>
        <v>Rien</v>
      </c>
      <c r="J939" s="146">
        <v>0</v>
      </c>
      <c r="K939" s="147">
        <v>0</v>
      </c>
      <c r="L939" s="148">
        <v>0</v>
      </c>
      <c r="M939" s="149">
        <v>0</v>
      </c>
      <c r="N939" s="150">
        <v>0</v>
      </c>
      <c r="O939" s="130">
        <v>0</v>
      </c>
      <c r="P939" s="130">
        <v>0</v>
      </c>
      <c r="Q939" s="130">
        <v>0</v>
      </c>
      <c r="R939" s="130">
        <v>0</v>
      </c>
      <c r="S939" s="130">
        <v>0</v>
      </c>
      <c r="T939" s="130">
        <v>0</v>
      </c>
      <c r="U939" s="130">
        <v>0</v>
      </c>
      <c r="V939" s="524">
        <v>0</v>
      </c>
      <c r="W939" s="130">
        <v>0</v>
      </c>
      <c r="X939" s="130">
        <v>0</v>
      </c>
      <c r="Y939" s="130">
        <v>0</v>
      </c>
      <c r="Z939" s="130">
        <v>0</v>
      </c>
      <c r="AA939" s="158" t="s">
        <v>2078</v>
      </c>
      <c r="AB939" s="158"/>
      <c r="AC939" s="158"/>
      <c r="AD939" s="158"/>
      <c r="AE939" s="158" t="b">
        <f>IF(AB939="",TRUE,IF(IF(AC939="",VLOOKUP(AB939,Calculs!$A$19:$S$425,19,FALSE),VLOOKUP(AC939,Calculs!$A$19:$S$425,19,FALSE))&gt;=AD939,TRUE,FALSE))</f>
        <v>1</v>
      </c>
      <c r="AF939" s="158"/>
      <c r="AG939" s="158"/>
      <c r="AH939" s="158"/>
      <c r="AI939" s="158" t="b">
        <f>IF(AF939="",TRUE,IF(IF(AG939="",VLOOKUP(AF939,Calculs!$A$19:$S$425,19,FALSE),VLOOKUP(AG939,Calculs!$A$19:$S$425,19,FALSE))&gt;=AH939,TRUE,FALSE))</f>
        <v>1</v>
      </c>
      <c r="AJ939" s="158"/>
      <c r="AK939" s="158"/>
      <c r="AL939" s="158"/>
      <c r="AM939" s="158" t="b">
        <f>IF(AJ939="",TRUE,IF(IF(AK939="",VLOOKUP(AJ939,Calculs!$A$19:$S$425,19,FALSE),VLOOKUP(AK939,Calculs!$A$19:$S$425,19,FALSE))&gt;=AL939,TRUE,FALSE))</f>
        <v>1</v>
      </c>
      <c r="AN939" s="158"/>
      <c r="AO939" s="158"/>
      <c r="AP939" s="158"/>
      <c r="AQ939" s="158" t="b">
        <f>IF(AN939="",TRUE,IF(IF(AO939="",VLOOKUP(AN939,Calculs!$A$19:$S$425,19,FALSE),VLOOKUP(AO939,Calculs!$A$19:$S$425,19,FALSE))&gt;=AP939,TRUE,FALSE))</f>
        <v>1</v>
      </c>
      <c r="AR939" s="158"/>
      <c r="AS939" s="158" t="b">
        <f>IF(AR939="",TRUE,IF(VLOOKUP(AR939,Calculs!$A$427:$G$738,7,FALSE)&gt;0,TRUE,FALSE))</f>
        <v>1</v>
      </c>
      <c r="AT939" s="158"/>
      <c r="AU939" s="158" t="b">
        <f>IF(AT939="",TRUE,IF(VLOOKUP(AT939,Calculs!$A$740:$G$912,7,FALSE)&gt;0,TRUE,FALSE))</f>
        <v>1</v>
      </c>
      <c r="AV939" s="158" t="b">
        <f t="shared" si="101"/>
        <v>1</v>
      </c>
      <c r="AW939" s="158" t="s">
        <v>2078</v>
      </c>
      <c r="AX939" s="162" t="s">
        <v>3</v>
      </c>
      <c r="AY939" s="15">
        <v>223</v>
      </c>
      <c r="AZ939" s="555" t="s">
        <v>8738</v>
      </c>
      <c r="BA939" s="559">
        <f>IF(Verso!$B$10=Voies!$B939,1,0)</f>
        <v>0</v>
      </c>
      <c r="BB939" s="12">
        <f>IF(Verso!$B$11=Voies!$B939,1,0)</f>
        <v>0</v>
      </c>
      <c r="BC939" s="12">
        <f>IF(Verso!$B$12=Voies!$B939,1,0)</f>
        <v>0</v>
      </c>
      <c r="BD939" s="12">
        <f>IF(Verso!$B$13=Voies!$B939,1,0)</f>
        <v>0</v>
      </c>
      <c r="BE939" s="12">
        <f>IF(Verso!$B$14=Voies!$B939,1,0)</f>
        <v>0</v>
      </c>
      <c r="BF939" s="12">
        <f>IF(Verso!$B$15=Voies!$B939,1,0)</f>
        <v>0</v>
      </c>
      <c r="BG939" s="12">
        <f>IF(Verso!$B$16=Voies!$B939,1,0)</f>
        <v>0</v>
      </c>
      <c r="BH939" s="12">
        <f>IF(Verso!$B$17=Voies!$B939,1,0)</f>
        <v>0</v>
      </c>
      <c r="BI939" s="557">
        <f t="shared" si="102"/>
        <v>0</v>
      </c>
      <c r="BJ939" s="196" t="str">
        <f t="shared" si="103"/>
        <v/>
      </c>
      <c r="BK939" s="196" t="str">
        <f t="shared" si="104"/>
        <v/>
      </c>
      <c r="BL939" s="295" t="str">
        <f t="shared" si="105"/>
        <v/>
      </c>
    </row>
    <row r="940" spans="1:65" s="196" customFormat="1" ht="47.25" customHeight="1" x14ac:dyDescent="0.25">
      <c r="A940" s="162" t="str">
        <f>IF(AND(Réputation&gt;Voies!E940-1,OR(C940=TRUE,Calculs!$I$8&gt;0),Air&gt;Voies!J940-1,Eau&gt;Voies!K940-1,Feu&gt;Voies!L940-1,Terre&gt;Voies!M940-1,Vide&gt;Voies!N940-1,Constitution&gt;Voies!O940-1,Volonté&gt;Voies!P940-1,Force&gt;Voies!Q940-1,Perception&gt;Voies!R940-1,Reflexes&gt;Voies!S940-1,Agilité&gt;Voies!T940-1,Intuition&gt;Voies!U940-1,Intelligence&gt;Voies!V940-1,Souillure&gt;Voies!W940-1,Honneur&gt;X940-1,Statut&gt;Y940-1,Gloire&gt;Z940-1,AV940=TRUE),Voies!B940,"")</f>
        <v/>
      </c>
      <c r="B940" s="162" t="s">
        <v>7106</v>
      </c>
      <c r="C940" s="162" t="b">
        <f>IF(Clan=Voies!D940,TRUE,FALSE)</f>
        <v>0</v>
      </c>
      <c r="D940" s="388" t="s">
        <v>6785</v>
      </c>
      <c r="E940" s="199">
        <v>1</v>
      </c>
      <c r="F940" s="199">
        <v>1</v>
      </c>
      <c r="G940" s="199" t="s">
        <v>2049</v>
      </c>
      <c r="H940" s="162" t="s">
        <v>6956</v>
      </c>
      <c r="I940" s="129" t="str">
        <f t="shared" si="106"/>
        <v>Rien</v>
      </c>
      <c r="J940" s="146">
        <v>0</v>
      </c>
      <c r="K940" s="147">
        <v>0</v>
      </c>
      <c r="L940" s="148">
        <v>0</v>
      </c>
      <c r="M940" s="149">
        <v>0</v>
      </c>
      <c r="N940" s="150">
        <v>0</v>
      </c>
      <c r="O940" s="130">
        <v>0</v>
      </c>
      <c r="P940" s="130">
        <v>0</v>
      </c>
      <c r="Q940" s="130">
        <v>0</v>
      </c>
      <c r="R940" s="130">
        <v>0</v>
      </c>
      <c r="S940" s="130">
        <v>0</v>
      </c>
      <c r="T940" s="130">
        <v>0</v>
      </c>
      <c r="U940" s="130">
        <v>0</v>
      </c>
      <c r="V940" s="524">
        <v>0</v>
      </c>
      <c r="W940" s="130">
        <v>0</v>
      </c>
      <c r="X940" s="130">
        <v>0</v>
      </c>
      <c r="Y940" s="130">
        <v>0</v>
      </c>
      <c r="Z940" s="130">
        <v>0</v>
      </c>
      <c r="AA940" s="158" t="s">
        <v>2078</v>
      </c>
      <c r="AB940" s="158"/>
      <c r="AC940" s="158"/>
      <c r="AD940" s="158"/>
      <c r="AE940" s="158" t="b">
        <f>IF(AB940="",TRUE,IF(IF(AC940="",VLOOKUP(AB940,Calculs!$A$19:$S$425,19,FALSE),VLOOKUP(AC940,Calculs!$A$19:$S$425,19,FALSE))&gt;=AD940,TRUE,FALSE))</f>
        <v>1</v>
      </c>
      <c r="AF940" s="158"/>
      <c r="AG940" s="158"/>
      <c r="AH940" s="158"/>
      <c r="AI940" s="158" t="b">
        <f>IF(AF940="",TRUE,IF(IF(AG940="",VLOOKUP(AF940,Calculs!$A$19:$S$425,19,FALSE),VLOOKUP(AG940,Calculs!$A$19:$S$425,19,FALSE))&gt;=AH940,TRUE,FALSE))</f>
        <v>1</v>
      </c>
      <c r="AJ940" s="158"/>
      <c r="AK940" s="158"/>
      <c r="AL940" s="158"/>
      <c r="AM940" s="158" t="b">
        <f>IF(AJ940="",TRUE,IF(IF(AK940="",VLOOKUP(AJ940,Calculs!$A$19:$S$425,19,FALSE),VLOOKUP(AK940,Calculs!$A$19:$S$425,19,FALSE))&gt;=AL940,TRUE,FALSE))</f>
        <v>1</v>
      </c>
      <c r="AN940" s="158"/>
      <c r="AO940" s="158"/>
      <c r="AP940" s="158"/>
      <c r="AQ940" s="158" t="b">
        <f>IF(AN940="",TRUE,IF(IF(AO940="",VLOOKUP(AN940,Calculs!$A$19:$S$425,19,FALSE),VLOOKUP(AO940,Calculs!$A$19:$S$425,19,FALSE))&gt;=AP940,TRUE,FALSE))</f>
        <v>1</v>
      </c>
      <c r="AR940" s="158"/>
      <c r="AS940" s="158" t="b">
        <f>IF(AR940="",TRUE,IF(VLOOKUP(AR940,Calculs!$A$427:$G$738,7,FALSE)&gt;0,TRUE,FALSE))</f>
        <v>1</v>
      </c>
      <c r="AT940" s="158"/>
      <c r="AU940" s="158" t="b">
        <f>IF(AT940="",TRUE,IF(VLOOKUP(AT940,Calculs!$A$740:$G$912,7,FALSE)&gt;0,TRUE,FALSE))</f>
        <v>1</v>
      </c>
      <c r="AV940" s="158" t="b">
        <f t="shared" si="101"/>
        <v>1</v>
      </c>
      <c r="AW940" s="158" t="s">
        <v>2078</v>
      </c>
      <c r="AX940" s="162" t="s">
        <v>6816</v>
      </c>
      <c r="AY940" s="15">
        <v>97</v>
      </c>
      <c r="AZ940" s="566" t="s">
        <v>7115</v>
      </c>
      <c r="BA940" s="559">
        <f>IF(Verso!$B$10=Voies!$B940,1,0)</f>
        <v>0</v>
      </c>
      <c r="BB940" s="12">
        <f>IF(Verso!$B$11=Voies!$B940,1,0)</f>
        <v>0</v>
      </c>
      <c r="BC940" s="12">
        <f>IF(Verso!$B$12=Voies!$B940,1,0)</f>
        <v>0</v>
      </c>
      <c r="BD940" s="12">
        <f>IF(Verso!$B$13=Voies!$B940,1,0)</f>
        <v>0</v>
      </c>
      <c r="BE940" s="12">
        <f>IF(Verso!$B$14=Voies!$B940,1,0)</f>
        <v>0</v>
      </c>
      <c r="BF940" s="12">
        <f>IF(Verso!$B$15=Voies!$B940,1,0)</f>
        <v>0</v>
      </c>
      <c r="BG940" s="12">
        <f>IF(Verso!$B$16=Voies!$B940,1,0)</f>
        <v>0</v>
      </c>
      <c r="BH940" s="12">
        <f>IF(Verso!$B$17=Voies!$B940,1,0)</f>
        <v>0</v>
      </c>
      <c r="BI940" s="557">
        <f t="shared" si="102"/>
        <v>0</v>
      </c>
      <c r="BJ940" s="196" t="str">
        <f t="shared" si="103"/>
        <v/>
      </c>
      <c r="BK940" s="196" t="str">
        <f t="shared" si="104"/>
        <v/>
      </c>
      <c r="BL940" s="295" t="str">
        <f t="shared" si="105"/>
        <v/>
      </c>
      <c r="BM940" s="91"/>
    </row>
    <row r="941" spans="1:65" s="196" customFormat="1" ht="47.25" customHeight="1" x14ac:dyDescent="0.25">
      <c r="A941" s="162" t="str">
        <f>IF(AND(Réputation&gt;Voies!E941-1,OR(C941=TRUE,Calculs!$I$8&gt;0),Air&gt;Voies!J941-1,Eau&gt;Voies!K941-1,Feu&gt;Voies!L941-1,Terre&gt;Voies!M941-1,Vide&gt;Voies!N941-1,Constitution&gt;Voies!O941-1,Volonté&gt;Voies!P941-1,Force&gt;Voies!Q941-1,Perception&gt;Voies!R941-1,Reflexes&gt;Voies!S941-1,Agilité&gt;Voies!T941-1,Intuition&gt;Voies!U941-1,Intelligence&gt;Voies!V941-1,Souillure&gt;Voies!W941-1,Honneur&gt;X941-1,Statut&gt;Y941-1,Gloire&gt;Z941-1,AV941=TRUE),Voies!B941,"")</f>
        <v/>
      </c>
      <c r="B941" s="162" t="s">
        <v>7107</v>
      </c>
      <c r="C941" s="162" t="b">
        <f>IF(Clan=Voies!D941,TRUE,FALSE)</f>
        <v>0</v>
      </c>
      <c r="D941" s="388" t="s">
        <v>6785</v>
      </c>
      <c r="E941" s="199">
        <v>2</v>
      </c>
      <c r="F941" s="199">
        <v>2</v>
      </c>
      <c r="G941" s="199" t="s">
        <v>2049</v>
      </c>
      <c r="H941" s="162" t="s">
        <v>6956</v>
      </c>
      <c r="I941" s="129" t="str">
        <f t="shared" si="106"/>
        <v>Rien</v>
      </c>
      <c r="J941" s="146">
        <v>0</v>
      </c>
      <c r="K941" s="147">
        <v>0</v>
      </c>
      <c r="L941" s="148">
        <v>0</v>
      </c>
      <c r="M941" s="149">
        <v>0</v>
      </c>
      <c r="N941" s="150">
        <v>0</v>
      </c>
      <c r="O941" s="130">
        <v>0</v>
      </c>
      <c r="P941" s="130">
        <v>0</v>
      </c>
      <c r="Q941" s="130">
        <v>0</v>
      </c>
      <c r="R941" s="130">
        <v>0</v>
      </c>
      <c r="S941" s="130">
        <v>0</v>
      </c>
      <c r="T941" s="130">
        <v>0</v>
      </c>
      <c r="U941" s="130">
        <v>0</v>
      </c>
      <c r="V941" s="524">
        <v>0</v>
      </c>
      <c r="W941" s="130">
        <v>0</v>
      </c>
      <c r="X941" s="130">
        <v>0</v>
      </c>
      <c r="Y941" s="130">
        <v>0</v>
      </c>
      <c r="Z941" s="130">
        <v>0</v>
      </c>
      <c r="AA941" s="158" t="s">
        <v>2078</v>
      </c>
      <c r="AB941" s="158"/>
      <c r="AC941" s="158"/>
      <c r="AD941" s="158"/>
      <c r="AE941" s="158" t="b">
        <f>IF(AB941="",TRUE,IF(IF(AC941="",VLOOKUP(AB941,Calculs!$A$19:$S$425,19,FALSE),VLOOKUP(AC941,Calculs!$A$19:$S$425,19,FALSE))&gt;=AD941,TRUE,FALSE))</f>
        <v>1</v>
      </c>
      <c r="AF941" s="158"/>
      <c r="AG941" s="158"/>
      <c r="AH941" s="158"/>
      <c r="AI941" s="158" t="b">
        <f>IF(AF941="",TRUE,IF(IF(AG941="",VLOOKUP(AF941,Calculs!$A$19:$S$425,19,FALSE),VLOOKUP(AG941,Calculs!$A$19:$S$425,19,FALSE))&gt;=AH941,TRUE,FALSE))</f>
        <v>1</v>
      </c>
      <c r="AJ941" s="158"/>
      <c r="AK941" s="158"/>
      <c r="AL941" s="158"/>
      <c r="AM941" s="158" t="b">
        <f>IF(AJ941="",TRUE,IF(IF(AK941="",VLOOKUP(AJ941,Calculs!$A$19:$S$425,19,FALSE),VLOOKUP(AK941,Calculs!$A$19:$S$425,19,FALSE))&gt;=AL941,TRUE,FALSE))</f>
        <v>1</v>
      </c>
      <c r="AN941" s="158"/>
      <c r="AO941" s="158"/>
      <c r="AP941" s="158"/>
      <c r="AQ941" s="158" t="b">
        <f>IF(AN941="",TRUE,IF(IF(AO941="",VLOOKUP(AN941,Calculs!$A$19:$S$425,19,FALSE),VLOOKUP(AO941,Calculs!$A$19:$S$425,19,FALSE))&gt;=AP941,TRUE,FALSE))</f>
        <v>1</v>
      </c>
      <c r="AR941" s="158"/>
      <c r="AS941" s="158" t="b">
        <f>IF(AR941="",TRUE,IF(VLOOKUP(AR941,Calculs!$A$427:$G$738,7,FALSE)&gt;0,TRUE,FALSE))</f>
        <v>1</v>
      </c>
      <c r="AT941" s="158"/>
      <c r="AU941" s="158" t="b">
        <f>IF(AT941="",TRUE,IF(VLOOKUP(AT941,Calculs!$A$740:$G$912,7,FALSE)&gt;0,TRUE,FALSE))</f>
        <v>1</v>
      </c>
      <c r="AV941" s="158" t="b">
        <f t="shared" si="101"/>
        <v>1</v>
      </c>
      <c r="AW941" s="158" t="s">
        <v>2078</v>
      </c>
      <c r="AX941" s="162" t="s">
        <v>6816</v>
      </c>
      <c r="AY941" s="15">
        <v>95</v>
      </c>
      <c r="AZ941" s="555" t="s">
        <v>7116</v>
      </c>
      <c r="BA941" s="559">
        <f>IF(Verso!$B$10=Voies!$B941,1,0)</f>
        <v>0</v>
      </c>
      <c r="BB941" s="12">
        <f>IF(Verso!$B$11=Voies!$B941,1,0)</f>
        <v>0</v>
      </c>
      <c r="BC941" s="12">
        <f>IF(Verso!$B$12=Voies!$B941,1,0)</f>
        <v>0</v>
      </c>
      <c r="BD941" s="12">
        <f>IF(Verso!$B$13=Voies!$B941,1,0)</f>
        <v>0</v>
      </c>
      <c r="BE941" s="12">
        <f>IF(Verso!$B$14=Voies!$B941,1,0)</f>
        <v>0</v>
      </c>
      <c r="BF941" s="12">
        <f>IF(Verso!$B$15=Voies!$B941,1,0)</f>
        <v>0</v>
      </c>
      <c r="BG941" s="12">
        <f>IF(Verso!$B$16=Voies!$B941,1,0)</f>
        <v>0</v>
      </c>
      <c r="BH941" s="12">
        <f>IF(Verso!$B$17=Voies!$B941,1,0)</f>
        <v>0</v>
      </c>
      <c r="BI941" s="557">
        <f t="shared" si="102"/>
        <v>0</v>
      </c>
      <c r="BJ941" s="196" t="str">
        <f t="shared" si="103"/>
        <v/>
      </c>
      <c r="BK941" s="196" t="str">
        <f t="shared" si="104"/>
        <v/>
      </c>
      <c r="BL941" s="295" t="str">
        <f t="shared" si="105"/>
        <v/>
      </c>
      <c r="BM941" s="91"/>
    </row>
    <row r="942" spans="1:65" s="196" customFormat="1" ht="47.25" customHeight="1" x14ac:dyDescent="0.25">
      <c r="A942" s="162" t="str">
        <f>IF(AND(Réputation&gt;Voies!E942-1,OR(C942=TRUE,Calculs!$I$8&gt;0),Air&gt;Voies!J942-1,Eau&gt;Voies!K942-1,Feu&gt;Voies!L942-1,Terre&gt;Voies!M942-1,Vide&gt;Voies!N942-1,Constitution&gt;Voies!O942-1,Volonté&gt;Voies!P942-1,Force&gt;Voies!Q942-1,Perception&gt;Voies!R942-1,Reflexes&gt;Voies!S942-1,Agilité&gt;Voies!T942-1,Intuition&gt;Voies!U942-1,Intelligence&gt;Voies!V942-1,Souillure&gt;Voies!W942-1,Honneur&gt;X942-1,Statut&gt;Y942-1,Gloire&gt;Z942-1,AV942=TRUE),Voies!B942,"")</f>
        <v/>
      </c>
      <c r="B942" s="162" t="s">
        <v>7112</v>
      </c>
      <c r="C942" s="162" t="b">
        <v>1</v>
      </c>
      <c r="D942" s="388" t="s">
        <v>6785</v>
      </c>
      <c r="E942" s="199">
        <v>2</v>
      </c>
      <c r="F942" s="199">
        <v>2</v>
      </c>
      <c r="G942" s="199" t="s">
        <v>2049</v>
      </c>
      <c r="H942" s="162" t="s">
        <v>7105</v>
      </c>
      <c r="I942" s="129" t="s">
        <v>3341</v>
      </c>
      <c r="J942" s="146">
        <v>0</v>
      </c>
      <c r="K942" s="147">
        <v>0</v>
      </c>
      <c r="L942" s="148">
        <v>0</v>
      </c>
      <c r="M942" s="149">
        <v>0</v>
      </c>
      <c r="N942" s="150">
        <v>0</v>
      </c>
      <c r="O942" s="130">
        <v>0</v>
      </c>
      <c r="P942" s="130">
        <v>0</v>
      </c>
      <c r="Q942" s="130">
        <v>0</v>
      </c>
      <c r="R942" s="130">
        <v>0</v>
      </c>
      <c r="S942" s="130">
        <v>0</v>
      </c>
      <c r="T942" s="130">
        <v>0</v>
      </c>
      <c r="U942" s="130">
        <v>0</v>
      </c>
      <c r="V942" s="524">
        <v>0</v>
      </c>
      <c r="W942" s="130">
        <v>0</v>
      </c>
      <c r="X942" s="130">
        <v>0</v>
      </c>
      <c r="Y942" s="130">
        <v>0</v>
      </c>
      <c r="Z942" s="130">
        <v>0</v>
      </c>
      <c r="AA942" s="158" t="s">
        <v>2078</v>
      </c>
      <c r="AB942" s="158"/>
      <c r="AC942" s="158"/>
      <c r="AD942" s="158"/>
      <c r="AE942" s="158" t="b">
        <f>IF(AB942="",TRUE,IF(IF(AC942="",VLOOKUP(AB942,Calculs!$A$19:$S$425,19,FALSE),VLOOKUP(AC942,Calculs!$A$19:$S$425,19,FALSE))&gt;=AD942,TRUE,FALSE))</f>
        <v>1</v>
      </c>
      <c r="AF942" s="158"/>
      <c r="AG942" s="158"/>
      <c r="AH942" s="158"/>
      <c r="AI942" s="158" t="b">
        <f>IF(AF942="",TRUE,IF(IF(AG942="",VLOOKUP(AF942,Calculs!$A$19:$S$425,19,FALSE),VLOOKUP(AG942,Calculs!$A$19:$S$425,19,FALSE))&gt;=AH942,TRUE,FALSE))</f>
        <v>1</v>
      </c>
      <c r="AJ942" s="158"/>
      <c r="AK942" s="158"/>
      <c r="AL942" s="158"/>
      <c r="AM942" s="158" t="b">
        <f>IF(AJ942="",TRUE,IF(IF(AK942="",VLOOKUP(AJ942,Calculs!$A$19:$S$425,19,FALSE),VLOOKUP(AK942,Calculs!$A$19:$S$425,19,FALSE))&gt;=AL942,TRUE,FALSE))</f>
        <v>1</v>
      </c>
      <c r="AN942" s="158"/>
      <c r="AO942" s="158"/>
      <c r="AP942" s="158"/>
      <c r="AQ942" s="158" t="b">
        <f>IF(AN942="",TRUE,IF(IF(AO942="",VLOOKUP(AN942,Calculs!$A$19:$S$425,19,FALSE),VLOOKUP(AO942,Calculs!$A$19:$S$425,19,FALSE))&gt;=AP942,TRUE,FALSE))</f>
        <v>1</v>
      </c>
      <c r="AR942" s="158"/>
      <c r="AS942" s="158" t="b">
        <f>IF(AR942="",TRUE,IF(VLOOKUP(AR942,Calculs!$A$427:$G$738,7,FALSE)&gt;0,TRUE,FALSE))</f>
        <v>1</v>
      </c>
      <c r="AT942" s="158"/>
      <c r="AU942" s="158" t="b">
        <f>IF(AT942="",TRUE,IF(VLOOKUP(AT942,Calculs!$A$740:$G$912,7,FALSE)&gt;0,TRUE,FALSE))</f>
        <v>1</v>
      </c>
      <c r="AV942" s="158" t="b">
        <f t="shared" si="101"/>
        <v>1</v>
      </c>
      <c r="AW942" s="158" t="s">
        <v>2078</v>
      </c>
      <c r="AX942" s="162" t="s">
        <v>6816</v>
      </c>
      <c r="AY942" s="15">
        <v>95</v>
      </c>
      <c r="AZ942" s="566" t="s">
        <v>7120</v>
      </c>
      <c r="BA942" s="559">
        <f>IF(Verso!$B$10=Voies!$B942,1,0)</f>
        <v>0</v>
      </c>
      <c r="BB942" s="12">
        <f>IF(Verso!$B$11=Voies!$B942,1,0)</f>
        <v>0</v>
      </c>
      <c r="BC942" s="12">
        <f>IF(Verso!$B$12=Voies!$B942,1,0)</f>
        <v>0</v>
      </c>
      <c r="BD942" s="12">
        <f>IF(Verso!$B$13=Voies!$B942,1,0)</f>
        <v>0</v>
      </c>
      <c r="BE942" s="12">
        <f>IF(Verso!$B$14=Voies!$B942,1,0)</f>
        <v>0</v>
      </c>
      <c r="BF942" s="12">
        <f>IF(Verso!$B$15=Voies!$B942,1,0)</f>
        <v>0</v>
      </c>
      <c r="BG942" s="12">
        <f>IF(Verso!$B$16=Voies!$B942,1,0)</f>
        <v>0</v>
      </c>
      <c r="BH942" s="12">
        <f>IF(Verso!$B$17=Voies!$B942,1,0)</f>
        <v>0</v>
      </c>
      <c r="BI942" s="557">
        <f t="shared" si="102"/>
        <v>0</v>
      </c>
      <c r="BJ942" s="196" t="str">
        <f t="shared" si="103"/>
        <v/>
      </c>
      <c r="BK942" s="196" t="str">
        <f t="shared" si="104"/>
        <v/>
      </c>
      <c r="BL942" s="295" t="str">
        <f t="shared" si="105"/>
        <v/>
      </c>
      <c r="BM942" s="91"/>
    </row>
    <row r="943" spans="1:65" s="196" customFormat="1" ht="47.25" customHeight="1" x14ac:dyDescent="0.25">
      <c r="A943" s="162" t="str">
        <f>IF(AND(Réputation&gt;Voies!E943-1,OR(C943=TRUE,Calculs!$I$8&gt;0),Air&gt;Voies!J943-1,Eau&gt;Voies!K943-1,Feu&gt;Voies!L943-1,Terre&gt;Voies!M943-1,Vide&gt;Voies!N943-1,Constitution&gt;Voies!O943-1,Volonté&gt;Voies!P943-1,Force&gt;Voies!Q943-1,Perception&gt;Voies!R943-1,Reflexes&gt;Voies!S943-1,Agilité&gt;Voies!T943-1,Intuition&gt;Voies!U943-1,Intelligence&gt;Voies!V943-1,Souillure&gt;Voies!W943-1,Honneur&gt;X943-1,Statut&gt;Y943-1,Gloire&gt;Z943-1,AV943=TRUE),Voies!B943,"")</f>
        <v/>
      </c>
      <c r="B943" s="162" t="s">
        <v>7108</v>
      </c>
      <c r="C943" s="162" t="b">
        <f>IF(Clan=Voies!D943,TRUE,FALSE)</f>
        <v>0</v>
      </c>
      <c r="D943" s="388" t="s">
        <v>6785</v>
      </c>
      <c r="E943" s="199">
        <v>3</v>
      </c>
      <c r="F943" s="199">
        <v>3</v>
      </c>
      <c r="G943" s="199" t="s">
        <v>2049</v>
      </c>
      <c r="H943" s="162" t="s">
        <v>6956</v>
      </c>
      <c r="I943" s="129" t="str">
        <f>IF(B943="","","Rien")</f>
        <v>Rien</v>
      </c>
      <c r="J943" s="146">
        <v>0</v>
      </c>
      <c r="K943" s="147">
        <v>0</v>
      </c>
      <c r="L943" s="148">
        <v>0</v>
      </c>
      <c r="M943" s="149">
        <v>0</v>
      </c>
      <c r="N943" s="150">
        <v>0</v>
      </c>
      <c r="O943" s="130">
        <v>0</v>
      </c>
      <c r="P943" s="130">
        <v>0</v>
      </c>
      <c r="Q943" s="130">
        <v>0</v>
      </c>
      <c r="R943" s="130">
        <v>0</v>
      </c>
      <c r="S943" s="130">
        <v>0</v>
      </c>
      <c r="T943" s="130">
        <v>0</v>
      </c>
      <c r="U943" s="130">
        <v>0</v>
      </c>
      <c r="V943" s="524">
        <v>0</v>
      </c>
      <c r="W943" s="130">
        <v>0</v>
      </c>
      <c r="X943" s="130">
        <v>0</v>
      </c>
      <c r="Y943" s="130">
        <v>0</v>
      </c>
      <c r="Z943" s="130">
        <v>0</v>
      </c>
      <c r="AA943" s="158" t="s">
        <v>2078</v>
      </c>
      <c r="AB943" s="158"/>
      <c r="AC943" s="158"/>
      <c r="AD943" s="158"/>
      <c r="AE943" s="158" t="b">
        <f>IF(AB943="",TRUE,IF(IF(AC943="",VLOOKUP(AB943,Calculs!$A$19:$S$425,19,FALSE),VLOOKUP(AC943,Calculs!$A$19:$S$425,19,FALSE))&gt;=AD943,TRUE,FALSE))</f>
        <v>1</v>
      </c>
      <c r="AF943" s="158"/>
      <c r="AG943" s="158"/>
      <c r="AH943" s="158"/>
      <c r="AI943" s="158" t="b">
        <f>IF(AF943="",TRUE,IF(IF(AG943="",VLOOKUP(AF943,Calculs!$A$19:$S$425,19,FALSE),VLOOKUP(AG943,Calculs!$A$19:$S$425,19,FALSE))&gt;=AH943,TRUE,FALSE))</f>
        <v>1</v>
      </c>
      <c r="AJ943" s="158"/>
      <c r="AK943" s="158"/>
      <c r="AL943" s="158"/>
      <c r="AM943" s="158" t="b">
        <f>IF(AJ943="",TRUE,IF(IF(AK943="",VLOOKUP(AJ943,Calculs!$A$19:$S$425,19,FALSE),VLOOKUP(AK943,Calculs!$A$19:$S$425,19,FALSE))&gt;=AL943,TRUE,FALSE))</f>
        <v>1</v>
      </c>
      <c r="AN943" s="158"/>
      <c r="AO943" s="158"/>
      <c r="AP943" s="158"/>
      <c r="AQ943" s="158" t="b">
        <f>IF(AN943="",TRUE,IF(IF(AO943="",VLOOKUP(AN943,Calculs!$A$19:$S$425,19,FALSE),VLOOKUP(AO943,Calculs!$A$19:$S$425,19,FALSE))&gt;=AP943,TRUE,FALSE))</f>
        <v>1</v>
      </c>
      <c r="AR943" s="158"/>
      <c r="AS943" s="158" t="b">
        <f>IF(AR943="",TRUE,IF(VLOOKUP(AR943,Calculs!$A$427:$G$738,7,FALSE)&gt;0,TRUE,FALSE))</f>
        <v>1</v>
      </c>
      <c r="AT943" s="158"/>
      <c r="AU943" s="158" t="b">
        <f>IF(AT943="",TRUE,IF(VLOOKUP(AT943,Calculs!$A$740:$G$912,7,FALSE)&gt;0,TRUE,FALSE))</f>
        <v>1</v>
      </c>
      <c r="AV943" s="158" t="b">
        <f t="shared" si="101"/>
        <v>1</v>
      </c>
      <c r="AW943" s="158" t="s">
        <v>2078</v>
      </c>
      <c r="AX943" s="162" t="s">
        <v>6816</v>
      </c>
      <c r="AY943" s="15">
        <v>95</v>
      </c>
      <c r="AZ943" s="555" t="s">
        <v>7117</v>
      </c>
      <c r="BA943" s="559">
        <f>IF(Verso!$B$10=Voies!$B943,1,0)</f>
        <v>0</v>
      </c>
      <c r="BB943" s="12">
        <f>IF(Verso!$B$11=Voies!$B943,1,0)</f>
        <v>0</v>
      </c>
      <c r="BC943" s="12">
        <f>IF(Verso!$B$12=Voies!$B943,1,0)</f>
        <v>0</v>
      </c>
      <c r="BD943" s="12">
        <f>IF(Verso!$B$13=Voies!$B943,1,0)</f>
        <v>0</v>
      </c>
      <c r="BE943" s="12">
        <f>IF(Verso!$B$14=Voies!$B943,1,0)</f>
        <v>0</v>
      </c>
      <c r="BF943" s="12">
        <f>IF(Verso!$B$15=Voies!$B943,1,0)</f>
        <v>0</v>
      </c>
      <c r="BG943" s="12">
        <f>IF(Verso!$B$16=Voies!$B943,1,0)</f>
        <v>0</v>
      </c>
      <c r="BH943" s="12">
        <f>IF(Verso!$B$17=Voies!$B943,1,0)</f>
        <v>0</v>
      </c>
      <c r="BI943" s="557">
        <f t="shared" si="102"/>
        <v>0</v>
      </c>
      <c r="BJ943" s="196" t="str">
        <f t="shared" si="103"/>
        <v/>
      </c>
      <c r="BK943" s="196" t="str">
        <f t="shared" si="104"/>
        <v/>
      </c>
      <c r="BL943" s="295" t="str">
        <f t="shared" si="105"/>
        <v/>
      </c>
      <c r="BM943" s="91"/>
    </row>
    <row r="944" spans="1:65" s="196" customFormat="1" ht="47.25" customHeight="1" x14ac:dyDescent="0.25">
      <c r="A944" s="162" t="str">
        <f>IF(AND(Réputation&gt;Voies!E944-1,OR(C944=TRUE,Calculs!$I$8&gt;0),Air&gt;Voies!J944-1,Eau&gt;Voies!K944-1,Feu&gt;Voies!L944-1,Terre&gt;Voies!M944-1,Vide&gt;Voies!N944-1,Constitution&gt;Voies!O944-1,Volonté&gt;Voies!P944-1,Force&gt;Voies!Q944-1,Perception&gt;Voies!R944-1,Reflexes&gt;Voies!S944-1,Agilité&gt;Voies!T944-1,Intuition&gt;Voies!U944-1,Intelligence&gt;Voies!V944-1,Souillure&gt;Voies!W944-1,Honneur&gt;X944-1,Statut&gt;Y944-1,Gloire&gt;Z944-1,AV944=TRUE),Voies!B944,"")</f>
        <v/>
      </c>
      <c r="B944" s="162" t="s">
        <v>7109</v>
      </c>
      <c r="C944" s="162" t="b">
        <f>IF(Clan=Voies!D944,TRUE,FALSE)</f>
        <v>0</v>
      </c>
      <c r="D944" s="388" t="s">
        <v>6785</v>
      </c>
      <c r="E944" s="199">
        <v>4</v>
      </c>
      <c r="F944" s="199">
        <v>4</v>
      </c>
      <c r="G944" s="199" t="s">
        <v>2049</v>
      </c>
      <c r="H944" s="162" t="s">
        <v>6956</v>
      </c>
      <c r="I944" s="129" t="str">
        <f>IF(B944="","","Rien")</f>
        <v>Rien</v>
      </c>
      <c r="J944" s="146">
        <v>0</v>
      </c>
      <c r="K944" s="147">
        <v>0</v>
      </c>
      <c r="L944" s="148">
        <v>0</v>
      </c>
      <c r="M944" s="149">
        <v>0</v>
      </c>
      <c r="N944" s="150">
        <v>0</v>
      </c>
      <c r="O944" s="130">
        <v>0</v>
      </c>
      <c r="P944" s="130">
        <v>0</v>
      </c>
      <c r="Q944" s="130">
        <v>0</v>
      </c>
      <c r="R944" s="130">
        <v>0</v>
      </c>
      <c r="S944" s="130">
        <v>0</v>
      </c>
      <c r="T944" s="130">
        <v>0</v>
      </c>
      <c r="U944" s="130">
        <v>0</v>
      </c>
      <c r="V944" s="524">
        <v>0</v>
      </c>
      <c r="W944" s="130">
        <v>0</v>
      </c>
      <c r="X944" s="130">
        <v>0</v>
      </c>
      <c r="Y944" s="130">
        <v>0</v>
      </c>
      <c r="Z944" s="130">
        <v>0</v>
      </c>
      <c r="AA944" s="158" t="s">
        <v>2078</v>
      </c>
      <c r="AB944" s="158"/>
      <c r="AC944" s="158"/>
      <c r="AD944" s="158"/>
      <c r="AE944" s="158" t="b">
        <f>IF(AB944="",TRUE,IF(IF(AC944="",VLOOKUP(AB944,Calculs!$A$19:$S$425,19,FALSE),VLOOKUP(AC944,Calculs!$A$19:$S$425,19,FALSE))&gt;=AD944,TRUE,FALSE))</f>
        <v>1</v>
      </c>
      <c r="AF944" s="158"/>
      <c r="AG944" s="158"/>
      <c r="AH944" s="158"/>
      <c r="AI944" s="158" t="b">
        <f>IF(AF944="",TRUE,IF(IF(AG944="",VLOOKUP(AF944,Calculs!$A$19:$S$425,19,FALSE),VLOOKUP(AG944,Calculs!$A$19:$S$425,19,FALSE))&gt;=AH944,TRUE,FALSE))</f>
        <v>1</v>
      </c>
      <c r="AJ944" s="158"/>
      <c r="AK944" s="158"/>
      <c r="AL944" s="158"/>
      <c r="AM944" s="158" t="b">
        <f>IF(AJ944="",TRUE,IF(IF(AK944="",VLOOKUP(AJ944,Calculs!$A$19:$S$425,19,FALSE),VLOOKUP(AK944,Calculs!$A$19:$S$425,19,FALSE))&gt;=AL944,TRUE,FALSE))</f>
        <v>1</v>
      </c>
      <c r="AN944" s="158"/>
      <c r="AO944" s="158"/>
      <c r="AP944" s="158"/>
      <c r="AQ944" s="158" t="b">
        <f>IF(AN944="",TRUE,IF(IF(AO944="",VLOOKUP(AN944,Calculs!$A$19:$S$425,19,FALSE),VLOOKUP(AO944,Calculs!$A$19:$S$425,19,FALSE))&gt;=AP944,TRUE,FALSE))</f>
        <v>1</v>
      </c>
      <c r="AR944" s="158"/>
      <c r="AS944" s="158" t="b">
        <f>IF(AR944="",TRUE,IF(VLOOKUP(AR944,Calculs!$A$427:$G$738,7,FALSE)&gt;0,TRUE,FALSE))</f>
        <v>1</v>
      </c>
      <c r="AT944" s="158"/>
      <c r="AU944" s="158" t="b">
        <f>IF(AT944="",TRUE,IF(VLOOKUP(AT944,Calculs!$A$740:$G$912,7,FALSE)&gt;0,TRUE,FALSE))</f>
        <v>1</v>
      </c>
      <c r="AV944" s="158" t="b">
        <f t="shared" si="101"/>
        <v>1</v>
      </c>
      <c r="AW944" s="158" t="s">
        <v>2078</v>
      </c>
      <c r="AX944" s="162" t="s">
        <v>6816</v>
      </c>
      <c r="AY944" s="15">
        <v>95</v>
      </c>
      <c r="AZ944" s="555" t="str">
        <f>CONCATENATE("Pour la manœuvre d'Etourdissement, ajoutez votre Rg. de Lances au résultat de votre test de Force. Si vous réussissez la maneouvre: vous projetez en plus votre ennemi de ",1.5+1.5*Eau, "m dans la direction de votre choix.")</f>
        <v>Pour la manœuvre d'Etourdissement, ajoutez votre Rg. de Lances au résultat de votre test de Force. Si vous réussissez la maneouvre: vous projetez en plus votre ennemi de 4,5m dans la direction de votre choix.</v>
      </c>
      <c r="BA944" s="559">
        <f>IF(Verso!$B$10=Voies!$B944,1,0)</f>
        <v>0</v>
      </c>
      <c r="BB944" s="12">
        <f>IF(Verso!$B$11=Voies!$B944,1,0)</f>
        <v>0</v>
      </c>
      <c r="BC944" s="12">
        <f>IF(Verso!$B$12=Voies!$B944,1,0)</f>
        <v>0</v>
      </c>
      <c r="BD944" s="12">
        <f>IF(Verso!$B$13=Voies!$B944,1,0)</f>
        <v>0</v>
      </c>
      <c r="BE944" s="12">
        <f>IF(Verso!$B$14=Voies!$B944,1,0)</f>
        <v>0</v>
      </c>
      <c r="BF944" s="12">
        <f>IF(Verso!$B$15=Voies!$B944,1,0)</f>
        <v>0</v>
      </c>
      <c r="BG944" s="12">
        <f>IF(Verso!$B$16=Voies!$B944,1,0)</f>
        <v>0</v>
      </c>
      <c r="BH944" s="12">
        <f>IF(Verso!$B$17=Voies!$B944,1,0)</f>
        <v>0</v>
      </c>
      <c r="BI944" s="557">
        <f t="shared" si="102"/>
        <v>0</v>
      </c>
      <c r="BJ944" s="196" t="str">
        <f t="shared" si="103"/>
        <v/>
      </c>
      <c r="BK944" s="196" t="str">
        <f t="shared" si="104"/>
        <v/>
      </c>
      <c r="BL944" s="295" t="str">
        <f t="shared" si="105"/>
        <v/>
      </c>
      <c r="BM944" s="91"/>
    </row>
    <row r="945" spans="1:65" s="196" customFormat="1" ht="47.25" customHeight="1" x14ac:dyDescent="0.25">
      <c r="A945" s="162" t="str">
        <f>IF(AND(Réputation&gt;Voies!E945-1,OR(C945=TRUE,Calculs!$I$8&gt;0),Air&gt;Voies!J945-1,Eau&gt;Voies!K945-1,Feu&gt;Voies!L945-1,Terre&gt;Voies!M945-1,Vide&gt;Voies!N945-1,Constitution&gt;Voies!O945-1,Volonté&gt;Voies!P945-1,Force&gt;Voies!Q945-1,Perception&gt;Voies!R945-1,Reflexes&gt;Voies!S945-1,Agilité&gt;Voies!T945-1,Intuition&gt;Voies!U945-1,Intelligence&gt;Voies!V945-1,Souillure&gt;Voies!W945-1,Honneur&gt;X945-1,Statut&gt;Y945-1,Gloire&gt;Z945-1,AV945=TRUE),Voies!B945,"")</f>
        <v/>
      </c>
      <c r="B945" s="162" t="s">
        <v>7114</v>
      </c>
      <c r="C945" s="162" t="b">
        <f>IF(Clan=Voies!D945,TRUE,FALSE)</f>
        <v>0</v>
      </c>
      <c r="D945" s="388" t="s">
        <v>6785</v>
      </c>
      <c r="E945" s="199">
        <v>4</v>
      </c>
      <c r="F945" s="199">
        <v>4</v>
      </c>
      <c r="G945" s="199" t="s">
        <v>2049</v>
      </c>
      <c r="H945" s="162" t="s">
        <v>7104</v>
      </c>
      <c r="I945" s="129" t="s">
        <v>7111</v>
      </c>
      <c r="J945" s="146">
        <v>0</v>
      </c>
      <c r="K945" s="147">
        <v>0</v>
      </c>
      <c r="L945" s="148">
        <v>0</v>
      </c>
      <c r="M945" s="149">
        <v>0</v>
      </c>
      <c r="N945" s="150">
        <v>0</v>
      </c>
      <c r="O945" s="130">
        <v>0</v>
      </c>
      <c r="P945" s="130">
        <v>0</v>
      </c>
      <c r="Q945" s="130">
        <v>0</v>
      </c>
      <c r="R945" s="130">
        <v>0</v>
      </c>
      <c r="S945" s="130">
        <v>0</v>
      </c>
      <c r="T945" s="130">
        <v>0</v>
      </c>
      <c r="U945" s="130">
        <v>0</v>
      </c>
      <c r="V945" s="524">
        <v>0</v>
      </c>
      <c r="W945" s="130">
        <v>0</v>
      </c>
      <c r="X945" s="130">
        <v>0</v>
      </c>
      <c r="Y945" s="130">
        <v>0</v>
      </c>
      <c r="Z945" s="130">
        <v>0</v>
      </c>
      <c r="AA945" s="158" t="s">
        <v>7113</v>
      </c>
      <c r="AB945" s="158" t="s">
        <v>1267</v>
      </c>
      <c r="AC945" s="158"/>
      <c r="AD945" s="158">
        <v>5</v>
      </c>
      <c r="AE945" s="158" t="b">
        <f>IF(AB945="",TRUE,IF(IF(AC945="",VLOOKUP(AB945,Calculs!$A$19:$S$425,19,FALSE),VLOOKUP(AC945,Calculs!$A$19:$S$425,19,FALSE))&gt;=AD945,TRUE,FALSE))</f>
        <v>0</v>
      </c>
      <c r="AF945" s="158" t="s">
        <v>1273</v>
      </c>
      <c r="AG945" s="158"/>
      <c r="AH945" s="158">
        <v>3</v>
      </c>
      <c r="AI945" s="158" t="b">
        <f>IF(AF945="",TRUE,IF(IF(AG945="",VLOOKUP(AF945,Calculs!$A$19:$S$425,19,FALSE),VLOOKUP(AG945,Calculs!$A$19:$S$425,19,FALSE))&gt;=AH945,TRUE,FALSE))</f>
        <v>0</v>
      </c>
      <c r="AJ945" s="158" t="s">
        <v>1282</v>
      </c>
      <c r="AK945" s="158"/>
      <c r="AL945" s="158">
        <v>3</v>
      </c>
      <c r="AM945" s="158" t="b">
        <f>IF(AJ945="",TRUE,IF(IF(AK945="",VLOOKUP(AJ945,Calculs!$A$19:$S$425,19,FALSE),VLOOKUP(AK945,Calculs!$A$19:$S$425,19,FALSE))&gt;=AL945,TRUE,FALSE))</f>
        <v>0</v>
      </c>
      <c r="AN945" s="158"/>
      <c r="AO945" s="158"/>
      <c r="AP945" s="158"/>
      <c r="AQ945" s="158" t="b">
        <f>IF(AN945="",TRUE,IF(IF(AO945="",VLOOKUP(AN945,Calculs!$A$19:$S$425,19,FALSE),VLOOKUP(AO945,Calculs!$A$19:$S$425,19,FALSE))&gt;=AP945,TRUE,FALSE))</f>
        <v>1</v>
      </c>
      <c r="AR945" s="158"/>
      <c r="AS945" s="158" t="b">
        <f>IF(AR945="",TRUE,IF(VLOOKUP(AR945,Calculs!$A$427:$G$738,7,FALSE)&gt;0,TRUE,FALSE))</f>
        <v>1</v>
      </c>
      <c r="AT945" s="158"/>
      <c r="AU945" s="158" t="b">
        <f>IF(AT945="",TRUE,IF(VLOOKUP(AT945,Calculs!$A$740:$G$912,7,FALSE)&gt;0,TRUE,FALSE))</f>
        <v>1</v>
      </c>
      <c r="AV945" s="158" t="b">
        <f t="shared" si="101"/>
        <v>0</v>
      </c>
      <c r="AW945" s="158" t="s">
        <v>2078</v>
      </c>
      <c r="AX945" s="162" t="s">
        <v>6816</v>
      </c>
      <c r="AY945" s="15">
        <v>95</v>
      </c>
      <c r="AZ945" s="566" t="s">
        <v>7119</v>
      </c>
      <c r="BA945" s="559">
        <f>IF(Verso!$B$10=Voies!$B945,1,0)</f>
        <v>0</v>
      </c>
      <c r="BB945" s="12">
        <f>IF(Verso!$B$11=Voies!$B945,1,0)</f>
        <v>0</v>
      </c>
      <c r="BC945" s="12">
        <f>IF(Verso!$B$12=Voies!$B945,1,0)</f>
        <v>0</v>
      </c>
      <c r="BD945" s="12">
        <f>IF(Verso!$B$13=Voies!$B945,1,0)</f>
        <v>0</v>
      </c>
      <c r="BE945" s="12">
        <f>IF(Verso!$B$14=Voies!$B945,1,0)</f>
        <v>0</v>
      </c>
      <c r="BF945" s="12">
        <f>IF(Verso!$B$15=Voies!$B945,1,0)</f>
        <v>0</v>
      </c>
      <c r="BG945" s="12">
        <f>IF(Verso!$B$16=Voies!$B945,1,0)</f>
        <v>0</v>
      </c>
      <c r="BH945" s="12">
        <f>IF(Verso!$B$17=Voies!$B945,1,0)</f>
        <v>0</v>
      </c>
      <c r="BI945" s="557">
        <f t="shared" si="102"/>
        <v>0</v>
      </c>
      <c r="BJ945" s="196" t="str">
        <f t="shared" si="103"/>
        <v/>
      </c>
      <c r="BK945" s="196" t="str">
        <f t="shared" si="104"/>
        <v/>
      </c>
      <c r="BL945" s="295" t="str">
        <f t="shared" si="105"/>
        <v/>
      </c>
      <c r="BM945" s="91"/>
    </row>
    <row r="946" spans="1:65" s="196" customFormat="1" ht="47.25" customHeight="1" x14ac:dyDescent="0.25">
      <c r="A946" s="162" t="str">
        <f>IF(AND(Réputation&gt;Voies!E946-1,OR(C946=TRUE,Calculs!$I$8&gt;0),Air&gt;Voies!J946-1,Eau&gt;Voies!K946-1,Feu&gt;Voies!L946-1,Terre&gt;Voies!M946-1,Vide&gt;Voies!N946-1,Constitution&gt;Voies!O946-1,Volonté&gt;Voies!P946-1,Force&gt;Voies!Q946-1,Perception&gt;Voies!R946-1,Reflexes&gt;Voies!S946-1,Agilité&gt;Voies!T946-1,Intuition&gt;Voies!U946-1,Intelligence&gt;Voies!V946-1,Souillure&gt;Voies!W946-1,Honneur&gt;X946-1,Statut&gt;Y946-1,Gloire&gt;Z946-1,AV946=TRUE),Voies!B946,"")</f>
        <v/>
      </c>
      <c r="B946" s="162" t="s">
        <v>7110</v>
      </c>
      <c r="C946" s="162" t="b">
        <f>IF(Clan=Voies!D946,TRUE,FALSE)</f>
        <v>0</v>
      </c>
      <c r="D946" s="388" t="s">
        <v>6785</v>
      </c>
      <c r="E946" s="199">
        <v>5</v>
      </c>
      <c r="F946" s="199">
        <v>5</v>
      </c>
      <c r="G946" s="199" t="s">
        <v>2049</v>
      </c>
      <c r="H946" s="162" t="s">
        <v>6956</v>
      </c>
      <c r="I946" s="129" t="str">
        <f t="shared" ref="I946:I968" si="107">IF(B946="","","Rien")</f>
        <v>Rien</v>
      </c>
      <c r="J946" s="146">
        <v>0</v>
      </c>
      <c r="K946" s="147">
        <v>0</v>
      </c>
      <c r="L946" s="148">
        <v>0</v>
      </c>
      <c r="M946" s="149">
        <v>0</v>
      </c>
      <c r="N946" s="150">
        <v>0</v>
      </c>
      <c r="O946" s="130">
        <v>0</v>
      </c>
      <c r="P946" s="130">
        <v>0</v>
      </c>
      <c r="Q946" s="130">
        <v>0</v>
      </c>
      <c r="R946" s="130">
        <v>0</v>
      </c>
      <c r="S946" s="130">
        <v>0</v>
      </c>
      <c r="T946" s="130">
        <v>0</v>
      </c>
      <c r="U946" s="130">
        <v>0</v>
      </c>
      <c r="V946" s="524">
        <v>0</v>
      </c>
      <c r="W946" s="130">
        <v>0</v>
      </c>
      <c r="X946" s="130">
        <v>0</v>
      </c>
      <c r="Y946" s="130">
        <v>0</v>
      </c>
      <c r="Z946" s="130">
        <v>0</v>
      </c>
      <c r="AA946" s="158" t="s">
        <v>2078</v>
      </c>
      <c r="AB946" s="158"/>
      <c r="AC946" s="158"/>
      <c r="AD946" s="158"/>
      <c r="AE946" s="158" t="b">
        <f>IF(AB946="",TRUE,IF(IF(AC946="",VLOOKUP(AB946,Calculs!$A$19:$S$425,19,FALSE),VLOOKUP(AC946,Calculs!$A$19:$S$425,19,FALSE))&gt;=AD946,TRUE,FALSE))</f>
        <v>1</v>
      </c>
      <c r="AF946" s="158"/>
      <c r="AG946" s="158"/>
      <c r="AH946" s="158"/>
      <c r="AI946" s="158" t="b">
        <f>IF(AF946="",TRUE,IF(IF(AG946="",VLOOKUP(AF946,Calculs!$A$19:$S$425,19,FALSE),VLOOKUP(AG946,Calculs!$A$19:$S$425,19,FALSE))&gt;=AH946,TRUE,FALSE))</f>
        <v>1</v>
      </c>
      <c r="AJ946" s="158"/>
      <c r="AK946" s="158"/>
      <c r="AL946" s="158"/>
      <c r="AM946" s="158" t="b">
        <f>IF(AJ946="",TRUE,IF(IF(AK946="",VLOOKUP(AJ946,Calculs!$A$19:$S$425,19,FALSE),VLOOKUP(AK946,Calculs!$A$19:$S$425,19,FALSE))&gt;=AL946,TRUE,FALSE))</f>
        <v>1</v>
      </c>
      <c r="AN946" s="158"/>
      <c r="AO946" s="158"/>
      <c r="AP946" s="158"/>
      <c r="AQ946" s="158" t="b">
        <f>IF(AN946="",TRUE,IF(IF(AO946="",VLOOKUP(AN946,Calculs!$A$19:$S$425,19,FALSE),VLOOKUP(AO946,Calculs!$A$19:$S$425,19,FALSE))&gt;=AP946,TRUE,FALSE))</f>
        <v>1</v>
      </c>
      <c r="AR946" s="158"/>
      <c r="AS946" s="158" t="b">
        <f>IF(AR946="",TRUE,IF(VLOOKUP(AR946,Calculs!$A$427:$G$738,7,FALSE)&gt;0,TRUE,FALSE))</f>
        <v>1</v>
      </c>
      <c r="AT946" s="158"/>
      <c r="AU946" s="158" t="b">
        <f>IF(AT946="",TRUE,IF(VLOOKUP(AT946,Calculs!$A$740:$G$912,7,FALSE)&gt;0,TRUE,FALSE))</f>
        <v>1</v>
      </c>
      <c r="AV946" s="158" t="b">
        <f t="shared" si="101"/>
        <v>1</v>
      </c>
      <c r="AW946" s="158" t="s">
        <v>2078</v>
      </c>
      <c r="AX946" s="162" t="s">
        <v>6816</v>
      </c>
      <c r="AY946" s="15">
        <v>95</v>
      </c>
      <c r="AZ946" s="555" t="s">
        <v>7118</v>
      </c>
      <c r="BA946" s="559">
        <f>IF(Verso!$B$10=Voies!$B946,1,0)</f>
        <v>0</v>
      </c>
      <c r="BB946" s="12">
        <f>IF(Verso!$B$11=Voies!$B946,1,0)</f>
        <v>0</v>
      </c>
      <c r="BC946" s="12">
        <f>IF(Verso!$B$12=Voies!$B946,1,0)</f>
        <v>0</v>
      </c>
      <c r="BD946" s="12">
        <f>IF(Verso!$B$13=Voies!$B946,1,0)</f>
        <v>0</v>
      </c>
      <c r="BE946" s="12">
        <f>IF(Verso!$B$14=Voies!$B946,1,0)</f>
        <v>0</v>
      </c>
      <c r="BF946" s="12">
        <f>IF(Verso!$B$15=Voies!$B946,1,0)</f>
        <v>0</v>
      </c>
      <c r="BG946" s="12">
        <f>IF(Verso!$B$16=Voies!$B946,1,0)</f>
        <v>0</v>
      </c>
      <c r="BH946" s="12">
        <f>IF(Verso!$B$17=Voies!$B946,1,0)</f>
        <v>0</v>
      </c>
      <c r="BI946" s="557">
        <f t="shared" si="102"/>
        <v>0</v>
      </c>
      <c r="BJ946" s="196" t="str">
        <f t="shared" si="103"/>
        <v/>
      </c>
      <c r="BK946" s="196" t="str">
        <f t="shared" si="104"/>
        <v/>
      </c>
      <c r="BL946" s="295" t="str">
        <f t="shared" si="105"/>
        <v/>
      </c>
      <c r="BM946" s="91"/>
    </row>
    <row r="947" spans="1:65" s="196" customFormat="1" ht="47.25" customHeight="1" x14ac:dyDescent="0.25">
      <c r="A947" s="162" t="str">
        <f>IF(AND(Réputation&gt;Voies!E947-1,OR(C947=TRUE,Calculs!$I$8&gt;0),Air&gt;Voies!J947-1,Eau&gt;Voies!K947-1,Feu&gt;Voies!L947-1,Terre&gt;Voies!M947-1,Vide&gt;Voies!N947-1,Constitution&gt;Voies!O947-1,Volonté&gt;Voies!P947-1,Force&gt;Voies!Q947-1,Perception&gt;Voies!R947-1,Reflexes&gt;Voies!S947-1,Agilité&gt;Voies!T947-1,Intuition&gt;Voies!U947-1,Intelligence&gt;Voies!V947-1,Souillure&gt;Voies!W947-1,Honneur&gt;X947-1,Statut&gt;Y947-1,Gloire&gt;Z947-1,AV947=TRUE),Voies!B947,"")</f>
        <v/>
      </c>
      <c r="B947" s="162" t="s">
        <v>7008</v>
      </c>
      <c r="C947" s="162" t="b">
        <f>IF(OR(Clan="Sauterelle",AND(Contexte_jeu="L'Empire Stellaire d'Emeraude",Clan="Chouette")),TRUE,FALSE)</f>
        <v>0</v>
      </c>
      <c r="D947" s="466" t="s">
        <v>6768</v>
      </c>
      <c r="E947" s="199">
        <v>1</v>
      </c>
      <c r="F947" s="199">
        <v>1</v>
      </c>
      <c r="G947" s="199" t="s">
        <v>2049</v>
      </c>
      <c r="H947" s="162" t="s">
        <v>6879</v>
      </c>
      <c r="I947" s="129" t="str">
        <f t="shared" si="107"/>
        <v>Rien</v>
      </c>
      <c r="J947" s="146">
        <v>0</v>
      </c>
      <c r="K947" s="147">
        <v>0</v>
      </c>
      <c r="L947" s="148">
        <v>0</v>
      </c>
      <c r="M947" s="149">
        <v>0</v>
      </c>
      <c r="N947" s="150">
        <v>0</v>
      </c>
      <c r="O947" s="130">
        <v>0</v>
      </c>
      <c r="P947" s="130">
        <v>0</v>
      </c>
      <c r="Q947" s="130">
        <v>0</v>
      </c>
      <c r="R947" s="130">
        <v>0</v>
      </c>
      <c r="S947" s="130">
        <v>0</v>
      </c>
      <c r="T947" s="130">
        <v>0</v>
      </c>
      <c r="U947" s="130">
        <v>0</v>
      </c>
      <c r="V947" s="524">
        <v>0</v>
      </c>
      <c r="W947" s="130">
        <v>0</v>
      </c>
      <c r="X947" s="130">
        <v>0</v>
      </c>
      <c r="Y947" s="130">
        <v>0</v>
      </c>
      <c r="Z947" s="130">
        <v>0</v>
      </c>
      <c r="AA947" s="158" t="s">
        <v>2078</v>
      </c>
      <c r="AB947" s="158"/>
      <c r="AC947" s="158"/>
      <c r="AD947" s="158"/>
      <c r="AE947" s="158" t="b">
        <f>IF(AB947="",TRUE,IF(IF(AC947="",VLOOKUP(AB947,Calculs!$A$19:$S$425,19,FALSE),VLOOKUP(AC947,Calculs!$A$19:$S$425,19,FALSE))&gt;=AD947,TRUE,FALSE))</f>
        <v>1</v>
      </c>
      <c r="AF947" s="158"/>
      <c r="AG947" s="158"/>
      <c r="AH947" s="158"/>
      <c r="AI947" s="158" t="b">
        <f>IF(AF947="",TRUE,IF(IF(AG947="",VLOOKUP(AF947,Calculs!$A$19:$S$425,19,FALSE),VLOOKUP(AG947,Calculs!$A$19:$S$425,19,FALSE))&gt;=AH947,TRUE,FALSE))</f>
        <v>1</v>
      </c>
      <c r="AJ947" s="158"/>
      <c r="AK947" s="158"/>
      <c r="AL947" s="158"/>
      <c r="AM947" s="158" t="b">
        <f>IF(AJ947="",TRUE,IF(IF(AK947="",VLOOKUP(AJ947,Calculs!$A$19:$S$425,19,FALSE),VLOOKUP(AK947,Calculs!$A$19:$S$425,19,FALSE))&gt;=AL947,TRUE,FALSE))</f>
        <v>1</v>
      </c>
      <c r="AN947" s="158"/>
      <c r="AO947" s="158"/>
      <c r="AP947" s="158"/>
      <c r="AQ947" s="158" t="b">
        <f>IF(AN947="",TRUE,IF(IF(AO947="",VLOOKUP(AN947,Calculs!$A$19:$S$425,19,FALSE),VLOOKUP(AO947,Calculs!$A$19:$S$425,19,FALSE))&gt;=AP947,TRUE,FALSE))</f>
        <v>1</v>
      </c>
      <c r="AR947" s="158"/>
      <c r="AS947" s="158" t="b">
        <f>IF(AR947="",TRUE,IF(VLOOKUP(AR947,Calculs!$A$427:$G$738,7,FALSE)&gt;0,TRUE,FALSE))</f>
        <v>1</v>
      </c>
      <c r="AT947" s="158"/>
      <c r="AU947" s="158" t="b">
        <f>IF(AT947="",TRUE,IF(VLOOKUP(AT947,Calculs!$A$740:$G$912,7,FALSE)&gt;0,TRUE,FALSE))</f>
        <v>1</v>
      </c>
      <c r="AV947" s="158" t="b">
        <f t="shared" si="101"/>
        <v>1</v>
      </c>
      <c r="AW947" s="158" t="s">
        <v>2078</v>
      </c>
      <c r="AX947" s="162" t="s">
        <v>6816</v>
      </c>
      <c r="AY947" s="15">
        <v>45</v>
      </c>
      <c r="AZ947" s="555" t="s">
        <v>7010</v>
      </c>
      <c r="BA947" s="559">
        <f>IF(Verso!$B$10=Voies!$B947,1,0)</f>
        <v>0</v>
      </c>
      <c r="BB947" s="12">
        <f>IF(Verso!$B$11=Voies!$B947,1,0)</f>
        <v>0</v>
      </c>
      <c r="BC947" s="12">
        <f>IF(Verso!$B$12=Voies!$B947,1,0)</f>
        <v>0</v>
      </c>
      <c r="BD947" s="12">
        <f>IF(Verso!$B$13=Voies!$B947,1,0)</f>
        <v>0</v>
      </c>
      <c r="BE947" s="12">
        <f>IF(Verso!$B$14=Voies!$B947,1,0)</f>
        <v>0</v>
      </c>
      <c r="BF947" s="12">
        <f>IF(Verso!$B$15=Voies!$B947,1,0)</f>
        <v>0</v>
      </c>
      <c r="BG947" s="12">
        <f>IF(Verso!$B$16=Voies!$B947,1,0)</f>
        <v>0</v>
      </c>
      <c r="BH947" s="12">
        <f>IF(Verso!$B$17=Voies!$B947,1,0)</f>
        <v>0</v>
      </c>
      <c r="BI947" s="557">
        <f t="shared" si="102"/>
        <v>0</v>
      </c>
      <c r="BJ947" s="196" t="str">
        <f t="shared" si="103"/>
        <v/>
      </c>
      <c r="BK947" s="196" t="str">
        <f t="shared" si="104"/>
        <v/>
      </c>
      <c r="BL947" s="295" t="str">
        <f t="shared" si="105"/>
        <v/>
      </c>
      <c r="BM947" s="91"/>
    </row>
    <row r="948" spans="1:65" s="196" customFormat="1" ht="47.25" customHeight="1" x14ac:dyDescent="0.25">
      <c r="A948" s="162" t="str">
        <f>IF(AND(Réputation&gt;Voies!E948-1,OR(C948=TRUE,Calculs!$I$8&gt;0),Air&gt;Voies!J948-1,Eau&gt;Voies!K948-1,Feu&gt;Voies!L948-1,Terre&gt;Voies!M948-1,Vide&gt;Voies!N948-1,Constitution&gt;Voies!O948-1,Volonté&gt;Voies!P948-1,Force&gt;Voies!Q948-1,Perception&gt;Voies!R948-1,Reflexes&gt;Voies!S948-1,Agilité&gt;Voies!T948-1,Intuition&gt;Voies!U948-1,Intelligence&gt;Voies!V948-1,Souillure&gt;Voies!W948-1,Honneur&gt;X948-1,Statut&gt;Y948-1,Gloire&gt;Z948-1,AV948=TRUE),Voies!B948,"")</f>
        <v/>
      </c>
      <c r="B948" s="162" t="s">
        <v>7009</v>
      </c>
      <c r="C948" s="162" t="b">
        <f>IF(OR(Clan="Sauterelle",AND(Contexte_jeu="L'Empire Stellaire d'Emeraude",Clan="Chouette")),TRUE,FALSE)</f>
        <v>0</v>
      </c>
      <c r="D948" s="466" t="s">
        <v>6768</v>
      </c>
      <c r="E948" s="199">
        <v>2</v>
      </c>
      <c r="F948" s="199">
        <v>2</v>
      </c>
      <c r="G948" s="199" t="s">
        <v>2049</v>
      </c>
      <c r="H948" s="162" t="s">
        <v>6879</v>
      </c>
      <c r="I948" s="129" t="str">
        <f t="shared" si="107"/>
        <v>Rien</v>
      </c>
      <c r="J948" s="146">
        <v>0</v>
      </c>
      <c r="K948" s="147">
        <v>0</v>
      </c>
      <c r="L948" s="148">
        <v>0</v>
      </c>
      <c r="M948" s="149">
        <v>0</v>
      </c>
      <c r="N948" s="150">
        <v>0</v>
      </c>
      <c r="O948" s="130">
        <v>0</v>
      </c>
      <c r="P948" s="130">
        <v>0</v>
      </c>
      <c r="Q948" s="130">
        <v>0</v>
      </c>
      <c r="R948" s="130">
        <v>0</v>
      </c>
      <c r="S948" s="130">
        <v>0</v>
      </c>
      <c r="T948" s="130">
        <v>0</v>
      </c>
      <c r="U948" s="130">
        <v>0</v>
      </c>
      <c r="V948" s="524">
        <v>0</v>
      </c>
      <c r="W948" s="130">
        <v>0</v>
      </c>
      <c r="X948" s="130">
        <v>0</v>
      </c>
      <c r="Y948" s="130">
        <v>0</v>
      </c>
      <c r="Z948" s="130">
        <v>0</v>
      </c>
      <c r="AA948" s="158" t="s">
        <v>2078</v>
      </c>
      <c r="AB948" s="158"/>
      <c r="AC948" s="158"/>
      <c r="AD948" s="158"/>
      <c r="AE948" s="158" t="b">
        <f>IF(AB948="",TRUE,IF(IF(AC948="",VLOOKUP(AB948,Calculs!$A$19:$S$425,19,FALSE),VLOOKUP(AC948,Calculs!$A$19:$S$425,19,FALSE))&gt;=AD948,TRUE,FALSE))</f>
        <v>1</v>
      </c>
      <c r="AF948" s="158"/>
      <c r="AG948" s="158"/>
      <c r="AH948" s="158"/>
      <c r="AI948" s="158" t="b">
        <f>IF(AF948="",TRUE,IF(IF(AG948="",VLOOKUP(AF948,Calculs!$A$19:$S$425,19,FALSE),VLOOKUP(AG948,Calculs!$A$19:$S$425,19,FALSE))&gt;=AH948,TRUE,FALSE))</f>
        <v>1</v>
      </c>
      <c r="AJ948" s="158"/>
      <c r="AK948" s="158"/>
      <c r="AL948" s="158"/>
      <c r="AM948" s="158" t="b">
        <f>IF(AJ948="",TRUE,IF(IF(AK948="",VLOOKUP(AJ948,Calculs!$A$19:$S$425,19,FALSE),VLOOKUP(AK948,Calculs!$A$19:$S$425,19,FALSE))&gt;=AL948,TRUE,FALSE))</f>
        <v>1</v>
      </c>
      <c r="AN948" s="158"/>
      <c r="AO948" s="158"/>
      <c r="AP948" s="158"/>
      <c r="AQ948" s="158" t="b">
        <f>IF(AN948="",TRUE,IF(IF(AO948="",VLOOKUP(AN948,Calculs!$A$19:$S$425,19,FALSE),VLOOKUP(AO948,Calculs!$A$19:$S$425,19,FALSE))&gt;=AP948,TRUE,FALSE))</f>
        <v>1</v>
      </c>
      <c r="AR948" s="158"/>
      <c r="AS948" s="158" t="b">
        <f>IF(AR948="",TRUE,IF(VLOOKUP(AR948,Calculs!$A$427:$G$738,7,FALSE)&gt;0,TRUE,FALSE))</f>
        <v>1</v>
      </c>
      <c r="AT948" s="158"/>
      <c r="AU948" s="158" t="b">
        <f>IF(AT948="",TRUE,IF(VLOOKUP(AT948,Calculs!$A$740:$G$912,7,FALSE)&gt;0,TRUE,FALSE))</f>
        <v>1</v>
      </c>
      <c r="AV948" s="158" t="b">
        <f t="shared" si="101"/>
        <v>1</v>
      </c>
      <c r="AW948" s="158" t="s">
        <v>2078</v>
      </c>
      <c r="AX948" s="162" t="s">
        <v>6816</v>
      </c>
      <c r="AY948" s="15">
        <v>45</v>
      </c>
      <c r="AZ948" s="555" t="s">
        <v>7011</v>
      </c>
      <c r="BA948" s="559">
        <f>IF(Verso!$B$10=Voies!$B948,1,0)</f>
        <v>0</v>
      </c>
      <c r="BB948" s="12">
        <f>IF(Verso!$B$11=Voies!$B948,1,0)</f>
        <v>0</v>
      </c>
      <c r="BC948" s="12">
        <f>IF(Verso!$B$12=Voies!$B948,1,0)</f>
        <v>0</v>
      </c>
      <c r="BD948" s="12">
        <f>IF(Verso!$B$13=Voies!$B948,1,0)</f>
        <v>0</v>
      </c>
      <c r="BE948" s="12">
        <f>IF(Verso!$B$14=Voies!$B948,1,0)</f>
        <v>0</v>
      </c>
      <c r="BF948" s="12">
        <f>IF(Verso!$B$15=Voies!$B948,1,0)</f>
        <v>0</v>
      </c>
      <c r="BG948" s="12">
        <f>IF(Verso!$B$16=Voies!$B948,1,0)</f>
        <v>0</v>
      </c>
      <c r="BH948" s="12">
        <f>IF(Verso!$B$17=Voies!$B948,1,0)</f>
        <v>0</v>
      </c>
      <c r="BI948" s="557">
        <f t="shared" si="102"/>
        <v>0</v>
      </c>
      <c r="BJ948" s="196" t="str">
        <f t="shared" si="103"/>
        <v/>
      </c>
      <c r="BK948" s="196" t="str">
        <f t="shared" si="104"/>
        <v/>
      </c>
      <c r="BL948" s="295" t="str">
        <f t="shared" si="105"/>
        <v/>
      </c>
      <c r="BM948" s="91"/>
    </row>
    <row r="949" spans="1:65" s="196" customFormat="1" ht="47.25" customHeight="1" x14ac:dyDescent="0.25">
      <c r="A949" s="162" t="str">
        <f>IF(AND(Réputation&gt;Voies!E949-1,OR(C949=TRUE,Calculs!$I$8&gt;0),Air&gt;Voies!J949-1,Eau&gt;Voies!K949-1,Feu&gt;Voies!L949-1,Terre&gt;Voies!M949-1,Vide&gt;Voies!N949-1,Constitution&gt;Voies!O949-1,Volonté&gt;Voies!P949-1,Force&gt;Voies!Q949-1,Perception&gt;Voies!R949-1,Reflexes&gt;Voies!S949-1,Agilité&gt;Voies!T949-1,Intuition&gt;Voies!U949-1,Intelligence&gt;Voies!V949-1,Souillure&gt;Voies!W949-1,Honneur&gt;X949-1,Statut&gt;Y949-1,Gloire&gt;Z949-1,AV949=TRUE),Voies!B949,"")</f>
        <v/>
      </c>
      <c r="B949" s="162" t="s">
        <v>7013</v>
      </c>
      <c r="C949" s="162" t="b">
        <f>IF(OR(Clan="Sauterelle",AND(Contexte_jeu="L'Empire Stellaire d'Emeraude",Clan="Chouette")),TRUE,FALSE)</f>
        <v>0</v>
      </c>
      <c r="D949" s="466" t="s">
        <v>6768</v>
      </c>
      <c r="E949" s="199">
        <v>3</v>
      </c>
      <c r="F949" s="199">
        <v>3</v>
      </c>
      <c r="G949" s="199" t="s">
        <v>2049</v>
      </c>
      <c r="H949" s="162" t="s">
        <v>6879</v>
      </c>
      <c r="I949" s="129" t="str">
        <f t="shared" si="107"/>
        <v>Rien</v>
      </c>
      <c r="J949" s="146">
        <v>0</v>
      </c>
      <c r="K949" s="147">
        <v>0</v>
      </c>
      <c r="L949" s="148">
        <v>0</v>
      </c>
      <c r="M949" s="149">
        <v>0</v>
      </c>
      <c r="N949" s="150">
        <v>0</v>
      </c>
      <c r="O949" s="130">
        <v>0</v>
      </c>
      <c r="P949" s="130">
        <v>0</v>
      </c>
      <c r="Q949" s="130">
        <v>0</v>
      </c>
      <c r="R949" s="130">
        <v>0</v>
      </c>
      <c r="S949" s="130">
        <v>0</v>
      </c>
      <c r="T949" s="130">
        <v>0</v>
      </c>
      <c r="U949" s="130">
        <v>0</v>
      </c>
      <c r="V949" s="524">
        <v>0</v>
      </c>
      <c r="W949" s="130">
        <v>0</v>
      </c>
      <c r="X949" s="130">
        <v>0</v>
      </c>
      <c r="Y949" s="130">
        <v>0</v>
      </c>
      <c r="Z949" s="130">
        <v>0</v>
      </c>
      <c r="AA949" s="158" t="s">
        <v>2078</v>
      </c>
      <c r="AB949" s="158"/>
      <c r="AC949" s="158"/>
      <c r="AD949" s="158"/>
      <c r="AE949" s="158" t="b">
        <f>IF(AB949="",TRUE,IF(IF(AC949="",VLOOKUP(AB949,Calculs!$A$19:$S$425,19,FALSE),VLOOKUP(AC949,Calculs!$A$19:$S$425,19,FALSE))&gt;=AD949,TRUE,FALSE))</f>
        <v>1</v>
      </c>
      <c r="AF949" s="158"/>
      <c r="AG949" s="158"/>
      <c r="AH949" s="158"/>
      <c r="AI949" s="158" t="b">
        <f>IF(AF949="",TRUE,IF(IF(AG949="",VLOOKUP(AF949,Calculs!$A$19:$S$425,19,FALSE),VLOOKUP(AG949,Calculs!$A$19:$S$425,19,FALSE))&gt;=AH949,TRUE,FALSE))</f>
        <v>1</v>
      </c>
      <c r="AJ949" s="158"/>
      <c r="AK949" s="158"/>
      <c r="AL949" s="158"/>
      <c r="AM949" s="158" t="b">
        <f>IF(AJ949="",TRUE,IF(IF(AK949="",VLOOKUP(AJ949,Calculs!$A$19:$S$425,19,FALSE),VLOOKUP(AK949,Calculs!$A$19:$S$425,19,FALSE))&gt;=AL949,TRUE,FALSE))</f>
        <v>1</v>
      </c>
      <c r="AN949" s="158"/>
      <c r="AO949" s="158"/>
      <c r="AP949" s="158"/>
      <c r="AQ949" s="158" t="b">
        <f>IF(AN949="",TRUE,IF(IF(AO949="",VLOOKUP(AN949,Calculs!$A$19:$S$425,19,FALSE),VLOOKUP(AO949,Calculs!$A$19:$S$425,19,FALSE))&gt;=AP949,TRUE,FALSE))</f>
        <v>1</v>
      </c>
      <c r="AR949" s="158"/>
      <c r="AS949" s="158" t="b">
        <f>IF(AR949="",TRUE,IF(VLOOKUP(AR949,Calculs!$A$427:$G$738,7,FALSE)&gt;0,TRUE,FALSE))</f>
        <v>1</v>
      </c>
      <c r="AT949" s="158"/>
      <c r="AU949" s="158" t="b">
        <f>IF(AT949="",TRUE,IF(VLOOKUP(AT949,Calculs!$A$740:$G$912,7,FALSE)&gt;0,TRUE,FALSE))</f>
        <v>1</v>
      </c>
      <c r="AV949" s="158" t="b">
        <f t="shared" si="101"/>
        <v>1</v>
      </c>
      <c r="AW949" s="158" t="s">
        <v>2078</v>
      </c>
      <c r="AX949" s="162" t="s">
        <v>6816</v>
      </c>
      <c r="AY949" s="15">
        <v>45</v>
      </c>
      <c r="AZ949" s="555" t="s">
        <v>7012</v>
      </c>
      <c r="BA949" s="559">
        <f>IF(Verso!$B$10=Voies!$B949,1,0)</f>
        <v>0</v>
      </c>
      <c r="BB949" s="12">
        <f>IF(Verso!$B$11=Voies!$B949,1,0)</f>
        <v>0</v>
      </c>
      <c r="BC949" s="12">
        <f>IF(Verso!$B$12=Voies!$B949,1,0)</f>
        <v>0</v>
      </c>
      <c r="BD949" s="12">
        <f>IF(Verso!$B$13=Voies!$B949,1,0)</f>
        <v>0</v>
      </c>
      <c r="BE949" s="12">
        <f>IF(Verso!$B$14=Voies!$B949,1,0)</f>
        <v>0</v>
      </c>
      <c r="BF949" s="12">
        <f>IF(Verso!$B$15=Voies!$B949,1,0)</f>
        <v>0</v>
      </c>
      <c r="BG949" s="12">
        <f>IF(Verso!$B$16=Voies!$B949,1,0)</f>
        <v>0</v>
      </c>
      <c r="BH949" s="12">
        <f>IF(Verso!$B$17=Voies!$B949,1,0)</f>
        <v>0</v>
      </c>
      <c r="BI949" s="557">
        <f t="shared" si="102"/>
        <v>0</v>
      </c>
      <c r="BJ949" s="196" t="str">
        <f t="shared" si="103"/>
        <v/>
      </c>
      <c r="BK949" s="196" t="str">
        <f t="shared" si="104"/>
        <v/>
      </c>
      <c r="BL949" s="295" t="str">
        <f t="shared" si="105"/>
        <v/>
      </c>
      <c r="BM949" s="91"/>
    </row>
    <row r="950" spans="1:65" s="196" customFormat="1" ht="47.25" customHeight="1" x14ac:dyDescent="0.25">
      <c r="A950" s="162" t="str">
        <f>IF(AND(Réputation&gt;Voies!E950-1,OR(C950=TRUE,Calculs!$I$8&gt;0),Air&gt;Voies!J950-1,Eau&gt;Voies!K950-1,Feu&gt;Voies!L950-1,Terre&gt;Voies!M950-1,Vide&gt;Voies!N950-1,Constitution&gt;Voies!O950-1,Volonté&gt;Voies!P950-1,Force&gt;Voies!Q950-1,Perception&gt;Voies!R950-1,Reflexes&gt;Voies!S950-1,Agilité&gt;Voies!T950-1,Intuition&gt;Voies!U950-1,Intelligence&gt;Voies!V950-1,Souillure&gt;Voies!W950-1,Honneur&gt;X950-1,Statut&gt;Y950-1,Gloire&gt;Z950-1,AV950=TRUE),Voies!B950,"")</f>
        <v/>
      </c>
      <c r="B950" s="162" t="s">
        <v>7014</v>
      </c>
      <c r="C950" s="162" t="b">
        <f>IF(OR(Clan="Sauterelle",AND(Contexte_jeu="L'Empire Stellaire d'Emeraude",Clan="Chouette")),TRUE,FALSE)</f>
        <v>0</v>
      </c>
      <c r="D950" s="466" t="s">
        <v>6768</v>
      </c>
      <c r="E950" s="199">
        <v>4</v>
      </c>
      <c r="F950" s="199">
        <v>4</v>
      </c>
      <c r="G950" s="199" t="s">
        <v>2049</v>
      </c>
      <c r="H950" s="162" t="s">
        <v>6879</v>
      </c>
      <c r="I950" s="129" t="str">
        <f t="shared" si="107"/>
        <v>Rien</v>
      </c>
      <c r="J950" s="146">
        <v>0</v>
      </c>
      <c r="K950" s="147">
        <v>0</v>
      </c>
      <c r="L950" s="148">
        <v>0</v>
      </c>
      <c r="M950" s="149">
        <v>0</v>
      </c>
      <c r="N950" s="150">
        <v>0</v>
      </c>
      <c r="O950" s="130">
        <v>0</v>
      </c>
      <c r="P950" s="130">
        <v>0</v>
      </c>
      <c r="Q950" s="130">
        <v>0</v>
      </c>
      <c r="R950" s="130">
        <v>0</v>
      </c>
      <c r="S950" s="130">
        <v>0</v>
      </c>
      <c r="T950" s="130">
        <v>0</v>
      </c>
      <c r="U950" s="130">
        <v>0</v>
      </c>
      <c r="V950" s="524">
        <v>0</v>
      </c>
      <c r="W950" s="130">
        <v>0</v>
      </c>
      <c r="X950" s="130">
        <v>0</v>
      </c>
      <c r="Y950" s="130">
        <v>0</v>
      </c>
      <c r="Z950" s="130">
        <v>0</v>
      </c>
      <c r="AA950" s="158" t="s">
        <v>2078</v>
      </c>
      <c r="AB950" s="158"/>
      <c r="AC950" s="158"/>
      <c r="AD950" s="158"/>
      <c r="AE950" s="158" t="b">
        <f>IF(AB950="",TRUE,IF(IF(AC950="",VLOOKUP(AB950,Calculs!$A$19:$S$425,19,FALSE),VLOOKUP(AC950,Calculs!$A$19:$S$425,19,FALSE))&gt;=AD950,TRUE,FALSE))</f>
        <v>1</v>
      </c>
      <c r="AF950" s="158"/>
      <c r="AG950" s="158"/>
      <c r="AH950" s="158"/>
      <c r="AI950" s="158" t="b">
        <f>IF(AF950="",TRUE,IF(IF(AG950="",VLOOKUP(AF950,Calculs!$A$19:$S$425,19,FALSE),VLOOKUP(AG950,Calculs!$A$19:$S$425,19,FALSE))&gt;=AH950,TRUE,FALSE))</f>
        <v>1</v>
      </c>
      <c r="AJ950" s="158"/>
      <c r="AK950" s="158"/>
      <c r="AL950" s="158"/>
      <c r="AM950" s="158" t="b">
        <f>IF(AJ950="",TRUE,IF(IF(AK950="",VLOOKUP(AJ950,Calculs!$A$19:$S$425,19,FALSE),VLOOKUP(AK950,Calculs!$A$19:$S$425,19,FALSE))&gt;=AL950,TRUE,FALSE))</f>
        <v>1</v>
      </c>
      <c r="AN950" s="158"/>
      <c r="AO950" s="158"/>
      <c r="AP950" s="158"/>
      <c r="AQ950" s="158" t="b">
        <f>IF(AN950="",TRUE,IF(IF(AO950="",VLOOKUP(AN950,Calculs!$A$19:$S$425,19,FALSE),VLOOKUP(AO950,Calculs!$A$19:$S$425,19,FALSE))&gt;=AP950,TRUE,FALSE))</f>
        <v>1</v>
      </c>
      <c r="AR950" s="158"/>
      <c r="AS950" s="158" t="b">
        <f>IF(AR950="",TRUE,IF(VLOOKUP(AR950,Calculs!$A$427:$G$738,7,FALSE)&gt;0,TRUE,FALSE))</f>
        <v>1</v>
      </c>
      <c r="AT950" s="158"/>
      <c r="AU950" s="158" t="b">
        <f>IF(AT950="",TRUE,IF(VLOOKUP(AT950,Calculs!$A$740:$G$912,7,FALSE)&gt;0,TRUE,FALSE))</f>
        <v>1</v>
      </c>
      <c r="AV950" s="158" t="b">
        <f t="shared" si="101"/>
        <v>1</v>
      </c>
      <c r="AW950" s="158" t="s">
        <v>2078</v>
      </c>
      <c r="AX950" s="162" t="s">
        <v>6816</v>
      </c>
      <c r="AY950" s="15">
        <v>45</v>
      </c>
      <c r="AZ950" s="566" t="s">
        <v>7015</v>
      </c>
      <c r="BA950" s="559">
        <f>IF(Verso!$B$10=Voies!$B950,1,0)</f>
        <v>0</v>
      </c>
      <c r="BB950" s="12">
        <f>IF(Verso!$B$11=Voies!$B950,1,0)</f>
        <v>0</v>
      </c>
      <c r="BC950" s="12">
        <f>IF(Verso!$B$12=Voies!$B950,1,0)</f>
        <v>0</v>
      </c>
      <c r="BD950" s="12">
        <f>IF(Verso!$B$13=Voies!$B950,1,0)</f>
        <v>0</v>
      </c>
      <c r="BE950" s="12">
        <f>IF(Verso!$B$14=Voies!$B950,1,0)</f>
        <v>0</v>
      </c>
      <c r="BF950" s="12">
        <f>IF(Verso!$B$15=Voies!$B950,1,0)</f>
        <v>0</v>
      </c>
      <c r="BG950" s="12">
        <f>IF(Verso!$B$16=Voies!$B950,1,0)</f>
        <v>0</v>
      </c>
      <c r="BH950" s="12">
        <f>IF(Verso!$B$17=Voies!$B950,1,0)</f>
        <v>0</v>
      </c>
      <c r="BI950" s="557">
        <f t="shared" si="102"/>
        <v>0</v>
      </c>
      <c r="BJ950" s="196" t="str">
        <f t="shared" si="103"/>
        <v/>
      </c>
      <c r="BK950" s="196" t="str">
        <f t="shared" si="104"/>
        <v/>
      </c>
      <c r="BL950" s="295" t="str">
        <f t="shared" si="105"/>
        <v/>
      </c>
      <c r="BM950" s="91"/>
    </row>
    <row r="951" spans="1:65" s="196" customFormat="1" ht="47.25" customHeight="1" x14ac:dyDescent="0.25">
      <c r="A951" s="162" t="str">
        <f>IF(AND(Réputation&gt;Voies!E951-1,OR(C951=TRUE,Calculs!$I$8&gt;0),Air&gt;Voies!J951-1,Eau&gt;Voies!K951-1,Feu&gt;Voies!L951-1,Terre&gt;Voies!M951-1,Vide&gt;Voies!N951-1,Constitution&gt;Voies!O951-1,Volonté&gt;Voies!P951-1,Force&gt;Voies!Q951-1,Perception&gt;Voies!R951-1,Reflexes&gt;Voies!S951-1,Agilité&gt;Voies!T951-1,Intuition&gt;Voies!U951-1,Intelligence&gt;Voies!V951-1,Souillure&gt;Voies!W951-1,Honneur&gt;X951-1,Statut&gt;Y951-1,Gloire&gt;Z951-1,AV951=TRUE),Voies!B951,"")</f>
        <v/>
      </c>
      <c r="B951" s="162" t="s">
        <v>7016</v>
      </c>
      <c r="C951" s="162" t="b">
        <f>IF(OR(Clan="Sauterelle",AND(Contexte_jeu="L'Empire Stellaire d'Emeraude",Clan="Chouette")),TRUE,FALSE)</f>
        <v>0</v>
      </c>
      <c r="D951" s="466" t="s">
        <v>6768</v>
      </c>
      <c r="E951" s="199">
        <v>5</v>
      </c>
      <c r="F951" s="199">
        <v>5</v>
      </c>
      <c r="G951" s="199" t="s">
        <v>2049</v>
      </c>
      <c r="H951" s="162" t="s">
        <v>6879</v>
      </c>
      <c r="I951" s="129" t="str">
        <f t="shared" si="107"/>
        <v>Rien</v>
      </c>
      <c r="J951" s="146">
        <v>0</v>
      </c>
      <c r="K951" s="147">
        <v>0</v>
      </c>
      <c r="L951" s="148">
        <v>0</v>
      </c>
      <c r="M951" s="149">
        <v>0</v>
      </c>
      <c r="N951" s="150">
        <v>0</v>
      </c>
      <c r="O951" s="130">
        <v>0</v>
      </c>
      <c r="P951" s="130">
        <v>0</v>
      </c>
      <c r="Q951" s="130">
        <v>0</v>
      </c>
      <c r="R951" s="130">
        <v>0</v>
      </c>
      <c r="S951" s="130">
        <v>0</v>
      </c>
      <c r="T951" s="130">
        <v>0</v>
      </c>
      <c r="U951" s="130">
        <v>0</v>
      </c>
      <c r="V951" s="524">
        <v>0</v>
      </c>
      <c r="W951" s="130">
        <v>0</v>
      </c>
      <c r="X951" s="130">
        <v>0</v>
      </c>
      <c r="Y951" s="130">
        <v>0</v>
      </c>
      <c r="Z951" s="130">
        <v>0</v>
      </c>
      <c r="AA951" s="158" t="s">
        <v>2078</v>
      </c>
      <c r="AB951" s="158"/>
      <c r="AC951" s="158"/>
      <c r="AD951" s="158"/>
      <c r="AE951" s="158" t="b">
        <f>IF(AB951="",TRUE,IF(IF(AC951="",VLOOKUP(AB951,Calculs!$A$19:$S$425,19,FALSE),VLOOKUP(AC951,Calculs!$A$19:$S$425,19,FALSE))&gt;=AD951,TRUE,FALSE))</f>
        <v>1</v>
      </c>
      <c r="AF951" s="158"/>
      <c r="AG951" s="158"/>
      <c r="AH951" s="158"/>
      <c r="AI951" s="158" t="b">
        <f>IF(AF951="",TRUE,IF(IF(AG951="",VLOOKUP(AF951,Calculs!$A$19:$S$425,19,FALSE),VLOOKUP(AG951,Calculs!$A$19:$S$425,19,FALSE))&gt;=AH951,TRUE,FALSE))</f>
        <v>1</v>
      </c>
      <c r="AJ951" s="158"/>
      <c r="AK951" s="158"/>
      <c r="AL951" s="158"/>
      <c r="AM951" s="158" t="b">
        <f>IF(AJ951="",TRUE,IF(IF(AK951="",VLOOKUP(AJ951,Calculs!$A$19:$S$425,19,FALSE),VLOOKUP(AK951,Calculs!$A$19:$S$425,19,FALSE))&gt;=AL951,TRUE,FALSE))</f>
        <v>1</v>
      </c>
      <c r="AN951" s="158"/>
      <c r="AO951" s="158"/>
      <c r="AP951" s="158"/>
      <c r="AQ951" s="158" t="b">
        <f>IF(AN951="",TRUE,IF(IF(AO951="",VLOOKUP(AN951,Calculs!$A$19:$S$425,19,FALSE),VLOOKUP(AO951,Calculs!$A$19:$S$425,19,FALSE))&gt;=AP951,TRUE,FALSE))</f>
        <v>1</v>
      </c>
      <c r="AR951" s="158"/>
      <c r="AS951" s="158" t="b">
        <f>IF(AR951="",TRUE,IF(VLOOKUP(AR951,Calculs!$A$427:$G$738,7,FALSE)&gt;0,TRUE,FALSE))</f>
        <v>1</v>
      </c>
      <c r="AT951" s="158"/>
      <c r="AU951" s="158" t="b">
        <f>IF(AT951="",TRUE,IF(VLOOKUP(AT951,Calculs!$A$740:$G$912,7,FALSE)&gt;0,TRUE,FALSE))</f>
        <v>1</v>
      </c>
      <c r="AV951" s="158" t="b">
        <f t="shared" si="101"/>
        <v>1</v>
      </c>
      <c r="AW951" s="158" t="s">
        <v>2078</v>
      </c>
      <c r="AX951" s="162" t="s">
        <v>6816</v>
      </c>
      <c r="AY951" s="15">
        <v>45</v>
      </c>
      <c r="AZ951" s="555" t="s">
        <v>7018</v>
      </c>
      <c r="BA951" s="559">
        <f>IF(Verso!$B$10=Voies!$B951,1,0)</f>
        <v>0</v>
      </c>
      <c r="BB951" s="12">
        <f>IF(Verso!$B$11=Voies!$B951,1,0)</f>
        <v>0</v>
      </c>
      <c r="BC951" s="12">
        <f>IF(Verso!$B$12=Voies!$B951,1,0)</f>
        <v>0</v>
      </c>
      <c r="BD951" s="12">
        <f>IF(Verso!$B$13=Voies!$B951,1,0)</f>
        <v>0</v>
      </c>
      <c r="BE951" s="12">
        <f>IF(Verso!$B$14=Voies!$B951,1,0)</f>
        <v>0</v>
      </c>
      <c r="BF951" s="12">
        <f>IF(Verso!$B$15=Voies!$B951,1,0)</f>
        <v>0</v>
      </c>
      <c r="BG951" s="12">
        <f>IF(Verso!$B$16=Voies!$B951,1,0)</f>
        <v>0</v>
      </c>
      <c r="BH951" s="12">
        <f>IF(Verso!$B$17=Voies!$B951,1,0)</f>
        <v>0</v>
      </c>
      <c r="BI951" s="557">
        <f t="shared" si="102"/>
        <v>0</v>
      </c>
      <c r="BJ951" s="196" t="str">
        <f t="shared" si="103"/>
        <v/>
      </c>
      <c r="BK951" s="196" t="str">
        <f t="shared" si="104"/>
        <v/>
      </c>
      <c r="BL951" s="295" t="str">
        <f t="shared" si="105"/>
        <v/>
      </c>
      <c r="BM951" s="91"/>
    </row>
    <row r="952" spans="1:65" s="196" customFormat="1" ht="47.25" customHeight="1" x14ac:dyDescent="0.25">
      <c r="A952" s="162" t="str">
        <f>IF(AND(Réputation&gt;Voies!E952-1,OR(C952=TRUE,Calculs!$I$8&gt;0),Air&gt;Voies!J952-1,Eau&gt;Voies!K952-1,Feu&gt;Voies!L952-1,Terre&gt;Voies!M952-1,Vide&gt;Voies!N952-1,Constitution&gt;Voies!O952-1,Volonté&gt;Voies!P952-1,Force&gt;Voies!Q952-1,Perception&gt;Voies!R952-1,Reflexes&gt;Voies!S952-1,Agilité&gt;Voies!T952-1,Intuition&gt;Voies!U952-1,Intelligence&gt;Voies!V952-1,Souillure&gt;Voies!W952-1,Honneur&gt;X952-1,Statut&gt;Y952-1,Gloire&gt;Z952-1,AV952=TRUE),Voies!B952,"")</f>
        <v/>
      </c>
      <c r="B952" s="162" t="s">
        <v>7121</v>
      </c>
      <c r="C952" s="162" t="b">
        <f>IF(Clan=Voies!D952,TRUE,FALSE)</f>
        <v>0</v>
      </c>
      <c r="D952" s="466" t="s">
        <v>6810</v>
      </c>
      <c r="E952" s="199">
        <v>1</v>
      </c>
      <c r="F952" s="199">
        <v>1</v>
      </c>
      <c r="G952" s="199" t="s">
        <v>2050</v>
      </c>
      <c r="H952" s="162" t="s">
        <v>6960</v>
      </c>
      <c r="I952" s="129" t="str">
        <f t="shared" si="107"/>
        <v>Rien</v>
      </c>
      <c r="J952" s="146">
        <v>0</v>
      </c>
      <c r="K952" s="147">
        <v>0</v>
      </c>
      <c r="L952" s="148">
        <v>0</v>
      </c>
      <c r="M952" s="149">
        <v>0</v>
      </c>
      <c r="N952" s="150">
        <v>0</v>
      </c>
      <c r="O952" s="130">
        <v>0</v>
      </c>
      <c r="P952" s="130">
        <v>0</v>
      </c>
      <c r="Q952" s="130">
        <v>0</v>
      </c>
      <c r="R952" s="130">
        <v>0</v>
      </c>
      <c r="S952" s="130">
        <v>0</v>
      </c>
      <c r="T952" s="130">
        <v>0</v>
      </c>
      <c r="U952" s="130">
        <v>0</v>
      </c>
      <c r="V952" s="524">
        <v>0</v>
      </c>
      <c r="W952" s="130">
        <v>0</v>
      </c>
      <c r="X952" s="130">
        <v>0</v>
      </c>
      <c r="Y952" s="130">
        <v>0</v>
      </c>
      <c r="Z952" s="130">
        <v>0</v>
      </c>
      <c r="AA952" s="158" t="s">
        <v>2078</v>
      </c>
      <c r="AB952" s="158"/>
      <c r="AC952" s="158"/>
      <c r="AD952" s="158"/>
      <c r="AE952" s="158" t="b">
        <f>IF(AB952="",TRUE,IF(IF(AC952="",VLOOKUP(AB952,Calculs!$A$19:$S$425,19,FALSE),VLOOKUP(AC952,Calculs!$A$19:$S$425,19,FALSE))&gt;=AD952,TRUE,FALSE))</f>
        <v>1</v>
      </c>
      <c r="AF952" s="158"/>
      <c r="AG952" s="158"/>
      <c r="AH952" s="158"/>
      <c r="AI952" s="158" t="b">
        <f>IF(AF952="",TRUE,IF(IF(AG952="",VLOOKUP(AF952,Calculs!$A$19:$S$425,19,FALSE),VLOOKUP(AG952,Calculs!$A$19:$S$425,19,FALSE))&gt;=AH952,TRUE,FALSE))</f>
        <v>1</v>
      </c>
      <c r="AJ952" s="158"/>
      <c r="AK952" s="158"/>
      <c r="AL952" s="158"/>
      <c r="AM952" s="158" t="b">
        <f>IF(AJ952="",TRUE,IF(IF(AK952="",VLOOKUP(AJ952,Calculs!$A$19:$S$425,19,FALSE),VLOOKUP(AK952,Calculs!$A$19:$S$425,19,FALSE))&gt;=AL952,TRUE,FALSE))</f>
        <v>1</v>
      </c>
      <c r="AN952" s="158"/>
      <c r="AO952" s="158"/>
      <c r="AP952" s="158"/>
      <c r="AQ952" s="158" t="b">
        <f>IF(AN952="",TRUE,IF(IF(AO952="",VLOOKUP(AN952,Calculs!$A$19:$S$425,19,FALSE),VLOOKUP(AO952,Calculs!$A$19:$S$425,19,FALSE))&gt;=AP952,TRUE,FALSE))</f>
        <v>1</v>
      </c>
      <c r="AR952" s="158"/>
      <c r="AS952" s="158" t="b">
        <f>IF(AR952="",TRUE,IF(VLOOKUP(AR952,Calculs!$A$427:$G$738,7,FALSE)&gt;0,TRUE,FALSE))</f>
        <v>1</v>
      </c>
      <c r="AT952" s="158"/>
      <c r="AU952" s="158" t="b">
        <f>IF(AT952="",TRUE,IF(VLOOKUP(AT952,Calculs!$A$740:$G$912,7,FALSE)&gt;0,TRUE,FALSE))</f>
        <v>1</v>
      </c>
      <c r="AV952" s="158" t="b">
        <f t="shared" si="101"/>
        <v>1</v>
      </c>
      <c r="AW952" s="158" t="s">
        <v>2078</v>
      </c>
      <c r="AX952" s="162" t="s">
        <v>6816</v>
      </c>
      <c r="AY952" s="15">
        <v>98</v>
      </c>
      <c r="AZ952" s="555" t="s">
        <v>7122</v>
      </c>
      <c r="BA952" s="559">
        <f>IF(Verso!$B$10=Voies!$B952,1,0)</f>
        <v>0</v>
      </c>
      <c r="BB952" s="12">
        <f>IF(Verso!$B$11=Voies!$B952,1,0)</f>
        <v>0</v>
      </c>
      <c r="BC952" s="12">
        <f>IF(Verso!$B$12=Voies!$B952,1,0)</f>
        <v>0</v>
      </c>
      <c r="BD952" s="12">
        <f>IF(Verso!$B$13=Voies!$B952,1,0)</f>
        <v>0</v>
      </c>
      <c r="BE952" s="12">
        <f>IF(Verso!$B$14=Voies!$B952,1,0)</f>
        <v>0</v>
      </c>
      <c r="BF952" s="12">
        <f>IF(Verso!$B$15=Voies!$B952,1,0)</f>
        <v>0</v>
      </c>
      <c r="BG952" s="12">
        <f>IF(Verso!$B$16=Voies!$B952,1,0)</f>
        <v>0</v>
      </c>
      <c r="BH952" s="12">
        <f>IF(Verso!$B$17=Voies!$B952,1,0)</f>
        <v>0</v>
      </c>
      <c r="BI952" s="557">
        <f t="shared" si="102"/>
        <v>0</v>
      </c>
      <c r="BJ952" s="196" t="str">
        <f t="shared" si="103"/>
        <v/>
      </c>
      <c r="BK952" s="196" t="str">
        <f t="shared" si="104"/>
        <v/>
      </c>
      <c r="BL952" s="295" t="str">
        <f t="shared" si="105"/>
        <v/>
      </c>
      <c r="BM952" s="91"/>
    </row>
    <row r="953" spans="1:65" ht="47.25" customHeight="1" x14ac:dyDescent="0.25">
      <c r="A953" s="162" t="str">
        <f>IF(AND(Réputation&gt;Voies!E953-1,OR(C953=TRUE,Calculs!$I$8&gt;0),Air&gt;Voies!J953-1,Eau&gt;Voies!K953-1,Feu&gt;Voies!L953-1,Terre&gt;Voies!M953-1,Vide&gt;Voies!N953-1,Constitution&gt;Voies!O953-1,Volonté&gt;Voies!P953-1,Force&gt;Voies!Q953-1,Perception&gt;Voies!R953-1,Reflexes&gt;Voies!S953-1,Agilité&gt;Voies!T953-1,Intuition&gt;Voies!U953-1,Intelligence&gt;Voies!V953-1,Souillure&gt;Voies!W953-1,Honneur&gt;X953-1,Statut&gt;Y953-1,Gloire&gt;Z953-1,AV953=TRUE),Voies!B953,"")</f>
        <v/>
      </c>
      <c r="B953" s="162" t="s">
        <v>2562</v>
      </c>
      <c r="C953" s="162" t="b">
        <f>IF(Clan=Voies!D953,TRUE,FALSE)</f>
        <v>0</v>
      </c>
      <c r="D953" s="387" t="s">
        <v>33</v>
      </c>
      <c r="E953" s="13">
        <v>0</v>
      </c>
      <c r="F953" s="199">
        <v>0</v>
      </c>
      <c r="G953" s="13" t="s">
        <v>2052</v>
      </c>
      <c r="H953" s="162" t="s">
        <v>424</v>
      </c>
      <c r="I953" s="129" t="str">
        <f t="shared" si="107"/>
        <v>Rien</v>
      </c>
      <c r="J953" s="146">
        <v>0</v>
      </c>
      <c r="K953" s="147">
        <v>0</v>
      </c>
      <c r="L953" s="148">
        <v>0</v>
      </c>
      <c r="M953" s="149">
        <v>0</v>
      </c>
      <c r="N953" s="150">
        <v>0</v>
      </c>
      <c r="O953" s="130">
        <v>0</v>
      </c>
      <c r="P953" s="130">
        <v>0</v>
      </c>
      <c r="Q953" s="130">
        <v>0</v>
      </c>
      <c r="R953" s="130">
        <v>3</v>
      </c>
      <c r="S953" s="130">
        <v>0</v>
      </c>
      <c r="T953" s="130">
        <v>0</v>
      </c>
      <c r="U953" s="130">
        <v>5</v>
      </c>
      <c r="V953" s="524">
        <v>5</v>
      </c>
      <c r="W953" s="130">
        <v>0</v>
      </c>
      <c r="X953" s="130">
        <v>0</v>
      </c>
      <c r="Y953" s="130">
        <v>0</v>
      </c>
      <c r="Z953" s="130">
        <v>0</v>
      </c>
      <c r="AA953" s="159" t="s">
        <v>2560</v>
      </c>
      <c r="AB953" s="159" t="s">
        <v>189</v>
      </c>
      <c r="AD953" s="159">
        <v>6</v>
      </c>
      <c r="AE953" s="158" t="b">
        <f>IF(AB953="",TRUE,IF(IF(AC953="",VLOOKUP(AB953,Calculs!$A$19:$S$425,19,FALSE),VLOOKUP(AC953,Calculs!$A$19:$S$425,19,FALSE))&gt;=AD953,TRUE,FALSE))</f>
        <v>0</v>
      </c>
      <c r="AF953" s="159" t="s">
        <v>1282</v>
      </c>
      <c r="AH953" s="159">
        <v>4</v>
      </c>
      <c r="AI953" s="158" t="b">
        <f>IF(AF953="",TRUE,IF(IF(AG953="",VLOOKUP(AF953,Calculs!$A$19:$S$425,19,FALSE),VLOOKUP(AG953,Calculs!$A$19:$S$425,19,FALSE))&gt;=AH953,TRUE,FALSE))</f>
        <v>0</v>
      </c>
      <c r="AJ953" s="159" t="s">
        <v>1208</v>
      </c>
      <c r="AL953" s="159">
        <v>5</v>
      </c>
      <c r="AM953" s="158" t="b">
        <f>IF(AJ953="",TRUE,IF(IF(AK953="",VLOOKUP(AJ953,Calculs!$A$19:$S$425,19,FALSE),VLOOKUP(AK953,Calculs!$A$19:$S$425,19,FALSE))&gt;=AL953,TRUE,FALSE))</f>
        <v>0</v>
      </c>
      <c r="AN953" s="159" t="s">
        <v>1266</v>
      </c>
      <c r="AP953" s="159">
        <v>5</v>
      </c>
      <c r="AQ953" s="158" t="b">
        <f>IF(AN953="",TRUE,IF(IF(AO953="",VLOOKUP(AN953,Calculs!$A$19:$S$425,19,FALSE),VLOOKUP(AO953,Calculs!$A$19:$S$425,19,FALSE))&gt;=AP953,TRUE,FALSE))</f>
        <v>0</v>
      </c>
      <c r="AR953" s="158"/>
      <c r="AS953" s="158" t="b">
        <f>IF(Chant2&gt;3,TRUE,FALSE)</f>
        <v>0</v>
      </c>
      <c r="AT953" s="158" t="s">
        <v>1012</v>
      </c>
      <c r="AU953" s="158" t="b">
        <f>IF(AT953="",TRUE,IF(VLOOKUP(AT953,Calculs!$A$740:$G$912,7,FALSE)&gt;0,TRUE,FALSE))</f>
        <v>0</v>
      </c>
      <c r="AV953" s="158" t="b">
        <f t="shared" si="101"/>
        <v>0</v>
      </c>
      <c r="AW953" s="159" t="s">
        <v>3409</v>
      </c>
      <c r="AX953" s="162" t="s">
        <v>3</v>
      </c>
      <c r="AY953" s="15">
        <v>250</v>
      </c>
      <c r="AZ953" s="555" t="s">
        <v>8739</v>
      </c>
      <c r="BA953" s="559">
        <f>IF(Verso!$B$10=Voies!$B953,1,0)</f>
        <v>0</v>
      </c>
      <c r="BB953" s="12">
        <f>IF(Verso!$B$11=Voies!$B953,1,0)</f>
        <v>0</v>
      </c>
      <c r="BC953" s="12">
        <f>IF(Verso!$B$12=Voies!$B953,1,0)</f>
        <v>0</v>
      </c>
      <c r="BD953" s="12">
        <f>IF(Verso!$B$13=Voies!$B953,1,0)</f>
        <v>0</v>
      </c>
      <c r="BE953" s="12">
        <f>IF(Verso!$B$14=Voies!$B953,1,0)</f>
        <v>0</v>
      </c>
      <c r="BF953" s="12">
        <f>IF(Verso!$B$15=Voies!$B953,1,0)</f>
        <v>0</v>
      </c>
      <c r="BG953" s="12">
        <f>IF(Verso!$B$16=Voies!$B953,1,0)</f>
        <v>0</v>
      </c>
      <c r="BH953" s="12">
        <f>IF(Verso!$B$17=Voies!$B953,1,0)</f>
        <v>0</v>
      </c>
      <c r="BI953" s="557">
        <f t="shared" si="102"/>
        <v>0</v>
      </c>
      <c r="BJ953" s="196" t="str">
        <f t="shared" si="103"/>
        <v/>
      </c>
      <c r="BK953" s="196" t="str">
        <f t="shared" si="104"/>
        <v/>
      </c>
      <c r="BL953" s="295" t="str">
        <f t="shared" si="105"/>
        <v/>
      </c>
    </row>
    <row r="954" spans="1:65" ht="47.25" customHeight="1" x14ac:dyDescent="0.25">
      <c r="A954" s="162" t="str">
        <f>IF(AND(Réputation&gt;Voies!E954-1,OR(C954=TRUE,Calculs!$I$8&gt;0),Air&gt;Voies!J954-1,Eau&gt;Voies!K954-1,Feu&gt;Voies!L954-1,Terre&gt;Voies!M954-1,Vide&gt;Voies!N954-1,Constitution&gt;Voies!O954-1,Volonté&gt;Voies!P954-1,Force&gt;Voies!Q954-1,Perception&gt;Voies!R954-1,Reflexes&gt;Voies!S954-1,Agilité&gt;Voies!T954-1,Intuition&gt;Voies!U954-1,Intelligence&gt;Voies!V954-1,Souillure&gt;Voies!W954-1,Honneur&gt;X954-1,Statut&gt;Y954-1,Gloire&gt;Z954-1,AV954=TRUE),Voies!B954,"")</f>
        <v/>
      </c>
      <c r="B954" s="162" t="s">
        <v>2563</v>
      </c>
      <c r="C954" s="162" t="b">
        <f>IF(Clan=Voies!D954,TRUE,FALSE)</f>
        <v>0</v>
      </c>
      <c r="D954" s="387" t="s">
        <v>33</v>
      </c>
      <c r="E954" s="13">
        <v>0</v>
      </c>
      <c r="F954" s="199">
        <v>0</v>
      </c>
      <c r="G954" s="13" t="s">
        <v>2052</v>
      </c>
      <c r="H954" s="162" t="s">
        <v>424</v>
      </c>
      <c r="I954" s="129" t="str">
        <f t="shared" si="107"/>
        <v>Rien</v>
      </c>
      <c r="J954" s="146">
        <v>0</v>
      </c>
      <c r="K954" s="147">
        <v>0</v>
      </c>
      <c r="L954" s="148">
        <v>0</v>
      </c>
      <c r="M954" s="149">
        <v>0</v>
      </c>
      <c r="N954" s="150">
        <v>0</v>
      </c>
      <c r="O954" s="130">
        <v>0</v>
      </c>
      <c r="P954" s="130">
        <v>0</v>
      </c>
      <c r="Q954" s="130">
        <v>0</v>
      </c>
      <c r="R954" s="130">
        <v>3</v>
      </c>
      <c r="S954" s="130">
        <v>0</v>
      </c>
      <c r="T954" s="130">
        <v>0</v>
      </c>
      <c r="U954" s="130">
        <v>5</v>
      </c>
      <c r="V954" s="524">
        <v>5</v>
      </c>
      <c r="W954" s="130">
        <v>0</v>
      </c>
      <c r="X954" s="130">
        <v>0</v>
      </c>
      <c r="Y954" s="130">
        <v>0</v>
      </c>
      <c r="Z954" s="130">
        <v>0</v>
      </c>
      <c r="AA954" s="159" t="s">
        <v>2560</v>
      </c>
      <c r="AB954" s="159" t="s">
        <v>189</v>
      </c>
      <c r="AD954" s="159">
        <v>6</v>
      </c>
      <c r="AE954" s="158" t="b">
        <f>IF(AB954="",TRUE,IF(IF(AC954="",VLOOKUP(AB954,Calculs!$A$19:$S$425,19,FALSE),VLOOKUP(AC954,Calculs!$A$19:$S$425,19,FALSE))&gt;=AD954,TRUE,FALSE))</f>
        <v>0</v>
      </c>
      <c r="AF954" s="159" t="s">
        <v>1282</v>
      </c>
      <c r="AH954" s="159">
        <v>4</v>
      </c>
      <c r="AI954" s="158" t="b">
        <f>IF(AF954="",TRUE,IF(IF(AG954="",VLOOKUP(AF954,Calculs!$A$19:$S$425,19,FALSE),VLOOKUP(AG954,Calculs!$A$19:$S$425,19,FALSE))&gt;=AH954,TRUE,FALSE))</f>
        <v>0</v>
      </c>
      <c r="AJ954" s="159" t="s">
        <v>1208</v>
      </c>
      <c r="AL954" s="159">
        <v>5</v>
      </c>
      <c r="AM954" s="158" t="b">
        <f>IF(AJ954="",TRUE,IF(IF(AK954="",VLOOKUP(AJ954,Calculs!$A$19:$S$425,19,FALSE),VLOOKUP(AK954,Calculs!$A$19:$S$425,19,FALSE))&gt;=AL954,TRUE,FALSE))</f>
        <v>0</v>
      </c>
      <c r="AN954" s="159" t="s">
        <v>1266</v>
      </c>
      <c r="AQ954" s="158" t="b">
        <f>IF(AN954="",TRUE,IF(IF(AO954="",VLOOKUP(AN954,Calculs!$A$19:$S$425,19,FALSE),VLOOKUP(AO954,Calculs!$A$19:$S$425,19,FALSE))&gt;=AP954,TRUE,FALSE))</f>
        <v>1</v>
      </c>
      <c r="AR954" s="158"/>
      <c r="AS954" s="158" t="b">
        <f>IF(Chant2&gt;3,TRUE,FALSE)</f>
        <v>0</v>
      </c>
      <c r="AT954" s="158" t="s">
        <v>1012</v>
      </c>
      <c r="AU954" s="158" t="b">
        <f>IF(AT954="",TRUE,IF(VLOOKUP(AT954,Calculs!$A$740:$G$912,7,FALSE)&gt;0,TRUE,FALSE))</f>
        <v>0</v>
      </c>
      <c r="AV954" s="158" t="b">
        <f t="shared" si="101"/>
        <v>0</v>
      </c>
      <c r="AW954" s="159" t="s">
        <v>3409</v>
      </c>
      <c r="AX954" s="162" t="s">
        <v>3</v>
      </c>
      <c r="AY954" s="15">
        <v>250</v>
      </c>
      <c r="AZ954" s="555" t="s">
        <v>2657</v>
      </c>
      <c r="BA954" s="559">
        <f>IF(Verso!$B$10=Voies!$B954,1,0)</f>
        <v>0</v>
      </c>
      <c r="BB954" s="12">
        <f>IF(Verso!$B$11=Voies!$B954,1,0)</f>
        <v>0</v>
      </c>
      <c r="BC954" s="12">
        <f>IF(Verso!$B$12=Voies!$B954,1,0)</f>
        <v>0</v>
      </c>
      <c r="BD954" s="12">
        <f>IF(Verso!$B$13=Voies!$B954,1,0)</f>
        <v>0</v>
      </c>
      <c r="BE954" s="12">
        <f>IF(Verso!$B$14=Voies!$B954,1,0)</f>
        <v>0</v>
      </c>
      <c r="BF954" s="12">
        <f>IF(Verso!$B$15=Voies!$B954,1,0)</f>
        <v>0</v>
      </c>
      <c r="BG954" s="12">
        <f>IF(Verso!$B$16=Voies!$B954,1,0)</f>
        <v>0</v>
      </c>
      <c r="BH954" s="12">
        <f>IF(Verso!$B$17=Voies!$B954,1,0)</f>
        <v>0</v>
      </c>
      <c r="BI954" s="557">
        <f t="shared" si="102"/>
        <v>0</v>
      </c>
      <c r="BJ954" s="196" t="str">
        <f t="shared" si="103"/>
        <v/>
      </c>
      <c r="BK954" s="196" t="str">
        <f t="shared" si="104"/>
        <v/>
      </c>
      <c r="BL954" s="295" t="str">
        <f t="shared" si="105"/>
        <v/>
      </c>
    </row>
    <row r="955" spans="1:65" ht="47.25" customHeight="1" x14ac:dyDescent="0.25">
      <c r="A955" s="162" t="str">
        <f>IF(AND(Réputation&gt;Voies!E955-1,OR(C955=TRUE,Calculs!$I$8&gt;0),Air&gt;Voies!J955-1,Eau&gt;Voies!K955-1,Feu&gt;Voies!L955-1,Terre&gt;Voies!M955-1,Vide&gt;Voies!N955-1,Constitution&gt;Voies!O955-1,Volonté&gt;Voies!P955-1,Force&gt;Voies!Q955-1,Perception&gt;Voies!R955-1,Reflexes&gt;Voies!S955-1,Agilité&gt;Voies!T955-1,Intuition&gt;Voies!U955-1,Intelligence&gt;Voies!V955-1,Souillure&gt;Voies!W955-1,Honneur&gt;X955-1,Statut&gt;Y955-1,Gloire&gt;Z955-1,AV955=TRUE),Voies!B955,"")</f>
        <v/>
      </c>
      <c r="B955" s="162" t="s">
        <v>2564</v>
      </c>
      <c r="C955" s="162" t="b">
        <f>IF(Clan=Voies!D955,TRUE,FALSE)</f>
        <v>0</v>
      </c>
      <c r="D955" s="387" t="s">
        <v>33</v>
      </c>
      <c r="E955" s="13">
        <v>0</v>
      </c>
      <c r="F955" s="199">
        <v>0</v>
      </c>
      <c r="G955" s="13" t="s">
        <v>2052</v>
      </c>
      <c r="H955" s="162" t="s">
        <v>424</v>
      </c>
      <c r="I955" s="129" t="str">
        <f t="shared" si="107"/>
        <v>Rien</v>
      </c>
      <c r="J955" s="146">
        <v>0</v>
      </c>
      <c r="K955" s="147">
        <v>0</v>
      </c>
      <c r="L955" s="148">
        <v>0</v>
      </c>
      <c r="M955" s="149">
        <v>0</v>
      </c>
      <c r="N955" s="150">
        <v>0</v>
      </c>
      <c r="O955" s="130">
        <v>0</v>
      </c>
      <c r="P955" s="130">
        <v>0</v>
      </c>
      <c r="Q955" s="130">
        <v>0</v>
      </c>
      <c r="R955" s="130">
        <v>3</v>
      </c>
      <c r="S955" s="130">
        <v>0</v>
      </c>
      <c r="T955" s="130">
        <v>0</v>
      </c>
      <c r="U955" s="130">
        <v>5</v>
      </c>
      <c r="V955" s="524">
        <v>5</v>
      </c>
      <c r="W955" s="130">
        <v>0</v>
      </c>
      <c r="X955" s="130">
        <v>0</v>
      </c>
      <c r="Y955" s="130">
        <v>0</v>
      </c>
      <c r="Z955" s="130">
        <v>0</v>
      </c>
      <c r="AA955" s="159" t="s">
        <v>2560</v>
      </c>
      <c r="AB955" s="159" t="s">
        <v>189</v>
      </c>
      <c r="AD955" s="159">
        <v>6</v>
      </c>
      <c r="AE955" s="158" t="b">
        <f>IF(AB955="",TRUE,IF(IF(AC955="",VLOOKUP(AB955,Calculs!$A$19:$S$425,19,FALSE),VLOOKUP(AC955,Calculs!$A$19:$S$425,19,FALSE))&gt;=AD955,TRUE,FALSE))</f>
        <v>0</v>
      </c>
      <c r="AF955" s="159" t="s">
        <v>1282</v>
      </c>
      <c r="AH955" s="159">
        <v>4</v>
      </c>
      <c r="AI955" s="158" t="b">
        <f>IF(AF955="",TRUE,IF(IF(AG955="",VLOOKUP(AF955,Calculs!$A$19:$S$425,19,FALSE),VLOOKUP(AG955,Calculs!$A$19:$S$425,19,FALSE))&gt;=AH955,TRUE,FALSE))</f>
        <v>0</v>
      </c>
      <c r="AJ955" s="159" t="s">
        <v>1208</v>
      </c>
      <c r="AL955" s="159">
        <v>5</v>
      </c>
      <c r="AM955" s="158" t="b">
        <f>IF(AJ955="",TRUE,IF(IF(AK955="",VLOOKUP(AJ955,Calculs!$A$19:$S$425,19,FALSE),VLOOKUP(AK955,Calculs!$A$19:$S$425,19,FALSE))&gt;=AL955,TRUE,FALSE))</f>
        <v>0</v>
      </c>
      <c r="AN955" s="159" t="s">
        <v>1266</v>
      </c>
      <c r="AP955" s="159">
        <v>5</v>
      </c>
      <c r="AQ955" s="158" t="b">
        <f>IF(AN955="",TRUE,IF(IF(AO955="",VLOOKUP(AN955,Calculs!$A$19:$S$425,19,FALSE),VLOOKUP(AO955,Calculs!$A$19:$S$425,19,FALSE))&gt;=AP955,TRUE,FALSE))</f>
        <v>0</v>
      </c>
      <c r="AR955" s="158"/>
      <c r="AS955" s="158" t="b">
        <f>IF(Chant2&gt;3,TRUE,FALSE)</f>
        <v>0</v>
      </c>
      <c r="AT955" s="158" t="s">
        <v>1012</v>
      </c>
      <c r="AU955" s="158" t="b">
        <f>IF(AT955="",TRUE,IF(VLOOKUP(AT955,Calculs!$A$740:$G$912,7,FALSE)&gt;0,TRUE,FALSE))</f>
        <v>0</v>
      </c>
      <c r="AV955" s="158" t="b">
        <f t="shared" si="101"/>
        <v>0</v>
      </c>
      <c r="AW955" s="159" t="s">
        <v>3409</v>
      </c>
      <c r="AX955" s="162" t="s">
        <v>3</v>
      </c>
      <c r="AY955" s="15">
        <v>250</v>
      </c>
      <c r="AZ955" s="555" t="s">
        <v>8740</v>
      </c>
      <c r="BA955" s="559">
        <f>IF(Verso!$B$10=Voies!$B955,1,0)</f>
        <v>0</v>
      </c>
      <c r="BB955" s="12">
        <f>IF(Verso!$B$11=Voies!$B955,1,0)</f>
        <v>0</v>
      </c>
      <c r="BC955" s="12">
        <f>IF(Verso!$B$12=Voies!$B955,1,0)</f>
        <v>0</v>
      </c>
      <c r="BD955" s="12">
        <f>IF(Verso!$B$13=Voies!$B955,1,0)</f>
        <v>0</v>
      </c>
      <c r="BE955" s="12">
        <f>IF(Verso!$B$14=Voies!$B955,1,0)</f>
        <v>0</v>
      </c>
      <c r="BF955" s="12">
        <f>IF(Verso!$B$15=Voies!$B955,1,0)</f>
        <v>0</v>
      </c>
      <c r="BG955" s="12">
        <f>IF(Verso!$B$16=Voies!$B955,1,0)</f>
        <v>0</v>
      </c>
      <c r="BH955" s="12">
        <f>IF(Verso!$B$17=Voies!$B955,1,0)</f>
        <v>0</v>
      </c>
      <c r="BI955" s="557">
        <f t="shared" si="102"/>
        <v>0</v>
      </c>
      <c r="BJ955" s="196" t="str">
        <f t="shared" si="103"/>
        <v/>
      </c>
      <c r="BK955" s="196" t="str">
        <f t="shared" si="104"/>
        <v/>
      </c>
      <c r="BL955" s="295" t="str">
        <f t="shared" si="105"/>
        <v/>
      </c>
    </row>
    <row r="956" spans="1:65" ht="47.25" customHeight="1" x14ac:dyDescent="0.25">
      <c r="A956" s="162" t="str">
        <f>IF(AND(Réputation&gt;Voies!E956-1,OR(C956=TRUE,Calculs!$I$8&gt;0),Air&gt;Voies!J956-1,Eau&gt;Voies!K956-1,Feu&gt;Voies!L956-1,Terre&gt;Voies!M956-1,Vide&gt;Voies!N956-1,Constitution&gt;Voies!O956-1,Volonté&gt;Voies!P956-1,Force&gt;Voies!Q956-1,Perception&gt;Voies!R956-1,Reflexes&gt;Voies!S956-1,Agilité&gt;Voies!T956-1,Intuition&gt;Voies!U956-1,Intelligence&gt;Voies!V956-1,Souillure&gt;Voies!W956-1,Honneur&gt;X956-1,Statut&gt;Y956-1,Gloire&gt;Z956-1,AV956=TRUE),Voies!B956,"")</f>
        <v/>
      </c>
      <c r="B956" s="162" t="s">
        <v>3484</v>
      </c>
      <c r="C956" s="162" t="b">
        <f>IF(Clan=Voies!D956,TRUE,FALSE)</f>
        <v>0</v>
      </c>
      <c r="D956" s="387" t="s">
        <v>33</v>
      </c>
      <c r="E956" s="13">
        <v>0</v>
      </c>
      <c r="F956" s="199">
        <v>0</v>
      </c>
      <c r="G956" s="13" t="s">
        <v>2060</v>
      </c>
      <c r="H956" s="162" t="s">
        <v>528</v>
      </c>
      <c r="I956" s="129" t="str">
        <f t="shared" si="107"/>
        <v>Rien</v>
      </c>
      <c r="J956" s="146">
        <v>0</v>
      </c>
      <c r="K956" s="147">
        <v>0</v>
      </c>
      <c r="L956" s="148">
        <v>0</v>
      </c>
      <c r="M956" s="149">
        <v>0</v>
      </c>
      <c r="N956" s="150">
        <v>0</v>
      </c>
      <c r="O956" s="130">
        <v>0</v>
      </c>
      <c r="P956" s="130">
        <v>0</v>
      </c>
      <c r="Q956" s="130">
        <v>0</v>
      </c>
      <c r="R956" s="130">
        <v>0</v>
      </c>
      <c r="S956" s="130">
        <v>0</v>
      </c>
      <c r="T956" s="130">
        <v>0</v>
      </c>
      <c r="U956" s="130">
        <v>0</v>
      </c>
      <c r="V956" s="524">
        <v>0</v>
      </c>
      <c r="W956" s="130">
        <v>0</v>
      </c>
      <c r="X956" s="130">
        <v>0</v>
      </c>
      <c r="Y956" s="130">
        <v>0</v>
      </c>
      <c r="Z956" s="130">
        <v>0</v>
      </c>
      <c r="AA956" s="159" t="s">
        <v>3485</v>
      </c>
      <c r="AB956" s="159" t="s">
        <v>1282</v>
      </c>
      <c r="AD956" s="159">
        <v>5</v>
      </c>
      <c r="AE956" s="158" t="b">
        <f>IF(AB956="",TRUE,IF(IF(AC956="",VLOOKUP(AB956,Calculs!$A$19:$S$425,19,FALSE),VLOOKUP(AC956,Calculs!$A$19:$S$425,19,FALSE))&gt;=AD956,TRUE,FALSE))</f>
        <v>0</v>
      </c>
      <c r="AF956" s="159" t="s">
        <v>1273</v>
      </c>
      <c r="AH956" s="159">
        <v>5</v>
      </c>
      <c r="AI956" s="158" t="b">
        <f>IF(AF956="",TRUE,IF(IF(AG956="",VLOOKUP(AF956,Calculs!$A$19:$S$425,19,FALSE),VLOOKUP(AG956,Calculs!$A$19:$S$425,19,FALSE))&gt;=AH956,TRUE,FALSE))</f>
        <v>0</v>
      </c>
      <c r="AM956" s="158" t="b">
        <f>IF(AJ956="",TRUE,IF(IF(AK956="",VLOOKUP(AJ956,Calculs!$A$19:$S$425,19,FALSE),VLOOKUP(AK956,Calculs!$A$19:$S$425,19,FALSE))&gt;=AL956,TRUE,FALSE))</f>
        <v>1</v>
      </c>
      <c r="AQ956" s="158" t="b">
        <f>IF(AN956="",TRUE,IF(IF(AO956="",VLOOKUP(AN956,Calculs!$A$19:$S$425,19,FALSE),VLOOKUP(AO956,Calculs!$A$19:$S$425,19,FALSE))&gt;=AP956,TRUE,FALSE))</f>
        <v>1</v>
      </c>
      <c r="AR956" s="158"/>
      <c r="AS956" s="158" t="b">
        <f>IF(AR956="",TRUE,IF(VLOOKUP(AR956,Calculs!$A$427:$G$738,7,FALSE)&gt;0,TRUE,FALSE))</f>
        <v>1</v>
      </c>
      <c r="AT956" s="158"/>
      <c r="AU956" s="158" t="b">
        <f>IF(AT956="",TRUE,IF(VLOOKUP(AT956,Calculs!$A$740:$G$912,7,FALSE)&gt;0,TRUE,FALSE))</f>
        <v>1</v>
      </c>
      <c r="AV956" s="158" t="b">
        <f t="shared" si="101"/>
        <v>0</v>
      </c>
      <c r="AW956" s="159" t="s">
        <v>6466</v>
      </c>
      <c r="AX956" s="162" t="s">
        <v>160</v>
      </c>
      <c r="AY956" s="15">
        <v>178</v>
      </c>
      <c r="AZ956" s="555" t="s">
        <v>3486</v>
      </c>
      <c r="BA956" s="559">
        <f>IF(Verso!$B$10=Voies!$B956,1,0)</f>
        <v>0</v>
      </c>
      <c r="BB956" s="12">
        <f>IF(Verso!$B$11=Voies!$B956,1,0)</f>
        <v>0</v>
      </c>
      <c r="BC956" s="12">
        <f>IF(Verso!$B$12=Voies!$B956,1,0)</f>
        <v>0</v>
      </c>
      <c r="BD956" s="12">
        <f>IF(Verso!$B$13=Voies!$B956,1,0)</f>
        <v>0</v>
      </c>
      <c r="BE956" s="12">
        <f>IF(Verso!$B$14=Voies!$B956,1,0)</f>
        <v>0</v>
      </c>
      <c r="BF956" s="12">
        <f>IF(Verso!$B$15=Voies!$B956,1,0)</f>
        <v>0</v>
      </c>
      <c r="BG956" s="12">
        <f>IF(Verso!$B$16=Voies!$B956,1,0)</f>
        <v>0</v>
      </c>
      <c r="BH956" s="12">
        <f>IF(Verso!$B$17=Voies!$B956,1,0)</f>
        <v>0</v>
      </c>
      <c r="BI956" s="557">
        <f t="shared" si="102"/>
        <v>0</v>
      </c>
      <c r="BJ956" s="196" t="str">
        <f t="shared" si="103"/>
        <v/>
      </c>
      <c r="BK956" s="196" t="str">
        <f t="shared" si="104"/>
        <v/>
      </c>
      <c r="BL956" s="295" t="str">
        <f t="shared" si="105"/>
        <v/>
      </c>
    </row>
    <row r="957" spans="1:65" ht="47.25" customHeight="1" x14ac:dyDescent="0.25">
      <c r="A957" s="162" t="str">
        <f>IF(AND(Réputation&gt;Voies!E957-1,OR(C957=TRUE,Calculs!$I$8&gt;0),Air&gt;Voies!J957-1,Eau&gt;Voies!K957-1,Feu&gt;Voies!L957-1,Terre&gt;Voies!M957-1,Vide&gt;Voies!N957-1,Constitution&gt;Voies!O957-1,Volonté&gt;Voies!P957-1,Force&gt;Voies!Q957-1,Perception&gt;Voies!R957-1,Reflexes&gt;Voies!S957-1,Agilité&gt;Voies!T957-1,Intuition&gt;Voies!U957-1,Intelligence&gt;Voies!V957-1,Souillure&gt;Voies!W957-1,Honneur&gt;X957-1,Statut&gt;Y957-1,Gloire&gt;Z957-1,AV957=TRUE),Voies!B957,"")</f>
        <v/>
      </c>
      <c r="B957" s="162" t="s">
        <v>2970</v>
      </c>
      <c r="C957" s="162" t="b">
        <f>IF(Clan=Voies!D957,TRUE,FALSE)</f>
        <v>0</v>
      </c>
      <c r="D957" s="387" t="s">
        <v>33</v>
      </c>
      <c r="E957" s="13">
        <v>0</v>
      </c>
      <c r="F957" s="199">
        <v>0</v>
      </c>
      <c r="G957" s="199" t="s">
        <v>2060</v>
      </c>
      <c r="H957" s="162" t="s">
        <v>425</v>
      </c>
      <c r="I957" s="129" t="str">
        <f t="shared" si="107"/>
        <v>Rien</v>
      </c>
      <c r="J957" s="146">
        <v>0</v>
      </c>
      <c r="K957" s="147">
        <v>0</v>
      </c>
      <c r="L957" s="148">
        <v>4</v>
      </c>
      <c r="M957" s="149">
        <v>0</v>
      </c>
      <c r="N957" s="150">
        <v>0</v>
      </c>
      <c r="O957" s="130">
        <v>0</v>
      </c>
      <c r="P957" s="130">
        <v>0</v>
      </c>
      <c r="Q957" s="130">
        <v>0</v>
      </c>
      <c r="R957" s="130">
        <v>0</v>
      </c>
      <c r="S957" s="130">
        <v>4</v>
      </c>
      <c r="T957" s="130">
        <v>0</v>
      </c>
      <c r="U957" s="130">
        <v>0</v>
      </c>
      <c r="V957" s="524">
        <v>0</v>
      </c>
      <c r="W957" s="130">
        <v>0</v>
      </c>
      <c r="X957" s="130">
        <v>0</v>
      </c>
      <c r="Y957" s="130">
        <v>0</v>
      </c>
      <c r="Z957" s="130">
        <v>0</v>
      </c>
      <c r="AA957" s="159" t="s">
        <v>6392</v>
      </c>
      <c r="AB957" s="159" t="s">
        <v>3326</v>
      </c>
      <c r="AC957" s="159" t="s">
        <v>2977</v>
      </c>
      <c r="AD957" s="159">
        <v>3</v>
      </c>
      <c r="AE957" s="158" t="b">
        <f>IF(AB957="",TRUE,IF(IF(AC957="",VLOOKUP(AB957,Calculs!$A$19:$S$425,19,FALSE),VLOOKUP(AC957,Calculs!$A$19:$S$425,19,FALSE))&gt;=AD957,TRUE,FALSE))</f>
        <v>0</v>
      </c>
      <c r="AF957" s="159" t="s">
        <v>1273</v>
      </c>
      <c r="AH957" s="159">
        <v>4</v>
      </c>
      <c r="AI957" s="158" t="b">
        <f>IF(AF957="",TRUE,IF(IF(AG957="",VLOOKUP(AF957,Calculs!$A$19:$S$425,19,FALSE),VLOOKUP(AG957,Calculs!$A$19:$S$425,19,FALSE))&gt;=AH957,TRUE,FALSE))</f>
        <v>0</v>
      </c>
      <c r="AJ957" s="159" t="s">
        <v>1282</v>
      </c>
      <c r="AL957" s="159">
        <v>5</v>
      </c>
      <c r="AM957" s="158" t="b">
        <f>IF(AJ957="",TRUE,IF(IF(AK957="",VLOOKUP(AJ957,Calculs!$A$19:$S$425,19,FALSE),VLOOKUP(AK957,Calculs!$A$19:$S$425,19,FALSE))&gt;=AL957,TRUE,FALSE))</f>
        <v>0</v>
      </c>
      <c r="AN957" s="159" t="s">
        <v>1230</v>
      </c>
      <c r="AP957" s="159">
        <v>4</v>
      </c>
      <c r="AQ957" s="158" t="b">
        <f>IF(AN957="",TRUE,IF(IF(AO957="",VLOOKUP(AN957,Calculs!$A$19:$S$425,19,FALSE),VLOOKUP(AO957,Calculs!$A$19:$S$425,19,FALSE))&gt;=AP957,TRUE,FALSE))</f>
        <v>0</v>
      </c>
      <c r="AR957" s="158"/>
      <c r="AS957" s="158" t="b">
        <f>IF(AR957="",TRUE,IF(VLOOKUP(AR957,Calculs!$A$427:$G$738,7,FALSE)&gt;0,TRUE,FALSE))</f>
        <v>1</v>
      </c>
      <c r="AT957" s="158"/>
      <c r="AU957" s="158" t="b">
        <f>IF(AT957="",TRUE,IF(VLOOKUP(AT957,Calculs!$A$740:$G$912,7,FALSE)&gt;0,TRUE,FALSE))</f>
        <v>1</v>
      </c>
      <c r="AV957" s="158" t="b">
        <f t="shared" si="101"/>
        <v>0</v>
      </c>
      <c r="AW957" s="159" t="s">
        <v>2974</v>
      </c>
      <c r="AX957" s="162" t="s">
        <v>2077</v>
      </c>
      <c r="AY957" s="15">
        <v>179</v>
      </c>
      <c r="AZ957" s="566" t="s">
        <v>2975</v>
      </c>
      <c r="BA957" s="559">
        <f>IF(Verso!$B$10=Voies!$B957,1,0)</f>
        <v>0</v>
      </c>
      <c r="BB957" s="12">
        <f>IF(Verso!$B$11=Voies!$B957,1,0)</f>
        <v>0</v>
      </c>
      <c r="BC957" s="12">
        <f>IF(Verso!$B$12=Voies!$B957,1,0)</f>
        <v>0</v>
      </c>
      <c r="BD957" s="12">
        <f>IF(Verso!$B$13=Voies!$B957,1,0)</f>
        <v>0</v>
      </c>
      <c r="BE957" s="12">
        <f>IF(Verso!$B$14=Voies!$B957,1,0)</f>
        <v>0</v>
      </c>
      <c r="BF957" s="12">
        <f>IF(Verso!$B$15=Voies!$B957,1,0)</f>
        <v>0</v>
      </c>
      <c r="BG957" s="12">
        <f>IF(Verso!$B$16=Voies!$B957,1,0)</f>
        <v>0</v>
      </c>
      <c r="BH957" s="12">
        <f>IF(Verso!$B$17=Voies!$B957,1,0)</f>
        <v>0</v>
      </c>
      <c r="BI957" s="557">
        <f t="shared" si="102"/>
        <v>0</v>
      </c>
      <c r="BJ957" s="196" t="str">
        <f t="shared" si="103"/>
        <v/>
      </c>
      <c r="BK957" s="196" t="str">
        <f t="shared" si="104"/>
        <v/>
      </c>
      <c r="BL957" s="295" t="str">
        <f t="shared" si="105"/>
        <v/>
      </c>
    </row>
    <row r="958" spans="1:65" ht="47.25" customHeight="1" x14ac:dyDescent="0.25">
      <c r="A958" s="162" t="str">
        <f>IF(AND(Réputation&gt;Voies!E958-1,OR(C958=TRUE,Calculs!$I$8&gt;0),Air&gt;Voies!J958-1,Eau&gt;Voies!K958-1,Feu&gt;Voies!L958-1,Terre&gt;Voies!M958-1,Vide&gt;Voies!N958-1,Constitution&gt;Voies!O958-1,Volonté&gt;Voies!P958-1,Force&gt;Voies!Q958-1,Perception&gt;Voies!R958-1,Reflexes&gt;Voies!S958-1,Agilité&gt;Voies!T958-1,Intuition&gt;Voies!U958-1,Intelligence&gt;Voies!V958-1,Souillure&gt;Voies!W958-1,Honneur&gt;X958-1,Statut&gt;Y958-1,Gloire&gt;Z958-1,AV958=TRUE),Voies!B958,"")</f>
        <v/>
      </c>
      <c r="B958" s="162" t="s">
        <v>2971</v>
      </c>
      <c r="C958" s="162" t="b">
        <f>IF(Clan=Voies!D958,TRUE,FALSE)</f>
        <v>0</v>
      </c>
      <c r="D958" s="387" t="s">
        <v>33</v>
      </c>
      <c r="E958" s="13">
        <v>0</v>
      </c>
      <c r="F958" s="199">
        <v>0</v>
      </c>
      <c r="G958" s="13" t="s">
        <v>2060</v>
      </c>
      <c r="H958" s="162" t="s">
        <v>425</v>
      </c>
      <c r="I958" s="129" t="str">
        <f t="shared" si="107"/>
        <v>Rien</v>
      </c>
      <c r="J958" s="146">
        <v>0</v>
      </c>
      <c r="K958" s="147">
        <v>0</v>
      </c>
      <c r="L958" s="148">
        <v>4</v>
      </c>
      <c r="M958" s="149">
        <v>0</v>
      </c>
      <c r="N958" s="150">
        <v>0</v>
      </c>
      <c r="O958" s="130">
        <v>0</v>
      </c>
      <c r="P958" s="130">
        <v>0</v>
      </c>
      <c r="Q958" s="130">
        <v>0</v>
      </c>
      <c r="R958" s="130">
        <v>0</v>
      </c>
      <c r="S958" s="130">
        <v>4</v>
      </c>
      <c r="T958" s="130">
        <v>0</v>
      </c>
      <c r="U958" s="130">
        <v>0</v>
      </c>
      <c r="V958" s="524">
        <v>0</v>
      </c>
      <c r="W958" s="130">
        <v>0</v>
      </c>
      <c r="X958" s="130">
        <v>0</v>
      </c>
      <c r="Y958" s="130">
        <v>0</v>
      </c>
      <c r="Z958" s="130">
        <v>0</v>
      </c>
      <c r="AA958" s="159" t="s">
        <v>2973</v>
      </c>
      <c r="AB958" s="159" t="s">
        <v>3326</v>
      </c>
      <c r="AC958" s="159" t="s">
        <v>2977</v>
      </c>
      <c r="AD958" s="159">
        <v>3</v>
      </c>
      <c r="AE958" s="158" t="b">
        <f>IF(AB958="",TRUE,IF(IF(AC958="",VLOOKUP(AB958,Calculs!$A$19:$S$425,19,FALSE),VLOOKUP(AC958,Calculs!$A$19:$S$425,19,FALSE))&gt;=AD958,TRUE,FALSE))</f>
        <v>0</v>
      </c>
      <c r="AF958" s="159" t="s">
        <v>1273</v>
      </c>
      <c r="AH958" s="159">
        <v>4</v>
      </c>
      <c r="AI958" s="158" t="b">
        <f>IF(AF958="",TRUE,IF(IF(AG958="",VLOOKUP(AF958,Calculs!$A$19:$S$425,19,FALSE),VLOOKUP(AG958,Calculs!$A$19:$S$425,19,FALSE))&gt;=AH958,TRUE,FALSE))</f>
        <v>0</v>
      </c>
      <c r="AJ958" s="159" t="s">
        <v>1282</v>
      </c>
      <c r="AL958" s="159">
        <v>5</v>
      </c>
      <c r="AM958" s="158" t="b">
        <f>IF(AJ958="",TRUE,IF(IF(AK958="",VLOOKUP(AJ958,Calculs!$A$19:$S$425,19,FALSE),VLOOKUP(AK958,Calculs!$A$19:$S$425,19,FALSE))&gt;=AL958,TRUE,FALSE))</f>
        <v>0</v>
      </c>
      <c r="AN958" s="159" t="s">
        <v>1230</v>
      </c>
      <c r="AQ958" s="158" t="b">
        <f>IF(AN958="",TRUE,IF(IF(AO958="",VLOOKUP(AN958,Calculs!$A$19:$S$425,19,FALSE),VLOOKUP(AO958,Calculs!$A$19:$S$425,19,FALSE))&gt;=AP958,TRUE,FALSE))</f>
        <v>1</v>
      </c>
      <c r="AR958" s="158"/>
      <c r="AS958" s="158" t="b">
        <f>IF(AR958="",TRUE,IF(VLOOKUP(AR958,Calculs!$A$427:$G$738,7,FALSE)&gt;0,TRUE,FALSE))</f>
        <v>1</v>
      </c>
      <c r="AT958" s="158"/>
      <c r="AU958" s="158" t="b">
        <f>IF(AT958="",TRUE,IF(VLOOKUP(AT958,Calculs!$A$740:$G$912,7,FALSE)&gt;0,TRUE,FALSE))</f>
        <v>1</v>
      </c>
      <c r="AV958" s="158" t="b">
        <f t="shared" si="101"/>
        <v>0</v>
      </c>
      <c r="AW958" s="159" t="s">
        <v>2974</v>
      </c>
      <c r="AX958" s="162" t="s">
        <v>2077</v>
      </c>
      <c r="AY958" s="15">
        <v>179</v>
      </c>
      <c r="AZ958" s="555" t="s">
        <v>8741</v>
      </c>
      <c r="BA958" s="559">
        <f>IF(Verso!$B$10=Voies!$B958,1,0)</f>
        <v>0</v>
      </c>
      <c r="BB958" s="12">
        <f>IF(Verso!$B$11=Voies!$B958,1,0)</f>
        <v>0</v>
      </c>
      <c r="BC958" s="12">
        <f>IF(Verso!$B$12=Voies!$B958,1,0)</f>
        <v>0</v>
      </c>
      <c r="BD958" s="12">
        <f>IF(Verso!$B$13=Voies!$B958,1,0)</f>
        <v>0</v>
      </c>
      <c r="BE958" s="12">
        <f>IF(Verso!$B$14=Voies!$B958,1,0)</f>
        <v>0</v>
      </c>
      <c r="BF958" s="12">
        <f>IF(Verso!$B$15=Voies!$B958,1,0)</f>
        <v>0</v>
      </c>
      <c r="BG958" s="12">
        <f>IF(Verso!$B$16=Voies!$B958,1,0)</f>
        <v>0</v>
      </c>
      <c r="BH958" s="12">
        <f>IF(Verso!$B$17=Voies!$B958,1,0)</f>
        <v>0</v>
      </c>
      <c r="BI958" s="557">
        <f t="shared" si="102"/>
        <v>0</v>
      </c>
      <c r="BJ958" s="196" t="str">
        <f t="shared" si="103"/>
        <v/>
      </c>
      <c r="BK958" s="196" t="str">
        <f t="shared" si="104"/>
        <v/>
      </c>
      <c r="BL958" s="295" t="str">
        <f t="shared" si="105"/>
        <v/>
      </c>
    </row>
    <row r="959" spans="1:65" ht="47.25" customHeight="1" x14ac:dyDescent="0.25">
      <c r="A959" s="162" t="str">
        <f>IF(AND(Réputation&gt;Voies!E959-1,OR(C959=TRUE,Calculs!$I$8&gt;0),Air&gt;Voies!J959-1,Eau&gt;Voies!K959-1,Feu&gt;Voies!L959-1,Terre&gt;Voies!M959-1,Vide&gt;Voies!N959-1,Constitution&gt;Voies!O959-1,Volonté&gt;Voies!P959-1,Force&gt;Voies!Q959-1,Perception&gt;Voies!R959-1,Reflexes&gt;Voies!S959-1,Agilité&gt;Voies!T959-1,Intuition&gt;Voies!U959-1,Intelligence&gt;Voies!V959-1,Souillure&gt;Voies!W959-1,Honneur&gt;X959-1,Statut&gt;Y959-1,Gloire&gt;Z959-1,AV959=TRUE),Voies!B959,"")</f>
        <v/>
      </c>
      <c r="B959" s="162" t="s">
        <v>2972</v>
      </c>
      <c r="C959" s="162" t="b">
        <f>IF(Clan=Voies!D959,TRUE,FALSE)</f>
        <v>0</v>
      </c>
      <c r="D959" s="387" t="s">
        <v>33</v>
      </c>
      <c r="E959" s="199">
        <v>0</v>
      </c>
      <c r="F959" s="199">
        <v>0</v>
      </c>
      <c r="G959" s="199" t="s">
        <v>2060</v>
      </c>
      <c r="H959" s="162" t="s">
        <v>425</v>
      </c>
      <c r="I959" s="129" t="str">
        <f t="shared" si="107"/>
        <v>Rien</v>
      </c>
      <c r="J959" s="146">
        <v>0</v>
      </c>
      <c r="K959" s="147">
        <v>0</v>
      </c>
      <c r="L959" s="148">
        <v>4</v>
      </c>
      <c r="M959" s="149">
        <v>0</v>
      </c>
      <c r="N959" s="150">
        <v>0</v>
      </c>
      <c r="O959" s="130">
        <v>0</v>
      </c>
      <c r="P959" s="130">
        <v>0</v>
      </c>
      <c r="Q959" s="130">
        <v>0</v>
      </c>
      <c r="R959" s="130">
        <v>0</v>
      </c>
      <c r="S959" s="130">
        <v>4</v>
      </c>
      <c r="T959" s="130">
        <v>0</v>
      </c>
      <c r="U959" s="130">
        <v>0</v>
      </c>
      <c r="V959" s="524">
        <v>0</v>
      </c>
      <c r="W959" s="130">
        <v>0</v>
      </c>
      <c r="X959" s="130">
        <v>0</v>
      </c>
      <c r="Y959" s="130">
        <v>0</v>
      </c>
      <c r="Z959" s="130">
        <v>0</v>
      </c>
      <c r="AA959" s="159" t="s">
        <v>2973</v>
      </c>
      <c r="AB959" s="159" t="s">
        <v>3326</v>
      </c>
      <c r="AC959" s="159" t="s">
        <v>2977</v>
      </c>
      <c r="AD959" s="159">
        <v>3</v>
      </c>
      <c r="AE959" s="158" t="b">
        <f>IF(AB959="",TRUE,IF(IF(AC959="",VLOOKUP(AB959,Calculs!$A$19:$S$425,19,FALSE),VLOOKUP(AC959,Calculs!$A$19:$S$425,19,FALSE))&gt;=AD959,TRUE,FALSE))</f>
        <v>0</v>
      </c>
      <c r="AF959" s="159" t="s">
        <v>1273</v>
      </c>
      <c r="AH959" s="159">
        <v>4</v>
      </c>
      <c r="AI959" s="158" t="b">
        <f>IF(AF959="",TRUE,IF(IF(AG959="",VLOOKUP(AF959,Calculs!$A$19:$S$425,19,FALSE),VLOOKUP(AG959,Calculs!$A$19:$S$425,19,FALSE))&gt;=AH959,TRUE,FALSE))</f>
        <v>0</v>
      </c>
      <c r="AJ959" s="159" t="s">
        <v>1282</v>
      </c>
      <c r="AL959" s="159">
        <v>5</v>
      </c>
      <c r="AM959" s="158" t="b">
        <f>IF(AJ959="",TRUE,IF(IF(AK959="",VLOOKUP(AJ959,Calculs!$A$19:$S$425,19,FALSE),VLOOKUP(AK959,Calculs!$A$19:$S$425,19,FALSE))&gt;=AL959,TRUE,FALSE))</f>
        <v>0</v>
      </c>
      <c r="AN959" s="159" t="s">
        <v>1230</v>
      </c>
      <c r="AQ959" s="158" t="b">
        <f>IF(AN959="",TRUE,IF(IF(AO959="",VLOOKUP(AN959,Calculs!$A$19:$S$425,19,FALSE),VLOOKUP(AO959,Calculs!$A$19:$S$425,19,FALSE))&gt;=AP959,TRUE,FALSE))</f>
        <v>1</v>
      </c>
      <c r="AR959" s="158"/>
      <c r="AS959" s="158" t="b">
        <f>IF(AR959="",TRUE,IF(VLOOKUP(AR959,Calculs!$A$427:$G$738,7,FALSE)&gt;0,TRUE,FALSE))</f>
        <v>1</v>
      </c>
      <c r="AT959" s="158"/>
      <c r="AU959" s="158" t="b">
        <f>IF(AT959="",TRUE,IF(VLOOKUP(AT959,Calculs!$A$740:$G$912,7,FALSE)&gt;0,TRUE,FALSE))</f>
        <v>1</v>
      </c>
      <c r="AV959" s="158" t="b">
        <f t="shared" si="101"/>
        <v>0</v>
      </c>
      <c r="AW959" s="159" t="s">
        <v>2974</v>
      </c>
      <c r="AX959" s="162" t="s">
        <v>2077</v>
      </c>
      <c r="AY959" s="15">
        <v>179</v>
      </c>
      <c r="AZ959" s="555" t="s">
        <v>2976</v>
      </c>
      <c r="BA959" s="559">
        <f>IF(Verso!$B$10=Voies!$B959,1,0)</f>
        <v>0</v>
      </c>
      <c r="BB959" s="12">
        <f>IF(Verso!$B$11=Voies!$B959,1,0)</f>
        <v>0</v>
      </c>
      <c r="BC959" s="12">
        <f>IF(Verso!$B$12=Voies!$B959,1,0)</f>
        <v>0</v>
      </c>
      <c r="BD959" s="12">
        <f>IF(Verso!$B$13=Voies!$B959,1,0)</f>
        <v>0</v>
      </c>
      <c r="BE959" s="12">
        <f>IF(Verso!$B$14=Voies!$B959,1,0)</f>
        <v>0</v>
      </c>
      <c r="BF959" s="12">
        <f>IF(Verso!$B$15=Voies!$B959,1,0)</f>
        <v>0</v>
      </c>
      <c r="BG959" s="12">
        <f>IF(Verso!$B$16=Voies!$B959,1,0)</f>
        <v>0</v>
      </c>
      <c r="BH959" s="12">
        <f>IF(Verso!$B$17=Voies!$B959,1,0)</f>
        <v>0</v>
      </c>
      <c r="BI959" s="557">
        <f t="shared" si="102"/>
        <v>0</v>
      </c>
      <c r="BJ959" s="196" t="str">
        <f t="shared" si="103"/>
        <v/>
      </c>
      <c r="BK959" s="196" t="str">
        <f t="shared" si="104"/>
        <v/>
      </c>
      <c r="BL959" s="295" t="str">
        <f t="shared" si="105"/>
        <v/>
      </c>
    </row>
    <row r="960" spans="1:65" ht="47.25" customHeight="1" x14ac:dyDescent="0.25">
      <c r="A960" s="162" t="str">
        <f>IF(AND(Réputation&gt;Voies!E960-1,OR(C960=TRUE,Calculs!$I$8&gt;0),Air&gt;Voies!J960-1,Eau&gt;Voies!K960-1,Feu&gt;Voies!L960-1,Terre&gt;Voies!M960-1,Vide&gt;Voies!N960-1,Constitution&gt;Voies!O960-1,Volonté&gt;Voies!P960-1,Force&gt;Voies!Q960-1,Perception&gt;Voies!R960-1,Reflexes&gt;Voies!S960-1,Agilité&gt;Voies!T960-1,Intuition&gt;Voies!U960-1,Intelligence&gt;Voies!V960-1,Souillure&gt;Voies!W960-1,Honneur&gt;X960-1,Statut&gt;Y960-1,Gloire&gt;Z960-1,AV960=TRUE),Voies!B960,"")</f>
        <v/>
      </c>
      <c r="B960" s="162" t="s">
        <v>2506</v>
      </c>
      <c r="C960" s="162" t="b">
        <f>IF(Clan=Voies!D960,TRUE,FALSE)</f>
        <v>0</v>
      </c>
      <c r="D960" s="387" t="s">
        <v>33</v>
      </c>
      <c r="E960" s="13">
        <v>1</v>
      </c>
      <c r="F960" s="199">
        <v>1</v>
      </c>
      <c r="G960" s="199" t="s">
        <v>2049</v>
      </c>
      <c r="H960" s="162" t="s">
        <v>218</v>
      </c>
      <c r="I960" s="129" t="str">
        <f t="shared" si="107"/>
        <v>Rien</v>
      </c>
      <c r="J960" s="146">
        <v>0</v>
      </c>
      <c r="K960" s="147">
        <v>0</v>
      </c>
      <c r="L960" s="148">
        <v>0</v>
      </c>
      <c r="M960" s="149">
        <v>0</v>
      </c>
      <c r="N960" s="150">
        <v>0</v>
      </c>
      <c r="O960" s="130">
        <v>0</v>
      </c>
      <c r="P960" s="130">
        <v>0</v>
      </c>
      <c r="Q960" s="130">
        <v>0</v>
      </c>
      <c r="R960" s="130">
        <v>0</v>
      </c>
      <c r="S960" s="130">
        <v>0</v>
      </c>
      <c r="T960" s="130">
        <v>0</v>
      </c>
      <c r="U960" s="130">
        <v>0</v>
      </c>
      <c r="V960" s="524">
        <v>0</v>
      </c>
      <c r="W960" s="130">
        <v>0</v>
      </c>
      <c r="X960" s="130">
        <v>0</v>
      </c>
      <c r="Y960" s="130">
        <v>0</v>
      </c>
      <c r="Z960" s="130">
        <v>0</v>
      </c>
      <c r="AA960" s="158" t="s">
        <v>2078</v>
      </c>
      <c r="AB960" s="158"/>
      <c r="AC960" s="158"/>
      <c r="AD960" s="158"/>
      <c r="AE960" s="158" t="b">
        <f>IF(AB960="",TRUE,IF(IF(AC960="",VLOOKUP(AB960,Calculs!$A$19:$S$425,19,FALSE),VLOOKUP(AC960,Calculs!$A$19:$S$425,19,FALSE))&gt;=AD960,TRUE,FALSE))</f>
        <v>1</v>
      </c>
      <c r="AF960" s="158"/>
      <c r="AG960" s="158"/>
      <c r="AH960" s="158"/>
      <c r="AI960" s="158" t="b">
        <f>IF(AF960="",TRUE,IF(IF(AG960="",VLOOKUP(AF960,Calculs!$A$19:$S$425,19,FALSE),VLOOKUP(AG960,Calculs!$A$19:$S$425,19,FALSE))&gt;=AH960,TRUE,FALSE))</f>
        <v>1</v>
      </c>
      <c r="AJ960" s="158"/>
      <c r="AK960" s="158"/>
      <c r="AL960" s="158"/>
      <c r="AM960" s="158" t="b">
        <f>IF(AJ960="",TRUE,IF(IF(AK960="",VLOOKUP(AJ960,Calculs!$A$19:$S$425,19,FALSE),VLOOKUP(AK960,Calculs!$A$19:$S$425,19,FALSE))&gt;=AL960,TRUE,FALSE))</f>
        <v>1</v>
      </c>
      <c r="AN960" s="158"/>
      <c r="AO960" s="158"/>
      <c r="AP960" s="158"/>
      <c r="AQ960" s="158" t="b">
        <f>IF(AN960="",TRUE,IF(IF(AO960="",VLOOKUP(AN960,Calculs!$A$19:$S$425,19,FALSE),VLOOKUP(AO960,Calculs!$A$19:$S$425,19,FALSE))&gt;=AP960,TRUE,FALSE))</f>
        <v>1</v>
      </c>
      <c r="AR960" s="158"/>
      <c r="AS960" s="158" t="b">
        <f>IF(AR960="",TRUE,IF(VLOOKUP(AR960,Calculs!$A$427:$G$738,7,FALSE)&gt;0,TRUE,FALSE))</f>
        <v>1</v>
      </c>
      <c r="AT960" s="158"/>
      <c r="AU960" s="158" t="b">
        <f>IF(AT960="",TRUE,IF(VLOOKUP(AT960,Calculs!$A$740:$G$912,7,FALSE)&gt;0,TRUE,FALSE))</f>
        <v>1</v>
      </c>
      <c r="AV960" s="158" t="b">
        <f t="shared" si="101"/>
        <v>1</v>
      </c>
      <c r="AW960" s="158" t="s">
        <v>2078</v>
      </c>
      <c r="AX960" s="162" t="s">
        <v>3</v>
      </c>
      <c r="AY960" s="15">
        <v>129</v>
      </c>
      <c r="AZ960" s="566" t="s">
        <v>2543</v>
      </c>
      <c r="BA960" s="559">
        <f>IF(Verso!$B$10=Voies!$B960,1,0)</f>
        <v>0</v>
      </c>
      <c r="BB960" s="12">
        <f>IF(Verso!$B$11=Voies!$B960,1,0)</f>
        <v>0</v>
      </c>
      <c r="BC960" s="12">
        <f>IF(Verso!$B$12=Voies!$B960,1,0)</f>
        <v>0</v>
      </c>
      <c r="BD960" s="12">
        <f>IF(Verso!$B$13=Voies!$B960,1,0)</f>
        <v>0</v>
      </c>
      <c r="BE960" s="12">
        <f>IF(Verso!$B$14=Voies!$B960,1,0)</f>
        <v>0</v>
      </c>
      <c r="BF960" s="12">
        <f>IF(Verso!$B$15=Voies!$B960,1,0)</f>
        <v>0</v>
      </c>
      <c r="BG960" s="12">
        <f>IF(Verso!$B$16=Voies!$B960,1,0)</f>
        <v>0</v>
      </c>
      <c r="BH960" s="12">
        <f>IF(Verso!$B$17=Voies!$B960,1,0)</f>
        <v>0</v>
      </c>
      <c r="BI960" s="557">
        <f t="shared" si="102"/>
        <v>0</v>
      </c>
      <c r="BJ960" s="196" t="str">
        <f t="shared" si="103"/>
        <v/>
      </c>
      <c r="BK960" s="196" t="str">
        <f t="shared" si="104"/>
        <v/>
      </c>
      <c r="BL960" s="295" t="str">
        <f t="shared" si="105"/>
        <v/>
      </c>
    </row>
    <row r="961" spans="1:65" s="196" customFormat="1" ht="47.25" customHeight="1" x14ac:dyDescent="0.25">
      <c r="A961" s="162" t="str">
        <f>IF(AND(Réputation&gt;Voies!E961-1,OR(C961=TRUE,Calculs!$I$8&gt;0),Air&gt;Voies!J961-1,Eau&gt;Voies!K961-1,Feu&gt;Voies!L961-1,Terre&gt;Voies!M961-1,Vide&gt;Voies!N961-1,Constitution&gt;Voies!O961-1,Volonté&gt;Voies!P961-1,Force&gt;Voies!Q961-1,Perception&gt;Voies!R961-1,Reflexes&gt;Voies!S961-1,Agilité&gt;Voies!T961-1,Intuition&gt;Voies!U961-1,Intelligence&gt;Voies!V961-1,Souillure&gt;Voies!W961-1,Honneur&gt;X961-1,Statut&gt;Y961-1,Gloire&gt;Z961-1,AV961=TRUE),Voies!B961,"")</f>
        <v/>
      </c>
      <c r="B961" s="162" t="s">
        <v>2701</v>
      </c>
      <c r="C961" s="162" t="b">
        <f>IF(Clan=Voies!D961,TRUE,FALSE)</f>
        <v>0</v>
      </c>
      <c r="D961" s="387" t="s">
        <v>33</v>
      </c>
      <c r="E961" s="199">
        <v>1</v>
      </c>
      <c r="F961" s="199">
        <v>1</v>
      </c>
      <c r="G961" s="199" t="s">
        <v>2049</v>
      </c>
      <c r="H961" s="162" t="s">
        <v>220</v>
      </c>
      <c r="I961" s="129" t="str">
        <f t="shared" si="107"/>
        <v>Rien</v>
      </c>
      <c r="J961" s="146">
        <v>0</v>
      </c>
      <c r="K961" s="147">
        <v>0</v>
      </c>
      <c r="L961" s="148">
        <v>0</v>
      </c>
      <c r="M961" s="149">
        <v>0</v>
      </c>
      <c r="N961" s="150">
        <v>0</v>
      </c>
      <c r="O961" s="130">
        <v>0</v>
      </c>
      <c r="P961" s="130">
        <v>0</v>
      </c>
      <c r="Q961" s="130">
        <v>0</v>
      </c>
      <c r="R961" s="130">
        <v>0</v>
      </c>
      <c r="S961" s="130">
        <v>0</v>
      </c>
      <c r="T961" s="130">
        <v>0</v>
      </c>
      <c r="U961" s="130">
        <v>0</v>
      </c>
      <c r="V961" s="524">
        <v>0</v>
      </c>
      <c r="W961" s="130">
        <v>0</v>
      </c>
      <c r="X961" s="130">
        <v>0</v>
      </c>
      <c r="Y961" s="130">
        <v>0</v>
      </c>
      <c r="Z961" s="130">
        <v>0</v>
      </c>
      <c r="AA961" s="158" t="s">
        <v>2078</v>
      </c>
      <c r="AB961" s="158"/>
      <c r="AC961" s="158"/>
      <c r="AD961" s="158"/>
      <c r="AE961" s="158" t="b">
        <f>IF(AB961="",TRUE,IF(IF(AC961="",VLOOKUP(AB961,Calculs!$A$19:$S$425,19,FALSE),VLOOKUP(AC961,Calculs!$A$19:$S$425,19,FALSE))&gt;=AD961,TRUE,FALSE))</f>
        <v>1</v>
      </c>
      <c r="AF961" s="158"/>
      <c r="AG961" s="158"/>
      <c r="AH961" s="158"/>
      <c r="AI961" s="158" t="b">
        <f>IF(AF961="",TRUE,IF(IF(AG961="",VLOOKUP(AF961,Calculs!$A$19:$S$425,19,FALSE),VLOOKUP(AG961,Calculs!$A$19:$S$425,19,FALSE))&gt;=AH961,TRUE,FALSE))</f>
        <v>1</v>
      </c>
      <c r="AJ961" s="158"/>
      <c r="AK961" s="158"/>
      <c r="AL961" s="158"/>
      <c r="AM961" s="158" t="b">
        <f>IF(AJ961="",TRUE,IF(IF(AK961="",VLOOKUP(AJ961,Calculs!$A$19:$S$425,19,FALSE),VLOOKUP(AK961,Calculs!$A$19:$S$425,19,FALSE))&gt;=AL961,TRUE,FALSE))</f>
        <v>1</v>
      </c>
      <c r="AN961" s="158"/>
      <c r="AO961" s="158"/>
      <c r="AP961" s="158"/>
      <c r="AQ961" s="158" t="b">
        <f>IF(AN961="",TRUE,IF(IF(AO961="",VLOOKUP(AN961,Calculs!$A$19:$S$425,19,FALSE),VLOOKUP(AO961,Calculs!$A$19:$S$425,19,FALSE))&gt;=AP961,TRUE,FALSE))</f>
        <v>1</v>
      </c>
      <c r="AR961" s="158"/>
      <c r="AS961" s="158" t="b">
        <f>IF(AR961="",TRUE,IF(VLOOKUP(AR961,Calculs!$A$427:$G$738,7,FALSE)&gt;0,TRUE,FALSE))</f>
        <v>1</v>
      </c>
      <c r="AT961" s="158"/>
      <c r="AU961" s="158" t="b">
        <f>IF(AT961="",TRUE,IF(VLOOKUP(AT961,Calculs!$A$740:$G$912,7,FALSE)&gt;0,TRUE,FALSE))</f>
        <v>1</v>
      </c>
      <c r="AV961" s="158" t="b">
        <f t="shared" si="101"/>
        <v>1</v>
      </c>
      <c r="AW961" s="158" t="s">
        <v>2078</v>
      </c>
      <c r="AX961" s="162" t="s">
        <v>5202</v>
      </c>
      <c r="AY961" s="15">
        <v>171</v>
      </c>
      <c r="AZ961" s="566" t="str">
        <f>CONCATENATE("+1g0 (ou 2g0 si votre adversaire est de Statut inférieur à ",Statut,") en Intimidation. +1g0 aux Dommages d'attaque au Corps à Corps")</f>
        <v>+1g0 (ou 2g0 si votre adversaire est de Statut inférieur à 1) en Intimidation. +1g0 aux Dommages d'attaque au Corps à Corps</v>
      </c>
      <c r="BA961" s="559">
        <f>IF(Verso!$B$10=Voies!$B961,1,0)</f>
        <v>0</v>
      </c>
      <c r="BB961" s="12">
        <f>IF(Verso!$B$11=Voies!$B961,1,0)</f>
        <v>0</v>
      </c>
      <c r="BC961" s="12">
        <f>IF(Verso!$B$12=Voies!$B961,1,0)</f>
        <v>0</v>
      </c>
      <c r="BD961" s="12">
        <f>IF(Verso!$B$13=Voies!$B961,1,0)</f>
        <v>0</v>
      </c>
      <c r="BE961" s="12">
        <f>IF(Verso!$B$14=Voies!$B961,1,0)</f>
        <v>0</v>
      </c>
      <c r="BF961" s="12">
        <f>IF(Verso!$B$15=Voies!$B961,1,0)</f>
        <v>0</v>
      </c>
      <c r="BG961" s="12">
        <f>IF(Verso!$B$16=Voies!$B961,1,0)</f>
        <v>0</v>
      </c>
      <c r="BH961" s="12">
        <f>IF(Verso!$B$17=Voies!$B961,1,0)</f>
        <v>0</v>
      </c>
      <c r="BI961" s="557">
        <f t="shared" si="102"/>
        <v>0</v>
      </c>
      <c r="BJ961" s="196" t="str">
        <f t="shared" si="103"/>
        <v/>
      </c>
      <c r="BK961" s="196" t="str">
        <f t="shared" si="104"/>
        <v/>
      </c>
      <c r="BL961" s="295" t="str">
        <f t="shared" si="105"/>
        <v/>
      </c>
      <c r="BM961" s="91"/>
    </row>
    <row r="962" spans="1:65" ht="47.25" customHeight="1" x14ac:dyDescent="0.25">
      <c r="A962" s="162" t="str">
        <f>IF(AND(Réputation&gt;Voies!E962-1,OR(C962=TRUE,Calculs!$I$8&gt;0),Air&gt;Voies!J962-1,Eau&gt;Voies!K962-1,Feu&gt;Voies!L962-1,Terre&gt;Voies!M962-1,Vide&gt;Voies!N962-1,Constitution&gt;Voies!O962-1,Volonté&gt;Voies!P962-1,Force&gt;Voies!Q962-1,Perception&gt;Voies!R962-1,Reflexes&gt;Voies!S962-1,Agilité&gt;Voies!T962-1,Intuition&gt;Voies!U962-1,Intelligence&gt;Voies!V962-1,Souillure&gt;Voies!W962-1,Honneur&gt;X962-1,Statut&gt;Y962-1,Gloire&gt;Z962-1,AV962=TRUE),Voies!B962,"")</f>
        <v/>
      </c>
      <c r="B962" s="162" t="s">
        <v>2512</v>
      </c>
      <c r="C962" s="162" t="b">
        <f>IF(Clan=Voies!D962,TRUE,FALSE)</f>
        <v>0</v>
      </c>
      <c r="D962" s="387" t="s">
        <v>33</v>
      </c>
      <c r="E962" s="13">
        <v>1</v>
      </c>
      <c r="F962" s="199">
        <v>1</v>
      </c>
      <c r="G962" s="199" t="s">
        <v>2052</v>
      </c>
      <c r="H962" s="162" t="s">
        <v>219</v>
      </c>
      <c r="I962" s="129" t="str">
        <f t="shared" si="107"/>
        <v>Rien</v>
      </c>
      <c r="J962" s="146">
        <v>0</v>
      </c>
      <c r="K962" s="147">
        <v>0</v>
      </c>
      <c r="L962" s="148">
        <v>0</v>
      </c>
      <c r="M962" s="149">
        <v>0</v>
      </c>
      <c r="N962" s="150">
        <v>0</v>
      </c>
      <c r="O962" s="130">
        <v>0</v>
      </c>
      <c r="P962" s="130">
        <v>0</v>
      </c>
      <c r="Q962" s="130">
        <v>0</v>
      </c>
      <c r="R962" s="130">
        <v>0</v>
      </c>
      <c r="S962" s="130">
        <v>0</v>
      </c>
      <c r="T962" s="130">
        <v>0</v>
      </c>
      <c r="U962" s="130">
        <v>0</v>
      </c>
      <c r="V962" s="524">
        <v>0</v>
      </c>
      <c r="W962" s="130">
        <v>0</v>
      </c>
      <c r="X962" s="130">
        <v>0</v>
      </c>
      <c r="Y962" s="130">
        <v>0</v>
      </c>
      <c r="Z962" s="130">
        <v>0</v>
      </c>
      <c r="AA962" s="158" t="s">
        <v>2078</v>
      </c>
      <c r="AB962" s="158"/>
      <c r="AC962" s="158"/>
      <c r="AD962" s="158"/>
      <c r="AE962" s="158" t="b">
        <f>IF(AB962="",TRUE,IF(IF(AC962="",VLOOKUP(AB962,Calculs!$A$19:$S$425,19,FALSE),VLOOKUP(AC962,Calculs!$A$19:$S$425,19,FALSE))&gt;=AD962,TRUE,FALSE))</f>
        <v>1</v>
      </c>
      <c r="AF962" s="158"/>
      <c r="AG962" s="158"/>
      <c r="AH962" s="158"/>
      <c r="AI962" s="158" t="b">
        <f>IF(AF962="",TRUE,IF(IF(AG962="",VLOOKUP(AF962,Calculs!$A$19:$S$425,19,FALSE),VLOOKUP(AG962,Calculs!$A$19:$S$425,19,FALSE))&gt;=AH962,TRUE,FALSE))</f>
        <v>1</v>
      </c>
      <c r="AJ962" s="158"/>
      <c r="AK962" s="158"/>
      <c r="AL962" s="158"/>
      <c r="AM962" s="158" t="b">
        <f>IF(AJ962="",TRUE,IF(IF(AK962="",VLOOKUP(AJ962,Calculs!$A$19:$S$425,19,FALSE),VLOOKUP(AK962,Calculs!$A$19:$S$425,19,FALSE))&gt;=AL962,TRUE,FALSE))</f>
        <v>1</v>
      </c>
      <c r="AN962" s="158"/>
      <c r="AO962" s="158"/>
      <c r="AP962" s="158"/>
      <c r="AQ962" s="158" t="b">
        <f>IF(AN962="",TRUE,IF(IF(AO962="",VLOOKUP(AN962,Calculs!$A$19:$S$425,19,FALSE),VLOOKUP(AO962,Calculs!$A$19:$S$425,19,FALSE))&gt;=AP962,TRUE,FALSE))</f>
        <v>1</v>
      </c>
      <c r="AR962" s="158"/>
      <c r="AS962" s="158" t="b">
        <f>IF(AR962="",TRUE,IF(VLOOKUP(AR962,Calculs!$A$427:$G$738,7,FALSE)&gt;0,TRUE,FALSE))</f>
        <v>1</v>
      </c>
      <c r="AT962" s="158"/>
      <c r="AU962" s="158" t="b">
        <f>IF(AT962="",TRUE,IF(VLOOKUP(AT962,Calculs!$A$740:$G$912,7,FALSE)&gt;0,TRUE,FALSE))</f>
        <v>1</v>
      </c>
      <c r="AV962" s="158" t="b">
        <f t="shared" si="101"/>
        <v>1</v>
      </c>
      <c r="AW962" s="158" t="s">
        <v>2078</v>
      </c>
      <c r="AX962" s="162" t="s">
        <v>3</v>
      </c>
      <c r="AY962" s="15">
        <v>131</v>
      </c>
      <c r="AZ962" s="555" t="s">
        <v>2528</v>
      </c>
      <c r="BA962" s="559">
        <f>IF(Verso!$B$10=Voies!$B962,1,0)</f>
        <v>0</v>
      </c>
      <c r="BB962" s="12">
        <f>IF(Verso!$B$11=Voies!$B962,1,0)</f>
        <v>0</v>
      </c>
      <c r="BC962" s="12">
        <f>IF(Verso!$B$12=Voies!$B962,1,0)</f>
        <v>0</v>
      </c>
      <c r="BD962" s="12">
        <f>IF(Verso!$B$13=Voies!$B962,1,0)</f>
        <v>0</v>
      </c>
      <c r="BE962" s="12">
        <f>IF(Verso!$B$14=Voies!$B962,1,0)</f>
        <v>0</v>
      </c>
      <c r="BF962" s="12">
        <f>IF(Verso!$B$15=Voies!$B962,1,0)</f>
        <v>0</v>
      </c>
      <c r="BG962" s="12">
        <f>IF(Verso!$B$16=Voies!$B962,1,0)</f>
        <v>0</v>
      </c>
      <c r="BH962" s="12">
        <f>IF(Verso!$B$17=Voies!$B962,1,0)</f>
        <v>0</v>
      </c>
      <c r="BI962" s="557">
        <f t="shared" si="102"/>
        <v>0</v>
      </c>
      <c r="BJ962" s="196" t="str">
        <f t="shared" si="103"/>
        <v/>
      </c>
      <c r="BK962" s="196" t="str">
        <f t="shared" si="104"/>
        <v/>
      </c>
      <c r="BL962" s="295" t="str">
        <f t="shared" si="105"/>
        <v/>
      </c>
    </row>
    <row r="963" spans="1:65" ht="47.25" customHeight="1" x14ac:dyDescent="0.25">
      <c r="A963" s="162" t="str">
        <f>IF(AND(Réputation&gt;Voies!E963-1,OR(C963=TRUE,Calculs!$I$8&gt;0),Air&gt;Voies!J963-1,Eau&gt;Voies!K963-1,Feu&gt;Voies!L963-1,Terre&gt;Voies!M963-1,Vide&gt;Voies!N963-1,Constitution&gt;Voies!O963-1,Volonté&gt;Voies!P963-1,Force&gt;Voies!Q963-1,Perception&gt;Voies!R963-1,Reflexes&gt;Voies!S963-1,Agilité&gt;Voies!T963-1,Intuition&gt;Voies!U963-1,Intelligence&gt;Voies!V963-1,Souillure&gt;Voies!W963-1,Honneur&gt;X963-1,Statut&gt;Y963-1,Gloire&gt;Z963-1,AV963=TRUE),Voies!B963,"")</f>
        <v/>
      </c>
      <c r="B963" s="162" t="s">
        <v>7848</v>
      </c>
      <c r="C963" s="162" t="b">
        <f>IF(Clan=Voies!D963,TRUE,FALSE)</f>
        <v>0</v>
      </c>
      <c r="D963" s="387" t="s">
        <v>33</v>
      </c>
      <c r="E963" s="13">
        <v>1</v>
      </c>
      <c r="F963" s="199">
        <v>1</v>
      </c>
      <c r="G963" s="199" t="s">
        <v>2052</v>
      </c>
      <c r="H963" s="162" t="s">
        <v>7801</v>
      </c>
      <c r="I963" s="129" t="str">
        <f t="shared" si="107"/>
        <v>Rien</v>
      </c>
      <c r="J963" s="146">
        <v>0</v>
      </c>
      <c r="K963" s="147">
        <v>0</v>
      </c>
      <c r="L963" s="148">
        <v>0</v>
      </c>
      <c r="M963" s="149">
        <v>0</v>
      </c>
      <c r="N963" s="150">
        <v>0</v>
      </c>
      <c r="O963" s="130">
        <v>0</v>
      </c>
      <c r="P963" s="130">
        <v>0</v>
      </c>
      <c r="Q963" s="130">
        <v>0</v>
      </c>
      <c r="R963" s="130">
        <v>0</v>
      </c>
      <c r="S963" s="130">
        <v>0</v>
      </c>
      <c r="T963" s="130">
        <v>0</v>
      </c>
      <c r="U963" s="130">
        <v>0</v>
      </c>
      <c r="V963" s="524">
        <v>0</v>
      </c>
      <c r="W963" s="130">
        <v>0</v>
      </c>
      <c r="X963" s="130">
        <v>0</v>
      </c>
      <c r="Y963" s="130">
        <v>0</v>
      </c>
      <c r="Z963" s="130">
        <v>0</v>
      </c>
      <c r="AA963" s="158" t="s">
        <v>2078</v>
      </c>
      <c r="AB963" s="158"/>
      <c r="AC963" s="158"/>
      <c r="AD963" s="158"/>
      <c r="AE963" s="158" t="b">
        <f>IF(AB963="",TRUE,IF(IF(AC963="",VLOOKUP(AB963,Calculs!$A$19:$S$425,19,FALSE),VLOOKUP(AC963,Calculs!$A$19:$S$425,19,FALSE))&gt;=AD963,TRUE,FALSE))</f>
        <v>1</v>
      </c>
      <c r="AF963" s="158"/>
      <c r="AG963" s="158"/>
      <c r="AH963" s="158"/>
      <c r="AI963" s="158" t="b">
        <f>IF(AF963="",TRUE,IF(IF(AG963="",VLOOKUP(AF963,Calculs!$A$19:$S$425,19,FALSE),VLOOKUP(AG963,Calculs!$A$19:$S$425,19,FALSE))&gt;=AH963,TRUE,FALSE))</f>
        <v>1</v>
      </c>
      <c r="AJ963" s="158"/>
      <c r="AK963" s="158"/>
      <c r="AL963" s="158"/>
      <c r="AM963" s="158" t="b">
        <f>IF(AJ963="",TRUE,IF(IF(AK963="",VLOOKUP(AJ963,Calculs!$A$19:$S$425,19,FALSE),VLOOKUP(AK963,Calculs!$A$19:$S$425,19,FALSE))&gt;=AL963,TRUE,FALSE))</f>
        <v>1</v>
      </c>
      <c r="AN963" s="158"/>
      <c r="AO963" s="158"/>
      <c r="AP963" s="158"/>
      <c r="AQ963" s="158" t="b">
        <f>IF(AN963="",TRUE,IF(IF(AO963="",VLOOKUP(AN963,Calculs!$A$19:$S$425,19,FALSE),VLOOKUP(AO963,Calculs!$A$19:$S$425,19,FALSE))&gt;=AP963,TRUE,FALSE))</f>
        <v>1</v>
      </c>
      <c r="AR963" s="158"/>
      <c r="AS963" s="158" t="b">
        <f>IF(AR963="",TRUE,IF(VLOOKUP(AR963,Calculs!$A$427:$G$738,7,FALSE)&gt;0,TRUE,FALSE))</f>
        <v>1</v>
      </c>
      <c r="AT963" s="158"/>
      <c r="AU963" s="158" t="b">
        <f>IF(AT963="",TRUE,IF(VLOOKUP(AT963,Calculs!$A$740:$G$912,7,FALSE)&gt;0,TRUE,FALSE))</f>
        <v>1</v>
      </c>
      <c r="AV963" s="158" t="b">
        <f t="shared" ref="AV963:AV1026" si="108">IF(AND(AE963=TRUE,AI963=TRUE,AM963=TRUE,AQ963=TRUE,AS963=TRUE,AU963=TRUE),TRUE,FALSE)</f>
        <v>1</v>
      </c>
      <c r="AW963" s="158" t="s">
        <v>2078</v>
      </c>
      <c r="AX963" s="162" t="s">
        <v>7226</v>
      </c>
      <c r="AY963" s="15">
        <v>70</v>
      </c>
      <c r="AZ963" s="555" t="s">
        <v>7853</v>
      </c>
      <c r="BA963" s="559">
        <f>IF(Verso!$B$10=Voies!$B963,1,0)</f>
        <v>0</v>
      </c>
      <c r="BB963" s="12">
        <f>IF(Verso!$B$11=Voies!$B963,1,0)</f>
        <v>0</v>
      </c>
      <c r="BC963" s="12">
        <f>IF(Verso!$B$12=Voies!$B963,1,0)</f>
        <v>0</v>
      </c>
      <c r="BD963" s="12">
        <f>IF(Verso!$B$13=Voies!$B963,1,0)</f>
        <v>0</v>
      </c>
      <c r="BE963" s="12">
        <f>IF(Verso!$B$14=Voies!$B963,1,0)</f>
        <v>0</v>
      </c>
      <c r="BF963" s="12">
        <f>IF(Verso!$B$15=Voies!$B963,1,0)</f>
        <v>0</v>
      </c>
      <c r="BG963" s="12">
        <f>IF(Verso!$B$16=Voies!$B963,1,0)</f>
        <v>0</v>
      </c>
      <c r="BH963" s="12">
        <f>IF(Verso!$B$17=Voies!$B963,1,0)</f>
        <v>0</v>
      </c>
      <c r="BI963" s="557">
        <f t="shared" ref="BI963:BI1026" si="109">SUM(BA963:BH963)</f>
        <v>0</v>
      </c>
      <c r="BJ963" s="196" t="str">
        <f t="shared" si="103"/>
        <v/>
      </c>
      <c r="BK963" s="196" t="str">
        <f t="shared" si="104"/>
        <v/>
      </c>
      <c r="BL963" s="295" t="str">
        <f t="shared" si="105"/>
        <v/>
      </c>
    </row>
    <row r="964" spans="1:65" s="196" customFormat="1" ht="47.25" customHeight="1" x14ac:dyDescent="0.25">
      <c r="A964" s="162" t="str">
        <f>IF(AND(Réputation&gt;Voies!E964-1,OR(C964=TRUE,Calculs!$I$8&gt;0),Air&gt;Voies!J964-1,Eau&gt;Voies!K964-1,Feu&gt;Voies!L964-1,Terre&gt;Voies!M964-1,Vide&gt;Voies!N964-1,Constitution&gt;Voies!O964-1,Volonté&gt;Voies!P964-1,Force&gt;Voies!Q964-1,Perception&gt;Voies!R964-1,Reflexes&gt;Voies!S964-1,Agilité&gt;Voies!T964-1,Intuition&gt;Voies!U964-1,Intelligence&gt;Voies!V964-1,Souillure&gt;Voies!W964-1,Honneur&gt;X964-1,Statut&gt;Y964-1,Gloire&gt;Z964-1,AV964=TRUE),Voies!B964,"")</f>
        <v/>
      </c>
      <c r="B964" s="162" t="s">
        <v>8396</v>
      </c>
      <c r="C964" s="162" t="b">
        <f>IF(Clan=Voies!D964,TRUE,FALSE)</f>
        <v>0</v>
      </c>
      <c r="D964" s="387" t="s">
        <v>33</v>
      </c>
      <c r="E964" s="199">
        <v>1</v>
      </c>
      <c r="F964" s="199">
        <v>1</v>
      </c>
      <c r="G964" s="199" t="s">
        <v>2052</v>
      </c>
      <c r="H964" s="162" t="s">
        <v>8392</v>
      </c>
      <c r="I964" s="129" t="str">
        <f t="shared" si="107"/>
        <v>Rien</v>
      </c>
      <c r="J964" s="146">
        <v>0</v>
      </c>
      <c r="K964" s="147">
        <v>0</v>
      </c>
      <c r="L964" s="148">
        <v>0</v>
      </c>
      <c r="M964" s="149">
        <v>0</v>
      </c>
      <c r="N964" s="150">
        <v>0</v>
      </c>
      <c r="O964" s="130">
        <v>0</v>
      </c>
      <c r="P964" s="130">
        <v>0</v>
      </c>
      <c r="Q964" s="130">
        <v>0</v>
      </c>
      <c r="R964" s="130">
        <v>0</v>
      </c>
      <c r="S964" s="130">
        <v>0</v>
      </c>
      <c r="T964" s="130">
        <v>0</v>
      </c>
      <c r="U964" s="130">
        <v>0</v>
      </c>
      <c r="V964" s="524">
        <v>0</v>
      </c>
      <c r="W964" s="130">
        <v>0</v>
      </c>
      <c r="X964" s="130">
        <v>0</v>
      </c>
      <c r="Y964" s="130">
        <v>0</v>
      </c>
      <c r="Z964" s="130">
        <v>0</v>
      </c>
      <c r="AA964" s="158" t="s">
        <v>2078</v>
      </c>
      <c r="AB964" s="158"/>
      <c r="AC964" s="158"/>
      <c r="AD964" s="158"/>
      <c r="AE964" s="158" t="b">
        <f>IF(AB964="",TRUE,IF(IF(AC964="",VLOOKUP(AB964,Calculs!$A$19:$S$425,19,FALSE),VLOOKUP(AC964,Calculs!$A$19:$S$425,19,FALSE))&gt;=AD964,TRUE,FALSE))</f>
        <v>1</v>
      </c>
      <c r="AF964" s="158"/>
      <c r="AG964" s="158"/>
      <c r="AH964" s="158"/>
      <c r="AI964" s="158" t="b">
        <f>IF(AF964="",TRUE,IF(IF(AG964="",VLOOKUP(AF964,Calculs!$A$19:$S$425,19,FALSE),VLOOKUP(AG964,Calculs!$A$19:$S$425,19,FALSE))&gt;=AH964,TRUE,FALSE))</f>
        <v>1</v>
      </c>
      <c r="AJ964" s="158"/>
      <c r="AK964" s="158"/>
      <c r="AL964" s="158"/>
      <c r="AM964" s="158" t="b">
        <f>IF(AJ964="",TRUE,IF(IF(AK964="",VLOOKUP(AJ964,Calculs!$A$19:$S$425,19,FALSE),VLOOKUP(AK964,Calculs!$A$19:$S$425,19,FALSE))&gt;=AL964,TRUE,FALSE))</f>
        <v>1</v>
      </c>
      <c r="AN964" s="158"/>
      <c r="AO964" s="158"/>
      <c r="AP964" s="158"/>
      <c r="AQ964" s="158" t="b">
        <f>IF(AN964="",TRUE,IF(IF(AO964="",VLOOKUP(AN964,Calculs!$A$19:$S$425,19,FALSE),VLOOKUP(AO964,Calculs!$A$19:$S$425,19,FALSE))&gt;=AP964,TRUE,FALSE))</f>
        <v>1</v>
      </c>
      <c r="AR964" s="158"/>
      <c r="AS964" s="158" t="b">
        <f>IF(AR964="",TRUE,IF(VLOOKUP(AR964,Calculs!$A$427:$G$738,7,FALSE)&gt;0,TRUE,FALSE))</f>
        <v>1</v>
      </c>
      <c r="AT964" s="158"/>
      <c r="AU964" s="158" t="b">
        <f>IF(AT964="",TRUE,IF(VLOOKUP(AT964,Calculs!$A$740:$G$912,7,FALSE)&gt;0,TRUE,FALSE))</f>
        <v>1</v>
      </c>
      <c r="AV964" s="158" t="b">
        <f t="shared" si="108"/>
        <v>1</v>
      </c>
      <c r="AW964" s="158" t="s">
        <v>2078</v>
      </c>
      <c r="AX964" s="162" t="s">
        <v>7759</v>
      </c>
      <c r="AY964" s="15">
        <v>17</v>
      </c>
      <c r="AZ964" s="555" t="str">
        <f>CONCATENATE("Si vous avez une Compétence de Connaissance qui s'applique à la personne, au lieu ou à l'incident sur lequel faites une enquête, ajoutez un bonus égal à vos rangs de cette compétence au résultat de tout test d'Enquête ou de Compétence Sociales. +",Feu," à votre ND d'armure.")</f>
        <v>Si vous avez une Compétence de Connaissance qui s'applique à la personne, au lieu ou à l'incident sur lequel faites une enquête, ajoutez un bonus égal à vos rangs de cette compétence au résultat de tout test d'Enquête ou de Compétence Sociales. +2 à votre ND d'armure.</v>
      </c>
      <c r="BA964" s="559">
        <f>IF(Verso!$B$10=Voies!$B964,1,0)</f>
        <v>0</v>
      </c>
      <c r="BB964" s="12">
        <f>IF(Verso!$B$11=Voies!$B964,1,0)</f>
        <v>0</v>
      </c>
      <c r="BC964" s="12">
        <f>IF(Verso!$B$12=Voies!$B964,1,0)</f>
        <v>0</v>
      </c>
      <c r="BD964" s="12">
        <f>IF(Verso!$B$13=Voies!$B964,1,0)</f>
        <v>0</v>
      </c>
      <c r="BE964" s="12">
        <f>IF(Verso!$B$14=Voies!$B964,1,0)</f>
        <v>0</v>
      </c>
      <c r="BF964" s="12">
        <f>IF(Verso!$B$15=Voies!$B964,1,0)</f>
        <v>0</v>
      </c>
      <c r="BG964" s="12">
        <f>IF(Verso!$B$16=Voies!$B964,1,0)</f>
        <v>0</v>
      </c>
      <c r="BH964" s="12">
        <f>IF(Verso!$B$17=Voies!$B964,1,0)</f>
        <v>0</v>
      </c>
      <c r="BI964" s="557">
        <f t="shared" si="109"/>
        <v>0</v>
      </c>
      <c r="BJ964" s="196" t="str">
        <f t="shared" ref="BJ964:BJ1027" si="110">IF(A964="","",ROW())</f>
        <v/>
      </c>
      <c r="BK964" s="196" t="str">
        <f t="shared" ref="BK964:BK1027" si="111">IFERROR(SMALL(BJ:BJ,ROW()-2),"")</f>
        <v/>
      </c>
      <c r="BL964" s="295" t="str">
        <f t="shared" ref="BL964:BL1027" si="112">IFERROR(INDEX(A:A,BK964),"")</f>
        <v/>
      </c>
      <c r="BM964" s="91"/>
    </row>
    <row r="965" spans="1:65" ht="47.25" customHeight="1" x14ac:dyDescent="0.25">
      <c r="A965" s="162" t="str">
        <f>IF(AND(Réputation&gt;Voies!E965-1,OR(C965=TRUE,Calculs!$I$8&gt;0),Air&gt;Voies!J965-1,Eau&gt;Voies!K965-1,Feu&gt;Voies!L965-1,Terre&gt;Voies!M965-1,Vide&gt;Voies!N965-1,Constitution&gt;Voies!O965-1,Volonté&gt;Voies!P965-1,Force&gt;Voies!Q965-1,Perception&gt;Voies!R965-1,Reflexes&gt;Voies!S965-1,Agilité&gt;Voies!T965-1,Intuition&gt;Voies!U965-1,Intelligence&gt;Voies!V965-1,Souillure&gt;Voies!W965-1,Honneur&gt;X965-1,Statut&gt;Y965-1,Gloire&gt;Z965-1,AV965=TRUE),Voies!B965,"")</f>
        <v/>
      </c>
      <c r="B965" s="162" t="s">
        <v>6109</v>
      </c>
      <c r="C965" s="162" t="b">
        <f>IF(Clan=Voies!D965,TRUE,FALSE)</f>
        <v>0</v>
      </c>
      <c r="D965" s="387" t="s">
        <v>33</v>
      </c>
      <c r="E965" s="199">
        <v>1</v>
      </c>
      <c r="F965" s="199">
        <v>1</v>
      </c>
      <c r="G965" s="199" t="s">
        <v>2060</v>
      </c>
      <c r="H965" s="162" t="s">
        <v>6107</v>
      </c>
      <c r="I965" s="129" t="str">
        <f t="shared" si="107"/>
        <v>Rien</v>
      </c>
      <c r="J965" s="146">
        <v>0</v>
      </c>
      <c r="K965" s="147">
        <v>0</v>
      </c>
      <c r="L965" s="148">
        <v>0</v>
      </c>
      <c r="M965" s="149">
        <v>0</v>
      </c>
      <c r="N965" s="150">
        <v>0</v>
      </c>
      <c r="O965" s="130">
        <v>0</v>
      </c>
      <c r="P965" s="130">
        <v>0</v>
      </c>
      <c r="Q965" s="130">
        <v>0</v>
      </c>
      <c r="R965" s="130">
        <v>0</v>
      </c>
      <c r="S965" s="130">
        <v>0</v>
      </c>
      <c r="T965" s="130">
        <v>0</v>
      </c>
      <c r="U965" s="130">
        <v>0</v>
      </c>
      <c r="V965" s="524">
        <v>0</v>
      </c>
      <c r="W965" s="130">
        <v>0</v>
      </c>
      <c r="X965" s="130">
        <v>0</v>
      </c>
      <c r="Y965" s="130">
        <v>0</v>
      </c>
      <c r="Z965" s="130">
        <v>0</v>
      </c>
      <c r="AA965" s="158" t="s">
        <v>2078</v>
      </c>
      <c r="AB965" s="158"/>
      <c r="AC965" s="158"/>
      <c r="AD965" s="158"/>
      <c r="AE965" s="158" t="b">
        <f>IF(AB965="",TRUE,IF(IF(AC965="",VLOOKUP(AB965,Calculs!$A$19:$S$425,19,FALSE),VLOOKUP(AC965,Calculs!$A$19:$S$425,19,FALSE))&gt;=AD965,TRUE,FALSE))</f>
        <v>1</v>
      </c>
      <c r="AF965" s="158"/>
      <c r="AG965" s="158"/>
      <c r="AH965" s="158"/>
      <c r="AI965" s="158" t="b">
        <f>IF(AF965="",TRUE,IF(IF(AG965="",VLOOKUP(AF965,Calculs!$A$19:$S$425,19,FALSE),VLOOKUP(AG965,Calculs!$A$19:$S$425,19,FALSE))&gt;=AH965,TRUE,FALSE))</f>
        <v>1</v>
      </c>
      <c r="AJ965" s="158"/>
      <c r="AK965" s="158"/>
      <c r="AL965" s="158"/>
      <c r="AM965" s="158" t="b">
        <f>IF(AJ965="",TRUE,IF(IF(AK965="",VLOOKUP(AJ965,Calculs!$A$19:$S$425,19,FALSE),VLOOKUP(AK965,Calculs!$A$19:$S$425,19,FALSE))&gt;=AL965,TRUE,FALSE))</f>
        <v>1</v>
      </c>
      <c r="AN965" s="158"/>
      <c r="AO965" s="158"/>
      <c r="AP965" s="158"/>
      <c r="AQ965" s="158" t="b">
        <f>IF(AN965="",TRUE,IF(IF(AO965="",VLOOKUP(AN965,Calculs!$A$19:$S$425,19,FALSE),VLOOKUP(AO965,Calculs!$A$19:$S$425,19,FALSE))&gt;=AP965,TRUE,FALSE))</f>
        <v>1</v>
      </c>
      <c r="AR965" s="158"/>
      <c r="AS965" s="158" t="b">
        <f>IF(AR965="",TRUE,IF(VLOOKUP(AR965,Calculs!$A$427:$G$738,7,FALSE)&gt;0,TRUE,FALSE))</f>
        <v>1</v>
      </c>
      <c r="AT965" s="158"/>
      <c r="AU965" s="158" t="b">
        <f>IF(AT965="",TRUE,IF(VLOOKUP(AT965,Calculs!$A$740:$G$912,7,FALSE)&gt;0,TRUE,FALSE))</f>
        <v>1</v>
      </c>
      <c r="AV965" s="158" t="b">
        <f t="shared" si="108"/>
        <v>1</v>
      </c>
      <c r="AW965" s="158" t="s">
        <v>2078</v>
      </c>
      <c r="AX965" s="162" t="s">
        <v>6061</v>
      </c>
      <c r="AY965" s="15">
        <v>256</v>
      </c>
      <c r="AZ965" s="555" t="s">
        <v>6062</v>
      </c>
      <c r="BA965" s="559">
        <f>IF(Verso!$B$10=Voies!$B965,1,0)</f>
        <v>0</v>
      </c>
      <c r="BB965" s="12">
        <f>IF(Verso!$B$11=Voies!$B965,1,0)</f>
        <v>0</v>
      </c>
      <c r="BC965" s="12">
        <f>IF(Verso!$B$12=Voies!$B965,1,0)</f>
        <v>0</v>
      </c>
      <c r="BD965" s="12">
        <f>IF(Verso!$B$13=Voies!$B965,1,0)</f>
        <v>0</v>
      </c>
      <c r="BE965" s="12">
        <f>IF(Verso!$B$14=Voies!$B965,1,0)</f>
        <v>0</v>
      </c>
      <c r="BF965" s="12">
        <f>IF(Verso!$B$15=Voies!$B965,1,0)</f>
        <v>0</v>
      </c>
      <c r="BG965" s="12">
        <f>IF(Verso!$B$16=Voies!$B965,1,0)</f>
        <v>0</v>
      </c>
      <c r="BH965" s="12">
        <f>IF(Verso!$B$17=Voies!$B965,1,0)</f>
        <v>0</v>
      </c>
      <c r="BI965" s="557">
        <f t="shared" si="109"/>
        <v>0</v>
      </c>
      <c r="BJ965" s="196" t="str">
        <f t="shared" si="110"/>
        <v/>
      </c>
      <c r="BK965" s="196" t="str">
        <f t="shared" si="111"/>
        <v/>
      </c>
      <c r="BL965" s="295" t="str">
        <f t="shared" si="112"/>
        <v/>
      </c>
    </row>
    <row r="966" spans="1:65" ht="47.25" customHeight="1" x14ac:dyDescent="0.25">
      <c r="A966" s="162" t="str">
        <f>IF(AND(Réputation&gt;Voies!E966-1,OR(C966=TRUE,Calculs!$I$8&gt;0),Air&gt;Voies!J966-1,Eau&gt;Voies!K966-1,Feu&gt;Voies!L966-1,Terre&gt;Voies!M966-1,Vide&gt;Voies!N966-1,Constitution&gt;Voies!O966-1,Volonté&gt;Voies!P966-1,Force&gt;Voies!Q966-1,Perception&gt;Voies!R966-1,Reflexes&gt;Voies!S966-1,Agilité&gt;Voies!T966-1,Intuition&gt;Voies!U966-1,Intelligence&gt;Voies!V966-1,Souillure&gt;Voies!W966-1,Honneur&gt;X966-1,Statut&gt;Y966-1,Gloire&gt;Z966-1,AV966=TRUE),Voies!B966,"")</f>
        <v/>
      </c>
      <c r="B966" s="162" t="s">
        <v>2517</v>
      </c>
      <c r="C966" s="162" t="b">
        <f>IF(Clan=Voies!D966,TRUE,FALSE)</f>
        <v>0</v>
      </c>
      <c r="D966" s="387" t="s">
        <v>33</v>
      </c>
      <c r="E966" s="199">
        <v>1</v>
      </c>
      <c r="F966" s="199">
        <v>1</v>
      </c>
      <c r="G966" s="199" t="s">
        <v>2060</v>
      </c>
      <c r="H966" s="162" t="s">
        <v>222</v>
      </c>
      <c r="I966" s="129" t="str">
        <f t="shared" si="107"/>
        <v>Rien</v>
      </c>
      <c r="J966" s="146">
        <v>0</v>
      </c>
      <c r="K966" s="147">
        <v>0</v>
      </c>
      <c r="L966" s="148">
        <v>0</v>
      </c>
      <c r="M966" s="149">
        <v>0</v>
      </c>
      <c r="N966" s="150">
        <v>0</v>
      </c>
      <c r="O966" s="130">
        <v>0</v>
      </c>
      <c r="P966" s="130">
        <v>0</v>
      </c>
      <c r="Q966" s="130">
        <v>0</v>
      </c>
      <c r="R966" s="130">
        <v>0</v>
      </c>
      <c r="S966" s="130">
        <v>0</v>
      </c>
      <c r="T966" s="130">
        <v>0</v>
      </c>
      <c r="U966" s="130">
        <v>0</v>
      </c>
      <c r="V966" s="524">
        <v>0</v>
      </c>
      <c r="W966" s="130">
        <v>0</v>
      </c>
      <c r="X966" s="130">
        <v>0</v>
      </c>
      <c r="Y966" s="130">
        <v>0</v>
      </c>
      <c r="Z966" s="130">
        <v>0</v>
      </c>
      <c r="AA966" s="158" t="s">
        <v>2078</v>
      </c>
      <c r="AB966" s="158"/>
      <c r="AC966" s="158"/>
      <c r="AD966" s="158"/>
      <c r="AE966" s="158" t="b">
        <f>IF(AB966="",TRUE,IF(IF(AC966="",VLOOKUP(AB966,Calculs!$A$19:$S$425,19,FALSE),VLOOKUP(AC966,Calculs!$A$19:$S$425,19,FALSE))&gt;=AD966,TRUE,FALSE))</f>
        <v>1</v>
      </c>
      <c r="AF966" s="158"/>
      <c r="AG966" s="158"/>
      <c r="AH966" s="158"/>
      <c r="AI966" s="158" t="b">
        <f>IF(AF966="",TRUE,IF(IF(AG966="",VLOOKUP(AF966,Calculs!$A$19:$S$425,19,FALSE),VLOOKUP(AG966,Calculs!$A$19:$S$425,19,FALSE))&gt;=AH966,TRUE,FALSE))</f>
        <v>1</v>
      </c>
      <c r="AJ966" s="158"/>
      <c r="AK966" s="158"/>
      <c r="AL966" s="158"/>
      <c r="AM966" s="158" t="b">
        <f>IF(AJ966="",TRUE,IF(IF(AK966="",VLOOKUP(AJ966,Calculs!$A$19:$S$425,19,FALSE),VLOOKUP(AK966,Calculs!$A$19:$S$425,19,FALSE))&gt;=AL966,TRUE,FALSE))</f>
        <v>1</v>
      </c>
      <c r="AN966" s="158"/>
      <c r="AO966" s="158"/>
      <c r="AP966" s="158"/>
      <c r="AQ966" s="158" t="b">
        <f>IF(AN966="",TRUE,IF(IF(AO966="",VLOOKUP(AN966,Calculs!$A$19:$S$425,19,FALSE),VLOOKUP(AO966,Calculs!$A$19:$S$425,19,FALSE))&gt;=AP966,TRUE,FALSE))</f>
        <v>1</v>
      </c>
      <c r="AR966" s="158"/>
      <c r="AS966" s="158" t="b">
        <f>IF(AR966="",TRUE,IF(VLOOKUP(AR966,Calculs!$A$427:$G$738,7,FALSE)&gt;0,TRUE,FALSE))</f>
        <v>1</v>
      </c>
      <c r="AT966" s="158"/>
      <c r="AU966" s="158" t="b">
        <f>IF(AT966="",TRUE,IF(VLOOKUP(AT966,Calculs!$A$740:$G$912,7,FALSE)&gt;0,TRUE,FALSE))</f>
        <v>1</v>
      </c>
      <c r="AV966" s="158" t="b">
        <f t="shared" si="108"/>
        <v>1</v>
      </c>
      <c r="AW966" s="158" t="s">
        <v>2078</v>
      </c>
      <c r="AX966" s="162" t="s">
        <v>3</v>
      </c>
      <c r="AY966" s="15">
        <v>132</v>
      </c>
      <c r="AZ966" s="555" t="s">
        <v>2549</v>
      </c>
      <c r="BA966" s="559">
        <f>IF(Verso!$B$10=Voies!$B966,1,0)</f>
        <v>0</v>
      </c>
      <c r="BB966" s="12">
        <f>IF(Verso!$B$11=Voies!$B966,1,0)</f>
        <v>0</v>
      </c>
      <c r="BC966" s="12">
        <f>IF(Verso!$B$12=Voies!$B966,1,0)</f>
        <v>0</v>
      </c>
      <c r="BD966" s="12">
        <f>IF(Verso!$B$13=Voies!$B966,1,0)</f>
        <v>0</v>
      </c>
      <c r="BE966" s="12">
        <f>IF(Verso!$B$14=Voies!$B966,1,0)</f>
        <v>0</v>
      </c>
      <c r="BF966" s="12">
        <f>IF(Verso!$B$15=Voies!$B966,1,0)</f>
        <v>0</v>
      </c>
      <c r="BG966" s="12">
        <f>IF(Verso!$B$16=Voies!$B966,1,0)</f>
        <v>0</v>
      </c>
      <c r="BH966" s="12">
        <f>IF(Verso!$B$17=Voies!$B966,1,0)</f>
        <v>0</v>
      </c>
      <c r="BI966" s="557">
        <f t="shared" si="109"/>
        <v>0</v>
      </c>
      <c r="BJ966" s="196" t="str">
        <f t="shared" si="110"/>
        <v/>
      </c>
      <c r="BK966" s="196" t="str">
        <f t="shared" si="111"/>
        <v/>
      </c>
      <c r="BL966" s="295" t="str">
        <f t="shared" si="112"/>
        <v/>
      </c>
    </row>
    <row r="967" spans="1:65" ht="47.25" customHeight="1" x14ac:dyDescent="0.25">
      <c r="A967" s="162" t="str">
        <f>IF(AND(Réputation&gt;Voies!E967-1,OR(C967=TRUE,Calculs!$I$8&gt;0),Air&gt;Voies!J967-1,Eau&gt;Voies!K967-1,Feu&gt;Voies!L967-1,Terre&gt;Voies!M967-1,Vide&gt;Voies!N967-1,Constitution&gt;Voies!O967-1,Volonté&gt;Voies!P967-1,Force&gt;Voies!Q967-1,Perception&gt;Voies!R967-1,Reflexes&gt;Voies!S967-1,Agilité&gt;Voies!T967-1,Intuition&gt;Voies!U967-1,Intelligence&gt;Voies!V967-1,Souillure&gt;Voies!W967-1,Honneur&gt;X967-1,Statut&gt;Y967-1,Gloire&gt;Z967-1,AV967=TRUE),Voies!B967,"")</f>
        <v/>
      </c>
      <c r="B967" s="162" t="s">
        <v>2899</v>
      </c>
      <c r="C967" s="162" t="b">
        <f>IF(Clan=Voies!D967,TRUE,FALSE)</f>
        <v>0</v>
      </c>
      <c r="D967" s="387" t="s">
        <v>33</v>
      </c>
      <c r="E967" s="199">
        <v>1</v>
      </c>
      <c r="F967" s="199">
        <v>1</v>
      </c>
      <c r="G967" s="199" t="s">
        <v>2048</v>
      </c>
      <c r="H967" s="162" t="s">
        <v>417</v>
      </c>
      <c r="I967" s="129" t="str">
        <f t="shared" si="107"/>
        <v>Rien</v>
      </c>
      <c r="J967" s="146">
        <v>0</v>
      </c>
      <c r="K967" s="147">
        <v>0</v>
      </c>
      <c r="L967" s="148">
        <v>0</v>
      </c>
      <c r="M967" s="149">
        <v>0</v>
      </c>
      <c r="N967" s="150">
        <v>0</v>
      </c>
      <c r="O967" s="130">
        <v>0</v>
      </c>
      <c r="P967" s="130">
        <v>0</v>
      </c>
      <c r="Q967" s="130">
        <v>0</v>
      </c>
      <c r="R967" s="130">
        <v>0</v>
      </c>
      <c r="S967" s="130">
        <v>0</v>
      </c>
      <c r="T967" s="130">
        <v>0</v>
      </c>
      <c r="U967" s="130">
        <v>0</v>
      </c>
      <c r="V967" s="524">
        <v>0</v>
      </c>
      <c r="W967" s="130">
        <v>0</v>
      </c>
      <c r="X967" s="130">
        <v>0</v>
      </c>
      <c r="Y967" s="130">
        <v>0</v>
      </c>
      <c r="Z967" s="130">
        <v>0</v>
      </c>
      <c r="AA967" s="158" t="s">
        <v>2078</v>
      </c>
      <c r="AB967" s="158"/>
      <c r="AC967" s="158"/>
      <c r="AD967" s="158"/>
      <c r="AE967" s="158" t="b">
        <f>IF(AB967="",TRUE,IF(IF(AC967="",VLOOKUP(AB967,Calculs!$A$19:$S$425,19,FALSE),VLOOKUP(AC967,Calculs!$A$19:$S$425,19,FALSE))&gt;=AD967,TRUE,FALSE))</f>
        <v>1</v>
      </c>
      <c r="AF967" s="158"/>
      <c r="AG967" s="158"/>
      <c r="AH967" s="158"/>
      <c r="AI967" s="158" t="b">
        <f>IF(AF967="",TRUE,IF(IF(AG967="",VLOOKUP(AF967,Calculs!$A$19:$S$425,19,FALSE),VLOOKUP(AG967,Calculs!$A$19:$S$425,19,FALSE))&gt;=AH967,TRUE,FALSE))</f>
        <v>1</v>
      </c>
      <c r="AJ967" s="158"/>
      <c r="AK967" s="158"/>
      <c r="AL967" s="158"/>
      <c r="AM967" s="158" t="b">
        <f>IF(AJ967="",TRUE,IF(IF(AK967="",VLOOKUP(AJ967,Calculs!$A$19:$S$425,19,FALSE),VLOOKUP(AK967,Calculs!$A$19:$S$425,19,FALSE))&gt;=AL967,TRUE,FALSE))</f>
        <v>1</v>
      </c>
      <c r="AN967" s="158"/>
      <c r="AO967" s="158"/>
      <c r="AP967" s="158"/>
      <c r="AQ967" s="158" t="b">
        <f>IF(AN967="",TRUE,IF(IF(AO967="",VLOOKUP(AN967,Calculs!$A$19:$S$425,19,FALSE),VLOOKUP(AO967,Calculs!$A$19:$S$425,19,FALSE))&gt;=AP967,TRUE,FALSE))</f>
        <v>1</v>
      </c>
      <c r="AR967" s="158"/>
      <c r="AS967" s="158" t="b">
        <f>IF(AR967="",TRUE,IF(VLOOKUP(AR967,Calculs!$A$427:$G$738,7,FALSE)&gt;0,TRUE,FALSE))</f>
        <v>1</v>
      </c>
      <c r="AT967" s="158"/>
      <c r="AU967" s="158" t="b">
        <f>IF(AT967="",TRUE,IF(VLOOKUP(AT967,Calculs!$A$740:$G$912,7,FALSE)&gt;0,TRUE,FALSE))</f>
        <v>1</v>
      </c>
      <c r="AV967" s="158" t="b">
        <f t="shared" si="108"/>
        <v>1</v>
      </c>
      <c r="AW967" s="158" t="s">
        <v>2078</v>
      </c>
      <c r="AX967" s="162" t="s">
        <v>6061</v>
      </c>
      <c r="AY967" s="15">
        <v>258</v>
      </c>
      <c r="AZ967" s="555" t="s">
        <v>8742</v>
      </c>
      <c r="BA967" s="559">
        <f>IF(Verso!$B$10=Voies!$B967,1,0)</f>
        <v>0</v>
      </c>
      <c r="BB967" s="12">
        <f>IF(Verso!$B$11=Voies!$B967,1,0)</f>
        <v>0</v>
      </c>
      <c r="BC967" s="12">
        <f>IF(Verso!$B$12=Voies!$B967,1,0)</f>
        <v>0</v>
      </c>
      <c r="BD967" s="12">
        <f>IF(Verso!$B$13=Voies!$B967,1,0)</f>
        <v>0</v>
      </c>
      <c r="BE967" s="12">
        <f>IF(Verso!$B$14=Voies!$B967,1,0)</f>
        <v>0</v>
      </c>
      <c r="BF967" s="12">
        <f>IF(Verso!$B$15=Voies!$B967,1,0)</f>
        <v>0</v>
      </c>
      <c r="BG967" s="12">
        <f>IF(Verso!$B$16=Voies!$B967,1,0)</f>
        <v>0</v>
      </c>
      <c r="BH967" s="12">
        <f>IF(Verso!$B$17=Voies!$B967,1,0)</f>
        <v>0</v>
      </c>
      <c r="BI967" s="557">
        <f t="shared" si="109"/>
        <v>0</v>
      </c>
      <c r="BJ967" s="196" t="str">
        <f t="shared" si="110"/>
        <v/>
      </c>
      <c r="BK967" s="196" t="str">
        <f t="shared" si="111"/>
        <v/>
      </c>
      <c r="BL967" s="295" t="str">
        <f t="shared" si="112"/>
        <v/>
      </c>
    </row>
    <row r="968" spans="1:65" ht="47.25" customHeight="1" x14ac:dyDescent="0.25">
      <c r="A968" s="162" t="str">
        <f>IF(AND(Réputation&gt;Voies!E968-1,OR(C968=TRUE,Calculs!$I$8&gt;0),Air&gt;Voies!J968-1,Eau&gt;Voies!K968-1,Feu&gt;Voies!L968-1,Terre&gt;Voies!M968-1,Vide&gt;Voies!N968-1,Constitution&gt;Voies!O968-1,Volonté&gt;Voies!P968-1,Force&gt;Voies!Q968-1,Perception&gt;Voies!R968-1,Reflexes&gt;Voies!S968-1,Agilité&gt;Voies!T968-1,Intuition&gt;Voies!U968-1,Intelligence&gt;Voies!V968-1,Souillure&gt;Voies!W968-1,Honneur&gt;X968-1,Statut&gt;Y968-1,Gloire&gt;Z968-1,AV968=TRUE),Voies!B968,"")</f>
        <v/>
      </c>
      <c r="B968" s="162" t="s">
        <v>2511</v>
      </c>
      <c r="C968" s="162" t="b">
        <f>IF(Clan=Voies!D968,TRUE,FALSE)</f>
        <v>0</v>
      </c>
      <c r="D968" s="387" t="s">
        <v>33</v>
      </c>
      <c r="E968" s="199">
        <v>1</v>
      </c>
      <c r="F968" s="199">
        <v>1</v>
      </c>
      <c r="G968" s="199" t="s">
        <v>2048</v>
      </c>
      <c r="H968" s="162" t="s">
        <v>221</v>
      </c>
      <c r="I968" s="129" t="str">
        <f t="shared" si="107"/>
        <v>Rien</v>
      </c>
      <c r="J968" s="146">
        <v>0</v>
      </c>
      <c r="K968" s="147">
        <v>0</v>
      </c>
      <c r="L968" s="148">
        <v>0</v>
      </c>
      <c r="M968" s="149">
        <v>0</v>
      </c>
      <c r="N968" s="150">
        <v>0</v>
      </c>
      <c r="O968" s="130">
        <v>0</v>
      </c>
      <c r="P968" s="130">
        <v>0</v>
      </c>
      <c r="Q968" s="130">
        <v>0</v>
      </c>
      <c r="R968" s="130">
        <v>0</v>
      </c>
      <c r="S968" s="130">
        <v>0</v>
      </c>
      <c r="T968" s="130">
        <v>0</v>
      </c>
      <c r="U968" s="130">
        <v>0</v>
      </c>
      <c r="V968" s="524">
        <v>0</v>
      </c>
      <c r="W968" s="130">
        <v>0</v>
      </c>
      <c r="X968" s="130">
        <v>0</v>
      </c>
      <c r="Y968" s="130">
        <v>0</v>
      </c>
      <c r="Z968" s="130">
        <v>0</v>
      </c>
      <c r="AA968" s="158" t="s">
        <v>2078</v>
      </c>
      <c r="AB968" s="158"/>
      <c r="AC968" s="158"/>
      <c r="AD968" s="158"/>
      <c r="AE968" s="158" t="b">
        <f>IF(AB968="",TRUE,IF(IF(AC968="",VLOOKUP(AB968,Calculs!$A$19:$S$425,19,FALSE),VLOOKUP(AC968,Calculs!$A$19:$S$425,19,FALSE))&gt;=AD968,TRUE,FALSE))</f>
        <v>1</v>
      </c>
      <c r="AF968" s="158"/>
      <c r="AG968" s="158"/>
      <c r="AH968" s="158"/>
      <c r="AI968" s="158" t="b">
        <f>IF(AF968="",TRUE,IF(IF(AG968="",VLOOKUP(AF968,Calculs!$A$19:$S$425,19,FALSE),VLOOKUP(AG968,Calculs!$A$19:$S$425,19,FALSE))&gt;=AH968,TRUE,FALSE))</f>
        <v>1</v>
      </c>
      <c r="AJ968" s="158"/>
      <c r="AK968" s="158"/>
      <c r="AL968" s="158"/>
      <c r="AM968" s="158" t="b">
        <f>IF(AJ968="",TRUE,IF(IF(AK968="",VLOOKUP(AJ968,Calculs!$A$19:$S$425,19,FALSE),VLOOKUP(AK968,Calculs!$A$19:$S$425,19,FALSE))&gt;=AL968,TRUE,FALSE))</f>
        <v>1</v>
      </c>
      <c r="AN968" s="158"/>
      <c r="AO968" s="158"/>
      <c r="AP968" s="158"/>
      <c r="AQ968" s="158" t="b">
        <f>IF(AN968="",TRUE,IF(IF(AO968="",VLOOKUP(AN968,Calculs!$A$19:$S$425,19,FALSE),VLOOKUP(AO968,Calculs!$A$19:$S$425,19,FALSE))&gt;=AP968,TRUE,FALSE))</f>
        <v>1</v>
      </c>
      <c r="AR968" s="158"/>
      <c r="AS968" s="158" t="b">
        <f>IF(AR968="",TRUE,IF(VLOOKUP(AR968,Calculs!$A$427:$G$738,7,FALSE)&gt;0,TRUE,FALSE))</f>
        <v>1</v>
      </c>
      <c r="AT968" s="158"/>
      <c r="AU968" s="158" t="b">
        <f>IF(AT968="",TRUE,IF(VLOOKUP(AT968,Calculs!$A$740:$G$912,7,FALSE)&gt;0,TRUE,FALSE))</f>
        <v>1</v>
      </c>
      <c r="AV968" s="158" t="b">
        <f t="shared" si="108"/>
        <v>1</v>
      </c>
      <c r="AW968" s="158" t="s">
        <v>2078</v>
      </c>
      <c r="AX968" s="162" t="s">
        <v>3</v>
      </c>
      <c r="AY968" s="15">
        <v>130</v>
      </c>
      <c r="AZ968" s="555" t="s">
        <v>8743</v>
      </c>
      <c r="BA968" s="559">
        <f>IF(Verso!$B$10=Voies!$B968,1,0)</f>
        <v>0</v>
      </c>
      <c r="BB968" s="12">
        <f>IF(Verso!$B$11=Voies!$B968,1,0)</f>
        <v>0</v>
      </c>
      <c r="BC968" s="12">
        <f>IF(Verso!$B$12=Voies!$B968,1,0)</f>
        <v>0</v>
      </c>
      <c r="BD968" s="12">
        <f>IF(Verso!$B$13=Voies!$B968,1,0)</f>
        <v>0</v>
      </c>
      <c r="BE968" s="12">
        <f>IF(Verso!$B$14=Voies!$B968,1,0)</f>
        <v>0</v>
      </c>
      <c r="BF968" s="12">
        <f>IF(Verso!$B$15=Voies!$B968,1,0)</f>
        <v>0</v>
      </c>
      <c r="BG968" s="12">
        <f>IF(Verso!$B$16=Voies!$B968,1,0)</f>
        <v>0</v>
      </c>
      <c r="BH968" s="12">
        <f>IF(Verso!$B$17=Voies!$B968,1,0)</f>
        <v>0</v>
      </c>
      <c r="BI968" s="557">
        <f t="shared" si="109"/>
        <v>0</v>
      </c>
      <c r="BJ968" s="196" t="str">
        <f t="shared" si="110"/>
        <v/>
      </c>
      <c r="BK968" s="196" t="str">
        <f t="shared" si="111"/>
        <v/>
      </c>
      <c r="BL968" s="295" t="str">
        <f t="shared" si="112"/>
        <v/>
      </c>
    </row>
    <row r="969" spans="1:65" ht="47.25" customHeight="1" x14ac:dyDescent="0.25">
      <c r="A969" s="162" t="str">
        <f>IF(AND(Réputation&gt;Voies!E969-1,OR(C969=TRUE,Calculs!$I$8&gt;0),Air&gt;Voies!J969-1,Eau&gt;Voies!K969-1,Feu&gt;Voies!L969-1,Terre&gt;Voies!M969-1,Vide&gt;Voies!N969-1,Constitution&gt;Voies!O969-1,Volonté&gt;Voies!P969-1,Force&gt;Voies!Q969-1,Perception&gt;Voies!R969-1,Reflexes&gt;Voies!S969-1,Agilité&gt;Voies!T969-1,Intuition&gt;Voies!U969-1,Intelligence&gt;Voies!V969-1,Souillure&gt;Voies!W969-1,Honneur&gt;X969-1,Statut&gt;Y969-1,Gloire&gt;Z969-1,AV969=TRUE),Voies!B969,"")</f>
        <v/>
      </c>
      <c r="B969" s="162" t="s">
        <v>3643</v>
      </c>
      <c r="C969" s="162" t="b">
        <f>IF(Clan=Voies!D969,TRUE,FALSE)</f>
        <v>0</v>
      </c>
      <c r="D969" s="387" t="s">
        <v>33</v>
      </c>
      <c r="E969" s="199">
        <v>2</v>
      </c>
      <c r="F969" s="199">
        <v>2</v>
      </c>
      <c r="G969" s="157" t="s">
        <v>2078</v>
      </c>
      <c r="H969" s="162" t="s">
        <v>525</v>
      </c>
      <c r="I969" s="129" t="s">
        <v>3641</v>
      </c>
      <c r="J969" s="146">
        <v>0</v>
      </c>
      <c r="K969" s="147">
        <v>0</v>
      </c>
      <c r="L969" s="148">
        <v>0</v>
      </c>
      <c r="M969" s="149">
        <v>0</v>
      </c>
      <c r="N969" s="150">
        <v>0</v>
      </c>
      <c r="O969" s="130">
        <v>0</v>
      </c>
      <c r="P969" s="130">
        <v>0</v>
      </c>
      <c r="Q969" s="130">
        <v>0</v>
      </c>
      <c r="R969" s="130">
        <v>0</v>
      </c>
      <c r="S969" s="130">
        <v>0</v>
      </c>
      <c r="T969" s="130">
        <v>0</v>
      </c>
      <c r="U969" s="130">
        <v>0</v>
      </c>
      <c r="V969" s="524">
        <v>0</v>
      </c>
      <c r="W969" s="130">
        <v>0</v>
      </c>
      <c r="X969" s="130">
        <v>0</v>
      </c>
      <c r="Y969" s="130">
        <v>0</v>
      </c>
      <c r="Z969" s="130">
        <v>0</v>
      </c>
      <c r="AA969" s="159" t="s">
        <v>3642</v>
      </c>
      <c r="AB969" s="159" t="s">
        <v>1260</v>
      </c>
      <c r="AD969" s="159">
        <v>4</v>
      </c>
      <c r="AE969" s="158" t="b">
        <f>IF(AB969="",TRUE,IF(IF(AC969="",VLOOKUP(AB969,Calculs!$A$19:$S$425,19,FALSE),VLOOKUP(AC969,Calculs!$A$19:$S$425,19,FALSE))&gt;=AD969,TRUE,FALSE))</f>
        <v>0</v>
      </c>
      <c r="AF969" s="159" t="s">
        <v>189</v>
      </c>
      <c r="AH969" s="159">
        <v>4</v>
      </c>
      <c r="AI969" s="158" t="b">
        <f>IF(AF969="",TRUE,IF(IF(AG969="",VLOOKUP(AF969,Calculs!$A$19:$S$425,19,FALSE),VLOOKUP(AG969,Calculs!$A$19:$S$425,19,FALSE))&gt;=AH969,TRUE,FALSE))</f>
        <v>0</v>
      </c>
      <c r="AM969" s="158" t="b">
        <f>IF(AJ969="",TRUE,IF(IF(AK969="",VLOOKUP(AJ969,Calculs!$A$19:$S$425,19,FALSE),VLOOKUP(AK969,Calculs!$A$19:$S$425,19,FALSE))&gt;=AL969,TRUE,FALSE))</f>
        <v>1</v>
      </c>
      <c r="AQ969" s="158" t="b">
        <f>IF(AN969="",TRUE,IF(IF(AO969="",VLOOKUP(AN969,Calculs!$A$19:$S$425,19,FALSE),VLOOKUP(AO969,Calculs!$A$19:$S$425,19,FALSE))&gt;=AP969,TRUE,FALSE))</f>
        <v>1</v>
      </c>
      <c r="AR969" s="158"/>
      <c r="AS969" s="158" t="b">
        <f>IF(AR969="",TRUE,IF(VLOOKUP(AR969,Calculs!$A$427:$G$738,7,FALSE)&gt;0,TRUE,FALSE))</f>
        <v>1</v>
      </c>
      <c r="AT969" s="158"/>
      <c r="AU969" s="158" t="b">
        <f>IF(AT969="",TRUE,IF(VLOOKUP(AT969,Calculs!$A$740:$G$912,7,FALSE)&gt;0,TRUE,FALSE))</f>
        <v>1</v>
      </c>
      <c r="AV969" s="158" t="b">
        <f t="shared" si="108"/>
        <v>0</v>
      </c>
      <c r="AW969" s="158" t="s">
        <v>2078</v>
      </c>
      <c r="AX969" s="162" t="s">
        <v>2077</v>
      </c>
      <c r="AY969" s="15">
        <v>148</v>
      </c>
      <c r="AZ969" s="555" t="s">
        <v>8744</v>
      </c>
      <c r="BA969" s="559">
        <f>IF(Verso!$B$10=Voies!$B969,1,0)</f>
        <v>0</v>
      </c>
      <c r="BB969" s="12">
        <f>IF(Verso!$B$11=Voies!$B969,1,0)</f>
        <v>0</v>
      </c>
      <c r="BC969" s="12">
        <f>IF(Verso!$B$12=Voies!$B969,1,0)</f>
        <v>0</v>
      </c>
      <c r="BD969" s="12">
        <f>IF(Verso!$B$13=Voies!$B969,1,0)</f>
        <v>0</v>
      </c>
      <c r="BE969" s="12">
        <f>IF(Verso!$B$14=Voies!$B969,1,0)</f>
        <v>0</v>
      </c>
      <c r="BF969" s="12">
        <f>IF(Verso!$B$15=Voies!$B969,1,0)</f>
        <v>0</v>
      </c>
      <c r="BG969" s="12">
        <f>IF(Verso!$B$16=Voies!$B969,1,0)</f>
        <v>0</v>
      </c>
      <c r="BH969" s="12">
        <f>IF(Verso!$B$17=Voies!$B969,1,0)</f>
        <v>0</v>
      </c>
      <c r="BI969" s="557">
        <f t="shared" si="109"/>
        <v>0</v>
      </c>
      <c r="BJ969" s="196" t="str">
        <f t="shared" si="110"/>
        <v/>
      </c>
      <c r="BK969" s="196" t="str">
        <f t="shared" si="111"/>
        <v/>
      </c>
      <c r="BL969" s="295" t="str">
        <f t="shared" si="112"/>
        <v/>
      </c>
    </row>
    <row r="970" spans="1:65" ht="47.25" customHeight="1" x14ac:dyDescent="0.25">
      <c r="A970" s="162" t="str">
        <f>IF(AND(Réputation&gt;Voies!E970-1,OR(C970=TRUE,Calculs!$I$8&gt;0),Air&gt;Voies!J970-1,Eau&gt;Voies!K970-1,Feu&gt;Voies!L970-1,Terre&gt;Voies!M970-1,Vide&gt;Voies!N970-1,Constitution&gt;Voies!O970-1,Volonté&gt;Voies!P970-1,Force&gt;Voies!Q970-1,Perception&gt;Voies!R970-1,Reflexes&gt;Voies!S970-1,Agilité&gt;Voies!T970-1,Intuition&gt;Voies!U970-1,Intelligence&gt;Voies!V970-1,Souillure&gt;Voies!W970-1,Honneur&gt;X970-1,Statut&gt;Y970-1,Gloire&gt;Z970-1,AV970=TRUE),Voies!B970,"")</f>
        <v/>
      </c>
      <c r="B970" s="162" t="s">
        <v>6499</v>
      </c>
      <c r="C970" s="162" t="b">
        <f>IF(Clan=Voies!D970,TRUE,FALSE)</f>
        <v>0</v>
      </c>
      <c r="D970" s="387" t="s">
        <v>33</v>
      </c>
      <c r="E970" s="199">
        <v>2</v>
      </c>
      <c r="F970" s="199">
        <v>2</v>
      </c>
      <c r="G970" s="157" t="s">
        <v>6498</v>
      </c>
      <c r="H970" s="162" t="s">
        <v>6500</v>
      </c>
      <c r="I970" s="129" t="s">
        <v>6501</v>
      </c>
      <c r="J970" s="146">
        <v>0</v>
      </c>
      <c r="K970" s="147">
        <v>0</v>
      </c>
      <c r="L970" s="148">
        <v>0</v>
      </c>
      <c r="M970" s="149">
        <v>0</v>
      </c>
      <c r="N970" s="150">
        <v>0</v>
      </c>
      <c r="O970" s="130">
        <v>0</v>
      </c>
      <c r="P970" s="130">
        <v>0</v>
      </c>
      <c r="Q970" s="130">
        <v>0</v>
      </c>
      <c r="R970" s="130">
        <v>0</v>
      </c>
      <c r="S970" s="130">
        <v>0</v>
      </c>
      <c r="T970" s="130">
        <v>0</v>
      </c>
      <c r="U970" s="130">
        <v>0</v>
      </c>
      <c r="V970" s="524">
        <v>0</v>
      </c>
      <c r="W970" s="130">
        <v>0</v>
      </c>
      <c r="X970" s="130">
        <v>0</v>
      </c>
      <c r="Y970" s="130">
        <v>0</v>
      </c>
      <c r="Z970" s="130">
        <v>0</v>
      </c>
      <c r="AA970" s="159" t="s">
        <v>6503</v>
      </c>
      <c r="AE970" s="158"/>
      <c r="AI970" s="158"/>
      <c r="AM970" s="158"/>
      <c r="AQ970" s="158"/>
      <c r="AR970" s="158"/>
      <c r="AS970" s="158" t="b">
        <f>IF(AR970="",TRUE,IF(VLOOKUP(AR970,Calculs!$A$427:$G$738,7,FALSE)&gt;0,TRUE,FALSE))</f>
        <v>1</v>
      </c>
      <c r="AT970" s="158"/>
      <c r="AU970" s="158" t="b">
        <f>IF(AT970="",TRUE,IF(VLOOKUP(AT970,Calculs!$A$740:$G$912,7,FALSE)&gt;0,TRUE,FALSE))</f>
        <v>1</v>
      </c>
      <c r="AV970" s="158" t="b">
        <f t="shared" si="108"/>
        <v>0</v>
      </c>
      <c r="AW970" s="158" t="s">
        <v>2078</v>
      </c>
      <c r="AX970" s="162" t="s">
        <v>6504</v>
      </c>
      <c r="AY970" s="15">
        <v>97</v>
      </c>
      <c r="AZ970" s="555" t="s">
        <v>8745</v>
      </c>
      <c r="BA970" s="559">
        <f>IF(Verso!$B$10=Voies!$B970,1,0)</f>
        <v>0</v>
      </c>
      <c r="BB970" s="12">
        <f>IF(Verso!$B$11=Voies!$B970,1,0)</f>
        <v>0</v>
      </c>
      <c r="BC970" s="12">
        <f>IF(Verso!$B$12=Voies!$B970,1,0)</f>
        <v>0</v>
      </c>
      <c r="BD970" s="12">
        <f>IF(Verso!$B$13=Voies!$B970,1,0)</f>
        <v>0</v>
      </c>
      <c r="BE970" s="12">
        <f>IF(Verso!$B$14=Voies!$B970,1,0)</f>
        <v>0</v>
      </c>
      <c r="BF970" s="12">
        <f>IF(Verso!$B$15=Voies!$B970,1,0)</f>
        <v>0</v>
      </c>
      <c r="BG970" s="12">
        <f>IF(Verso!$B$16=Voies!$B970,1,0)</f>
        <v>0</v>
      </c>
      <c r="BH970" s="12">
        <f>IF(Verso!$B$17=Voies!$B970,1,0)</f>
        <v>0</v>
      </c>
      <c r="BI970" s="557">
        <f t="shared" si="109"/>
        <v>0</v>
      </c>
      <c r="BJ970" s="196" t="str">
        <f t="shared" si="110"/>
        <v/>
      </c>
      <c r="BK970" s="196" t="str">
        <f t="shared" si="111"/>
        <v/>
      </c>
      <c r="BL970" s="295" t="str">
        <f t="shared" si="112"/>
        <v/>
      </c>
    </row>
    <row r="971" spans="1:65" ht="47.25" customHeight="1" x14ac:dyDescent="0.25">
      <c r="A971" s="162" t="str">
        <f>IF(AND(Réputation&gt;Voies!E971-1,OR(C971=TRUE,Calculs!$I$8&gt;0),Air&gt;Voies!J971-1,Eau&gt;Voies!K971-1,Feu&gt;Voies!L971-1,Terre&gt;Voies!M971-1,Vide&gt;Voies!N971-1,Constitution&gt;Voies!O971-1,Volonté&gt;Voies!P971-1,Force&gt;Voies!Q971-1,Perception&gt;Voies!R971-1,Reflexes&gt;Voies!S971-1,Agilité&gt;Voies!T971-1,Intuition&gt;Voies!U971-1,Intelligence&gt;Voies!V971-1,Souillure&gt;Voies!W971-1,Honneur&gt;X971-1,Statut&gt;Y971-1,Gloire&gt;Z971-1,AV971=TRUE),Voies!B971,"")</f>
        <v/>
      </c>
      <c r="B971" s="162" t="s">
        <v>2507</v>
      </c>
      <c r="C971" s="162" t="b">
        <f>IF(Clan=Voies!D971,TRUE,FALSE)</f>
        <v>0</v>
      </c>
      <c r="D971" s="387" t="s">
        <v>33</v>
      </c>
      <c r="E971" s="199">
        <v>2</v>
      </c>
      <c r="F971" s="199">
        <v>2</v>
      </c>
      <c r="G971" s="199" t="s">
        <v>2049</v>
      </c>
      <c r="H971" s="162" t="s">
        <v>218</v>
      </c>
      <c r="I971" s="129" t="str">
        <f t="shared" ref="I971:I977" si="113">IF(B971="","","Rien")</f>
        <v>Rien</v>
      </c>
      <c r="J971" s="146">
        <v>0</v>
      </c>
      <c r="K971" s="147">
        <v>0</v>
      </c>
      <c r="L971" s="148">
        <v>0</v>
      </c>
      <c r="M971" s="149">
        <v>0</v>
      </c>
      <c r="N971" s="150">
        <v>0</v>
      </c>
      <c r="O971" s="130">
        <v>0</v>
      </c>
      <c r="P971" s="130">
        <v>0</v>
      </c>
      <c r="Q971" s="130">
        <v>0</v>
      </c>
      <c r="R971" s="130">
        <v>0</v>
      </c>
      <c r="S971" s="130">
        <v>0</v>
      </c>
      <c r="T971" s="130">
        <v>0</v>
      </c>
      <c r="U971" s="130">
        <v>0</v>
      </c>
      <c r="V971" s="524">
        <v>0</v>
      </c>
      <c r="W971" s="130">
        <v>0</v>
      </c>
      <c r="X971" s="130">
        <v>0</v>
      </c>
      <c r="Y971" s="130">
        <v>0</v>
      </c>
      <c r="Z971" s="130">
        <v>0</v>
      </c>
      <c r="AA971" s="158" t="s">
        <v>2078</v>
      </c>
      <c r="AB971" s="158"/>
      <c r="AC971" s="158"/>
      <c r="AD971" s="158"/>
      <c r="AE971" s="158" t="b">
        <f>IF(AB971="",TRUE,IF(IF(AC971="",VLOOKUP(AB971,Calculs!$A$19:$S$425,19,FALSE),VLOOKUP(AC971,Calculs!$A$19:$S$425,19,FALSE))&gt;=AD971,TRUE,FALSE))</f>
        <v>1</v>
      </c>
      <c r="AF971" s="158"/>
      <c r="AG971" s="158"/>
      <c r="AH971" s="158"/>
      <c r="AI971" s="158" t="b">
        <f>IF(AF971="",TRUE,IF(IF(AG971="",VLOOKUP(AF971,Calculs!$A$19:$S$425,19,FALSE),VLOOKUP(AG971,Calculs!$A$19:$S$425,19,FALSE))&gt;=AH971,TRUE,FALSE))</f>
        <v>1</v>
      </c>
      <c r="AJ971" s="158"/>
      <c r="AK971" s="158"/>
      <c r="AL971" s="158"/>
      <c r="AM971" s="158" t="b">
        <f>IF(AJ971="",TRUE,IF(IF(AK971="",VLOOKUP(AJ971,Calculs!$A$19:$S$425,19,FALSE),VLOOKUP(AK971,Calculs!$A$19:$S$425,19,FALSE))&gt;=AL971,TRUE,FALSE))</f>
        <v>1</v>
      </c>
      <c r="AN971" s="158"/>
      <c r="AO971" s="158"/>
      <c r="AP971" s="158"/>
      <c r="AQ971" s="158" t="b">
        <f>IF(AN971="",TRUE,IF(IF(AO971="",VLOOKUP(AN971,Calculs!$A$19:$S$425,19,FALSE),VLOOKUP(AO971,Calculs!$A$19:$S$425,19,FALSE))&gt;=AP971,TRUE,FALSE))</f>
        <v>1</v>
      </c>
      <c r="AR971" s="158"/>
      <c r="AS971" s="158" t="b">
        <f>IF(AR971="",TRUE,IF(VLOOKUP(AR971,Calculs!$A$427:$G$738,7,FALSE)&gt;0,TRUE,FALSE))</f>
        <v>1</v>
      </c>
      <c r="AT971" s="158"/>
      <c r="AU971" s="158" t="b">
        <f>IF(AT971="",TRUE,IF(VLOOKUP(AT971,Calculs!$A$740:$G$912,7,FALSE)&gt;0,TRUE,FALSE))</f>
        <v>1</v>
      </c>
      <c r="AV971" s="158" t="b">
        <f t="shared" si="108"/>
        <v>1</v>
      </c>
      <c r="AW971" s="158" t="s">
        <v>2078</v>
      </c>
      <c r="AX971" s="162" t="s">
        <v>3</v>
      </c>
      <c r="AY971" s="15">
        <v>129</v>
      </c>
      <c r="AZ971" s="555" t="s">
        <v>2527</v>
      </c>
      <c r="BA971" s="559">
        <f>IF(Verso!$B$10=Voies!$B971,1,0)</f>
        <v>0</v>
      </c>
      <c r="BB971" s="12">
        <f>IF(Verso!$B$11=Voies!$B971,1,0)</f>
        <v>0</v>
      </c>
      <c r="BC971" s="12">
        <f>IF(Verso!$B$12=Voies!$B971,1,0)</f>
        <v>0</v>
      </c>
      <c r="BD971" s="12">
        <f>IF(Verso!$B$13=Voies!$B971,1,0)</f>
        <v>0</v>
      </c>
      <c r="BE971" s="12">
        <f>IF(Verso!$B$14=Voies!$B971,1,0)</f>
        <v>0</v>
      </c>
      <c r="BF971" s="12">
        <f>IF(Verso!$B$15=Voies!$B971,1,0)</f>
        <v>0</v>
      </c>
      <c r="BG971" s="12">
        <f>IF(Verso!$B$16=Voies!$B971,1,0)</f>
        <v>0</v>
      </c>
      <c r="BH971" s="12">
        <f>IF(Verso!$B$17=Voies!$B971,1,0)</f>
        <v>0</v>
      </c>
      <c r="BI971" s="557">
        <f t="shared" si="109"/>
        <v>0</v>
      </c>
      <c r="BJ971" s="196" t="str">
        <f t="shared" si="110"/>
        <v/>
      </c>
      <c r="BK971" s="196" t="str">
        <f t="shared" si="111"/>
        <v/>
      </c>
      <c r="BL971" s="295" t="str">
        <f t="shared" si="112"/>
        <v/>
      </c>
    </row>
    <row r="972" spans="1:65" ht="47.25" customHeight="1" x14ac:dyDescent="0.25">
      <c r="A972" s="162" t="str">
        <f>IF(AND(Réputation&gt;Voies!E972-1,OR(C972=TRUE,Calculs!$I$8&gt;0),Air&gt;Voies!J972-1,Eau&gt;Voies!K972-1,Feu&gt;Voies!L972-1,Terre&gt;Voies!M972-1,Vide&gt;Voies!N972-1,Constitution&gt;Voies!O972-1,Volonté&gt;Voies!P972-1,Force&gt;Voies!Q972-1,Perception&gt;Voies!R972-1,Reflexes&gt;Voies!S972-1,Agilité&gt;Voies!T972-1,Intuition&gt;Voies!U972-1,Intelligence&gt;Voies!V972-1,Souillure&gt;Voies!W972-1,Honneur&gt;X972-1,Statut&gt;Y972-1,Gloire&gt;Z972-1,AV972=TRUE),Voies!B972,"")</f>
        <v/>
      </c>
      <c r="B972" s="162" t="s">
        <v>4821</v>
      </c>
      <c r="C972" s="162" t="b">
        <f>IF(Clan=Voies!D972,TRUE,FALSE)</f>
        <v>0</v>
      </c>
      <c r="D972" s="387" t="s">
        <v>33</v>
      </c>
      <c r="E972" s="199">
        <v>2</v>
      </c>
      <c r="F972" s="199">
        <v>2</v>
      </c>
      <c r="G972" s="199" t="s">
        <v>2049</v>
      </c>
      <c r="H972" s="162" t="s">
        <v>220</v>
      </c>
      <c r="I972" s="129" t="str">
        <f t="shared" si="113"/>
        <v>Rien</v>
      </c>
      <c r="J972" s="146">
        <v>0</v>
      </c>
      <c r="K972" s="147">
        <v>0</v>
      </c>
      <c r="L972" s="148">
        <v>0</v>
      </c>
      <c r="M972" s="149">
        <v>0</v>
      </c>
      <c r="N972" s="150">
        <v>0</v>
      </c>
      <c r="O972" s="130">
        <v>0</v>
      </c>
      <c r="P972" s="130">
        <v>0</v>
      </c>
      <c r="Q972" s="130">
        <v>0</v>
      </c>
      <c r="R972" s="130">
        <v>0</v>
      </c>
      <c r="S972" s="130">
        <v>0</v>
      </c>
      <c r="T972" s="130">
        <v>0</v>
      </c>
      <c r="U972" s="130">
        <v>0</v>
      </c>
      <c r="V972" s="524">
        <v>0</v>
      </c>
      <c r="W972" s="130">
        <v>0</v>
      </c>
      <c r="X972" s="130">
        <v>0</v>
      </c>
      <c r="Y972" s="130">
        <v>0</v>
      </c>
      <c r="Z972" s="130">
        <v>0</v>
      </c>
      <c r="AA972" s="158" t="s">
        <v>2078</v>
      </c>
      <c r="AB972" s="158"/>
      <c r="AC972" s="158"/>
      <c r="AD972" s="158"/>
      <c r="AE972" s="158" t="b">
        <f>IF(AB972="",TRUE,IF(IF(AC972="",VLOOKUP(AB972,Calculs!$A$19:$S$425,19,FALSE),VLOOKUP(AC972,Calculs!$A$19:$S$425,19,FALSE))&gt;=AD972,TRUE,FALSE))</f>
        <v>1</v>
      </c>
      <c r="AF972" s="158"/>
      <c r="AG972" s="158"/>
      <c r="AH972" s="158"/>
      <c r="AI972" s="158" t="b">
        <f>IF(AF972="",TRUE,IF(IF(AG972="",VLOOKUP(AF972,Calculs!$A$19:$S$425,19,FALSE),VLOOKUP(AG972,Calculs!$A$19:$S$425,19,FALSE))&gt;=AH972,TRUE,FALSE))</f>
        <v>1</v>
      </c>
      <c r="AJ972" s="158"/>
      <c r="AK972" s="158"/>
      <c r="AL972" s="158"/>
      <c r="AM972" s="158" t="b">
        <f>IF(AJ972="",TRUE,IF(IF(AK972="",VLOOKUP(AJ972,Calculs!$A$19:$S$425,19,FALSE),VLOOKUP(AK972,Calculs!$A$19:$S$425,19,FALSE))&gt;=AL972,TRUE,FALSE))</f>
        <v>1</v>
      </c>
      <c r="AN972" s="158"/>
      <c r="AO972" s="158"/>
      <c r="AP972" s="158"/>
      <c r="AQ972" s="158" t="b">
        <f>IF(AN972="",TRUE,IF(IF(AO972="",VLOOKUP(AN972,Calculs!$A$19:$S$425,19,FALSE),VLOOKUP(AO972,Calculs!$A$19:$S$425,19,FALSE))&gt;=AP972,TRUE,FALSE))</f>
        <v>1</v>
      </c>
      <c r="AR972" s="158"/>
      <c r="AS972" s="158" t="b">
        <f>IF(AR972="",TRUE,IF(VLOOKUP(AR972,Calculs!$A$427:$G$738,7,FALSE)&gt;0,TRUE,FALSE))</f>
        <v>1</v>
      </c>
      <c r="AT972" s="158"/>
      <c r="AU972" s="158" t="b">
        <f>IF(AT972="",TRUE,IF(VLOOKUP(AT972,Calculs!$A$740:$G$912,7,FALSE)&gt;0,TRUE,FALSE))</f>
        <v>1</v>
      </c>
      <c r="AV972" s="158" t="b">
        <f t="shared" si="108"/>
        <v>1</v>
      </c>
      <c r="AW972" s="158" t="s">
        <v>2078</v>
      </c>
      <c r="AX972" s="162" t="s">
        <v>5202</v>
      </c>
      <c r="AY972" s="15">
        <v>171</v>
      </c>
      <c r="AZ972" s="555" t="s">
        <v>2702</v>
      </c>
      <c r="BA972" s="559">
        <f>IF(Verso!$B$10=Voies!$B972,1,0)</f>
        <v>0</v>
      </c>
      <c r="BB972" s="12">
        <f>IF(Verso!$B$11=Voies!$B972,1,0)</f>
        <v>0</v>
      </c>
      <c r="BC972" s="12">
        <f>IF(Verso!$B$12=Voies!$B972,1,0)</f>
        <v>0</v>
      </c>
      <c r="BD972" s="12">
        <f>IF(Verso!$B$13=Voies!$B972,1,0)</f>
        <v>0</v>
      </c>
      <c r="BE972" s="12">
        <f>IF(Verso!$B$14=Voies!$B972,1,0)</f>
        <v>0</v>
      </c>
      <c r="BF972" s="12">
        <f>IF(Verso!$B$15=Voies!$B972,1,0)</f>
        <v>0</v>
      </c>
      <c r="BG972" s="12">
        <f>IF(Verso!$B$16=Voies!$B972,1,0)</f>
        <v>0</v>
      </c>
      <c r="BH972" s="12">
        <f>IF(Verso!$B$17=Voies!$B972,1,0)</f>
        <v>0</v>
      </c>
      <c r="BI972" s="557">
        <f t="shared" si="109"/>
        <v>0</v>
      </c>
      <c r="BJ972" s="196" t="str">
        <f t="shared" si="110"/>
        <v/>
      </c>
      <c r="BK972" s="196" t="str">
        <f t="shared" si="111"/>
        <v/>
      </c>
      <c r="BL972" s="295" t="str">
        <f t="shared" si="112"/>
        <v/>
      </c>
    </row>
    <row r="973" spans="1:65" ht="47.25" customHeight="1" x14ac:dyDescent="0.25">
      <c r="A973" s="162" t="str">
        <f>IF(AND(Réputation&gt;Voies!E973-1,OR(C973=TRUE,Calculs!$I$8&gt;0),Air&gt;Voies!J973-1,Eau&gt;Voies!K973-1,Feu&gt;Voies!L973-1,Terre&gt;Voies!M973-1,Vide&gt;Voies!N973-1,Constitution&gt;Voies!O973-1,Volonté&gt;Voies!P973-1,Force&gt;Voies!Q973-1,Perception&gt;Voies!R973-1,Reflexes&gt;Voies!S973-1,Agilité&gt;Voies!T973-1,Intuition&gt;Voies!U973-1,Intelligence&gt;Voies!V973-1,Souillure&gt;Voies!W973-1,Honneur&gt;X973-1,Statut&gt;Y973-1,Gloire&gt;Z973-1,AV973=TRUE),Voies!B973,"")</f>
        <v/>
      </c>
      <c r="B973" s="162" t="s">
        <v>2513</v>
      </c>
      <c r="C973" s="162" t="b">
        <f>IF(Clan=Voies!D973,TRUE,FALSE)</f>
        <v>0</v>
      </c>
      <c r="D973" s="387" t="s">
        <v>33</v>
      </c>
      <c r="E973" s="13">
        <v>2</v>
      </c>
      <c r="F973" s="199">
        <v>2</v>
      </c>
      <c r="G973" s="13" t="s">
        <v>2052</v>
      </c>
      <c r="H973" s="162" t="s">
        <v>219</v>
      </c>
      <c r="I973" s="129" t="str">
        <f t="shared" si="113"/>
        <v>Rien</v>
      </c>
      <c r="J973" s="146">
        <v>0</v>
      </c>
      <c r="K973" s="147">
        <v>0</v>
      </c>
      <c r="L973" s="148">
        <v>0</v>
      </c>
      <c r="M973" s="149">
        <v>0</v>
      </c>
      <c r="N973" s="150">
        <v>0</v>
      </c>
      <c r="O973" s="130">
        <v>0</v>
      </c>
      <c r="P973" s="130">
        <v>0</v>
      </c>
      <c r="Q973" s="130">
        <v>0</v>
      </c>
      <c r="R973" s="130">
        <v>0</v>
      </c>
      <c r="S973" s="130">
        <v>0</v>
      </c>
      <c r="T973" s="130">
        <v>0</v>
      </c>
      <c r="U973" s="130">
        <v>0</v>
      </c>
      <c r="V973" s="524">
        <v>0</v>
      </c>
      <c r="W973" s="130">
        <v>0</v>
      </c>
      <c r="X973" s="130">
        <v>0</v>
      </c>
      <c r="Y973" s="130">
        <v>0</v>
      </c>
      <c r="Z973" s="130">
        <v>0</v>
      </c>
      <c r="AA973" s="158" t="s">
        <v>2078</v>
      </c>
      <c r="AB973" s="158"/>
      <c r="AC973" s="158"/>
      <c r="AD973" s="158"/>
      <c r="AE973" s="158" t="b">
        <f>IF(AB973="",TRUE,IF(IF(AC973="",VLOOKUP(AB973,Calculs!$A$19:$S$425,19,FALSE),VLOOKUP(AC973,Calculs!$A$19:$S$425,19,FALSE))&gt;=AD973,TRUE,FALSE))</f>
        <v>1</v>
      </c>
      <c r="AF973" s="158"/>
      <c r="AG973" s="158"/>
      <c r="AH973" s="158"/>
      <c r="AI973" s="158" t="b">
        <f>IF(AF973="",TRUE,IF(IF(AG973="",VLOOKUP(AF973,Calculs!$A$19:$S$425,19,FALSE),VLOOKUP(AG973,Calculs!$A$19:$S$425,19,FALSE))&gt;=AH973,TRUE,FALSE))</f>
        <v>1</v>
      </c>
      <c r="AJ973" s="158"/>
      <c r="AK973" s="158"/>
      <c r="AL973" s="158"/>
      <c r="AM973" s="158" t="b">
        <f>IF(AJ973="",TRUE,IF(IF(AK973="",VLOOKUP(AJ973,Calculs!$A$19:$S$425,19,FALSE),VLOOKUP(AK973,Calculs!$A$19:$S$425,19,FALSE))&gt;=AL973,TRUE,FALSE))</f>
        <v>1</v>
      </c>
      <c r="AN973" s="158"/>
      <c r="AO973" s="158"/>
      <c r="AP973" s="158"/>
      <c r="AQ973" s="158" t="b">
        <f>IF(AN973="",TRUE,IF(IF(AO973="",VLOOKUP(AN973,Calculs!$A$19:$S$425,19,FALSE),VLOOKUP(AO973,Calculs!$A$19:$S$425,19,FALSE))&gt;=AP973,TRUE,FALSE))</f>
        <v>1</v>
      </c>
      <c r="AR973" s="158"/>
      <c r="AS973" s="158" t="b">
        <f>IF(AR973="",TRUE,IF(VLOOKUP(AR973,Calculs!$A$427:$G$738,7,FALSE)&gt;0,TRUE,FALSE))</f>
        <v>1</v>
      </c>
      <c r="AT973" s="158"/>
      <c r="AU973" s="158" t="b">
        <f>IF(AT973="",TRUE,IF(VLOOKUP(AT973,Calculs!$A$740:$G$912,7,FALSE)&gt;0,TRUE,FALSE))</f>
        <v>1</v>
      </c>
      <c r="AV973" s="158" t="b">
        <f t="shared" si="108"/>
        <v>1</v>
      </c>
      <c r="AW973" s="158" t="s">
        <v>2078</v>
      </c>
      <c r="AX973" s="162" t="s">
        <v>3</v>
      </c>
      <c r="AY973" s="15">
        <v>131</v>
      </c>
      <c r="AZ973" s="555" t="s">
        <v>8746</v>
      </c>
      <c r="BA973" s="559">
        <f>IF(Verso!$B$10=Voies!$B973,1,0)</f>
        <v>0</v>
      </c>
      <c r="BB973" s="12">
        <f>IF(Verso!$B$11=Voies!$B973,1,0)</f>
        <v>0</v>
      </c>
      <c r="BC973" s="12">
        <f>IF(Verso!$B$12=Voies!$B973,1,0)</f>
        <v>0</v>
      </c>
      <c r="BD973" s="12">
        <f>IF(Verso!$B$13=Voies!$B973,1,0)</f>
        <v>0</v>
      </c>
      <c r="BE973" s="12">
        <f>IF(Verso!$B$14=Voies!$B973,1,0)</f>
        <v>0</v>
      </c>
      <c r="BF973" s="12">
        <f>IF(Verso!$B$15=Voies!$B973,1,0)</f>
        <v>0</v>
      </c>
      <c r="BG973" s="12">
        <f>IF(Verso!$B$16=Voies!$B973,1,0)</f>
        <v>0</v>
      </c>
      <c r="BH973" s="12">
        <f>IF(Verso!$B$17=Voies!$B973,1,0)</f>
        <v>0</v>
      </c>
      <c r="BI973" s="557">
        <f t="shared" si="109"/>
        <v>0</v>
      </c>
      <c r="BJ973" s="196" t="str">
        <f t="shared" si="110"/>
        <v/>
      </c>
      <c r="BK973" s="196" t="str">
        <f t="shared" si="111"/>
        <v/>
      </c>
      <c r="BL973" s="295" t="str">
        <f t="shared" si="112"/>
        <v/>
      </c>
    </row>
    <row r="974" spans="1:65" ht="47.25" customHeight="1" x14ac:dyDescent="0.25">
      <c r="A974" s="162" t="str">
        <f>IF(AND(Réputation&gt;Voies!E974-1,OR(C974=TRUE,Calculs!$I$8&gt;0),Air&gt;Voies!J974-1,Eau&gt;Voies!K974-1,Feu&gt;Voies!L974-1,Terre&gt;Voies!M974-1,Vide&gt;Voies!N974-1,Constitution&gt;Voies!O974-1,Volonté&gt;Voies!P974-1,Force&gt;Voies!Q974-1,Perception&gt;Voies!R974-1,Reflexes&gt;Voies!S974-1,Agilité&gt;Voies!T974-1,Intuition&gt;Voies!U974-1,Intelligence&gt;Voies!V974-1,Souillure&gt;Voies!W974-1,Honneur&gt;X974-1,Statut&gt;Y974-1,Gloire&gt;Z974-1,AV974=TRUE),Voies!B974,"")</f>
        <v/>
      </c>
      <c r="B974" s="162" t="s">
        <v>7849</v>
      </c>
      <c r="C974" s="162" t="b">
        <f>IF(Clan=Voies!D974,TRUE,FALSE)</f>
        <v>0</v>
      </c>
      <c r="D974" s="387" t="s">
        <v>33</v>
      </c>
      <c r="E974" s="199">
        <v>2</v>
      </c>
      <c r="F974" s="199">
        <v>2</v>
      </c>
      <c r="G974" s="199" t="s">
        <v>2052</v>
      </c>
      <c r="H974" s="162" t="s">
        <v>7801</v>
      </c>
      <c r="I974" s="129" t="str">
        <f t="shared" si="113"/>
        <v>Rien</v>
      </c>
      <c r="J974" s="146">
        <v>0</v>
      </c>
      <c r="K974" s="147">
        <v>0</v>
      </c>
      <c r="L974" s="148">
        <v>0</v>
      </c>
      <c r="M974" s="149">
        <v>0</v>
      </c>
      <c r="N974" s="150">
        <v>0</v>
      </c>
      <c r="O974" s="130">
        <v>0</v>
      </c>
      <c r="P974" s="130">
        <v>0</v>
      </c>
      <c r="Q974" s="130">
        <v>0</v>
      </c>
      <c r="R974" s="130">
        <v>0</v>
      </c>
      <c r="S974" s="130">
        <v>0</v>
      </c>
      <c r="T974" s="130">
        <v>0</v>
      </c>
      <c r="U974" s="130">
        <v>0</v>
      </c>
      <c r="V974" s="524">
        <v>0</v>
      </c>
      <c r="W974" s="130">
        <v>0</v>
      </c>
      <c r="X974" s="130">
        <v>0</v>
      </c>
      <c r="Y974" s="130">
        <v>0</v>
      </c>
      <c r="Z974" s="130">
        <v>0</v>
      </c>
      <c r="AA974" s="158" t="s">
        <v>2078</v>
      </c>
      <c r="AB974" s="158"/>
      <c r="AC974" s="158"/>
      <c r="AD974" s="158"/>
      <c r="AE974" s="158" t="b">
        <f>IF(AB974="",TRUE,IF(IF(AC974="",VLOOKUP(AB974,Calculs!$A$19:$S$425,19,FALSE),VLOOKUP(AC974,Calculs!$A$19:$S$425,19,FALSE))&gt;=AD974,TRUE,FALSE))</f>
        <v>1</v>
      </c>
      <c r="AF974" s="158"/>
      <c r="AG974" s="158"/>
      <c r="AH974" s="158"/>
      <c r="AI974" s="158" t="b">
        <f>IF(AF974="",TRUE,IF(IF(AG974="",VLOOKUP(AF974,Calculs!$A$19:$S$425,19,FALSE),VLOOKUP(AG974,Calculs!$A$19:$S$425,19,FALSE))&gt;=AH974,TRUE,FALSE))</f>
        <v>1</v>
      </c>
      <c r="AJ974" s="158"/>
      <c r="AK974" s="158"/>
      <c r="AL974" s="158"/>
      <c r="AM974" s="158" t="b">
        <f>IF(AJ974="",TRUE,IF(IF(AK974="",VLOOKUP(AJ974,Calculs!$A$19:$S$425,19,FALSE),VLOOKUP(AK974,Calculs!$A$19:$S$425,19,FALSE))&gt;=AL974,TRUE,FALSE))</f>
        <v>1</v>
      </c>
      <c r="AN974" s="158"/>
      <c r="AO974" s="158"/>
      <c r="AP974" s="158"/>
      <c r="AQ974" s="158" t="b">
        <f>IF(AN974="",TRUE,IF(IF(AO974="",VLOOKUP(AN974,Calculs!$A$19:$S$425,19,FALSE),VLOOKUP(AO974,Calculs!$A$19:$S$425,19,FALSE))&gt;=AP974,TRUE,FALSE))</f>
        <v>1</v>
      </c>
      <c r="AR974" s="158"/>
      <c r="AS974" s="158" t="b">
        <f>IF(AR974="",TRUE,IF(VLOOKUP(AR974,Calculs!$A$427:$G$738,7,FALSE)&gt;0,TRUE,FALSE))</f>
        <v>1</v>
      </c>
      <c r="AT974" s="158"/>
      <c r="AU974" s="158" t="b">
        <f>IF(AT974="",TRUE,IF(VLOOKUP(AT974,Calculs!$A$740:$G$912,7,FALSE)&gt;0,TRUE,FALSE))</f>
        <v>1</v>
      </c>
      <c r="AV974" s="158" t="b">
        <f t="shared" si="108"/>
        <v>1</v>
      </c>
      <c r="AW974" s="158" t="s">
        <v>2078</v>
      </c>
      <c r="AX974" s="162" t="s">
        <v>7226</v>
      </c>
      <c r="AY974" s="15">
        <v>70</v>
      </c>
      <c r="AZ974" s="555" t="s">
        <v>7854</v>
      </c>
      <c r="BA974" s="559">
        <f>IF(Verso!$B$10=Voies!$B974,1,0)</f>
        <v>0</v>
      </c>
      <c r="BB974" s="12">
        <f>IF(Verso!$B$11=Voies!$B974,1,0)</f>
        <v>0</v>
      </c>
      <c r="BC974" s="12">
        <f>IF(Verso!$B$12=Voies!$B974,1,0)</f>
        <v>0</v>
      </c>
      <c r="BD974" s="12">
        <f>IF(Verso!$B$13=Voies!$B974,1,0)</f>
        <v>0</v>
      </c>
      <c r="BE974" s="12">
        <f>IF(Verso!$B$14=Voies!$B974,1,0)</f>
        <v>0</v>
      </c>
      <c r="BF974" s="12">
        <f>IF(Verso!$B$15=Voies!$B974,1,0)</f>
        <v>0</v>
      </c>
      <c r="BG974" s="12">
        <f>IF(Verso!$B$16=Voies!$B974,1,0)</f>
        <v>0</v>
      </c>
      <c r="BH974" s="12">
        <f>IF(Verso!$B$17=Voies!$B974,1,0)</f>
        <v>0</v>
      </c>
      <c r="BI974" s="557">
        <f t="shared" si="109"/>
        <v>0</v>
      </c>
      <c r="BJ974" s="196" t="str">
        <f t="shared" si="110"/>
        <v/>
      </c>
      <c r="BK974" s="196" t="str">
        <f t="shared" si="111"/>
        <v/>
      </c>
      <c r="BL974" s="295" t="str">
        <f t="shared" si="112"/>
        <v/>
      </c>
    </row>
    <row r="975" spans="1:65" s="196" customFormat="1" ht="47.25" customHeight="1" x14ac:dyDescent="0.25">
      <c r="A975" s="162" t="str">
        <f>IF(AND(Réputation&gt;Voies!E975-1,OR(C975=TRUE,Calculs!$I$8&gt;0),Air&gt;Voies!J975-1,Eau&gt;Voies!K975-1,Feu&gt;Voies!L975-1,Terre&gt;Voies!M975-1,Vide&gt;Voies!N975-1,Constitution&gt;Voies!O975-1,Volonté&gt;Voies!P975-1,Force&gt;Voies!Q975-1,Perception&gt;Voies!R975-1,Reflexes&gt;Voies!S975-1,Agilité&gt;Voies!T975-1,Intuition&gt;Voies!U975-1,Intelligence&gt;Voies!V975-1,Souillure&gt;Voies!W975-1,Honneur&gt;X975-1,Statut&gt;Y975-1,Gloire&gt;Z975-1,AV975=TRUE),Voies!B975,"")</f>
        <v/>
      </c>
      <c r="B975" s="162" t="s">
        <v>8397</v>
      </c>
      <c r="C975" s="162" t="b">
        <f>IF(Clan=Voies!D975,TRUE,FALSE)</f>
        <v>0</v>
      </c>
      <c r="D975" s="387" t="s">
        <v>33</v>
      </c>
      <c r="E975" s="199">
        <v>2</v>
      </c>
      <c r="F975" s="199">
        <v>2</v>
      </c>
      <c r="G975" s="199" t="s">
        <v>2052</v>
      </c>
      <c r="H975" s="162" t="s">
        <v>8392</v>
      </c>
      <c r="I975" s="129" t="str">
        <f t="shared" si="113"/>
        <v>Rien</v>
      </c>
      <c r="J975" s="146">
        <v>0</v>
      </c>
      <c r="K975" s="147">
        <v>0</v>
      </c>
      <c r="L975" s="148">
        <v>0</v>
      </c>
      <c r="M975" s="149">
        <v>0</v>
      </c>
      <c r="N975" s="150">
        <v>0</v>
      </c>
      <c r="O975" s="130">
        <v>0</v>
      </c>
      <c r="P975" s="130">
        <v>0</v>
      </c>
      <c r="Q975" s="130">
        <v>0</v>
      </c>
      <c r="R975" s="130">
        <v>0</v>
      </c>
      <c r="S975" s="130">
        <v>0</v>
      </c>
      <c r="T975" s="130">
        <v>0</v>
      </c>
      <c r="U975" s="130">
        <v>0</v>
      </c>
      <c r="V975" s="524">
        <v>0</v>
      </c>
      <c r="W975" s="130">
        <v>0</v>
      </c>
      <c r="X975" s="130">
        <v>0</v>
      </c>
      <c r="Y975" s="130">
        <v>0</v>
      </c>
      <c r="Z975" s="130">
        <v>0</v>
      </c>
      <c r="AA975" s="158" t="s">
        <v>2078</v>
      </c>
      <c r="AB975" s="158"/>
      <c r="AC975" s="158"/>
      <c r="AD975" s="158"/>
      <c r="AE975" s="158" t="b">
        <f>IF(AB975="",TRUE,IF(IF(AC975="",VLOOKUP(AB975,Calculs!$A$19:$S$425,19,FALSE),VLOOKUP(AC975,Calculs!$A$19:$S$425,19,FALSE))&gt;=AD975,TRUE,FALSE))</f>
        <v>1</v>
      </c>
      <c r="AF975" s="158"/>
      <c r="AG975" s="158"/>
      <c r="AH975" s="158"/>
      <c r="AI975" s="158" t="b">
        <f>IF(AF975="",TRUE,IF(IF(AG975="",VLOOKUP(AF975,Calculs!$A$19:$S$425,19,FALSE),VLOOKUP(AG975,Calculs!$A$19:$S$425,19,FALSE))&gt;=AH975,TRUE,FALSE))</f>
        <v>1</v>
      </c>
      <c r="AJ975" s="158"/>
      <c r="AK975" s="158"/>
      <c r="AL975" s="158"/>
      <c r="AM975" s="158" t="b">
        <f>IF(AJ975="",TRUE,IF(IF(AK975="",VLOOKUP(AJ975,Calculs!$A$19:$S$425,19,FALSE),VLOOKUP(AK975,Calculs!$A$19:$S$425,19,FALSE))&gt;=AL975,TRUE,FALSE))</f>
        <v>1</v>
      </c>
      <c r="AN975" s="158"/>
      <c r="AO975" s="158"/>
      <c r="AP975" s="158"/>
      <c r="AQ975" s="158" t="b">
        <f>IF(AN975="",TRUE,IF(IF(AO975="",VLOOKUP(AN975,Calculs!$A$19:$S$425,19,FALSE),VLOOKUP(AO975,Calculs!$A$19:$S$425,19,FALSE))&gt;=AP975,TRUE,FALSE))</f>
        <v>1</v>
      </c>
      <c r="AR975" s="158"/>
      <c r="AS975" s="158" t="b">
        <f>IF(AR975="",TRUE,IF(VLOOKUP(AR975,Calculs!$A$427:$G$738,7,FALSE)&gt;0,TRUE,FALSE))</f>
        <v>1</v>
      </c>
      <c r="AT975" s="158"/>
      <c r="AU975" s="158" t="b">
        <f>IF(AT975="",TRUE,IF(VLOOKUP(AT975,Calculs!$A$740:$G$912,7,FALSE)&gt;0,TRUE,FALSE))</f>
        <v>1</v>
      </c>
      <c r="AV975" s="158" t="b">
        <f t="shared" si="108"/>
        <v>1</v>
      </c>
      <c r="AW975" s="158" t="s">
        <v>2078</v>
      </c>
      <c r="AX975" s="162" t="s">
        <v>7759</v>
      </c>
      <c r="AY975" s="15">
        <v>17</v>
      </c>
      <c r="AZ975" s="555" t="str">
        <f>CONCATENATE("Vous gagnez ",Réputation+1," AG par jour. Ces AG ne peuvent être utilisées que sur vos compétences d'Ecole. Une fois utilisées ces Augmentations Gratuites ne reviennent pas avant le jour suivant")</f>
        <v>Vous gagnez 2 AG par jour. Ces AG ne peuvent être utilisées que sur vos compétences d'Ecole. Une fois utilisées ces Augmentations Gratuites ne reviennent pas avant le jour suivant</v>
      </c>
      <c r="BA975" s="559">
        <f>IF(Verso!$B$10=Voies!$B975,1,0)</f>
        <v>0</v>
      </c>
      <c r="BB975" s="12">
        <f>IF(Verso!$B$11=Voies!$B975,1,0)</f>
        <v>0</v>
      </c>
      <c r="BC975" s="12">
        <f>IF(Verso!$B$12=Voies!$B975,1,0)</f>
        <v>0</v>
      </c>
      <c r="BD975" s="12">
        <f>IF(Verso!$B$13=Voies!$B975,1,0)</f>
        <v>0</v>
      </c>
      <c r="BE975" s="12">
        <f>IF(Verso!$B$14=Voies!$B975,1,0)</f>
        <v>0</v>
      </c>
      <c r="BF975" s="12">
        <f>IF(Verso!$B$15=Voies!$B975,1,0)</f>
        <v>0</v>
      </c>
      <c r="BG975" s="12">
        <f>IF(Verso!$B$16=Voies!$B975,1,0)</f>
        <v>0</v>
      </c>
      <c r="BH975" s="12">
        <f>IF(Verso!$B$17=Voies!$B975,1,0)</f>
        <v>0</v>
      </c>
      <c r="BI975" s="557">
        <f t="shared" si="109"/>
        <v>0</v>
      </c>
      <c r="BJ975" s="196" t="str">
        <f t="shared" si="110"/>
        <v/>
      </c>
      <c r="BK975" s="196" t="str">
        <f t="shared" si="111"/>
        <v/>
      </c>
      <c r="BL975" s="295" t="str">
        <f t="shared" si="112"/>
        <v/>
      </c>
      <c r="BM975" s="91"/>
    </row>
    <row r="976" spans="1:65" ht="47.25" customHeight="1" x14ac:dyDescent="0.25">
      <c r="A976" s="162" t="str">
        <f>IF(AND(Réputation&gt;Voies!E976-1,OR(C976=TRUE,Calculs!$I$8&gt;0),Air&gt;Voies!J976-1,Eau&gt;Voies!K976-1,Feu&gt;Voies!L976-1,Terre&gt;Voies!M976-1,Vide&gt;Voies!N976-1,Constitution&gt;Voies!O976-1,Volonté&gt;Voies!P976-1,Force&gt;Voies!Q976-1,Perception&gt;Voies!R976-1,Reflexes&gt;Voies!S976-1,Agilité&gt;Voies!T976-1,Intuition&gt;Voies!U976-1,Intelligence&gt;Voies!V976-1,Souillure&gt;Voies!W976-1,Honneur&gt;X976-1,Statut&gt;Y976-1,Gloire&gt;Z976-1,AV976=TRUE),Voies!B976,"")</f>
        <v/>
      </c>
      <c r="B976" s="162" t="s">
        <v>6110</v>
      </c>
      <c r="C976" s="162" t="b">
        <f>IF(Clan=Voies!D976,TRUE,FALSE)</f>
        <v>0</v>
      </c>
      <c r="D976" s="387" t="s">
        <v>33</v>
      </c>
      <c r="E976" s="199">
        <v>2</v>
      </c>
      <c r="F976" s="199">
        <v>2</v>
      </c>
      <c r="G976" s="199" t="s">
        <v>2060</v>
      </c>
      <c r="H976" s="162" t="s">
        <v>6107</v>
      </c>
      <c r="I976" s="129" t="str">
        <f t="shared" si="113"/>
        <v>Rien</v>
      </c>
      <c r="J976" s="146">
        <v>0</v>
      </c>
      <c r="K976" s="147">
        <v>0</v>
      </c>
      <c r="L976" s="148">
        <v>0</v>
      </c>
      <c r="M976" s="149">
        <v>0</v>
      </c>
      <c r="N976" s="150">
        <v>0</v>
      </c>
      <c r="O976" s="130">
        <v>0</v>
      </c>
      <c r="P976" s="130">
        <v>0</v>
      </c>
      <c r="Q976" s="130">
        <v>0</v>
      </c>
      <c r="R976" s="130">
        <v>0</v>
      </c>
      <c r="S976" s="130">
        <v>0</v>
      </c>
      <c r="T976" s="130">
        <v>0</v>
      </c>
      <c r="U976" s="130">
        <v>0</v>
      </c>
      <c r="V976" s="524">
        <v>0</v>
      </c>
      <c r="W976" s="130">
        <v>0</v>
      </c>
      <c r="X976" s="130">
        <v>0</v>
      </c>
      <c r="Y976" s="130">
        <v>0</v>
      </c>
      <c r="Z976" s="130">
        <v>0</v>
      </c>
      <c r="AA976" s="158" t="s">
        <v>2078</v>
      </c>
      <c r="AB976" s="158"/>
      <c r="AC976" s="158"/>
      <c r="AD976" s="158"/>
      <c r="AE976" s="158" t="b">
        <f>IF(AB976="",TRUE,IF(IF(AC976="",VLOOKUP(AB976,Calculs!$A$19:$S$425,19,FALSE),VLOOKUP(AC976,Calculs!$A$19:$S$425,19,FALSE))&gt;=AD976,TRUE,FALSE))</f>
        <v>1</v>
      </c>
      <c r="AF976" s="158"/>
      <c r="AG976" s="158"/>
      <c r="AH976" s="158"/>
      <c r="AI976" s="158" t="b">
        <f>IF(AF976="",TRUE,IF(IF(AG976="",VLOOKUP(AF976,Calculs!$A$19:$S$425,19,FALSE),VLOOKUP(AG976,Calculs!$A$19:$S$425,19,FALSE))&gt;=AH976,TRUE,FALSE))</f>
        <v>1</v>
      </c>
      <c r="AJ976" s="158"/>
      <c r="AK976" s="158"/>
      <c r="AL976" s="158"/>
      <c r="AM976" s="158" t="b">
        <f>IF(AJ976="",TRUE,IF(IF(AK976="",VLOOKUP(AJ976,Calculs!$A$19:$S$425,19,FALSE),VLOOKUP(AK976,Calculs!$A$19:$S$425,19,FALSE))&gt;=AL976,TRUE,FALSE))</f>
        <v>1</v>
      </c>
      <c r="AN976" s="158"/>
      <c r="AO976" s="158"/>
      <c r="AP976" s="158"/>
      <c r="AQ976" s="158" t="b">
        <f>IF(AN976="",TRUE,IF(IF(AO976="",VLOOKUP(AN976,Calculs!$A$19:$S$425,19,FALSE),VLOOKUP(AO976,Calculs!$A$19:$S$425,19,FALSE))&gt;=AP976,TRUE,FALSE))</f>
        <v>1</v>
      </c>
      <c r="AR976" s="158"/>
      <c r="AS976" s="158" t="b">
        <f>IF(AR976="",TRUE,IF(VLOOKUP(AR976,Calculs!$A$427:$G$738,7,FALSE)&gt;0,TRUE,FALSE))</f>
        <v>1</v>
      </c>
      <c r="AT976" s="158"/>
      <c r="AU976" s="158" t="b">
        <f>IF(AT976="",TRUE,IF(VLOOKUP(AT976,Calculs!$A$740:$G$912,7,FALSE)&gt;0,TRUE,FALSE))</f>
        <v>1</v>
      </c>
      <c r="AV976" s="158" t="b">
        <f t="shared" si="108"/>
        <v>1</v>
      </c>
      <c r="AW976" s="158" t="s">
        <v>2078</v>
      </c>
      <c r="AX976" s="162" t="s">
        <v>6061</v>
      </c>
      <c r="AY976" s="15">
        <v>256</v>
      </c>
      <c r="AZ976" s="566" t="s">
        <v>2902</v>
      </c>
      <c r="BA976" s="559">
        <f>IF(Verso!$B$10=Voies!$B976,1,0)</f>
        <v>0</v>
      </c>
      <c r="BB976" s="12">
        <f>IF(Verso!$B$11=Voies!$B976,1,0)</f>
        <v>0</v>
      </c>
      <c r="BC976" s="12">
        <f>IF(Verso!$B$12=Voies!$B976,1,0)</f>
        <v>0</v>
      </c>
      <c r="BD976" s="12">
        <f>IF(Verso!$B$13=Voies!$B976,1,0)</f>
        <v>0</v>
      </c>
      <c r="BE976" s="12">
        <f>IF(Verso!$B$14=Voies!$B976,1,0)</f>
        <v>0</v>
      </c>
      <c r="BF976" s="12">
        <f>IF(Verso!$B$15=Voies!$B976,1,0)</f>
        <v>0</v>
      </c>
      <c r="BG976" s="12">
        <f>IF(Verso!$B$16=Voies!$B976,1,0)</f>
        <v>0</v>
      </c>
      <c r="BH976" s="12">
        <f>IF(Verso!$B$17=Voies!$B976,1,0)</f>
        <v>0</v>
      </c>
      <c r="BI976" s="557">
        <f t="shared" si="109"/>
        <v>0</v>
      </c>
      <c r="BJ976" s="196" t="str">
        <f t="shared" si="110"/>
        <v/>
      </c>
      <c r="BK976" s="196" t="str">
        <f t="shared" si="111"/>
        <v/>
      </c>
      <c r="BL976" s="295" t="str">
        <f t="shared" si="112"/>
        <v/>
      </c>
    </row>
    <row r="977" spans="1:65" ht="47.25" customHeight="1" x14ac:dyDescent="0.25">
      <c r="A977" s="162" t="str">
        <f>IF(AND(Réputation&gt;Voies!E977-1,OR(C977=TRUE,Calculs!$I$8&gt;0),Air&gt;Voies!J977-1,Eau&gt;Voies!K977-1,Feu&gt;Voies!L977-1,Terre&gt;Voies!M977-1,Vide&gt;Voies!N977-1,Constitution&gt;Voies!O977-1,Volonté&gt;Voies!P977-1,Force&gt;Voies!Q977-1,Perception&gt;Voies!R977-1,Reflexes&gt;Voies!S977-1,Agilité&gt;Voies!T977-1,Intuition&gt;Voies!U977-1,Intelligence&gt;Voies!V977-1,Souillure&gt;Voies!W977-1,Honneur&gt;X977-1,Statut&gt;Y977-1,Gloire&gt;Z977-1,AV977=TRUE),Voies!B977,"")</f>
        <v/>
      </c>
      <c r="B977" s="162" t="s">
        <v>2518</v>
      </c>
      <c r="C977" s="162" t="b">
        <f>IF(Clan=Voies!D977,TRUE,FALSE)</f>
        <v>0</v>
      </c>
      <c r="D977" s="387" t="s">
        <v>33</v>
      </c>
      <c r="E977" s="13">
        <v>2</v>
      </c>
      <c r="F977" s="199">
        <v>2</v>
      </c>
      <c r="G977" s="13" t="s">
        <v>2060</v>
      </c>
      <c r="H977" s="162" t="s">
        <v>222</v>
      </c>
      <c r="I977" s="129" t="str">
        <f t="shared" si="113"/>
        <v>Rien</v>
      </c>
      <c r="J977" s="146">
        <v>0</v>
      </c>
      <c r="K977" s="147">
        <v>0</v>
      </c>
      <c r="L977" s="148">
        <v>0</v>
      </c>
      <c r="M977" s="149">
        <v>0</v>
      </c>
      <c r="N977" s="150">
        <v>0</v>
      </c>
      <c r="O977" s="130">
        <v>0</v>
      </c>
      <c r="P977" s="130">
        <v>0</v>
      </c>
      <c r="Q977" s="130">
        <v>0</v>
      </c>
      <c r="R977" s="130">
        <v>0</v>
      </c>
      <c r="S977" s="130">
        <v>0</v>
      </c>
      <c r="T977" s="130">
        <v>0</v>
      </c>
      <c r="U977" s="130">
        <v>0</v>
      </c>
      <c r="V977" s="524">
        <v>0</v>
      </c>
      <c r="W977" s="130">
        <v>0</v>
      </c>
      <c r="X977" s="130">
        <v>0</v>
      </c>
      <c r="Y977" s="130">
        <v>0</v>
      </c>
      <c r="Z977" s="130">
        <v>0</v>
      </c>
      <c r="AA977" s="158" t="s">
        <v>2078</v>
      </c>
      <c r="AB977" s="158"/>
      <c r="AC977" s="158"/>
      <c r="AD977" s="158"/>
      <c r="AE977" s="158" t="b">
        <f>IF(AB977="",TRUE,IF(IF(AC977="",VLOOKUP(AB977,Calculs!$A$19:$S$425,19,FALSE),VLOOKUP(AC977,Calculs!$A$19:$S$425,19,FALSE))&gt;=AD977,TRUE,FALSE))</f>
        <v>1</v>
      </c>
      <c r="AF977" s="158"/>
      <c r="AG977" s="158"/>
      <c r="AH977" s="158"/>
      <c r="AI977" s="158" t="b">
        <f>IF(AF977="",TRUE,IF(IF(AG977="",VLOOKUP(AF977,Calculs!$A$19:$S$425,19,FALSE),VLOOKUP(AG977,Calculs!$A$19:$S$425,19,FALSE))&gt;=AH977,TRUE,FALSE))</f>
        <v>1</v>
      </c>
      <c r="AJ977" s="158"/>
      <c r="AK977" s="158"/>
      <c r="AL977" s="158"/>
      <c r="AM977" s="158" t="b">
        <f>IF(AJ977="",TRUE,IF(IF(AK977="",VLOOKUP(AJ977,Calculs!$A$19:$S$425,19,FALSE),VLOOKUP(AK977,Calculs!$A$19:$S$425,19,FALSE))&gt;=AL977,TRUE,FALSE))</f>
        <v>1</v>
      </c>
      <c r="AN977" s="158"/>
      <c r="AO977" s="158"/>
      <c r="AP977" s="158"/>
      <c r="AQ977" s="158" t="b">
        <f>IF(AN977="",TRUE,IF(IF(AO977="",VLOOKUP(AN977,Calculs!$A$19:$S$425,19,FALSE),VLOOKUP(AO977,Calculs!$A$19:$S$425,19,FALSE))&gt;=AP977,TRUE,FALSE))</f>
        <v>1</v>
      </c>
      <c r="AR977" s="158"/>
      <c r="AS977" s="158" t="b">
        <f>IF(AR977="",TRUE,IF(VLOOKUP(AR977,Calculs!$A$427:$G$738,7,FALSE)&gt;0,TRUE,FALSE))</f>
        <v>1</v>
      </c>
      <c r="AT977" s="158"/>
      <c r="AU977" s="158" t="b">
        <f>IF(AT977="",TRUE,IF(VLOOKUP(AT977,Calculs!$A$740:$G$912,7,FALSE)&gt;0,TRUE,FALSE))</f>
        <v>1</v>
      </c>
      <c r="AV977" s="158" t="b">
        <f t="shared" si="108"/>
        <v>1</v>
      </c>
      <c r="AW977" s="158" t="s">
        <v>2078</v>
      </c>
      <c r="AX977" s="162" t="s">
        <v>3</v>
      </c>
      <c r="AY977" s="15">
        <v>132</v>
      </c>
      <c r="AZ977" s="555" t="s">
        <v>2530</v>
      </c>
      <c r="BA977" s="559">
        <f>IF(Verso!$B$10=Voies!$B977,1,0)</f>
        <v>0</v>
      </c>
      <c r="BB977" s="12">
        <f>IF(Verso!$B$11=Voies!$B977,1,0)</f>
        <v>0</v>
      </c>
      <c r="BC977" s="12">
        <f>IF(Verso!$B$12=Voies!$B977,1,0)</f>
        <v>0</v>
      </c>
      <c r="BD977" s="12">
        <f>IF(Verso!$B$13=Voies!$B977,1,0)</f>
        <v>0</v>
      </c>
      <c r="BE977" s="12">
        <f>IF(Verso!$B$14=Voies!$B977,1,0)</f>
        <v>0</v>
      </c>
      <c r="BF977" s="12">
        <f>IF(Verso!$B$15=Voies!$B977,1,0)</f>
        <v>0</v>
      </c>
      <c r="BG977" s="12">
        <f>IF(Verso!$B$16=Voies!$B977,1,0)</f>
        <v>0</v>
      </c>
      <c r="BH977" s="12">
        <f>IF(Verso!$B$17=Voies!$B977,1,0)</f>
        <v>0</v>
      </c>
      <c r="BI977" s="557">
        <f t="shared" si="109"/>
        <v>0</v>
      </c>
      <c r="BJ977" s="196" t="str">
        <f t="shared" si="110"/>
        <v/>
      </c>
      <c r="BK977" s="196" t="str">
        <f t="shared" si="111"/>
        <v/>
      </c>
      <c r="BL977" s="295" t="str">
        <f t="shared" si="112"/>
        <v/>
      </c>
    </row>
    <row r="978" spans="1:65" ht="47.25" customHeight="1" x14ac:dyDescent="0.25">
      <c r="A978" s="162" t="str">
        <f>IF(AND(Réputation&gt;Voies!E978-1,OR(C978=TRUE,Calculs!$I$8&gt;0),Air&gt;Voies!J978-1,Eau&gt;Voies!K978-1,Feu&gt;Voies!L978-1,Terre&gt;Voies!M978-1,Vide&gt;Voies!N978-1,Constitution&gt;Voies!O978-1,Volonté&gt;Voies!P978-1,Force&gt;Voies!Q978-1,Perception&gt;Voies!R978-1,Reflexes&gt;Voies!S978-1,Agilité&gt;Voies!T978-1,Intuition&gt;Voies!U978-1,Intelligence&gt;Voies!V978-1,Souillure&gt;Voies!W978-1,Honneur&gt;X978-1,Statut&gt;Y978-1,Gloire&gt;Z978-1,AV978=TRUE),Voies!B978,"")</f>
        <v/>
      </c>
      <c r="B978" s="162" t="s">
        <v>3737</v>
      </c>
      <c r="C978" s="162" t="b">
        <f>IF(Clan=Voies!D978,TRUE,FALSE)</f>
        <v>0</v>
      </c>
      <c r="D978" s="387" t="s">
        <v>33</v>
      </c>
      <c r="E978" s="157">
        <v>3</v>
      </c>
      <c r="F978" s="157">
        <v>3</v>
      </c>
      <c r="G978" s="157" t="s">
        <v>2078</v>
      </c>
      <c r="H978" s="162" t="s">
        <v>527</v>
      </c>
      <c r="I978" s="129" t="s">
        <v>3357</v>
      </c>
      <c r="J978" s="146">
        <v>0</v>
      </c>
      <c r="K978" s="147">
        <v>0</v>
      </c>
      <c r="L978" s="148">
        <v>0</v>
      </c>
      <c r="M978" s="149">
        <v>0</v>
      </c>
      <c r="N978" s="150">
        <v>0</v>
      </c>
      <c r="O978" s="130">
        <v>0</v>
      </c>
      <c r="P978" s="130">
        <v>0</v>
      </c>
      <c r="Q978" s="130">
        <v>0</v>
      </c>
      <c r="R978" s="130">
        <v>0</v>
      </c>
      <c r="S978" s="130">
        <v>0</v>
      </c>
      <c r="T978" s="130">
        <v>0</v>
      </c>
      <c r="U978" s="130">
        <v>0</v>
      </c>
      <c r="V978" s="524">
        <v>0</v>
      </c>
      <c r="W978" s="130">
        <v>0</v>
      </c>
      <c r="X978" s="130">
        <v>0</v>
      </c>
      <c r="Y978" s="130">
        <v>0</v>
      </c>
      <c r="Z978" s="130">
        <v>0</v>
      </c>
      <c r="AA978" s="159" t="s">
        <v>6349</v>
      </c>
      <c r="AB978" s="159" t="s">
        <v>3325</v>
      </c>
      <c r="AD978" s="159">
        <v>3</v>
      </c>
      <c r="AE978" s="158" t="b">
        <f>IF(AB978="",TRUE,IF(IF(AC978="",VLOOKUP(AB978,Calculs!$A$19:$S$425,19,FALSE),VLOOKUP(AC978,Calculs!$A$19:$S$425,19,FALSE))&gt;=AD978,TRUE,FALSE))</f>
        <v>0</v>
      </c>
      <c r="AI978" s="158" t="b">
        <f>IF(AF978="",TRUE,IF(IF(AG978="",VLOOKUP(AF978,Calculs!$A$19:$S$425,19,FALSE),VLOOKUP(AG978,Calculs!$A$19:$S$425,19,FALSE))&gt;=AH978,TRUE,FALSE))</f>
        <v>1</v>
      </c>
      <c r="AM978" s="158" t="b">
        <f>IF(AJ978="",TRUE,IF(IF(AK978="",VLOOKUP(AJ978,Calculs!$A$19:$S$425,19,FALSE),VLOOKUP(AK978,Calculs!$A$19:$S$425,19,FALSE))&gt;=AL978,TRUE,FALSE))</f>
        <v>1</v>
      </c>
      <c r="AQ978" s="158" t="b">
        <f>IF(AN978="",TRUE,IF(IF(AO978="",VLOOKUP(AN978,Calculs!$A$19:$S$425,19,FALSE),VLOOKUP(AO978,Calculs!$A$19:$S$425,19,FALSE))&gt;=AP978,TRUE,FALSE))</f>
        <v>1</v>
      </c>
      <c r="AR978" s="158"/>
      <c r="AS978" s="158" t="b">
        <f>IF(AR978="",TRUE,IF(VLOOKUP(AR978,Calculs!$A$427:$G$738,7,FALSE)&gt;0,TRUE,FALSE))</f>
        <v>1</v>
      </c>
      <c r="AT978" s="158"/>
      <c r="AU978" s="158" t="b">
        <f>IF(AT978="",TRUE,IF(VLOOKUP(AT978,Calculs!$A$740:$G$912,7,FALSE)&gt;0,TRUE,FALSE))</f>
        <v>1</v>
      </c>
      <c r="AV978" s="158" t="b">
        <f t="shared" si="108"/>
        <v>0</v>
      </c>
      <c r="AW978" s="158" t="s">
        <v>2078</v>
      </c>
      <c r="AX978" s="162" t="s">
        <v>2921</v>
      </c>
      <c r="AY978" s="15">
        <v>100</v>
      </c>
      <c r="AZ978" s="566" t="s">
        <v>8747</v>
      </c>
      <c r="BA978" s="559">
        <f>IF(Verso!$B$10=Voies!$B978,1,0)</f>
        <v>0</v>
      </c>
      <c r="BB978" s="12">
        <f>IF(Verso!$B$11=Voies!$B978,1,0)</f>
        <v>0</v>
      </c>
      <c r="BC978" s="12">
        <f>IF(Verso!$B$12=Voies!$B978,1,0)</f>
        <v>0</v>
      </c>
      <c r="BD978" s="12">
        <f>IF(Verso!$B$13=Voies!$B978,1,0)</f>
        <v>0</v>
      </c>
      <c r="BE978" s="12">
        <f>IF(Verso!$B$14=Voies!$B978,1,0)</f>
        <v>0</v>
      </c>
      <c r="BF978" s="12">
        <f>IF(Verso!$B$15=Voies!$B978,1,0)</f>
        <v>0</v>
      </c>
      <c r="BG978" s="12">
        <f>IF(Verso!$B$16=Voies!$B978,1,0)</f>
        <v>0</v>
      </c>
      <c r="BH978" s="12">
        <f>IF(Verso!$B$17=Voies!$B978,1,0)</f>
        <v>0</v>
      </c>
      <c r="BI978" s="557">
        <f t="shared" si="109"/>
        <v>0</v>
      </c>
      <c r="BJ978" s="196" t="str">
        <f t="shared" si="110"/>
        <v/>
      </c>
      <c r="BK978" s="196" t="str">
        <f t="shared" si="111"/>
        <v/>
      </c>
      <c r="BL978" s="295" t="str">
        <f t="shared" si="112"/>
        <v/>
      </c>
    </row>
    <row r="979" spans="1:65" ht="47.25" customHeight="1" x14ac:dyDescent="0.25">
      <c r="A979" s="162" t="str">
        <f>IF(AND(Réputation&gt;Voies!E979-1,OR(C979=TRUE,Calculs!$I$8&gt;0),Air&gt;Voies!J979-1,Eau&gt;Voies!K979-1,Feu&gt;Voies!L979-1,Terre&gt;Voies!M979-1,Vide&gt;Voies!N979-1,Constitution&gt;Voies!O979-1,Volonté&gt;Voies!P979-1,Force&gt;Voies!Q979-1,Perception&gt;Voies!R979-1,Reflexes&gt;Voies!S979-1,Agilité&gt;Voies!T979-1,Intuition&gt;Voies!U979-1,Intelligence&gt;Voies!V979-1,Souillure&gt;Voies!W979-1,Honneur&gt;X979-1,Statut&gt;Y979-1,Gloire&gt;Z979-1,AV979=TRUE),Voies!B979,"")</f>
        <v/>
      </c>
      <c r="B979" s="162" t="s">
        <v>3735</v>
      </c>
      <c r="C979" s="162" t="b">
        <f>IF(Clan=Voies!D979,TRUE,FALSE)</f>
        <v>0</v>
      </c>
      <c r="D979" s="387" t="s">
        <v>33</v>
      </c>
      <c r="E979" s="157">
        <v>3</v>
      </c>
      <c r="F979" s="157">
        <v>3</v>
      </c>
      <c r="G979" s="157" t="s">
        <v>2078</v>
      </c>
      <c r="H979" s="162" t="s">
        <v>527</v>
      </c>
      <c r="I979" s="129" t="s">
        <v>3736</v>
      </c>
      <c r="J979" s="146">
        <v>0</v>
      </c>
      <c r="K979" s="147">
        <v>0</v>
      </c>
      <c r="L979" s="148">
        <v>0</v>
      </c>
      <c r="M979" s="149">
        <v>0</v>
      </c>
      <c r="N979" s="150">
        <v>0</v>
      </c>
      <c r="O979" s="130">
        <v>0</v>
      </c>
      <c r="P979" s="130">
        <v>0</v>
      </c>
      <c r="Q979" s="130">
        <v>0</v>
      </c>
      <c r="R979" s="130">
        <v>0</v>
      </c>
      <c r="S979" s="130">
        <v>0</v>
      </c>
      <c r="T979" s="130">
        <v>0</v>
      </c>
      <c r="U979" s="130">
        <v>0</v>
      </c>
      <c r="V979" s="524">
        <v>0</v>
      </c>
      <c r="W979" s="130">
        <v>0</v>
      </c>
      <c r="X979" s="130">
        <v>0</v>
      </c>
      <c r="Y979" s="130">
        <v>0</v>
      </c>
      <c r="Z979" s="130">
        <v>0</v>
      </c>
      <c r="AA979" s="159" t="s">
        <v>6350</v>
      </c>
      <c r="AB979" s="159" t="s">
        <v>3325</v>
      </c>
      <c r="AC979" s="159" t="s">
        <v>3213</v>
      </c>
      <c r="AD979" s="159">
        <v>3</v>
      </c>
      <c r="AE979" s="158" t="b">
        <f>IF(AB979="",TRUE,IF(IF(AC979="",VLOOKUP(AB979,Calculs!$A$19:$S$425,19,FALSE),VLOOKUP(AC979,Calculs!$A$19:$S$425,19,FALSE))&gt;=AD979,TRUE,FALSE))</f>
        <v>0</v>
      </c>
      <c r="AI979" s="158" t="b">
        <f>IF(AF979="",TRUE,IF(IF(AG979="",VLOOKUP(AF979,Calculs!$A$19:$S$425,19,FALSE),VLOOKUP(AG979,Calculs!$A$19:$S$425,19,FALSE))&gt;=AH979,TRUE,FALSE))</f>
        <v>1</v>
      </c>
      <c r="AM979" s="158" t="b">
        <f>IF(AJ979="",TRUE,IF(IF(AK979="",VLOOKUP(AJ979,Calculs!$A$19:$S$425,19,FALSE),VLOOKUP(AK979,Calculs!$A$19:$S$425,19,FALSE))&gt;=AL979,TRUE,FALSE))</f>
        <v>1</v>
      </c>
      <c r="AQ979" s="158" t="b">
        <f>IF(AN979="",TRUE,IF(IF(AO979="",VLOOKUP(AN979,Calculs!$A$19:$S$425,19,FALSE),VLOOKUP(AO979,Calculs!$A$19:$S$425,19,FALSE))&gt;=AP979,TRUE,FALSE))</f>
        <v>1</v>
      </c>
      <c r="AR979" s="158"/>
      <c r="AS979" s="158" t="b">
        <f>IF(AR979="",TRUE,IF(VLOOKUP(AR979,Calculs!$A$427:$G$738,7,FALSE)&gt;0,TRUE,FALSE))</f>
        <v>1</v>
      </c>
      <c r="AT979" s="158"/>
      <c r="AU979" s="158" t="b">
        <f>IF(AT979="",TRUE,IF(VLOOKUP(AT979,Calculs!$A$740:$G$912,7,FALSE)&gt;0,TRUE,FALSE))</f>
        <v>1</v>
      </c>
      <c r="AV979" s="158" t="b">
        <f t="shared" si="108"/>
        <v>0</v>
      </c>
      <c r="AW979" s="158" t="s">
        <v>2078</v>
      </c>
      <c r="AX979" s="162" t="s">
        <v>2921</v>
      </c>
      <c r="AY979" s="15">
        <v>100</v>
      </c>
      <c r="AZ979" s="566" t="s">
        <v>8748</v>
      </c>
      <c r="BA979" s="559">
        <f>IF(Verso!$B$10=Voies!$B979,1,0)</f>
        <v>0</v>
      </c>
      <c r="BB979" s="12">
        <f>IF(Verso!$B$11=Voies!$B979,1,0)</f>
        <v>0</v>
      </c>
      <c r="BC979" s="12">
        <f>IF(Verso!$B$12=Voies!$B979,1,0)</f>
        <v>0</v>
      </c>
      <c r="BD979" s="12">
        <f>IF(Verso!$B$13=Voies!$B979,1,0)</f>
        <v>0</v>
      </c>
      <c r="BE979" s="12">
        <f>IF(Verso!$B$14=Voies!$B979,1,0)</f>
        <v>0</v>
      </c>
      <c r="BF979" s="12">
        <f>IF(Verso!$B$15=Voies!$B979,1,0)</f>
        <v>0</v>
      </c>
      <c r="BG979" s="12">
        <f>IF(Verso!$B$16=Voies!$B979,1,0)</f>
        <v>0</v>
      </c>
      <c r="BH979" s="12">
        <f>IF(Verso!$B$17=Voies!$B979,1,0)</f>
        <v>0</v>
      </c>
      <c r="BI979" s="557">
        <f t="shared" si="109"/>
        <v>0</v>
      </c>
      <c r="BJ979" s="196" t="str">
        <f t="shared" si="110"/>
        <v/>
      </c>
      <c r="BK979" s="196" t="str">
        <f t="shared" si="111"/>
        <v/>
      </c>
      <c r="BL979" s="295" t="str">
        <f t="shared" si="112"/>
        <v/>
      </c>
    </row>
    <row r="980" spans="1:65" ht="47.25" customHeight="1" x14ac:dyDescent="0.25">
      <c r="A980" s="162" t="str">
        <f>IF(AND(Réputation&gt;Voies!E980-1,OR(C980=TRUE,Calculs!$I$8&gt;0),Air&gt;Voies!J980-1,Eau&gt;Voies!K980-1,Feu&gt;Voies!L980-1,Terre&gt;Voies!M980-1,Vide&gt;Voies!N980-1,Constitution&gt;Voies!O980-1,Volonté&gt;Voies!P980-1,Force&gt;Voies!Q980-1,Perception&gt;Voies!R980-1,Reflexes&gt;Voies!S980-1,Agilité&gt;Voies!T980-1,Intuition&gt;Voies!U980-1,Intelligence&gt;Voies!V980-1,Souillure&gt;Voies!W980-1,Honneur&gt;X980-1,Statut&gt;Y980-1,Gloire&gt;Z980-1,AV980=TRUE),Voies!B980,"")</f>
        <v/>
      </c>
      <c r="B980" s="162" t="s">
        <v>3230</v>
      </c>
      <c r="C980" s="162" t="b">
        <f>IF(Clan=Voies!D980,TRUE,FALSE)</f>
        <v>0</v>
      </c>
      <c r="D980" s="387" t="s">
        <v>33</v>
      </c>
      <c r="E980" s="199">
        <v>3</v>
      </c>
      <c r="F980" s="199">
        <v>3</v>
      </c>
      <c r="G980" s="199" t="s">
        <v>2049</v>
      </c>
      <c r="H980" s="162" t="s">
        <v>593</v>
      </c>
      <c r="I980" s="129" t="s">
        <v>3228</v>
      </c>
      <c r="J980" s="146">
        <v>0</v>
      </c>
      <c r="K980" s="147">
        <v>0</v>
      </c>
      <c r="L980" s="148">
        <v>0</v>
      </c>
      <c r="M980" s="149">
        <v>0</v>
      </c>
      <c r="N980" s="150">
        <v>0</v>
      </c>
      <c r="O980" s="130">
        <v>0</v>
      </c>
      <c r="P980" s="130">
        <v>0</v>
      </c>
      <c r="Q980" s="130">
        <v>0</v>
      </c>
      <c r="R980" s="130">
        <v>0</v>
      </c>
      <c r="S980" s="130">
        <v>0</v>
      </c>
      <c r="T980" s="130">
        <v>0</v>
      </c>
      <c r="U980" s="130">
        <v>0</v>
      </c>
      <c r="V980" s="524">
        <v>0</v>
      </c>
      <c r="W980" s="130">
        <v>0</v>
      </c>
      <c r="X980" s="130">
        <v>0</v>
      </c>
      <c r="Y980" s="130">
        <v>0</v>
      </c>
      <c r="Z980" s="130">
        <v>0</v>
      </c>
      <c r="AA980" s="159" t="s">
        <v>3229</v>
      </c>
      <c r="AB980" s="159" t="s">
        <v>351</v>
      </c>
      <c r="AD980" s="159">
        <v>3</v>
      </c>
      <c r="AE980" s="158" t="b">
        <f>IF(AB980="",TRUE,IF(IF(AC980="",VLOOKUP(AB980,Calculs!$A$19:$S$425,19,FALSE),VLOOKUP(AC980,Calculs!$A$19:$S$425,19,FALSE))&gt;=AD980,TRUE,FALSE))</f>
        <v>0</v>
      </c>
      <c r="AI980" s="158" t="b">
        <f>IF(AF980="",TRUE,IF(IF(AG980="",VLOOKUP(AF980,Calculs!$A$19:$S$425,19,FALSE),VLOOKUP(AG980,Calculs!$A$19:$S$425,19,FALSE))&gt;=AH980,TRUE,FALSE))</f>
        <v>1</v>
      </c>
      <c r="AM980" s="158" t="b">
        <f>IF(AJ980="",TRUE,IF(IF(AK980="",VLOOKUP(AJ980,Calculs!$A$19:$S$425,19,FALSE),VLOOKUP(AK980,Calculs!$A$19:$S$425,19,FALSE))&gt;=AL980,TRUE,FALSE))</f>
        <v>1</v>
      </c>
      <c r="AQ980" s="158" t="b">
        <f>IF(AN980="",TRUE,IF(IF(AO980="",VLOOKUP(AN980,Calculs!$A$19:$S$425,19,FALSE),VLOOKUP(AO980,Calculs!$A$19:$S$425,19,FALSE))&gt;=AP980,TRUE,FALSE))</f>
        <v>1</v>
      </c>
      <c r="AR980" s="158"/>
      <c r="AS980" s="158" t="b">
        <f>IF(AR980="",TRUE,IF(VLOOKUP(AR980,Calculs!$A$427:$G$738,7,FALSE)&gt;0,TRUE,FALSE))</f>
        <v>1</v>
      </c>
      <c r="AT980" s="158"/>
      <c r="AU980" s="158" t="b">
        <f>IF(AT980="",TRUE,IF(VLOOKUP(AT980,Calculs!$A$740:$G$912,7,FALSE)&gt;0,TRUE,FALSE))</f>
        <v>1</v>
      </c>
      <c r="AV980" s="158" t="b">
        <f t="shared" si="108"/>
        <v>0</v>
      </c>
      <c r="AW980" s="158" t="s">
        <v>2078</v>
      </c>
      <c r="AX980" s="162" t="s">
        <v>3</v>
      </c>
      <c r="AY980" s="15">
        <v>255</v>
      </c>
      <c r="AZ980" s="555" t="s">
        <v>8749</v>
      </c>
      <c r="BA980" s="559">
        <f>IF(Verso!$B$10=Voies!$B980,1,0)</f>
        <v>0</v>
      </c>
      <c r="BB980" s="12">
        <f>IF(Verso!$B$11=Voies!$B980,1,0)</f>
        <v>0</v>
      </c>
      <c r="BC980" s="12">
        <f>IF(Verso!$B$12=Voies!$B980,1,0)</f>
        <v>0</v>
      </c>
      <c r="BD980" s="12">
        <f>IF(Verso!$B$13=Voies!$B980,1,0)</f>
        <v>0</v>
      </c>
      <c r="BE980" s="12">
        <f>IF(Verso!$B$14=Voies!$B980,1,0)</f>
        <v>0</v>
      </c>
      <c r="BF980" s="12">
        <f>IF(Verso!$B$15=Voies!$B980,1,0)</f>
        <v>0</v>
      </c>
      <c r="BG980" s="12">
        <f>IF(Verso!$B$16=Voies!$B980,1,0)</f>
        <v>0</v>
      </c>
      <c r="BH980" s="12">
        <f>IF(Verso!$B$17=Voies!$B980,1,0)</f>
        <v>0</v>
      </c>
      <c r="BI980" s="557">
        <f t="shared" si="109"/>
        <v>0</v>
      </c>
      <c r="BJ980" s="196" t="str">
        <f t="shared" si="110"/>
        <v/>
      </c>
      <c r="BK980" s="196" t="str">
        <f t="shared" si="111"/>
        <v/>
      </c>
      <c r="BL980" s="295" t="str">
        <f t="shared" si="112"/>
        <v/>
      </c>
    </row>
    <row r="981" spans="1:65" ht="47.25" customHeight="1" x14ac:dyDescent="0.25">
      <c r="A981" s="162" t="str">
        <f>IF(AND(Réputation&gt;Voies!E981-1,OR(C981=TRUE,Calculs!$I$8&gt;0),Air&gt;Voies!J981-1,Eau&gt;Voies!K981-1,Feu&gt;Voies!L981-1,Terre&gt;Voies!M981-1,Vide&gt;Voies!N981-1,Constitution&gt;Voies!O981-1,Volonté&gt;Voies!P981-1,Force&gt;Voies!Q981-1,Perception&gt;Voies!R981-1,Reflexes&gt;Voies!S981-1,Agilité&gt;Voies!T981-1,Intuition&gt;Voies!U981-1,Intelligence&gt;Voies!V981-1,Souillure&gt;Voies!W981-1,Honneur&gt;X981-1,Statut&gt;Y981-1,Gloire&gt;Z981-1,AV981=TRUE),Voies!B981,"")</f>
        <v/>
      </c>
      <c r="B981" s="162" t="s">
        <v>2508</v>
      </c>
      <c r="C981" s="162" t="b">
        <f>IF(Clan=Voies!D981,TRUE,FALSE)</f>
        <v>0</v>
      </c>
      <c r="D981" s="387" t="s">
        <v>33</v>
      </c>
      <c r="E981" s="199">
        <v>3</v>
      </c>
      <c r="F981" s="199">
        <v>3</v>
      </c>
      <c r="G981" s="199" t="s">
        <v>2049</v>
      </c>
      <c r="H981" s="162" t="s">
        <v>218</v>
      </c>
      <c r="I981" s="129" t="str">
        <f>IF(B981="","","Rien")</f>
        <v>Rien</v>
      </c>
      <c r="J981" s="146">
        <v>0</v>
      </c>
      <c r="K981" s="147">
        <v>0</v>
      </c>
      <c r="L981" s="148">
        <v>0</v>
      </c>
      <c r="M981" s="149">
        <v>0</v>
      </c>
      <c r="N981" s="150">
        <v>0</v>
      </c>
      <c r="O981" s="130">
        <v>0</v>
      </c>
      <c r="P981" s="130">
        <v>0</v>
      </c>
      <c r="Q981" s="130">
        <v>0</v>
      </c>
      <c r="R981" s="130">
        <v>0</v>
      </c>
      <c r="S981" s="130">
        <v>0</v>
      </c>
      <c r="T981" s="130">
        <v>0</v>
      </c>
      <c r="U981" s="130">
        <v>0</v>
      </c>
      <c r="V981" s="524">
        <v>0</v>
      </c>
      <c r="W981" s="130">
        <v>0</v>
      </c>
      <c r="X981" s="130">
        <v>0</v>
      </c>
      <c r="Y981" s="130">
        <v>0</v>
      </c>
      <c r="Z981" s="130">
        <v>0</v>
      </c>
      <c r="AA981" s="158" t="s">
        <v>2078</v>
      </c>
      <c r="AB981" s="158"/>
      <c r="AC981" s="158"/>
      <c r="AD981" s="158"/>
      <c r="AE981" s="158" t="b">
        <f>IF(AB981="",TRUE,IF(IF(AC981="",VLOOKUP(AB981,Calculs!$A$19:$S$425,19,FALSE),VLOOKUP(AC981,Calculs!$A$19:$S$425,19,FALSE))&gt;=AD981,TRUE,FALSE))</f>
        <v>1</v>
      </c>
      <c r="AF981" s="158"/>
      <c r="AG981" s="158"/>
      <c r="AH981" s="158"/>
      <c r="AI981" s="158" t="b">
        <f>IF(AF981="",TRUE,IF(IF(AG981="",VLOOKUP(AF981,Calculs!$A$19:$S$425,19,FALSE),VLOOKUP(AG981,Calculs!$A$19:$S$425,19,FALSE))&gt;=AH981,TRUE,FALSE))</f>
        <v>1</v>
      </c>
      <c r="AJ981" s="158"/>
      <c r="AK981" s="158"/>
      <c r="AL981" s="158"/>
      <c r="AM981" s="158" t="b">
        <f>IF(AJ981="",TRUE,IF(IF(AK981="",VLOOKUP(AJ981,Calculs!$A$19:$S$425,19,FALSE),VLOOKUP(AK981,Calculs!$A$19:$S$425,19,FALSE))&gt;=AL981,TRUE,FALSE))</f>
        <v>1</v>
      </c>
      <c r="AN981" s="158"/>
      <c r="AO981" s="158"/>
      <c r="AP981" s="158"/>
      <c r="AQ981" s="158" t="b">
        <f>IF(AN981="",TRUE,IF(IF(AO981="",VLOOKUP(AN981,Calculs!$A$19:$S$425,19,FALSE),VLOOKUP(AO981,Calculs!$A$19:$S$425,19,FALSE))&gt;=AP981,TRUE,FALSE))</f>
        <v>1</v>
      </c>
      <c r="AR981" s="158"/>
      <c r="AS981" s="158" t="b">
        <f>IF(AR981="",TRUE,IF(VLOOKUP(AR981,Calculs!$A$427:$G$738,7,FALSE)&gt;0,TRUE,FALSE))</f>
        <v>1</v>
      </c>
      <c r="AT981" s="158"/>
      <c r="AU981" s="158" t="b">
        <f>IF(AT981="",TRUE,IF(VLOOKUP(AT981,Calculs!$A$740:$G$912,7,FALSE)&gt;0,TRUE,FALSE))</f>
        <v>1</v>
      </c>
      <c r="AV981" s="158" t="b">
        <f t="shared" si="108"/>
        <v>1</v>
      </c>
      <c r="AW981" s="158" t="s">
        <v>2078</v>
      </c>
      <c r="AX981" s="162" t="s">
        <v>3</v>
      </c>
      <c r="AY981" s="15">
        <v>129</v>
      </c>
      <c r="AZ981" s="555" t="s">
        <v>8750</v>
      </c>
      <c r="BA981" s="559">
        <f>IF(Verso!$B$10=Voies!$B981,1,0)</f>
        <v>0</v>
      </c>
      <c r="BB981" s="12">
        <f>IF(Verso!$B$11=Voies!$B981,1,0)</f>
        <v>0</v>
      </c>
      <c r="BC981" s="12">
        <f>IF(Verso!$B$12=Voies!$B981,1,0)</f>
        <v>0</v>
      </c>
      <c r="BD981" s="12">
        <f>IF(Verso!$B$13=Voies!$B981,1,0)</f>
        <v>0</v>
      </c>
      <c r="BE981" s="12">
        <f>IF(Verso!$B$14=Voies!$B981,1,0)</f>
        <v>0</v>
      </c>
      <c r="BF981" s="12">
        <f>IF(Verso!$B$15=Voies!$B981,1,0)</f>
        <v>0</v>
      </c>
      <c r="BG981" s="12">
        <f>IF(Verso!$B$16=Voies!$B981,1,0)</f>
        <v>0</v>
      </c>
      <c r="BH981" s="12">
        <f>IF(Verso!$B$17=Voies!$B981,1,0)</f>
        <v>0</v>
      </c>
      <c r="BI981" s="557">
        <f t="shared" si="109"/>
        <v>0</v>
      </c>
      <c r="BJ981" s="196" t="str">
        <f t="shared" si="110"/>
        <v/>
      </c>
      <c r="BK981" s="196" t="str">
        <f t="shared" si="111"/>
        <v/>
      </c>
      <c r="BL981" s="295" t="str">
        <f t="shared" si="112"/>
        <v/>
      </c>
    </row>
    <row r="982" spans="1:65" ht="47.25" customHeight="1" x14ac:dyDescent="0.25">
      <c r="A982" s="162" t="str">
        <f>IF(AND(Réputation&gt;Voies!E982-1,OR(C982=TRUE,Calculs!$I$8&gt;0),Air&gt;Voies!J982-1,Eau&gt;Voies!K982-1,Feu&gt;Voies!L982-1,Terre&gt;Voies!M982-1,Vide&gt;Voies!N982-1,Constitution&gt;Voies!O982-1,Volonté&gt;Voies!P982-1,Force&gt;Voies!Q982-1,Perception&gt;Voies!R982-1,Reflexes&gt;Voies!S982-1,Agilité&gt;Voies!T982-1,Intuition&gt;Voies!U982-1,Intelligence&gt;Voies!V982-1,Souillure&gt;Voies!W982-1,Honneur&gt;X982-1,Statut&gt;Y982-1,Gloire&gt;Z982-1,AV982=TRUE),Voies!B982,"")</f>
        <v/>
      </c>
      <c r="B982" s="162" t="s">
        <v>3374</v>
      </c>
      <c r="C982" s="162" t="b">
        <f>IF(Clan=Voies!D982,TRUE,FALSE)</f>
        <v>0</v>
      </c>
      <c r="D982" s="387" t="s">
        <v>33</v>
      </c>
      <c r="E982" s="199">
        <v>3</v>
      </c>
      <c r="F982" s="199">
        <v>3</v>
      </c>
      <c r="G982" s="199" t="s">
        <v>2049</v>
      </c>
      <c r="H982" s="162" t="s">
        <v>523</v>
      </c>
      <c r="I982" s="129" t="s">
        <v>3228</v>
      </c>
      <c r="J982" s="146">
        <v>0</v>
      </c>
      <c r="K982" s="147">
        <v>0</v>
      </c>
      <c r="L982" s="148">
        <v>0</v>
      </c>
      <c r="M982" s="149">
        <v>0</v>
      </c>
      <c r="N982" s="150">
        <v>0</v>
      </c>
      <c r="O982" s="130">
        <v>0</v>
      </c>
      <c r="P982" s="130">
        <v>0</v>
      </c>
      <c r="Q982" s="130">
        <v>0</v>
      </c>
      <c r="R982" s="130">
        <v>0</v>
      </c>
      <c r="S982" s="130">
        <v>0</v>
      </c>
      <c r="T982" s="130">
        <v>0</v>
      </c>
      <c r="U982" s="130">
        <v>0</v>
      </c>
      <c r="V982" s="524">
        <v>0</v>
      </c>
      <c r="W982" s="130">
        <v>0</v>
      </c>
      <c r="X982" s="130">
        <v>0</v>
      </c>
      <c r="Y982" s="130">
        <v>0</v>
      </c>
      <c r="Z982" s="130">
        <v>0</v>
      </c>
      <c r="AA982" s="159" t="s">
        <v>3375</v>
      </c>
      <c r="AB982" s="159" t="s">
        <v>1221</v>
      </c>
      <c r="AD982" s="159">
        <v>3</v>
      </c>
      <c r="AE982" s="158" t="b">
        <f>IF(AB982="",TRUE,IF(IF(AC982="",VLOOKUP(AB982,Calculs!$A$19:$S$425,19,FALSE),VLOOKUP(AC982,Calculs!$A$19:$S$425,19,FALSE))&gt;=AD982,TRUE,FALSE))</f>
        <v>0</v>
      </c>
      <c r="AI982" s="158" t="b">
        <f>IF(AF982="",TRUE,IF(IF(AG982="",VLOOKUP(AF982,Calculs!$A$19:$S$425,19,FALSE),VLOOKUP(AG982,Calculs!$A$19:$S$425,19,FALSE))&gt;=AH982,TRUE,FALSE))</f>
        <v>1</v>
      </c>
      <c r="AM982" s="158" t="b">
        <f>IF(AJ982="",TRUE,IF(IF(AK982="",VLOOKUP(AJ982,Calculs!$A$19:$S$425,19,FALSE),VLOOKUP(AK982,Calculs!$A$19:$S$425,19,FALSE))&gt;=AL982,TRUE,FALSE))</f>
        <v>1</v>
      </c>
      <c r="AQ982" s="158" t="b">
        <f>IF(AN982="",TRUE,IF(IF(AO982="",VLOOKUP(AN982,Calculs!$A$19:$S$425,19,FALSE),VLOOKUP(AO982,Calculs!$A$19:$S$425,19,FALSE))&gt;=AP982,TRUE,FALSE))</f>
        <v>1</v>
      </c>
      <c r="AR982" s="158"/>
      <c r="AS982" s="158" t="b">
        <f>IF(AR982="",TRUE,IF(VLOOKUP(AR982,Calculs!$A$427:$G$738,7,FALSE)&gt;0,TRUE,FALSE))</f>
        <v>1</v>
      </c>
      <c r="AT982" s="158"/>
      <c r="AU982" s="158" t="b">
        <f>IF(AT982="",TRUE,IF(VLOOKUP(AT982,Calculs!$A$740:$G$912,7,FALSE)&gt;0,TRUE,FALSE))</f>
        <v>1</v>
      </c>
      <c r="AV982" s="158" t="b">
        <f t="shared" si="108"/>
        <v>0</v>
      </c>
      <c r="AW982" s="158" t="s">
        <v>2078</v>
      </c>
      <c r="AX982" s="162" t="s">
        <v>118</v>
      </c>
      <c r="AY982" s="15">
        <v>173</v>
      </c>
      <c r="AZ982" s="555" t="s">
        <v>3376</v>
      </c>
      <c r="BA982" s="559">
        <f>IF(Verso!$B$10=Voies!$B982,1,0)</f>
        <v>0</v>
      </c>
      <c r="BB982" s="12">
        <f>IF(Verso!$B$11=Voies!$B982,1,0)</f>
        <v>0</v>
      </c>
      <c r="BC982" s="12">
        <f>IF(Verso!$B$12=Voies!$B982,1,0)</f>
        <v>0</v>
      </c>
      <c r="BD982" s="12">
        <f>IF(Verso!$B$13=Voies!$B982,1,0)</f>
        <v>0</v>
      </c>
      <c r="BE982" s="12">
        <f>IF(Verso!$B$14=Voies!$B982,1,0)</f>
        <v>0</v>
      </c>
      <c r="BF982" s="12">
        <f>IF(Verso!$B$15=Voies!$B982,1,0)</f>
        <v>0</v>
      </c>
      <c r="BG982" s="12">
        <f>IF(Verso!$B$16=Voies!$B982,1,0)</f>
        <v>0</v>
      </c>
      <c r="BH982" s="12">
        <f>IF(Verso!$B$17=Voies!$B982,1,0)</f>
        <v>0</v>
      </c>
      <c r="BI982" s="557">
        <f t="shared" si="109"/>
        <v>0</v>
      </c>
      <c r="BJ982" s="196" t="str">
        <f t="shared" si="110"/>
        <v/>
      </c>
      <c r="BK982" s="196" t="str">
        <f t="shared" si="111"/>
        <v/>
      </c>
      <c r="BL982" s="295" t="str">
        <f t="shared" si="112"/>
        <v/>
      </c>
    </row>
    <row r="983" spans="1:65" ht="47.25" customHeight="1" x14ac:dyDescent="0.25">
      <c r="A983" s="162" t="str">
        <f>IF(AND(Réputation&gt;Voies!E983-1,OR(C983=TRUE,Calculs!$I$8&gt;0),Air&gt;Voies!J983-1,Eau&gt;Voies!K983-1,Feu&gt;Voies!L983-1,Terre&gt;Voies!M983-1,Vide&gt;Voies!N983-1,Constitution&gt;Voies!O983-1,Volonté&gt;Voies!P983-1,Force&gt;Voies!Q983-1,Perception&gt;Voies!R983-1,Reflexes&gt;Voies!S983-1,Agilité&gt;Voies!T983-1,Intuition&gt;Voies!U983-1,Intelligence&gt;Voies!V983-1,Souillure&gt;Voies!W983-1,Honneur&gt;X983-1,Statut&gt;Y983-1,Gloire&gt;Z983-1,AV983=TRUE),Voies!B983,"")</f>
        <v/>
      </c>
      <c r="B983" s="162" t="s">
        <v>4822</v>
      </c>
      <c r="C983" s="162" t="b">
        <f>IF(Clan=Voies!D983,TRUE,FALSE)</f>
        <v>0</v>
      </c>
      <c r="D983" s="387" t="s">
        <v>33</v>
      </c>
      <c r="E983" s="199">
        <v>3</v>
      </c>
      <c r="F983" s="199">
        <v>3</v>
      </c>
      <c r="G983" s="199" t="s">
        <v>2049</v>
      </c>
      <c r="H983" s="162" t="s">
        <v>220</v>
      </c>
      <c r="I983" s="129" t="str">
        <f>IF(B983="","","Rien")</f>
        <v>Rien</v>
      </c>
      <c r="J983" s="146">
        <v>0</v>
      </c>
      <c r="K983" s="147">
        <v>0</v>
      </c>
      <c r="L983" s="148">
        <v>0</v>
      </c>
      <c r="M983" s="149">
        <v>0</v>
      </c>
      <c r="N983" s="150">
        <v>0</v>
      </c>
      <c r="O983" s="130">
        <v>0</v>
      </c>
      <c r="P983" s="130">
        <v>0</v>
      </c>
      <c r="Q983" s="130">
        <v>0</v>
      </c>
      <c r="R983" s="130">
        <v>0</v>
      </c>
      <c r="S983" s="130">
        <v>0</v>
      </c>
      <c r="T983" s="130">
        <v>0</v>
      </c>
      <c r="U983" s="130">
        <v>0</v>
      </c>
      <c r="V983" s="524">
        <v>0</v>
      </c>
      <c r="W983" s="130">
        <v>0</v>
      </c>
      <c r="X983" s="130">
        <v>0</v>
      </c>
      <c r="Y983" s="130">
        <v>0</v>
      </c>
      <c r="Z983" s="130">
        <v>0</v>
      </c>
      <c r="AA983" s="158" t="s">
        <v>2078</v>
      </c>
      <c r="AB983" s="158"/>
      <c r="AC983" s="158"/>
      <c r="AD983" s="158"/>
      <c r="AE983" s="158" t="b">
        <f>IF(AB983="",TRUE,IF(IF(AC983="",VLOOKUP(AB983,Calculs!$A$19:$S$425,19,FALSE),VLOOKUP(AC983,Calculs!$A$19:$S$425,19,FALSE))&gt;=AD983,TRUE,FALSE))</f>
        <v>1</v>
      </c>
      <c r="AF983" s="158"/>
      <c r="AG983" s="158"/>
      <c r="AH983" s="158"/>
      <c r="AI983" s="158" t="b">
        <f>IF(AF983="",TRUE,IF(IF(AG983="",VLOOKUP(AF983,Calculs!$A$19:$S$425,19,FALSE),VLOOKUP(AG983,Calculs!$A$19:$S$425,19,FALSE))&gt;=AH983,TRUE,FALSE))</f>
        <v>1</v>
      </c>
      <c r="AJ983" s="158"/>
      <c r="AK983" s="158"/>
      <c r="AL983" s="158"/>
      <c r="AM983" s="158" t="b">
        <f>IF(AJ983="",TRUE,IF(IF(AK983="",VLOOKUP(AJ983,Calculs!$A$19:$S$425,19,FALSE),VLOOKUP(AK983,Calculs!$A$19:$S$425,19,FALSE))&gt;=AL983,TRUE,FALSE))</f>
        <v>1</v>
      </c>
      <c r="AN983" s="158"/>
      <c r="AO983" s="158"/>
      <c r="AP983" s="158"/>
      <c r="AQ983" s="158" t="b">
        <f>IF(AN983="",TRUE,IF(IF(AO983="",VLOOKUP(AN983,Calculs!$A$19:$S$425,19,FALSE),VLOOKUP(AO983,Calculs!$A$19:$S$425,19,FALSE))&gt;=AP983,TRUE,FALSE))</f>
        <v>1</v>
      </c>
      <c r="AR983" s="158"/>
      <c r="AS983" s="158" t="b">
        <f>IF(AR983="",TRUE,IF(VLOOKUP(AR983,Calculs!$A$427:$G$738,7,FALSE)&gt;0,TRUE,FALSE))</f>
        <v>1</v>
      </c>
      <c r="AT983" s="158"/>
      <c r="AU983" s="158" t="b">
        <f>IF(AT983="",TRUE,IF(VLOOKUP(AT983,Calculs!$A$740:$G$912,7,FALSE)&gt;0,TRUE,FALSE))</f>
        <v>1</v>
      </c>
      <c r="AV983" s="158" t="b">
        <f t="shared" si="108"/>
        <v>1</v>
      </c>
      <c r="AW983" s="158" t="s">
        <v>2078</v>
      </c>
      <c r="AX983" s="162" t="s">
        <v>5202</v>
      </c>
      <c r="AY983" s="15">
        <v>171</v>
      </c>
      <c r="AZ983" s="555" t="s">
        <v>8751</v>
      </c>
      <c r="BA983" s="559">
        <f>IF(Verso!$B$10=Voies!$B983,1,0)</f>
        <v>0</v>
      </c>
      <c r="BB983" s="12">
        <f>IF(Verso!$B$11=Voies!$B983,1,0)</f>
        <v>0</v>
      </c>
      <c r="BC983" s="12">
        <f>IF(Verso!$B$12=Voies!$B983,1,0)</f>
        <v>0</v>
      </c>
      <c r="BD983" s="12">
        <f>IF(Verso!$B$13=Voies!$B983,1,0)</f>
        <v>0</v>
      </c>
      <c r="BE983" s="12">
        <f>IF(Verso!$B$14=Voies!$B983,1,0)</f>
        <v>0</v>
      </c>
      <c r="BF983" s="12">
        <f>IF(Verso!$B$15=Voies!$B983,1,0)</f>
        <v>0</v>
      </c>
      <c r="BG983" s="12">
        <f>IF(Verso!$B$16=Voies!$B983,1,0)</f>
        <v>0</v>
      </c>
      <c r="BH983" s="12">
        <f>IF(Verso!$B$17=Voies!$B983,1,0)</f>
        <v>0</v>
      </c>
      <c r="BI983" s="557">
        <f t="shared" si="109"/>
        <v>0</v>
      </c>
      <c r="BJ983" s="196" t="str">
        <f t="shared" si="110"/>
        <v/>
      </c>
      <c r="BK983" s="196" t="str">
        <f t="shared" si="111"/>
        <v/>
      </c>
      <c r="BL983" s="295" t="str">
        <f t="shared" si="112"/>
        <v/>
      </c>
    </row>
    <row r="984" spans="1:65" ht="47.25" customHeight="1" x14ac:dyDescent="0.25">
      <c r="A984" s="162" t="str">
        <f>IF(AND(Réputation&gt;Voies!E984-1,OR(C984=TRUE,Calculs!$I$8&gt;0),Air&gt;Voies!J984-1,Eau&gt;Voies!K984-1,Feu&gt;Voies!L984-1,Terre&gt;Voies!M984-1,Vide&gt;Voies!N984-1,Constitution&gt;Voies!O984-1,Volonté&gt;Voies!P984-1,Force&gt;Voies!Q984-1,Perception&gt;Voies!R984-1,Reflexes&gt;Voies!S984-1,Agilité&gt;Voies!T984-1,Intuition&gt;Voies!U984-1,Intelligence&gt;Voies!V984-1,Souillure&gt;Voies!W984-1,Honneur&gt;X984-1,Statut&gt;Y984-1,Gloire&gt;Z984-1,AV984=TRUE),Voies!B984,"")</f>
        <v/>
      </c>
      <c r="B984" s="162" t="s">
        <v>6180</v>
      </c>
      <c r="C984" s="162" t="b">
        <f>IF(Clan=Voies!D984,TRUE,FALSE)</f>
        <v>0</v>
      </c>
      <c r="D984" s="387" t="s">
        <v>33</v>
      </c>
      <c r="E984" s="13">
        <v>3</v>
      </c>
      <c r="F984" s="199">
        <v>3</v>
      </c>
      <c r="G984" s="13" t="s">
        <v>2049</v>
      </c>
      <c r="H984" s="162" t="s">
        <v>6177</v>
      </c>
      <c r="I984" s="129" t="s">
        <v>6178</v>
      </c>
      <c r="J984" s="146">
        <v>0</v>
      </c>
      <c r="K984" s="147">
        <v>0</v>
      </c>
      <c r="L984" s="148">
        <v>0</v>
      </c>
      <c r="M984" s="149">
        <v>0</v>
      </c>
      <c r="N984" s="150">
        <v>0</v>
      </c>
      <c r="O984" s="130">
        <v>0</v>
      </c>
      <c r="P984" s="130">
        <v>0</v>
      </c>
      <c r="Q984" s="130">
        <v>0</v>
      </c>
      <c r="R984" s="130">
        <v>0</v>
      </c>
      <c r="S984" s="130">
        <v>0</v>
      </c>
      <c r="T984" s="130">
        <v>0</v>
      </c>
      <c r="U984" s="130">
        <v>0</v>
      </c>
      <c r="V984" s="524">
        <v>0</v>
      </c>
      <c r="W984" s="130">
        <v>0</v>
      </c>
      <c r="X984" s="130">
        <v>0</v>
      </c>
      <c r="Y984" s="130">
        <v>0</v>
      </c>
      <c r="Z984" s="130">
        <v>0</v>
      </c>
      <c r="AA984" s="158" t="s">
        <v>6181</v>
      </c>
      <c r="AB984" s="158" t="s">
        <v>3216</v>
      </c>
      <c r="AC984" s="158"/>
      <c r="AD984" s="158">
        <v>3</v>
      </c>
      <c r="AE984" s="158" t="b">
        <f>IF(AB984="",TRUE,IF(IF(AC984="",VLOOKUP(AB984,Calculs!$A$19:$S$425,19,FALSE),VLOOKUP(AC984,Calculs!$A$19:$S$425,19,FALSE))&gt;=AD984,TRUE,FALSE))</f>
        <v>0</v>
      </c>
      <c r="AF984" s="158" t="s">
        <v>3218</v>
      </c>
      <c r="AG984" s="158"/>
      <c r="AH984" s="158">
        <v>3</v>
      </c>
      <c r="AI984" s="158" t="b">
        <f>IF(AF984="",TRUE,IF(IF(AG984="",VLOOKUP(AF984,Calculs!$A$19:$S$425,19,FALSE),VLOOKUP(AG984,Calculs!$A$19:$S$425,19,FALSE))&gt;=AH984,TRUE,FALSE))</f>
        <v>0</v>
      </c>
      <c r="AJ984" s="158" t="s">
        <v>3217</v>
      </c>
      <c r="AK984" s="158"/>
      <c r="AL984" s="158">
        <v>3</v>
      </c>
      <c r="AM984" s="158" t="b">
        <f>IF(AJ984="",TRUE,IF(IF(AK984="",VLOOKUP(AJ984,Calculs!$A$19:$S$425,19,FALSE),VLOOKUP(AK984,Calculs!$A$19:$S$425,19,FALSE))&gt;=AL984,TRUE,FALSE))</f>
        <v>0</v>
      </c>
      <c r="AN984" s="158" t="s">
        <v>351</v>
      </c>
      <c r="AO984" s="158"/>
      <c r="AP984" s="158">
        <v>5</v>
      </c>
      <c r="AQ984" s="158" t="b">
        <f>IF(AN984="",TRUE,IF(IF(AO984="",VLOOKUP(AN984,Calculs!$A$19:$S$425,19,FALSE),VLOOKUP(AO984,Calculs!$A$19:$S$425,19,FALSE))&gt;=AP984,TRUE,FALSE))</f>
        <v>0</v>
      </c>
      <c r="AR984" s="158"/>
      <c r="AS984" s="158" t="b">
        <f>IF(AR984="",TRUE,IF(VLOOKUP(AR984,Calculs!$A$427:$G$738,7,FALSE)&gt;0,TRUE,FALSE))</f>
        <v>1</v>
      </c>
      <c r="AT984" s="158"/>
      <c r="AU984" s="158" t="b">
        <f>IF(AT984="",TRUE,IF(VLOOKUP(AT984,Calculs!$A$740:$G$912,7,FALSE)&gt;0,TRUE,FALSE))</f>
        <v>1</v>
      </c>
      <c r="AV984" s="158" t="b">
        <f t="shared" si="108"/>
        <v>0</v>
      </c>
      <c r="AW984" s="158" t="s">
        <v>6209</v>
      </c>
      <c r="AX984" s="162" t="s">
        <v>6010</v>
      </c>
      <c r="AY984" s="15">
        <v>208</v>
      </c>
      <c r="AZ984" s="555" t="s">
        <v>6186</v>
      </c>
      <c r="BA984" s="559">
        <f>IF(Verso!$B$10=Voies!$B984,1,0)</f>
        <v>0</v>
      </c>
      <c r="BB984" s="12">
        <f>IF(Verso!$B$11=Voies!$B984,1,0)</f>
        <v>0</v>
      </c>
      <c r="BC984" s="12">
        <f>IF(Verso!$B$12=Voies!$B984,1,0)</f>
        <v>0</v>
      </c>
      <c r="BD984" s="12">
        <f>IF(Verso!$B$13=Voies!$B984,1,0)</f>
        <v>0</v>
      </c>
      <c r="BE984" s="12">
        <f>IF(Verso!$B$14=Voies!$B984,1,0)</f>
        <v>0</v>
      </c>
      <c r="BF984" s="12">
        <f>IF(Verso!$B$15=Voies!$B984,1,0)</f>
        <v>0</v>
      </c>
      <c r="BG984" s="12">
        <f>IF(Verso!$B$16=Voies!$B984,1,0)</f>
        <v>0</v>
      </c>
      <c r="BH984" s="12">
        <f>IF(Verso!$B$17=Voies!$B984,1,0)</f>
        <v>0</v>
      </c>
      <c r="BI984" s="557">
        <f t="shared" si="109"/>
        <v>0</v>
      </c>
      <c r="BJ984" s="196" t="str">
        <f t="shared" si="110"/>
        <v/>
      </c>
      <c r="BK984" s="196" t="str">
        <f t="shared" si="111"/>
        <v/>
      </c>
      <c r="BL984" s="295" t="str">
        <f t="shared" si="112"/>
        <v/>
      </c>
    </row>
    <row r="985" spans="1:65" ht="47.25" customHeight="1" x14ac:dyDescent="0.25">
      <c r="A985" s="162" t="str">
        <f>IF(AND(Réputation&gt;Voies!E985-1,OR(C985=TRUE,Calculs!$I$8&gt;0),Air&gt;Voies!J985-1,Eau&gt;Voies!K985-1,Feu&gt;Voies!L985-1,Terre&gt;Voies!M985-1,Vide&gt;Voies!N985-1,Constitution&gt;Voies!O985-1,Volonté&gt;Voies!P985-1,Force&gt;Voies!Q985-1,Perception&gt;Voies!R985-1,Reflexes&gt;Voies!S985-1,Agilité&gt;Voies!T985-1,Intuition&gt;Voies!U985-1,Intelligence&gt;Voies!V985-1,Souillure&gt;Voies!W985-1,Honneur&gt;X985-1,Statut&gt;Y985-1,Gloire&gt;Z985-1,AV985=TRUE),Voies!B985,"")</f>
        <v/>
      </c>
      <c r="B985" s="162" t="s">
        <v>2514</v>
      </c>
      <c r="C985" s="162" t="b">
        <f>IF(Clan=Voies!D985,TRUE,FALSE)</f>
        <v>0</v>
      </c>
      <c r="D985" s="387" t="s">
        <v>33</v>
      </c>
      <c r="E985" s="199">
        <v>3</v>
      </c>
      <c r="F985" s="199">
        <v>3</v>
      </c>
      <c r="G985" s="199" t="s">
        <v>2052</v>
      </c>
      <c r="H985" s="162" t="s">
        <v>219</v>
      </c>
      <c r="I985" s="129" t="str">
        <f>IF(B985="","","Rien")</f>
        <v>Rien</v>
      </c>
      <c r="J985" s="146">
        <v>0</v>
      </c>
      <c r="K985" s="147">
        <v>0</v>
      </c>
      <c r="L985" s="148">
        <v>0</v>
      </c>
      <c r="M985" s="149">
        <v>0</v>
      </c>
      <c r="N985" s="150">
        <v>0</v>
      </c>
      <c r="O985" s="130">
        <v>0</v>
      </c>
      <c r="P985" s="130">
        <v>0</v>
      </c>
      <c r="Q985" s="130">
        <v>0</v>
      </c>
      <c r="R985" s="130">
        <v>0</v>
      </c>
      <c r="S985" s="130">
        <v>0</v>
      </c>
      <c r="T985" s="130">
        <v>0</v>
      </c>
      <c r="U985" s="130">
        <v>0</v>
      </c>
      <c r="V985" s="524">
        <v>0</v>
      </c>
      <c r="W985" s="130">
        <v>0</v>
      </c>
      <c r="X985" s="130">
        <v>0</v>
      </c>
      <c r="Y985" s="130">
        <v>0</v>
      </c>
      <c r="Z985" s="130">
        <v>0</v>
      </c>
      <c r="AA985" s="158" t="s">
        <v>2078</v>
      </c>
      <c r="AB985" s="158"/>
      <c r="AC985" s="158"/>
      <c r="AD985" s="158"/>
      <c r="AE985" s="158" t="b">
        <f>IF(AB985="",TRUE,IF(IF(AC985="",VLOOKUP(AB985,Calculs!$A$19:$S$425,19,FALSE),VLOOKUP(AC985,Calculs!$A$19:$S$425,19,FALSE))&gt;=AD985,TRUE,FALSE))</f>
        <v>1</v>
      </c>
      <c r="AF985" s="158"/>
      <c r="AG985" s="158"/>
      <c r="AH985" s="158"/>
      <c r="AI985" s="158" t="b">
        <f>IF(AF985="",TRUE,IF(IF(AG985="",VLOOKUP(AF985,Calculs!$A$19:$S$425,19,FALSE),VLOOKUP(AG985,Calculs!$A$19:$S$425,19,FALSE))&gt;=AH985,TRUE,FALSE))</f>
        <v>1</v>
      </c>
      <c r="AJ985" s="158"/>
      <c r="AK985" s="158"/>
      <c r="AL985" s="158"/>
      <c r="AM985" s="158" t="b">
        <f>IF(AJ985="",TRUE,IF(IF(AK985="",VLOOKUP(AJ985,Calculs!$A$19:$S$425,19,FALSE),VLOOKUP(AK985,Calculs!$A$19:$S$425,19,FALSE))&gt;=AL985,TRUE,FALSE))</f>
        <v>1</v>
      </c>
      <c r="AN985" s="158"/>
      <c r="AO985" s="158"/>
      <c r="AP985" s="158"/>
      <c r="AQ985" s="158" t="b">
        <f>IF(AN985="",TRUE,IF(IF(AO985="",VLOOKUP(AN985,Calculs!$A$19:$S$425,19,FALSE),VLOOKUP(AO985,Calculs!$A$19:$S$425,19,FALSE))&gt;=AP985,TRUE,FALSE))</f>
        <v>1</v>
      </c>
      <c r="AR985" s="158"/>
      <c r="AS985" s="158" t="b">
        <f>IF(AR985="",TRUE,IF(VLOOKUP(AR985,Calculs!$A$427:$G$738,7,FALSE)&gt;0,TRUE,FALSE))</f>
        <v>1</v>
      </c>
      <c r="AT985" s="158"/>
      <c r="AU985" s="158" t="b">
        <f>IF(AT985="",TRUE,IF(VLOOKUP(AT985,Calculs!$A$740:$G$912,7,FALSE)&gt;0,TRUE,FALSE))</f>
        <v>1</v>
      </c>
      <c r="AV985" s="158" t="b">
        <f t="shared" si="108"/>
        <v>1</v>
      </c>
      <c r="AW985" s="158" t="s">
        <v>2078</v>
      </c>
      <c r="AX985" s="162" t="s">
        <v>3</v>
      </c>
      <c r="AY985" s="15">
        <v>131</v>
      </c>
      <c r="AZ985" s="555" t="s">
        <v>8752</v>
      </c>
      <c r="BA985" s="559">
        <f>IF(Verso!$B$10=Voies!$B985,1,0)</f>
        <v>0</v>
      </c>
      <c r="BB985" s="12">
        <f>IF(Verso!$B$11=Voies!$B985,1,0)</f>
        <v>0</v>
      </c>
      <c r="BC985" s="12">
        <f>IF(Verso!$B$12=Voies!$B985,1,0)</f>
        <v>0</v>
      </c>
      <c r="BD985" s="12">
        <f>IF(Verso!$B$13=Voies!$B985,1,0)</f>
        <v>0</v>
      </c>
      <c r="BE985" s="12">
        <f>IF(Verso!$B$14=Voies!$B985,1,0)</f>
        <v>0</v>
      </c>
      <c r="BF985" s="12">
        <f>IF(Verso!$B$15=Voies!$B985,1,0)</f>
        <v>0</v>
      </c>
      <c r="BG985" s="12">
        <f>IF(Verso!$B$16=Voies!$B985,1,0)</f>
        <v>0</v>
      </c>
      <c r="BH985" s="12">
        <f>IF(Verso!$B$17=Voies!$B985,1,0)</f>
        <v>0</v>
      </c>
      <c r="BI985" s="557">
        <f t="shared" si="109"/>
        <v>0</v>
      </c>
      <c r="BJ985" s="196" t="str">
        <f t="shared" si="110"/>
        <v/>
      </c>
      <c r="BK985" s="196" t="str">
        <f t="shared" si="111"/>
        <v/>
      </c>
      <c r="BL985" s="295" t="str">
        <f t="shared" si="112"/>
        <v/>
      </c>
    </row>
    <row r="986" spans="1:65" ht="47.25" customHeight="1" x14ac:dyDescent="0.25">
      <c r="A986" s="162" t="str">
        <f>IF(AND(Réputation&gt;Voies!E986-1,OR(C986=TRUE,Calculs!$I$8&gt;0),Air&gt;Voies!J986-1,Eau&gt;Voies!K986-1,Feu&gt;Voies!L986-1,Terre&gt;Voies!M986-1,Vide&gt;Voies!N986-1,Constitution&gt;Voies!O986-1,Volonté&gt;Voies!P986-1,Force&gt;Voies!Q986-1,Perception&gt;Voies!R986-1,Reflexes&gt;Voies!S986-1,Agilité&gt;Voies!T986-1,Intuition&gt;Voies!U986-1,Intelligence&gt;Voies!V986-1,Souillure&gt;Voies!W986-1,Honneur&gt;X986-1,Statut&gt;Y986-1,Gloire&gt;Z986-1,AV986=TRUE),Voies!B986,"")</f>
        <v/>
      </c>
      <c r="B986" s="162" t="s">
        <v>3333</v>
      </c>
      <c r="C986" s="162" t="b">
        <f>IF(Clan=Voies!D986,TRUE,FALSE)</f>
        <v>0</v>
      </c>
      <c r="D986" s="387" t="s">
        <v>33</v>
      </c>
      <c r="E986" s="199">
        <v>3</v>
      </c>
      <c r="F986" s="199">
        <v>3</v>
      </c>
      <c r="G986" s="199" t="s">
        <v>2052</v>
      </c>
      <c r="H986" s="162" t="s">
        <v>612</v>
      </c>
      <c r="I986" s="129" t="s">
        <v>6108</v>
      </c>
      <c r="J986" s="146">
        <v>0</v>
      </c>
      <c r="K986" s="147">
        <v>0</v>
      </c>
      <c r="L986" s="148">
        <v>0</v>
      </c>
      <c r="M986" s="149">
        <v>0</v>
      </c>
      <c r="N986" s="150">
        <v>0</v>
      </c>
      <c r="O986" s="130">
        <v>0</v>
      </c>
      <c r="P986" s="130">
        <v>0</v>
      </c>
      <c r="Q986" s="130">
        <v>0</v>
      </c>
      <c r="R986" s="130">
        <v>0</v>
      </c>
      <c r="S986" s="130">
        <v>0</v>
      </c>
      <c r="T986" s="130">
        <v>0</v>
      </c>
      <c r="U986" s="130">
        <v>0</v>
      </c>
      <c r="V986" s="524">
        <v>0</v>
      </c>
      <c r="W986" s="130">
        <v>0</v>
      </c>
      <c r="X986" s="130">
        <v>0</v>
      </c>
      <c r="Y986" s="130">
        <v>0</v>
      </c>
      <c r="Z986" s="130">
        <v>3</v>
      </c>
      <c r="AA986" s="159" t="s">
        <v>3332</v>
      </c>
      <c r="AB986" s="159" t="s">
        <v>1266</v>
      </c>
      <c r="AC986" s="159" t="s">
        <v>1320</v>
      </c>
      <c r="AD986" s="159">
        <v>3</v>
      </c>
      <c r="AE986" s="158" t="b">
        <f>IF(AB986="",TRUE,IF(IF(AC986="",VLOOKUP(AB986,Calculs!$A$19:$S$425,19,FALSE),VLOOKUP(AC986,Calculs!$A$19:$S$425,19,FALSE))&gt;=AD986,TRUE,FALSE))</f>
        <v>0</v>
      </c>
      <c r="AI986" s="158" t="b">
        <f>IF(AF986="",TRUE,IF(IF(AG986="",VLOOKUP(AF986,Calculs!$A$19:$S$425,19,FALSE),VLOOKUP(AG986,Calculs!$A$19:$S$425,19,FALSE))&gt;=AH986,TRUE,FALSE))</f>
        <v>1</v>
      </c>
      <c r="AM986" s="158" t="b">
        <f>IF(AJ986="",TRUE,IF(IF(AK986="",VLOOKUP(AJ986,Calculs!$A$19:$S$425,19,FALSE),VLOOKUP(AK986,Calculs!$A$19:$S$425,19,FALSE))&gt;=AL986,TRUE,FALSE))</f>
        <v>1</v>
      </c>
      <c r="AQ986" s="158" t="b">
        <f>IF(AN986="",TRUE,IF(IF(AO986="",VLOOKUP(AN986,Calculs!$A$19:$S$425,19,FALSE),VLOOKUP(AO986,Calculs!$A$19:$S$425,19,FALSE))&gt;=AP986,TRUE,FALSE))</f>
        <v>1</v>
      </c>
      <c r="AR986" s="158"/>
      <c r="AS986" s="158" t="b">
        <f>IF(AR986="",TRUE,IF(VLOOKUP(AR986,Calculs!$A$427:$G$738,7,FALSE)&gt;0,TRUE,FALSE))</f>
        <v>1</v>
      </c>
      <c r="AT986" s="158"/>
      <c r="AU986" s="158" t="b">
        <f>IF(AT986="",TRUE,IF(VLOOKUP(AT986,Calculs!$A$740:$G$912,7,FALSE)&gt;0,TRUE,FALSE))</f>
        <v>1</v>
      </c>
      <c r="AV986" s="158" t="b">
        <f t="shared" si="108"/>
        <v>0</v>
      </c>
      <c r="AW986" s="158" t="s">
        <v>2078</v>
      </c>
      <c r="AX986" s="162" t="s">
        <v>118</v>
      </c>
      <c r="AY986" s="15">
        <v>178</v>
      </c>
      <c r="AZ986" s="555" t="str">
        <f>CONCATENATE("Test d'Opposition: Sincérité(Tromperie)/Intuition (+1g1 si calomnie fondée) vs. Etiquette (Courtoisie)/Volonté. En cas de succès,  le cible perds ",Gloire,"pts d'Honneur et les gagne en Infâmie. Si elle ne réagit pas avant 1 semaine, elle perds aussi 1 Rang dans toute Relation.")</f>
        <v>Test d'Opposition: Sincérité(Tromperie)/Intuition (+1g1 si calomnie fondée) vs. Etiquette (Courtoisie)/Volonté. En cas de succès,  le cible perds 1pts d'Honneur et les gagne en Infâmie. Si elle ne réagit pas avant 1 semaine, elle perds aussi 1 Rang dans toute Relation.</v>
      </c>
      <c r="BA986" s="559">
        <f>IF(Verso!$B$10=Voies!$B986,1,0)</f>
        <v>0</v>
      </c>
      <c r="BB986" s="12">
        <f>IF(Verso!$B$11=Voies!$B986,1,0)</f>
        <v>0</v>
      </c>
      <c r="BC986" s="12">
        <f>IF(Verso!$B$12=Voies!$B986,1,0)</f>
        <v>0</v>
      </c>
      <c r="BD986" s="12">
        <f>IF(Verso!$B$13=Voies!$B986,1,0)</f>
        <v>0</v>
      </c>
      <c r="BE986" s="12">
        <f>IF(Verso!$B$14=Voies!$B986,1,0)</f>
        <v>0</v>
      </c>
      <c r="BF986" s="12">
        <f>IF(Verso!$B$15=Voies!$B986,1,0)</f>
        <v>0</v>
      </c>
      <c r="BG986" s="12">
        <f>IF(Verso!$B$16=Voies!$B986,1,0)</f>
        <v>0</v>
      </c>
      <c r="BH986" s="12">
        <f>IF(Verso!$B$17=Voies!$B986,1,0)</f>
        <v>0</v>
      </c>
      <c r="BI986" s="557">
        <f t="shared" si="109"/>
        <v>0</v>
      </c>
      <c r="BJ986" s="196" t="str">
        <f t="shared" si="110"/>
        <v/>
      </c>
      <c r="BK986" s="196" t="str">
        <f t="shared" si="111"/>
        <v/>
      </c>
      <c r="BL986" s="295" t="str">
        <f t="shared" si="112"/>
        <v/>
      </c>
    </row>
    <row r="987" spans="1:65" ht="47.25" customHeight="1" x14ac:dyDescent="0.25">
      <c r="A987" s="162" t="str">
        <f>IF(AND(Réputation&gt;Voies!E987-1,OR(C987=TRUE,Calculs!$I$8&gt;0),Air&gt;Voies!J987-1,Eau&gt;Voies!K987-1,Feu&gt;Voies!L987-1,Terre&gt;Voies!M987-1,Vide&gt;Voies!N987-1,Constitution&gt;Voies!O987-1,Volonté&gt;Voies!P987-1,Force&gt;Voies!Q987-1,Perception&gt;Voies!R987-1,Reflexes&gt;Voies!S987-1,Agilité&gt;Voies!T987-1,Intuition&gt;Voies!U987-1,Intelligence&gt;Voies!V987-1,Souillure&gt;Voies!W987-1,Honneur&gt;X987-1,Statut&gt;Y987-1,Gloire&gt;Z987-1,AV987=TRUE),Voies!B987,"")</f>
        <v/>
      </c>
      <c r="B987" s="162" t="s">
        <v>6175</v>
      </c>
      <c r="C987" s="162" t="b">
        <f>IF(Clan=Voies!D987,TRUE,FALSE)</f>
        <v>0</v>
      </c>
      <c r="D987" s="387" t="s">
        <v>33</v>
      </c>
      <c r="E987" s="199">
        <v>3</v>
      </c>
      <c r="F987" s="199">
        <v>3</v>
      </c>
      <c r="G987" s="199" t="s">
        <v>2052</v>
      </c>
      <c r="H987" s="162" t="s">
        <v>6173</v>
      </c>
      <c r="I987" s="129" t="s">
        <v>6174</v>
      </c>
      <c r="J987" s="146">
        <v>0</v>
      </c>
      <c r="K987" s="147">
        <v>0</v>
      </c>
      <c r="L987" s="148">
        <v>0</v>
      </c>
      <c r="M987" s="149">
        <v>0</v>
      </c>
      <c r="N987" s="150">
        <v>0</v>
      </c>
      <c r="O987" s="130">
        <v>0</v>
      </c>
      <c r="P987" s="130">
        <v>0</v>
      </c>
      <c r="Q987" s="130">
        <v>0</v>
      </c>
      <c r="R987" s="130">
        <v>0</v>
      </c>
      <c r="S987" s="130">
        <v>0</v>
      </c>
      <c r="T987" s="130">
        <v>0</v>
      </c>
      <c r="U987" s="130">
        <v>0</v>
      </c>
      <c r="V987" s="524">
        <v>0</v>
      </c>
      <c r="W987" s="130">
        <v>0</v>
      </c>
      <c r="X987" s="130">
        <v>0</v>
      </c>
      <c r="Y987" s="130">
        <v>0</v>
      </c>
      <c r="Z987" s="130">
        <v>0</v>
      </c>
      <c r="AA987" s="158" t="s">
        <v>3332</v>
      </c>
      <c r="AB987" s="159" t="s">
        <v>1266</v>
      </c>
      <c r="AC987" s="159" t="s">
        <v>1320</v>
      </c>
      <c r="AD987" s="158">
        <v>3</v>
      </c>
      <c r="AE987" s="158" t="b">
        <f>IF(AB987="",TRUE,IF(IF(AC987="",VLOOKUP(AB987,Calculs!$A$19:$S$425,19,FALSE),VLOOKUP(AC987,Calculs!$A$19:$S$425,19,FALSE))&gt;=AD987,TRUE,FALSE))</f>
        <v>0</v>
      </c>
      <c r="AF987" s="158"/>
      <c r="AG987" s="158"/>
      <c r="AH987" s="158"/>
      <c r="AI987" s="158" t="b">
        <f>IF(AF987="",TRUE,IF(IF(AG987="",VLOOKUP(AF987,Calculs!$A$19:$S$425,19,FALSE),VLOOKUP(AG987,Calculs!$A$19:$S$425,19,FALSE))&gt;=AH987,TRUE,FALSE))</f>
        <v>1</v>
      </c>
      <c r="AJ987" s="158"/>
      <c r="AK987" s="158"/>
      <c r="AL987" s="158"/>
      <c r="AM987" s="158" t="b">
        <f>IF(AJ987="",TRUE,IF(IF(AK987="",VLOOKUP(AJ987,Calculs!$A$19:$S$425,19,FALSE),VLOOKUP(AK987,Calculs!$A$19:$S$425,19,FALSE))&gt;=AL987,TRUE,FALSE))</f>
        <v>1</v>
      </c>
      <c r="AN987" s="158"/>
      <c r="AO987" s="158"/>
      <c r="AP987" s="158"/>
      <c r="AQ987" s="158" t="b">
        <f>IF(AN987="",TRUE,IF(IF(AO987="",VLOOKUP(AN987,Calculs!$A$19:$S$425,19,FALSE),VLOOKUP(AO987,Calculs!$A$19:$S$425,19,FALSE))&gt;=AP987,TRUE,FALSE))</f>
        <v>1</v>
      </c>
      <c r="AR987" s="158"/>
      <c r="AS987" s="158" t="b">
        <f>IF(AR987="",TRUE,IF(VLOOKUP(AR987,Calculs!$A$427:$G$738,7,FALSE)&gt;0,TRUE,FALSE))</f>
        <v>1</v>
      </c>
      <c r="AT987" s="158"/>
      <c r="AU987" s="158" t="b">
        <f>IF(AT987="",TRUE,IF(VLOOKUP(AT987,Calculs!$A$740:$G$912,7,FALSE)&gt;0,TRUE,FALSE))</f>
        <v>1</v>
      </c>
      <c r="AV987" s="158" t="b">
        <f t="shared" si="108"/>
        <v>0</v>
      </c>
      <c r="AW987" s="158" t="s">
        <v>2078</v>
      </c>
      <c r="AX987" s="162" t="s">
        <v>6010</v>
      </c>
      <c r="AY987" s="15">
        <v>208</v>
      </c>
      <c r="AZ987" s="555" t="s">
        <v>6176</v>
      </c>
      <c r="BA987" s="559">
        <f>IF(Verso!$B$10=Voies!$B987,1,0)</f>
        <v>0</v>
      </c>
      <c r="BB987" s="12">
        <f>IF(Verso!$B$11=Voies!$B987,1,0)</f>
        <v>0</v>
      </c>
      <c r="BC987" s="12">
        <f>IF(Verso!$B$12=Voies!$B987,1,0)</f>
        <v>0</v>
      </c>
      <c r="BD987" s="12">
        <f>IF(Verso!$B$13=Voies!$B987,1,0)</f>
        <v>0</v>
      </c>
      <c r="BE987" s="12">
        <f>IF(Verso!$B$14=Voies!$B987,1,0)</f>
        <v>0</v>
      </c>
      <c r="BF987" s="12">
        <f>IF(Verso!$B$15=Voies!$B987,1,0)</f>
        <v>0</v>
      </c>
      <c r="BG987" s="12">
        <f>IF(Verso!$B$16=Voies!$B987,1,0)</f>
        <v>0</v>
      </c>
      <c r="BH987" s="12">
        <f>IF(Verso!$B$17=Voies!$B987,1,0)</f>
        <v>0</v>
      </c>
      <c r="BI987" s="557">
        <f t="shared" si="109"/>
        <v>0</v>
      </c>
      <c r="BJ987" s="196" t="str">
        <f t="shared" si="110"/>
        <v/>
      </c>
      <c r="BK987" s="196" t="str">
        <f t="shared" si="111"/>
        <v/>
      </c>
      <c r="BL987" s="295" t="str">
        <f t="shared" si="112"/>
        <v/>
      </c>
    </row>
    <row r="988" spans="1:65" s="196" customFormat="1" ht="47.25" customHeight="1" x14ac:dyDescent="0.25">
      <c r="A988" s="162" t="str">
        <f>IF(AND(Réputation&gt;Voies!E988-1,OR(C988=TRUE,Calculs!$I$8&gt;0),Air&gt;Voies!J988-1,Eau&gt;Voies!K988-1,Feu&gt;Voies!L988-1,Terre&gt;Voies!M988-1,Vide&gt;Voies!N988-1,Constitution&gt;Voies!O988-1,Volonté&gt;Voies!P988-1,Force&gt;Voies!Q988-1,Perception&gt;Voies!R988-1,Reflexes&gt;Voies!S988-1,Agilité&gt;Voies!T988-1,Intuition&gt;Voies!U988-1,Intelligence&gt;Voies!V988-1,Souillure&gt;Voies!W988-1,Honneur&gt;X988-1,Statut&gt;Y988-1,Gloire&gt;Z988-1,AV988=TRUE),Voies!B988,"")</f>
        <v/>
      </c>
      <c r="B988" s="162" t="s">
        <v>7850</v>
      </c>
      <c r="C988" s="162" t="b">
        <f>IF(Clan=Voies!D988,TRUE,FALSE)</f>
        <v>0</v>
      </c>
      <c r="D988" s="387" t="s">
        <v>33</v>
      </c>
      <c r="E988" s="199">
        <v>3</v>
      </c>
      <c r="F988" s="199">
        <v>3</v>
      </c>
      <c r="G988" s="199" t="s">
        <v>2052</v>
      </c>
      <c r="H988" s="162" t="s">
        <v>7801</v>
      </c>
      <c r="I988" s="129" t="str">
        <f>IF(B988="","","Rien")</f>
        <v>Rien</v>
      </c>
      <c r="J988" s="146">
        <v>0</v>
      </c>
      <c r="K988" s="147">
        <v>0</v>
      </c>
      <c r="L988" s="148">
        <v>0</v>
      </c>
      <c r="M988" s="149">
        <v>0</v>
      </c>
      <c r="N988" s="150">
        <v>0</v>
      </c>
      <c r="O988" s="130">
        <v>0</v>
      </c>
      <c r="P988" s="130">
        <v>0</v>
      </c>
      <c r="Q988" s="130">
        <v>0</v>
      </c>
      <c r="R988" s="130">
        <v>0</v>
      </c>
      <c r="S988" s="130">
        <v>0</v>
      </c>
      <c r="T988" s="130">
        <v>0</v>
      </c>
      <c r="U988" s="130">
        <v>0</v>
      </c>
      <c r="V988" s="524">
        <v>0</v>
      </c>
      <c r="W988" s="130">
        <v>0</v>
      </c>
      <c r="X988" s="130">
        <v>0</v>
      </c>
      <c r="Y988" s="130">
        <v>0</v>
      </c>
      <c r="Z988" s="130">
        <v>0</v>
      </c>
      <c r="AA988" s="158" t="s">
        <v>2078</v>
      </c>
      <c r="AB988" s="158"/>
      <c r="AC988" s="158"/>
      <c r="AD988" s="158"/>
      <c r="AE988" s="158" t="b">
        <f>IF(AB988="",TRUE,IF(IF(AC988="",VLOOKUP(AB988,Calculs!$A$19:$S$425,19,FALSE),VLOOKUP(AC988,Calculs!$A$19:$S$425,19,FALSE))&gt;=AD988,TRUE,FALSE))</f>
        <v>1</v>
      </c>
      <c r="AF988" s="158"/>
      <c r="AG988" s="158"/>
      <c r="AH988" s="158"/>
      <c r="AI988" s="158" t="b">
        <f>IF(AF988="",TRUE,IF(IF(AG988="",VLOOKUP(AF988,Calculs!$A$19:$S$425,19,FALSE),VLOOKUP(AG988,Calculs!$A$19:$S$425,19,FALSE))&gt;=AH988,TRUE,FALSE))</f>
        <v>1</v>
      </c>
      <c r="AJ988" s="158"/>
      <c r="AK988" s="158"/>
      <c r="AL988" s="158"/>
      <c r="AM988" s="158" t="b">
        <f>IF(AJ988="",TRUE,IF(IF(AK988="",VLOOKUP(AJ988,Calculs!$A$19:$S$425,19,FALSE),VLOOKUP(AK988,Calculs!$A$19:$S$425,19,FALSE))&gt;=AL988,TRUE,FALSE))</f>
        <v>1</v>
      </c>
      <c r="AN988" s="158"/>
      <c r="AO988" s="158"/>
      <c r="AP988" s="158"/>
      <c r="AQ988" s="158" t="b">
        <f>IF(AN988="",TRUE,IF(IF(AO988="",VLOOKUP(AN988,Calculs!$A$19:$S$425,19,FALSE),VLOOKUP(AO988,Calculs!$A$19:$S$425,19,FALSE))&gt;=AP988,TRUE,FALSE))</f>
        <v>1</v>
      </c>
      <c r="AR988" s="158"/>
      <c r="AS988" s="158" t="b">
        <f>IF(AR988="",TRUE,IF(VLOOKUP(AR988,Calculs!$A$427:$G$738,7,FALSE)&gt;0,TRUE,FALSE))</f>
        <v>1</v>
      </c>
      <c r="AT988" s="158"/>
      <c r="AU988" s="158" t="b">
        <f>IF(AT988="",TRUE,IF(VLOOKUP(AT988,Calculs!$A$740:$G$912,7,FALSE)&gt;0,TRUE,FALSE))</f>
        <v>1</v>
      </c>
      <c r="AV988" s="158" t="b">
        <f t="shared" si="108"/>
        <v>1</v>
      </c>
      <c r="AW988" s="158" t="s">
        <v>2078</v>
      </c>
      <c r="AX988" s="162" t="s">
        <v>7226</v>
      </c>
      <c r="AY988" s="15">
        <v>70</v>
      </c>
      <c r="AZ988" s="555" t="s">
        <v>7855</v>
      </c>
      <c r="BA988" s="559">
        <f>IF(Verso!$B$10=Voies!$B988,1,0)</f>
        <v>0</v>
      </c>
      <c r="BB988" s="12">
        <f>IF(Verso!$B$11=Voies!$B988,1,0)</f>
        <v>0</v>
      </c>
      <c r="BC988" s="12">
        <f>IF(Verso!$B$12=Voies!$B988,1,0)</f>
        <v>0</v>
      </c>
      <c r="BD988" s="12">
        <f>IF(Verso!$B$13=Voies!$B988,1,0)</f>
        <v>0</v>
      </c>
      <c r="BE988" s="12">
        <f>IF(Verso!$B$14=Voies!$B988,1,0)</f>
        <v>0</v>
      </c>
      <c r="BF988" s="12">
        <f>IF(Verso!$B$15=Voies!$B988,1,0)</f>
        <v>0</v>
      </c>
      <c r="BG988" s="12">
        <f>IF(Verso!$B$16=Voies!$B988,1,0)</f>
        <v>0</v>
      </c>
      <c r="BH988" s="12">
        <f>IF(Verso!$B$17=Voies!$B988,1,0)</f>
        <v>0</v>
      </c>
      <c r="BI988" s="557">
        <f t="shared" si="109"/>
        <v>0</v>
      </c>
      <c r="BJ988" s="196" t="str">
        <f t="shared" si="110"/>
        <v/>
      </c>
      <c r="BK988" s="196" t="str">
        <f t="shared" si="111"/>
        <v/>
      </c>
      <c r="BL988" s="295" t="str">
        <f t="shared" si="112"/>
        <v/>
      </c>
      <c r="BM988" s="91"/>
    </row>
    <row r="989" spans="1:65" s="196" customFormat="1" ht="47.25" customHeight="1" x14ac:dyDescent="0.25">
      <c r="A989" s="162" t="str">
        <f>IF(AND(Réputation&gt;Voies!E989-1,OR(C989=TRUE,Calculs!$I$8&gt;0),Air&gt;Voies!J989-1,Eau&gt;Voies!K989-1,Feu&gt;Voies!L989-1,Terre&gt;Voies!M989-1,Vide&gt;Voies!N989-1,Constitution&gt;Voies!O989-1,Volonté&gt;Voies!P989-1,Force&gt;Voies!Q989-1,Perception&gt;Voies!R989-1,Reflexes&gt;Voies!S989-1,Agilité&gt;Voies!T989-1,Intuition&gt;Voies!U989-1,Intelligence&gt;Voies!V989-1,Souillure&gt;Voies!W989-1,Honneur&gt;X989-1,Statut&gt;Y989-1,Gloire&gt;Z989-1,AV989=TRUE),Voies!B989,"")</f>
        <v/>
      </c>
      <c r="B989" s="162" t="s">
        <v>8398</v>
      </c>
      <c r="C989" s="162" t="b">
        <f>IF(Clan=Voies!D989,TRUE,FALSE)</f>
        <v>0</v>
      </c>
      <c r="D989" s="387" t="s">
        <v>33</v>
      </c>
      <c r="E989" s="199">
        <v>3</v>
      </c>
      <c r="F989" s="199">
        <v>3</v>
      </c>
      <c r="G989" s="199" t="s">
        <v>2052</v>
      </c>
      <c r="H989" s="162" t="s">
        <v>8392</v>
      </c>
      <c r="I989" s="129" t="str">
        <f>IF(B989="","","Rien")</f>
        <v>Rien</v>
      </c>
      <c r="J989" s="146">
        <v>0</v>
      </c>
      <c r="K989" s="147">
        <v>0</v>
      </c>
      <c r="L989" s="148">
        <v>0</v>
      </c>
      <c r="M989" s="149">
        <v>0</v>
      </c>
      <c r="N989" s="150">
        <v>0</v>
      </c>
      <c r="O989" s="130">
        <v>0</v>
      </c>
      <c r="P989" s="130">
        <v>0</v>
      </c>
      <c r="Q989" s="130">
        <v>0</v>
      </c>
      <c r="R989" s="130">
        <v>0</v>
      </c>
      <c r="S989" s="130">
        <v>0</v>
      </c>
      <c r="T989" s="130">
        <v>0</v>
      </c>
      <c r="U989" s="130">
        <v>0</v>
      </c>
      <c r="V989" s="524">
        <v>0</v>
      </c>
      <c r="W989" s="130">
        <v>0</v>
      </c>
      <c r="X989" s="130">
        <v>0</v>
      </c>
      <c r="Y989" s="130">
        <v>0</v>
      </c>
      <c r="Z989" s="130">
        <v>0</v>
      </c>
      <c r="AA989" s="158" t="s">
        <v>2078</v>
      </c>
      <c r="AB989" s="158"/>
      <c r="AC989" s="158"/>
      <c r="AD989" s="158"/>
      <c r="AE989" s="158" t="b">
        <f>IF(AB989="",TRUE,IF(IF(AC989="",VLOOKUP(AB989,Calculs!$A$19:$S$425,19,FALSE),VLOOKUP(AC989,Calculs!$A$19:$S$425,19,FALSE))&gt;=AD989,TRUE,FALSE))</f>
        <v>1</v>
      </c>
      <c r="AF989" s="158"/>
      <c r="AG989" s="158"/>
      <c r="AH989" s="158"/>
      <c r="AI989" s="158" t="b">
        <f>IF(AF989="",TRUE,IF(IF(AG989="",VLOOKUP(AF989,Calculs!$A$19:$S$425,19,FALSE),VLOOKUP(AG989,Calculs!$A$19:$S$425,19,FALSE))&gt;=AH989,TRUE,FALSE))</f>
        <v>1</v>
      </c>
      <c r="AJ989" s="158"/>
      <c r="AK989" s="158"/>
      <c r="AL989" s="158"/>
      <c r="AM989" s="158" t="b">
        <f>IF(AJ989="",TRUE,IF(IF(AK989="",VLOOKUP(AJ989,Calculs!$A$19:$S$425,19,FALSE),VLOOKUP(AK989,Calculs!$A$19:$S$425,19,FALSE))&gt;=AL989,TRUE,FALSE))</f>
        <v>1</v>
      </c>
      <c r="AN989" s="158"/>
      <c r="AO989" s="158"/>
      <c r="AP989" s="158"/>
      <c r="AQ989" s="158" t="b">
        <f>IF(AN989="",TRUE,IF(IF(AO989="",VLOOKUP(AN989,Calculs!$A$19:$S$425,19,FALSE),VLOOKUP(AO989,Calculs!$A$19:$S$425,19,FALSE))&gt;=AP989,TRUE,FALSE))</f>
        <v>1</v>
      </c>
      <c r="AR989" s="158"/>
      <c r="AS989" s="158" t="b">
        <f>IF(AR989="",TRUE,IF(VLOOKUP(AR989,Calculs!$A$427:$G$738,7,FALSE)&gt;0,TRUE,FALSE))</f>
        <v>1</v>
      </c>
      <c r="AT989" s="158"/>
      <c r="AU989" s="158" t="b">
        <f>IF(AT989="",TRUE,IF(VLOOKUP(AT989,Calculs!$A$740:$G$912,7,FALSE)&gt;0,TRUE,FALSE))</f>
        <v>1</v>
      </c>
      <c r="AV989" s="158" t="b">
        <f t="shared" si="108"/>
        <v>1</v>
      </c>
      <c r="AW989" s="158" t="s">
        <v>2078</v>
      </c>
      <c r="AX989" s="162" t="s">
        <v>7759</v>
      </c>
      <c r="AY989" s="15">
        <v>18</v>
      </c>
      <c r="AZ989" s="555" t="str">
        <f>CONCATENATE(Réputation, " fois par jour si lorsque vous échouez à un test d'Opposition Social, vous pouvez retenter ce test en utilisant votre compétence Connaissances (Loi) au lieu de la compétence requise. Vous devez garder ce second résultat")</f>
        <v>1 fois par jour si lorsque vous échouez à un test d'Opposition Social, vous pouvez retenter ce test en utilisant votre compétence Connaissances (Loi) au lieu de la compétence requise. Vous devez garder ce second résultat</v>
      </c>
      <c r="BA989" s="559">
        <f>IF(Verso!$B$10=Voies!$B989,1,0)</f>
        <v>0</v>
      </c>
      <c r="BB989" s="12">
        <f>IF(Verso!$B$11=Voies!$B989,1,0)</f>
        <v>0</v>
      </c>
      <c r="BC989" s="12">
        <f>IF(Verso!$B$12=Voies!$B989,1,0)</f>
        <v>0</v>
      </c>
      <c r="BD989" s="12">
        <f>IF(Verso!$B$13=Voies!$B989,1,0)</f>
        <v>0</v>
      </c>
      <c r="BE989" s="12">
        <f>IF(Verso!$B$14=Voies!$B989,1,0)</f>
        <v>0</v>
      </c>
      <c r="BF989" s="12">
        <f>IF(Verso!$B$15=Voies!$B989,1,0)</f>
        <v>0</v>
      </c>
      <c r="BG989" s="12">
        <f>IF(Verso!$B$16=Voies!$B989,1,0)</f>
        <v>0</v>
      </c>
      <c r="BH989" s="12">
        <f>IF(Verso!$B$17=Voies!$B989,1,0)</f>
        <v>0</v>
      </c>
      <c r="BI989" s="557">
        <f t="shared" si="109"/>
        <v>0</v>
      </c>
      <c r="BJ989" s="196" t="str">
        <f t="shared" si="110"/>
        <v/>
      </c>
      <c r="BK989" s="196" t="str">
        <f t="shared" si="111"/>
        <v/>
      </c>
      <c r="BL989" s="295" t="str">
        <f t="shared" si="112"/>
        <v/>
      </c>
      <c r="BM989" s="91"/>
    </row>
    <row r="990" spans="1:65" s="196" customFormat="1" ht="47.25" customHeight="1" x14ac:dyDescent="0.25">
      <c r="A990" s="162" t="str">
        <f>IF(AND(Réputation&gt;Voies!E990-1,OR(C990=TRUE,Calculs!$I$8&gt;0),Air&gt;Voies!J990-1,Eau&gt;Voies!K990-1,Feu&gt;Voies!L990-1,Terre&gt;Voies!M990-1,Vide&gt;Voies!N990-1,Constitution&gt;Voies!O990-1,Volonté&gt;Voies!P990-1,Force&gt;Voies!Q990-1,Perception&gt;Voies!R990-1,Reflexes&gt;Voies!S990-1,Agilité&gt;Voies!T990-1,Intuition&gt;Voies!U990-1,Intelligence&gt;Voies!V990-1,Souillure&gt;Voies!W990-1,Honneur&gt;X990-1,Statut&gt;Y990-1,Gloire&gt;Z990-1,AV990=TRUE),Voies!B990,"")</f>
        <v/>
      </c>
      <c r="B990" s="162" t="s">
        <v>6111</v>
      </c>
      <c r="C990" s="162" t="b">
        <f>IF(Clan=Voies!D990,TRUE,FALSE)</f>
        <v>0</v>
      </c>
      <c r="D990" s="387" t="s">
        <v>33</v>
      </c>
      <c r="E990" s="199">
        <v>3</v>
      </c>
      <c r="F990" s="199">
        <v>3</v>
      </c>
      <c r="G990" s="199" t="s">
        <v>2060</v>
      </c>
      <c r="H990" s="162" t="s">
        <v>6107</v>
      </c>
      <c r="I990" s="129" t="str">
        <f>IF(B990="","","Rien")</f>
        <v>Rien</v>
      </c>
      <c r="J990" s="146">
        <v>0</v>
      </c>
      <c r="K990" s="147">
        <v>0</v>
      </c>
      <c r="L990" s="148">
        <v>0</v>
      </c>
      <c r="M990" s="149">
        <v>0</v>
      </c>
      <c r="N990" s="150">
        <v>0</v>
      </c>
      <c r="O990" s="130">
        <v>0</v>
      </c>
      <c r="P990" s="130">
        <v>0</v>
      </c>
      <c r="Q990" s="130">
        <v>0</v>
      </c>
      <c r="R990" s="130">
        <v>0</v>
      </c>
      <c r="S990" s="130">
        <v>0</v>
      </c>
      <c r="T990" s="130">
        <v>0</v>
      </c>
      <c r="U990" s="130">
        <v>0</v>
      </c>
      <c r="V990" s="524">
        <v>0</v>
      </c>
      <c r="W990" s="130">
        <v>0</v>
      </c>
      <c r="X990" s="130">
        <v>0</v>
      </c>
      <c r="Y990" s="130">
        <v>0</v>
      </c>
      <c r="Z990" s="130">
        <v>0</v>
      </c>
      <c r="AA990" s="158" t="s">
        <v>2078</v>
      </c>
      <c r="AB990" s="158"/>
      <c r="AC990" s="158"/>
      <c r="AD990" s="158"/>
      <c r="AE990" s="158" t="b">
        <f>IF(AB990="",TRUE,IF(IF(AC990="",VLOOKUP(AB990,Calculs!$A$19:$S$425,19,FALSE),VLOOKUP(AC990,Calculs!$A$19:$S$425,19,FALSE))&gt;=AD990,TRUE,FALSE))</f>
        <v>1</v>
      </c>
      <c r="AF990" s="158"/>
      <c r="AG990" s="158"/>
      <c r="AH990" s="158"/>
      <c r="AI990" s="158" t="b">
        <f>IF(AF990="",TRUE,IF(IF(AG990="",VLOOKUP(AF990,Calculs!$A$19:$S$425,19,FALSE),VLOOKUP(AG990,Calculs!$A$19:$S$425,19,FALSE))&gt;=AH990,TRUE,FALSE))</f>
        <v>1</v>
      </c>
      <c r="AJ990" s="158"/>
      <c r="AK990" s="158"/>
      <c r="AL990" s="158"/>
      <c r="AM990" s="158" t="b">
        <f>IF(AJ990="",TRUE,IF(IF(AK990="",VLOOKUP(AJ990,Calculs!$A$19:$S$425,19,FALSE),VLOOKUP(AK990,Calculs!$A$19:$S$425,19,FALSE))&gt;=AL990,TRUE,FALSE))</f>
        <v>1</v>
      </c>
      <c r="AN990" s="158"/>
      <c r="AO990" s="158"/>
      <c r="AP990" s="158"/>
      <c r="AQ990" s="158" t="b">
        <f>IF(AN990="",TRUE,IF(IF(AO990="",VLOOKUP(AN990,Calculs!$A$19:$S$425,19,FALSE),VLOOKUP(AO990,Calculs!$A$19:$S$425,19,FALSE))&gt;=AP990,TRUE,FALSE))</f>
        <v>1</v>
      </c>
      <c r="AR990" s="158"/>
      <c r="AS990" s="158" t="b">
        <f>IF(AR990="",TRUE,IF(VLOOKUP(AR990,Calculs!$A$427:$G$738,7,FALSE)&gt;0,TRUE,FALSE))</f>
        <v>1</v>
      </c>
      <c r="AT990" s="158"/>
      <c r="AU990" s="158" t="b">
        <f>IF(AT990="",TRUE,IF(VLOOKUP(AT990,Calculs!$A$740:$G$912,7,FALSE)&gt;0,TRUE,FALSE))</f>
        <v>1</v>
      </c>
      <c r="AV990" s="158" t="b">
        <f t="shared" si="108"/>
        <v>1</v>
      </c>
      <c r="AW990" s="158" t="s">
        <v>2078</v>
      </c>
      <c r="AX990" s="162" t="s">
        <v>6061</v>
      </c>
      <c r="AY990" s="15">
        <v>257</v>
      </c>
      <c r="AZ990" s="555" t="s">
        <v>6063</v>
      </c>
      <c r="BA990" s="559">
        <f>IF(Verso!$B$10=Voies!$B990,1,0)</f>
        <v>0</v>
      </c>
      <c r="BB990" s="12">
        <f>IF(Verso!$B$11=Voies!$B990,1,0)</f>
        <v>0</v>
      </c>
      <c r="BC990" s="12">
        <f>IF(Verso!$B$12=Voies!$B990,1,0)</f>
        <v>0</v>
      </c>
      <c r="BD990" s="12">
        <f>IF(Verso!$B$13=Voies!$B990,1,0)</f>
        <v>0</v>
      </c>
      <c r="BE990" s="12">
        <f>IF(Verso!$B$14=Voies!$B990,1,0)</f>
        <v>0</v>
      </c>
      <c r="BF990" s="12">
        <f>IF(Verso!$B$15=Voies!$B990,1,0)</f>
        <v>0</v>
      </c>
      <c r="BG990" s="12">
        <f>IF(Verso!$B$16=Voies!$B990,1,0)</f>
        <v>0</v>
      </c>
      <c r="BH990" s="12">
        <f>IF(Verso!$B$17=Voies!$B990,1,0)</f>
        <v>0</v>
      </c>
      <c r="BI990" s="557">
        <f t="shared" si="109"/>
        <v>0</v>
      </c>
      <c r="BJ990" s="196" t="str">
        <f t="shared" si="110"/>
        <v/>
      </c>
      <c r="BK990" s="196" t="str">
        <f t="shared" si="111"/>
        <v/>
      </c>
      <c r="BL990" s="295" t="str">
        <f t="shared" si="112"/>
        <v/>
      </c>
      <c r="BM990" s="91"/>
    </row>
    <row r="991" spans="1:65" ht="47.25" customHeight="1" x14ac:dyDescent="0.25">
      <c r="A991" s="162" t="str">
        <f>IF(AND(Réputation&gt;Voies!E991-1,OR(C991=TRUE,Calculs!$I$8&gt;0),Air&gt;Voies!J991-1,Eau&gt;Voies!K991-1,Feu&gt;Voies!L991-1,Terre&gt;Voies!M991-1,Vide&gt;Voies!N991-1,Constitution&gt;Voies!O991-1,Volonté&gt;Voies!P991-1,Force&gt;Voies!Q991-1,Perception&gt;Voies!R991-1,Reflexes&gt;Voies!S991-1,Agilité&gt;Voies!T991-1,Intuition&gt;Voies!U991-1,Intelligence&gt;Voies!V991-1,Souillure&gt;Voies!W991-1,Honneur&gt;X991-1,Statut&gt;Y991-1,Gloire&gt;Z991-1,AV991=TRUE),Voies!B991,"")</f>
        <v/>
      </c>
      <c r="B991" s="162" t="s">
        <v>2519</v>
      </c>
      <c r="C991" s="162" t="b">
        <f>IF(Clan=Voies!D991,TRUE,FALSE)</f>
        <v>0</v>
      </c>
      <c r="D991" s="387" t="s">
        <v>33</v>
      </c>
      <c r="E991" s="13">
        <v>3</v>
      </c>
      <c r="F991" s="199">
        <v>3</v>
      </c>
      <c r="G991" s="13" t="s">
        <v>2060</v>
      </c>
      <c r="H991" s="162" t="s">
        <v>222</v>
      </c>
      <c r="I991" s="129" t="str">
        <f>IF(B991="","","Rien")</f>
        <v>Rien</v>
      </c>
      <c r="J991" s="146">
        <v>0</v>
      </c>
      <c r="K991" s="147">
        <v>0</v>
      </c>
      <c r="L991" s="148">
        <v>0</v>
      </c>
      <c r="M991" s="149">
        <v>0</v>
      </c>
      <c r="N991" s="150">
        <v>0</v>
      </c>
      <c r="O991" s="130">
        <v>0</v>
      </c>
      <c r="P991" s="130">
        <v>0</v>
      </c>
      <c r="Q991" s="130">
        <v>0</v>
      </c>
      <c r="R991" s="130">
        <v>0</v>
      </c>
      <c r="S991" s="130">
        <v>0</v>
      </c>
      <c r="T991" s="130">
        <v>0</v>
      </c>
      <c r="U991" s="130">
        <v>0</v>
      </c>
      <c r="V991" s="524">
        <v>0</v>
      </c>
      <c r="W991" s="130">
        <v>0</v>
      </c>
      <c r="X991" s="130">
        <v>0</v>
      </c>
      <c r="Y991" s="130">
        <v>0</v>
      </c>
      <c r="Z991" s="130">
        <v>0</v>
      </c>
      <c r="AA991" s="158" t="s">
        <v>2078</v>
      </c>
      <c r="AB991" s="158"/>
      <c r="AC991" s="158"/>
      <c r="AD991" s="158"/>
      <c r="AE991" s="158" t="b">
        <f>IF(AB991="",TRUE,IF(IF(AC991="",VLOOKUP(AB991,Calculs!$A$19:$S$425,19,FALSE),VLOOKUP(AC991,Calculs!$A$19:$S$425,19,FALSE))&gt;=AD991,TRUE,FALSE))</f>
        <v>1</v>
      </c>
      <c r="AF991" s="158"/>
      <c r="AG991" s="158"/>
      <c r="AH991" s="158"/>
      <c r="AI991" s="158" t="b">
        <f>IF(AF991="",TRUE,IF(IF(AG991="",VLOOKUP(AF991,Calculs!$A$19:$S$425,19,FALSE),VLOOKUP(AG991,Calculs!$A$19:$S$425,19,FALSE))&gt;=AH991,TRUE,FALSE))</f>
        <v>1</v>
      </c>
      <c r="AJ991" s="158"/>
      <c r="AK991" s="158"/>
      <c r="AL991" s="158"/>
      <c r="AM991" s="158" t="b">
        <f>IF(AJ991="",TRUE,IF(IF(AK991="",VLOOKUP(AJ991,Calculs!$A$19:$S$425,19,FALSE),VLOOKUP(AK991,Calculs!$A$19:$S$425,19,FALSE))&gt;=AL991,TRUE,FALSE))</f>
        <v>1</v>
      </c>
      <c r="AN991" s="158"/>
      <c r="AO991" s="158"/>
      <c r="AP991" s="158"/>
      <c r="AQ991" s="158" t="b">
        <f>IF(AN991="",TRUE,IF(IF(AO991="",VLOOKUP(AN991,Calculs!$A$19:$S$425,19,FALSE),VLOOKUP(AO991,Calculs!$A$19:$S$425,19,FALSE))&gt;=AP991,TRUE,FALSE))</f>
        <v>1</v>
      </c>
      <c r="AR991" s="158"/>
      <c r="AS991" s="158" t="b">
        <f>IF(AR991="",TRUE,IF(VLOOKUP(AR991,Calculs!$A$427:$G$738,7,FALSE)&gt;0,TRUE,FALSE))</f>
        <v>1</v>
      </c>
      <c r="AT991" s="158"/>
      <c r="AU991" s="158" t="b">
        <f>IF(AT991="",TRUE,IF(VLOOKUP(AT991,Calculs!$A$740:$G$912,7,FALSE)&gt;0,TRUE,FALSE))</f>
        <v>1</v>
      </c>
      <c r="AV991" s="158" t="b">
        <f t="shared" si="108"/>
        <v>1</v>
      </c>
      <c r="AW991" s="158" t="s">
        <v>2078</v>
      </c>
      <c r="AX991" s="162" t="s">
        <v>3</v>
      </c>
      <c r="AY991" s="15">
        <v>132</v>
      </c>
      <c r="AZ991" s="555" t="s">
        <v>8391</v>
      </c>
      <c r="BA991" s="559">
        <f>IF(Verso!$B$10=Voies!$B991,1,0)</f>
        <v>0</v>
      </c>
      <c r="BB991" s="12">
        <f>IF(Verso!$B$11=Voies!$B991,1,0)</f>
        <v>0</v>
      </c>
      <c r="BC991" s="12">
        <f>IF(Verso!$B$12=Voies!$B991,1,0)</f>
        <v>0</v>
      </c>
      <c r="BD991" s="12">
        <f>IF(Verso!$B$13=Voies!$B991,1,0)</f>
        <v>0</v>
      </c>
      <c r="BE991" s="12">
        <f>IF(Verso!$B$14=Voies!$B991,1,0)</f>
        <v>0</v>
      </c>
      <c r="BF991" s="12">
        <f>IF(Verso!$B$15=Voies!$B991,1,0)</f>
        <v>0</v>
      </c>
      <c r="BG991" s="12">
        <f>IF(Verso!$B$16=Voies!$B991,1,0)</f>
        <v>0</v>
      </c>
      <c r="BH991" s="12">
        <f>IF(Verso!$B$17=Voies!$B991,1,0)</f>
        <v>0</v>
      </c>
      <c r="BI991" s="557">
        <f t="shared" si="109"/>
        <v>0</v>
      </c>
      <c r="BJ991" s="196" t="str">
        <f t="shared" si="110"/>
        <v/>
      </c>
      <c r="BK991" s="196" t="str">
        <f t="shared" si="111"/>
        <v/>
      </c>
      <c r="BL991" s="295" t="str">
        <f t="shared" si="112"/>
        <v/>
      </c>
    </row>
    <row r="992" spans="1:65" ht="47.25" customHeight="1" x14ac:dyDescent="0.25">
      <c r="A992" s="162" t="str">
        <f>IF(AND(Réputation&gt;Voies!E992-1,OR(C992=TRUE,Calculs!$I$8&gt;0),Air&gt;Voies!J992-1,Eau&gt;Voies!K992-1,Feu&gt;Voies!L992-1,Terre&gt;Voies!M992-1,Vide&gt;Voies!N992-1,Constitution&gt;Voies!O992-1,Volonté&gt;Voies!P992-1,Force&gt;Voies!Q992-1,Perception&gt;Voies!R992-1,Reflexes&gt;Voies!S992-1,Agilité&gt;Voies!T992-1,Intuition&gt;Voies!U992-1,Intelligence&gt;Voies!V992-1,Souillure&gt;Voies!W992-1,Honneur&gt;X992-1,Statut&gt;Y992-1,Gloire&gt;Z992-1,AV992=TRUE),Voies!B992,"")</f>
        <v/>
      </c>
      <c r="B992" s="162" t="s">
        <v>3859</v>
      </c>
      <c r="C992" s="162" t="b">
        <f>IF(Clan=Voies!D992,TRUE,FALSE)</f>
        <v>0</v>
      </c>
      <c r="D992" s="387" t="s">
        <v>33</v>
      </c>
      <c r="E992" s="201">
        <v>3</v>
      </c>
      <c r="F992" s="201">
        <v>3</v>
      </c>
      <c r="G992" s="201" t="s">
        <v>2060</v>
      </c>
      <c r="H992" s="219" t="s">
        <v>526</v>
      </c>
      <c r="I992" s="129" t="s">
        <v>6179</v>
      </c>
      <c r="J992" s="146">
        <v>0</v>
      </c>
      <c r="K992" s="147">
        <v>0</v>
      </c>
      <c r="L992" s="148">
        <v>0</v>
      </c>
      <c r="M992" s="149">
        <v>0</v>
      </c>
      <c r="N992" s="150">
        <v>0</v>
      </c>
      <c r="O992" s="130">
        <v>0</v>
      </c>
      <c r="P992" s="130">
        <v>0</v>
      </c>
      <c r="Q992" s="130">
        <v>0</v>
      </c>
      <c r="R992" s="130">
        <v>0</v>
      </c>
      <c r="S992" s="130">
        <v>0</v>
      </c>
      <c r="T992" s="130">
        <v>0</v>
      </c>
      <c r="U992" s="130">
        <v>0</v>
      </c>
      <c r="V992" s="524">
        <v>0</v>
      </c>
      <c r="W992" s="130">
        <v>0</v>
      </c>
      <c r="X992" s="130">
        <v>0</v>
      </c>
      <c r="Y992" s="130">
        <v>0</v>
      </c>
      <c r="Z992" s="130">
        <v>0</v>
      </c>
      <c r="AA992" s="159" t="s">
        <v>3860</v>
      </c>
      <c r="AB992" s="159" t="s">
        <v>1230</v>
      </c>
      <c r="AD992" s="159">
        <v>3</v>
      </c>
      <c r="AE992" s="158" t="b">
        <f>IF(AB992="",TRUE,IF(IF(AC992="",VLOOKUP(AB992,Calculs!$A$19:$S$425,19,FALSE),VLOOKUP(AC992,Calculs!$A$19:$S$425,19,FALSE))&gt;=AD992,TRUE,FALSE))</f>
        <v>0</v>
      </c>
      <c r="AI992" s="158" t="b">
        <f>IF(AF992="",TRUE,IF(IF(AG992="",VLOOKUP(AF992,Calculs!$A$19:$S$425,19,FALSE),VLOOKUP(AG992,Calculs!$A$19:$S$425,19,FALSE))&gt;=AH992,TRUE,FALSE))</f>
        <v>1</v>
      </c>
      <c r="AM992" s="158" t="b">
        <f>IF(AJ992="",TRUE,IF(IF(AK992="",VLOOKUP(AJ992,Calculs!$A$19:$S$425,19,FALSE),VLOOKUP(AK992,Calculs!$A$19:$S$425,19,FALSE))&gt;=AL992,TRUE,FALSE))</f>
        <v>1</v>
      </c>
      <c r="AQ992" s="158" t="b">
        <f>IF(AN992="",TRUE,IF(IF(AO992="",VLOOKUP(AN992,Calculs!$A$19:$S$425,19,FALSE),VLOOKUP(AO992,Calculs!$A$19:$S$425,19,FALSE))&gt;=AP992,TRUE,FALSE))</f>
        <v>1</v>
      </c>
      <c r="AR992" s="158"/>
      <c r="AS992" s="158" t="b">
        <f>IF(AR992="",TRUE,IF(VLOOKUP(AR992,Calculs!$A$427:$G$738,7,FALSE)&gt;0,TRUE,FALSE))</f>
        <v>1</v>
      </c>
      <c r="AT992" s="158"/>
      <c r="AU992" s="158" t="b">
        <f>IF(AT992="",TRUE,IF(VLOOKUP(AT992,Calculs!$A$740:$G$912,7,FALSE)&gt;0,TRUE,FALSE))</f>
        <v>1</v>
      </c>
      <c r="AV992" s="158" t="b">
        <f t="shared" si="108"/>
        <v>0</v>
      </c>
      <c r="AW992" s="158" t="s">
        <v>2078</v>
      </c>
      <c r="AX992" s="162" t="s">
        <v>2087</v>
      </c>
      <c r="AY992" s="15">
        <v>153</v>
      </c>
      <c r="AZ992" s="555" t="s">
        <v>3861</v>
      </c>
      <c r="BA992" s="559">
        <f>IF(Verso!$B$10=Voies!$B992,1,0)</f>
        <v>0</v>
      </c>
      <c r="BB992" s="12">
        <f>IF(Verso!$B$11=Voies!$B992,1,0)</f>
        <v>0</v>
      </c>
      <c r="BC992" s="12">
        <f>IF(Verso!$B$12=Voies!$B992,1,0)</f>
        <v>0</v>
      </c>
      <c r="BD992" s="12">
        <f>IF(Verso!$B$13=Voies!$B992,1,0)</f>
        <v>0</v>
      </c>
      <c r="BE992" s="12">
        <f>IF(Verso!$B$14=Voies!$B992,1,0)</f>
        <v>0</v>
      </c>
      <c r="BF992" s="12">
        <f>IF(Verso!$B$15=Voies!$B992,1,0)</f>
        <v>0</v>
      </c>
      <c r="BG992" s="12">
        <f>IF(Verso!$B$16=Voies!$B992,1,0)</f>
        <v>0</v>
      </c>
      <c r="BH992" s="12">
        <f>IF(Verso!$B$17=Voies!$B992,1,0)</f>
        <v>0</v>
      </c>
      <c r="BI992" s="557">
        <f t="shared" si="109"/>
        <v>0</v>
      </c>
      <c r="BJ992" s="196" t="str">
        <f t="shared" si="110"/>
        <v/>
      </c>
      <c r="BK992" s="196" t="str">
        <f t="shared" si="111"/>
        <v/>
      </c>
      <c r="BL992" s="295" t="str">
        <f t="shared" si="112"/>
        <v/>
      </c>
    </row>
    <row r="993" spans="1:65" ht="47.25" customHeight="1" x14ac:dyDescent="0.25">
      <c r="A993" s="162" t="str">
        <f>IF(AND(Réputation&gt;Voies!E993-1,OR(C993=TRUE,Calculs!$I$8&gt;0),Air&gt;Voies!J993-1,Eau&gt;Voies!K993-1,Feu&gt;Voies!L993-1,Terre&gt;Voies!M993-1,Vide&gt;Voies!N993-1,Constitution&gt;Voies!O993-1,Volonté&gt;Voies!P993-1,Force&gt;Voies!Q993-1,Perception&gt;Voies!R993-1,Reflexes&gt;Voies!S993-1,Agilité&gt;Voies!T993-1,Intuition&gt;Voies!U993-1,Intelligence&gt;Voies!V993-1,Souillure&gt;Voies!W993-1,Honneur&gt;X993-1,Statut&gt;Y993-1,Gloire&gt;Z993-1,AV993=TRUE),Voies!B993,"")</f>
        <v/>
      </c>
      <c r="B993" s="162" t="s">
        <v>3232</v>
      </c>
      <c r="C993" s="162" t="b">
        <f>IF(Clan=Voies!D993,TRUE,FALSE)</f>
        <v>0</v>
      </c>
      <c r="D993" s="387" t="s">
        <v>33</v>
      </c>
      <c r="E993" s="199">
        <v>3</v>
      </c>
      <c r="F993" s="199">
        <v>3</v>
      </c>
      <c r="G993" s="199" t="s">
        <v>2048</v>
      </c>
      <c r="H993" s="162" t="s">
        <v>594</v>
      </c>
      <c r="I993" s="129" t="s">
        <v>3231</v>
      </c>
      <c r="J993" s="146">
        <v>0</v>
      </c>
      <c r="K993" s="147">
        <v>0</v>
      </c>
      <c r="L993" s="148">
        <v>0</v>
      </c>
      <c r="M993" s="149">
        <v>0</v>
      </c>
      <c r="N993" s="150">
        <v>0</v>
      </c>
      <c r="O993" s="130">
        <v>0</v>
      </c>
      <c r="P993" s="130">
        <v>0</v>
      </c>
      <c r="Q993" s="130">
        <v>0</v>
      </c>
      <c r="R993" s="130">
        <v>0</v>
      </c>
      <c r="S993" s="130">
        <v>0</v>
      </c>
      <c r="T993" s="130">
        <v>0</v>
      </c>
      <c r="U993" s="130">
        <v>0</v>
      </c>
      <c r="V993" s="524">
        <v>0</v>
      </c>
      <c r="W993" s="130">
        <v>0</v>
      </c>
      <c r="X993" s="130">
        <v>0</v>
      </c>
      <c r="Y993" s="130">
        <v>0</v>
      </c>
      <c r="Z993" s="130">
        <v>0</v>
      </c>
      <c r="AA993" s="159" t="s">
        <v>3151</v>
      </c>
      <c r="AB993" s="159" t="s">
        <v>1282</v>
      </c>
      <c r="AD993" s="159">
        <v>3</v>
      </c>
      <c r="AE993" s="158" t="b">
        <f>IF(AB993="",TRUE,IF(IF(AC993="",VLOOKUP(AB993,Calculs!$A$19:$S$425,19,FALSE),VLOOKUP(AC993,Calculs!$A$19:$S$425,19,FALSE))&gt;=AD993,TRUE,FALSE))</f>
        <v>0</v>
      </c>
      <c r="AI993" s="158" t="b">
        <f>IF(AF993="",TRUE,IF(IF(AG993="",VLOOKUP(AF993,Calculs!$A$19:$S$425,19,FALSE),VLOOKUP(AG993,Calculs!$A$19:$S$425,19,FALSE))&gt;=AH993,TRUE,FALSE))</f>
        <v>1</v>
      </c>
      <c r="AM993" s="158" t="b">
        <f>IF(AJ993="",TRUE,IF(IF(AK993="",VLOOKUP(AJ993,Calculs!$A$19:$S$425,19,FALSE),VLOOKUP(AK993,Calculs!$A$19:$S$425,19,FALSE))&gt;=AL993,TRUE,FALSE))</f>
        <v>1</v>
      </c>
      <c r="AQ993" s="158" t="b">
        <f>IF(AN993="",TRUE,IF(IF(AO993="",VLOOKUP(AN993,Calculs!$A$19:$S$425,19,FALSE),VLOOKUP(AO993,Calculs!$A$19:$S$425,19,FALSE))&gt;=AP993,TRUE,FALSE))</f>
        <v>1</v>
      </c>
      <c r="AR993" s="158"/>
      <c r="AS993" s="158" t="b">
        <f>IF(AR993="",TRUE,IF(VLOOKUP(AR993,Calculs!$A$427:$G$738,7,FALSE)&gt;0,TRUE,FALSE))</f>
        <v>1</v>
      </c>
      <c r="AT993" s="158"/>
      <c r="AU993" s="158" t="b">
        <f>IF(AT993="",TRUE,IF(VLOOKUP(AT993,Calculs!$A$740:$G$912,7,FALSE)&gt;0,TRUE,FALSE))</f>
        <v>1</v>
      </c>
      <c r="AV993" s="158" t="b">
        <f t="shared" si="108"/>
        <v>0</v>
      </c>
      <c r="AW993" s="158" t="s">
        <v>2078</v>
      </c>
      <c r="AX993" s="162" t="s">
        <v>3</v>
      </c>
      <c r="AY993" s="15">
        <v>255</v>
      </c>
      <c r="AZ993" s="566" t="s">
        <v>3233</v>
      </c>
      <c r="BA993" s="559">
        <f>IF(Verso!$B$10=Voies!$B993,1,0)</f>
        <v>0</v>
      </c>
      <c r="BB993" s="12">
        <f>IF(Verso!$B$11=Voies!$B993,1,0)</f>
        <v>0</v>
      </c>
      <c r="BC993" s="12">
        <f>IF(Verso!$B$12=Voies!$B993,1,0)</f>
        <v>0</v>
      </c>
      <c r="BD993" s="12">
        <f>IF(Verso!$B$13=Voies!$B993,1,0)</f>
        <v>0</v>
      </c>
      <c r="BE993" s="12">
        <f>IF(Verso!$B$14=Voies!$B993,1,0)</f>
        <v>0</v>
      </c>
      <c r="BF993" s="12">
        <f>IF(Verso!$B$15=Voies!$B993,1,0)</f>
        <v>0</v>
      </c>
      <c r="BG993" s="12">
        <f>IF(Verso!$B$16=Voies!$B993,1,0)</f>
        <v>0</v>
      </c>
      <c r="BH993" s="12">
        <f>IF(Verso!$B$17=Voies!$B993,1,0)</f>
        <v>0</v>
      </c>
      <c r="BI993" s="557">
        <f t="shared" si="109"/>
        <v>0</v>
      </c>
      <c r="BJ993" s="196" t="str">
        <f t="shared" si="110"/>
        <v/>
      </c>
      <c r="BK993" s="196" t="str">
        <f t="shared" si="111"/>
        <v/>
      </c>
      <c r="BL993" s="295" t="str">
        <f t="shared" si="112"/>
        <v/>
      </c>
    </row>
    <row r="994" spans="1:65" ht="47.25" customHeight="1" x14ac:dyDescent="0.25">
      <c r="A994" s="162" t="str">
        <f>IF(AND(Réputation&gt;Voies!E994-1,OR(C994=TRUE,Calculs!$I$8&gt;0),Air&gt;Voies!J994-1,Eau&gt;Voies!K994-1,Feu&gt;Voies!L994-1,Terre&gt;Voies!M994-1,Vide&gt;Voies!N994-1,Constitution&gt;Voies!O994-1,Volonté&gt;Voies!P994-1,Force&gt;Voies!Q994-1,Perception&gt;Voies!R994-1,Reflexes&gt;Voies!S994-1,Agilité&gt;Voies!T994-1,Intuition&gt;Voies!U994-1,Intelligence&gt;Voies!V994-1,Souillure&gt;Voies!W994-1,Honneur&gt;X994-1,Statut&gt;Y994-1,Gloire&gt;Z994-1,AV994=TRUE),Voies!B994,"")</f>
        <v/>
      </c>
      <c r="B994" s="162" t="s">
        <v>2517</v>
      </c>
      <c r="C994" s="162" t="b">
        <f>IF(Clan=Voies!D994,TRUE,FALSE)</f>
        <v>0</v>
      </c>
      <c r="D994" s="387" t="s">
        <v>33</v>
      </c>
      <c r="E994" s="13">
        <v>3</v>
      </c>
      <c r="F994" s="199">
        <v>3</v>
      </c>
      <c r="G994" s="199" t="s">
        <v>2048</v>
      </c>
      <c r="H994" s="162" t="s">
        <v>610</v>
      </c>
      <c r="I994" s="129" t="s">
        <v>3357</v>
      </c>
      <c r="J994" s="146">
        <v>0</v>
      </c>
      <c r="K994" s="147">
        <v>0</v>
      </c>
      <c r="L994" s="148">
        <v>0</v>
      </c>
      <c r="M994" s="149">
        <v>0</v>
      </c>
      <c r="N994" s="150">
        <v>0</v>
      </c>
      <c r="O994" s="130">
        <v>0</v>
      </c>
      <c r="P994" s="130">
        <v>0</v>
      </c>
      <c r="Q994" s="130">
        <v>0</v>
      </c>
      <c r="R994" s="130">
        <v>0</v>
      </c>
      <c r="S994" s="130">
        <v>0</v>
      </c>
      <c r="T994" s="130">
        <v>0</v>
      </c>
      <c r="U994" s="130">
        <v>0</v>
      </c>
      <c r="V994" s="524">
        <v>0</v>
      </c>
      <c r="W994" s="130">
        <v>0</v>
      </c>
      <c r="X994" s="130">
        <v>0</v>
      </c>
      <c r="Y994" s="130">
        <v>0</v>
      </c>
      <c r="Z994" s="130">
        <v>0</v>
      </c>
      <c r="AA994" s="158" t="s">
        <v>2078</v>
      </c>
      <c r="AB994" s="158"/>
      <c r="AC994" s="158"/>
      <c r="AD994" s="158"/>
      <c r="AE994" s="158" t="b">
        <f>IF(AB994="",TRUE,IF(IF(AC994="",VLOOKUP(AB994,Calculs!$A$19:$S$425,19,FALSE),VLOOKUP(AC994,Calculs!$A$19:$S$425,19,FALSE))&gt;=AD994,TRUE,FALSE))</f>
        <v>1</v>
      </c>
      <c r="AF994" s="158"/>
      <c r="AG994" s="158"/>
      <c r="AH994" s="158"/>
      <c r="AI994" s="158" t="b">
        <f>IF(AF994="",TRUE,IF(IF(AG994="",VLOOKUP(AF994,Calculs!$A$19:$S$425,19,FALSE),VLOOKUP(AG994,Calculs!$A$19:$S$425,19,FALSE))&gt;=AH994,TRUE,FALSE))</f>
        <v>1</v>
      </c>
      <c r="AJ994" s="158"/>
      <c r="AK994" s="158"/>
      <c r="AL994" s="158"/>
      <c r="AM994" s="158" t="b">
        <f>IF(AJ994="",TRUE,IF(IF(AK994="",VLOOKUP(AJ994,Calculs!$A$19:$S$425,19,FALSE),VLOOKUP(AK994,Calculs!$A$19:$S$425,19,FALSE))&gt;=AL994,TRUE,FALSE))</f>
        <v>1</v>
      </c>
      <c r="AN994" s="158"/>
      <c r="AO994" s="158"/>
      <c r="AP994" s="158"/>
      <c r="AQ994" s="158" t="b">
        <f>IF(AN994="",TRUE,IF(IF(AO994="",VLOOKUP(AN994,Calculs!$A$19:$S$425,19,FALSE),VLOOKUP(AO994,Calculs!$A$19:$S$425,19,FALSE))&gt;=AP994,TRUE,FALSE))</f>
        <v>1</v>
      </c>
      <c r="AR994" s="158"/>
      <c r="AS994" s="158" t="b">
        <f>IF(AR994="",TRUE,IF(VLOOKUP(AR994,Calculs!$A$427:$G$738,7,FALSE)&gt;0,TRUE,FALSE))</f>
        <v>1</v>
      </c>
      <c r="AT994" s="158"/>
      <c r="AU994" s="158" t="b">
        <f>IF(AT994="",TRUE,IF(VLOOKUP(AT994,Calculs!$A$740:$G$912,7,FALSE)&gt;0,TRUE,FALSE))</f>
        <v>1</v>
      </c>
      <c r="AV994" s="158" t="b">
        <f t="shared" si="108"/>
        <v>1</v>
      </c>
      <c r="AW994" s="158" t="s">
        <v>2078</v>
      </c>
      <c r="AX994" s="162" t="s">
        <v>118</v>
      </c>
      <c r="AY994" s="15">
        <v>182</v>
      </c>
      <c r="AZ994" s="555" t="s">
        <v>8753</v>
      </c>
      <c r="BA994" s="559">
        <f>IF(Verso!$B$10=Voies!$B994,1,0)</f>
        <v>0</v>
      </c>
      <c r="BB994" s="12">
        <f>IF(Verso!$B$11=Voies!$B994,1,0)</f>
        <v>0</v>
      </c>
      <c r="BC994" s="12">
        <f>IF(Verso!$B$12=Voies!$B994,1,0)</f>
        <v>0</v>
      </c>
      <c r="BD994" s="12">
        <f>IF(Verso!$B$13=Voies!$B994,1,0)</f>
        <v>0</v>
      </c>
      <c r="BE994" s="12">
        <f>IF(Verso!$B$14=Voies!$B994,1,0)</f>
        <v>0</v>
      </c>
      <c r="BF994" s="12">
        <f>IF(Verso!$B$15=Voies!$B994,1,0)</f>
        <v>0</v>
      </c>
      <c r="BG994" s="12">
        <f>IF(Verso!$B$16=Voies!$B994,1,0)</f>
        <v>0</v>
      </c>
      <c r="BH994" s="12">
        <f>IF(Verso!$B$17=Voies!$B994,1,0)</f>
        <v>0</v>
      </c>
      <c r="BI994" s="557">
        <f t="shared" si="109"/>
        <v>0</v>
      </c>
      <c r="BJ994" s="196" t="str">
        <f t="shared" si="110"/>
        <v/>
      </c>
      <c r="BK994" s="196" t="str">
        <f t="shared" si="111"/>
        <v/>
      </c>
      <c r="BL994" s="295" t="str">
        <f t="shared" si="112"/>
        <v/>
      </c>
    </row>
    <row r="995" spans="1:65" ht="47.25" customHeight="1" x14ac:dyDescent="0.25">
      <c r="A995" s="162" t="str">
        <f>IF(AND(Réputation&gt;Voies!E995-1,OR(C995=TRUE,Calculs!$I$8&gt;0),Air&gt;Voies!J995-1,Eau&gt;Voies!K995-1,Feu&gt;Voies!L995-1,Terre&gt;Voies!M995-1,Vide&gt;Voies!N995-1,Constitution&gt;Voies!O995-1,Volonté&gt;Voies!P995-1,Force&gt;Voies!Q995-1,Perception&gt;Voies!R995-1,Reflexes&gt;Voies!S995-1,Agilité&gt;Voies!T995-1,Intuition&gt;Voies!U995-1,Intelligence&gt;Voies!V995-1,Souillure&gt;Voies!W995-1,Honneur&gt;X995-1,Statut&gt;Y995-1,Gloire&gt;Z995-1,AV995=TRUE),Voies!B995,"")</f>
        <v/>
      </c>
      <c r="B995" s="162" t="s">
        <v>2509</v>
      </c>
      <c r="C995" s="162" t="b">
        <f>IF(Clan=Voies!D995,TRUE,FALSE)</f>
        <v>0</v>
      </c>
      <c r="D995" s="387" t="s">
        <v>33</v>
      </c>
      <c r="E995" s="13">
        <v>4</v>
      </c>
      <c r="F995" s="199">
        <v>4</v>
      </c>
      <c r="G995" s="13" t="s">
        <v>2049</v>
      </c>
      <c r="H995" s="162" t="s">
        <v>218</v>
      </c>
      <c r="I995" s="129" t="str">
        <f>IF(B995="","","Rien")</f>
        <v>Rien</v>
      </c>
      <c r="J995" s="146">
        <v>0</v>
      </c>
      <c r="K995" s="147">
        <v>0</v>
      </c>
      <c r="L995" s="148">
        <v>0</v>
      </c>
      <c r="M995" s="149">
        <v>0</v>
      </c>
      <c r="N995" s="150">
        <v>0</v>
      </c>
      <c r="O995" s="130">
        <v>0</v>
      </c>
      <c r="P995" s="130">
        <v>0</v>
      </c>
      <c r="Q995" s="130">
        <v>0</v>
      </c>
      <c r="R995" s="130">
        <v>0</v>
      </c>
      <c r="S995" s="130">
        <v>0</v>
      </c>
      <c r="T995" s="130">
        <v>0</v>
      </c>
      <c r="U995" s="130">
        <v>0</v>
      </c>
      <c r="V995" s="524">
        <v>0</v>
      </c>
      <c r="W995" s="130">
        <v>0</v>
      </c>
      <c r="X995" s="130">
        <v>0</v>
      </c>
      <c r="Y995" s="130">
        <v>0</v>
      </c>
      <c r="Z995" s="130">
        <v>0</v>
      </c>
      <c r="AA995" s="158" t="s">
        <v>2078</v>
      </c>
      <c r="AB995" s="158"/>
      <c r="AC995" s="158"/>
      <c r="AD995" s="158"/>
      <c r="AE995" s="158" t="b">
        <f>IF(AB995="",TRUE,IF(IF(AC995="",VLOOKUP(AB995,Calculs!$A$19:$S$425,19,FALSE),VLOOKUP(AC995,Calculs!$A$19:$S$425,19,FALSE))&gt;=AD995,TRUE,FALSE))</f>
        <v>1</v>
      </c>
      <c r="AF995" s="158"/>
      <c r="AG995" s="158"/>
      <c r="AH995" s="158"/>
      <c r="AI995" s="158" t="b">
        <f>IF(AF995="",TRUE,IF(IF(AG995="",VLOOKUP(AF995,Calculs!$A$19:$S$425,19,FALSE),VLOOKUP(AG995,Calculs!$A$19:$S$425,19,FALSE))&gt;=AH995,TRUE,FALSE))</f>
        <v>1</v>
      </c>
      <c r="AJ995" s="158"/>
      <c r="AK995" s="158"/>
      <c r="AL995" s="158"/>
      <c r="AM995" s="158" t="b">
        <f>IF(AJ995="",TRUE,IF(IF(AK995="",VLOOKUP(AJ995,Calculs!$A$19:$S$425,19,FALSE),VLOOKUP(AK995,Calculs!$A$19:$S$425,19,FALSE))&gt;=AL995,TRUE,FALSE))</f>
        <v>1</v>
      </c>
      <c r="AN995" s="158"/>
      <c r="AO995" s="158"/>
      <c r="AP995" s="158"/>
      <c r="AQ995" s="158" t="b">
        <f>IF(AN995="",TRUE,IF(IF(AO995="",VLOOKUP(AN995,Calculs!$A$19:$S$425,19,FALSE),VLOOKUP(AO995,Calculs!$A$19:$S$425,19,FALSE))&gt;=AP995,TRUE,FALSE))</f>
        <v>1</v>
      </c>
      <c r="AR995" s="158"/>
      <c r="AS995" s="158" t="b">
        <f>IF(AR995="",TRUE,IF(VLOOKUP(AR995,Calculs!$A$427:$G$738,7,FALSE)&gt;0,TRUE,FALSE))</f>
        <v>1</v>
      </c>
      <c r="AT995" s="158"/>
      <c r="AU995" s="158" t="b">
        <f>IF(AT995="",TRUE,IF(VLOOKUP(AT995,Calculs!$A$740:$G$912,7,FALSE)&gt;0,TRUE,FALSE))</f>
        <v>1</v>
      </c>
      <c r="AV995" s="158" t="b">
        <f t="shared" si="108"/>
        <v>1</v>
      </c>
      <c r="AW995" s="158" t="s">
        <v>2078</v>
      </c>
      <c r="AX995" s="162" t="s">
        <v>3</v>
      </c>
      <c r="AY995" s="15">
        <v>129</v>
      </c>
      <c r="AZ995" s="555" t="s">
        <v>2199</v>
      </c>
      <c r="BA995" s="559">
        <f>IF(Verso!$B$10=Voies!$B995,1,0)</f>
        <v>0</v>
      </c>
      <c r="BB995" s="12">
        <f>IF(Verso!$B$11=Voies!$B995,1,0)</f>
        <v>0</v>
      </c>
      <c r="BC995" s="12">
        <f>IF(Verso!$B$12=Voies!$B995,1,0)</f>
        <v>0</v>
      </c>
      <c r="BD995" s="12">
        <f>IF(Verso!$B$13=Voies!$B995,1,0)</f>
        <v>0</v>
      </c>
      <c r="BE995" s="12">
        <f>IF(Verso!$B$14=Voies!$B995,1,0)</f>
        <v>0</v>
      </c>
      <c r="BF995" s="12">
        <f>IF(Verso!$B$15=Voies!$B995,1,0)</f>
        <v>0</v>
      </c>
      <c r="BG995" s="12">
        <f>IF(Verso!$B$16=Voies!$B995,1,0)</f>
        <v>0</v>
      </c>
      <c r="BH995" s="12">
        <f>IF(Verso!$B$17=Voies!$B995,1,0)</f>
        <v>0</v>
      </c>
      <c r="BI995" s="557">
        <f t="shared" si="109"/>
        <v>0</v>
      </c>
      <c r="BJ995" s="196" t="str">
        <f t="shared" si="110"/>
        <v/>
      </c>
      <c r="BK995" s="196" t="str">
        <f t="shared" si="111"/>
        <v/>
      </c>
      <c r="BL995" s="295" t="str">
        <f t="shared" si="112"/>
        <v/>
      </c>
    </row>
    <row r="996" spans="1:65" ht="47.25" customHeight="1" x14ac:dyDescent="0.25">
      <c r="A996" s="162" t="str">
        <f>IF(AND(Réputation&gt;Voies!E996-1,OR(C996=TRUE,Calculs!$I$8&gt;0),Air&gt;Voies!J996-1,Eau&gt;Voies!K996-1,Feu&gt;Voies!L996-1,Terre&gt;Voies!M996-1,Vide&gt;Voies!N996-1,Constitution&gt;Voies!O996-1,Volonté&gt;Voies!P996-1,Force&gt;Voies!Q996-1,Perception&gt;Voies!R996-1,Reflexes&gt;Voies!S996-1,Agilité&gt;Voies!T996-1,Intuition&gt;Voies!U996-1,Intelligence&gt;Voies!V996-1,Souillure&gt;Voies!W996-1,Honneur&gt;X996-1,Statut&gt;Y996-1,Gloire&gt;Z996-1,AV996=TRUE),Voies!B996,"")</f>
        <v/>
      </c>
      <c r="B996" s="162" t="s">
        <v>4823</v>
      </c>
      <c r="C996" s="162" t="b">
        <f>IF(Clan=Voies!D996,TRUE,FALSE)</f>
        <v>0</v>
      </c>
      <c r="D996" s="387" t="s">
        <v>33</v>
      </c>
      <c r="E996" s="13">
        <v>4</v>
      </c>
      <c r="F996" s="199">
        <v>4</v>
      </c>
      <c r="G996" s="13" t="s">
        <v>2049</v>
      </c>
      <c r="H996" s="162" t="s">
        <v>220</v>
      </c>
      <c r="I996" s="129" t="str">
        <f>IF(B996="","","Rien")</f>
        <v>Rien</v>
      </c>
      <c r="J996" s="146">
        <v>0</v>
      </c>
      <c r="K996" s="147">
        <v>0</v>
      </c>
      <c r="L996" s="148">
        <v>0</v>
      </c>
      <c r="M996" s="149">
        <v>0</v>
      </c>
      <c r="N996" s="150">
        <v>0</v>
      </c>
      <c r="O996" s="130">
        <v>0</v>
      </c>
      <c r="P996" s="130">
        <v>0</v>
      </c>
      <c r="Q996" s="130">
        <v>0</v>
      </c>
      <c r="R996" s="130">
        <v>0</v>
      </c>
      <c r="S996" s="130">
        <v>0</v>
      </c>
      <c r="T996" s="130">
        <v>0</v>
      </c>
      <c r="U996" s="130">
        <v>0</v>
      </c>
      <c r="V996" s="524">
        <v>0</v>
      </c>
      <c r="W996" s="130">
        <v>0</v>
      </c>
      <c r="X996" s="130">
        <v>0</v>
      </c>
      <c r="Y996" s="130">
        <v>0</v>
      </c>
      <c r="Z996" s="130">
        <v>0</v>
      </c>
      <c r="AA996" s="158" t="s">
        <v>2078</v>
      </c>
      <c r="AB996" s="158"/>
      <c r="AC996" s="158"/>
      <c r="AD996" s="158"/>
      <c r="AE996" s="158" t="b">
        <f>IF(AB996="",TRUE,IF(IF(AC996="",VLOOKUP(AB996,Calculs!$A$19:$S$425,19,FALSE),VLOOKUP(AC996,Calculs!$A$19:$S$425,19,FALSE))&gt;=AD996,TRUE,FALSE))</f>
        <v>1</v>
      </c>
      <c r="AF996" s="158"/>
      <c r="AG996" s="158"/>
      <c r="AH996" s="158"/>
      <c r="AI996" s="158" t="b">
        <f>IF(AF996="",TRUE,IF(IF(AG996="",VLOOKUP(AF996,Calculs!$A$19:$S$425,19,FALSE),VLOOKUP(AG996,Calculs!$A$19:$S$425,19,FALSE))&gt;=AH996,TRUE,FALSE))</f>
        <v>1</v>
      </c>
      <c r="AJ996" s="158"/>
      <c r="AK996" s="158"/>
      <c r="AL996" s="158"/>
      <c r="AM996" s="158" t="b">
        <f>IF(AJ996="",TRUE,IF(IF(AK996="",VLOOKUP(AJ996,Calculs!$A$19:$S$425,19,FALSE),VLOOKUP(AK996,Calculs!$A$19:$S$425,19,FALSE))&gt;=AL996,TRUE,FALSE))</f>
        <v>1</v>
      </c>
      <c r="AN996" s="158"/>
      <c r="AO996" s="158"/>
      <c r="AP996" s="158"/>
      <c r="AQ996" s="158" t="b">
        <f>IF(AN996="",TRUE,IF(IF(AO996="",VLOOKUP(AN996,Calculs!$A$19:$S$425,19,FALSE),VLOOKUP(AO996,Calculs!$A$19:$S$425,19,FALSE))&gt;=AP996,TRUE,FALSE))</f>
        <v>1</v>
      </c>
      <c r="AR996" s="158"/>
      <c r="AS996" s="158" t="b">
        <f>IF(AR996="",TRUE,IF(VLOOKUP(AR996,Calculs!$A$427:$G$738,7,FALSE)&gt;0,TRUE,FALSE))</f>
        <v>1</v>
      </c>
      <c r="AT996" s="158"/>
      <c r="AU996" s="158" t="b">
        <f>IF(AT996="",TRUE,IF(VLOOKUP(AT996,Calculs!$A$740:$G$912,7,FALSE)&gt;0,TRUE,FALSE))</f>
        <v>1</v>
      </c>
      <c r="AV996" s="158" t="b">
        <f t="shared" si="108"/>
        <v>1</v>
      </c>
      <c r="AW996" s="158" t="s">
        <v>2078</v>
      </c>
      <c r="AX996" s="162" t="s">
        <v>5202</v>
      </c>
      <c r="AY996" s="15">
        <v>171</v>
      </c>
      <c r="AZ996" s="555" t="s">
        <v>2703</v>
      </c>
      <c r="BA996" s="559">
        <f>IF(Verso!$B$10=Voies!$B996,1,0)</f>
        <v>0</v>
      </c>
      <c r="BB996" s="12">
        <f>IF(Verso!$B$11=Voies!$B996,1,0)</f>
        <v>0</v>
      </c>
      <c r="BC996" s="12">
        <f>IF(Verso!$B$12=Voies!$B996,1,0)</f>
        <v>0</v>
      </c>
      <c r="BD996" s="12">
        <f>IF(Verso!$B$13=Voies!$B996,1,0)</f>
        <v>0</v>
      </c>
      <c r="BE996" s="12">
        <f>IF(Verso!$B$14=Voies!$B996,1,0)</f>
        <v>0</v>
      </c>
      <c r="BF996" s="12">
        <f>IF(Verso!$B$15=Voies!$B996,1,0)</f>
        <v>0</v>
      </c>
      <c r="BG996" s="12">
        <f>IF(Verso!$B$16=Voies!$B996,1,0)</f>
        <v>0</v>
      </c>
      <c r="BH996" s="12">
        <f>IF(Verso!$B$17=Voies!$B996,1,0)</f>
        <v>0</v>
      </c>
      <c r="BI996" s="557">
        <f t="shared" si="109"/>
        <v>0</v>
      </c>
      <c r="BJ996" s="196" t="str">
        <f t="shared" si="110"/>
        <v/>
      </c>
      <c r="BK996" s="196" t="str">
        <f t="shared" si="111"/>
        <v/>
      </c>
      <c r="BL996" s="295" t="str">
        <f t="shared" si="112"/>
        <v/>
      </c>
    </row>
    <row r="997" spans="1:65" ht="47.25" customHeight="1" x14ac:dyDescent="0.25">
      <c r="A997" s="162" t="str">
        <f>IF(AND(Réputation&gt;Voies!E997-1,OR(C997=TRUE,Calculs!$I$8&gt;0),Air&gt;Voies!J997-1,Eau&gt;Voies!K997-1,Feu&gt;Voies!L997-1,Terre&gt;Voies!M997-1,Vide&gt;Voies!N997-1,Constitution&gt;Voies!O997-1,Volonté&gt;Voies!P997-1,Force&gt;Voies!Q997-1,Perception&gt;Voies!R997-1,Reflexes&gt;Voies!S997-1,Agilité&gt;Voies!T997-1,Intuition&gt;Voies!U997-1,Intelligence&gt;Voies!V997-1,Souillure&gt;Voies!W997-1,Honneur&gt;X997-1,Statut&gt;Y997-1,Gloire&gt;Z997-1,AV997=TRUE),Voies!B997,"")</f>
        <v/>
      </c>
      <c r="B997" s="162" t="s">
        <v>3858</v>
      </c>
      <c r="C997" s="162" t="b">
        <f>IF(Clan=Voies!D997,TRUE,FALSE)</f>
        <v>0</v>
      </c>
      <c r="D997" s="387" t="s">
        <v>33</v>
      </c>
      <c r="E997" s="201">
        <v>4</v>
      </c>
      <c r="F997" s="201">
        <v>4</v>
      </c>
      <c r="G997" s="201" t="s">
        <v>2049</v>
      </c>
      <c r="H997" s="219" t="s">
        <v>524</v>
      </c>
      <c r="I997" s="129" t="s">
        <v>3857</v>
      </c>
      <c r="J997" s="146">
        <v>0</v>
      </c>
      <c r="K997" s="147">
        <v>0</v>
      </c>
      <c r="L997" s="148">
        <v>0</v>
      </c>
      <c r="M997" s="149">
        <v>0</v>
      </c>
      <c r="N997" s="150">
        <v>0</v>
      </c>
      <c r="O997" s="130">
        <v>0</v>
      </c>
      <c r="P997" s="130">
        <v>0</v>
      </c>
      <c r="Q997" s="130">
        <v>0</v>
      </c>
      <c r="R997" s="130">
        <v>0</v>
      </c>
      <c r="S997" s="130">
        <v>0</v>
      </c>
      <c r="T997" s="130">
        <v>0</v>
      </c>
      <c r="U997" s="130">
        <v>0</v>
      </c>
      <c r="V997" s="524">
        <v>0</v>
      </c>
      <c r="W997" s="130">
        <v>0</v>
      </c>
      <c r="X997" s="130">
        <v>0</v>
      </c>
      <c r="Y997" s="130">
        <v>0</v>
      </c>
      <c r="Z997" s="130">
        <v>0</v>
      </c>
      <c r="AA997" s="159" t="s">
        <v>6429</v>
      </c>
      <c r="AE997" s="158" t="b">
        <f>IF(AB997="",TRUE,IF(IF(AC997="",VLOOKUP(AB997,Calculs!$A$19:$S$425,19,FALSE),VLOOKUP(AC997,Calculs!$A$19:$S$425,19,FALSE))&gt;=AD997,TRUE,FALSE))</f>
        <v>1</v>
      </c>
      <c r="AI997" s="158" t="b">
        <f>IF(AF997="",TRUE,IF(IF(AG997="",VLOOKUP(AF997,Calculs!$A$19:$S$425,19,FALSE),VLOOKUP(AG997,Calculs!$A$19:$S$425,19,FALSE))&gt;=AH997,TRUE,FALSE))</f>
        <v>1</v>
      </c>
      <c r="AM997" s="158" t="b">
        <f>IF(AJ997="",TRUE,IF(IF(AK997="",VLOOKUP(AJ997,Calculs!$A$19:$S$425,19,FALSE),VLOOKUP(AK997,Calculs!$A$19:$S$425,19,FALSE))&gt;=AL997,TRUE,FALSE))</f>
        <v>1</v>
      </c>
      <c r="AQ997" s="158" t="b">
        <f>IF(AN997="",TRUE,IF(IF(AO997="",VLOOKUP(AN997,Calculs!$A$19:$S$425,19,FALSE),VLOOKUP(AO997,Calculs!$A$19:$S$425,19,FALSE))&gt;=AP997,TRUE,FALSE))</f>
        <v>1</v>
      </c>
      <c r="AR997" s="158"/>
      <c r="AS997" s="158" t="b">
        <f>IF(AR997="",TRUE,IF(VLOOKUP(AR997,Calculs!$A$427:$G$738,7,FALSE)&gt;0,TRUE,FALSE))</f>
        <v>1</v>
      </c>
      <c r="AT997" s="158"/>
      <c r="AU997" s="158" t="b">
        <f>IF(AT997="",TRUE,IF(VLOOKUP(AT997,Calculs!$A$740:$G$912,7,FALSE)&gt;0,TRUE,FALSE))</f>
        <v>1</v>
      </c>
      <c r="AV997" s="158" t="b">
        <f t="shared" si="108"/>
        <v>1</v>
      </c>
      <c r="AW997" s="158" t="s">
        <v>2078</v>
      </c>
      <c r="AX997" s="162" t="s">
        <v>2087</v>
      </c>
      <c r="AY997" s="15">
        <v>152</v>
      </c>
      <c r="AZ997" s="555" t="s">
        <v>8754</v>
      </c>
      <c r="BA997" s="559">
        <f>IF(Verso!$B$10=Voies!$B997,1,0)</f>
        <v>0</v>
      </c>
      <c r="BB997" s="12">
        <f>IF(Verso!$B$11=Voies!$B997,1,0)</f>
        <v>0</v>
      </c>
      <c r="BC997" s="12">
        <f>IF(Verso!$B$12=Voies!$B997,1,0)</f>
        <v>0</v>
      </c>
      <c r="BD997" s="12">
        <f>IF(Verso!$B$13=Voies!$B997,1,0)</f>
        <v>0</v>
      </c>
      <c r="BE997" s="12">
        <f>IF(Verso!$B$14=Voies!$B997,1,0)</f>
        <v>0</v>
      </c>
      <c r="BF997" s="12">
        <f>IF(Verso!$B$15=Voies!$B997,1,0)</f>
        <v>0</v>
      </c>
      <c r="BG997" s="12">
        <f>IF(Verso!$B$16=Voies!$B997,1,0)</f>
        <v>0</v>
      </c>
      <c r="BH997" s="12">
        <f>IF(Verso!$B$17=Voies!$B997,1,0)</f>
        <v>0</v>
      </c>
      <c r="BI997" s="557">
        <f t="shared" si="109"/>
        <v>0</v>
      </c>
      <c r="BJ997" s="196" t="str">
        <f t="shared" si="110"/>
        <v/>
      </c>
      <c r="BK997" s="196" t="str">
        <f t="shared" si="111"/>
        <v/>
      </c>
      <c r="BL997" s="295" t="str">
        <f t="shared" si="112"/>
        <v/>
      </c>
    </row>
    <row r="998" spans="1:65" ht="47.25" customHeight="1" x14ac:dyDescent="0.25">
      <c r="A998" s="162" t="str">
        <f>IF(AND(Réputation&gt;Voies!E998-1,OR(C998=TRUE,Calculs!$I$8&gt;0),Air&gt;Voies!J998-1,Eau&gt;Voies!K998-1,Feu&gt;Voies!L998-1,Terre&gt;Voies!M998-1,Vide&gt;Voies!N998-1,Constitution&gt;Voies!O998-1,Volonté&gt;Voies!P998-1,Force&gt;Voies!Q998-1,Perception&gt;Voies!R998-1,Reflexes&gt;Voies!S998-1,Agilité&gt;Voies!T998-1,Intuition&gt;Voies!U998-1,Intelligence&gt;Voies!V998-1,Souillure&gt;Voies!W998-1,Honneur&gt;X998-1,Statut&gt;Y998-1,Gloire&gt;Z998-1,AV998=TRUE),Voies!B998,"")</f>
        <v/>
      </c>
      <c r="B998" s="162" t="s">
        <v>5869</v>
      </c>
      <c r="C998" s="162" t="b">
        <f>IF(Clan=Voies!D998,TRUE,FALSE)</f>
        <v>0</v>
      </c>
      <c r="D998" s="387" t="s">
        <v>33</v>
      </c>
      <c r="E998" s="13">
        <v>4</v>
      </c>
      <c r="F998" s="199" t="s">
        <v>625</v>
      </c>
      <c r="G998" s="13" t="s">
        <v>5865</v>
      </c>
      <c r="H998" s="162" t="s">
        <v>4770</v>
      </c>
      <c r="I998" s="129" t="s">
        <v>5866</v>
      </c>
      <c r="J998" s="146">
        <v>0</v>
      </c>
      <c r="K998" s="147">
        <v>0</v>
      </c>
      <c r="L998" s="148">
        <v>0</v>
      </c>
      <c r="M998" s="149">
        <v>0</v>
      </c>
      <c r="N998" s="150">
        <v>0</v>
      </c>
      <c r="O998" s="130">
        <v>0</v>
      </c>
      <c r="P998" s="130">
        <v>0</v>
      </c>
      <c r="Q998" s="130">
        <v>0</v>
      </c>
      <c r="R998" s="130">
        <v>0</v>
      </c>
      <c r="S998" s="130">
        <v>0</v>
      </c>
      <c r="T998" s="130">
        <v>4</v>
      </c>
      <c r="U998" s="130">
        <v>0</v>
      </c>
      <c r="V998" s="524">
        <v>0</v>
      </c>
      <c r="W998" s="130">
        <v>0</v>
      </c>
      <c r="X998" s="130">
        <v>0</v>
      </c>
      <c r="Y998" s="130">
        <v>0</v>
      </c>
      <c r="Z998" s="130">
        <v>0</v>
      </c>
      <c r="AA998" s="159" t="s">
        <v>5868</v>
      </c>
      <c r="AB998" s="159" t="s">
        <v>1267</v>
      </c>
      <c r="AD998" s="159">
        <v>4</v>
      </c>
      <c r="AE998" s="158" t="b">
        <f>IF(AB998="",TRUE,IF(IF(AC998="",VLOOKUP(AB998,Calculs!$A$19:$S$425,19,FALSE),VLOOKUP(AC998,Calculs!$A$19:$S$425,19,FALSE))&gt;=AD998,TRUE,FALSE))</f>
        <v>0</v>
      </c>
      <c r="AF998" s="159" t="s">
        <v>1271</v>
      </c>
      <c r="AH998" s="159">
        <v>4</v>
      </c>
      <c r="AI998" s="158" t="b">
        <f>IF(AF998="",TRUE,IF(IF(AG998="",VLOOKUP(AF998,Calculs!$A$19:$S$425,19,FALSE),VLOOKUP(AG998,Calculs!$A$19:$S$425,19,FALSE))&gt;=AH998,TRUE,FALSE))</f>
        <v>0</v>
      </c>
      <c r="AM998" s="158" t="b">
        <f>IF(AJ998="",TRUE,IF(IF(AK998="",VLOOKUP(AJ998,Calculs!$A$19:$S$425,19,FALSE),VLOOKUP(AK998,Calculs!$A$19:$S$425,19,FALSE))&gt;=AL998,TRUE,FALSE))</f>
        <v>1</v>
      </c>
      <c r="AQ998" s="158" t="b">
        <f>IF(AN998="",TRUE,IF(IF(AO998="",VLOOKUP(AN998,Calculs!$A$19:$S$425,19,FALSE),VLOOKUP(AO998,Calculs!$A$19:$S$425,19,FALSE))&gt;=AP998,TRUE,FALSE))</f>
        <v>1</v>
      </c>
      <c r="AR998" s="158"/>
      <c r="AS998" s="158" t="b">
        <f>IF(AR998="",TRUE,IF(VLOOKUP(AR998,Calculs!$A$427:$G$738,7,FALSE)&gt;0,TRUE,FALSE))</f>
        <v>1</v>
      </c>
      <c r="AT998" s="158"/>
      <c r="AU998" s="158" t="b">
        <f>IF(AT998="",TRUE,IF(VLOOKUP(AT998,Calculs!$A$740:$G$912,7,FALSE)&gt;0,TRUE,FALSE))</f>
        <v>1</v>
      </c>
      <c r="AV998" s="158" t="b">
        <f t="shared" si="108"/>
        <v>0</v>
      </c>
      <c r="AW998" s="158" t="s">
        <v>2078</v>
      </c>
      <c r="AX998" s="162" t="s">
        <v>4403</v>
      </c>
      <c r="AY998" s="15">
        <v>177</v>
      </c>
      <c r="AZ998" s="555" t="s">
        <v>8755</v>
      </c>
      <c r="BA998" s="559">
        <f>IF(Verso!$B$10=Voies!$B998,1,0)</f>
        <v>0</v>
      </c>
      <c r="BB998" s="12">
        <f>IF(Verso!$B$11=Voies!$B998,1,0)</f>
        <v>0</v>
      </c>
      <c r="BC998" s="12">
        <f>IF(Verso!$B$12=Voies!$B998,1,0)</f>
        <v>0</v>
      </c>
      <c r="BD998" s="12">
        <f>IF(Verso!$B$13=Voies!$B998,1,0)</f>
        <v>0</v>
      </c>
      <c r="BE998" s="12">
        <f>IF(Verso!$B$14=Voies!$B998,1,0)</f>
        <v>0</v>
      </c>
      <c r="BF998" s="12">
        <f>IF(Verso!$B$15=Voies!$B998,1,0)</f>
        <v>0</v>
      </c>
      <c r="BG998" s="12">
        <f>IF(Verso!$B$16=Voies!$B998,1,0)</f>
        <v>0</v>
      </c>
      <c r="BH998" s="12">
        <f>IF(Verso!$B$17=Voies!$B998,1,0)</f>
        <v>0</v>
      </c>
      <c r="BI998" s="557">
        <f t="shared" si="109"/>
        <v>0</v>
      </c>
      <c r="BJ998" s="196" t="str">
        <f t="shared" si="110"/>
        <v/>
      </c>
      <c r="BK998" s="196" t="str">
        <f t="shared" si="111"/>
        <v/>
      </c>
      <c r="BL998" s="295" t="str">
        <f t="shared" si="112"/>
        <v/>
      </c>
    </row>
    <row r="999" spans="1:65" ht="47.25" customHeight="1" x14ac:dyDescent="0.25">
      <c r="A999" s="162" t="str">
        <f>IF(AND(Réputation&gt;Voies!E999-1,OR(C999=TRUE,Calculs!$I$8&gt;0),Air&gt;Voies!J999-1,Eau&gt;Voies!K999-1,Feu&gt;Voies!L999-1,Terre&gt;Voies!M999-1,Vide&gt;Voies!N999-1,Constitution&gt;Voies!O999-1,Volonté&gt;Voies!P999-1,Force&gt;Voies!Q999-1,Perception&gt;Voies!R999-1,Reflexes&gt;Voies!S999-1,Agilité&gt;Voies!T999-1,Intuition&gt;Voies!U999-1,Intelligence&gt;Voies!V999-1,Souillure&gt;Voies!W999-1,Honneur&gt;X999-1,Statut&gt;Y999-1,Gloire&gt;Z999-1,AV999=TRUE),Voies!B999,"")</f>
        <v/>
      </c>
      <c r="B999" s="162" t="s">
        <v>2515</v>
      </c>
      <c r="C999" s="162" t="b">
        <f>IF(Clan=Voies!D999,TRUE,FALSE)</f>
        <v>0</v>
      </c>
      <c r="D999" s="387" t="s">
        <v>33</v>
      </c>
      <c r="E999" s="13">
        <v>4</v>
      </c>
      <c r="F999" s="199">
        <v>4</v>
      </c>
      <c r="G999" s="199" t="s">
        <v>2052</v>
      </c>
      <c r="H999" s="162" t="s">
        <v>219</v>
      </c>
      <c r="I999" s="129" t="str">
        <f>IF(B999="","","Rien")</f>
        <v>Rien</v>
      </c>
      <c r="J999" s="146">
        <v>0</v>
      </c>
      <c r="K999" s="147">
        <v>0</v>
      </c>
      <c r="L999" s="148">
        <v>0</v>
      </c>
      <c r="M999" s="149">
        <v>0</v>
      </c>
      <c r="N999" s="150">
        <v>0</v>
      </c>
      <c r="O999" s="130">
        <v>0</v>
      </c>
      <c r="P999" s="130">
        <v>0</v>
      </c>
      <c r="Q999" s="130">
        <v>0</v>
      </c>
      <c r="R999" s="130">
        <v>0</v>
      </c>
      <c r="S999" s="130">
        <v>0</v>
      </c>
      <c r="T999" s="130">
        <v>0</v>
      </c>
      <c r="U999" s="130">
        <v>0</v>
      </c>
      <c r="V999" s="524">
        <v>0</v>
      </c>
      <c r="W999" s="130">
        <v>0</v>
      </c>
      <c r="X999" s="130">
        <v>0</v>
      </c>
      <c r="Y999" s="130">
        <v>0</v>
      </c>
      <c r="Z999" s="130">
        <v>0</v>
      </c>
      <c r="AA999" s="158" t="s">
        <v>2078</v>
      </c>
      <c r="AB999" s="158"/>
      <c r="AC999" s="158"/>
      <c r="AD999" s="158"/>
      <c r="AE999" s="158" t="b">
        <f>IF(AB999="",TRUE,IF(IF(AC999="",VLOOKUP(AB999,Calculs!$A$19:$S$425,19,FALSE),VLOOKUP(AC999,Calculs!$A$19:$S$425,19,FALSE))&gt;=AD999,TRUE,FALSE))</f>
        <v>1</v>
      </c>
      <c r="AF999" s="158"/>
      <c r="AG999" s="158"/>
      <c r="AH999" s="158"/>
      <c r="AI999" s="158" t="b">
        <f>IF(AF999="",TRUE,IF(IF(AG999="",VLOOKUP(AF999,Calculs!$A$19:$S$425,19,FALSE),VLOOKUP(AG999,Calculs!$A$19:$S$425,19,FALSE))&gt;=AH999,TRUE,FALSE))</f>
        <v>1</v>
      </c>
      <c r="AJ999" s="158"/>
      <c r="AK999" s="158"/>
      <c r="AL999" s="158"/>
      <c r="AM999" s="158" t="b">
        <f>IF(AJ999="",TRUE,IF(IF(AK999="",VLOOKUP(AJ999,Calculs!$A$19:$S$425,19,FALSE),VLOOKUP(AK999,Calculs!$A$19:$S$425,19,FALSE))&gt;=AL999,TRUE,FALSE))</f>
        <v>1</v>
      </c>
      <c r="AN999" s="158"/>
      <c r="AO999" s="158"/>
      <c r="AP999" s="158"/>
      <c r="AQ999" s="158" t="b">
        <f>IF(AN999="",TRUE,IF(IF(AO999="",VLOOKUP(AN999,Calculs!$A$19:$S$425,19,FALSE),VLOOKUP(AO999,Calculs!$A$19:$S$425,19,FALSE))&gt;=AP999,TRUE,FALSE))</f>
        <v>1</v>
      </c>
      <c r="AR999" s="158"/>
      <c r="AS999" s="158" t="b">
        <f>IF(AR999="",TRUE,IF(VLOOKUP(AR999,Calculs!$A$427:$G$738,7,FALSE)&gt;0,TRUE,FALSE))</f>
        <v>1</v>
      </c>
      <c r="AT999" s="158"/>
      <c r="AU999" s="158" t="b">
        <f>IF(AT999="",TRUE,IF(VLOOKUP(AT999,Calculs!$A$740:$G$912,7,FALSE)&gt;0,TRUE,FALSE))</f>
        <v>1</v>
      </c>
      <c r="AV999" s="158" t="b">
        <f t="shared" si="108"/>
        <v>1</v>
      </c>
      <c r="AW999" s="158" t="s">
        <v>2078</v>
      </c>
      <c r="AX999" s="162" t="s">
        <v>3</v>
      </c>
      <c r="AY999" s="15">
        <v>131</v>
      </c>
      <c r="AZ999" s="555" t="s">
        <v>8756</v>
      </c>
      <c r="BA999" s="559">
        <f>IF(Verso!$B$10=Voies!$B999,1,0)</f>
        <v>0</v>
      </c>
      <c r="BB999" s="12">
        <f>IF(Verso!$B$11=Voies!$B999,1,0)</f>
        <v>0</v>
      </c>
      <c r="BC999" s="12">
        <f>IF(Verso!$B$12=Voies!$B999,1,0)</f>
        <v>0</v>
      </c>
      <c r="BD999" s="12">
        <f>IF(Verso!$B$13=Voies!$B999,1,0)</f>
        <v>0</v>
      </c>
      <c r="BE999" s="12">
        <f>IF(Verso!$B$14=Voies!$B999,1,0)</f>
        <v>0</v>
      </c>
      <c r="BF999" s="12">
        <f>IF(Verso!$B$15=Voies!$B999,1,0)</f>
        <v>0</v>
      </c>
      <c r="BG999" s="12">
        <f>IF(Verso!$B$16=Voies!$B999,1,0)</f>
        <v>0</v>
      </c>
      <c r="BH999" s="12">
        <f>IF(Verso!$B$17=Voies!$B999,1,0)</f>
        <v>0</v>
      </c>
      <c r="BI999" s="557">
        <f t="shared" si="109"/>
        <v>0</v>
      </c>
      <c r="BJ999" s="196" t="str">
        <f t="shared" si="110"/>
        <v/>
      </c>
      <c r="BK999" s="196" t="str">
        <f t="shared" si="111"/>
        <v/>
      </c>
      <c r="BL999" s="295" t="str">
        <f t="shared" si="112"/>
        <v/>
      </c>
    </row>
    <row r="1000" spans="1:65" ht="47.25" customHeight="1" x14ac:dyDescent="0.25">
      <c r="A1000" s="162" t="str">
        <f>IF(AND(Réputation&gt;Voies!E1000-1,OR(C1000=TRUE,Calculs!$I$8&gt;0),Air&gt;Voies!J1000-1,Eau&gt;Voies!K1000-1,Feu&gt;Voies!L1000-1,Terre&gt;Voies!M1000-1,Vide&gt;Voies!N1000-1,Constitution&gt;Voies!O1000-1,Volonté&gt;Voies!P1000-1,Force&gt;Voies!Q1000-1,Perception&gt;Voies!R1000-1,Reflexes&gt;Voies!S1000-1,Agilité&gt;Voies!T1000-1,Intuition&gt;Voies!U1000-1,Intelligence&gt;Voies!V1000-1,Souillure&gt;Voies!W1000-1,Honneur&gt;X1000-1,Statut&gt;Y1000-1,Gloire&gt;Z1000-1,AV1000=TRUE),Voies!B1000,"")</f>
        <v/>
      </c>
      <c r="B1000" s="162" t="s">
        <v>7851</v>
      </c>
      <c r="C1000" s="162" t="b">
        <f>IF(Clan=Voies!D1000,TRUE,FALSE)</f>
        <v>0</v>
      </c>
      <c r="D1000" s="387" t="s">
        <v>33</v>
      </c>
      <c r="E1000" s="199">
        <v>4</v>
      </c>
      <c r="F1000" s="199">
        <v>4</v>
      </c>
      <c r="G1000" s="13" t="s">
        <v>2052</v>
      </c>
      <c r="H1000" s="162" t="s">
        <v>7801</v>
      </c>
      <c r="I1000" s="129" t="str">
        <f>IF(B1000="","","Rien")</f>
        <v>Rien</v>
      </c>
      <c r="J1000" s="146">
        <v>0</v>
      </c>
      <c r="K1000" s="147">
        <v>0</v>
      </c>
      <c r="L1000" s="148">
        <v>0</v>
      </c>
      <c r="M1000" s="149">
        <v>0</v>
      </c>
      <c r="N1000" s="150">
        <v>0</v>
      </c>
      <c r="O1000" s="130">
        <v>0</v>
      </c>
      <c r="P1000" s="130">
        <v>0</v>
      </c>
      <c r="Q1000" s="130">
        <v>0</v>
      </c>
      <c r="R1000" s="130">
        <v>0</v>
      </c>
      <c r="S1000" s="130">
        <v>0</v>
      </c>
      <c r="T1000" s="130">
        <v>0</v>
      </c>
      <c r="U1000" s="130">
        <v>0</v>
      </c>
      <c r="V1000" s="524">
        <v>0</v>
      </c>
      <c r="W1000" s="130">
        <v>0</v>
      </c>
      <c r="X1000" s="130">
        <v>0</v>
      </c>
      <c r="Y1000" s="130">
        <v>0</v>
      </c>
      <c r="Z1000" s="130">
        <v>0</v>
      </c>
      <c r="AA1000" s="158" t="s">
        <v>2078</v>
      </c>
      <c r="AB1000" s="158"/>
      <c r="AC1000" s="158"/>
      <c r="AD1000" s="158"/>
      <c r="AE1000" s="158" t="b">
        <f>IF(AB1000="",TRUE,IF(IF(AC1000="",VLOOKUP(AB1000,Calculs!$A$19:$S$425,19,FALSE),VLOOKUP(AC1000,Calculs!$A$19:$S$425,19,FALSE))&gt;=AD1000,TRUE,FALSE))</f>
        <v>1</v>
      </c>
      <c r="AF1000" s="158"/>
      <c r="AG1000" s="158"/>
      <c r="AH1000" s="158"/>
      <c r="AI1000" s="158" t="b">
        <f>IF(AF1000="",TRUE,IF(IF(AG1000="",VLOOKUP(AF1000,Calculs!$A$19:$S$425,19,FALSE),VLOOKUP(AG1000,Calculs!$A$19:$S$425,19,FALSE))&gt;=AH1000,TRUE,FALSE))</f>
        <v>1</v>
      </c>
      <c r="AJ1000" s="158"/>
      <c r="AK1000" s="158"/>
      <c r="AL1000" s="158"/>
      <c r="AM1000" s="158" t="b">
        <f>IF(AJ1000="",TRUE,IF(IF(AK1000="",VLOOKUP(AJ1000,Calculs!$A$19:$S$425,19,FALSE),VLOOKUP(AK1000,Calculs!$A$19:$S$425,19,FALSE))&gt;=AL1000,TRUE,FALSE))</f>
        <v>1</v>
      </c>
      <c r="AN1000" s="158"/>
      <c r="AO1000" s="158"/>
      <c r="AP1000" s="158"/>
      <c r="AQ1000" s="158" t="b">
        <f>IF(AN1000="",TRUE,IF(IF(AO1000="",VLOOKUP(AN1000,Calculs!$A$19:$S$425,19,FALSE),VLOOKUP(AO1000,Calculs!$A$19:$S$425,19,FALSE))&gt;=AP1000,TRUE,FALSE))</f>
        <v>1</v>
      </c>
      <c r="AR1000" s="158"/>
      <c r="AS1000" s="158" t="b">
        <f>IF(AR1000="",TRUE,IF(VLOOKUP(AR1000,Calculs!$A$427:$G$738,7,FALSE)&gt;0,TRUE,FALSE))</f>
        <v>1</v>
      </c>
      <c r="AT1000" s="158"/>
      <c r="AU1000" s="158" t="b">
        <f>IF(AT1000="",TRUE,IF(VLOOKUP(AT1000,Calculs!$A$740:$G$912,7,FALSE)&gt;0,TRUE,FALSE))</f>
        <v>1</v>
      </c>
      <c r="AV1000" s="158" t="b">
        <f t="shared" si="108"/>
        <v>1</v>
      </c>
      <c r="AW1000" s="158" t="s">
        <v>2078</v>
      </c>
      <c r="AX1000" s="162" t="s">
        <v>7226</v>
      </c>
      <c r="AY1000" s="15">
        <v>70</v>
      </c>
      <c r="AZ1000" s="555" t="s">
        <v>7856</v>
      </c>
      <c r="BA1000" s="559">
        <f>IF(Verso!$B$10=Voies!$B1000,1,0)</f>
        <v>0</v>
      </c>
      <c r="BB1000" s="12">
        <f>IF(Verso!$B$11=Voies!$B1000,1,0)</f>
        <v>0</v>
      </c>
      <c r="BC1000" s="12">
        <f>IF(Verso!$B$12=Voies!$B1000,1,0)</f>
        <v>0</v>
      </c>
      <c r="BD1000" s="12">
        <f>IF(Verso!$B$13=Voies!$B1000,1,0)</f>
        <v>0</v>
      </c>
      <c r="BE1000" s="12">
        <f>IF(Verso!$B$14=Voies!$B1000,1,0)</f>
        <v>0</v>
      </c>
      <c r="BF1000" s="12">
        <f>IF(Verso!$B$15=Voies!$B1000,1,0)</f>
        <v>0</v>
      </c>
      <c r="BG1000" s="12">
        <f>IF(Verso!$B$16=Voies!$B1000,1,0)</f>
        <v>0</v>
      </c>
      <c r="BH1000" s="12">
        <f>IF(Verso!$B$17=Voies!$B1000,1,0)</f>
        <v>0</v>
      </c>
      <c r="BI1000" s="557">
        <f t="shared" si="109"/>
        <v>0</v>
      </c>
      <c r="BJ1000" s="196" t="str">
        <f t="shared" si="110"/>
        <v/>
      </c>
      <c r="BK1000" s="196" t="str">
        <f t="shared" si="111"/>
        <v/>
      </c>
      <c r="BL1000" s="295" t="str">
        <f t="shared" si="112"/>
        <v/>
      </c>
    </row>
    <row r="1001" spans="1:65" s="196" customFormat="1" ht="47.25" customHeight="1" x14ac:dyDescent="0.25">
      <c r="A1001" s="162" t="str">
        <f>IF(AND(Réputation&gt;Voies!E1001-1,OR(C1001=TRUE,Calculs!$I$8&gt;0),Air&gt;Voies!J1001-1,Eau&gt;Voies!K1001-1,Feu&gt;Voies!L1001-1,Terre&gt;Voies!M1001-1,Vide&gt;Voies!N1001-1,Constitution&gt;Voies!O1001-1,Volonté&gt;Voies!P1001-1,Force&gt;Voies!Q1001-1,Perception&gt;Voies!R1001-1,Reflexes&gt;Voies!S1001-1,Agilité&gt;Voies!T1001-1,Intuition&gt;Voies!U1001-1,Intelligence&gt;Voies!V1001-1,Souillure&gt;Voies!W1001-1,Honneur&gt;X1001-1,Statut&gt;Y1001-1,Gloire&gt;Z1001-1,AV1001=TRUE),Voies!B1001,"")</f>
        <v/>
      </c>
      <c r="B1001" s="162" t="s">
        <v>8399</v>
      </c>
      <c r="C1001" s="162" t="b">
        <f>IF(Clan=Voies!D1001,TRUE,FALSE)</f>
        <v>0</v>
      </c>
      <c r="D1001" s="387" t="s">
        <v>33</v>
      </c>
      <c r="E1001" s="199">
        <v>4</v>
      </c>
      <c r="F1001" s="199">
        <v>4</v>
      </c>
      <c r="G1001" s="199" t="s">
        <v>2052</v>
      </c>
      <c r="H1001" s="162" t="s">
        <v>8392</v>
      </c>
      <c r="I1001" s="129" t="str">
        <f>IF(B1001="","","Rien")</f>
        <v>Rien</v>
      </c>
      <c r="J1001" s="146">
        <v>0</v>
      </c>
      <c r="K1001" s="147">
        <v>0</v>
      </c>
      <c r="L1001" s="148">
        <v>0</v>
      </c>
      <c r="M1001" s="149">
        <v>0</v>
      </c>
      <c r="N1001" s="150">
        <v>0</v>
      </c>
      <c r="O1001" s="130">
        <v>0</v>
      </c>
      <c r="P1001" s="130">
        <v>0</v>
      </c>
      <c r="Q1001" s="130">
        <v>0</v>
      </c>
      <c r="R1001" s="130">
        <v>0</v>
      </c>
      <c r="S1001" s="130">
        <v>0</v>
      </c>
      <c r="T1001" s="130">
        <v>0</v>
      </c>
      <c r="U1001" s="130">
        <v>0</v>
      </c>
      <c r="V1001" s="524">
        <v>0</v>
      </c>
      <c r="W1001" s="130">
        <v>0</v>
      </c>
      <c r="X1001" s="130">
        <v>0</v>
      </c>
      <c r="Y1001" s="130">
        <v>0</v>
      </c>
      <c r="Z1001" s="130">
        <v>0</v>
      </c>
      <c r="AA1001" s="158" t="s">
        <v>2078</v>
      </c>
      <c r="AB1001" s="158"/>
      <c r="AC1001" s="158"/>
      <c r="AD1001" s="158"/>
      <c r="AE1001" s="158" t="b">
        <f>IF(AB1001="",TRUE,IF(IF(AC1001="",VLOOKUP(AB1001,Calculs!$A$19:$S$425,19,FALSE),VLOOKUP(AC1001,Calculs!$A$19:$S$425,19,FALSE))&gt;=AD1001,TRUE,FALSE))</f>
        <v>1</v>
      </c>
      <c r="AF1001" s="158"/>
      <c r="AG1001" s="158"/>
      <c r="AH1001" s="158"/>
      <c r="AI1001" s="158" t="b">
        <f>IF(AF1001="",TRUE,IF(IF(AG1001="",VLOOKUP(AF1001,Calculs!$A$19:$S$425,19,FALSE),VLOOKUP(AG1001,Calculs!$A$19:$S$425,19,FALSE))&gt;=AH1001,TRUE,FALSE))</f>
        <v>1</v>
      </c>
      <c r="AJ1001" s="158"/>
      <c r="AK1001" s="158"/>
      <c r="AL1001" s="158"/>
      <c r="AM1001" s="158" t="b">
        <f>IF(AJ1001="",TRUE,IF(IF(AK1001="",VLOOKUP(AJ1001,Calculs!$A$19:$S$425,19,FALSE),VLOOKUP(AK1001,Calculs!$A$19:$S$425,19,FALSE))&gt;=AL1001,TRUE,FALSE))</f>
        <v>1</v>
      </c>
      <c r="AN1001" s="158"/>
      <c r="AO1001" s="158"/>
      <c r="AP1001" s="158"/>
      <c r="AQ1001" s="158" t="b">
        <f>IF(AN1001="",TRUE,IF(IF(AO1001="",VLOOKUP(AN1001,Calculs!$A$19:$S$425,19,FALSE),VLOOKUP(AO1001,Calculs!$A$19:$S$425,19,FALSE))&gt;=AP1001,TRUE,FALSE))</f>
        <v>1</v>
      </c>
      <c r="AR1001" s="158"/>
      <c r="AS1001" s="158" t="b">
        <f>IF(AR1001="",TRUE,IF(VLOOKUP(AR1001,Calculs!$A$427:$G$738,7,FALSE)&gt;0,TRUE,FALSE))</f>
        <v>1</v>
      </c>
      <c r="AT1001" s="158"/>
      <c r="AU1001" s="158" t="b">
        <f>IF(AT1001="",TRUE,IF(VLOOKUP(AT1001,Calculs!$A$740:$G$912,7,FALSE)&gt;0,TRUE,FALSE))</f>
        <v>1</v>
      </c>
      <c r="AV1001" s="158" t="b">
        <f t="shared" si="108"/>
        <v>1</v>
      </c>
      <c r="AW1001" s="158" t="s">
        <v>2078</v>
      </c>
      <c r="AX1001" s="162" t="s">
        <v>7759</v>
      </c>
      <c r="AY1001" s="15">
        <v>18</v>
      </c>
      <c r="AZ1001" s="555" t="s">
        <v>8400</v>
      </c>
      <c r="BA1001" s="559">
        <f>IF(Verso!$B$10=Voies!$B1001,1,0)</f>
        <v>0</v>
      </c>
      <c r="BB1001" s="12">
        <f>IF(Verso!$B$11=Voies!$B1001,1,0)</f>
        <v>0</v>
      </c>
      <c r="BC1001" s="12">
        <f>IF(Verso!$B$12=Voies!$B1001,1,0)</f>
        <v>0</v>
      </c>
      <c r="BD1001" s="12">
        <f>IF(Verso!$B$13=Voies!$B1001,1,0)</f>
        <v>0</v>
      </c>
      <c r="BE1001" s="12">
        <f>IF(Verso!$B$14=Voies!$B1001,1,0)</f>
        <v>0</v>
      </c>
      <c r="BF1001" s="12">
        <f>IF(Verso!$B$15=Voies!$B1001,1,0)</f>
        <v>0</v>
      </c>
      <c r="BG1001" s="12">
        <f>IF(Verso!$B$16=Voies!$B1001,1,0)</f>
        <v>0</v>
      </c>
      <c r="BH1001" s="12">
        <f>IF(Verso!$B$17=Voies!$B1001,1,0)</f>
        <v>0</v>
      </c>
      <c r="BI1001" s="557">
        <f t="shared" si="109"/>
        <v>0</v>
      </c>
      <c r="BJ1001" s="196" t="str">
        <f t="shared" si="110"/>
        <v/>
      </c>
      <c r="BK1001" s="196" t="str">
        <f t="shared" si="111"/>
        <v/>
      </c>
      <c r="BL1001" s="295" t="str">
        <f t="shared" si="112"/>
        <v/>
      </c>
      <c r="BM1001" s="91"/>
    </row>
    <row r="1002" spans="1:65" ht="47.25" customHeight="1" x14ac:dyDescent="0.25">
      <c r="A1002" s="162" t="str">
        <f>IF(AND(Réputation&gt;Voies!E1002-1,OR(C1002=TRUE,Calculs!$I$8&gt;0),Air&gt;Voies!J1002-1,Eau&gt;Voies!K1002-1,Feu&gt;Voies!L1002-1,Terre&gt;Voies!M1002-1,Vide&gt;Voies!N1002-1,Constitution&gt;Voies!O1002-1,Volonté&gt;Voies!P1002-1,Force&gt;Voies!Q1002-1,Perception&gt;Voies!R1002-1,Reflexes&gt;Voies!S1002-1,Agilité&gt;Voies!T1002-1,Intuition&gt;Voies!U1002-1,Intelligence&gt;Voies!V1002-1,Souillure&gt;Voies!W1002-1,Honneur&gt;X1002-1,Statut&gt;Y1002-1,Gloire&gt;Z1002-1,AV1002=TRUE),Voies!B1002,"")</f>
        <v/>
      </c>
      <c r="B1002" s="162" t="s">
        <v>6112</v>
      </c>
      <c r="C1002" s="162" t="b">
        <f>IF(Clan=Voies!D1002,TRUE,FALSE)</f>
        <v>0</v>
      </c>
      <c r="D1002" s="387" t="s">
        <v>33</v>
      </c>
      <c r="E1002" s="199">
        <v>4</v>
      </c>
      <c r="F1002" s="199">
        <v>4</v>
      </c>
      <c r="G1002" s="199" t="s">
        <v>2060</v>
      </c>
      <c r="H1002" s="162" t="s">
        <v>6107</v>
      </c>
      <c r="I1002" s="129" t="str">
        <f>IF(B1002="","","Rien")</f>
        <v>Rien</v>
      </c>
      <c r="J1002" s="146">
        <v>0</v>
      </c>
      <c r="K1002" s="147">
        <v>0</v>
      </c>
      <c r="L1002" s="148">
        <v>0</v>
      </c>
      <c r="M1002" s="149">
        <v>0</v>
      </c>
      <c r="N1002" s="150">
        <v>0</v>
      </c>
      <c r="O1002" s="130">
        <v>0</v>
      </c>
      <c r="P1002" s="130">
        <v>0</v>
      </c>
      <c r="Q1002" s="130">
        <v>0</v>
      </c>
      <c r="R1002" s="130">
        <v>0</v>
      </c>
      <c r="S1002" s="130">
        <v>0</v>
      </c>
      <c r="T1002" s="130">
        <v>0</v>
      </c>
      <c r="U1002" s="130">
        <v>0</v>
      </c>
      <c r="V1002" s="524">
        <v>0</v>
      </c>
      <c r="W1002" s="130">
        <v>0</v>
      </c>
      <c r="X1002" s="130">
        <v>0</v>
      </c>
      <c r="Y1002" s="130">
        <v>0</v>
      </c>
      <c r="Z1002" s="130">
        <v>0</v>
      </c>
      <c r="AA1002" s="158" t="s">
        <v>2078</v>
      </c>
      <c r="AB1002" s="158"/>
      <c r="AC1002" s="158"/>
      <c r="AD1002" s="158"/>
      <c r="AE1002" s="158" t="b">
        <f>IF(AB1002="",TRUE,IF(IF(AC1002="",VLOOKUP(AB1002,Calculs!$A$19:$S$425,19,FALSE),VLOOKUP(AC1002,Calculs!$A$19:$S$425,19,FALSE))&gt;=AD1002,TRUE,FALSE))</f>
        <v>1</v>
      </c>
      <c r="AF1002" s="158"/>
      <c r="AG1002" s="158"/>
      <c r="AH1002" s="158"/>
      <c r="AI1002" s="158" t="b">
        <f>IF(AF1002="",TRUE,IF(IF(AG1002="",VLOOKUP(AF1002,Calculs!$A$19:$S$425,19,FALSE),VLOOKUP(AG1002,Calculs!$A$19:$S$425,19,FALSE))&gt;=AH1002,TRUE,FALSE))</f>
        <v>1</v>
      </c>
      <c r="AJ1002" s="158"/>
      <c r="AK1002" s="158"/>
      <c r="AL1002" s="158"/>
      <c r="AM1002" s="158" t="b">
        <f>IF(AJ1002="",TRUE,IF(IF(AK1002="",VLOOKUP(AJ1002,Calculs!$A$19:$S$425,19,FALSE),VLOOKUP(AK1002,Calculs!$A$19:$S$425,19,FALSE))&gt;=AL1002,TRUE,FALSE))</f>
        <v>1</v>
      </c>
      <c r="AN1002" s="158"/>
      <c r="AO1002" s="158"/>
      <c r="AP1002" s="158"/>
      <c r="AQ1002" s="158" t="b">
        <f>IF(AN1002="",TRUE,IF(IF(AO1002="",VLOOKUP(AN1002,Calculs!$A$19:$S$425,19,FALSE),VLOOKUP(AO1002,Calculs!$A$19:$S$425,19,FALSE))&gt;=AP1002,TRUE,FALSE))</f>
        <v>1</v>
      </c>
      <c r="AR1002" s="158"/>
      <c r="AS1002" s="158" t="b">
        <f>IF(AR1002="",TRUE,IF(VLOOKUP(AR1002,Calculs!$A$427:$G$738,7,FALSE)&gt;0,TRUE,FALSE))</f>
        <v>1</v>
      </c>
      <c r="AT1002" s="158"/>
      <c r="AU1002" s="158" t="b">
        <f>IF(AT1002="",TRUE,IF(VLOOKUP(AT1002,Calculs!$A$740:$G$912,7,FALSE)&gt;0,TRUE,FALSE))</f>
        <v>1</v>
      </c>
      <c r="AV1002" s="158" t="b">
        <f t="shared" si="108"/>
        <v>1</v>
      </c>
      <c r="AW1002" s="158" t="s">
        <v>2078</v>
      </c>
      <c r="AX1002" s="162" t="s">
        <v>6061</v>
      </c>
      <c r="AY1002" s="15">
        <v>257</v>
      </c>
      <c r="AZ1002" s="555" t="s">
        <v>2903</v>
      </c>
      <c r="BA1002" s="559">
        <f>IF(Verso!$B$10=Voies!$B1002,1,0)</f>
        <v>0</v>
      </c>
      <c r="BB1002" s="12">
        <f>IF(Verso!$B$11=Voies!$B1002,1,0)</f>
        <v>0</v>
      </c>
      <c r="BC1002" s="12">
        <f>IF(Verso!$B$12=Voies!$B1002,1,0)</f>
        <v>0</v>
      </c>
      <c r="BD1002" s="12">
        <f>IF(Verso!$B$13=Voies!$B1002,1,0)</f>
        <v>0</v>
      </c>
      <c r="BE1002" s="12">
        <f>IF(Verso!$B$14=Voies!$B1002,1,0)</f>
        <v>0</v>
      </c>
      <c r="BF1002" s="12">
        <f>IF(Verso!$B$15=Voies!$B1002,1,0)</f>
        <v>0</v>
      </c>
      <c r="BG1002" s="12">
        <f>IF(Verso!$B$16=Voies!$B1002,1,0)</f>
        <v>0</v>
      </c>
      <c r="BH1002" s="12">
        <f>IF(Verso!$B$17=Voies!$B1002,1,0)</f>
        <v>0</v>
      </c>
      <c r="BI1002" s="557">
        <f t="shared" si="109"/>
        <v>0</v>
      </c>
      <c r="BJ1002" s="196" t="str">
        <f t="shared" si="110"/>
        <v/>
      </c>
      <c r="BK1002" s="196" t="str">
        <f t="shared" si="111"/>
        <v/>
      </c>
      <c r="BL1002" s="295" t="str">
        <f t="shared" si="112"/>
        <v/>
      </c>
    </row>
    <row r="1003" spans="1:65" ht="47.25" customHeight="1" x14ac:dyDescent="0.25">
      <c r="A1003" s="162" t="str">
        <f>IF(AND(Réputation&gt;Voies!E1003-1,OR(C1003=TRUE,Calculs!$I$8&gt;0),Air&gt;Voies!J1003-1,Eau&gt;Voies!K1003-1,Feu&gt;Voies!L1003-1,Terre&gt;Voies!M1003-1,Vide&gt;Voies!N1003-1,Constitution&gt;Voies!O1003-1,Volonté&gt;Voies!P1003-1,Force&gt;Voies!Q1003-1,Perception&gt;Voies!R1003-1,Reflexes&gt;Voies!S1003-1,Agilité&gt;Voies!T1003-1,Intuition&gt;Voies!U1003-1,Intelligence&gt;Voies!V1003-1,Souillure&gt;Voies!W1003-1,Honneur&gt;X1003-1,Statut&gt;Y1003-1,Gloire&gt;Z1003-1,AV1003=TRUE),Voies!B1003,"")</f>
        <v/>
      </c>
      <c r="B1003" s="162" t="s">
        <v>2520</v>
      </c>
      <c r="C1003" s="162" t="b">
        <f>IF(Clan=Voies!D1003,TRUE,FALSE)</f>
        <v>0</v>
      </c>
      <c r="D1003" s="387" t="s">
        <v>33</v>
      </c>
      <c r="E1003" s="199">
        <v>4</v>
      </c>
      <c r="F1003" s="199">
        <v>4</v>
      </c>
      <c r="G1003" s="199" t="s">
        <v>2060</v>
      </c>
      <c r="H1003" s="162" t="s">
        <v>222</v>
      </c>
      <c r="I1003" s="129" t="str">
        <f>IF(B1003="","","Rien")</f>
        <v>Rien</v>
      </c>
      <c r="J1003" s="146">
        <v>0</v>
      </c>
      <c r="K1003" s="147">
        <v>0</v>
      </c>
      <c r="L1003" s="148">
        <v>0</v>
      </c>
      <c r="M1003" s="149">
        <v>0</v>
      </c>
      <c r="N1003" s="150">
        <v>0</v>
      </c>
      <c r="O1003" s="130">
        <v>0</v>
      </c>
      <c r="P1003" s="130">
        <v>0</v>
      </c>
      <c r="Q1003" s="130">
        <v>0</v>
      </c>
      <c r="R1003" s="130">
        <v>0</v>
      </c>
      <c r="S1003" s="130">
        <v>0</v>
      </c>
      <c r="T1003" s="130">
        <v>0</v>
      </c>
      <c r="U1003" s="130">
        <v>0</v>
      </c>
      <c r="V1003" s="524">
        <v>0</v>
      </c>
      <c r="W1003" s="130">
        <v>0</v>
      </c>
      <c r="X1003" s="130">
        <v>0</v>
      </c>
      <c r="Y1003" s="130">
        <v>0</v>
      </c>
      <c r="Z1003" s="130">
        <v>0</v>
      </c>
      <c r="AA1003" s="158" t="s">
        <v>2078</v>
      </c>
      <c r="AB1003" s="158"/>
      <c r="AC1003" s="158"/>
      <c r="AD1003" s="158"/>
      <c r="AE1003" s="158" t="b">
        <f>IF(AB1003="",TRUE,IF(IF(AC1003="",VLOOKUP(AB1003,Calculs!$A$19:$S$425,19,FALSE),VLOOKUP(AC1003,Calculs!$A$19:$S$425,19,FALSE))&gt;=AD1003,TRUE,FALSE))</f>
        <v>1</v>
      </c>
      <c r="AF1003" s="158"/>
      <c r="AG1003" s="158"/>
      <c r="AH1003" s="158"/>
      <c r="AI1003" s="158" t="b">
        <f>IF(AF1003="",TRUE,IF(IF(AG1003="",VLOOKUP(AF1003,Calculs!$A$19:$S$425,19,FALSE),VLOOKUP(AG1003,Calculs!$A$19:$S$425,19,FALSE))&gt;=AH1003,TRUE,FALSE))</f>
        <v>1</v>
      </c>
      <c r="AJ1003" s="158"/>
      <c r="AK1003" s="158"/>
      <c r="AL1003" s="158"/>
      <c r="AM1003" s="158" t="b">
        <f>IF(AJ1003="",TRUE,IF(IF(AK1003="",VLOOKUP(AJ1003,Calculs!$A$19:$S$425,19,FALSE),VLOOKUP(AK1003,Calculs!$A$19:$S$425,19,FALSE))&gt;=AL1003,TRUE,FALSE))</f>
        <v>1</v>
      </c>
      <c r="AN1003" s="158"/>
      <c r="AO1003" s="158"/>
      <c r="AP1003" s="158"/>
      <c r="AQ1003" s="158" t="b">
        <f>IF(AN1003="",TRUE,IF(IF(AO1003="",VLOOKUP(AN1003,Calculs!$A$19:$S$425,19,FALSE),VLOOKUP(AO1003,Calculs!$A$19:$S$425,19,FALSE))&gt;=AP1003,TRUE,FALSE))</f>
        <v>1</v>
      </c>
      <c r="AR1003" s="158"/>
      <c r="AS1003" s="158" t="b">
        <f>IF(AR1003="",TRUE,IF(VLOOKUP(AR1003,Calculs!$A$427:$G$738,7,FALSE)&gt;0,TRUE,FALSE))</f>
        <v>1</v>
      </c>
      <c r="AT1003" s="158"/>
      <c r="AU1003" s="158" t="b">
        <f>IF(AT1003="",TRUE,IF(VLOOKUP(AT1003,Calculs!$A$740:$G$912,7,FALSE)&gt;0,TRUE,FALSE))</f>
        <v>1</v>
      </c>
      <c r="AV1003" s="158" t="b">
        <f t="shared" si="108"/>
        <v>1</v>
      </c>
      <c r="AW1003" s="158" t="s">
        <v>2078</v>
      </c>
      <c r="AX1003" s="162" t="s">
        <v>3</v>
      </c>
      <c r="AY1003" s="15">
        <v>132</v>
      </c>
      <c r="AZ1003" s="555" t="s">
        <v>8757</v>
      </c>
      <c r="BA1003" s="559">
        <f>IF(Verso!$B$10=Voies!$B1003,1,0)</f>
        <v>0</v>
      </c>
      <c r="BB1003" s="12">
        <f>IF(Verso!$B$11=Voies!$B1003,1,0)</f>
        <v>0</v>
      </c>
      <c r="BC1003" s="12">
        <f>IF(Verso!$B$12=Voies!$B1003,1,0)</f>
        <v>0</v>
      </c>
      <c r="BD1003" s="12">
        <f>IF(Verso!$B$13=Voies!$B1003,1,0)</f>
        <v>0</v>
      </c>
      <c r="BE1003" s="12">
        <f>IF(Verso!$B$14=Voies!$B1003,1,0)</f>
        <v>0</v>
      </c>
      <c r="BF1003" s="12">
        <f>IF(Verso!$B$15=Voies!$B1003,1,0)</f>
        <v>0</v>
      </c>
      <c r="BG1003" s="12">
        <f>IF(Verso!$B$16=Voies!$B1003,1,0)</f>
        <v>0</v>
      </c>
      <c r="BH1003" s="12">
        <f>IF(Verso!$B$17=Voies!$B1003,1,0)</f>
        <v>0</v>
      </c>
      <c r="BI1003" s="557">
        <f t="shared" si="109"/>
        <v>0</v>
      </c>
      <c r="BJ1003" s="196" t="str">
        <f t="shared" si="110"/>
        <v/>
      </c>
      <c r="BK1003" s="196" t="str">
        <f t="shared" si="111"/>
        <v/>
      </c>
      <c r="BL1003" s="295" t="str">
        <f t="shared" si="112"/>
        <v/>
      </c>
    </row>
    <row r="1004" spans="1:65" s="196" customFormat="1" ht="47.25" customHeight="1" x14ac:dyDescent="0.25">
      <c r="A1004" s="162" t="str">
        <f>IF(AND(Réputation&gt;Voies!E1004-1,OR(C1004=TRUE,Calculs!$I$8&gt;0),Air&gt;Voies!J1004-1,Eau&gt;Voies!K1004-1,Feu&gt;Voies!L1004-1,Terre&gt;Voies!M1004-1,Vide&gt;Voies!N1004-1,Constitution&gt;Voies!O1004-1,Volonté&gt;Voies!P1004-1,Force&gt;Voies!Q1004-1,Perception&gt;Voies!R1004-1,Reflexes&gt;Voies!S1004-1,Agilité&gt;Voies!T1004-1,Intuition&gt;Voies!U1004-1,Intelligence&gt;Voies!V1004-1,Souillure&gt;Voies!W1004-1,Honneur&gt;X1004-1,Statut&gt;Y1004-1,Gloire&gt;Z1004-1,AV1004=TRUE),Voies!B1004,"")</f>
        <v/>
      </c>
      <c r="B1004" s="162" t="s">
        <v>3639</v>
      </c>
      <c r="C1004" s="162" t="b">
        <f>IF(Clan=Voies!D1004,TRUE,FALSE)</f>
        <v>0</v>
      </c>
      <c r="D1004" s="387" t="s">
        <v>33</v>
      </c>
      <c r="E1004" s="199">
        <v>4</v>
      </c>
      <c r="F1004" s="199">
        <v>4</v>
      </c>
      <c r="G1004" s="199" t="s">
        <v>2048</v>
      </c>
      <c r="H1004" s="162" t="s">
        <v>522</v>
      </c>
      <c r="I1004" s="129" t="s">
        <v>3231</v>
      </c>
      <c r="J1004" s="146">
        <v>0</v>
      </c>
      <c r="K1004" s="147">
        <v>0</v>
      </c>
      <c r="L1004" s="148">
        <v>0</v>
      </c>
      <c r="M1004" s="149">
        <v>0</v>
      </c>
      <c r="N1004" s="150">
        <v>0</v>
      </c>
      <c r="O1004" s="130">
        <v>0</v>
      </c>
      <c r="P1004" s="130">
        <v>4</v>
      </c>
      <c r="Q1004" s="130">
        <v>0</v>
      </c>
      <c r="R1004" s="130">
        <v>0</v>
      </c>
      <c r="S1004" s="130">
        <v>0</v>
      </c>
      <c r="T1004" s="130">
        <v>0</v>
      </c>
      <c r="U1004" s="130">
        <v>0</v>
      </c>
      <c r="V1004" s="524">
        <v>0</v>
      </c>
      <c r="W1004" s="130">
        <v>0</v>
      </c>
      <c r="X1004" s="130">
        <v>0</v>
      </c>
      <c r="Y1004" s="130">
        <v>0</v>
      </c>
      <c r="Z1004" s="130">
        <v>0</v>
      </c>
      <c r="AA1004" s="159" t="s">
        <v>6391</v>
      </c>
      <c r="AB1004" s="159" t="s">
        <v>3323</v>
      </c>
      <c r="AC1004" s="159" t="s">
        <v>159</v>
      </c>
      <c r="AD1004" s="159">
        <v>3</v>
      </c>
      <c r="AE1004" s="158" t="b">
        <f>IF(AB1004="",TRUE,IF(IF(AC1004="",VLOOKUP(AB1004,Calculs!$A$19:$S$425,19,FALSE),VLOOKUP(AC1004,Calculs!$A$19:$S$425,19,FALSE))&gt;=AD1004,TRUE,FALSE))</f>
        <v>0</v>
      </c>
      <c r="AF1004" s="159" t="s">
        <v>3325</v>
      </c>
      <c r="AG1004" s="159" t="s">
        <v>3170</v>
      </c>
      <c r="AH1004" s="159">
        <v>3</v>
      </c>
      <c r="AI1004" s="158" t="b">
        <f>IF(AF1004="",TRUE,IF(IF(AG1004="",VLOOKUP(AF1004,Calculs!$A$19:$S$425,19,FALSE),VLOOKUP(AG1004,Calculs!$A$19:$S$425,19,FALSE))&gt;=AH1004,TRUE,FALSE))</f>
        <v>0</v>
      </c>
      <c r="AJ1004" s="159"/>
      <c r="AK1004" s="159"/>
      <c r="AL1004" s="159"/>
      <c r="AM1004" s="158" t="b">
        <f>IF(AJ1004="",TRUE,IF(IF(AK1004="",VLOOKUP(AJ1004,Calculs!$A$19:$S$425,19,FALSE),VLOOKUP(AK1004,Calculs!$A$19:$S$425,19,FALSE))&gt;=AL1004,TRUE,FALSE))</f>
        <v>1</v>
      </c>
      <c r="AN1004" s="159"/>
      <c r="AO1004" s="159"/>
      <c r="AP1004" s="159"/>
      <c r="AQ1004" s="158" t="b">
        <f>IF(AN1004="",TRUE,IF(IF(AO1004="",VLOOKUP(AN1004,Calculs!$A$19:$S$425,19,FALSE),VLOOKUP(AO1004,Calculs!$A$19:$S$425,19,FALSE))&gt;=AP1004,TRUE,FALSE))</f>
        <v>1</v>
      </c>
      <c r="AR1004" s="158"/>
      <c r="AS1004" s="158" t="b">
        <f>IF(AR1004="",TRUE,IF(VLOOKUP(AR1004,Calculs!$A$427:$G$738,7,FALSE)&gt;0,TRUE,FALSE))</f>
        <v>1</v>
      </c>
      <c r="AT1004" s="158"/>
      <c r="AU1004" s="158" t="b">
        <f>IF(AT1004="",TRUE,IF(VLOOKUP(AT1004,Calculs!$A$740:$G$912,7,FALSE)&gt;0,TRUE,FALSE))</f>
        <v>1</v>
      </c>
      <c r="AV1004" s="158" t="b">
        <f t="shared" si="108"/>
        <v>0</v>
      </c>
      <c r="AW1004" s="158" t="s">
        <v>3640</v>
      </c>
      <c r="AX1004" s="162" t="s">
        <v>6061</v>
      </c>
      <c r="AY1004" s="15">
        <v>259</v>
      </c>
      <c r="AZ1004" s="555" t="s">
        <v>8758</v>
      </c>
      <c r="BA1004" s="559">
        <f>IF(Verso!$B$10=Voies!$B1004,1,0)</f>
        <v>0</v>
      </c>
      <c r="BB1004" s="12">
        <f>IF(Verso!$B$11=Voies!$B1004,1,0)</f>
        <v>0</v>
      </c>
      <c r="BC1004" s="12">
        <f>IF(Verso!$B$12=Voies!$B1004,1,0)</f>
        <v>0</v>
      </c>
      <c r="BD1004" s="12">
        <f>IF(Verso!$B$13=Voies!$B1004,1,0)</f>
        <v>0</v>
      </c>
      <c r="BE1004" s="12">
        <f>IF(Verso!$B$14=Voies!$B1004,1,0)</f>
        <v>0</v>
      </c>
      <c r="BF1004" s="12">
        <f>IF(Verso!$B$15=Voies!$B1004,1,0)</f>
        <v>0</v>
      </c>
      <c r="BG1004" s="12">
        <f>IF(Verso!$B$16=Voies!$B1004,1,0)</f>
        <v>0</v>
      </c>
      <c r="BH1004" s="12">
        <f>IF(Verso!$B$17=Voies!$B1004,1,0)</f>
        <v>0</v>
      </c>
      <c r="BI1004" s="557">
        <f t="shared" si="109"/>
        <v>0</v>
      </c>
      <c r="BJ1004" s="196" t="str">
        <f t="shared" si="110"/>
        <v/>
      </c>
      <c r="BK1004" s="196" t="str">
        <f t="shared" si="111"/>
        <v/>
      </c>
      <c r="BL1004" s="295" t="str">
        <f t="shared" si="112"/>
        <v/>
      </c>
      <c r="BM1004" s="91"/>
    </row>
    <row r="1005" spans="1:65" ht="47.25" customHeight="1" x14ac:dyDescent="0.25">
      <c r="A1005" s="162" t="str">
        <f>IF(AND(Réputation&gt;Voies!E1005-1,OR(C1005=TRUE,Calculs!$I$8&gt;0),Air&gt;Voies!J1005-1,Eau&gt;Voies!K1005-1,Feu&gt;Voies!L1005-1,Terre&gt;Voies!M1005-1,Vide&gt;Voies!N1005-1,Constitution&gt;Voies!O1005-1,Volonté&gt;Voies!P1005-1,Force&gt;Voies!Q1005-1,Perception&gt;Voies!R1005-1,Reflexes&gt;Voies!S1005-1,Agilité&gt;Voies!T1005-1,Intuition&gt;Voies!U1005-1,Intelligence&gt;Voies!V1005-1,Souillure&gt;Voies!W1005-1,Honneur&gt;X1005-1,Statut&gt;Y1005-1,Gloire&gt;Z1005-1,AV1005=TRUE),Voies!B1005,"")</f>
        <v/>
      </c>
      <c r="B1005" s="162" t="s">
        <v>2510</v>
      </c>
      <c r="C1005" s="162" t="b">
        <f>IF(Clan=Voies!D1005,TRUE,FALSE)</f>
        <v>0</v>
      </c>
      <c r="D1005" s="387" t="s">
        <v>33</v>
      </c>
      <c r="E1005" s="199">
        <v>5</v>
      </c>
      <c r="F1005" s="199">
        <v>5</v>
      </c>
      <c r="G1005" s="13" t="s">
        <v>2049</v>
      </c>
      <c r="H1005" s="162" t="s">
        <v>218</v>
      </c>
      <c r="I1005" s="129" t="str">
        <f t="shared" ref="I1005:I1011" si="114">IF(B1005="","","Rien")</f>
        <v>Rien</v>
      </c>
      <c r="J1005" s="146">
        <v>0</v>
      </c>
      <c r="K1005" s="147">
        <v>0</v>
      </c>
      <c r="L1005" s="148">
        <v>0</v>
      </c>
      <c r="M1005" s="149">
        <v>0</v>
      </c>
      <c r="N1005" s="150">
        <v>0</v>
      </c>
      <c r="O1005" s="130">
        <v>0</v>
      </c>
      <c r="P1005" s="130">
        <v>0</v>
      </c>
      <c r="Q1005" s="130">
        <v>0</v>
      </c>
      <c r="R1005" s="130">
        <v>0</v>
      </c>
      <c r="S1005" s="130">
        <v>0</v>
      </c>
      <c r="T1005" s="130">
        <v>0</v>
      </c>
      <c r="U1005" s="130">
        <v>0</v>
      </c>
      <c r="V1005" s="524">
        <v>0</v>
      </c>
      <c r="W1005" s="130">
        <v>0</v>
      </c>
      <c r="X1005" s="130">
        <v>0</v>
      </c>
      <c r="Y1005" s="130">
        <v>0</v>
      </c>
      <c r="Z1005" s="130">
        <v>0</v>
      </c>
      <c r="AA1005" s="158" t="s">
        <v>2078</v>
      </c>
      <c r="AB1005" s="158"/>
      <c r="AC1005" s="158"/>
      <c r="AD1005" s="158"/>
      <c r="AE1005" s="158" t="b">
        <f>IF(AB1005="",TRUE,IF(IF(AC1005="",VLOOKUP(AB1005,Calculs!$A$19:$S$425,19,FALSE),VLOOKUP(AC1005,Calculs!$A$19:$S$425,19,FALSE))&gt;=AD1005,TRUE,FALSE))</f>
        <v>1</v>
      </c>
      <c r="AF1005" s="158"/>
      <c r="AG1005" s="158"/>
      <c r="AH1005" s="158"/>
      <c r="AI1005" s="158" t="b">
        <f>IF(AF1005="",TRUE,IF(IF(AG1005="",VLOOKUP(AF1005,Calculs!$A$19:$S$425,19,FALSE),VLOOKUP(AG1005,Calculs!$A$19:$S$425,19,FALSE))&gt;=AH1005,TRUE,FALSE))</f>
        <v>1</v>
      </c>
      <c r="AJ1005" s="158"/>
      <c r="AK1005" s="158"/>
      <c r="AL1005" s="158"/>
      <c r="AM1005" s="158" t="b">
        <f>IF(AJ1005="",TRUE,IF(IF(AK1005="",VLOOKUP(AJ1005,Calculs!$A$19:$S$425,19,FALSE),VLOOKUP(AK1005,Calculs!$A$19:$S$425,19,FALSE))&gt;=AL1005,TRUE,FALSE))</f>
        <v>1</v>
      </c>
      <c r="AN1005" s="158"/>
      <c r="AO1005" s="158"/>
      <c r="AP1005" s="158"/>
      <c r="AQ1005" s="158" t="b">
        <f>IF(AN1005="",TRUE,IF(IF(AO1005="",VLOOKUP(AN1005,Calculs!$A$19:$S$425,19,FALSE),VLOOKUP(AO1005,Calculs!$A$19:$S$425,19,FALSE))&gt;=AP1005,TRUE,FALSE))</f>
        <v>1</v>
      </c>
      <c r="AR1005" s="158"/>
      <c r="AS1005" s="158" t="b">
        <f>IF(AR1005="",TRUE,IF(VLOOKUP(AR1005,Calculs!$A$427:$G$738,7,FALSE)&gt;0,TRUE,FALSE))</f>
        <v>1</v>
      </c>
      <c r="AT1005" s="158"/>
      <c r="AU1005" s="158" t="b">
        <f>IF(AT1005="",TRUE,IF(VLOOKUP(AT1005,Calculs!$A$740:$G$912,7,FALSE)&gt;0,TRUE,FALSE))</f>
        <v>1</v>
      </c>
      <c r="AV1005" s="158" t="b">
        <f t="shared" si="108"/>
        <v>1</v>
      </c>
      <c r="AW1005" s="158" t="s">
        <v>2078</v>
      </c>
      <c r="AX1005" s="162" t="s">
        <v>3</v>
      </c>
      <c r="AY1005" s="15">
        <v>129</v>
      </c>
      <c r="AZ1005" s="555" t="s">
        <v>8759</v>
      </c>
      <c r="BA1005" s="559">
        <f>IF(Verso!$B$10=Voies!$B1005,1,0)</f>
        <v>0</v>
      </c>
      <c r="BB1005" s="12">
        <f>IF(Verso!$B$11=Voies!$B1005,1,0)</f>
        <v>0</v>
      </c>
      <c r="BC1005" s="12">
        <f>IF(Verso!$B$12=Voies!$B1005,1,0)</f>
        <v>0</v>
      </c>
      <c r="BD1005" s="12">
        <f>IF(Verso!$B$13=Voies!$B1005,1,0)</f>
        <v>0</v>
      </c>
      <c r="BE1005" s="12">
        <f>IF(Verso!$B$14=Voies!$B1005,1,0)</f>
        <v>0</v>
      </c>
      <c r="BF1005" s="12">
        <f>IF(Verso!$B$15=Voies!$B1005,1,0)</f>
        <v>0</v>
      </c>
      <c r="BG1005" s="12">
        <f>IF(Verso!$B$16=Voies!$B1005,1,0)</f>
        <v>0</v>
      </c>
      <c r="BH1005" s="12">
        <f>IF(Verso!$B$17=Voies!$B1005,1,0)</f>
        <v>0</v>
      </c>
      <c r="BI1005" s="557">
        <f t="shared" si="109"/>
        <v>0</v>
      </c>
      <c r="BJ1005" s="196" t="str">
        <f t="shared" si="110"/>
        <v/>
      </c>
      <c r="BK1005" s="196" t="str">
        <f t="shared" si="111"/>
        <v/>
      </c>
      <c r="BL1005" s="295" t="str">
        <f t="shared" si="112"/>
        <v/>
      </c>
    </row>
    <row r="1006" spans="1:65" ht="47.25" customHeight="1" x14ac:dyDescent="0.25">
      <c r="A1006" s="162" t="str">
        <f>IF(AND(Réputation&gt;Voies!E1006-1,OR(C1006=TRUE,Calculs!$I$8&gt;0),Air&gt;Voies!J1006-1,Eau&gt;Voies!K1006-1,Feu&gt;Voies!L1006-1,Terre&gt;Voies!M1006-1,Vide&gt;Voies!N1006-1,Constitution&gt;Voies!O1006-1,Volonté&gt;Voies!P1006-1,Force&gt;Voies!Q1006-1,Perception&gt;Voies!R1006-1,Reflexes&gt;Voies!S1006-1,Agilité&gt;Voies!T1006-1,Intuition&gt;Voies!U1006-1,Intelligence&gt;Voies!V1006-1,Souillure&gt;Voies!W1006-1,Honneur&gt;X1006-1,Statut&gt;Y1006-1,Gloire&gt;Z1006-1,AV1006=TRUE),Voies!B1006,"")</f>
        <v/>
      </c>
      <c r="B1006" s="162" t="s">
        <v>4824</v>
      </c>
      <c r="C1006" s="162" t="b">
        <f>IF(Clan=Voies!D1006,TRUE,FALSE)</f>
        <v>0</v>
      </c>
      <c r="D1006" s="387" t="s">
        <v>33</v>
      </c>
      <c r="E1006" s="199">
        <v>5</v>
      </c>
      <c r="F1006" s="199">
        <v>5</v>
      </c>
      <c r="G1006" s="199" t="s">
        <v>2049</v>
      </c>
      <c r="H1006" s="162" t="s">
        <v>220</v>
      </c>
      <c r="I1006" s="129" t="str">
        <f t="shared" si="114"/>
        <v>Rien</v>
      </c>
      <c r="J1006" s="146">
        <v>0</v>
      </c>
      <c r="K1006" s="147">
        <v>0</v>
      </c>
      <c r="L1006" s="148">
        <v>0</v>
      </c>
      <c r="M1006" s="149">
        <v>0</v>
      </c>
      <c r="N1006" s="150">
        <v>0</v>
      </c>
      <c r="O1006" s="130">
        <v>0</v>
      </c>
      <c r="P1006" s="130">
        <v>0</v>
      </c>
      <c r="Q1006" s="130">
        <v>0</v>
      </c>
      <c r="R1006" s="130">
        <v>0</v>
      </c>
      <c r="S1006" s="130">
        <v>0</v>
      </c>
      <c r="T1006" s="130">
        <v>0</v>
      </c>
      <c r="U1006" s="130">
        <v>0</v>
      </c>
      <c r="V1006" s="524">
        <v>0</v>
      </c>
      <c r="W1006" s="130">
        <v>0</v>
      </c>
      <c r="X1006" s="130">
        <v>0</v>
      </c>
      <c r="Y1006" s="130">
        <v>0</v>
      </c>
      <c r="Z1006" s="130">
        <v>0</v>
      </c>
      <c r="AA1006" s="158" t="s">
        <v>2078</v>
      </c>
      <c r="AB1006" s="158"/>
      <c r="AC1006" s="158"/>
      <c r="AD1006" s="158"/>
      <c r="AE1006" s="158" t="b">
        <f>IF(AB1006="",TRUE,IF(IF(AC1006="",VLOOKUP(AB1006,Calculs!$A$19:$S$425,19,FALSE),VLOOKUP(AC1006,Calculs!$A$19:$S$425,19,FALSE))&gt;=AD1006,TRUE,FALSE))</f>
        <v>1</v>
      </c>
      <c r="AF1006" s="158"/>
      <c r="AG1006" s="158"/>
      <c r="AH1006" s="158"/>
      <c r="AI1006" s="158" t="b">
        <f>IF(AF1006="",TRUE,IF(IF(AG1006="",VLOOKUP(AF1006,Calculs!$A$19:$S$425,19,FALSE),VLOOKUP(AG1006,Calculs!$A$19:$S$425,19,FALSE))&gt;=AH1006,TRUE,FALSE))</f>
        <v>1</v>
      </c>
      <c r="AJ1006" s="158"/>
      <c r="AK1006" s="158"/>
      <c r="AL1006" s="158"/>
      <c r="AM1006" s="158" t="b">
        <f>IF(AJ1006="",TRUE,IF(IF(AK1006="",VLOOKUP(AJ1006,Calculs!$A$19:$S$425,19,FALSE),VLOOKUP(AK1006,Calculs!$A$19:$S$425,19,FALSE))&gt;=AL1006,TRUE,FALSE))</f>
        <v>1</v>
      </c>
      <c r="AN1006" s="158"/>
      <c r="AO1006" s="158"/>
      <c r="AP1006" s="158"/>
      <c r="AQ1006" s="158" t="b">
        <f>IF(AN1006="",TRUE,IF(IF(AO1006="",VLOOKUP(AN1006,Calculs!$A$19:$S$425,19,FALSE),VLOOKUP(AO1006,Calculs!$A$19:$S$425,19,FALSE))&gt;=AP1006,TRUE,FALSE))</f>
        <v>1</v>
      </c>
      <c r="AR1006" s="158"/>
      <c r="AS1006" s="158" t="b">
        <f>IF(AR1006="",TRUE,IF(VLOOKUP(AR1006,Calculs!$A$427:$G$738,7,FALSE)&gt;0,TRUE,FALSE))</f>
        <v>1</v>
      </c>
      <c r="AT1006" s="158"/>
      <c r="AU1006" s="158" t="b">
        <f>IF(AT1006="",TRUE,IF(VLOOKUP(AT1006,Calculs!$A$740:$G$912,7,FALSE)&gt;0,TRUE,FALSE))</f>
        <v>1</v>
      </c>
      <c r="AV1006" s="158" t="b">
        <f t="shared" si="108"/>
        <v>1</v>
      </c>
      <c r="AW1006" s="158" t="s">
        <v>2078</v>
      </c>
      <c r="AX1006" s="162" t="s">
        <v>5202</v>
      </c>
      <c r="AY1006" s="15">
        <v>171</v>
      </c>
      <c r="AZ1006" s="555" t="s">
        <v>8760</v>
      </c>
      <c r="BA1006" s="559">
        <f>IF(Verso!$B$10=Voies!$B1006,1,0)</f>
        <v>0</v>
      </c>
      <c r="BB1006" s="12">
        <f>IF(Verso!$B$11=Voies!$B1006,1,0)</f>
        <v>0</v>
      </c>
      <c r="BC1006" s="12">
        <f>IF(Verso!$B$12=Voies!$B1006,1,0)</f>
        <v>0</v>
      </c>
      <c r="BD1006" s="12">
        <f>IF(Verso!$B$13=Voies!$B1006,1,0)</f>
        <v>0</v>
      </c>
      <c r="BE1006" s="12">
        <f>IF(Verso!$B$14=Voies!$B1006,1,0)</f>
        <v>0</v>
      </c>
      <c r="BF1006" s="12">
        <f>IF(Verso!$B$15=Voies!$B1006,1,0)</f>
        <v>0</v>
      </c>
      <c r="BG1006" s="12">
        <f>IF(Verso!$B$16=Voies!$B1006,1,0)</f>
        <v>0</v>
      </c>
      <c r="BH1006" s="12">
        <f>IF(Verso!$B$17=Voies!$B1006,1,0)</f>
        <v>0</v>
      </c>
      <c r="BI1006" s="557">
        <f t="shared" si="109"/>
        <v>0</v>
      </c>
      <c r="BJ1006" s="196" t="str">
        <f t="shared" si="110"/>
        <v/>
      </c>
      <c r="BK1006" s="196" t="str">
        <f t="shared" si="111"/>
        <v/>
      </c>
      <c r="BL1006" s="295" t="str">
        <f t="shared" si="112"/>
        <v/>
      </c>
    </row>
    <row r="1007" spans="1:65" ht="47.25" customHeight="1" x14ac:dyDescent="0.25">
      <c r="A1007" s="162" t="str">
        <f>IF(AND(Réputation&gt;Voies!E1007-1,OR(C1007=TRUE,Calculs!$I$8&gt;0),Air&gt;Voies!J1007-1,Eau&gt;Voies!K1007-1,Feu&gt;Voies!L1007-1,Terre&gt;Voies!M1007-1,Vide&gt;Voies!N1007-1,Constitution&gt;Voies!O1007-1,Volonté&gt;Voies!P1007-1,Force&gt;Voies!Q1007-1,Perception&gt;Voies!R1007-1,Reflexes&gt;Voies!S1007-1,Agilité&gt;Voies!T1007-1,Intuition&gt;Voies!U1007-1,Intelligence&gt;Voies!V1007-1,Souillure&gt;Voies!W1007-1,Honneur&gt;X1007-1,Statut&gt;Y1007-1,Gloire&gt;Z1007-1,AV1007=TRUE),Voies!B1007,"")</f>
        <v/>
      </c>
      <c r="B1007" s="162" t="s">
        <v>2516</v>
      </c>
      <c r="C1007" s="162" t="b">
        <f>IF(Clan=Voies!D1007,TRUE,FALSE)</f>
        <v>0</v>
      </c>
      <c r="D1007" s="387" t="s">
        <v>33</v>
      </c>
      <c r="E1007" s="13">
        <v>5</v>
      </c>
      <c r="F1007" s="199">
        <v>5</v>
      </c>
      <c r="G1007" s="13" t="s">
        <v>2052</v>
      </c>
      <c r="H1007" s="162" t="s">
        <v>219</v>
      </c>
      <c r="I1007" s="129" t="str">
        <f t="shared" si="114"/>
        <v>Rien</v>
      </c>
      <c r="J1007" s="146">
        <v>0</v>
      </c>
      <c r="K1007" s="147">
        <v>0</v>
      </c>
      <c r="L1007" s="148">
        <v>0</v>
      </c>
      <c r="M1007" s="149">
        <v>0</v>
      </c>
      <c r="N1007" s="150">
        <v>0</v>
      </c>
      <c r="O1007" s="130">
        <v>0</v>
      </c>
      <c r="P1007" s="130">
        <v>0</v>
      </c>
      <c r="Q1007" s="130">
        <v>0</v>
      </c>
      <c r="R1007" s="130">
        <v>0</v>
      </c>
      <c r="S1007" s="130">
        <v>0</v>
      </c>
      <c r="T1007" s="130">
        <v>0</v>
      </c>
      <c r="U1007" s="130">
        <v>0</v>
      </c>
      <c r="V1007" s="524">
        <v>0</v>
      </c>
      <c r="W1007" s="130">
        <v>0</v>
      </c>
      <c r="X1007" s="130">
        <v>0</v>
      </c>
      <c r="Y1007" s="130">
        <v>0</v>
      </c>
      <c r="Z1007" s="130">
        <v>0</v>
      </c>
      <c r="AA1007" s="158" t="s">
        <v>2078</v>
      </c>
      <c r="AB1007" s="158"/>
      <c r="AC1007" s="158"/>
      <c r="AD1007" s="158"/>
      <c r="AE1007" s="158" t="b">
        <f>IF(AB1007="",TRUE,IF(IF(AC1007="",VLOOKUP(AB1007,Calculs!$A$19:$S$425,19,FALSE),VLOOKUP(AC1007,Calculs!$A$19:$S$425,19,FALSE))&gt;=AD1007,TRUE,FALSE))</f>
        <v>1</v>
      </c>
      <c r="AF1007" s="158"/>
      <c r="AG1007" s="158"/>
      <c r="AH1007" s="158"/>
      <c r="AI1007" s="158" t="b">
        <f>IF(AF1007="",TRUE,IF(IF(AG1007="",VLOOKUP(AF1007,Calculs!$A$19:$S$425,19,FALSE),VLOOKUP(AG1007,Calculs!$A$19:$S$425,19,FALSE))&gt;=AH1007,TRUE,FALSE))</f>
        <v>1</v>
      </c>
      <c r="AJ1007" s="158"/>
      <c r="AK1007" s="158"/>
      <c r="AL1007" s="158"/>
      <c r="AM1007" s="158" t="b">
        <f>IF(AJ1007="",TRUE,IF(IF(AK1007="",VLOOKUP(AJ1007,Calculs!$A$19:$S$425,19,FALSE),VLOOKUP(AK1007,Calculs!$A$19:$S$425,19,FALSE))&gt;=AL1007,TRUE,FALSE))</f>
        <v>1</v>
      </c>
      <c r="AN1007" s="158"/>
      <c r="AO1007" s="158"/>
      <c r="AP1007" s="158"/>
      <c r="AQ1007" s="158" t="b">
        <f>IF(AN1007="",TRUE,IF(IF(AO1007="",VLOOKUP(AN1007,Calculs!$A$19:$S$425,19,FALSE),VLOOKUP(AO1007,Calculs!$A$19:$S$425,19,FALSE))&gt;=AP1007,TRUE,FALSE))</f>
        <v>1</v>
      </c>
      <c r="AR1007" s="158"/>
      <c r="AS1007" s="158" t="b">
        <f>IF(AR1007="",TRUE,IF(VLOOKUP(AR1007,Calculs!$A$427:$G$738,7,FALSE)&gt;0,TRUE,FALSE))</f>
        <v>1</v>
      </c>
      <c r="AT1007" s="158"/>
      <c r="AU1007" s="158" t="b">
        <f>IF(AT1007="",TRUE,IF(VLOOKUP(AT1007,Calculs!$A$740:$G$912,7,FALSE)&gt;0,TRUE,FALSE))</f>
        <v>1</v>
      </c>
      <c r="AV1007" s="158" t="b">
        <f t="shared" si="108"/>
        <v>1</v>
      </c>
      <c r="AW1007" s="158" t="s">
        <v>2078</v>
      </c>
      <c r="AX1007" s="162" t="s">
        <v>3</v>
      </c>
      <c r="AY1007" s="15">
        <v>131</v>
      </c>
      <c r="AZ1007" s="555" t="s">
        <v>2529</v>
      </c>
      <c r="BA1007" s="559">
        <f>IF(Verso!$B$10=Voies!$B1007,1,0)</f>
        <v>0</v>
      </c>
      <c r="BB1007" s="12">
        <f>IF(Verso!$B$11=Voies!$B1007,1,0)</f>
        <v>0</v>
      </c>
      <c r="BC1007" s="12">
        <f>IF(Verso!$B$12=Voies!$B1007,1,0)</f>
        <v>0</v>
      </c>
      <c r="BD1007" s="12">
        <f>IF(Verso!$B$13=Voies!$B1007,1,0)</f>
        <v>0</v>
      </c>
      <c r="BE1007" s="12">
        <f>IF(Verso!$B$14=Voies!$B1007,1,0)</f>
        <v>0</v>
      </c>
      <c r="BF1007" s="12">
        <f>IF(Verso!$B$15=Voies!$B1007,1,0)</f>
        <v>0</v>
      </c>
      <c r="BG1007" s="12">
        <f>IF(Verso!$B$16=Voies!$B1007,1,0)</f>
        <v>0</v>
      </c>
      <c r="BH1007" s="12">
        <f>IF(Verso!$B$17=Voies!$B1007,1,0)</f>
        <v>0</v>
      </c>
      <c r="BI1007" s="557">
        <f t="shared" si="109"/>
        <v>0</v>
      </c>
      <c r="BJ1007" s="196" t="str">
        <f t="shared" si="110"/>
        <v/>
      </c>
      <c r="BK1007" s="196" t="str">
        <f t="shared" si="111"/>
        <v/>
      </c>
      <c r="BL1007" s="295" t="str">
        <f t="shared" si="112"/>
        <v/>
      </c>
    </row>
    <row r="1008" spans="1:65" ht="47.25" customHeight="1" x14ac:dyDescent="0.25">
      <c r="A1008" s="162" t="str">
        <f>IF(AND(Réputation&gt;Voies!E1008-1,OR(C1008=TRUE,Calculs!$I$8&gt;0),Air&gt;Voies!J1008-1,Eau&gt;Voies!K1008-1,Feu&gt;Voies!L1008-1,Terre&gt;Voies!M1008-1,Vide&gt;Voies!N1008-1,Constitution&gt;Voies!O1008-1,Volonté&gt;Voies!P1008-1,Force&gt;Voies!Q1008-1,Perception&gt;Voies!R1008-1,Reflexes&gt;Voies!S1008-1,Agilité&gt;Voies!T1008-1,Intuition&gt;Voies!U1008-1,Intelligence&gt;Voies!V1008-1,Souillure&gt;Voies!W1008-1,Honneur&gt;X1008-1,Statut&gt;Y1008-1,Gloire&gt;Z1008-1,AV1008=TRUE),Voies!B1008,"")</f>
        <v/>
      </c>
      <c r="B1008" s="162" t="s">
        <v>7852</v>
      </c>
      <c r="C1008" s="162" t="b">
        <f>IF(Clan=Voies!D1008,TRUE,FALSE)</f>
        <v>0</v>
      </c>
      <c r="D1008" s="387" t="s">
        <v>33</v>
      </c>
      <c r="E1008" s="13">
        <v>5</v>
      </c>
      <c r="F1008" s="199">
        <v>5</v>
      </c>
      <c r="G1008" s="199" t="s">
        <v>2052</v>
      </c>
      <c r="H1008" s="162" t="s">
        <v>7801</v>
      </c>
      <c r="I1008" s="129" t="str">
        <f t="shared" si="114"/>
        <v>Rien</v>
      </c>
      <c r="J1008" s="146">
        <v>0</v>
      </c>
      <c r="K1008" s="147">
        <v>0</v>
      </c>
      <c r="L1008" s="148">
        <v>0</v>
      </c>
      <c r="M1008" s="149">
        <v>0</v>
      </c>
      <c r="N1008" s="150">
        <v>0</v>
      </c>
      <c r="O1008" s="130">
        <v>0</v>
      </c>
      <c r="P1008" s="130">
        <v>0</v>
      </c>
      <c r="Q1008" s="130">
        <v>0</v>
      </c>
      <c r="R1008" s="130">
        <v>0</v>
      </c>
      <c r="S1008" s="130">
        <v>0</v>
      </c>
      <c r="T1008" s="130">
        <v>0</v>
      </c>
      <c r="U1008" s="130">
        <v>0</v>
      </c>
      <c r="V1008" s="524">
        <v>0</v>
      </c>
      <c r="W1008" s="130">
        <v>0</v>
      </c>
      <c r="X1008" s="130">
        <v>0</v>
      </c>
      <c r="Y1008" s="130">
        <v>0</v>
      </c>
      <c r="Z1008" s="130">
        <v>0</v>
      </c>
      <c r="AA1008" s="158" t="s">
        <v>2078</v>
      </c>
      <c r="AB1008" s="158"/>
      <c r="AC1008" s="158"/>
      <c r="AD1008" s="158"/>
      <c r="AE1008" s="158" t="b">
        <f>IF(AB1008="",TRUE,IF(IF(AC1008="",VLOOKUP(AB1008,Calculs!$A$19:$S$425,19,FALSE),VLOOKUP(AC1008,Calculs!$A$19:$S$425,19,FALSE))&gt;=AD1008,TRUE,FALSE))</f>
        <v>1</v>
      </c>
      <c r="AF1008" s="158"/>
      <c r="AG1008" s="158"/>
      <c r="AH1008" s="158"/>
      <c r="AI1008" s="158" t="b">
        <f>IF(AF1008="",TRUE,IF(IF(AG1008="",VLOOKUP(AF1008,Calculs!$A$19:$S$425,19,FALSE),VLOOKUP(AG1008,Calculs!$A$19:$S$425,19,FALSE))&gt;=AH1008,TRUE,FALSE))</f>
        <v>1</v>
      </c>
      <c r="AJ1008" s="158"/>
      <c r="AK1008" s="158"/>
      <c r="AL1008" s="158"/>
      <c r="AM1008" s="158" t="b">
        <f>IF(AJ1008="",TRUE,IF(IF(AK1008="",VLOOKUP(AJ1008,Calculs!$A$19:$S$425,19,FALSE),VLOOKUP(AK1008,Calculs!$A$19:$S$425,19,FALSE))&gt;=AL1008,TRUE,FALSE))</f>
        <v>1</v>
      </c>
      <c r="AN1008" s="158"/>
      <c r="AO1008" s="158"/>
      <c r="AP1008" s="158"/>
      <c r="AQ1008" s="158" t="b">
        <f>IF(AN1008="",TRUE,IF(IF(AO1008="",VLOOKUP(AN1008,Calculs!$A$19:$S$425,19,FALSE),VLOOKUP(AO1008,Calculs!$A$19:$S$425,19,FALSE))&gt;=AP1008,TRUE,FALSE))</f>
        <v>1</v>
      </c>
      <c r="AR1008" s="158"/>
      <c r="AS1008" s="158" t="b">
        <f>IF(AR1008="",TRUE,IF(VLOOKUP(AR1008,Calculs!$A$427:$G$738,7,FALSE)&gt;0,TRUE,FALSE))</f>
        <v>1</v>
      </c>
      <c r="AT1008" s="158"/>
      <c r="AU1008" s="158" t="b">
        <f>IF(AT1008="",TRUE,IF(VLOOKUP(AT1008,Calculs!$A$740:$G$912,7,FALSE)&gt;0,TRUE,FALSE))</f>
        <v>1</v>
      </c>
      <c r="AV1008" s="158" t="b">
        <f t="shared" si="108"/>
        <v>1</v>
      </c>
      <c r="AW1008" s="158" t="s">
        <v>2078</v>
      </c>
      <c r="AX1008" s="162" t="s">
        <v>7226</v>
      </c>
      <c r="AY1008" s="15">
        <v>70</v>
      </c>
      <c r="AZ1008" s="555" t="str">
        <f>CONCATENATE("Vous pouvez ignorer toutes vos pénalités dues aux blessures pendant ",Terre," rounds tant que vous le faites pour maintenir votre maitre en vie.")</f>
        <v>Vous pouvez ignorer toutes vos pénalités dues aux blessures pendant 2 rounds tant que vous le faites pour maintenir votre maitre en vie.</v>
      </c>
      <c r="BA1008" s="559">
        <f>IF(Verso!$B$10=Voies!$B1008,1,0)</f>
        <v>0</v>
      </c>
      <c r="BB1008" s="12">
        <f>IF(Verso!$B$11=Voies!$B1008,1,0)</f>
        <v>0</v>
      </c>
      <c r="BC1008" s="12">
        <f>IF(Verso!$B$12=Voies!$B1008,1,0)</f>
        <v>0</v>
      </c>
      <c r="BD1008" s="12">
        <f>IF(Verso!$B$13=Voies!$B1008,1,0)</f>
        <v>0</v>
      </c>
      <c r="BE1008" s="12">
        <f>IF(Verso!$B$14=Voies!$B1008,1,0)</f>
        <v>0</v>
      </c>
      <c r="BF1008" s="12">
        <f>IF(Verso!$B$15=Voies!$B1008,1,0)</f>
        <v>0</v>
      </c>
      <c r="BG1008" s="12">
        <f>IF(Verso!$B$16=Voies!$B1008,1,0)</f>
        <v>0</v>
      </c>
      <c r="BH1008" s="12">
        <f>IF(Verso!$B$17=Voies!$B1008,1,0)</f>
        <v>0</v>
      </c>
      <c r="BI1008" s="557">
        <f t="shared" si="109"/>
        <v>0</v>
      </c>
      <c r="BJ1008" s="196" t="str">
        <f t="shared" si="110"/>
        <v/>
      </c>
      <c r="BK1008" s="196" t="str">
        <f t="shared" si="111"/>
        <v/>
      </c>
      <c r="BL1008" s="295" t="str">
        <f t="shared" si="112"/>
        <v/>
      </c>
    </row>
    <row r="1009" spans="1:65" s="196" customFormat="1" ht="47.25" customHeight="1" x14ac:dyDescent="0.25">
      <c r="A1009" s="162" t="str">
        <f>IF(AND(Réputation&gt;Voies!E1009-1,OR(C1009=TRUE,Calculs!$I$8&gt;0),Air&gt;Voies!J1009-1,Eau&gt;Voies!K1009-1,Feu&gt;Voies!L1009-1,Terre&gt;Voies!M1009-1,Vide&gt;Voies!N1009-1,Constitution&gt;Voies!O1009-1,Volonté&gt;Voies!P1009-1,Force&gt;Voies!Q1009-1,Perception&gt;Voies!R1009-1,Reflexes&gt;Voies!S1009-1,Agilité&gt;Voies!T1009-1,Intuition&gt;Voies!U1009-1,Intelligence&gt;Voies!V1009-1,Souillure&gt;Voies!W1009-1,Honneur&gt;X1009-1,Statut&gt;Y1009-1,Gloire&gt;Z1009-1,AV1009=TRUE),Voies!B1009,"")</f>
        <v/>
      </c>
      <c r="B1009" s="162" t="s">
        <v>8401</v>
      </c>
      <c r="C1009" s="162" t="b">
        <f>IF(Clan=Voies!D1009,TRUE,FALSE)</f>
        <v>0</v>
      </c>
      <c r="D1009" s="387" t="s">
        <v>33</v>
      </c>
      <c r="E1009" s="199">
        <v>5</v>
      </c>
      <c r="F1009" s="199">
        <v>5</v>
      </c>
      <c r="G1009" s="199" t="s">
        <v>2052</v>
      </c>
      <c r="H1009" s="162" t="s">
        <v>8392</v>
      </c>
      <c r="I1009" s="129" t="str">
        <f t="shared" si="114"/>
        <v>Rien</v>
      </c>
      <c r="J1009" s="146">
        <v>0</v>
      </c>
      <c r="K1009" s="147">
        <v>0</v>
      </c>
      <c r="L1009" s="148">
        <v>0</v>
      </c>
      <c r="M1009" s="149">
        <v>0</v>
      </c>
      <c r="N1009" s="150">
        <v>0</v>
      </c>
      <c r="O1009" s="130">
        <v>0</v>
      </c>
      <c r="P1009" s="130">
        <v>0</v>
      </c>
      <c r="Q1009" s="130">
        <v>0</v>
      </c>
      <c r="R1009" s="130">
        <v>0</v>
      </c>
      <c r="S1009" s="130">
        <v>0</v>
      </c>
      <c r="T1009" s="130">
        <v>0</v>
      </c>
      <c r="U1009" s="130">
        <v>0</v>
      </c>
      <c r="V1009" s="524">
        <v>0</v>
      </c>
      <c r="W1009" s="130">
        <v>0</v>
      </c>
      <c r="X1009" s="130">
        <v>0</v>
      </c>
      <c r="Y1009" s="130">
        <v>0</v>
      </c>
      <c r="Z1009" s="130">
        <v>0</v>
      </c>
      <c r="AA1009" s="158" t="s">
        <v>2078</v>
      </c>
      <c r="AB1009" s="158"/>
      <c r="AC1009" s="158"/>
      <c r="AD1009" s="158"/>
      <c r="AE1009" s="158" t="b">
        <f>IF(AB1009="",TRUE,IF(IF(AC1009="",VLOOKUP(AB1009,Calculs!$A$19:$S$425,19,FALSE),VLOOKUP(AC1009,Calculs!$A$19:$S$425,19,FALSE))&gt;=AD1009,TRUE,FALSE))</f>
        <v>1</v>
      </c>
      <c r="AF1009" s="158"/>
      <c r="AG1009" s="158"/>
      <c r="AH1009" s="158"/>
      <c r="AI1009" s="158" t="b">
        <f>IF(AF1009="",TRUE,IF(IF(AG1009="",VLOOKUP(AF1009,Calculs!$A$19:$S$425,19,FALSE),VLOOKUP(AG1009,Calculs!$A$19:$S$425,19,FALSE))&gt;=AH1009,TRUE,FALSE))</f>
        <v>1</v>
      </c>
      <c r="AJ1009" s="158"/>
      <c r="AK1009" s="158"/>
      <c r="AL1009" s="158"/>
      <c r="AM1009" s="158" t="b">
        <f>IF(AJ1009="",TRUE,IF(IF(AK1009="",VLOOKUP(AJ1009,Calculs!$A$19:$S$425,19,FALSE),VLOOKUP(AK1009,Calculs!$A$19:$S$425,19,FALSE))&gt;=AL1009,TRUE,FALSE))</f>
        <v>1</v>
      </c>
      <c r="AN1009" s="158"/>
      <c r="AO1009" s="158"/>
      <c r="AP1009" s="158"/>
      <c r="AQ1009" s="158" t="b">
        <f>IF(AN1009="",TRUE,IF(IF(AO1009="",VLOOKUP(AN1009,Calculs!$A$19:$S$425,19,FALSE),VLOOKUP(AO1009,Calculs!$A$19:$S$425,19,FALSE))&gt;=AP1009,TRUE,FALSE))</f>
        <v>1</v>
      </c>
      <c r="AR1009" s="158"/>
      <c r="AS1009" s="158" t="b">
        <f>IF(AR1009="",TRUE,IF(VLOOKUP(AR1009,Calculs!$A$427:$G$738,7,FALSE)&gt;0,TRUE,FALSE))</f>
        <v>1</v>
      </c>
      <c r="AT1009" s="158"/>
      <c r="AU1009" s="158" t="b">
        <f>IF(AT1009="",TRUE,IF(VLOOKUP(AT1009,Calculs!$A$740:$G$912,7,FALSE)&gt;0,TRUE,FALSE))</f>
        <v>1</v>
      </c>
      <c r="AV1009" s="158" t="b">
        <f t="shared" si="108"/>
        <v>1</v>
      </c>
      <c r="AW1009" s="158" t="s">
        <v>2078</v>
      </c>
      <c r="AX1009" s="162" t="s">
        <v>7759</v>
      </c>
      <c r="AY1009" s="15">
        <v>18</v>
      </c>
      <c r="AZ1009" s="555" t="s">
        <v>8761</v>
      </c>
      <c r="BA1009" s="559">
        <f>IF(Verso!$B$10=Voies!$B1009,1,0)</f>
        <v>0</v>
      </c>
      <c r="BB1009" s="12">
        <f>IF(Verso!$B$11=Voies!$B1009,1,0)</f>
        <v>0</v>
      </c>
      <c r="BC1009" s="12">
        <f>IF(Verso!$B$12=Voies!$B1009,1,0)</f>
        <v>0</v>
      </c>
      <c r="BD1009" s="12">
        <f>IF(Verso!$B$13=Voies!$B1009,1,0)</f>
        <v>0</v>
      </c>
      <c r="BE1009" s="12">
        <f>IF(Verso!$B$14=Voies!$B1009,1,0)</f>
        <v>0</v>
      </c>
      <c r="BF1009" s="12">
        <f>IF(Verso!$B$15=Voies!$B1009,1,0)</f>
        <v>0</v>
      </c>
      <c r="BG1009" s="12">
        <f>IF(Verso!$B$16=Voies!$B1009,1,0)</f>
        <v>0</v>
      </c>
      <c r="BH1009" s="12">
        <f>IF(Verso!$B$17=Voies!$B1009,1,0)</f>
        <v>0</v>
      </c>
      <c r="BI1009" s="557">
        <f t="shared" si="109"/>
        <v>0</v>
      </c>
      <c r="BJ1009" s="196" t="str">
        <f t="shared" si="110"/>
        <v/>
      </c>
      <c r="BK1009" s="196" t="str">
        <f t="shared" si="111"/>
        <v/>
      </c>
      <c r="BL1009" s="295" t="str">
        <f t="shared" si="112"/>
        <v/>
      </c>
      <c r="BM1009" s="91"/>
    </row>
    <row r="1010" spans="1:65" ht="47.25" customHeight="1" x14ac:dyDescent="0.25">
      <c r="A1010" s="162" t="str">
        <f>IF(AND(Réputation&gt;Voies!E1010-1,OR(C1010=TRUE,Calculs!$I$8&gt;0),Air&gt;Voies!J1010-1,Eau&gt;Voies!K1010-1,Feu&gt;Voies!L1010-1,Terre&gt;Voies!M1010-1,Vide&gt;Voies!N1010-1,Constitution&gt;Voies!O1010-1,Volonté&gt;Voies!P1010-1,Force&gt;Voies!Q1010-1,Perception&gt;Voies!R1010-1,Reflexes&gt;Voies!S1010-1,Agilité&gt;Voies!T1010-1,Intuition&gt;Voies!U1010-1,Intelligence&gt;Voies!V1010-1,Souillure&gt;Voies!W1010-1,Honneur&gt;X1010-1,Statut&gt;Y1010-1,Gloire&gt;Z1010-1,AV1010=TRUE),Voies!B1010,"")</f>
        <v/>
      </c>
      <c r="B1010" s="162" t="s">
        <v>6113</v>
      </c>
      <c r="C1010" s="162" t="b">
        <f>IF(Clan=Voies!D1010,TRUE,FALSE)</f>
        <v>0</v>
      </c>
      <c r="D1010" s="387" t="s">
        <v>33</v>
      </c>
      <c r="E1010" s="13">
        <v>5</v>
      </c>
      <c r="F1010" s="199">
        <v>5</v>
      </c>
      <c r="G1010" s="199" t="s">
        <v>2060</v>
      </c>
      <c r="H1010" s="162" t="s">
        <v>6107</v>
      </c>
      <c r="I1010" s="129" t="str">
        <f t="shared" si="114"/>
        <v>Rien</v>
      </c>
      <c r="J1010" s="146">
        <v>0</v>
      </c>
      <c r="K1010" s="147">
        <v>0</v>
      </c>
      <c r="L1010" s="148">
        <v>0</v>
      </c>
      <c r="M1010" s="149">
        <v>0</v>
      </c>
      <c r="N1010" s="150">
        <v>0</v>
      </c>
      <c r="O1010" s="130">
        <v>0</v>
      </c>
      <c r="P1010" s="130">
        <v>0</v>
      </c>
      <c r="Q1010" s="130">
        <v>0</v>
      </c>
      <c r="R1010" s="130">
        <v>0</v>
      </c>
      <c r="S1010" s="130">
        <v>0</v>
      </c>
      <c r="T1010" s="130">
        <v>0</v>
      </c>
      <c r="U1010" s="130">
        <v>0</v>
      </c>
      <c r="V1010" s="524">
        <v>0</v>
      </c>
      <c r="W1010" s="130">
        <v>0</v>
      </c>
      <c r="X1010" s="130">
        <v>0</v>
      </c>
      <c r="Y1010" s="130">
        <v>0</v>
      </c>
      <c r="Z1010" s="130">
        <v>0</v>
      </c>
      <c r="AA1010" s="158" t="s">
        <v>2078</v>
      </c>
      <c r="AB1010" s="158"/>
      <c r="AC1010" s="158"/>
      <c r="AD1010" s="158"/>
      <c r="AE1010" s="158" t="b">
        <f>IF(AB1010="",TRUE,IF(IF(AC1010="",VLOOKUP(AB1010,Calculs!$A$19:$S$425,19,FALSE),VLOOKUP(AC1010,Calculs!$A$19:$S$425,19,FALSE))&gt;=AD1010,TRUE,FALSE))</f>
        <v>1</v>
      </c>
      <c r="AF1010" s="158"/>
      <c r="AG1010" s="158"/>
      <c r="AH1010" s="158"/>
      <c r="AI1010" s="158" t="b">
        <f>IF(AF1010="",TRUE,IF(IF(AG1010="",VLOOKUP(AF1010,Calculs!$A$19:$S$425,19,FALSE),VLOOKUP(AG1010,Calculs!$A$19:$S$425,19,FALSE))&gt;=AH1010,TRUE,FALSE))</f>
        <v>1</v>
      </c>
      <c r="AJ1010" s="158"/>
      <c r="AK1010" s="158"/>
      <c r="AL1010" s="158"/>
      <c r="AM1010" s="158" t="b">
        <f>IF(AJ1010="",TRUE,IF(IF(AK1010="",VLOOKUP(AJ1010,Calculs!$A$19:$S$425,19,FALSE),VLOOKUP(AK1010,Calculs!$A$19:$S$425,19,FALSE))&gt;=AL1010,TRUE,FALSE))</f>
        <v>1</v>
      </c>
      <c r="AN1010" s="158"/>
      <c r="AO1010" s="158"/>
      <c r="AP1010" s="158"/>
      <c r="AQ1010" s="158" t="b">
        <f>IF(AN1010="",TRUE,IF(IF(AO1010="",VLOOKUP(AN1010,Calculs!$A$19:$S$425,19,FALSE),VLOOKUP(AO1010,Calculs!$A$19:$S$425,19,FALSE))&gt;=AP1010,TRUE,FALSE))</f>
        <v>1</v>
      </c>
      <c r="AR1010" s="158"/>
      <c r="AS1010" s="158" t="b">
        <f>IF(AR1010="",TRUE,IF(VLOOKUP(AR1010,Calculs!$A$427:$G$738,7,FALSE)&gt;0,TRUE,FALSE))</f>
        <v>1</v>
      </c>
      <c r="AT1010" s="158"/>
      <c r="AU1010" s="158" t="b">
        <f>IF(AT1010="",TRUE,IF(VLOOKUP(AT1010,Calculs!$A$740:$G$912,7,FALSE)&gt;0,TRUE,FALSE))</f>
        <v>1</v>
      </c>
      <c r="AV1010" s="158" t="b">
        <f t="shared" si="108"/>
        <v>1</v>
      </c>
      <c r="AW1010" s="158" t="s">
        <v>2078</v>
      </c>
      <c r="AX1010" s="162" t="s">
        <v>6061</v>
      </c>
      <c r="AY1010" s="15">
        <v>258</v>
      </c>
      <c r="AZ1010" s="555" t="str">
        <f>CONCATENATE("Vous obtenez une 3ème personnalité (Clans Majeurs p.228) . Si vous attaquez un adversaire qui ne soupçonne aucune manace venant de vous, le nombre d'A n'est plus limité à ",Vide)</f>
        <v>Vous obtenez une 3ème personnalité (Clans Majeurs p.228) . Si vous attaquez un adversaire qui ne soupçonne aucune manace venant de vous, le nombre d'A n'est plus limité à 2</v>
      </c>
      <c r="BA1010" s="559">
        <f>IF(Verso!$B$10=Voies!$B1010,1,0)</f>
        <v>0</v>
      </c>
      <c r="BB1010" s="12">
        <f>IF(Verso!$B$11=Voies!$B1010,1,0)</f>
        <v>0</v>
      </c>
      <c r="BC1010" s="12">
        <f>IF(Verso!$B$12=Voies!$B1010,1,0)</f>
        <v>0</v>
      </c>
      <c r="BD1010" s="12">
        <f>IF(Verso!$B$13=Voies!$B1010,1,0)</f>
        <v>0</v>
      </c>
      <c r="BE1010" s="12">
        <f>IF(Verso!$B$14=Voies!$B1010,1,0)</f>
        <v>0</v>
      </c>
      <c r="BF1010" s="12">
        <f>IF(Verso!$B$15=Voies!$B1010,1,0)</f>
        <v>0</v>
      </c>
      <c r="BG1010" s="12">
        <f>IF(Verso!$B$16=Voies!$B1010,1,0)</f>
        <v>0</v>
      </c>
      <c r="BH1010" s="12">
        <f>IF(Verso!$B$17=Voies!$B1010,1,0)</f>
        <v>0</v>
      </c>
      <c r="BI1010" s="557">
        <f t="shared" si="109"/>
        <v>0</v>
      </c>
      <c r="BJ1010" s="196" t="str">
        <f t="shared" si="110"/>
        <v/>
      </c>
      <c r="BK1010" s="196" t="str">
        <f t="shared" si="111"/>
        <v/>
      </c>
      <c r="BL1010" s="295" t="str">
        <f t="shared" si="112"/>
        <v/>
      </c>
    </row>
    <row r="1011" spans="1:65" ht="47.25" customHeight="1" x14ac:dyDescent="0.25">
      <c r="A1011" s="162" t="str">
        <f>IF(AND(Réputation&gt;Voies!E1011-1,OR(C1011=TRUE,Calculs!$I$8&gt;0),Air&gt;Voies!J1011-1,Eau&gt;Voies!K1011-1,Feu&gt;Voies!L1011-1,Terre&gt;Voies!M1011-1,Vide&gt;Voies!N1011-1,Constitution&gt;Voies!O1011-1,Volonté&gt;Voies!P1011-1,Force&gt;Voies!Q1011-1,Perception&gt;Voies!R1011-1,Reflexes&gt;Voies!S1011-1,Agilité&gt;Voies!T1011-1,Intuition&gt;Voies!U1011-1,Intelligence&gt;Voies!V1011-1,Souillure&gt;Voies!W1011-1,Honneur&gt;X1011-1,Statut&gt;Y1011-1,Gloire&gt;Z1011-1,AV1011=TRUE),Voies!B1011,"")</f>
        <v/>
      </c>
      <c r="B1011" s="162" t="s">
        <v>2521</v>
      </c>
      <c r="C1011" s="162" t="b">
        <f>IF(Clan=Voies!D1011,TRUE,FALSE)</f>
        <v>0</v>
      </c>
      <c r="D1011" s="387" t="s">
        <v>33</v>
      </c>
      <c r="E1011" s="13">
        <v>5</v>
      </c>
      <c r="F1011" s="199">
        <v>5</v>
      </c>
      <c r="G1011" s="199" t="s">
        <v>2060</v>
      </c>
      <c r="H1011" s="162" t="s">
        <v>222</v>
      </c>
      <c r="I1011" s="129" t="str">
        <f t="shared" si="114"/>
        <v>Rien</v>
      </c>
      <c r="J1011" s="146">
        <v>0</v>
      </c>
      <c r="K1011" s="147">
        <v>0</v>
      </c>
      <c r="L1011" s="148">
        <v>0</v>
      </c>
      <c r="M1011" s="149">
        <v>0</v>
      </c>
      <c r="N1011" s="150">
        <v>0</v>
      </c>
      <c r="O1011" s="130">
        <v>0</v>
      </c>
      <c r="P1011" s="130">
        <v>0</v>
      </c>
      <c r="Q1011" s="130">
        <v>0</v>
      </c>
      <c r="R1011" s="130">
        <v>0</v>
      </c>
      <c r="S1011" s="130">
        <v>0</v>
      </c>
      <c r="T1011" s="130">
        <v>0</v>
      </c>
      <c r="U1011" s="130">
        <v>0</v>
      </c>
      <c r="V1011" s="524">
        <v>0</v>
      </c>
      <c r="W1011" s="130">
        <v>0</v>
      </c>
      <c r="X1011" s="130">
        <v>0</v>
      </c>
      <c r="Y1011" s="130">
        <v>0</v>
      </c>
      <c r="Z1011" s="130">
        <v>0</v>
      </c>
      <c r="AA1011" s="158" t="s">
        <v>2078</v>
      </c>
      <c r="AB1011" s="158"/>
      <c r="AC1011" s="158"/>
      <c r="AD1011" s="158"/>
      <c r="AE1011" s="158" t="b">
        <f>IF(AB1011="",TRUE,IF(IF(AC1011="",VLOOKUP(AB1011,Calculs!$A$19:$S$425,19,FALSE),VLOOKUP(AC1011,Calculs!$A$19:$S$425,19,FALSE))&gt;=AD1011,TRUE,FALSE))</f>
        <v>1</v>
      </c>
      <c r="AF1011" s="158"/>
      <c r="AG1011" s="158"/>
      <c r="AH1011" s="158"/>
      <c r="AI1011" s="158" t="b">
        <f>IF(AF1011="",TRUE,IF(IF(AG1011="",VLOOKUP(AF1011,Calculs!$A$19:$S$425,19,FALSE),VLOOKUP(AG1011,Calculs!$A$19:$S$425,19,FALSE))&gt;=AH1011,TRUE,FALSE))</f>
        <v>1</v>
      </c>
      <c r="AJ1011" s="158"/>
      <c r="AK1011" s="158"/>
      <c r="AL1011" s="158"/>
      <c r="AM1011" s="158" t="b">
        <f>IF(AJ1011="",TRUE,IF(IF(AK1011="",VLOOKUP(AJ1011,Calculs!$A$19:$S$425,19,FALSE),VLOOKUP(AK1011,Calculs!$A$19:$S$425,19,FALSE))&gt;=AL1011,TRUE,FALSE))</f>
        <v>1</v>
      </c>
      <c r="AN1011" s="158"/>
      <c r="AO1011" s="158"/>
      <c r="AP1011" s="158"/>
      <c r="AQ1011" s="158" t="b">
        <f>IF(AN1011="",TRUE,IF(IF(AO1011="",VLOOKUP(AN1011,Calculs!$A$19:$S$425,19,FALSE),VLOOKUP(AO1011,Calculs!$A$19:$S$425,19,FALSE))&gt;=AP1011,TRUE,FALSE))</f>
        <v>1</v>
      </c>
      <c r="AR1011" s="158"/>
      <c r="AS1011" s="158" t="b">
        <f>IF(AR1011="",TRUE,IF(VLOOKUP(AR1011,Calculs!$A$427:$G$738,7,FALSE)&gt;0,TRUE,FALSE))</f>
        <v>1</v>
      </c>
      <c r="AT1011" s="158"/>
      <c r="AU1011" s="158" t="b">
        <f>IF(AT1011="",TRUE,IF(VLOOKUP(AT1011,Calculs!$A$740:$G$912,7,FALSE)&gt;0,TRUE,FALSE))</f>
        <v>1</v>
      </c>
      <c r="AV1011" s="158" t="b">
        <f t="shared" si="108"/>
        <v>1</v>
      </c>
      <c r="AW1011" s="158" t="s">
        <v>2078</v>
      </c>
      <c r="AX1011" s="162" t="s">
        <v>3</v>
      </c>
      <c r="AY1011" s="15">
        <v>132</v>
      </c>
      <c r="AZ1011" s="555" t="s">
        <v>2531</v>
      </c>
      <c r="BA1011" s="559">
        <f>IF(Verso!$B$10=Voies!$B1011,1,0)</f>
        <v>0</v>
      </c>
      <c r="BB1011" s="12">
        <f>IF(Verso!$B$11=Voies!$B1011,1,0)</f>
        <v>0</v>
      </c>
      <c r="BC1011" s="12">
        <f>IF(Verso!$B$12=Voies!$B1011,1,0)</f>
        <v>0</v>
      </c>
      <c r="BD1011" s="12">
        <f>IF(Verso!$B$13=Voies!$B1011,1,0)</f>
        <v>0</v>
      </c>
      <c r="BE1011" s="12">
        <f>IF(Verso!$B$14=Voies!$B1011,1,0)</f>
        <v>0</v>
      </c>
      <c r="BF1011" s="12">
        <f>IF(Verso!$B$15=Voies!$B1011,1,0)</f>
        <v>0</v>
      </c>
      <c r="BG1011" s="12">
        <f>IF(Verso!$B$16=Voies!$B1011,1,0)</f>
        <v>0</v>
      </c>
      <c r="BH1011" s="12">
        <f>IF(Verso!$B$17=Voies!$B1011,1,0)</f>
        <v>0</v>
      </c>
      <c r="BI1011" s="557">
        <f t="shared" si="109"/>
        <v>0</v>
      </c>
      <c r="BJ1011" s="196" t="str">
        <f t="shared" si="110"/>
        <v/>
      </c>
      <c r="BK1011" s="196" t="str">
        <f t="shared" si="111"/>
        <v/>
      </c>
      <c r="BL1011" s="295" t="str">
        <f t="shared" si="112"/>
        <v/>
      </c>
    </row>
    <row r="1012" spans="1:65" ht="47.25" customHeight="1" x14ac:dyDescent="0.25">
      <c r="A1012" s="162" t="str">
        <f>IF(AND(Réputation&gt;Voies!E1012-1,OR(C1012=TRUE,Calculs!$I$8&gt;0),Air&gt;Voies!J1012-1,Eau&gt;Voies!K1012-1,Feu&gt;Voies!L1012-1,Terre&gt;Voies!M1012-1,Vide&gt;Voies!N1012-1,Constitution&gt;Voies!O1012-1,Volonté&gt;Voies!P1012-1,Force&gt;Voies!Q1012-1,Perception&gt;Voies!R1012-1,Reflexes&gt;Voies!S1012-1,Agilité&gt;Voies!T1012-1,Intuition&gt;Voies!U1012-1,Intelligence&gt;Voies!V1012-1,Souillure&gt;Voies!W1012-1,Honneur&gt;X1012-1,Statut&gt;Y1012-1,Gloire&gt;Z1012-1,AV1012=TRUE),Voies!B1012,"")</f>
        <v/>
      </c>
      <c r="B1012" s="162" t="s">
        <v>6204</v>
      </c>
      <c r="C1012" s="162" t="b">
        <f>IF(Clan=Voies!D1012,TRUE,FALSE)</f>
        <v>0</v>
      </c>
      <c r="D1012" s="387" t="s">
        <v>33</v>
      </c>
      <c r="E1012" s="13">
        <v>5</v>
      </c>
      <c r="F1012" s="199">
        <v>5</v>
      </c>
      <c r="G1012" s="199" t="s">
        <v>2048</v>
      </c>
      <c r="H1012" s="162" t="s">
        <v>6205</v>
      </c>
      <c r="I1012" s="129" t="s">
        <v>6206</v>
      </c>
      <c r="J1012" s="146">
        <v>0</v>
      </c>
      <c r="K1012" s="147">
        <v>0</v>
      </c>
      <c r="L1012" s="148">
        <v>0</v>
      </c>
      <c r="M1012" s="149">
        <v>0</v>
      </c>
      <c r="N1012" s="150">
        <v>4</v>
      </c>
      <c r="O1012" s="130">
        <v>0</v>
      </c>
      <c r="P1012" s="130">
        <v>0</v>
      </c>
      <c r="Q1012" s="130">
        <v>0</v>
      </c>
      <c r="R1012" s="130">
        <v>0</v>
      </c>
      <c r="S1012" s="130">
        <v>0</v>
      </c>
      <c r="T1012" s="130">
        <v>0</v>
      </c>
      <c r="U1012" s="130">
        <v>0</v>
      </c>
      <c r="V1012" s="524">
        <v>0</v>
      </c>
      <c r="W1012" s="130">
        <v>0</v>
      </c>
      <c r="X1012" s="130">
        <v>0</v>
      </c>
      <c r="Y1012" s="130">
        <v>0</v>
      </c>
      <c r="Z1012" s="130">
        <v>0</v>
      </c>
      <c r="AA1012" s="158" t="s">
        <v>6475</v>
      </c>
      <c r="AB1012" s="158" t="s">
        <v>1260</v>
      </c>
      <c r="AC1012" s="158"/>
      <c r="AD1012" s="158">
        <v>5</v>
      </c>
      <c r="AE1012" s="158" t="b">
        <f>IF(AB1012="",TRUE,IF(IF(AC1012="",VLOOKUP(AB1012,Calculs!$A$19:$S$425,19,FALSE),VLOOKUP(AC1012,Calculs!$A$19:$S$425,19,FALSE))&gt;=AD1012,TRUE,FALSE))</f>
        <v>0</v>
      </c>
      <c r="AF1012" s="158" t="s">
        <v>3323</v>
      </c>
      <c r="AG1012" s="158" t="s">
        <v>3169</v>
      </c>
      <c r="AH1012" s="158">
        <v>2</v>
      </c>
      <c r="AI1012" s="158" t="b">
        <f>IF(AF1012="",TRUE,IF(IF(AG1012="",VLOOKUP(AF1012,Calculs!$A$19:$S$425,19,FALSE),VLOOKUP(AG1012,Calculs!$A$19:$S$425,19,FALSE))&gt;=AH1012,TRUE,FALSE))</f>
        <v>0</v>
      </c>
      <c r="AJ1012" s="158"/>
      <c r="AK1012" s="158"/>
      <c r="AL1012" s="158"/>
      <c r="AM1012" s="158" t="b">
        <f>IF(AJ1012="",TRUE,IF(IF(AK1012="",VLOOKUP(AJ1012,Calculs!$A$19:$S$425,19,FALSE),VLOOKUP(AK1012,Calculs!$A$19:$S$425,19,FALSE))&gt;=AL1012,TRUE,FALSE))</f>
        <v>1</v>
      </c>
      <c r="AN1012" s="158"/>
      <c r="AO1012" s="158"/>
      <c r="AP1012" s="158"/>
      <c r="AQ1012" s="158" t="b">
        <f>IF(AN1012="",TRUE,IF(IF(AO1012="",VLOOKUP(AN1012,Calculs!$A$19:$S$425,19,FALSE),VLOOKUP(AO1012,Calculs!$A$19:$S$425,19,FALSE))&gt;=AP1012,TRUE,FALSE))</f>
        <v>1</v>
      </c>
      <c r="AR1012" s="158"/>
      <c r="AS1012" s="158" t="b">
        <f>IF(AR1012="",TRUE,IF(VLOOKUP(AR1012,Calculs!$A$427:$G$738,7,FALSE)&gt;0,TRUE,FALSE))</f>
        <v>1</v>
      </c>
      <c r="AT1012" s="158"/>
      <c r="AU1012" s="158" t="b">
        <f>IF(AT1012="",TRUE,IF(VLOOKUP(AT1012,Calculs!$A$740:$G$912,7,FALSE)&gt;0,TRUE,FALSE))</f>
        <v>1</v>
      </c>
      <c r="AV1012" s="158" t="b">
        <f t="shared" si="108"/>
        <v>0</v>
      </c>
      <c r="AW1012" s="158"/>
      <c r="AX1012" s="162" t="s">
        <v>6192</v>
      </c>
      <c r="AY1012" s="15">
        <v>183</v>
      </c>
      <c r="AZ1012" s="555" t="s">
        <v>8762</v>
      </c>
      <c r="BA1012" s="559">
        <f>IF(Verso!$B$10=Voies!$B1012,1,0)</f>
        <v>0</v>
      </c>
      <c r="BB1012" s="12">
        <f>IF(Verso!$B$11=Voies!$B1012,1,0)</f>
        <v>0</v>
      </c>
      <c r="BC1012" s="12">
        <f>IF(Verso!$B$12=Voies!$B1012,1,0)</f>
        <v>0</v>
      </c>
      <c r="BD1012" s="12">
        <f>IF(Verso!$B$13=Voies!$B1012,1,0)</f>
        <v>0</v>
      </c>
      <c r="BE1012" s="12">
        <f>IF(Verso!$B$14=Voies!$B1012,1,0)</f>
        <v>0</v>
      </c>
      <c r="BF1012" s="12">
        <f>IF(Verso!$B$15=Voies!$B1012,1,0)</f>
        <v>0</v>
      </c>
      <c r="BG1012" s="12">
        <f>IF(Verso!$B$16=Voies!$B1012,1,0)</f>
        <v>0</v>
      </c>
      <c r="BH1012" s="12">
        <f>IF(Verso!$B$17=Voies!$B1012,1,0)</f>
        <v>0</v>
      </c>
      <c r="BI1012" s="557">
        <f t="shared" si="109"/>
        <v>0</v>
      </c>
      <c r="BJ1012" s="196" t="str">
        <f t="shared" si="110"/>
        <v/>
      </c>
      <c r="BK1012" s="196" t="str">
        <f t="shared" si="111"/>
        <v/>
      </c>
      <c r="BL1012" s="295" t="str">
        <f t="shared" si="112"/>
        <v/>
      </c>
    </row>
    <row r="1013" spans="1:65" ht="47.25" customHeight="1" x14ac:dyDescent="0.25">
      <c r="A1013" s="162" t="str">
        <f>IF(AND(Réputation&gt;Voies!E1013-1,OR(C1013=TRUE,Calculs!$I$8&gt;0),Air&gt;Voies!J1013-1,Eau&gt;Voies!K1013-1,Feu&gt;Voies!L1013-1,Terre&gt;Voies!M1013-1,Vide&gt;Voies!N1013-1,Constitution&gt;Voies!O1013-1,Volonté&gt;Voies!P1013-1,Force&gt;Voies!Q1013-1,Perception&gt;Voies!R1013-1,Reflexes&gt;Voies!S1013-1,Agilité&gt;Voies!T1013-1,Intuition&gt;Voies!U1013-1,Intelligence&gt;Voies!V1013-1,Souillure&gt;Voies!W1013-1,Honneur&gt;X1013-1,Statut&gt;Y1013-1,Gloire&gt;Z1013-1,AV1013=TRUE),Voies!B1013,"")</f>
        <v/>
      </c>
      <c r="B1013" s="162" t="s">
        <v>2192</v>
      </c>
      <c r="C1013" s="162" t="b">
        <f>IF(Clan=Voies!D1013,TRUE,FALSE)</f>
        <v>0</v>
      </c>
      <c r="D1013" s="388" t="s">
        <v>390</v>
      </c>
      <c r="E1013" s="13">
        <v>1</v>
      </c>
      <c r="F1013" s="199">
        <v>1</v>
      </c>
      <c r="G1013" s="13" t="s">
        <v>2048</v>
      </c>
      <c r="H1013" s="162" t="s">
        <v>245</v>
      </c>
      <c r="I1013" s="129" t="str">
        <f t="shared" ref="I1013:I1024" si="115">IF(B1013="","","Rien")</f>
        <v>Rien</v>
      </c>
      <c r="J1013" s="146">
        <v>0</v>
      </c>
      <c r="K1013" s="147">
        <v>0</v>
      </c>
      <c r="L1013" s="148">
        <v>0</v>
      </c>
      <c r="M1013" s="149">
        <v>0</v>
      </c>
      <c r="N1013" s="150">
        <v>0</v>
      </c>
      <c r="O1013" s="130">
        <v>0</v>
      </c>
      <c r="P1013" s="130">
        <v>0</v>
      </c>
      <c r="Q1013" s="130">
        <v>0</v>
      </c>
      <c r="R1013" s="130">
        <v>0</v>
      </c>
      <c r="S1013" s="130">
        <v>0</v>
      </c>
      <c r="T1013" s="130">
        <v>0</v>
      </c>
      <c r="U1013" s="130">
        <v>0</v>
      </c>
      <c r="V1013" s="524">
        <v>0</v>
      </c>
      <c r="W1013" s="130">
        <v>0</v>
      </c>
      <c r="X1013" s="130">
        <v>0</v>
      </c>
      <c r="Y1013" s="130">
        <v>0</v>
      </c>
      <c r="Z1013" s="130">
        <v>0</v>
      </c>
      <c r="AA1013" s="158" t="s">
        <v>2078</v>
      </c>
      <c r="AB1013" s="158"/>
      <c r="AC1013" s="158"/>
      <c r="AD1013" s="158"/>
      <c r="AE1013" s="158" t="b">
        <f>IF(AB1013="",TRUE,IF(IF(AC1013="",VLOOKUP(AB1013,Calculs!$A$19:$S$425,19,FALSE),VLOOKUP(AC1013,Calculs!$A$19:$S$425,19,FALSE))&gt;=AD1013,TRUE,FALSE))</f>
        <v>1</v>
      </c>
      <c r="AF1013" s="158"/>
      <c r="AG1013" s="158"/>
      <c r="AH1013" s="158"/>
      <c r="AI1013" s="158" t="b">
        <f>IF(AF1013="",TRUE,IF(IF(AG1013="",VLOOKUP(AF1013,Calculs!$A$19:$S$425,19,FALSE),VLOOKUP(AG1013,Calculs!$A$19:$S$425,19,FALSE))&gt;=AH1013,TRUE,FALSE))</f>
        <v>1</v>
      </c>
      <c r="AJ1013" s="158"/>
      <c r="AK1013" s="158"/>
      <c r="AL1013" s="158"/>
      <c r="AM1013" s="158" t="b">
        <f>IF(AJ1013="",TRUE,IF(IF(AK1013="",VLOOKUP(AJ1013,Calculs!$A$19:$S$425,19,FALSE),VLOOKUP(AK1013,Calculs!$A$19:$S$425,19,FALSE))&gt;=AL1013,TRUE,FALSE))</f>
        <v>1</v>
      </c>
      <c r="AN1013" s="158"/>
      <c r="AO1013" s="158"/>
      <c r="AP1013" s="158"/>
      <c r="AQ1013" s="158" t="b">
        <f>IF(AN1013="",TRUE,IF(IF(AO1013="",VLOOKUP(AN1013,Calculs!$A$19:$S$425,19,FALSE),VLOOKUP(AO1013,Calculs!$A$19:$S$425,19,FALSE))&gt;=AP1013,TRUE,FALSE))</f>
        <v>1</v>
      </c>
      <c r="AR1013" s="158"/>
      <c r="AS1013" s="158" t="b">
        <f>IF(AR1013="",TRUE,IF(VLOOKUP(AR1013,Calculs!$A$427:$G$738,7,FALSE)&gt;0,TRUE,FALSE))</f>
        <v>1</v>
      </c>
      <c r="AT1013" s="158"/>
      <c r="AU1013" s="158" t="b">
        <f>IF(AT1013="",TRUE,IF(VLOOKUP(AT1013,Calculs!$A$740:$G$912,7,FALSE)&gt;0,TRUE,FALSE))</f>
        <v>1</v>
      </c>
      <c r="AV1013" s="158" t="b">
        <f t="shared" si="108"/>
        <v>1</v>
      </c>
      <c r="AW1013" s="158" t="s">
        <v>2078</v>
      </c>
      <c r="AX1013" s="162" t="s">
        <v>3</v>
      </c>
      <c r="AY1013" s="15">
        <v>225</v>
      </c>
      <c r="AZ1013" s="555" t="s">
        <v>8763</v>
      </c>
      <c r="BA1013" s="559">
        <f>IF(Verso!$B$10=Voies!$B1013,1,0)</f>
        <v>0</v>
      </c>
      <c r="BB1013" s="12">
        <f>IF(Verso!$B$11=Voies!$B1013,1,0)</f>
        <v>0</v>
      </c>
      <c r="BC1013" s="12">
        <f>IF(Verso!$B$12=Voies!$B1013,1,0)</f>
        <v>0</v>
      </c>
      <c r="BD1013" s="12">
        <f>IF(Verso!$B$13=Voies!$B1013,1,0)</f>
        <v>0</v>
      </c>
      <c r="BE1013" s="12">
        <f>IF(Verso!$B$14=Voies!$B1013,1,0)</f>
        <v>0</v>
      </c>
      <c r="BF1013" s="12">
        <f>IF(Verso!$B$15=Voies!$B1013,1,0)</f>
        <v>0</v>
      </c>
      <c r="BG1013" s="12">
        <f>IF(Verso!$B$16=Voies!$B1013,1,0)</f>
        <v>0</v>
      </c>
      <c r="BH1013" s="12">
        <f>IF(Verso!$B$17=Voies!$B1013,1,0)</f>
        <v>0</v>
      </c>
      <c r="BI1013" s="557">
        <f t="shared" si="109"/>
        <v>0</v>
      </c>
      <c r="BJ1013" s="196" t="str">
        <f t="shared" si="110"/>
        <v/>
      </c>
      <c r="BK1013" s="196" t="str">
        <f t="shared" si="111"/>
        <v/>
      </c>
      <c r="BL1013" s="295" t="str">
        <f t="shared" si="112"/>
        <v/>
      </c>
    </row>
    <row r="1014" spans="1:65" ht="47.25" customHeight="1" x14ac:dyDescent="0.25">
      <c r="A1014" s="162" t="str">
        <f>IF(AND(Réputation&gt;Voies!E1014-1,OR(C1014=TRUE,Calculs!$I$8&gt;0),Air&gt;Voies!J1014-1,Eau&gt;Voies!K1014-1,Feu&gt;Voies!L1014-1,Terre&gt;Voies!M1014-1,Vide&gt;Voies!N1014-1,Constitution&gt;Voies!O1014-1,Volonté&gt;Voies!P1014-1,Force&gt;Voies!Q1014-1,Perception&gt;Voies!R1014-1,Reflexes&gt;Voies!S1014-1,Agilité&gt;Voies!T1014-1,Intuition&gt;Voies!U1014-1,Intelligence&gt;Voies!V1014-1,Souillure&gt;Voies!W1014-1,Honneur&gt;X1014-1,Statut&gt;Y1014-1,Gloire&gt;Z1014-1,AV1014=TRUE),Voies!B1014,"")</f>
        <v/>
      </c>
      <c r="B1014" s="162" t="s">
        <v>2194</v>
      </c>
      <c r="C1014" s="162" t="b">
        <f>IF(Clan=Voies!D1014,TRUE,FALSE)</f>
        <v>0</v>
      </c>
      <c r="D1014" s="388" t="s">
        <v>185</v>
      </c>
      <c r="E1014" s="13">
        <v>1</v>
      </c>
      <c r="F1014" s="199">
        <v>1</v>
      </c>
      <c r="G1014" s="13" t="s">
        <v>2049</v>
      </c>
      <c r="H1014" s="162" t="s">
        <v>406</v>
      </c>
      <c r="I1014" s="129" t="str">
        <f t="shared" si="115"/>
        <v>Rien</v>
      </c>
      <c r="J1014" s="146">
        <v>0</v>
      </c>
      <c r="K1014" s="147">
        <v>0</v>
      </c>
      <c r="L1014" s="148">
        <v>0</v>
      </c>
      <c r="M1014" s="149">
        <v>0</v>
      </c>
      <c r="N1014" s="150">
        <v>0</v>
      </c>
      <c r="O1014" s="130">
        <v>0</v>
      </c>
      <c r="P1014" s="130">
        <v>0</v>
      </c>
      <c r="Q1014" s="130">
        <v>0</v>
      </c>
      <c r="R1014" s="130">
        <v>0</v>
      </c>
      <c r="S1014" s="130">
        <v>0</v>
      </c>
      <c r="T1014" s="130">
        <v>0</v>
      </c>
      <c r="U1014" s="130">
        <v>0</v>
      </c>
      <c r="V1014" s="524">
        <v>0</v>
      </c>
      <c r="W1014" s="130">
        <v>0</v>
      </c>
      <c r="X1014" s="130">
        <v>0</v>
      </c>
      <c r="Y1014" s="130">
        <v>0</v>
      </c>
      <c r="Z1014" s="130">
        <v>0</v>
      </c>
      <c r="AA1014" s="158" t="s">
        <v>2078</v>
      </c>
      <c r="AB1014" s="158"/>
      <c r="AC1014" s="158"/>
      <c r="AD1014" s="158"/>
      <c r="AE1014" s="158" t="b">
        <f>IF(AB1014="",TRUE,IF(IF(AC1014="",VLOOKUP(AB1014,Calculs!$A$19:$S$425,19,FALSE),VLOOKUP(AC1014,Calculs!$A$19:$S$425,19,FALSE))&gt;=AD1014,TRUE,FALSE))</f>
        <v>1</v>
      </c>
      <c r="AF1014" s="158"/>
      <c r="AG1014" s="158"/>
      <c r="AH1014" s="158"/>
      <c r="AI1014" s="158" t="b">
        <f>IF(AF1014="",TRUE,IF(IF(AG1014="",VLOOKUP(AF1014,Calculs!$A$19:$S$425,19,FALSE),VLOOKUP(AG1014,Calculs!$A$19:$S$425,19,FALSE))&gt;=AH1014,TRUE,FALSE))</f>
        <v>1</v>
      </c>
      <c r="AJ1014" s="158"/>
      <c r="AK1014" s="158"/>
      <c r="AL1014" s="158"/>
      <c r="AM1014" s="158" t="b">
        <f>IF(AJ1014="",TRUE,IF(IF(AK1014="",VLOOKUP(AJ1014,Calculs!$A$19:$S$425,19,FALSE),VLOOKUP(AK1014,Calculs!$A$19:$S$425,19,FALSE))&gt;=AL1014,TRUE,FALSE))</f>
        <v>1</v>
      </c>
      <c r="AN1014" s="158"/>
      <c r="AO1014" s="158"/>
      <c r="AP1014" s="158"/>
      <c r="AQ1014" s="158" t="b">
        <f>IF(AN1014="",TRUE,IF(IF(AO1014="",VLOOKUP(AN1014,Calculs!$A$19:$S$425,19,FALSE),VLOOKUP(AO1014,Calculs!$A$19:$S$425,19,FALSE))&gt;=AP1014,TRUE,FALSE))</f>
        <v>1</v>
      </c>
      <c r="AR1014" s="158"/>
      <c r="AS1014" s="158" t="b">
        <f>IF(AR1014="",TRUE,IF(VLOOKUP(AR1014,Calculs!$A$427:$G$738,7,FALSE)&gt;0,TRUE,FALSE))</f>
        <v>1</v>
      </c>
      <c r="AT1014" s="158"/>
      <c r="AU1014" s="158" t="b">
        <f>IF(AT1014="",TRUE,IF(VLOOKUP(AT1014,Calculs!$A$740:$G$912,7,FALSE)&gt;0,TRUE,FALSE))</f>
        <v>1</v>
      </c>
      <c r="AV1014" s="158" t="b">
        <f t="shared" si="108"/>
        <v>1</v>
      </c>
      <c r="AW1014" s="158" t="s">
        <v>2078</v>
      </c>
      <c r="AX1014" s="162" t="s">
        <v>3</v>
      </c>
      <c r="AY1014" s="15">
        <v>224</v>
      </c>
      <c r="AZ1014" s="566" t="str">
        <f>CONCATENATE("'+1g0 à vous jets de Compétences accompagnés d'un ND de 25 ou plus (attaques inclues). Vos malus dus aux Blessures sont réduits de ",Volonté+Honneur*2)</f>
        <v>'+1g0 à vous jets de Compétences accompagnés d'un ND de 25 ou plus (attaques inclues). Vos malus dus aux Blessures sont réduits de 2</v>
      </c>
      <c r="BA1014" s="559">
        <f>IF(Verso!$B$10=Voies!$B1014,1,0)</f>
        <v>0</v>
      </c>
      <c r="BB1014" s="12">
        <f>IF(Verso!$B$11=Voies!$B1014,1,0)</f>
        <v>0</v>
      </c>
      <c r="BC1014" s="12">
        <f>IF(Verso!$B$12=Voies!$B1014,1,0)</f>
        <v>0</v>
      </c>
      <c r="BD1014" s="12">
        <f>IF(Verso!$B$13=Voies!$B1014,1,0)</f>
        <v>0</v>
      </c>
      <c r="BE1014" s="12">
        <f>IF(Verso!$B$14=Voies!$B1014,1,0)</f>
        <v>0</v>
      </c>
      <c r="BF1014" s="12">
        <f>IF(Verso!$B$15=Voies!$B1014,1,0)</f>
        <v>0</v>
      </c>
      <c r="BG1014" s="12">
        <f>IF(Verso!$B$16=Voies!$B1014,1,0)</f>
        <v>0</v>
      </c>
      <c r="BH1014" s="12">
        <f>IF(Verso!$B$17=Voies!$B1014,1,0)</f>
        <v>0</v>
      </c>
      <c r="BI1014" s="557">
        <f t="shared" si="109"/>
        <v>0</v>
      </c>
      <c r="BJ1014" s="196" t="str">
        <f t="shared" si="110"/>
        <v/>
      </c>
      <c r="BK1014" s="196" t="str">
        <f t="shared" si="111"/>
        <v/>
      </c>
      <c r="BL1014" s="295" t="str">
        <f t="shared" si="112"/>
        <v/>
      </c>
    </row>
    <row r="1015" spans="1:65" ht="47.25" customHeight="1" x14ac:dyDescent="0.25">
      <c r="A1015" s="162" t="str">
        <f>IF(AND(Réputation&gt;Voies!E1015-1,OR(C1015=TRUE,Calculs!$I$8&gt;0),Air&gt;Voies!J1015-1,Eau&gt;Voies!K1015-1,Feu&gt;Voies!L1015-1,Terre&gt;Voies!M1015-1,Vide&gt;Voies!N1015-1,Constitution&gt;Voies!O1015-1,Volonté&gt;Voies!P1015-1,Force&gt;Voies!Q1015-1,Perception&gt;Voies!R1015-1,Reflexes&gt;Voies!S1015-1,Agilité&gt;Voies!T1015-1,Intuition&gt;Voies!U1015-1,Intelligence&gt;Voies!V1015-1,Souillure&gt;Voies!W1015-1,Honneur&gt;X1015-1,Statut&gt;Y1015-1,Gloire&gt;Z1015-1,AV1015=TRUE),Voies!B1015,"")</f>
        <v/>
      </c>
      <c r="B1015" s="162" t="s">
        <v>7857</v>
      </c>
      <c r="C1015" s="162" t="b">
        <f>IF(Clan=Voies!D1015,TRUE,FALSE)</f>
        <v>0</v>
      </c>
      <c r="D1015" s="388" t="s">
        <v>185</v>
      </c>
      <c r="E1015" s="13">
        <v>1</v>
      </c>
      <c r="F1015" s="199">
        <v>1</v>
      </c>
      <c r="G1015" s="13" t="s">
        <v>2049</v>
      </c>
      <c r="H1015" s="162" t="s">
        <v>7803</v>
      </c>
      <c r="I1015" s="129" t="str">
        <f t="shared" si="115"/>
        <v>Rien</v>
      </c>
      <c r="J1015" s="146">
        <v>0</v>
      </c>
      <c r="K1015" s="147">
        <v>0</v>
      </c>
      <c r="L1015" s="148">
        <v>0</v>
      </c>
      <c r="M1015" s="149">
        <v>0</v>
      </c>
      <c r="N1015" s="150">
        <v>0</v>
      </c>
      <c r="O1015" s="130">
        <v>0</v>
      </c>
      <c r="P1015" s="130">
        <v>0</v>
      </c>
      <c r="Q1015" s="130">
        <v>0</v>
      </c>
      <c r="R1015" s="130">
        <v>0</v>
      </c>
      <c r="S1015" s="130">
        <v>0</v>
      </c>
      <c r="T1015" s="130">
        <v>0</v>
      </c>
      <c r="U1015" s="130">
        <v>0</v>
      </c>
      <c r="V1015" s="524">
        <v>0</v>
      </c>
      <c r="W1015" s="130">
        <v>0</v>
      </c>
      <c r="X1015" s="130">
        <v>0</v>
      </c>
      <c r="Y1015" s="130">
        <v>0</v>
      </c>
      <c r="Z1015" s="130">
        <v>0</v>
      </c>
      <c r="AA1015" s="158" t="s">
        <v>2078</v>
      </c>
      <c r="AB1015" s="158"/>
      <c r="AC1015" s="158"/>
      <c r="AD1015" s="158"/>
      <c r="AE1015" s="158" t="b">
        <f>IF(AB1015="",TRUE,IF(IF(AC1015="",VLOOKUP(AB1015,Calculs!$A$19:$S$425,19,FALSE),VLOOKUP(AC1015,Calculs!$A$19:$S$425,19,FALSE))&gt;=AD1015,TRUE,FALSE))</f>
        <v>1</v>
      </c>
      <c r="AF1015" s="158"/>
      <c r="AG1015" s="158"/>
      <c r="AH1015" s="158"/>
      <c r="AI1015" s="158" t="b">
        <f>IF(AF1015="",TRUE,IF(IF(AG1015="",VLOOKUP(AF1015,Calculs!$A$19:$S$425,19,FALSE),VLOOKUP(AG1015,Calculs!$A$19:$S$425,19,FALSE))&gt;=AH1015,TRUE,FALSE))</f>
        <v>1</v>
      </c>
      <c r="AJ1015" s="158"/>
      <c r="AK1015" s="158"/>
      <c r="AL1015" s="158"/>
      <c r="AM1015" s="158" t="b">
        <f>IF(AJ1015="",TRUE,IF(IF(AK1015="",VLOOKUP(AJ1015,Calculs!$A$19:$S$425,19,FALSE),VLOOKUP(AK1015,Calculs!$A$19:$S$425,19,FALSE))&gt;=AL1015,TRUE,FALSE))</f>
        <v>1</v>
      </c>
      <c r="AN1015" s="158"/>
      <c r="AO1015" s="158"/>
      <c r="AP1015" s="158"/>
      <c r="AQ1015" s="158" t="b">
        <f>IF(AN1015="",TRUE,IF(IF(AO1015="",VLOOKUP(AN1015,Calculs!$A$19:$S$425,19,FALSE),VLOOKUP(AO1015,Calculs!$A$19:$S$425,19,FALSE))&gt;=AP1015,TRUE,FALSE))</f>
        <v>1</v>
      </c>
      <c r="AR1015" s="158"/>
      <c r="AS1015" s="158" t="b">
        <f>IF(AR1015="",TRUE,IF(VLOOKUP(AR1015,Calculs!$A$427:$G$738,7,FALSE)&gt;0,TRUE,FALSE))</f>
        <v>1</v>
      </c>
      <c r="AT1015" s="158"/>
      <c r="AU1015" s="158" t="b">
        <f>IF(AT1015="",TRUE,IF(VLOOKUP(AT1015,Calculs!$A$740:$G$912,7,FALSE)&gt;0,TRUE,FALSE))</f>
        <v>1</v>
      </c>
      <c r="AV1015" s="158" t="b">
        <f t="shared" si="108"/>
        <v>1</v>
      </c>
      <c r="AW1015" s="158" t="s">
        <v>2078</v>
      </c>
      <c r="AX1015" s="162" t="s">
        <v>7226</v>
      </c>
      <c r="AY1015" s="15">
        <v>70</v>
      </c>
      <c r="AZ1015" s="555" t="str">
        <f>CONCATENATE("+",Terre,"  à tous vos tests de compétence de Bugei")</f>
        <v>+2  à tous vos tests de compétence de Bugei</v>
      </c>
      <c r="BA1015" s="559">
        <f>IF(Verso!$B$10=Voies!$B1015,1,0)</f>
        <v>0</v>
      </c>
      <c r="BB1015" s="12">
        <f>IF(Verso!$B$11=Voies!$B1015,1,0)</f>
        <v>0</v>
      </c>
      <c r="BC1015" s="12">
        <f>IF(Verso!$B$12=Voies!$B1015,1,0)</f>
        <v>0</v>
      </c>
      <c r="BD1015" s="12">
        <f>IF(Verso!$B$13=Voies!$B1015,1,0)</f>
        <v>0</v>
      </c>
      <c r="BE1015" s="12">
        <f>IF(Verso!$B$14=Voies!$B1015,1,0)</f>
        <v>0</v>
      </c>
      <c r="BF1015" s="12">
        <f>IF(Verso!$B$15=Voies!$B1015,1,0)</f>
        <v>0</v>
      </c>
      <c r="BG1015" s="12">
        <f>IF(Verso!$B$16=Voies!$B1015,1,0)</f>
        <v>0</v>
      </c>
      <c r="BH1015" s="12">
        <f>IF(Verso!$B$17=Voies!$B1015,1,0)</f>
        <v>0</v>
      </c>
      <c r="BI1015" s="557">
        <f t="shared" si="109"/>
        <v>0</v>
      </c>
      <c r="BJ1015" s="196" t="str">
        <f t="shared" si="110"/>
        <v/>
      </c>
      <c r="BK1015" s="196" t="str">
        <f t="shared" si="111"/>
        <v/>
      </c>
      <c r="BL1015" s="295" t="str">
        <f t="shared" si="112"/>
        <v/>
      </c>
    </row>
    <row r="1016" spans="1:65" ht="47.25" customHeight="1" x14ac:dyDescent="0.25">
      <c r="A1016" s="162" t="str">
        <f>IF(AND(Réputation&gt;Voies!E1016-1,OR(C1016=TRUE,Calculs!$I$8&gt;0),Air&gt;Voies!J1016-1,Eau&gt;Voies!K1016-1,Feu&gt;Voies!L1016-1,Terre&gt;Voies!M1016-1,Vide&gt;Voies!N1016-1,Constitution&gt;Voies!O1016-1,Volonté&gt;Voies!P1016-1,Force&gt;Voies!Q1016-1,Perception&gt;Voies!R1016-1,Reflexes&gt;Voies!S1016-1,Agilité&gt;Voies!T1016-1,Intuition&gt;Voies!U1016-1,Intelligence&gt;Voies!V1016-1,Souillure&gt;Voies!W1016-1,Honneur&gt;X1016-1,Statut&gt;Y1016-1,Gloire&gt;Z1016-1,AV1016=TRUE),Voies!B1016,"")</f>
        <v/>
      </c>
      <c r="B1016" s="162" t="s">
        <v>2811</v>
      </c>
      <c r="C1016" s="162" t="b">
        <f>IF(Clan=Voies!D1016,TRUE,FALSE)</f>
        <v>0</v>
      </c>
      <c r="D1016" s="388" t="s">
        <v>185</v>
      </c>
      <c r="E1016" s="13">
        <v>1</v>
      </c>
      <c r="F1016" s="199">
        <v>1</v>
      </c>
      <c r="G1016" s="13" t="s">
        <v>2048</v>
      </c>
      <c r="H1016" s="162" t="s">
        <v>413</v>
      </c>
      <c r="I1016" s="129" t="str">
        <f t="shared" si="115"/>
        <v>Rien</v>
      </c>
      <c r="J1016" s="146">
        <v>0</v>
      </c>
      <c r="K1016" s="147">
        <v>0</v>
      </c>
      <c r="L1016" s="148">
        <v>0</v>
      </c>
      <c r="M1016" s="149">
        <v>0</v>
      </c>
      <c r="N1016" s="150">
        <v>0</v>
      </c>
      <c r="O1016" s="130">
        <v>0</v>
      </c>
      <c r="P1016" s="130">
        <v>0</v>
      </c>
      <c r="Q1016" s="130">
        <v>0</v>
      </c>
      <c r="R1016" s="130">
        <v>0</v>
      </c>
      <c r="S1016" s="130">
        <v>0</v>
      </c>
      <c r="T1016" s="130">
        <v>0</v>
      </c>
      <c r="U1016" s="130">
        <v>0</v>
      </c>
      <c r="V1016" s="524">
        <v>0</v>
      </c>
      <c r="W1016" s="130">
        <v>0</v>
      </c>
      <c r="X1016" s="130">
        <v>0</v>
      </c>
      <c r="Y1016" s="130">
        <v>0</v>
      </c>
      <c r="Z1016" s="130">
        <v>0</v>
      </c>
      <c r="AA1016" s="158" t="s">
        <v>2078</v>
      </c>
      <c r="AB1016" s="158"/>
      <c r="AC1016" s="158"/>
      <c r="AD1016" s="158"/>
      <c r="AE1016" s="158" t="b">
        <f>IF(AB1016="",TRUE,IF(IF(AC1016="",VLOOKUP(AB1016,Calculs!$A$19:$S$425,19,FALSE),VLOOKUP(AC1016,Calculs!$A$19:$S$425,19,FALSE))&gt;=AD1016,TRUE,FALSE))</f>
        <v>1</v>
      </c>
      <c r="AF1016" s="158"/>
      <c r="AG1016" s="158"/>
      <c r="AH1016" s="158"/>
      <c r="AI1016" s="158" t="b">
        <f>IF(AF1016="",TRUE,IF(IF(AG1016="",VLOOKUP(AF1016,Calculs!$A$19:$S$425,19,FALSE),VLOOKUP(AG1016,Calculs!$A$19:$S$425,19,FALSE))&gt;=AH1016,TRUE,FALSE))</f>
        <v>1</v>
      </c>
      <c r="AJ1016" s="158"/>
      <c r="AK1016" s="158"/>
      <c r="AL1016" s="158"/>
      <c r="AM1016" s="158" t="b">
        <f>IF(AJ1016="",TRUE,IF(IF(AK1016="",VLOOKUP(AJ1016,Calculs!$A$19:$S$425,19,FALSE),VLOOKUP(AK1016,Calculs!$A$19:$S$425,19,FALSE))&gt;=AL1016,TRUE,FALSE))</f>
        <v>1</v>
      </c>
      <c r="AN1016" s="158"/>
      <c r="AO1016" s="158"/>
      <c r="AP1016" s="158"/>
      <c r="AQ1016" s="158" t="b">
        <f>IF(AN1016="",TRUE,IF(IF(AO1016="",VLOOKUP(AN1016,Calculs!$A$19:$S$425,19,FALSE),VLOOKUP(AO1016,Calculs!$A$19:$S$425,19,FALSE))&gt;=AP1016,TRUE,FALSE))</f>
        <v>1</v>
      </c>
      <c r="AR1016" s="158"/>
      <c r="AS1016" s="158" t="b">
        <f>IF(AR1016="",TRUE,IF(VLOOKUP(AR1016,Calculs!$A$427:$G$738,7,FALSE)&gt;0,TRUE,FALSE))</f>
        <v>1</v>
      </c>
      <c r="AT1016" s="158"/>
      <c r="AU1016" s="158" t="b">
        <f>IF(AT1016="",TRUE,IF(VLOOKUP(AT1016,Calculs!$A$740:$G$912,7,FALSE)&gt;0,TRUE,FALSE))</f>
        <v>1</v>
      </c>
      <c r="AV1016" s="158" t="b">
        <f t="shared" si="108"/>
        <v>1</v>
      </c>
      <c r="AW1016" s="158" t="s">
        <v>2078</v>
      </c>
      <c r="AX1016" s="162" t="s">
        <v>2080</v>
      </c>
      <c r="AY1016" s="15">
        <v>238</v>
      </c>
      <c r="AZ1016" s="555" t="s">
        <v>2812</v>
      </c>
      <c r="BA1016" s="559">
        <f>IF(Verso!$B$10=Voies!$B1016,1,0)</f>
        <v>0</v>
      </c>
      <c r="BB1016" s="12">
        <f>IF(Verso!$B$11=Voies!$B1016,1,0)</f>
        <v>0</v>
      </c>
      <c r="BC1016" s="12">
        <f>IF(Verso!$B$12=Voies!$B1016,1,0)</f>
        <v>0</v>
      </c>
      <c r="BD1016" s="12">
        <f>IF(Verso!$B$13=Voies!$B1016,1,0)</f>
        <v>0</v>
      </c>
      <c r="BE1016" s="12">
        <f>IF(Verso!$B$14=Voies!$B1016,1,0)</f>
        <v>0</v>
      </c>
      <c r="BF1016" s="12">
        <f>IF(Verso!$B$15=Voies!$B1016,1,0)</f>
        <v>0</v>
      </c>
      <c r="BG1016" s="12">
        <f>IF(Verso!$B$16=Voies!$B1016,1,0)</f>
        <v>0</v>
      </c>
      <c r="BH1016" s="12">
        <f>IF(Verso!$B$17=Voies!$B1016,1,0)</f>
        <v>0</v>
      </c>
      <c r="BI1016" s="557">
        <f t="shared" si="109"/>
        <v>0</v>
      </c>
      <c r="BJ1016" s="196" t="str">
        <f t="shared" si="110"/>
        <v/>
      </c>
      <c r="BK1016" s="196" t="str">
        <f t="shared" si="111"/>
        <v/>
      </c>
      <c r="BL1016" s="295" t="str">
        <f t="shared" si="112"/>
        <v/>
      </c>
    </row>
    <row r="1017" spans="1:65" ht="47.25" customHeight="1" x14ac:dyDescent="0.25">
      <c r="A1017" s="162" t="str">
        <f>IF(AND(Réputation&gt;Voies!E1017-1,OR(C1017=TRUE,Calculs!$I$8&gt;0),Air&gt;Voies!J1017-1,Eau&gt;Voies!K1017-1,Feu&gt;Voies!L1017-1,Terre&gt;Voies!M1017-1,Vide&gt;Voies!N1017-1,Constitution&gt;Voies!O1017-1,Volonté&gt;Voies!P1017-1,Force&gt;Voies!Q1017-1,Perception&gt;Voies!R1017-1,Reflexes&gt;Voies!S1017-1,Agilité&gt;Voies!T1017-1,Intuition&gt;Voies!U1017-1,Intelligence&gt;Voies!V1017-1,Souillure&gt;Voies!W1017-1,Honneur&gt;X1017-1,Statut&gt;Y1017-1,Gloire&gt;Z1017-1,AV1017=TRUE),Voies!B1017,"")</f>
        <v/>
      </c>
      <c r="B1017" s="162" t="s">
        <v>2195</v>
      </c>
      <c r="C1017" s="162" t="b">
        <f>IF(Clan=Voies!D1017,TRUE,FALSE)</f>
        <v>0</v>
      </c>
      <c r="D1017" s="388" t="s">
        <v>185</v>
      </c>
      <c r="E1017" s="13">
        <v>2</v>
      </c>
      <c r="F1017" s="199">
        <v>2</v>
      </c>
      <c r="G1017" s="199" t="s">
        <v>2049</v>
      </c>
      <c r="H1017" s="162" t="s">
        <v>406</v>
      </c>
      <c r="I1017" s="129" t="str">
        <f t="shared" si="115"/>
        <v>Rien</v>
      </c>
      <c r="J1017" s="146">
        <v>0</v>
      </c>
      <c r="K1017" s="147">
        <v>0</v>
      </c>
      <c r="L1017" s="148">
        <v>0</v>
      </c>
      <c r="M1017" s="149">
        <v>0</v>
      </c>
      <c r="N1017" s="150">
        <v>0</v>
      </c>
      <c r="O1017" s="130">
        <v>0</v>
      </c>
      <c r="P1017" s="130">
        <v>0</v>
      </c>
      <c r="Q1017" s="130">
        <v>0</v>
      </c>
      <c r="R1017" s="130">
        <v>0</v>
      </c>
      <c r="S1017" s="130">
        <v>0</v>
      </c>
      <c r="T1017" s="130">
        <v>0</v>
      </c>
      <c r="U1017" s="130">
        <v>0</v>
      </c>
      <c r="V1017" s="524">
        <v>0</v>
      </c>
      <c r="W1017" s="130">
        <v>0</v>
      </c>
      <c r="X1017" s="130">
        <v>0</v>
      </c>
      <c r="Y1017" s="130">
        <v>0</v>
      </c>
      <c r="Z1017" s="130">
        <v>0</v>
      </c>
      <c r="AA1017" s="158" t="s">
        <v>2078</v>
      </c>
      <c r="AB1017" s="158"/>
      <c r="AC1017" s="158"/>
      <c r="AD1017" s="158"/>
      <c r="AE1017" s="158" t="b">
        <f>IF(AB1017="",TRUE,IF(IF(AC1017="",VLOOKUP(AB1017,Calculs!$A$19:$S$425,19,FALSE),VLOOKUP(AC1017,Calculs!$A$19:$S$425,19,FALSE))&gt;=AD1017,TRUE,FALSE))</f>
        <v>1</v>
      </c>
      <c r="AF1017" s="158"/>
      <c r="AG1017" s="158"/>
      <c r="AH1017" s="158"/>
      <c r="AI1017" s="158" t="b">
        <f>IF(AF1017="",TRUE,IF(IF(AG1017="",VLOOKUP(AF1017,Calculs!$A$19:$S$425,19,FALSE),VLOOKUP(AG1017,Calculs!$A$19:$S$425,19,FALSE))&gt;=AH1017,TRUE,FALSE))</f>
        <v>1</v>
      </c>
      <c r="AJ1017" s="158"/>
      <c r="AK1017" s="158"/>
      <c r="AL1017" s="158"/>
      <c r="AM1017" s="158" t="b">
        <f>IF(AJ1017="",TRUE,IF(IF(AK1017="",VLOOKUP(AJ1017,Calculs!$A$19:$S$425,19,FALSE),VLOOKUP(AK1017,Calculs!$A$19:$S$425,19,FALSE))&gt;=AL1017,TRUE,FALSE))</f>
        <v>1</v>
      </c>
      <c r="AN1017" s="158"/>
      <c r="AO1017" s="158"/>
      <c r="AP1017" s="158"/>
      <c r="AQ1017" s="158" t="b">
        <f>IF(AN1017="",TRUE,IF(IF(AO1017="",VLOOKUP(AN1017,Calculs!$A$19:$S$425,19,FALSE),VLOOKUP(AO1017,Calculs!$A$19:$S$425,19,FALSE))&gt;=AP1017,TRUE,FALSE))</f>
        <v>1</v>
      </c>
      <c r="AR1017" s="158"/>
      <c r="AS1017" s="158" t="b">
        <f>IF(AR1017="",TRUE,IF(VLOOKUP(AR1017,Calculs!$A$427:$G$738,7,FALSE)&gt;0,TRUE,FALSE))</f>
        <v>1</v>
      </c>
      <c r="AT1017" s="158"/>
      <c r="AU1017" s="158" t="b">
        <f>IF(AT1017="",TRUE,IF(VLOOKUP(AT1017,Calculs!$A$740:$G$912,7,FALSE)&gt;0,TRUE,FALSE))</f>
        <v>1</v>
      </c>
      <c r="AV1017" s="158" t="b">
        <f t="shared" si="108"/>
        <v>1</v>
      </c>
      <c r="AW1017" s="158" t="s">
        <v>2078</v>
      </c>
      <c r="AX1017" s="162" t="s">
        <v>3</v>
      </c>
      <c r="AY1017" s="15">
        <v>224</v>
      </c>
      <c r="AZ1017" s="566" t="str">
        <f>CONCATENATE("+1g1 à vos jets d'attaque lorsque vous affrontez plusieurs adversaires ou un seul adversaire ayant un Rang de Réputation supérieur à ",Réputation)</f>
        <v>+1g1 à vos jets d'attaque lorsque vous affrontez plusieurs adversaires ou un seul adversaire ayant un Rang de Réputation supérieur à 1</v>
      </c>
      <c r="BA1017" s="559">
        <f>IF(Verso!$B$10=Voies!$B1017,1,0)</f>
        <v>0</v>
      </c>
      <c r="BB1017" s="12">
        <f>IF(Verso!$B$11=Voies!$B1017,1,0)</f>
        <v>0</v>
      </c>
      <c r="BC1017" s="12">
        <f>IF(Verso!$B$12=Voies!$B1017,1,0)</f>
        <v>0</v>
      </c>
      <c r="BD1017" s="12">
        <f>IF(Verso!$B$13=Voies!$B1017,1,0)</f>
        <v>0</v>
      </c>
      <c r="BE1017" s="12">
        <f>IF(Verso!$B$14=Voies!$B1017,1,0)</f>
        <v>0</v>
      </c>
      <c r="BF1017" s="12">
        <f>IF(Verso!$B$15=Voies!$B1017,1,0)</f>
        <v>0</v>
      </c>
      <c r="BG1017" s="12">
        <f>IF(Verso!$B$16=Voies!$B1017,1,0)</f>
        <v>0</v>
      </c>
      <c r="BH1017" s="12">
        <f>IF(Verso!$B$17=Voies!$B1017,1,0)</f>
        <v>0</v>
      </c>
      <c r="BI1017" s="557">
        <f t="shared" si="109"/>
        <v>0</v>
      </c>
      <c r="BJ1017" s="196" t="str">
        <f t="shared" si="110"/>
        <v/>
      </c>
      <c r="BK1017" s="196" t="str">
        <f t="shared" si="111"/>
        <v/>
      </c>
      <c r="BL1017" s="295" t="str">
        <f t="shared" si="112"/>
        <v/>
      </c>
    </row>
    <row r="1018" spans="1:65" ht="47.25" customHeight="1" x14ac:dyDescent="0.25">
      <c r="A1018" s="162" t="str">
        <f>IF(AND(Réputation&gt;Voies!E1018-1,OR(C1018=TRUE,Calculs!$I$8&gt;0),Air&gt;Voies!J1018-1,Eau&gt;Voies!K1018-1,Feu&gt;Voies!L1018-1,Terre&gt;Voies!M1018-1,Vide&gt;Voies!N1018-1,Constitution&gt;Voies!O1018-1,Volonté&gt;Voies!P1018-1,Force&gt;Voies!Q1018-1,Perception&gt;Voies!R1018-1,Reflexes&gt;Voies!S1018-1,Agilité&gt;Voies!T1018-1,Intuition&gt;Voies!U1018-1,Intelligence&gt;Voies!V1018-1,Souillure&gt;Voies!W1018-1,Honneur&gt;X1018-1,Statut&gt;Y1018-1,Gloire&gt;Z1018-1,AV1018=TRUE),Voies!B1018,"")</f>
        <v/>
      </c>
      <c r="B1018" s="162" t="s">
        <v>7858</v>
      </c>
      <c r="C1018" s="162" t="b">
        <f>IF(Clan=Voies!D1018,TRUE,FALSE)</f>
        <v>0</v>
      </c>
      <c r="D1018" s="388" t="s">
        <v>185</v>
      </c>
      <c r="E1018" s="13">
        <v>2</v>
      </c>
      <c r="F1018" s="199">
        <v>2</v>
      </c>
      <c r="G1018" s="13" t="s">
        <v>2049</v>
      </c>
      <c r="H1018" s="162" t="s">
        <v>7803</v>
      </c>
      <c r="I1018" s="129" t="str">
        <f t="shared" si="115"/>
        <v>Rien</v>
      </c>
      <c r="J1018" s="146">
        <v>0</v>
      </c>
      <c r="K1018" s="147">
        <v>0</v>
      </c>
      <c r="L1018" s="148">
        <v>0</v>
      </c>
      <c r="M1018" s="149">
        <v>0</v>
      </c>
      <c r="N1018" s="150">
        <v>0</v>
      </c>
      <c r="O1018" s="130">
        <v>0</v>
      </c>
      <c r="P1018" s="130">
        <v>0</v>
      </c>
      <c r="Q1018" s="130">
        <v>0</v>
      </c>
      <c r="R1018" s="130">
        <v>0</v>
      </c>
      <c r="S1018" s="130">
        <v>0</v>
      </c>
      <c r="T1018" s="130">
        <v>0</v>
      </c>
      <c r="U1018" s="130">
        <v>0</v>
      </c>
      <c r="V1018" s="524">
        <v>0</v>
      </c>
      <c r="W1018" s="130">
        <v>0</v>
      </c>
      <c r="X1018" s="130">
        <v>0</v>
      </c>
      <c r="Y1018" s="130">
        <v>0</v>
      </c>
      <c r="Z1018" s="130">
        <v>0</v>
      </c>
      <c r="AA1018" s="158" t="s">
        <v>2078</v>
      </c>
      <c r="AB1018" s="158"/>
      <c r="AC1018" s="158"/>
      <c r="AD1018" s="158"/>
      <c r="AE1018" s="158" t="b">
        <f>IF(AB1018="",TRUE,IF(IF(AC1018="",VLOOKUP(AB1018,Calculs!$A$19:$S$425,19,FALSE),VLOOKUP(AC1018,Calculs!$A$19:$S$425,19,FALSE))&gt;=AD1018,TRUE,FALSE))</f>
        <v>1</v>
      </c>
      <c r="AF1018" s="158"/>
      <c r="AG1018" s="158"/>
      <c r="AH1018" s="158"/>
      <c r="AI1018" s="158" t="b">
        <f>IF(AF1018="",TRUE,IF(IF(AG1018="",VLOOKUP(AF1018,Calculs!$A$19:$S$425,19,FALSE),VLOOKUP(AG1018,Calculs!$A$19:$S$425,19,FALSE))&gt;=AH1018,TRUE,FALSE))</f>
        <v>1</v>
      </c>
      <c r="AJ1018" s="158"/>
      <c r="AK1018" s="158"/>
      <c r="AL1018" s="158"/>
      <c r="AM1018" s="158" t="b">
        <f>IF(AJ1018="",TRUE,IF(IF(AK1018="",VLOOKUP(AJ1018,Calculs!$A$19:$S$425,19,FALSE),VLOOKUP(AK1018,Calculs!$A$19:$S$425,19,FALSE))&gt;=AL1018,TRUE,FALSE))</f>
        <v>1</v>
      </c>
      <c r="AN1018" s="158"/>
      <c r="AO1018" s="158"/>
      <c r="AP1018" s="158"/>
      <c r="AQ1018" s="158" t="b">
        <f>IF(AN1018="",TRUE,IF(IF(AO1018="",VLOOKUP(AN1018,Calculs!$A$19:$S$425,19,FALSE),VLOOKUP(AO1018,Calculs!$A$19:$S$425,19,FALSE))&gt;=AP1018,TRUE,FALSE))</f>
        <v>1</v>
      </c>
      <c r="AR1018" s="158"/>
      <c r="AS1018" s="158" t="b">
        <f>IF(AR1018="",TRUE,IF(VLOOKUP(AR1018,Calculs!$A$427:$G$738,7,FALSE)&gt;0,TRUE,FALSE))</f>
        <v>1</v>
      </c>
      <c r="AT1018" s="158"/>
      <c r="AU1018" s="158" t="b">
        <f>IF(AT1018="",TRUE,IF(VLOOKUP(AT1018,Calculs!$A$740:$G$912,7,FALSE)&gt;0,TRUE,FALSE))</f>
        <v>1</v>
      </c>
      <c r="AV1018" s="158" t="b">
        <f t="shared" si="108"/>
        <v>1</v>
      </c>
      <c r="AW1018" s="158" t="s">
        <v>2078</v>
      </c>
      <c r="AX1018" s="162" t="s">
        <v>7226</v>
      </c>
      <c r="AY1018" s="15">
        <v>71</v>
      </c>
      <c r="AZ1018" s="555" t="s">
        <v>7862</v>
      </c>
      <c r="BA1018" s="559">
        <f>IF(Verso!$B$10=Voies!$B1018,1,0)</f>
        <v>0</v>
      </c>
      <c r="BB1018" s="12">
        <f>IF(Verso!$B$11=Voies!$B1018,1,0)</f>
        <v>0</v>
      </c>
      <c r="BC1018" s="12">
        <f>IF(Verso!$B$12=Voies!$B1018,1,0)</f>
        <v>0</v>
      </c>
      <c r="BD1018" s="12">
        <f>IF(Verso!$B$13=Voies!$B1018,1,0)</f>
        <v>0</v>
      </c>
      <c r="BE1018" s="12">
        <f>IF(Verso!$B$14=Voies!$B1018,1,0)</f>
        <v>0</v>
      </c>
      <c r="BF1018" s="12">
        <f>IF(Verso!$B$15=Voies!$B1018,1,0)</f>
        <v>0</v>
      </c>
      <c r="BG1018" s="12">
        <f>IF(Verso!$B$16=Voies!$B1018,1,0)</f>
        <v>0</v>
      </c>
      <c r="BH1018" s="12">
        <f>IF(Verso!$B$17=Voies!$B1018,1,0)</f>
        <v>0</v>
      </c>
      <c r="BI1018" s="557">
        <f t="shared" si="109"/>
        <v>0</v>
      </c>
      <c r="BJ1018" s="196" t="str">
        <f t="shared" si="110"/>
        <v/>
      </c>
      <c r="BK1018" s="196" t="str">
        <f t="shared" si="111"/>
        <v/>
      </c>
      <c r="BL1018" s="295" t="str">
        <f t="shared" si="112"/>
        <v/>
      </c>
    </row>
    <row r="1019" spans="1:65" ht="47.25" customHeight="1" x14ac:dyDescent="0.25">
      <c r="A1019" s="162" t="str">
        <f>IF(AND(Réputation&gt;Voies!E1019-1,OR(C1019=TRUE,Calculs!$I$8&gt;0),Air&gt;Voies!J1019-1,Eau&gt;Voies!K1019-1,Feu&gt;Voies!L1019-1,Terre&gt;Voies!M1019-1,Vide&gt;Voies!N1019-1,Constitution&gt;Voies!O1019-1,Volonté&gt;Voies!P1019-1,Force&gt;Voies!Q1019-1,Perception&gt;Voies!R1019-1,Reflexes&gt;Voies!S1019-1,Agilité&gt;Voies!T1019-1,Intuition&gt;Voies!U1019-1,Intelligence&gt;Voies!V1019-1,Souillure&gt;Voies!W1019-1,Honneur&gt;X1019-1,Statut&gt;Y1019-1,Gloire&gt;Z1019-1,AV1019=TRUE),Voies!B1019,"")</f>
        <v/>
      </c>
      <c r="B1019" s="162" t="s">
        <v>2196</v>
      </c>
      <c r="C1019" s="162" t="b">
        <f>IF(Clan=Voies!D1019,TRUE,FALSE)</f>
        <v>0</v>
      </c>
      <c r="D1019" s="388" t="s">
        <v>185</v>
      </c>
      <c r="E1019" s="13">
        <v>3</v>
      </c>
      <c r="F1019" s="199">
        <v>3</v>
      </c>
      <c r="G1019" s="199" t="s">
        <v>2049</v>
      </c>
      <c r="H1019" s="162" t="s">
        <v>406</v>
      </c>
      <c r="I1019" s="129" t="str">
        <f t="shared" si="115"/>
        <v>Rien</v>
      </c>
      <c r="J1019" s="146">
        <v>0</v>
      </c>
      <c r="K1019" s="147">
        <v>0</v>
      </c>
      <c r="L1019" s="148">
        <v>0</v>
      </c>
      <c r="M1019" s="149">
        <v>0</v>
      </c>
      <c r="N1019" s="150">
        <v>0</v>
      </c>
      <c r="O1019" s="130">
        <v>0</v>
      </c>
      <c r="P1019" s="130">
        <v>0</v>
      </c>
      <c r="Q1019" s="130">
        <v>0</v>
      </c>
      <c r="R1019" s="130">
        <v>0</v>
      </c>
      <c r="S1019" s="130">
        <v>0</v>
      </c>
      <c r="T1019" s="130">
        <v>0</v>
      </c>
      <c r="U1019" s="130">
        <v>0</v>
      </c>
      <c r="V1019" s="524">
        <v>0</v>
      </c>
      <c r="W1019" s="130">
        <v>0</v>
      </c>
      <c r="X1019" s="130">
        <v>0</v>
      </c>
      <c r="Y1019" s="130">
        <v>0</v>
      </c>
      <c r="Z1019" s="130">
        <v>0</v>
      </c>
      <c r="AA1019" s="158" t="s">
        <v>2078</v>
      </c>
      <c r="AB1019" s="158"/>
      <c r="AC1019" s="158"/>
      <c r="AD1019" s="158"/>
      <c r="AE1019" s="158" t="b">
        <f>IF(AB1019="",TRUE,IF(IF(AC1019="",VLOOKUP(AB1019,Calculs!$A$19:$S$425,19,FALSE),VLOOKUP(AC1019,Calculs!$A$19:$S$425,19,FALSE))&gt;=AD1019,TRUE,FALSE))</f>
        <v>1</v>
      </c>
      <c r="AF1019" s="158"/>
      <c r="AG1019" s="158"/>
      <c r="AH1019" s="158"/>
      <c r="AI1019" s="158" t="b">
        <f>IF(AF1019="",TRUE,IF(IF(AG1019="",VLOOKUP(AF1019,Calculs!$A$19:$S$425,19,FALSE),VLOOKUP(AG1019,Calculs!$A$19:$S$425,19,FALSE))&gt;=AH1019,TRUE,FALSE))</f>
        <v>1</v>
      </c>
      <c r="AJ1019" s="158"/>
      <c r="AK1019" s="158"/>
      <c r="AL1019" s="158"/>
      <c r="AM1019" s="158" t="b">
        <f>IF(AJ1019="",TRUE,IF(IF(AK1019="",VLOOKUP(AJ1019,Calculs!$A$19:$S$425,19,FALSE),VLOOKUP(AK1019,Calculs!$A$19:$S$425,19,FALSE))&gt;=AL1019,TRUE,FALSE))</f>
        <v>1</v>
      </c>
      <c r="AN1019" s="158"/>
      <c r="AO1019" s="158"/>
      <c r="AP1019" s="158"/>
      <c r="AQ1019" s="158" t="b">
        <f>IF(AN1019="",TRUE,IF(IF(AO1019="",VLOOKUP(AN1019,Calculs!$A$19:$S$425,19,FALSE),VLOOKUP(AO1019,Calculs!$A$19:$S$425,19,FALSE))&gt;=AP1019,TRUE,FALSE))</f>
        <v>1</v>
      </c>
      <c r="AR1019" s="158"/>
      <c r="AS1019" s="158" t="b">
        <f>IF(AR1019="",TRUE,IF(VLOOKUP(AR1019,Calculs!$A$427:$G$738,7,FALSE)&gt;0,TRUE,FALSE))</f>
        <v>1</v>
      </c>
      <c r="AT1019" s="158"/>
      <c r="AU1019" s="158" t="b">
        <f>IF(AT1019="",TRUE,IF(VLOOKUP(AT1019,Calculs!$A$740:$G$912,7,FALSE)&gt;0,TRUE,FALSE))</f>
        <v>1</v>
      </c>
      <c r="AV1019" s="158" t="b">
        <f t="shared" si="108"/>
        <v>1</v>
      </c>
      <c r="AW1019" s="158" t="s">
        <v>2078</v>
      </c>
      <c r="AX1019" s="162" t="s">
        <v>3</v>
      </c>
      <c r="AY1019" s="15">
        <v>224</v>
      </c>
      <c r="AZ1019" s="555" t="s">
        <v>2199</v>
      </c>
      <c r="BA1019" s="559">
        <f>IF(Verso!$B$10=Voies!$B1019,1,0)</f>
        <v>0</v>
      </c>
      <c r="BB1019" s="12">
        <f>IF(Verso!$B$11=Voies!$B1019,1,0)</f>
        <v>0</v>
      </c>
      <c r="BC1019" s="12">
        <f>IF(Verso!$B$12=Voies!$B1019,1,0)</f>
        <v>0</v>
      </c>
      <c r="BD1019" s="12">
        <f>IF(Verso!$B$13=Voies!$B1019,1,0)</f>
        <v>0</v>
      </c>
      <c r="BE1019" s="12">
        <f>IF(Verso!$B$14=Voies!$B1019,1,0)</f>
        <v>0</v>
      </c>
      <c r="BF1019" s="12">
        <f>IF(Verso!$B$15=Voies!$B1019,1,0)</f>
        <v>0</v>
      </c>
      <c r="BG1019" s="12">
        <f>IF(Verso!$B$16=Voies!$B1019,1,0)</f>
        <v>0</v>
      </c>
      <c r="BH1019" s="12">
        <f>IF(Verso!$B$17=Voies!$B1019,1,0)</f>
        <v>0</v>
      </c>
      <c r="BI1019" s="557">
        <f t="shared" si="109"/>
        <v>0</v>
      </c>
      <c r="BJ1019" s="196" t="str">
        <f t="shared" si="110"/>
        <v/>
      </c>
      <c r="BK1019" s="196" t="str">
        <f t="shared" si="111"/>
        <v/>
      </c>
      <c r="BL1019" s="295" t="str">
        <f t="shared" si="112"/>
        <v/>
      </c>
    </row>
    <row r="1020" spans="1:65" ht="47.25" customHeight="1" x14ac:dyDescent="0.25">
      <c r="A1020" s="162" t="str">
        <f>IF(AND(Réputation&gt;Voies!E1020-1,OR(C1020=TRUE,Calculs!$I$8&gt;0),Air&gt;Voies!J1020-1,Eau&gt;Voies!K1020-1,Feu&gt;Voies!L1020-1,Terre&gt;Voies!M1020-1,Vide&gt;Voies!N1020-1,Constitution&gt;Voies!O1020-1,Volonté&gt;Voies!P1020-1,Force&gt;Voies!Q1020-1,Perception&gt;Voies!R1020-1,Reflexes&gt;Voies!S1020-1,Agilité&gt;Voies!T1020-1,Intuition&gt;Voies!U1020-1,Intelligence&gt;Voies!V1020-1,Souillure&gt;Voies!W1020-1,Honneur&gt;X1020-1,Statut&gt;Y1020-1,Gloire&gt;Z1020-1,AV1020=TRUE),Voies!B1020,"")</f>
        <v/>
      </c>
      <c r="B1020" s="162" t="s">
        <v>7859</v>
      </c>
      <c r="C1020" s="162" t="b">
        <f>IF(Clan=Voies!D1020,TRUE,FALSE)</f>
        <v>0</v>
      </c>
      <c r="D1020" s="388" t="s">
        <v>185</v>
      </c>
      <c r="E1020" s="13">
        <v>3</v>
      </c>
      <c r="F1020" s="199">
        <v>3</v>
      </c>
      <c r="G1020" s="13" t="s">
        <v>2049</v>
      </c>
      <c r="H1020" s="162" t="s">
        <v>7803</v>
      </c>
      <c r="I1020" s="129" t="str">
        <f t="shared" si="115"/>
        <v>Rien</v>
      </c>
      <c r="J1020" s="146">
        <v>0</v>
      </c>
      <c r="K1020" s="147">
        <v>0</v>
      </c>
      <c r="L1020" s="148">
        <v>0</v>
      </c>
      <c r="M1020" s="149">
        <v>0</v>
      </c>
      <c r="N1020" s="150">
        <v>0</v>
      </c>
      <c r="O1020" s="130">
        <v>0</v>
      </c>
      <c r="P1020" s="130">
        <v>0</v>
      </c>
      <c r="Q1020" s="130">
        <v>0</v>
      </c>
      <c r="R1020" s="130">
        <v>0</v>
      </c>
      <c r="S1020" s="130">
        <v>0</v>
      </c>
      <c r="T1020" s="130">
        <v>0</v>
      </c>
      <c r="U1020" s="130">
        <v>0</v>
      </c>
      <c r="V1020" s="524">
        <v>0</v>
      </c>
      <c r="W1020" s="130">
        <v>0</v>
      </c>
      <c r="X1020" s="130">
        <v>0</v>
      </c>
      <c r="Y1020" s="130">
        <v>0</v>
      </c>
      <c r="Z1020" s="130">
        <v>0</v>
      </c>
      <c r="AA1020" s="158" t="s">
        <v>2078</v>
      </c>
      <c r="AB1020" s="158"/>
      <c r="AC1020" s="158"/>
      <c r="AD1020" s="158"/>
      <c r="AE1020" s="158" t="b">
        <f>IF(AB1020="",TRUE,IF(IF(AC1020="",VLOOKUP(AB1020,Calculs!$A$19:$S$425,19,FALSE),VLOOKUP(AC1020,Calculs!$A$19:$S$425,19,FALSE))&gt;=AD1020,TRUE,FALSE))</f>
        <v>1</v>
      </c>
      <c r="AF1020" s="158"/>
      <c r="AG1020" s="158"/>
      <c r="AH1020" s="158"/>
      <c r="AI1020" s="158" t="b">
        <f>IF(AF1020="",TRUE,IF(IF(AG1020="",VLOOKUP(AF1020,Calculs!$A$19:$S$425,19,FALSE),VLOOKUP(AG1020,Calculs!$A$19:$S$425,19,FALSE))&gt;=AH1020,TRUE,FALSE))</f>
        <v>1</v>
      </c>
      <c r="AJ1020" s="158"/>
      <c r="AK1020" s="158"/>
      <c r="AL1020" s="158"/>
      <c r="AM1020" s="158" t="b">
        <f>IF(AJ1020="",TRUE,IF(IF(AK1020="",VLOOKUP(AJ1020,Calculs!$A$19:$S$425,19,FALSE),VLOOKUP(AK1020,Calculs!$A$19:$S$425,19,FALSE))&gt;=AL1020,TRUE,FALSE))</f>
        <v>1</v>
      </c>
      <c r="AN1020" s="158"/>
      <c r="AO1020" s="158"/>
      <c r="AP1020" s="158"/>
      <c r="AQ1020" s="158" t="b">
        <f>IF(AN1020="",TRUE,IF(IF(AO1020="",VLOOKUP(AN1020,Calculs!$A$19:$S$425,19,FALSE),VLOOKUP(AO1020,Calculs!$A$19:$S$425,19,FALSE))&gt;=AP1020,TRUE,FALSE))</f>
        <v>1</v>
      </c>
      <c r="AR1020" s="158"/>
      <c r="AS1020" s="158" t="b">
        <f>IF(AR1020="",TRUE,IF(VLOOKUP(AR1020,Calculs!$A$427:$G$738,7,FALSE)&gt;0,TRUE,FALSE))</f>
        <v>1</v>
      </c>
      <c r="AT1020" s="158"/>
      <c r="AU1020" s="158" t="b">
        <f>IF(AT1020="",TRUE,IF(VLOOKUP(AT1020,Calculs!$A$740:$G$912,7,FALSE)&gt;0,TRUE,FALSE))</f>
        <v>1</v>
      </c>
      <c r="AV1020" s="158" t="b">
        <f t="shared" si="108"/>
        <v>1</v>
      </c>
      <c r="AW1020" s="158" t="s">
        <v>2078</v>
      </c>
      <c r="AX1020" s="162" t="s">
        <v>7226</v>
      </c>
      <c r="AY1020" s="15">
        <v>71</v>
      </c>
      <c r="AZ1020" s="555" t="s">
        <v>7864</v>
      </c>
      <c r="BA1020" s="559">
        <f>IF(Verso!$B$10=Voies!$B1020,1,0)</f>
        <v>0</v>
      </c>
      <c r="BB1020" s="12">
        <f>IF(Verso!$B$11=Voies!$B1020,1,0)</f>
        <v>0</v>
      </c>
      <c r="BC1020" s="12">
        <f>IF(Verso!$B$12=Voies!$B1020,1,0)</f>
        <v>0</v>
      </c>
      <c r="BD1020" s="12">
        <f>IF(Verso!$B$13=Voies!$B1020,1,0)</f>
        <v>0</v>
      </c>
      <c r="BE1020" s="12">
        <f>IF(Verso!$B$14=Voies!$B1020,1,0)</f>
        <v>0</v>
      </c>
      <c r="BF1020" s="12">
        <f>IF(Verso!$B$15=Voies!$B1020,1,0)</f>
        <v>0</v>
      </c>
      <c r="BG1020" s="12">
        <f>IF(Verso!$B$16=Voies!$B1020,1,0)</f>
        <v>0</v>
      </c>
      <c r="BH1020" s="12">
        <f>IF(Verso!$B$17=Voies!$B1020,1,0)</f>
        <v>0</v>
      </c>
      <c r="BI1020" s="557">
        <f t="shared" si="109"/>
        <v>0</v>
      </c>
      <c r="BJ1020" s="196" t="str">
        <f t="shared" si="110"/>
        <v/>
      </c>
      <c r="BK1020" s="196" t="str">
        <f t="shared" si="111"/>
        <v/>
      </c>
      <c r="BL1020" s="295" t="str">
        <f t="shared" si="112"/>
        <v/>
      </c>
    </row>
    <row r="1021" spans="1:65" ht="47.25" customHeight="1" x14ac:dyDescent="0.25">
      <c r="A1021" s="162" t="str">
        <f>IF(AND(Réputation&gt;Voies!E1021-1,OR(C1021=TRUE,Calculs!$I$8&gt;0),Air&gt;Voies!J1021-1,Eau&gt;Voies!K1021-1,Feu&gt;Voies!L1021-1,Terre&gt;Voies!M1021-1,Vide&gt;Voies!N1021-1,Constitution&gt;Voies!O1021-1,Volonté&gt;Voies!P1021-1,Force&gt;Voies!Q1021-1,Perception&gt;Voies!R1021-1,Reflexes&gt;Voies!S1021-1,Agilité&gt;Voies!T1021-1,Intuition&gt;Voies!U1021-1,Intelligence&gt;Voies!V1021-1,Souillure&gt;Voies!W1021-1,Honneur&gt;X1021-1,Statut&gt;Y1021-1,Gloire&gt;Z1021-1,AV1021=TRUE),Voies!B1021,"")</f>
        <v/>
      </c>
      <c r="B1021" s="162" t="s">
        <v>2197</v>
      </c>
      <c r="C1021" s="162" t="b">
        <f>IF(Clan=Voies!D1021,TRUE,FALSE)</f>
        <v>0</v>
      </c>
      <c r="D1021" s="388" t="s">
        <v>185</v>
      </c>
      <c r="E1021" s="199">
        <v>4</v>
      </c>
      <c r="F1021" s="199">
        <v>4</v>
      </c>
      <c r="G1021" s="199" t="s">
        <v>2049</v>
      </c>
      <c r="H1021" s="162" t="s">
        <v>406</v>
      </c>
      <c r="I1021" s="129" t="str">
        <f t="shared" si="115"/>
        <v>Rien</v>
      </c>
      <c r="J1021" s="146">
        <v>0</v>
      </c>
      <c r="K1021" s="147">
        <v>0</v>
      </c>
      <c r="L1021" s="148">
        <v>0</v>
      </c>
      <c r="M1021" s="149">
        <v>0</v>
      </c>
      <c r="N1021" s="150">
        <v>0</v>
      </c>
      <c r="O1021" s="130">
        <v>0</v>
      </c>
      <c r="P1021" s="130">
        <v>0</v>
      </c>
      <c r="Q1021" s="130">
        <v>0</v>
      </c>
      <c r="R1021" s="130">
        <v>0</v>
      </c>
      <c r="S1021" s="130">
        <v>0</v>
      </c>
      <c r="T1021" s="130">
        <v>0</v>
      </c>
      <c r="U1021" s="130">
        <v>0</v>
      </c>
      <c r="V1021" s="524">
        <v>0</v>
      </c>
      <c r="W1021" s="130">
        <v>0</v>
      </c>
      <c r="X1021" s="130">
        <v>0</v>
      </c>
      <c r="Y1021" s="130">
        <v>0</v>
      </c>
      <c r="Z1021" s="130">
        <v>0</v>
      </c>
      <c r="AA1021" s="158" t="s">
        <v>2078</v>
      </c>
      <c r="AB1021" s="158"/>
      <c r="AC1021" s="158"/>
      <c r="AD1021" s="158"/>
      <c r="AE1021" s="158" t="b">
        <f>IF(AB1021="",TRUE,IF(IF(AC1021="",VLOOKUP(AB1021,Calculs!$A$19:$S$425,19,FALSE),VLOOKUP(AC1021,Calculs!$A$19:$S$425,19,FALSE))&gt;=AD1021,TRUE,FALSE))</f>
        <v>1</v>
      </c>
      <c r="AF1021" s="158"/>
      <c r="AG1021" s="158"/>
      <c r="AH1021" s="158"/>
      <c r="AI1021" s="158" t="b">
        <f>IF(AF1021="",TRUE,IF(IF(AG1021="",VLOOKUP(AF1021,Calculs!$A$19:$S$425,19,FALSE),VLOOKUP(AG1021,Calculs!$A$19:$S$425,19,FALSE))&gt;=AH1021,TRUE,FALSE))</f>
        <v>1</v>
      </c>
      <c r="AJ1021" s="158"/>
      <c r="AK1021" s="158"/>
      <c r="AL1021" s="158"/>
      <c r="AM1021" s="158" t="b">
        <f>IF(AJ1021="",TRUE,IF(IF(AK1021="",VLOOKUP(AJ1021,Calculs!$A$19:$S$425,19,FALSE),VLOOKUP(AK1021,Calculs!$A$19:$S$425,19,FALSE))&gt;=AL1021,TRUE,FALSE))</f>
        <v>1</v>
      </c>
      <c r="AN1021" s="158"/>
      <c r="AO1021" s="158"/>
      <c r="AP1021" s="158"/>
      <c r="AQ1021" s="158" t="b">
        <f>IF(AN1021="",TRUE,IF(IF(AO1021="",VLOOKUP(AN1021,Calculs!$A$19:$S$425,19,FALSE),VLOOKUP(AO1021,Calculs!$A$19:$S$425,19,FALSE))&gt;=AP1021,TRUE,FALSE))</f>
        <v>1</v>
      </c>
      <c r="AR1021" s="158"/>
      <c r="AS1021" s="158" t="b">
        <f>IF(AR1021="",TRUE,IF(VLOOKUP(AR1021,Calculs!$A$427:$G$738,7,FALSE)&gt;0,TRUE,FALSE))</f>
        <v>1</v>
      </c>
      <c r="AT1021" s="158"/>
      <c r="AU1021" s="158" t="b">
        <f>IF(AT1021="",TRUE,IF(VLOOKUP(AT1021,Calculs!$A$740:$G$912,7,FALSE)&gt;0,TRUE,FALSE))</f>
        <v>1</v>
      </c>
      <c r="AV1021" s="158" t="b">
        <f t="shared" si="108"/>
        <v>1</v>
      </c>
      <c r="AW1021" s="158" t="s">
        <v>2078</v>
      </c>
      <c r="AX1021" s="162" t="s">
        <v>3</v>
      </c>
      <c r="AY1021" s="15">
        <v>224</v>
      </c>
      <c r="AZ1021" s="555" t="s">
        <v>8764</v>
      </c>
      <c r="BA1021" s="559">
        <f>IF(Verso!$B$10=Voies!$B1021,1,0)</f>
        <v>0</v>
      </c>
      <c r="BB1021" s="12">
        <f>IF(Verso!$B$11=Voies!$B1021,1,0)</f>
        <v>0</v>
      </c>
      <c r="BC1021" s="12">
        <f>IF(Verso!$B$12=Voies!$B1021,1,0)</f>
        <v>0</v>
      </c>
      <c r="BD1021" s="12">
        <f>IF(Verso!$B$13=Voies!$B1021,1,0)</f>
        <v>0</v>
      </c>
      <c r="BE1021" s="12">
        <f>IF(Verso!$B$14=Voies!$B1021,1,0)</f>
        <v>0</v>
      </c>
      <c r="BF1021" s="12">
        <f>IF(Verso!$B$15=Voies!$B1021,1,0)</f>
        <v>0</v>
      </c>
      <c r="BG1021" s="12">
        <f>IF(Verso!$B$16=Voies!$B1021,1,0)</f>
        <v>0</v>
      </c>
      <c r="BH1021" s="12">
        <f>IF(Verso!$B$17=Voies!$B1021,1,0)</f>
        <v>0</v>
      </c>
      <c r="BI1021" s="557">
        <f t="shared" si="109"/>
        <v>0</v>
      </c>
      <c r="BJ1021" s="196" t="str">
        <f t="shared" si="110"/>
        <v/>
      </c>
      <c r="BK1021" s="196" t="str">
        <f t="shared" si="111"/>
        <v/>
      </c>
      <c r="BL1021" s="295" t="str">
        <f t="shared" si="112"/>
        <v/>
      </c>
    </row>
    <row r="1022" spans="1:65" ht="47.25" customHeight="1" x14ac:dyDescent="0.25">
      <c r="A1022" s="162" t="str">
        <f>IF(AND(Réputation&gt;Voies!E1022-1,OR(C1022=TRUE,Calculs!$I$8&gt;0),Air&gt;Voies!J1022-1,Eau&gt;Voies!K1022-1,Feu&gt;Voies!L1022-1,Terre&gt;Voies!M1022-1,Vide&gt;Voies!N1022-1,Constitution&gt;Voies!O1022-1,Volonté&gt;Voies!P1022-1,Force&gt;Voies!Q1022-1,Perception&gt;Voies!R1022-1,Reflexes&gt;Voies!S1022-1,Agilité&gt;Voies!T1022-1,Intuition&gt;Voies!U1022-1,Intelligence&gt;Voies!V1022-1,Souillure&gt;Voies!W1022-1,Honneur&gt;X1022-1,Statut&gt;Y1022-1,Gloire&gt;Z1022-1,AV1022=TRUE),Voies!B1022,"")</f>
        <v/>
      </c>
      <c r="B1022" s="162" t="s">
        <v>7860</v>
      </c>
      <c r="C1022" s="162" t="b">
        <f>IF(Clan=Voies!D1022,TRUE,FALSE)</f>
        <v>0</v>
      </c>
      <c r="D1022" s="388" t="s">
        <v>185</v>
      </c>
      <c r="E1022" s="199">
        <v>4</v>
      </c>
      <c r="F1022" s="199">
        <v>4</v>
      </c>
      <c r="G1022" s="199" t="s">
        <v>2049</v>
      </c>
      <c r="H1022" s="162" t="s">
        <v>7803</v>
      </c>
      <c r="I1022" s="129" t="str">
        <f t="shared" si="115"/>
        <v>Rien</v>
      </c>
      <c r="J1022" s="146">
        <v>0</v>
      </c>
      <c r="K1022" s="147">
        <v>0</v>
      </c>
      <c r="L1022" s="148">
        <v>0</v>
      </c>
      <c r="M1022" s="149">
        <v>0</v>
      </c>
      <c r="N1022" s="150">
        <v>0</v>
      </c>
      <c r="O1022" s="130">
        <v>0</v>
      </c>
      <c r="P1022" s="130">
        <v>0</v>
      </c>
      <c r="Q1022" s="130">
        <v>0</v>
      </c>
      <c r="R1022" s="130">
        <v>0</v>
      </c>
      <c r="S1022" s="130">
        <v>0</v>
      </c>
      <c r="T1022" s="130">
        <v>0</v>
      </c>
      <c r="U1022" s="130">
        <v>0</v>
      </c>
      <c r="V1022" s="524">
        <v>0</v>
      </c>
      <c r="W1022" s="130">
        <v>0</v>
      </c>
      <c r="X1022" s="130">
        <v>0</v>
      </c>
      <c r="Y1022" s="130">
        <v>0</v>
      </c>
      <c r="Z1022" s="130">
        <v>0</v>
      </c>
      <c r="AA1022" s="158" t="s">
        <v>2078</v>
      </c>
      <c r="AB1022" s="158"/>
      <c r="AC1022" s="158"/>
      <c r="AD1022" s="158"/>
      <c r="AE1022" s="158" t="b">
        <f>IF(AB1022="",TRUE,IF(IF(AC1022="",VLOOKUP(AB1022,Calculs!$A$19:$S$425,19,FALSE),VLOOKUP(AC1022,Calculs!$A$19:$S$425,19,FALSE))&gt;=AD1022,TRUE,FALSE))</f>
        <v>1</v>
      </c>
      <c r="AF1022" s="158"/>
      <c r="AG1022" s="158"/>
      <c r="AH1022" s="158"/>
      <c r="AI1022" s="158" t="b">
        <f>IF(AF1022="",TRUE,IF(IF(AG1022="",VLOOKUP(AF1022,Calculs!$A$19:$S$425,19,FALSE),VLOOKUP(AG1022,Calculs!$A$19:$S$425,19,FALSE))&gt;=AH1022,TRUE,FALSE))</f>
        <v>1</v>
      </c>
      <c r="AJ1022" s="158"/>
      <c r="AK1022" s="158"/>
      <c r="AL1022" s="158"/>
      <c r="AM1022" s="158" t="b">
        <f>IF(AJ1022="",TRUE,IF(IF(AK1022="",VLOOKUP(AJ1022,Calculs!$A$19:$S$425,19,FALSE),VLOOKUP(AK1022,Calculs!$A$19:$S$425,19,FALSE))&gt;=AL1022,TRUE,FALSE))</f>
        <v>1</v>
      </c>
      <c r="AN1022" s="158"/>
      <c r="AO1022" s="158"/>
      <c r="AP1022" s="158"/>
      <c r="AQ1022" s="158" t="b">
        <f>IF(AN1022="",TRUE,IF(IF(AO1022="",VLOOKUP(AN1022,Calculs!$A$19:$S$425,19,FALSE),VLOOKUP(AO1022,Calculs!$A$19:$S$425,19,FALSE))&gt;=AP1022,TRUE,FALSE))</f>
        <v>1</v>
      </c>
      <c r="AR1022" s="158"/>
      <c r="AS1022" s="158" t="b">
        <f>IF(AR1022="",TRUE,IF(VLOOKUP(AR1022,Calculs!$A$427:$G$738,7,FALSE)&gt;0,TRUE,FALSE))</f>
        <v>1</v>
      </c>
      <c r="AT1022" s="158"/>
      <c r="AU1022" s="158" t="b">
        <f>IF(AT1022="",TRUE,IF(VLOOKUP(AT1022,Calculs!$A$740:$G$912,7,FALSE)&gt;0,TRUE,FALSE))</f>
        <v>1</v>
      </c>
      <c r="AV1022" s="158" t="b">
        <f t="shared" si="108"/>
        <v>1</v>
      </c>
      <c r="AW1022" s="158" t="s">
        <v>2078</v>
      </c>
      <c r="AX1022" s="162" t="s">
        <v>7226</v>
      </c>
      <c r="AY1022" s="15">
        <v>71</v>
      </c>
      <c r="AZ1022" s="555" t="s">
        <v>8765</v>
      </c>
      <c r="BA1022" s="559">
        <f>IF(Verso!$B$10=Voies!$B1022,1,0)</f>
        <v>0</v>
      </c>
      <c r="BB1022" s="12">
        <f>IF(Verso!$B$11=Voies!$B1022,1,0)</f>
        <v>0</v>
      </c>
      <c r="BC1022" s="12">
        <f>IF(Verso!$B$12=Voies!$B1022,1,0)</f>
        <v>0</v>
      </c>
      <c r="BD1022" s="12">
        <f>IF(Verso!$B$13=Voies!$B1022,1,0)</f>
        <v>0</v>
      </c>
      <c r="BE1022" s="12">
        <f>IF(Verso!$B$14=Voies!$B1022,1,0)</f>
        <v>0</v>
      </c>
      <c r="BF1022" s="12">
        <f>IF(Verso!$B$15=Voies!$B1022,1,0)</f>
        <v>0</v>
      </c>
      <c r="BG1022" s="12">
        <f>IF(Verso!$B$16=Voies!$B1022,1,0)</f>
        <v>0</v>
      </c>
      <c r="BH1022" s="12">
        <f>IF(Verso!$B$17=Voies!$B1022,1,0)</f>
        <v>0</v>
      </c>
      <c r="BI1022" s="557">
        <f t="shared" si="109"/>
        <v>0</v>
      </c>
      <c r="BJ1022" s="196" t="str">
        <f t="shared" si="110"/>
        <v/>
      </c>
      <c r="BK1022" s="196" t="str">
        <f t="shared" si="111"/>
        <v/>
      </c>
      <c r="BL1022" s="295" t="str">
        <f t="shared" si="112"/>
        <v/>
      </c>
    </row>
    <row r="1023" spans="1:65" ht="47.25" customHeight="1" x14ac:dyDescent="0.25">
      <c r="A1023" s="162" t="str">
        <f>IF(AND(Réputation&gt;Voies!E1023-1,OR(C1023=TRUE,Calculs!$I$8&gt;0),Air&gt;Voies!J1023-1,Eau&gt;Voies!K1023-1,Feu&gt;Voies!L1023-1,Terre&gt;Voies!M1023-1,Vide&gt;Voies!N1023-1,Constitution&gt;Voies!O1023-1,Volonté&gt;Voies!P1023-1,Force&gt;Voies!Q1023-1,Perception&gt;Voies!R1023-1,Reflexes&gt;Voies!S1023-1,Agilité&gt;Voies!T1023-1,Intuition&gt;Voies!U1023-1,Intelligence&gt;Voies!V1023-1,Souillure&gt;Voies!W1023-1,Honneur&gt;X1023-1,Statut&gt;Y1023-1,Gloire&gt;Z1023-1,AV1023=TRUE),Voies!B1023,"")</f>
        <v/>
      </c>
      <c r="B1023" s="162" t="s">
        <v>2198</v>
      </c>
      <c r="C1023" s="162" t="b">
        <f>IF(Clan=Voies!D1023,TRUE,FALSE)</f>
        <v>0</v>
      </c>
      <c r="D1023" s="388" t="s">
        <v>185</v>
      </c>
      <c r="E1023" s="199">
        <v>5</v>
      </c>
      <c r="F1023" s="199">
        <v>5</v>
      </c>
      <c r="G1023" s="199" t="s">
        <v>2049</v>
      </c>
      <c r="H1023" s="162" t="s">
        <v>406</v>
      </c>
      <c r="I1023" s="129" t="str">
        <f t="shared" si="115"/>
        <v>Rien</v>
      </c>
      <c r="J1023" s="146">
        <v>0</v>
      </c>
      <c r="K1023" s="147">
        <v>0</v>
      </c>
      <c r="L1023" s="148">
        <v>0</v>
      </c>
      <c r="M1023" s="149">
        <v>0</v>
      </c>
      <c r="N1023" s="150">
        <v>0</v>
      </c>
      <c r="O1023" s="130">
        <v>0</v>
      </c>
      <c r="P1023" s="130">
        <v>0</v>
      </c>
      <c r="Q1023" s="130">
        <v>0</v>
      </c>
      <c r="R1023" s="130">
        <v>0</v>
      </c>
      <c r="S1023" s="130">
        <v>0</v>
      </c>
      <c r="T1023" s="130">
        <v>0</v>
      </c>
      <c r="U1023" s="130">
        <v>0</v>
      </c>
      <c r="V1023" s="524">
        <v>0</v>
      </c>
      <c r="W1023" s="130">
        <v>0</v>
      </c>
      <c r="X1023" s="130">
        <v>0</v>
      </c>
      <c r="Y1023" s="130">
        <v>0</v>
      </c>
      <c r="Z1023" s="130">
        <v>0</v>
      </c>
      <c r="AA1023" s="158" t="s">
        <v>2078</v>
      </c>
      <c r="AB1023" s="158"/>
      <c r="AC1023" s="158"/>
      <c r="AD1023" s="158"/>
      <c r="AE1023" s="158" t="b">
        <f>IF(AB1023="",TRUE,IF(IF(AC1023="",VLOOKUP(AB1023,Calculs!$A$19:$S$425,19,FALSE),VLOOKUP(AC1023,Calculs!$A$19:$S$425,19,FALSE))&gt;=AD1023,TRUE,FALSE))</f>
        <v>1</v>
      </c>
      <c r="AF1023" s="158"/>
      <c r="AG1023" s="158"/>
      <c r="AH1023" s="158"/>
      <c r="AI1023" s="158" t="b">
        <f>IF(AF1023="",TRUE,IF(IF(AG1023="",VLOOKUP(AF1023,Calculs!$A$19:$S$425,19,FALSE),VLOOKUP(AG1023,Calculs!$A$19:$S$425,19,FALSE))&gt;=AH1023,TRUE,FALSE))</f>
        <v>1</v>
      </c>
      <c r="AJ1023" s="158"/>
      <c r="AK1023" s="158"/>
      <c r="AL1023" s="158"/>
      <c r="AM1023" s="158" t="b">
        <f>IF(AJ1023="",TRUE,IF(IF(AK1023="",VLOOKUP(AJ1023,Calculs!$A$19:$S$425,19,FALSE),VLOOKUP(AK1023,Calculs!$A$19:$S$425,19,FALSE))&gt;=AL1023,TRUE,FALSE))</f>
        <v>1</v>
      </c>
      <c r="AN1023" s="158"/>
      <c r="AO1023" s="158"/>
      <c r="AP1023" s="158"/>
      <c r="AQ1023" s="158" t="b">
        <f>IF(AN1023="",TRUE,IF(IF(AO1023="",VLOOKUP(AN1023,Calculs!$A$19:$S$425,19,FALSE),VLOOKUP(AO1023,Calculs!$A$19:$S$425,19,FALSE))&gt;=AP1023,TRUE,FALSE))</f>
        <v>1</v>
      </c>
      <c r="AR1023" s="158"/>
      <c r="AS1023" s="158" t="b">
        <f>IF(AR1023="",TRUE,IF(VLOOKUP(AR1023,Calculs!$A$427:$G$738,7,FALSE)&gt;0,TRUE,FALSE))</f>
        <v>1</v>
      </c>
      <c r="AT1023" s="158"/>
      <c r="AU1023" s="158" t="b">
        <f>IF(AT1023="",TRUE,IF(VLOOKUP(AT1023,Calculs!$A$740:$G$912,7,FALSE)&gt;0,TRUE,FALSE))</f>
        <v>1</v>
      </c>
      <c r="AV1023" s="158" t="b">
        <f t="shared" si="108"/>
        <v>1</v>
      </c>
      <c r="AW1023" s="158" t="s">
        <v>2078</v>
      </c>
      <c r="AX1023" s="162" t="s">
        <v>3</v>
      </c>
      <c r="AY1023" s="15">
        <v>224</v>
      </c>
      <c r="AZ1023" s="555" t="s">
        <v>2200</v>
      </c>
      <c r="BA1023" s="559">
        <f>IF(Verso!$B$10=Voies!$B1023,1,0)</f>
        <v>0</v>
      </c>
      <c r="BB1023" s="12">
        <f>IF(Verso!$B$11=Voies!$B1023,1,0)</f>
        <v>0</v>
      </c>
      <c r="BC1023" s="12">
        <f>IF(Verso!$B$12=Voies!$B1023,1,0)</f>
        <v>0</v>
      </c>
      <c r="BD1023" s="12">
        <f>IF(Verso!$B$13=Voies!$B1023,1,0)</f>
        <v>0</v>
      </c>
      <c r="BE1023" s="12">
        <f>IF(Verso!$B$14=Voies!$B1023,1,0)</f>
        <v>0</v>
      </c>
      <c r="BF1023" s="12">
        <f>IF(Verso!$B$15=Voies!$B1023,1,0)</f>
        <v>0</v>
      </c>
      <c r="BG1023" s="12">
        <f>IF(Verso!$B$16=Voies!$B1023,1,0)</f>
        <v>0</v>
      </c>
      <c r="BH1023" s="12">
        <f>IF(Verso!$B$17=Voies!$B1023,1,0)</f>
        <v>0</v>
      </c>
      <c r="BI1023" s="557">
        <f t="shared" si="109"/>
        <v>0</v>
      </c>
      <c r="BJ1023" s="196" t="str">
        <f t="shared" si="110"/>
        <v/>
      </c>
      <c r="BK1023" s="196" t="str">
        <f t="shared" si="111"/>
        <v/>
      </c>
      <c r="BL1023" s="295" t="str">
        <f t="shared" si="112"/>
        <v/>
      </c>
    </row>
    <row r="1024" spans="1:65" ht="47.25" customHeight="1" x14ac:dyDescent="0.25">
      <c r="A1024" s="162" t="str">
        <f>IF(AND(Réputation&gt;Voies!E1024-1,OR(C1024=TRUE,Calculs!$I$8&gt;0),Air&gt;Voies!J1024-1,Eau&gt;Voies!K1024-1,Feu&gt;Voies!L1024-1,Terre&gt;Voies!M1024-1,Vide&gt;Voies!N1024-1,Constitution&gt;Voies!O1024-1,Volonté&gt;Voies!P1024-1,Force&gt;Voies!Q1024-1,Perception&gt;Voies!R1024-1,Reflexes&gt;Voies!S1024-1,Agilité&gt;Voies!T1024-1,Intuition&gt;Voies!U1024-1,Intelligence&gt;Voies!V1024-1,Souillure&gt;Voies!W1024-1,Honneur&gt;X1024-1,Statut&gt;Y1024-1,Gloire&gt;Z1024-1,AV1024=TRUE),Voies!B1024,"")</f>
        <v/>
      </c>
      <c r="B1024" s="162" t="s">
        <v>7861</v>
      </c>
      <c r="C1024" s="162" t="b">
        <f>IF(Clan=Voies!D1024,TRUE,FALSE)</f>
        <v>0</v>
      </c>
      <c r="D1024" s="388" t="s">
        <v>185</v>
      </c>
      <c r="E1024" s="199">
        <v>5</v>
      </c>
      <c r="F1024" s="199">
        <v>5</v>
      </c>
      <c r="G1024" s="199" t="s">
        <v>2049</v>
      </c>
      <c r="H1024" s="162" t="s">
        <v>7803</v>
      </c>
      <c r="I1024" s="129" t="str">
        <f t="shared" si="115"/>
        <v>Rien</v>
      </c>
      <c r="J1024" s="146">
        <v>0</v>
      </c>
      <c r="K1024" s="147">
        <v>0</v>
      </c>
      <c r="L1024" s="148">
        <v>0</v>
      </c>
      <c r="M1024" s="149">
        <v>0</v>
      </c>
      <c r="N1024" s="150">
        <v>0</v>
      </c>
      <c r="O1024" s="130">
        <v>0</v>
      </c>
      <c r="P1024" s="130">
        <v>0</v>
      </c>
      <c r="Q1024" s="130">
        <v>0</v>
      </c>
      <c r="R1024" s="130">
        <v>0</v>
      </c>
      <c r="S1024" s="130">
        <v>0</v>
      </c>
      <c r="T1024" s="130">
        <v>0</v>
      </c>
      <c r="U1024" s="130">
        <v>0</v>
      </c>
      <c r="V1024" s="524">
        <v>0</v>
      </c>
      <c r="W1024" s="130">
        <v>0</v>
      </c>
      <c r="X1024" s="130">
        <v>0</v>
      </c>
      <c r="Y1024" s="130">
        <v>0</v>
      </c>
      <c r="Z1024" s="130">
        <v>0</v>
      </c>
      <c r="AA1024" s="158" t="s">
        <v>2078</v>
      </c>
      <c r="AB1024" s="158"/>
      <c r="AC1024" s="158"/>
      <c r="AD1024" s="158"/>
      <c r="AE1024" s="158" t="b">
        <f>IF(AB1024="",TRUE,IF(IF(AC1024="",VLOOKUP(AB1024,Calculs!$A$19:$S$425,19,FALSE),VLOOKUP(AC1024,Calculs!$A$19:$S$425,19,FALSE))&gt;=AD1024,TRUE,FALSE))</f>
        <v>1</v>
      </c>
      <c r="AF1024" s="158"/>
      <c r="AG1024" s="158"/>
      <c r="AH1024" s="158"/>
      <c r="AI1024" s="158" t="b">
        <f>IF(AF1024="",TRUE,IF(IF(AG1024="",VLOOKUP(AF1024,Calculs!$A$19:$S$425,19,FALSE),VLOOKUP(AG1024,Calculs!$A$19:$S$425,19,FALSE))&gt;=AH1024,TRUE,FALSE))</f>
        <v>1</v>
      </c>
      <c r="AJ1024" s="158"/>
      <c r="AK1024" s="158"/>
      <c r="AL1024" s="158"/>
      <c r="AM1024" s="158" t="b">
        <f>IF(AJ1024="",TRUE,IF(IF(AK1024="",VLOOKUP(AJ1024,Calculs!$A$19:$S$425,19,FALSE),VLOOKUP(AK1024,Calculs!$A$19:$S$425,19,FALSE))&gt;=AL1024,TRUE,FALSE))</f>
        <v>1</v>
      </c>
      <c r="AN1024" s="158"/>
      <c r="AO1024" s="158"/>
      <c r="AP1024" s="158"/>
      <c r="AQ1024" s="158" t="b">
        <f>IF(AN1024="",TRUE,IF(IF(AO1024="",VLOOKUP(AN1024,Calculs!$A$19:$S$425,19,FALSE),VLOOKUP(AO1024,Calculs!$A$19:$S$425,19,FALSE))&gt;=AP1024,TRUE,FALSE))</f>
        <v>1</v>
      </c>
      <c r="AR1024" s="158"/>
      <c r="AS1024" s="158" t="b">
        <f>IF(AR1024="",TRUE,IF(VLOOKUP(AR1024,Calculs!$A$427:$G$738,7,FALSE)&gt;0,TRUE,FALSE))</f>
        <v>1</v>
      </c>
      <c r="AT1024" s="158"/>
      <c r="AU1024" s="158" t="b">
        <f>IF(AT1024="",TRUE,IF(VLOOKUP(AT1024,Calculs!$A$740:$G$912,7,FALSE)&gt;0,TRUE,FALSE))</f>
        <v>1</v>
      </c>
      <c r="AV1024" s="158" t="b">
        <f t="shared" si="108"/>
        <v>1</v>
      </c>
      <c r="AW1024" s="158" t="s">
        <v>2078</v>
      </c>
      <c r="AX1024" s="162" t="s">
        <v>7226</v>
      </c>
      <c r="AY1024" s="15">
        <v>71</v>
      </c>
      <c r="AZ1024" s="555" t="s">
        <v>7863</v>
      </c>
      <c r="BA1024" s="559">
        <f>IF(Verso!$B$10=Voies!$B1024,1,0)</f>
        <v>0</v>
      </c>
      <c r="BB1024" s="12">
        <f>IF(Verso!$B$11=Voies!$B1024,1,0)</f>
        <v>0</v>
      </c>
      <c r="BC1024" s="12">
        <f>IF(Verso!$B$12=Voies!$B1024,1,0)</f>
        <v>0</v>
      </c>
      <c r="BD1024" s="12">
        <f>IF(Verso!$B$13=Voies!$B1024,1,0)</f>
        <v>0</v>
      </c>
      <c r="BE1024" s="12">
        <f>IF(Verso!$B$14=Voies!$B1024,1,0)</f>
        <v>0</v>
      </c>
      <c r="BF1024" s="12">
        <f>IF(Verso!$B$15=Voies!$B1024,1,0)</f>
        <v>0</v>
      </c>
      <c r="BG1024" s="12">
        <f>IF(Verso!$B$16=Voies!$B1024,1,0)</f>
        <v>0</v>
      </c>
      <c r="BH1024" s="12">
        <f>IF(Verso!$B$17=Voies!$B1024,1,0)</f>
        <v>0</v>
      </c>
      <c r="BI1024" s="557">
        <f t="shared" si="109"/>
        <v>0</v>
      </c>
      <c r="BJ1024" s="196" t="str">
        <f t="shared" si="110"/>
        <v/>
      </c>
      <c r="BK1024" s="196" t="str">
        <f t="shared" si="111"/>
        <v/>
      </c>
      <c r="BL1024" s="295" t="str">
        <f t="shared" si="112"/>
        <v/>
      </c>
    </row>
    <row r="1025" spans="1:65" s="196" customFormat="1" ht="47.25" customHeight="1" x14ac:dyDescent="0.25">
      <c r="A1025" s="162" t="str">
        <f>IF(AND(Réputation&gt;Voies!E1025-1,OR(C1025=TRUE,Calculs!$I$8&gt;0),Air&gt;Voies!J1025-1,Eau&gt;Voies!K1025-1,Feu&gt;Voies!L1025-1,Terre&gt;Voies!M1025-1,Vide&gt;Voies!N1025-1,Constitution&gt;Voies!O1025-1,Volonté&gt;Voies!P1025-1,Force&gt;Voies!Q1025-1,Perception&gt;Voies!R1025-1,Reflexes&gt;Voies!S1025-1,Agilité&gt;Voies!T1025-1,Intuition&gt;Voies!U1025-1,Intelligence&gt;Voies!V1025-1,Souillure&gt;Voies!W1025-1,Honneur&gt;X1025-1,Statut&gt;Y1025-1,Gloire&gt;Z1025-1,AV1025=TRUE),Voies!B1025,"")</f>
        <v>Âme Prometteuse</v>
      </c>
      <c r="B1025" s="162" t="s">
        <v>3246</v>
      </c>
      <c r="C1025" s="162" t="b">
        <v>1</v>
      </c>
      <c r="D1025" s="387" t="s">
        <v>627</v>
      </c>
      <c r="E1025" s="199">
        <v>0</v>
      </c>
      <c r="F1025" s="199">
        <v>0</v>
      </c>
      <c r="G1025" s="157" t="s">
        <v>2078</v>
      </c>
      <c r="H1025" s="162" t="s">
        <v>558</v>
      </c>
      <c r="I1025" s="129" t="s">
        <v>3235</v>
      </c>
      <c r="J1025" s="146">
        <v>0</v>
      </c>
      <c r="K1025" s="147">
        <v>0</v>
      </c>
      <c r="L1025" s="148">
        <v>0</v>
      </c>
      <c r="M1025" s="149">
        <v>0</v>
      </c>
      <c r="N1025" s="150">
        <v>0</v>
      </c>
      <c r="O1025" s="130">
        <v>0</v>
      </c>
      <c r="P1025" s="130">
        <v>0</v>
      </c>
      <c r="Q1025" s="130">
        <v>0</v>
      </c>
      <c r="R1025" s="130">
        <v>0</v>
      </c>
      <c r="S1025" s="130">
        <v>0</v>
      </c>
      <c r="T1025" s="130">
        <v>0</v>
      </c>
      <c r="U1025" s="130">
        <v>0</v>
      </c>
      <c r="V1025" s="524">
        <v>0</v>
      </c>
      <c r="W1025" s="130">
        <v>0</v>
      </c>
      <c r="X1025" s="130">
        <v>0</v>
      </c>
      <c r="Y1025" s="130">
        <v>0</v>
      </c>
      <c r="Z1025" s="130">
        <v>0</v>
      </c>
      <c r="AA1025" s="158" t="s">
        <v>2078</v>
      </c>
      <c r="AB1025" s="158"/>
      <c r="AC1025" s="158"/>
      <c r="AD1025" s="158"/>
      <c r="AE1025" s="158" t="b">
        <f>IF(AB1025="",TRUE,IF(IF(AC1025="",VLOOKUP(AB1025,Calculs!$A$19:$S$425,19,FALSE),VLOOKUP(AC1025,Calculs!$A$19:$S$425,19,FALSE))&gt;=AD1025,TRUE,FALSE))</f>
        <v>1</v>
      </c>
      <c r="AF1025" s="158"/>
      <c r="AG1025" s="158"/>
      <c r="AH1025" s="158"/>
      <c r="AI1025" s="158" t="b">
        <f>IF(AF1025="",TRUE,IF(IF(AG1025="",VLOOKUP(AF1025,Calculs!$A$19:$S$425,19,FALSE),VLOOKUP(AG1025,Calculs!$A$19:$S$425,19,FALSE))&gt;=AH1025,TRUE,FALSE))</f>
        <v>1</v>
      </c>
      <c r="AJ1025" s="158"/>
      <c r="AK1025" s="158"/>
      <c r="AL1025" s="158"/>
      <c r="AM1025" s="158" t="b">
        <f>IF(AJ1025="",TRUE,IF(IF(AK1025="",VLOOKUP(AJ1025,Calculs!$A$19:$S$425,19,FALSE),VLOOKUP(AK1025,Calculs!$A$19:$S$425,19,FALSE))&gt;=AL1025,TRUE,FALSE))</f>
        <v>1</v>
      </c>
      <c r="AN1025" s="158"/>
      <c r="AO1025" s="158"/>
      <c r="AP1025" s="158"/>
      <c r="AQ1025" s="158" t="b">
        <f>IF(AN1025="",TRUE,IF(IF(AO1025="",VLOOKUP(AN1025,Calculs!$A$19:$S$425,19,FALSE),VLOOKUP(AO1025,Calculs!$A$19:$S$425,19,FALSE))&gt;=AP1025,TRUE,FALSE))</f>
        <v>1</v>
      </c>
      <c r="AR1025" s="158"/>
      <c r="AS1025" s="158" t="b">
        <f>IF(AR1025="",TRUE,IF(VLOOKUP(AR1025,Calculs!$A$427:$G$738,7,FALSE)&gt;0,TRUE,FALSE))</f>
        <v>1</v>
      </c>
      <c r="AT1025" s="158"/>
      <c r="AU1025" s="158" t="b">
        <f>IF(AT1025="",TRUE,IF(VLOOKUP(AT1025,Calculs!$A$740:$G$912,7,FALSE)&gt;0,TRUE,FALSE))</f>
        <v>1</v>
      </c>
      <c r="AV1025" s="158" t="b">
        <f t="shared" si="108"/>
        <v>1</v>
      </c>
      <c r="AW1025" s="158" t="s">
        <v>2078</v>
      </c>
      <c r="AX1025" s="162" t="s">
        <v>3</v>
      </c>
      <c r="AY1025" s="151">
        <v>256</v>
      </c>
      <c r="AZ1025" s="555" t="s">
        <v>3254</v>
      </c>
      <c r="BA1025" s="559">
        <f>IF(Verso!$B$10=Voies!$B1025,1,0)</f>
        <v>0</v>
      </c>
      <c r="BB1025" s="12">
        <f>IF(Verso!$B$11=Voies!$B1025,1,0)</f>
        <v>0</v>
      </c>
      <c r="BC1025" s="12">
        <f>IF(Verso!$B$12=Voies!$B1025,1,0)</f>
        <v>0</v>
      </c>
      <c r="BD1025" s="12">
        <f>IF(Verso!$B$13=Voies!$B1025,1,0)</f>
        <v>0</v>
      </c>
      <c r="BE1025" s="12">
        <f>IF(Verso!$B$14=Voies!$B1025,1,0)</f>
        <v>0</v>
      </c>
      <c r="BF1025" s="12">
        <f>IF(Verso!$B$15=Voies!$B1025,1,0)</f>
        <v>0</v>
      </c>
      <c r="BG1025" s="12">
        <f>IF(Verso!$B$16=Voies!$B1025,1,0)</f>
        <v>0</v>
      </c>
      <c r="BH1025" s="12">
        <f>IF(Verso!$B$17=Voies!$B1025,1,0)</f>
        <v>0</v>
      </c>
      <c r="BI1025" s="557">
        <f t="shared" si="109"/>
        <v>0</v>
      </c>
      <c r="BJ1025" s="196">
        <f t="shared" si="110"/>
        <v>1025</v>
      </c>
      <c r="BK1025" s="196" t="str">
        <f t="shared" si="111"/>
        <v/>
      </c>
      <c r="BL1025" s="295" t="str">
        <f t="shared" si="112"/>
        <v/>
      </c>
      <c r="BM1025" s="91"/>
    </row>
    <row r="1026" spans="1:65" s="196" customFormat="1" ht="47.25" customHeight="1" x14ac:dyDescent="0.25">
      <c r="A1026" s="162" t="str">
        <f>IF(AND(Réputation&gt;Voies!E1026-1,OR(C1026=TRUE,Calculs!$I$8&gt;0),Air&gt;Voies!J1026-1,Eau&gt;Voies!K1026-1,Feu&gt;Voies!L1026-1,Terre&gt;Voies!M1026-1,Vide&gt;Voies!N1026-1,Constitution&gt;Voies!O1026-1,Volonté&gt;Voies!P1026-1,Force&gt;Voies!Q1026-1,Perception&gt;Voies!R1026-1,Reflexes&gt;Voies!S1026-1,Agilité&gt;Voies!T1026-1,Intuition&gt;Voies!U1026-1,Intelligence&gt;Voies!V1026-1,Souillure&gt;Voies!W1026-1,Honneur&gt;X1026-1,Statut&gt;Y1026-1,Gloire&gt;Z1026-1,AV1026=TRUE),Voies!B1026,"")</f>
        <v>Feuille et Saule</v>
      </c>
      <c r="B1026" s="162" t="s">
        <v>8468</v>
      </c>
      <c r="C1026" s="162" t="b">
        <v>1</v>
      </c>
      <c r="D1026" s="387" t="s">
        <v>627</v>
      </c>
      <c r="E1026" s="199">
        <v>0</v>
      </c>
      <c r="F1026" s="199">
        <v>0</v>
      </c>
      <c r="G1026" s="199" t="s">
        <v>2057</v>
      </c>
      <c r="H1026" s="162" t="s">
        <v>8459</v>
      </c>
      <c r="I1026" s="129" t="str">
        <f>IF(B1026="","","Rien")</f>
        <v>Rien</v>
      </c>
      <c r="J1026" s="146">
        <v>0</v>
      </c>
      <c r="K1026" s="147">
        <v>0</v>
      </c>
      <c r="L1026" s="148">
        <v>0</v>
      </c>
      <c r="M1026" s="149">
        <v>0</v>
      </c>
      <c r="N1026" s="150">
        <v>0</v>
      </c>
      <c r="O1026" s="130">
        <v>0</v>
      </c>
      <c r="P1026" s="130">
        <v>0</v>
      </c>
      <c r="Q1026" s="130">
        <v>0</v>
      </c>
      <c r="R1026" s="130">
        <v>0</v>
      </c>
      <c r="S1026" s="130">
        <v>0</v>
      </c>
      <c r="T1026" s="130">
        <v>0</v>
      </c>
      <c r="U1026" s="130">
        <v>0</v>
      </c>
      <c r="V1026" s="524">
        <v>0</v>
      </c>
      <c r="W1026" s="130">
        <v>0</v>
      </c>
      <c r="X1026" s="130">
        <v>0</v>
      </c>
      <c r="Y1026" s="130">
        <v>0</v>
      </c>
      <c r="Z1026" s="130">
        <v>0</v>
      </c>
      <c r="AA1026" s="158" t="s">
        <v>2078</v>
      </c>
      <c r="AB1026" s="158"/>
      <c r="AC1026" s="158"/>
      <c r="AD1026" s="158"/>
      <c r="AE1026" s="158" t="b">
        <f>IF(AB1026="",TRUE,IF(IF(AC1026="",VLOOKUP(AB1026,Calculs!$A$19:$S$425,19,FALSE),VLOOKUP(AC1026,Calculs!$A$19:$S$425,19,FALSE))&gt;=AD1026,TRUE,FALSE))</f>
        <v>1</v>
      </c>
      <c r="AF1026" s="158"/>
      <c r="AG1026" s="158"/>
      <c r="AH1026" s="158"/>
      <c r="AI1026" s="158" t="b">
        <f>IF(AF1026="",TRUE,IF(IF(AG1026="",VLOOKUP(AF1026,Calculs!$A$19:$S$425,19,FALSE),VLOOKUP(AG1026,Calculs!$A$19:$S$425,19,FALSE))&gt;=AH1026,TRUE,FALSE))</f>
        <v>1</v>
      </c>
      <c r="AJ1026" s="158"/>
      <c r="AK1026" s="158"/>
      <c r="AL1026" s="158"/>
      <c r="AM1026" s="158" t="b">
        <f>IF(AJ1026="",TRUE,IF(IF(AK1026="",VLOOKUP(AJ1026,Calculs!$A$19:$S$425,19,FALSE),VLOOKUP(AK1026,Calculs!$A$19:$S$425,19,FALSE))&gt;=AL1026,TRUE,FALSE))</f>
        <v>1</v>
      </c>
      <c r="AN1026" s="158"/>
      <c r="AO1026" s="158"/>
      <c r="AP1026" s="158"/>
      <c r="AQ1026" s="158" t="b">
        <f>IF(AN1026="",TRUE,IF(IF(AO1026="",VLOOKUP(AN1026,Calculs!$A$19:$S$425,19,FALSE),VLOOKUP(AO1026,Calculs!$A$19:$S$425,19,FALSE))&gt;=AP1026,TRUE,FALSE))</f>
        <v>1</v>
      </c>
      <c r="AR1026" s="158"/>
      <c r="AS1026" s="158" t="b">
        <f>IF(AR1026="",TRUE,IF(VLOOKUP(AR1026,Calculs!$A$427:$G$738,7,FALSE)&gt;0,TRUE,FALSE))</f>
        <v>1</v>
      </c>
      <c r="AT1026" s="158"/>
      <c r="AU1026" s="158" t="b">
        <f>IF(AT1026="",TRUE,IF(VLOOKUP(AT1026,Calculs!$A$740:$G$912,7,FALSE)&gt;0,TRUE,FALSE))</f>
        <v>1</v>
      </c>
      <c r="AV1026" s="158" t="b">
        <f t="shared" si="108"/>
        <v>1</v>
      </c>
      <c r="AW1026" s="158" t="s">
        <v>2078</v>
      </c>
      <c r="AX1026" s="162" t="s">
        <v>7759</v>
      </c>
      <c r="AY1026" s="15">
        <v>30</v>
      </c>
      <c r="AZ1026" s="555" t="str">
        <f>CONCATENATE("Vous pouvez relancer un jet d'Artisanat, Spectacle ou de compétence Sociale ",Réputation," fois par jour")</f>
        <v>Vous pouvez relancer un jet d'Artisanat, Spectacle ou de compétence Sociale 1 fois par jour</v>
      </c>
      <c r="BA1026" s="559">
        <f>IF(Verso!$B$10=Voies!$B1026,1,0)</f>
        <v>0</v>
      </c>
      <c r="BB1026" s="12">
        <f>IF(Verso!$B$11=Voies!$B1026,1,0)</f>
        <v>0</v>
      </c>
      <c r="BC1026" s="12">
        <f>IF(Verso!$B$12=Voies!$B1026,1,0)</f>
        <v>0</v>
      </c>
      <c r="BD1026" s="12">
        <f>IF(Verso!$B$13=Voies!$B1026,1,0)</f>
        <v>0</v>
      </c>
      <c r="BE1026" s="12">
        <f>IF(Verso!$B$14=Voies!$B1026,1,0)</f>
        <v>0</v>
      </c>
      <c r="BF1026" s="12">
        <f>IF(Verso!$B$15=Voies!$B1026,1,0)</f>
        <v>0</v>
      </c>
      <c r="BG1026" s="12">
        <f>IF(Verso!$B$16=Voies!$B1026,1,0)</f>
        <v>0</v>
      </c>
      <c r="BH1026" s="12">
        <f>IF(Verso!$B$17=Voies!$B1026,1,0)</f>
        <v>0</v>
      </c>
      <c r="BI1026" s="557">
        <f t="shared" si="109"/>
        <v>0</v>
      </c>
      <c r="BJ1026" s="196">
        <f t="shared" si="110"/>
        <v>1026</v>
      </c>
      <c r="BK1026" s="196" t="str">
        <f t="shared" si="111"/>
        <v/>
      </c>
      <c r="BL1026" s="295" t="str">
        <f t="shared" si="112"/>
        <v/>
      </c>
      <c r="BM1026" s="91"/>
    </row>
    <row r="1027" spans="1:65" s="196" customFormat="1" ht="47.25" customHeight="1" x14ac:dyDescent="0.25">
      <c r="A1027" s="162" t="str">
        <f>IF(AND(Réputation&gt;Voies!E1027-1,OR(C1027=TRUE,Calculs!$I$8&gt;0),Air&gt;Voies!J1027-1,Eau&gt;Voies!K1027-1,Feu&gt;Voies!L1027-1,Terre&gt;Voies!M1027-1,Vide&gt;Voies!N1027-1,Constitution&gt;Voies!O1027-1,Volonté&gt;Voies!P1027-1,Force&gt;Voies!Q1027-1,Perception&gt;Voies!R1027-1,Reflexes&gt;Voies!S1027-1,Agilité&gt;Voies!T1027-1,Intuition&gt;Voies!U1027-1,Intelligence&gt;Voies!V1027-1,Souillure&gt;Voies!W1027-1,Honneur&gt;X1027-1,Statut&gt;Y1027-1,Gloire&gt;Z1027-1,AV1027=TRUE),Voies!B1027,"")</f>
        <v>La Voie du Guerrier</v>
      </c>
      <c r="B1027" s="162" t="s">
        <v>8467</v>
      </c>
      <c r="C1027" s="162" t="b">
        <v>1</v>
      </c>
      <c r="D1027" s="387" t="s">
        <v>627</v>
      </c>
      <c r="E1027" s="199">
        <v>0</v>
      </c>
      <c r="F1027" s="199">
        <v>0</v>
      </c>
      <c r="G1027" s="199" t="s">
        <v>2049</v>
      </c>
      <c r="H1027" s="162" t="s">
        <v>8458</v>
      </c>
      <c r="I1027" s="129" t="str">
        <f>IF(B1027="","","Rien")</f>
        <v>Rien</v>
      </c>
      <c r="J1027" s="146">
        <v>0</v>
      </c>
      <c r="K1027" s="147">
        <v>0</v>
      </c>
      <c r="L1027" s="148">
        <v>0</v>
      </c>
      <c r="M1027" s="149">
        <v>0</v>
      </c>
      <c r="N1027" s="150">
        <v>0</v>
      </c>
      <c r="O1027" s="130">
        <v>0</v>
      </c>
      <c r="P1027" s="130">
        <v>0</v>
      </c>
      <c r="Q1027" s="130">
        <v>0</v>
      </c>
      <c r="R1027" s="130">
        <v>0</v>
      </c>
      <c r="S1027" s="130">
        <v>0</v>
      </c>
      <c r="T1027" s="130">
        <v>0</v>
      </c>
      <c r="U1027" s="130">
        <v>0</v>
      </c>
      <c r="V1027" s="524">
        <v>0</v>
      </c>
      <c r="W1027" s="130">
        <v>0</v>
      </c>
      <c r="X1027" s="130">
        <v>0</v>
      </c>
      <c r="Y1027" s="130">
        <v>0</v>
      </c>
      <c r="Z1027" s="130">
        <v>0</v>
      </c>
      <c r="AA1027" s="158" t="s">
        <v>2078</v>
      </c>
      <c r="AB1027" s="158"/>
      <c r="AC1027" s="158"/>
      <c r="AD1027" s="158"/>
      <c r="AE1027" s="158" t="b">
        <f>IF(AB1027="",TRUE,IF(IF(AC1027="",VLOOKUP(AB1027,Calculs!$A$19:$S$425,19,FALSE),VLOOKUP(AC1027,Calculs!$A$19:$S$425,19,FALSE))&gt;=AD1027,TRUE,FALSE))</f>
        <v>1</v>
      </c>
      <c r="AF1027" s="158"/>
      <c r="AG1027" s="158"/>
      <c r="AH1027" s="158"/>
      <c r="AI1027" s="158" t="b">
        <f>IF(AF1027="",TRUE,IF(IF(AG1027="",VLOOKUP(AF1027,Calculs!$A$19:$S$425,19,FALSE),VLOOKUP(AG1027,Calculs!$A$19:$S$425,19,FALSE))&gt;=AH1027,TRUE,FALSE))</f>
        <v>1</v>
      </c>
      <c r="AJ1027" s="158"/>
      <c r="AK1027" s="158"/>
      <c r="AL1027" s="158"/>
      <c r="AM1027" s="158" t="b">
        <f>IF(AJ1027="",TRUE,IF(IF(AK1027="",VLOOKUP(AJ1027,Calculs!$A$19:$S$425,19,FALSE),VLOOKUP(AK1027,Calculs!$A$19:$S$425,19,FALSE))&gt;=AL1027,TRUE,FALSE))</f>
        <v>1</v>
      </c>
      <c r="AN1027" s="158"/>
      <c r="AO1027" s="158"/>
      <c r="AP1027" s="158"/>
      <c r="AQ1027" s="158" t="b">
        <f>IF(AN1027="",TRUE,IF(IF(AO1027="",VLOOKUP(AN1027,Calculs!$A$19:$S$425,19,FALSE),VLOOKUP(AO1027,Calculs!$A$19:$S$425,19,FALSE))&gt;=AP1027,TRUE,FALSE))</f>
        <v>1</v>
      </c>
      <c r="AR1027" s="158"/>
      <c r="AS1027" s="158" t="b">
        <f>IF(AR1027="",TRUE,IF(VLOOKUP(AR1027,Calculs!$A$427:$G$738,7,FALSE)&gt;0,TRUE,FALSE))</f>
        <v>1</v>
      </c>
      <c r="AT1027" s="158"/>
      <c r="AU1027" s="158" t="b">
        <f>IF(AT1027="",TRUE,IF(VLOOKUP(AT1027,Calculs!$A$740:$G$912,7,FALSE)&gt;0,TRUE,FALSE))</f>
        <v>1</v>
      </c>
      <c r="AV1027" s="158" t="b">
        <f t="shared" ref="AV1027:AV1072" si="116">IF(AND(AE1027=TRUE,AI1027=TRUE,AM1027=TRUE,AQ1027=TRUE,AS1027=TRUE,AU1027=TRUE),TRUE,FALSE)</f>
        <v>1</v>
      </c>
      <c r="AW1027" s="158" t="s">
        <v>2078</v>
      </c>
      <c r="AX1027" s="162" t="s">
        <v>7759</v>
      </c>
      <c r="AY1027" s="15">
        <v>30</v>
      </c>
      <c r="AZ1027" s="555" t="str">
        <f>CONCATENATE("Vous pouvez relancer un jet de Bugei ",Réputation," fois par jour")</f>
        <v>Vous pouvez relancer un jet de Bugei 1 fois par jour</v>
      </c>
      <c r="BA1027" s="559">
        <f>IF(Verso!$B$10=Voies!$B1027,1,0)</f>
        <v>0</v>
      </c>
      <c r="BB1027" s="12">
        <f>IF(Verso!$B$11=Voies!$B1027,1,0)</f>
        <v>0</v>
      </c>
      <c r="BC1027" s="12">
        <f>IF(Verso!$B$12=Voies!$B1027,1,0)</f>
        <v>0</v>
      </c>
      <c r="BD1027" s="12">
        <f>IF(Verso!$B$13=Voies!$B1027,1,0)</f>
        <v>0</v>
      </c>
      <c r="BE1027" s="12">
        <f>IF(Verso!$B$14=Voies!$B1027,1,0)</f>
        <v>0</v>
      </c>
      <c r="BF1027" s="12">
        <f>IF(Verso!$B$15=Voies!$B1027,1,0)</f>
        <v>0</v>
      </c>
      <c r="BG1027" s="12">
        <f>IF(Verso!$B$16=Voies!$B1027,1,0)</f>
        <v>0</v>
      </c>
      <c r="BH1027" s="12">
        <f>IF(Verso!$B$17=Voies!$B1027,1,0)</f>
        <v>0</v>
      </c>
      <c r="BI1027" s="557">
        <f t="shared" ref="BI1027:BI1072" si="117">SUM(BA1027:BH1027)</f>
        <v>0</v>
      </c>
      <c r="BJ1027" s="196">
        <f t="shared" si="110"/>
        <v>1027</v>
      </c>
      <c r="BK1027" s="196" t="str">
        <f t="shared" si="111"/>
        <v/>
      </c>
      <c r="BL1027" s="295" t="str">
        <f t="shared" si="112"/>
        <v/>
      </c>
      <c r="BM1027" s="91"/>
    </row>
    <row r="1028" spans="1:65" ht="47.25" customHeight="1" x14ac:dyDescent="0.25">
      <c r="A1028" s="162" t="str">
        <f>IF(AND(Réputation&gt;Voies!E1028-1,OR(C1028=TRUE,Calculs!$I$8&gt;0),Air&gt;Voies!J1028-1,Eau&gt;Voies!K1028-1,Feu&gt;Voies!L1028-1,Terre&gt;Voies!M1028-1,Vide&gt;Voies!N1028-1,Constitution&gt;Voies!O1028-1,Volonté&gt;Voies!P1028-1,Force&gt;Voies!Q1028-1,Perception&gt;Voies!R1028-1,Reflexes&gt;Voies!S1028-1,Agilité&gt;Voies!T1028-1,Intuition&gt;Voies!U1028-1,Intelligence&gt;Voies!V1028-1,Souillure&gt;Voies!W1028-1,Honneur&gt;X1028-1,Statut&gt;Y1028-1,Gloire&gt;Z1028-1,AV1028=TRUE),Voies!B1028,"")</f>
        <v>Maître du Dojo</v>
      </c>
      <c r="B1028" s="162" t="s">
        <v>3239</v>
      </c>
      <c r="C1028" s="162" t="b">
        <v>1</v>
      </c>
      <c r="D1028" s="387" t="s">
        <v>627</v>
      </c>
      <c r="E1028" s="13">
        <v>0</v>
      </c>
      <c r="F1028" s="199">
        <v>0</v>
      </c>
      <c r="G1028" s="199" t="s">
        <v>2049</v>
      </c>
      <c r="H1028" s="162" t="s">
        <v>555</v>
      </c>
      <c r="I1028" s="129" t="s">
        <v>3235</v>
      </c>
      <c r="J1028" s="146">
        <v>0</v>
      </c>
      <c r="K1028" s="147">
        <v>0</v>
      </c>
      <c r="L1028" s="148">
        <v>0</v>
      </c>
      <c r="M1028" s="149">
        <v>0</v>
      </c>
      <c r="N1028" s="150">
        <v>0</v>
      </c>
      <c r="O1028" s="130">
        <v>0</v>
      </c>
      <c r="P1028" s="130">
        <v>0</v>
      </c>
      <c r="Q1028" s="130">
        <v>0</v>
      </c>
      <c r="R1028" s="130">
        <v>0</v>
      </c>
      <c r="S1028" s="130">
        <v>0</v>
      </c>
      <c r="T1028" s="130">
        <v>0</v>
      </c>
      <c r="U1028" s="130">
        <v>0</v>
      </c>
      <c r="V1028" s="524">
        <v>0</v>
      </c>
      <c r="W1028" s="130">
        <v>0</v>
      </c>
      <c r="X1028" s="130">
        <v>0</v>
      </c>
      <c r="Y1028" s="130">
        <v>0</v>
      </c>
      <c r="Z1028" s="130">
        <v>0</v>
      </c>
      <c r="AA1028" s="158" t="s">
        <v>2078</v>
      </c>
      <c r="AB1028" s="158"/>
      <c r="AC1028" s="158"/>
      <c r="AD1028" s="158"/>
      <c r="AE1028" s="158" t="b">
        <f>IF(AB1028="",TRUE,IF(IF(AC1028="",VLOOKUP(AB1028,Calculs!$A$19:$S$425,19,FALSE),VLOOKUP(AC1028,Calculs!$A$19:$S$425,19,FALSE))&gt;=AD1028,TRUE,FALSE))</f>
        <v>1</v>
      </c>
      <c r="AF1028" s="158"/>
      <c r="AG1028" s="158"/>
      <c r="AH1028" s="158"/>
      <c r="AI1028" s="158" t="b">
        <f>IF(AF1028="",TRUE,IF(IF(AG1028="",VLOOKUP(AF1028,Calculs!$A$19:$S$425,19,FALSE),VLOOKUP(AG1028,Calculs!$A$19:$S$425,19,FALSE))&gt;=AH1028,TRUE,FALSE))</f>
        <v>1</v>
      </c>
      <c r="AJ1028" s="158"/>
      <c r="AK1028" s="158"/>
      <c r="AL1028" s="158"/>
      <c r="AM1028" s="158" t="b">
        <f>IF(AJ1028="",TRUE,IF(IF(AK1028="",VLOOKUP(AJ1028,Calculs!$A$19:$S$425,19,FALSE),VLOOKUP(AK1028,Calculs!$A$19:$S$425,19,FALSE))&gt;=AL1028,TRUE,FALSE))</f>
        <v>1</v>
      </c>
      <c r="AN1028" s="158"/>
      <c r="AO1028" s="158"/>
      <c r="AP1028" s="158"/>
      <c r="AQ1028" s="158" t="b">
        <f>IF(AN1028="",TRUE,IF(IF(AO1028="",VLOOKUP(AN1028,Calculs!$A$19:$S$425,19,FALSE),VLOOKUP(AO1028,Calculs!$A$19:$S$425,19,FALSE))&gt;=AP1028,TRUE,FALSE))</f>
        <v>1</v>
      </c>
      <c r="AR1028" s="158"/>
      <c r="AS1028" s="158" t="b">
        <f>IF(AR1028="",TRUE,IF(VLOOKUP(AR1028,Calculs!$A$427:$G$738,7,FALSE)&gt;0,TRUE,FALSE))</f>
        <v>1</v>
      </c>
      <c r="AT1028" s="158"/>
      <c r="AU1028" s="158" t="b">
        <f>IF(AT1028="",TRUE,IF(VLOOKUP(AT1028,Calculs!$A$740:$G$912,7,FALSE)&gt;0,TRUE,FALSE))</f>
        <v>1</v>
      </c>
      <c r="AV1028" s="158" t="b">
        <f t="shared" si="116"/>
        <v>1</v>
      </c>
      <c r="AW1028" s="159" t="s">
        <v>3241</v>
      </c>
      <c r="AX1028" s="162" t="s">
        <v>3</v>
      </c>
      <c r="AY1028" s="15">
        <v>256</v>
      </c>
      <c r="AZ1028" s="555" t="s">
        <v>8766</v>
      </c>
      <c r="BA1028" s="559">
        <f>IF(Verso!$B$10=Voies!$B1028,1,0)</f>
        <v>0</v>
      </c>
      <c r="BB1028" s="12">
        <f>IF(Verso!$B$11=Voies!$B1028,1,0)</f>
        <v>0</v>
      </c>
      <c r="BC1028" s="12">
        <f>IF(Verso!$B$12=Voies!$B1028,1,0)</f>
        <v>0</v>
      </c>
      <c r="BD1028" s="12">
        <f>IF(Verso!$B$13=Voies!$B1028,1,0)</f>
        <v>0</v>
      </c>
      <c r="BE1028" s="12">
        <f>IF(Verso!$B$14=Voies!$B1028,1,0)</f>
        <v>0</v>
      </c>
      <c r="BF1028" s="12">
        <f>IF(Verso!$B$15=Voies!$B1028,1,0)</f>
        <v>0</v>
      </c>
      <c r="BG1028" s="12">
        <f>IF(Verso!$B$16=Voies!$B1028,1,0)</f>
        <v>0</v>
      </c>
      <c r="BH1028" s="12">
        <f>IF(Verso!$B$17=Voies!$B1028,1,0)</f>
        <v>0</v>
      </c>
      <c r="BI1028" s="557">
        <f t="shared" si="117"/>
        <v>0</v>
      </c>
      <c r="BJ1028" s="196">
        <f t="shared" ref="BJ1028:BJ1072" si="118">IF(A1028="","",ROW())</f>
        <v>1028</v>
      </c>
      <c r="BK1028" s="196" t="str">
        <f t="shared" ref="BK1028:BK1072" si="119">IFERROR(SMALL(BJ:BJ,ROW()-2),"")</f>
        <v/>
      </c>
      <c r="BL1028" s="295" t="str">
        <f t="shared" ref="BL1028:BL1072" si="120">IFERROR(INDEX(A:A,BK1028),"")</f>
        <v/>
      </c>
    </row>
    <row r="1029" spans="1:65" s="196" customFormat="1" ht="47.25" customHeight="1" x14ac:dyDescent="0.25">
      <c r="A1029" s="162" t="str">
        <f>IF(AND(Réputation&gt;Voies!E1029-1,OR(C1029=TRUE,Calculs!$I$8&gt;0),Air&gt;Voies!J1029-1,Eau&gt;Voies!K1029-1,Feu&gt;Voies!L1029-1,Terre&gt;Voies!M1029-1,Vide&gt;Voies!N1029-1,Constitution&gt;Voies!O1029-1,Volonté&gt;Voies!P1029-1,Force&gt;Voies!Q1029-1,Perception&gt;Voies!R1029-1,Reflexes&gt;Voies!S1029-1,Agilité&gt;Voies!T1029-1,Intuition&gt;Voies!U1029-1,Intelligence&gt;Voies!V1029-1,Souillure&gt;Voies!W1029-1,Honneur&gt;X1029-1,Statut&gt;Y1029-1,Gloire&gt;Z1029-1,AV1029=TRUE),Voies!B1029,"")</f>
        <v>La Main de l'Empereur (Champion)</v>
      </c>
      <c r="B1029" s="162" t="s">
        <v>3247</v>
      </c>
      <c r="C1029" s="162" t="b">
        <v>1</v>
      </c>
      <c r="D1029" s="387" t="s">
        <v>627</v>
      </c>
      <c r="E1029" s="199">
        <v>0</v>
      </c>
      <c r="F1029" s="199">
        <v>0</v>
      </c>
      <c r="G1029" s="199" t="s">
        <v>2049</v>
      </c>
      <c r="H1029" s="162" t="s">
        <v>547</v>
      </c>
      <c r="I1029" s="129" t="s">
        <v>3235</v>
      </c>
      <c r="J1029" s="146">
        <v>0</v>
      </c>
      <c r="K1029" s="147">
        <v>0</v>
      </c>
      <c r="L1029" s="148">
        <v>0</v>
      </c>
      <c r="M1029" s="149">
        <v>0</v>
      </c>
      <c r="N1029" s="150">
        <v>0</v>
      </c>
      <c r="O1029" s="130">
        <v>0</v>
      </c>
      <c r="P1029" s="130">
        <v>0</v>
      </c>
      <c r="Q1029" s="130">
        <v>0</v>
      </c>
      <c r="R1029" s="130">
        <v>0</v>
      </c>
      <c r="S1029" s="130">
        <v>0</v>
      </c>
      <c r="T1029" s="130">
        <v>0</v>
      </c>
      <c r="U1029" s="130">
        <v>0</v>
      </c>
      <c r="V1029" s="524">
        <v>0</v>
      </c>
      <c r="W1029" s="130">
        <v>0</v>
      </c>
      <c r="X1029" s="130">
        <v>0</v>
      </c>
      <c r="Y1029" s="130">
        <v>0</v>
      </c>
      <c r="Z1029" s="130">
        <v>0</v>
      </c>
      <c r="AA1029" s="158" t="s">
        <v>2078</v>
      </c>
      <c r="AB1029" s="158"/>
      <c r="AC1029" s="158"/>
      <c r="AD1029" s="158"/>
      <c r="AE1029" s="158" t="b">
        <f>IF(AB1029="",TRUE,IF(IF(AC1029="",VLOOKUP(AB1029,Calculs!$A$19:$S$425,19,FALSE),VLOOKUP(AC1029,Calculs!$A$19:$S$425,19,FALSE))&gt;=AD1029,TRUE,FALSE))</f>
        <v>1</v>
      </c>
      <c r="AF1029" s="158"/>
      <c r="AG1029" s="158"/>
      <c r="AH1029" s="158"/>
      <c r="AI1029" s="158" t="b">
        <f>IF(AF1029="",TRUE,IF(IF(AG1029="",VLOOKUP(AF1029,Calculs!$A$19:$S$425,19,FALSE),VLOOKUP(AG1029,Calculs!$A$19:$S$425,19,FALSE))&gt;=AH1029,TRUE,FALSE))</f>
        <v>1</v>
      </c>
      <c r="AJ1029" s="158"/>
      <c r="AK1029" s="158"/>
      <c r="AL1029" s="158"/>
      <c r="AM1029" s="158" t="b">
        <f>IF(AJ1029="",TRUE,IF(IF(AK1029="",VLOOKUP(AJ1029,Calculs!$A$19:$S$425,19,FALSE),VLOOKUP(AK1029,Calculs!$A$19:$S$425,19,FALSE))&gt;=AL1029,TRUE,FALSE))</f>
        <v>1</v>
      </c>
      <c r="AN1029" s="158"/>
      <c r="AO1029" s="158"/>
      <c r="AP1029" s="158"/>
      <c r="AQ1029" s="158" t="b">
        <f>IF(AN1029="",TRUE,IF(IF(AO1029="",VLOOKUP(AN1029,Calculs!$A$19:$S$425,19,FALSE),VLOOKUP(AO1029,Calculs!$A$19:$S$425,19,FALSE))&gt;=AP1029,TRUE,FALSE))</f>
        <v>1</v>
      </c>
      <c r="AR1029" s="158"/>
      <c r="AS1029" s="158" t="b">
        <f>IF(AR1029="",TRUE,IF(VLOOKUP(AR1029,Calculs!$A$427:$G$738,7,FALSE)&gt;0,TRUE,FALSE))</f>
        <v>1</v>
      </c>
      <c r="AT1029" s="158"/>
      <c r="AU1029" s="158" t="b">
        <f>IF(AT1029="",TRUE,IF(VLOOKUP(AT1029,Calculs!$A$740:$G$912,7,FALSE)&gt;0,TRUE,FALSE))</f>
        <v>1</v>
      </c>
      <c r="AV1029" s="158" t="b">
        <f t="shared" si="116"/>
        <v>1</v>
      </c>
      <c r="AW1029" s="159" t="s">
        <v>3241</v>
      </c>
      <c r="AX1029" s="162" t="s">
        <v>3</v>
      </c>
      <c r="AY1029" s="15">
        <v>256</v>
      </c>
      <c r="AZ1029" s="566" t="s">
        <v>8767</v>
      </c>
      <c r="BA1029" s="559">
        <f>IF(Verso!$B$10=Voies!$B1029,1,0)</f>
        <v>0</v>
      </c>
      <c r="BB1029" s="12">
        <f>IF(Verso!$B$11=Voies!$B1029,1,0)</f>
        <v>0</v>
      </c>
      <c r="BC1029" s="12">
        <f>IF(Verso!$B$12=Voies!$B1029,1,0)</f>
        <v>0</v>
      </c>
      <c r="BD1029" s="12">
        <f>IF(Verso!$B$13=Voies!$B1029,1,0)</f>
        <v>0</v>
      </c>
      <c r="BE1029" s="12">
        <f>IF(Verso!$B$14=Voies!$B1029,1,0)</f>
        <v>0</v>
      </c>
      <c r="BF1029" s="12">
        <f>IF(Verso!$B$15=Voies!$B1029,1,0)</f>
        <v>0</v>
      </c>
      <c r="BG1029" s="12">
        <f>IF(Verso!$B$16=Voies!$B1029,1,0)</f>
        <v>0</v>
      </c>
      <c r="BH1029" s="12">
        <f>IF(Verso!$B$17=Voies!$B1029,1,0)</f>
        <v>0</v>
      </c>
      <c r="BI1029" s="557">
        <f t="shared" si="117"/>
        <v>0</v>
      </c>
      <c r="BJ1029" s="196">
        <f t="shared" si="118"/>
        <v>1029</v>
      </c>
      <c r="BK1029" s="196" t="str">
        <f t="shared" si="119"/>
        <v/>
      </c>
      <c r="BL1029" s="295" t="str">
        <f t="shared" si="120"/>
        <v/>
      </c>
      <c r="BM1029" s="91"/>
    </row>
    <row r="1030" spans="1:65" ht="47.25" customHeight="1" x14ac:dyDescent="0.25">
      <c r="A1030" s="162" t="str">
        <f>IF(AND(Réputation&gt;Voies!E1030-1,OR(C1030=TRUE,Calculs!$I$8&gt;0),Air&gt;Voies!J1030-1,Eau&gt;Voies!K1030-1,Feu&gt;Voies!L1030-1,Terre&gt;Voies!M1030-1,Vide&gt;Voies!N1030-1,Constitution&gt;Voies!O1030-1,Volonté&gt;Voies!P1030-1,Force&gt;Voies!Q1030-1,Perception&gt;Voies!R1030-1,Reflexes&gt;Voies!S1030-1,Agilité&gt;Voies!T1030-1,Intuition&gt;Voies!U1030-1,Intelligence&gt;Voies!V1030-1,Souillure&gt;Voies!W1030-1,Honneur&gt;X1030-1,Statut&gt;Y1030-1,Gloire&gt;Z1030-1,AV1030=TRUE),Voies!B1030,"")</f>
        <v/>
      </c>
      <c r="B1030" s="162" t="s">
        <v>8430</v>
      </c>
      <c r="C1030" s="162" t="b">
        <v>1</v>
      </c>
      <c r="D1030" s="387" t="s">
        <v>627</v>
      </c>
      <c r="E1030" s="13">
        <v>0</v>
      </c>
      <c r="F1030" s="199">
        <v>0</v>
      </c>
      <c r="G1030" s="199" t="s">
        <v>2049</v>
      </c>
      <c r="H1030" s="162" t="s">
        <v>8424</v>
      </c>
      <c r="I1030" s="129" t="s">
        <v>8433</v>
      </c>
      <c r="J1030" s="146">
        <v>0</v>
      </c>
      <c r="K1030" s="147">
        <v>4</v>
      </c>
      <c r="L1030" s="148">
        <v>0</v>
      </c>
      <c r="M1030" s="149">
        <v>0</v>
      </c>
      <c r="N1030" s="150">
        <v>0</v>
      </c>
      <c r="O1030" s="130">
        <v>0</v>
      </c>
      <c r="P1030" s="130">
        <v>0</v>
      </c>
      <c r="Q1030" s="130">
        <v>0</v>
      </c>
      <c r="R1030" s="130">
        <v>0</v>
      </c>
      <c r="S1030" s="130">
        <v>0</v>
      </c>
      <c r="T1030" s="130">
        <v>4</v>
      </c>
      <c r="U1030" s="130">
        <v>0</v>
      </c>
      <c r="V1030" s="524">
        <v>0</v>
      </c>
      <c r="W1030" s="130">
        <v>0</v>
      </c>
      <c r="X1030" s="130">
        <v>0</v>
      </c>
      <c r="Y1030" s="130">
        <v>0</v>
      </c>
      <c r="Z1030" s="130">
        <v>0</v>
      </c>
      <c r="AA1030" s="158" t="s">
        <v>8427</v>
      </c>
      <c r="AB1030" s="158" t="s">
        <v>1221</v>
      </c>
      <c r="AC1030" s="158"/>
      <c r="AD1030" s="158">
        <v>5</v>
      </c>
      <c r="AE1030" s="158" t="b">
        <f>IF(AB1030="",TRUE,IF(IF(AC1030="",VLOOKUP(AB1030,Calculs!$A$19:$S$425,19,FALSE),VLOOKUP(AC1030,Calculs!$A$19:$S$425,19,FALSE))&gt;=AD1030,TRUE,FALSE))</f>
        <v>0</v>
      </c>
      <c r="AF1030" s="158" t="s">
        <v>1223</v>
      </c>
      <c r="AG1030" s="158"/>
      <c r="AH1030" s="158">
        <v>5</v>
      </c>
      <c r="AI1030" s="158" t="b">
        <f>IF(AF1030="",TRUE,IF(IF(AG1030="",VLOOKUP(AF1030,Calculs!$A$19:$S$425,19,FALSE),VLOOKUP(AG1030,Calculs!$A$19:$S$425,19,FALSE))&gt;=AH1030,TRUE,FALSE))</f>
        <v>0</v>
      </c>
      <c r="AJ1030" s="158" t="s">
        <v>351</v>
      </c>
      <c r="AK1030" s="158"/>
      <c r="AL1030" s="158">
        <v>5</v>
      </c>
      <c r="AM1030" s="158" t="b">
        <f>IF(AJ1030="",TRUE,IF(IF(AK1030="",VLOOKUP(AJ1030,Calculs!$A$19:$S$425,19,FALSE),VLOOKUP(AK1030,Calculs!$A$19:$S$425,19,FALSE))&gt;=AL1030,TRUE,FALSE))</f>
        <v>0</v>
      </c>
      <c r="AN1030" s="158" t="s">
        <v>3325</v>
      </c>
      <c r="AO1030" s="158" t="s">
        <v>3188</v>
      </c>
      <c r="AP1030" s="158">
        <v>6</v>
      </c>
      <c r="AQ1030" s="158" t="b">
        <f>IF(AN1030="",TRUE,IF(IF(AO1030="",VLOOKUP(AN1030,Calculs!$A$19:$S$425,19,FALSE),VLOOKUP(AO1030,Calculs!$A$19:$S$425,19,FALSE))&gt;=AP1030,TRUE,FALSE))</f>
        <v>0</v>
      </c>
      <c r="AR1030" s="158" t="s">
        <v>673</v>
      </c>
      <c r="AS1030" s="158" t="b">
        <f>IF(AR1030="",TRUE,IF(VLOOKUP(AR1030,Calculs!$A$427:$G$738,7,FALSE)&gt;0,TRUE,FALSE))</f>
        <v>0</v>
      </c>
      <c r="AT1030" s="158"/>
      <c r="AU1030" s="158" t="b">
        <f>IF(AT1030="",TRUE,IF(VLOOKUP(AT1030,Calculs!$A$740:$G$912,7,FALSE)&gt;0,TRUE,FALSE))</f>
        <v>1</v>
      </c>
      <c r="AV1030" s="158" t="b">
        <f t="shared" si="116"/>
        <v>0</v>
      </c>
      <c r="AW1030" s="158" t="s">
        <v>2078</v>
      </c>
      <c r="AX1030" s="162" t="s">
        <v>7759</v>
      </c>
      <c r="AY1030" s="15">
        <v>31</v>
      </c>
      <c r="AZ1030" s="555" t="s">
        <v>8434</v>
      </c>
      <c r="BA1030" s="559">
        <f>IF(Verso!$B$10=Voies!$B1030,1,0)</f>
        <v>0</v>
      </c>
      <c r="BB1030" s="12">
        <f>IF(Verso!$B$11=Voies!$B1030,1,0)</f>
        <v>0</v>
      </c>
      <c r="BC1030" s="12">
        <f>IF(Verso!$B$12=Voies!$B1030,1,0)</f>
        <v>0</v>
      </c>
      <c r="BD1030" s="12">
        <f>IF(Verso!$B$13=Voies!$B1030,1,0)</f>
        <v>0</v>
      </c>
      <c r="BE1030" s="12">
        <f>IF(Verso!$B$14=Voies!$B1030,1,0)</f>
        <v>0</v>
      </c>
      <c r="BF1030" s="12">
        <f>IF(Verso!$B$15=Voies!$B1030,1,0)</f>
        <v>0</v>
      </c>
      <c r="BG1030" s="12">
        <f>IF(Verso!$B$16=Voies!$B1030,1,0)</f>
        <v>0</v>
      </c>
      <c r="BH1030" s="12">
        <f>IF(Verso!$B$17=Voies!$B1030,1,0)</f>
        <v>0</v>
      </c>
      <c r="BI1030" s="557">
        <f t="shared" si="117"/>
        <v>0</v>
      </c>
      <c r="BJ1030" s="196" t="str">
        <f t="shared" si="118"/>
        <v/>
      </c>
      <c r="BK1030" s="196" t="str">
        <f t="shared" si="119"/>
        <v/>
      </c>
      <c r="BL1030" s="295" t="str">
        <f t="shared" si="120"/>
        <v/>
      </c>
    </row>
    <row r="1031" spans="1:65" ht="47.25" customHeight="1" x14ac:dyDescent="0.25">
      <c r="A1031" s="162" t="str">
        <f>IF(AND(Réputation&gt;Voies!E1031-1,OR(C1031=TRUE,Calculs!$I$8&gt;0),Air&gt;Voies!J1031-1,Eau&gt;Voies!K1031-1,Feu&gt;Voies!L1031-1,Terre&gt;Voies!M1031-1,Vide&gt;Voies!N1031-1,Constitution&gt;Voies!O1031-1,Volonté&gt;Voies!P1031-1,Force&gt;Voies!Q1031-1,Perception&gt;Voies!R1031-1,Reflexes&gt;Voies!S1031-1,Agilité&gt;Voies!T1031-1,Intuition&gt;Voies!U1031-1,Intelligence&gt;Voies!V1031-1,Souillure&gt;Voies!W1031-1,Honneur&gt;X1031-1,Statut&gt;Y1031-1,Gloire&gt;Z1031-1,AV1031=TRUE),Voies!B1031,"")</f>
        <v/>
      </c>
      <c r="B1031" s="162" t="s">
        <v>8432</v>
      </c>
      <c r="C1031" s="162" t="b">
        <v>1</v>
      </c>
      <c r="D1031" s="387" t="s">
        <v>627</v>
      </c>
      <c r="E1031" s="13">
        <v>0</v>
      </c>
      <c r="F1031" s="199">
        <v>0</v>
      </c>
      <c r="G1031" s="199" t="s">
        <v>2049</v>
      </c>
      <c r="H1031" s="162" t="s">
        <v>8424</v>
      </c>
      <c r="I1031" s="129" t="s">
        <v>8433</v>
      </c>
      <c r="J1031" s="146">
        <v>0</v>
      </c>
      <c r="K1031" s="147">
        <v>4</v>
      </c>
      <c r="L1031" s="148">
        <v>0</v>
      </c>
      <c r="M1031" s="149">
        <v>0</v>
      </c>
      <c r="N1031" s="150">
        <v>0</v>
      </c>
      <c r="O1031" s="130">
        <v>0</v>
      </c>
      <c r="P1031" s="130">
        <v>0</v>
      </c>
      <c r="Q1031" s="130">
        <v>0</v>
      </c>
      <c r="R1031" s="130">
        <v>0</v>
      </c>
      <c r="S1031" s="130">
        <v>0</v>
      </c>
      <c r="T1031" s="130">
        <v>4</v>
      </c>
      <c r="U1031" s="130">
        <v>0</v>
      </c>
      <c r="V1031" s="524">
        <v>0</v>
      </c>
      <c r="W1031" s="130">
        <v>0</v>
      </c>
      <c r="X1031" s="130">
        <v>0</v>
      </c>
      <c r="Y1031" s="130">
        <v>0</v>
      </c>
      <c r="Z1031" s="130">
        <v>0</v>
      </c>
      <c r="AA1031" s="158" t="s">
        <v>8428</v>
      </c>
      <c r="AB1031" s="158" t="s">
        <v>1221</v>
      </c>
      <c r="AC1031" s="158"/>
      <c r="AD1031" s="158">
        <v>5</v>
      </c>
      <c r="AE1031" s="158" t="b">
        <f>IF(AB1031="",TRUE,IF(IF(AC1031="",VLOOKUP(AB1031,Calculs!$A$19:$S$425,19,FALSE),VLOOKUP(AC1031,Calculs!$A$19:$S$425,19,FALSE))&gt;=AD1031,TRUE,FALSE))</f>
        <v>0</v>
      </c>
      <c r="AF1031" s="158" t="s">
        <v>1223</v>
      </c>
      <c r="AG1031" s="158"/>
      <c r="AH1031" s="158">
        <v>5</v>
      </c>
      <c r="AI1031" s="158" t="b">
        <f>IF(AF1031="",TRUE,IF(IF(AG1031="",VLOOKUP(AF1031,Calculs!$A$19:$S$425,19,FALSE),VLOOKUP(AG1031,Calculs!$A$19:$S$425,19,FALSE))&gt;=AH1031,TRUE,FALSE))</f>
        <v>0</v>
      </c>
      <c r="AJ1031" s="158" t="s">
        <v>351</v>
      </c>
      <c r="AK1031" s="158"/>
      <c r="AL1031" s="158">
        <v>5</v>
      </c>
      <c r="AM1031" s="158" t="b">
        <f>IF(AJ1031="",TRUE,IF(IF(AK1031="",VLOOKUP(AJ1031,Calculs!$A$19:$S$425,19,FALSE),VLOOKUP(AK1031,Calculs!$A$19:$S$425,19,FALSE))&gt;=AL1031,TRUE,FALSE))</f>
        <v>0</v>
      </c>
      <c r="AN1031" s="158" t="s">
        <v>3325</v>
      </c>
      <c r="AO1031" s="158" t="s">
        <v>3188</v>
      </c>
      <c r="AP1031" s="158">
        <v>6</v>
      </c>
      <c r="AQ1031" s="158" t="b">
        <f>IF(AN1031="",TRUE,IF(IF(AO1031="",VLOOKUP(AN1031,Calculs!$A$19:$S$425,19,FALSE),VLOOKUP(AO1031,Calculs!$A$19:$S$425,19,FALSE))&gt;=AP1031,TRUE,FALSE))</f>
        <v>0</v>
      </c>
      <c r="AR1031" s="158" t="s">
        <v>673</v>
      </c>
      <c r="AS1031" s="158" t="b">
        <f>IF(AR1031="",TRUE,IF(VLOOKUP(AR1031,Calculs!$A$427:$G$738,7,FALSE)&gt;0,TRUE,FALSE))</f>
        <v>0</v>
      </c>
      <c r="AT1031" s="158"/>
      <c r="AU1031" s="158" t="b">
        <f>IF(AT1031="",TRUE,IF(VLOOKUP(AT1031,Calculs!$A$740:$G$912,7,FALSE)&gt;0,TRUE,FALSE))</f>
        <v>1</v>
      </c>
      <c r="AV1031" s="158" t="b">
        <f t="shared" si="116"/>
        <v>0</v>
      </c>
      <c r="AW1031" s="158" t="s">
        <v>2078</v>
      </c>
      <c r="AX1031" s="162" t="s">
        <v>7759</v>
      </c>
      <c r="AY1031" s="15">
        <v>31</v>
      </c>
      <c r="AZ1031" s="555" t="s">
        <v>8435</v>
      </c>
      <c r="BA1031" s="559">
        <f>IF(Verso!$B$10=Voies!$B1031,1,0)</f>
        <v>0</v>
      </c>
      <c r="BB1031" s="12">
        <f>IF(Verso!$B$11=Voies!$B1031,1,0)</f>
        <v>0</v>
      </c>
      <c r="BC1031" s="12">
        <f>IF(Verso!$B$12=Voies!$B1031,1,0)</f>
        <v>0</v>
      </c>
      <c r="BD1031" s="12">
        <f>IF(Verso!$B$13=Voies!$B1031,1,0)</f>
        <v>0</v>
      </c>
      <c r="BE1031" s="12">
        <f>IF(Verso!$B$14=Voies!$B1031,1,0)</f>
        <v>0</v>
      </c>
      <c r="BF1031" s="12">
        <f>IF(Verso!$B$15=Voies!$B1031,1,0)</f>
        <v>0</v>
      </c>
      <c r="BG1031" s="12">
        <f>IF(Verso!$B$16=Voies!$B1031,1,0)</f>
        <v>0</v>
      </c>
      <c r="BH1031" s="12">
        <f>IF(Verso!$B$17=Voies!$B1031,1,0)</f>
        <v>0</v>
      </c>
      <c r="BI1031" s="557">
        <f t="shared" si="117"/>
        <v>0</v>
      </c>
      <c r="BJ1031" s="196" t="str">
        <f t="shared" si="118"/>
        <v/>
      </c>
      <c r="BK1031" s="196" t="str">
        <f t="shared" si="119"/>
        <v/>
      </c>
      <c r="BL1031" s="295" t="str">
        <f t="shared" si="120"/>
        <v/>
      </c>
    </row>
    <row r="1032" spans="1:65" ht="47.25" customHeight="1" x14ac:dyDescent="0.25">
      <c r="A1032" s="162" t="str">
        <f>IF(AND(Réputation&gt;Voies!E1032-1,OR(C1032=TRUE,Calculs!$I$8&gt;0),Air&gt;Voies!J1032-1,Eau&gt;Voies!K1032-1,Feu&gt;Voies!L1032-1,Terre&gt;Voies!M1032-1,Vide&gt;Voies!N1032-1,Constitution&gt;Voies!O1032-1,Volonté&gt;Voies!P1032-1,Force&gt;Voies!Q1032-1,Perception&gt;Voies!R1032-1,Reflexes&gt;Voies!S1032-1,Agilité&gt;Voies!T1032-1,Intuition&gt;Voies!U1032-1,Intelligence&gt;Voies!V1032-1,Souillure&gt;Voies!W1032-1,Honneur&gt;X1032-1,Statut&gt;Y1032-1,Gloire&gt;Z1032-1,AV1032=TRUE),Voies!B1032,"")</f>
        <v/>
      </c>
      <c r="B1032" s="162" t="s">
        <v>8431</v>
      </c>
      <c r="C1032" s="162" t="b">
        <v>1</v>
      </c>
      <c r="D1032" s="387" t="s">
        <v>627</v>
      </c>
      <c r="E1032" s="13">
        <v>0</v>
      </c>
      <c r="F1032" s="199">
        <v>0</v>
      </c>
      <c r="G1032" s="199" t="s">
        <v>2049</v>
      </c>
      <c r="H1032" s="162" t="s">
        <v>8424</v>
      </c>
      <c r="I1032" s="129" t="s">
        <v>8433</v>
      </c>
      <c r="J1032" s="146">
        <v>0</v>
      </c>
      <c r="K1032" s="147">
        <v>4</v>
      </c>
      <c r="L1032" s="148">
        <v>0</v>
      </c>
      <c r="M1032" s="149">
        <v>0</v>
      </c>
      <c r="N1032" s="150">
        <v>0</v>
      </c>
      <c r="O1032" s="130">
        <v>0</v>
      </c>
      <c r="P1032" s="130">
        <v>0</v>
      </c>
      <c r="Q1032" s="130">
        <v>0</v>
      </c>
      <c r="R1032" s="130">
        <v>0</v>
      </c>
      <c r="S1032" s="130">
        <v>0</v>
      </c>
      <c r="T1032" s="130">
        <v>4</v>
      </c>
      <c r="U1032" s="130">
        <v>0</v>
      </c>
      <c r="V1032" s="524">
        <v>0</v>
      </c>
      <c r="W1032" s="130">
        <v>0</v>
      </c>
      <c r="X1032" s="130">
        <v>0</v>
      </c>
      <c r="Y1032" s="130">
        <v>0</v>
      </c>
      <c r="Z1032" s="130">
        <v>0</v>
      </c>
      <c r="AA1032" s="158" t="s">
        <v>8429</v>
      </c>
      <c r="AB1032" s="158" t="s">
        <v>1221</v>
      </c>
      <c r="AC1032" s="158"/>
      <c r="AD1032" s="158">
        <v>5</v>
      </c>
      <c r="AE1032" s="158" t="b">
        <f>IF(AB1032="",TRUE,IF(IF(AC1032="",VLOOKUP(AB1032,Calculs!$A$19:$S$425,19,FALSE),VLOOKUP(AC1032,Calculs!$A$19:$S$425,19,FALSE))&gt;=AD1032,TRUE,FALSE))</f>
        <v>0</v>
      </c>
      <c r="AF1032" s="158" t="s">
        <v>1223</v>
      </c>
      <c r="AG1032" s="158"/>
      <c r="AH1032" s="158">
        <v>5</v>
      </c>
      <c r="AI1032" s="158" t="b">
        <f>IF(AF1032="",TRUE,IF(IF(AG1032="",VLOOKUP(AF1032,Calculs!$A$19:$S$425,19,FALSE),VLOOKUP(AG1032,Calculs!$A$19:$S$425,19,FALSE))&gt;=AH1032,TRUE,FALSE))</f>
        <v>0</v>
      </c>
      <c r="AJ1032" s="158" t="s">
        <v>351</v>
      </c>
      <c r="AK1032" s="158"/>
      <c r="AL1032" s="158">
        <v>5</v>
      </c>
      <c r="AM1032" s="158" t="b">
        <f>IF(AJ1032="",TRUE,IF(IF(AK1032="",VLOOKUP(AJ1032,Calculs!$A$19:$S$425,19,FALSE),VLOOKUP(AK1032,Calculs!$A$19:$S$425,19,FALSE))&gt;=AL1032,TRUE,FALSE))</f>
        <v>0</v>
      </c>
      <c r="AN1032" s="158" t="s">
        <v>3325</v>
      </c>
      <c r="AO1032" s="158" t="s">
        <v>3188</v>
      </c>
      <c r="AP1032" s="158">
        <v>6</v>
      </c>
      <c r="AQ1032" s="158" t="b">
        <f>IF(AN1032="",TRUE,IF(IF(AO1032="",VLOOKUP(AN1032,Calculs!$A$19:$S$425,19,FALSE),VLOOKUP(AO1032,Calculs!$A$19:$S$425,19,FALSE))&gt;=AP1032,TRUE,FALSE))</f>
        <v>0</v>
      </c>
      <c r="AR1032" s="158" t="s">
        <v>673</v>
      </c>
      <c r="AS1032" s="158" t="b">
        <f>IF(AR1032="",TRUE,IF(VLOOKUP(AR1032,Calculs!$A$427:$G$738,7,FALSE)&gt;0,TRUE,FALSE))</f>
        <v>0</v>
      </c>
      <c r="AT1032" s="158"/>
      <c r="AU1032" s="158" t="b">
        <f>IF(AT1032="",TRUE,IF(VLOOKUP(AT1032,Calculs!$A$740:$G$912,7,FALSE)&gt;0,TRUE,FALSE))</f>
        <v>1</v>
      </c>
      <c r="AV1032" s="158" t="b">
        <f t="shared" si="116"/>
        <v>0</v>
      </c>
      <c r="AW1032" s="158" t="s">
        <v>2078</v>
      </c>
      <c r="AX1032" s="162" t="s">
        <v>7759</v>
      </c>
      <c r="AY1032" s="15">
        <v>31</v>
      </c>
      <c r="AZ1032" s="555" t="s">
        <v>8436</v>
      </c>
      <c r="BA1032" s="559">
        <f>IF(Verso!$B$10=Voies!$B1032,1,0)</f>
        <v>0</v>
      </c>
      <c r="BB1032" s="12">
        <f>IF(Verso!$B$11=Voies!$B1032,1,0)</f>
        <v>0</v>
      </c>
      <c r="BC1032" s="12">
        <f>IF(Verso!$B$12=Voies!$B1032,1,0)</f>
        <v>0</v>
      </c>
      <c r="BD1032" s="12">
        <f>IF(Verso!$B$13=Voies!$B1032,1,0)</f>
        <v>0</v>
      </c>
      <c r="BE1032" s="12">
        <f>IF(Verso!$B$14=Voies!$B1032,1,0)</f>
        <v>0</v>
      </c>
      <c r="BF1032" s="12">
        <f>IF(Verso!$B$15=Voies!$B1032,1,0)</f>
        <v>0</v>
      </c>
      <c r="BG1032" s="12">
        <f>IF(Verso!$B$16=Voies!$B1032,1,0)</f>
        <v>0</v>
      </c>
      <c r="BH1032" s="12">
        <f>IF(Verso!$B$17=Voies!$B1032,1,0)</f>
        <v>0</v>
      </c>
      <c r="BI1032" s="557">
        <f t="shared" si="117"/>
        <v>0</v>
      </c>
      <c r="BJ1032" s="196" t="str">
        <f t="shared" si="118"/>
        <v/>
      </c>
      <c r="BK1032" s="196" t="str">
        <f t="shared" si="119"/>
        <v/>
      </c>
      <c r="BL1032" s="295" t="str">
        <f t="shared" si="120"/>
        <v/>
      </c>
    </row>
    <row r="1033" spans="1:65" s="196" customFormat="1" ht="47.25" customHeight="1" x14ac:dyDescent="0.25">
      <c r="A1033" s="162" t="str">
        <f>IF(AND(Réputation&gt;Voies!E1033-1,OR(C1033=TRUE,Calculs!$I$8&gt;0),Air&gt;Voies!J1033-1,Eau&gt;Voies!K1033-1,Feu&gt;Voies!L1033-1,Terre&gt;Voies!M1033-1,Vide&gt;Voies!N1033-1,Constitution&gt;Voies!O1033-1,Volonté&gt;Voies!P1033-1,Force&gt;Voies!Q1033-1,Perception&gt;Voies!R1033-1,Reflexes&gt;Voies!S1033-1,Agilité&gt;Voies!T1033-1,Intuition&gt;Voies!U1033-1,Intelligence&gt;Voies!V1033-1,Souillure&gt;Voies!W1033-1,Honneur&gt;X1033-1,Statut&gt;Y1033-1,Gloire&gt;Z1033-1,AV1033=TRUE),Voies!B1033,"")</f>
        <v/>
      </c>
      <c r="B1033" s="162" t="s">
        <v>8466</v>
      </c>
      <c r="C1033" s="162" t="b">
        <v>1</v>
      </c>
      <c r="D1033" s="387" t="s">
        <v>627</v>
      </c>
      <c r="E1033" s="199">
        <v>0</v>
      </c>
      <c r="F1033" s="199">
        <v>0</v>
      </c>
      <c r="G1033" s="199" t="s">
        <v>2052</v>
      </c>
      <c r="H1033" s="162" t="s">
        <v>8457</v>
      </c>
      <c r="I1033" s="129" t="str">
        <f>IF(B1033="","","Rien")</f>
        <v>Rien</v>
      </c>
      <c r="J1033" s="146">
        <v>0</v>
      </c>
      <c r="K1033" s="147">
        <v>0</v>
      </c>
      <c r="L1033" s="148">
        <v>0</v>
      </c>
      <c r="M1033" s="149">
        <v>0</v>
      </c>
      <c r="N1033" s="150">
        <v>0</v>
      </c>
      <c r="O1033" s="130">
        <v>0</v>
      </c>
      <c r="P1033" s="130">
        <v>0</v>
      </c>
      <c r="Q1033" s="130">
        <v>0</v>
      </c>
      <c r="R1033" s="130">
        <v>0</v>
      </c>
      <c r="S1033" s="130">
        <v>0</v>
      </c>
      <c r="T1033" s="130">
        <v>0</v>
      </c>
      <c r="U1033" s="130">
        <v>0</v>
      </c>
      <c r="V1033" s="524">
        <v>0</v>
      </c>
      <c r="W1033" s="130">
        <v>0</v>
      </c>
      <c r="X1033" s="130">
        <v>0</v>
      </c>
      <c r="Y1033" s="130">
        <v>0</v>
      </c>
      <c r="Z1033" s="130">
        <v>0</v>
      </c>
      <c r="AA1033" s="158" t="s">
        <v>2078</v>
      </c>
      <c r="AB1033" s="158"/>
      <c r="AC1033" s="158"/>
      <c r="AD1033" s="158"/>
      <c r="AE1033" s="158" t="b">
        <f>IF(AB1033="",TRUE,IF(IF(AC1033="",VLOOKUP(AB1033,Calculs!$A$19:$S$425,19,FALSE),VLOOKUP(AC1033,Calculs!$A$19:$S$425,19,FALSE))&gt;=AD1033,TRUE,FALSE))</f>
        <v>1</v>
      </c>
      <c r="AF1033" s="158"/>
      <c r="AG1033" s="158"/>
      <c r="AH1033" s="158"/>
      <c r="AI1033" s="158" t="b">
        <f>IF(AF1033="",TRUE,IF(IF(AG1033="",VLOOKUP(AF1033,Calculs!$A$19:$S$425,19,FALSE),VLOOKUP(AG1033,Calculs!$A$19:$S$425,19,FALSE))&gt;=AH1033,TRUE,FALSE))</f>
        <v>1</v>
      </c>
      <c r="AJ1033" s="158"/>
      <c r="AK1033" s="158"/>
      <c r="AL1033" s="158"/>
      <c r="AM1033" s="158" t="b">
        <f>IF(AJ1033="",TRUE,IF(IF(AK1033="",VLOOKUP(AJ1033,Calculs!$A$19:$S$425,19,FALSE),VLOOKUP(AK1033,Calculs!$A$19:$S$425,19,FALSE))&gt;=AL1033,TRUE,FALSE))</f>
        <v>1</v>
      </c>
      <c r="AN1033" s="158"/>
      <c r="AO1033" s="158"/>
      <c r="AP1033" s="158"/>
      <c r="AQ1033" s="158" t="b">
        <f>IF(AN1033="",TRUE,IF(IF(AO1033="",VLOOKUP(AN1033,Calculs!$A$19:$S$425,19,FALSE),VLOOKUP(AO1033,Calculs!$A$19:$S$425,19,FALSE))&gt;=AP1033,TRUE,FALSE))</f>
        <v>1</v>
      </c>
      <c r="AR1033" s="158"/>
      <c r="AS1033" s="158" t="b">
        <f>IF(AR1033="",TRUE,IF(VLOOKUP(AR1033,Calculs!$A$427:$G$738,7,FALSE)&gt;0,TRUE,FALSE))</f>
        <v>1</v>
      </c>
      <c r="AT1033" s="158" t="s">
        <v>866</v>
      </c>
      <c r="AU1033" s="158" t="b">
        <f>IF(AT1033="",TRUE,IF(VLOOKUP(AT1033,Calculs!$A$740:$G$912,7,FALSE)&gt;0,TRUE,FALSE))</f>
        <v>0</v>
      </c>
      <c r="AV1033" s="158" t="b">
        <f t="shared" si="116"/>
        <v>0</v>
      </c>
      <c r="AW1033" s="158" t="s">
        <v>8469</v>
      </c>
      <c r="AX1033" s="162" t="s">
        <v>7759</v>
      </c>
      <c r="AY1033" s="15">
        <v>30</v>
      </c>
      <c r="AZ1033" s="555" t="str">
        <f>CONCATENATE("Ajoutez ",Réputation," à tout test d'Intimidation:Torture et Enquête: Interogatoire")</f>
        <v>Ajoutez 1 à tout test d'Intimidation:Torture et Enquête: Interogatoire</v>
      </c>
      <c r="BA1033" s="559">
        <f>IF(Verso!$B$10=Voies!$B1033,1,0)</f>
        <v>0</v>
      </c>
      <c r="BB1033" s="12">
        <f>IF(Verso!$B$11=Voies!$B1033,1,0)</f>
        <v>0</v>
      </c>
      <c r="BC1033" s="12">
        <f>IF(Verso!$B$12=Voies!$B1033,1,0)</f>
        <v>0</v>
      </c>
      <c r="BD1033" s="12">
        <f>IF(Verso!$B$13=Voies!$B1033,1,0)</f>
        <v>0</v>
      </c>
      <c r="BE1033" s="12">
        <f>IF(Verso!$B$14=Voies!$B1033,1,0)</f>
        <v>0</v>
      </c>
      <c r="BF1033" s="12">
        <f>IF(Verso!$B$15=Voies!$B1033,1,0)</f>
        <v>0</v>
      </c>
      <c r="BG1033" s="12">
        <f>IF(Verso!$B$16=Voies!$B1033,1,0)</f>
        <v>0</v>
      </c>
      <c r="BH1033" s="12">
        <f>IF(Verso!$B$17=Voies!$B1033,1,0)</f>
        <v>0</v>
      </c>
      <c r="BI1033" s="557">
        <f t="shared" si="117"/>
        <v>0</v>
      </c>
      <c r="BJ1033" s="196" t="str">
        <f t="shared" si="118"/>
        <v/>
      </c>
      <c r="BK1033" s="196" t="str">
        <f t="shared" si="119"/>
        <v/>
      </c>
      <c r="BL1033" s="295" t="str">
        <f t="shared" si="120"/>
        <v/>
      </c>
      <c r="BM1033" s="91"/>
    </row>
    <row r="1034" spans="1:65" s="196" customFormat="1" ht="47.25" customHeight="1" x14ac:dyDescent="0.25">
      <c r="A1034" s="162" t="str">
        <f>IF(AND(Réputation&gt;Voies!E1034-1,OR(C1034=TRUE,Calculs!$I$8&gt;0),Air&gt;Voies!J1034-1,Eau&gt;Voies!K1034-1,Feu&gt;Voies!L1034-1,Terre&gt;Voies!M1034-1,Vide&gt;Voies!N1034-1,Constitution&gt;Voies!O1034-1,Volonté&gt;Voies!P1034-1,Force&gt;Voies!Q1034-1,Perception&gt;Voies!R1034-1,Reflexes&gt;Voies!S1034-1,Agilité&gt;Voies!T1034-1,Intuition&gt;Voies!U1034-1,Intelligence&gt;Voies!V1034-1,Souillure&gt;Voies!W1034-1,Honneur&gt;X1034-1,Statut&gt;Y1034-1,Gloire&gt;Z1034-1,AV1034=TRUE),Voies!B1034,"")</f>
        <v>La Voix de l'Empereur (Champion)</v>
      </c>
      <c r="B1034" s="162" t="s">
        <v>3237</v>
      </c>
      <c r="C1034" s="162" t="b">
        <v>1</v>
      </c>
      <c r="D1034" s="387" t="s">
        <v>627</v>
      </c>
      <c r="E1034" s="199">
        <v>0</v>
      </c>
      <c r="F1034" s="199">
        <v>0</v>
      </c>
      <c r="G1034" s="199" t="s">
        <v>2052</v>
      </c>
      <c r="H1034" s="162" t="s">
        <v>545</v>
      </c>
      <c r="I1034" s="129" t="s">
        <v>3235</v>
      </c>
      <c r="J1034" s="146">
        <v>0</v>
      </c>
      <c r="K1034" s="147">
        <v>0</v>
      </c>
      <c r="L1034" s="148">
        <v>0</v>
      </c>
      <c r="M1034" s="149">
        <v>0</v>
      </c>
      <c r="N1034" s="150">
        <v>0</v>
      </c>
      <c r="O1034" s="130">
        <v>0</v>
      </c>
      <c r="P1034" s="130">
        <v>0</v>
      </c>
      <c r="Q1034" s="130">
        <v>0</v>
      </c>
      <c r="R1034" s="130">
        <v>0</v>
      </c>
      <c r="S1034" s="130">
        <v>0</v>
      </c>
      <c r="T1034" s="130">
        <v>0</v>
      </c>
      <c r="U1034" s="130">
        <v>0</v>
      </c>
      <c r="V1034" s="524">
        <v>0</v>
      </c>
      <c r="W1034" s="130">
        <v>0</v>
      </c>
      <c r="X1034" s="130">
        <v>0</v>
      </c>
      <c r="Y1034" s="130">
        <v>0</v>
      </c>
      <c r="Z1034" s="130">
        <v>0</v>
      </c>
      <c r="AA1034" s="158" t="s">
        <v>2078</v>
      </c>
      <c r="AB1034" s="158"/>
      <c r="AC1034" s="158"/>
      <c r="AD1034" s="158"/>
      <c r="AE1034" s="158" t="b">
        <f>IF(AB1034="",TRUE,IF(IF(AC1034="",VLOOKUP(AB1034,Calculs!$A$19:$S$425,19,FALSE),VLOOKUP(AC1034,Calculs!$A$19:$S$425,19,FALSE))&gt;=AD1034,TRUE,FALSE))</f>
        <v>1</v>
      </c>
      <c r="AF1034" s="158"/>
      <c r="AG1034" s="158"/>
      <c r="AH1034" s="158"/>
      <c r="AI1034" s="158" t="b">
        <f>IF(AF1034="",TRUE,IF(IF(AG1034="",VLOOKUP(AF1034,Calculs!$A$19:$S$425,19,FALSE),VLOOKUP(AG1034,Calculs!$A$19:$S$425,19,FALSE))&gt;=AH1034,TRUE,FALSE))</f>
        <v>1</v>
      </c>
      <c r="AJ1034" s="158"/>
      <c r="AK1034" s="158"/>
      <c r="AL1034" s="158"/>
      <c r="AM1034" s="158" t="b">
        <f>IF(AJ1034="",TRUE,IF(IF(AK1034="",VLOOKUP(AJ1034,Calculs!$A$19:$S$425,19,FALSE),VLOOKUP(AK1034,Calculs!$A$19:$S$425,19,FALSE))&gt;=AL1034,TRUE,FALSE))</f>
        <v>1</v>
      </c>
      <c r="AN1034" s="158"/>
      <c r="AO1034" s="158"/>
      <c r="AP1034" s="158"/>
      <c r="AQ1034" s="158" t="b">
        <f>IF(AN1034="",TRUE,IF(IF(AO1034="",VLOOKUP(AN1034,Calculs!$A$19:$S$425,19,FALSE),VLOOKUP(AO1034,Calculs!$A$19:$S$425,19,FALSE))&gt;=AP1034,TRUE,FALSE))</f>
        <v>1</v>
      </c>
      <c r="AR1034" s="158"/>
      <c r="AS1034" s="158" t="b">
        <f>IF(AR1034="",TRUE,IF(VLOOKUP(AR1034,Calculs!$A$427:$G$738,7,FALSE)&gt;0,TRUE,FALSE))</f>
        <v>1</v>
      </c>
      <c r="AT1034" s="158"/>
      <c r="AU1034" s="158" t="b">
        <f>IF(AT1034="",TRUE,IF(VLOOKUP(AT1034,Calculs!$A$740:$G$912,7,FALSE)&gt;0,TRUE,FALSE))</f>
        <v>1</v>
      </c>
      <c r="AV1034" s="158" t="b">
        <f t="shared" si="116"/>
        <v>1</v>
      </c>
      <c r="AW1034" s="159" t="s">
        <v>3236</v>
      </c>
      <c r="AX1034" s="162" t="s">
        <v>3</v>
      </c>
      <c r="AY1034" s="15">
        <v>127</v>
      </c>
      <c r="AZ1034" s="555" t="s">
        <v>8768</v>
      </c>
      <c r="BA1034" s="559">
        <f>IF(Verso!$B$10=Voies!$B1034,1,0)</f>
        <v>0</v>
      </c>
      <c r="BB1034" s="12">
        <f>IF(Verso!$B$11=Voies!$B1034,1,0)</f>
        <v>0</v>
      </c>
      <c r="BC1034" s="12">
        <f>IF(Verso!$B$12=Voies!$B1034,1,0)</f>
        <v>0</v>
      </c>
      <c r="BD1034" s="12">
        <f>IF(Verso!$B$13=Voies!$B1034,1,0)</f>
        <v>0</v>
      </c>
      <c r="BE1034" s="12">
        <f>IF(Verso!$B$14=Voies!$B1034,1,0)</f>
        <v>0</v>
      </c>
      <c r="BF1034" s="12">
        <f>IF(Verso!$B$15=Voies!$B1034,1,0)</f>
        <v>0</v>
      </c>
      <c r="BG1034" s="12">
        <f>IF(Verso!$B$16=Voies!$B1034,1,0)</f>
        <v>0</v>
      </c>
      <c r="BH1034" s="12">
        <f>IF(Verso!$B$17=Voies!$B1034,1,0)</f>
        <v>0</v>
      </c>
      <c r="BI1034" s="557">
        <f t="shared" si="117"/>
        <v>0</v>
      </c>
      <c r="BJ1034" s="196">
        <f t="shared" si="118"/>
        <v>1034</v>
      </c>
      <c r="BK1034" s="196" t="str">
        <f t="shared" si="119"/>
        <v/>
      </c>
      <c r="BL1034" s="295" t="str">
        <f t="shared" si="120"/>
        <v/>
      </c>
      <c r="BM1034" s="91"/>
    </row>
    <row r="1035" spans="1:65" s="196" customFormat="1" ht="47.25" customHeight="1" x14ac:dyDescent="0.25">
      <c r="A1035" s="162" t="str">
        <f>IF(AND(Réputation&gt;Voies!E1035-1,OR(C1035=TRUE,Calculs!$I$8&gt;0),Air&gt;Voies!J1035-1,Eau&gt;Voies!K1035-1,Feu&gt;Voies!L1035-1,Terre&gt;Voies!M1035-1,Vide&gt;Voies!N1035-1,Constitution&gt;Voies!O1035-1,Volonté&gt;Voies!P1035-1,Force&gt;Voies!Q1035-1,Perception&gt;Voies!R1035-1,Reflexes&gt;Voies!S1035-1,Agilité&gt;Voies!T1035-1,Intuition&gt;Voies!U1035-1,Intelligence&gt;Voies!V1035-1,Souillure&gt;Voies!W1035-1,Honneur&gt;X1035-1,Statut&gt;Y1035-1,Gloire&gt;Z1035-1,AV1035=TRUE),Voies!B1035,"")</f>
        <v/>
      </c>
      <c r="B1035" s="162" t="s">
        <v>3238</v>
      </c>
      <c r="C1035" s="162" t="b">
        <v>1</v>
      </c>
      <c r="D1035" s="387" t="s">
        <v>627</v>
      </c>
      <c r="E1035" s="199">
        <v>0</v>
      </c>
      <c r="F1035" s="199">
        <v>0</v>
      </c>
      <c r="G1035" s="199" t="s">
        <v>2048</v>
      </c>
      <c r="H1035" s="162" t="s">
        <v>551</v>
      </c>
      <c r="I1035" s="129" t="s">
        <v>3235</v>
      </c>
      <c r="J1035" s="146">
        <v>0</v>
      </c>
      <c r="K1035" s="147">
        <v>0</v>
      </c>
      <c r="L1035" s="148">
        <v>0</v>
      </c>
      <c r="M1035" s="149">
        <v>0</v>
      </c>
      <c r="N1035" s="150">
        <v>0</v>
      </c>
      <c r="O1035" s="130">
        <v>0</v>
      </c>
      <c r="P1035" s="130">
        <v>0</v>
      </c>
      <c r="Q1035" s="130">
        <v>0</v>
      </c>
      <c r="R1035" s="130">
        <v>0</v>
      </c>
      <c r="S1035" s="130">
        <v>0</v>
      </c>
      <c r="T1035" s="130">
        <v>4</v>
      </c>
      <c r="U1035" s="130">
        <v>0</v>
      </c>
      <c r="V1035" s="524">
        <v>0</v>
      </c>
      <c r="W1035" s="130">
        <v>0</v>
      </c>
      <c r="X1035" s="130">
        <v>0</v>
      </c>
      <c r="Y1035" s="130">
        <v>0</v>
      </c>
      <c r="Z1035" s="130">
        <v>0</v>
      </c>
      <c r="AA1035" s="158" t="s">
        <v>2078</v>
      </c>
      <c r="AB1035" s="158"/>
      <c r="AC1035" s="158"/>
      <c r="AD1035" s="158"/>
      <c r="AE1035" s="158" t="b">
        <f>IF(AB1035="",TRUE,IF(IF(AC1035="",VLOOKUP(AB1035,Calculs!$A$19:$S$425,19,FALSE),VLOOKUP(AC1035,Calculs!$A$19:$S$425,19,FALSE))&gt;=AD1035,TRUE,FALSE))</f>
        <v>1</v>
      </c>
      <c r="AF1035" s="158"/>
      <c r="AG1035" s="158"/>
      <c r="AH1035" s="158"/>
      <c r="AI1035" s="158" t="b">
        <f>IF(AF1035="",TRUE,IF(IF(AG1035="",VLOOKUP(AF1035,Calculs!$A$19:$S$425,19,FALSE),VLOOKUP(AG1035,Calculs!$A$19:$S$425,19,FALSE))&gt;=AH1035,TRUE,FALSE))</f>
        <v>1</v>
      </c>
      <c r="AJ1035" s="158"/>
      <c r="AK1035" s="158"/>
      <c r="AL1035" s="158"/>
      <c r="AM1035" s="158" t="b">
        <f>IF(AJ1035="",TRUE,IF(IF(AK1035="",VLOOKUP(AJ1035,Calculs!$A$19:$S$425,19,FALSE),VLOOKUP(AK1035,Calculs!$A$19:$S$425,19,FALSE))&gt;=AL1035,TRUE,FALSE))</f>
        <v>1</v>
      </c>
      <c r="AN1035" s="158"/>
      <c r="AO1035" s="158"/>
      <c r="AP1035" s="158"/>
      <c r="AQ1035" s="158" t="b">
        <f>IF(AN1035="",TRUE,IF(IF(AO1035="",VLOOKUP(AN1035,Calculs!$A$19:$S$425,19,FALSE),VLOOKUP(AO1035,Calculs!$A$19:$S$425,19,FALSE))&gt;=AP1035,TRUE,FALSE))</f>
        <v>1</v>
      </c>
      <c r="AR1035" s="158"/>
      <c r="AS1035" s="158" t="b">
        <f>IF(AR1035="",TRUE,IF(VLOOKUP(AR1035,Calculs!$A$427:$G$738,7,FALSE)&gt;0,TRUE,FALSE))</f>
        <v>1</v>
      </c>
      <c r="AT1035" s="158"/>
      <c r="AU1035" s="158" t="b">
        <f>IF(AT1035="",TRUE,IF(VLOOKUP(AT1035,Calculs!$A$740:$G$912,7,FALSE)&gt;0,TRUE,FALSE))</f>
        <v>1</v>
      </c>
      <c r="AV1035" s="158" t="b">
        <f t="shared" si="116"/>
        <v>1</v>
      </c>
      <c r="AW1035" s="159" t="s">
        <v>3240</v>
      </c>
      <c r="AX1035" s="162" t="s">
        <v>3</v>
      </c>
      <c r="AY1035" s="15">
        <v>256</v>
      </c>
      <c r="AZ1035" s="555" t="s">
        <v>8769</v>
      </c>
      <c r="BA1035" s="559">
        <f>IF(Verso!$B$10=Voies!$B1035,1,0)</f>
        <v>0</v>
      </c>
      <c r="BB1035" s="12">
        <f>IF(Verso!$B$11=Voies!$B1035,1,0)</f>
        <v>0</v>
      </c>
      <c r="BC1035" s="12">
        <f>IF(Verso!$B$12=Voies!$B1035,1,0)</f>
        <v>0</v>
      </c>
      <c r="BD1035" s="12">
        <f>IF(Verso!$B$13=Voies!$B1035,1,0)</f>
        <v>0</v>
      </c>
      <c r="BE1035" s="12">
        <f>IF(Verso!$B$14=Voies!$B1035,1,0)</f>
        <v>0</v>
      </c>
      <c r="BF1035" s="12">
        <f>IF(Verso!$B$15=Voies!$B1035,1,0)</f>
        <v>0</v>
      </c>
      <c r="BG1035" s="12">
        <f>IF(Verso!$B$16=Voies!$B1035,1,0)</f>
        <v>0</v>
      </c>
      <c r="BH1035" s="12">
        <f>IF(Verso!$B$17=Voies!$B1035,1,0)</f>
        <v>0</v>
      </c>
      <c r="BI1035" s="557">
        <f t="shared" si="117"/>
        <v>0</v>
      </c>
      <c r="BJ1035" s="196" t="str">
        <f t="shared" si="118"/>
        <v/>
      </c>
      <c r="BK1035" s="196" t="str">
        <f t="shared" si="119"/>
        <v/>
      </c>
      <c r="BL1035" s="295" t="str">
        <f t="shared" si="120"/>
        <v/>
      </c>
      <c r="BM1035" s="91"/>
    </row>
    <row r="1036" spans="1:65" s="196" customFormat="1" ht="47.25" customHeight="1" x14ac:dyDescent="0.25">
      <c r="A1036" s="162" t="str">
        <f>IF(AND(Réputation&gt;Voies!E1036-1,OR(C1036=TRUE,Calculs!$I$8&gt;0),Air&gt;Voies!J1036-1,Eau&gt;Voies!K1036-1,Feu&gt;Voies!L1036-1,Terre&gt;Voies!M1036-1,Vide&gt;Voies!N1036-1,Constitution&gt;Voies!O1036-1,Volonté&gt;Voies!P1036-1,Force&gt;Voies!Q1036-1,Perception&gt;Voies!R1036-1,Reflexes&gt;Voies!S1036-1,Agilité&gt;Voies!T1036-1,Intuition&gt;Voies!U1036-1,Intelligence&gt;Voies!V1036-1,Souillure&gt;Voies!W1036-1,Honneur&gt;X1036-1,Statut&gt;Y1036-1,Gloire&gt;Z1036-1,AV1036=TRUE),Voies!B1036,"")</f>
        <v/>
      </c>
      <c r="B1036" s="162" t="s">
        <v>8437</v>
      </c>
      <c r="C1036" s="162" t="b">
        <v>1</v>
      </c>
      <c r="D1036" s="387" t="s">
        <v>627</v>
      </c>
      <c r="E1036" s="199">
        <v>0</v>
      </c>
      <c r="F1036" s="199">
        <v>0</v>
      </c>
      <c r="G1036" s="199" t="s">
        <v>2048</v>
      </c>
      <c r="H1036" s="357" t="s">
        <v>8426</v>
      </c>
      <c r="I1036" s="129" t="s">
        <v>8433</v>
      </c>
      <c r="J1036" s="146">
        <v>0</v>
      </c>
      <c r="K1036" s="147">
        <v>0</v>
      </c>
      <c r="L1036" s="148">
        <v>0</v>
      </c>
      <c r="M1036" s="149">
        <v>0</v>
      </c>
      <c r="N1036" s="150">
        <v>0</v>
      </c>
      <c r="O1036" s="130">
        <v>0</v>
      </c>
      <c r="P1036" s="130">
        <v>0</v>
      </c>
      <c r="Q1036" s="130">
        <v>0</v>
      </c>
      <c r="R1036" s="130">
        <v>0</v>
      </c>
      <c r="S1036" s="130">
        <v>0</v>
      </c>
      <c r="T1036" s="130">
        <v>0</v>
      </c>
      <c r="U1036" s="130">
        <v>0</v>
      </c>
      <c r="V1036" s="130">
        <v>0</v>
      </c>
      <c r="W1036" s="130">
        <v>0</v>
      </c>
      <c r="X1036" s="130">
        <v>0</v>
      </c>
      <c r="Y1036" s="130">
        <v>0</v>
      </c>
      <c r="Z1036" s="130">
        <v>0</v>
      </c>
      <c r="AA1036" s="158" t="s">
        <v>8440</v>
      </c>
      <c r="AB1036" s="158" t="s">
        <v>3325</v>
      </c>
      <c r="AC1036" s="158" t="s">
        <v>3190</v>
      </c>
      <c r="AD1036" s="158">
        <v>5</v>
      </c>
      <c r="AE1036" s="158" t="b">
        <f>IF(AB1036="",TRUE,IF(IF(AC1036="",VLOOKUP(AB1036,Calculs!$A$19:$S$425,19,FALSE),VLOOKUP(AC1036,Calculs!$A$19:$S$425,19,FALSE))&gt;=AD1036,TRUE,FALSE))</f>
        <v>0</v>
      </c>
      <c r="AF1036" s="158" t="s">
        <v>3325</v>
      </c>
      <c r="AG1036" s="158" t="s">
        <v>3214</v>
      </c>
      <c r="AH1036" s="158">
        <v>5</v>
      </c>
      <c r="AI1036" s="158" t="b">
        <f>IF(AF1036="",TRUE,IF(IF(AG1036="",VLOOKUP(AF1036,Calculs!$A$19:$S$425,19,FALSE),VLOOKUP(AG1036,Calculs!$A$19:$S$425,19,FALSE))&gt;=AH1036,TRUE,FALSE))</f>
        <v>0</v>
      </c>
      <c r="AJ1036" s="158" t="s">
        <v>1260</v>
      </c>
      <c r="AK1036" s="158"/>
      <c r="AL1036" s="158">
        <v>7</v>
      </c>
      <c r="AM1036" s="158" t="b">
        <f>IF(AJ1036="",TRUE,IF(IF(AK1036="",VLOOKUP(AJ1036,Calculs!$A$19:$S$425,19,FALSE),VLOOKUP(AK1036,Calculs!$A$19:$S$425,19,FALSE))&gt;=AL1036,TRUE,FALSE))</f>
        <v>0</v>
      </c>
      <c r="AN1036" s="158"/>
      <c r="AO1036" s="158"/>
      <c r="AP1036" s="158"/>
      <c r="AQ1036" s="158" t="b">
        <f>IF(AN1036="",TRUE,IF(IF(AO1036="",VLOOKUP(AN1036,Calculs!$A$19:$S$425,19,FALSE),VLOOKUP(AO1036,Calculs!$A$19:$S$425,19,FALSE))&gt;=AP1036,TRUE,FALSE))</f>
        <v>1</v>
      </c>
      <c r="AR1036" s="158"/>
      <c r="AS1036" s="158" t="b">
        <f>IF(AR1036="",TRUE,IF(VLOOKUP(AR1036,Calculs!$A$427:$G$738,7,FALSE)&gt;0,TRUE,FALSE))</f>
        <v>1</v>
      </c>
      <c r="AT1036" s="158"/>
      <c r="AU1036" s="158" t="b">
        <f>IF(AT1036="",TRUE,IF(VLOOKUP(AT1036,Calculs!$A$740:$G$912,7,FALSE)&gt;0,TRUE,FALSE))</f>
        <v>1</v>
      </c>
      <c r="AV1036" s="158" t="b">
        <f t="shared" si="116"/>
        <v>0</v>
      </c>
      <c r="AW1036" s="158" t="s">
        <v>8443</v>
      </c>
      <c r="AX1036" s="162" t="s">
        <v>7759</v>
      </c>
      <c r="AY1036" s="15">
        <v>31</v>
      </c>
      <c r="AZ1036" s="555" t="s">
        <v>8770</v>
      </c>
      <c r="BA1036" s="559">
        <f>IF(Verso!$B$10=Voies!$B1036,1,0)</f>
        <v>0</v>
      </c>
      <c r="BB1036" s="12">
        <f>IF(Verso!$B$11=Voies!$B1036,1,0)</f>
        <v>0</v>
      </c>
      <c r="BC1036" s="12">
        <f>IF(Verso!$B$12=Voies!$B1036,1,0)</f>
        <v>0</v>
      </c>
      <c r="BD1036" s="12">
        <f>IF(Verso!$B$13=Voies!$B1036,1,0)</f>
        <v>0</v>
      </c>
      <c r="BE1036" s="12">
        <f>IF(Verso!$B$14=Voies!$B1036,1,0)</f>
        <v>0</v>
      </c>
      <c r="BF1036" s="12">
        <f>IF(Verso!$B$15=Voies!$B1036,1,0)</f>
        <v>0</v>
      </c>
      <c r="BG1036" s="12">
        <f>IF(Verso!$B$16=Voies!$B1036,1,0)</f>
        <v>0</v>
      </c>
      <c r="BH1036" s="12">
        <f>IF(Verso!$B$17=Voies!$B1036,1,0)</f>
        <v>0</v>
      </c>
      <c r="BI1036" s="557">
        <f t="shared" si="117"/>
        <v>0</v>
      </c>
      <c r="BJ1036" s="196" t="str">
        <f t="shared" si="118"/>
        <v/>
      </c>
      <c r="BK1036" s="196" t="str">
        <f t="shared" si="119"/>
        <v/>
      </c>
      <c r="BL1036" s="295" t="str">
        <f t="shared" si="120"/>
        <v/>
      </c>
      <c r="BM1036" s="91"/>
    </row>
    <row r="1037" spans="1:65" s="196" customFormat="1" ht="47.25" customHeight="1" x14ac:dyDescent="0.25">
      <c r="A1037" s="162" t="str">
        <f>IF(AND(Réputation&gt;Voies!E1037-1,OR(C1037=TRUE,Calculs!$I$8&gt;0),Air&gt;Voies!J1037-1,Eau&gt;Voies!K1037-1,Feu&gt;Voies!L1037-1,Terre&gt;Voies!M1037-1,Vide&gt;Voies!N1037-1,Constitution&gt;Voies!O1037-1,Volonté&gt;Voies!P1037-1,Force&gt;Voies!Q1037-1,Perception&gt;Voies!R1037-1,Reflexes&gt;Voies!S1037-1,Agilité&gt;Voies!T1037-1,Intuition&gt;Voies!U1037-1,Intelligence&gt;Voies!V1037-1,Souillure&gt;Voies!W1037-1,Honneur&gt;X1037-1,Statut&gt;Y1037-1,Gloire&gt;Z1037-1,AV1037=TRUE),Voies!B1037,"")</f>
        <v/>
      </c>
      <c r="B1037" s="162" t="s">
        <v>8438</v>
      </c>
      <c r="C1037" s="162" t="b">
        <v>1</v>
      </c>
      <c r="D1037" s="387" t="s">
        <v>627</v>
      </c>
      <c r="E1037" s="199">
        <v>0</v>
      </c>
      <c r="F1037" s="199">
        <v>0</v>
      </c>
      <c r="G1037" s="199" t="s">
        <v>2048</v>
      </c>
      <c r="H1037" s="162" t="s">
        <v>8426</v>
      </c>
      <c r="I1037" s="129" t="s">
        <v>8433</v>
      </c>
      <c r="J1037" s="146">
        <v>0</v>
      </c>
      <c r="K1037" s="147">
        <v>0</v>
      </c>
      <c r="L1037" s="148">
        <v>0</v>
      </c>
      <c r="M1037" s="149">
        <v>0</v>
      </c>
      <c r="N1037" s="150">
        <v>0</v>
      </c>
      <c r="O1037" s="130">
        <v>0</v>
      </c>
      <c r="P1037" s="130">
        <v>0</v>
      </c>
      <c r="Q1037" s="130">
        <v>0</v>
      </c>
      <c r="R1037" s="130">
        <v>0</v>
      </c>
      <c r="S1037" s="130">
        <v>0</v>
      </c>
      <c r="T1037" s="130">
        <v>0</v>
      </c>
      <c r="U1037" s="130">
        <v>0</v>
      </c>
      <c r="V1037" s="130">
        <v>0</v>
      </c>
      <c r="W1037" s="130">
        <v>0</v>
      </c>
      <c r="X1037" s="130">
        <v>0</v>
      </c>
      <c r="Y1037" s="130">
        <v>0</v>
      </c>
      <c r="Z1037" s="130">
        <v>0</v>
      </c>
      <c r="AA1037" s="158" t="s">
        <v>8441</v>
      </c>
      <c r="AB1037" s="158" t="s">
        <v>3325</v>
      </c>
      <c r="AC1037" s="158" t="s">
        <v>3190</v>
      </c>
      <c r="AD1037" s="158">
        <v>5</v>
      </c>
      <c r="AE1037" s="158" t="b">
        <f>IF(AB1037="",TRUE,IF(IF(AC1037="",VLOOKUP(AB1037,Calculs!$A$19:$S$425,19,FALSE),VLOOKUP(AC1037,Calculs!$A$19:$S$425,19,FALSE))&gt;=AD1037,TRUE,FALSE))</f>
        <v>0</v>
      </c>
      <c r="AF1037" s="158" t="s">
        <v>3325</v>
      </c>
      <c r="AG1037" s="158" t="s">
        <v>3214</v>
      </c>
      <c r="AH1037" s="158">
        <v>5</v>
      </c>
      <c r="AI1037" s="158" t="b">
        <f>IF(AF1037="",TRUE,IF(IF(AG1037="",VLOOKUP(AF1037,Calculs!$A$19:$S$425,19,FALSE),VLOOKUP(AG1037,Calculs!$A$19:$S$425,19,FALSE))&gt;=AH1037,TRUE,FALSE))</f>
        <v>0</v>
      </c>
      <c r="AJ1037" s="158" t="s">
        <v>1260</v>
      </c>
      <c r="AK1037" s="158"/>
      <c r="AL1037" s="158">
        <v>7</v>
      </c>
      <c r="AM1037" s="158" t="b">
        <f>IF(AJ1037="",TRUE,IF(IF(AK1037="",VLOOKUP(AJ1037,Calculs!$A$19:$S$425,19,FALSE),VLOOKUP(AK1037,Calculs!$A$19:$S$425,19,FALSE))&gt;=AL1037,TRUE,FALSE))</f>
        <v>0</v>
      </c>
      <c r="AN1037" s="158"/>
      <c r="AO1037" s="158"/>
      <c r="AP1037" s="158"/>
      <c r="AQ1037" s="158" t="b">
        <f>IF(AN1037="",TRUE,IF(IF(AO1037="",VLOOKUP(AN1037,Calculs!$A$19:$S$425,19,FALSE),VLOOKUP(AO1037,Calculs!$A$19:$S$425,19,FALSE))&gt;=AP1037,TRUE,FALSE))</f>
        <v>1</v>
      </c>
      <c r="AR1037" s="158"/>
      <c r="AS1037" s="158" t="b">
        <f>IF(AR1037="",TRUE,IF(VLOOKUP(AR1037,Calculs!$A$427:$G$738,7,FALSE)&gt;0,TRUE,FALSE))</f>
        <v>1</v>
      </c>
      <c r="AT1037" s="158"/>
      <c r="AU1037" s="158" t="b">
        <f>IF(AT1037="",TRUE,IF(VLOOKUP(AT1037,Calculs!$A$740:$G$912,7,FALSE)&gt;0,TRUE,FALSE))</f>
        <v>1</v>
      </c>
      <c r="AV1037" s="158" t="b">
        <f t="shared" si="116"/>
        <v>0</v>
      </c>
      <c r="AW1037" s="158" t="s">
        <v>8443</v>
      </c>
      <c r="AX1037" s="162" t="s">
        <v>7759</v>
      </c>
      <c r="AY1037" s="15">
        <v>31</v>
      </c>
      <c r="AZ1037" s="555" t="s">
        <v>8444</v>
      </c>
      <c r="BA1037" s="559">
        <f>IF(Verso!$B$10=Voies!$B1037,1,0)</f>
        <v>0</v>
      </c>
      <c r="BB1037" s="12">
        <f>IF(Verso!$B$11=Voies!$B1037,1,0)</f>
        <v>0</v>
      </c>
      <c r="BC1037" s="12">
        <f>IF(Verso!$B$12=Voies!$B1037,1,0)</f>
        <v>0</v>
      </c>
      <c r="BD1037" s="12">
        <f>IF(Verso!$B$13=Voies!$B1037,1,0)</f>
        <v>0</v>
      </c>
      <c r="BE1037" s="12">
        <f>IF(Verso!$B$14=Voies!$B1037,1,0)</f>
        <v>0</v>
      </c>
      <c r="BF1037" s="12">
        <f>IF(Verso!$B$15=Voies!$B1037,1,0)</f>
        <v>0</v>
      </c>
      <c r="BG1037" s="12">
        <f>IF(Verso!$B$16=Voies!$B1037,1,0)</f>
        <v>0</v>
      </c>
      <c r="BH1037" s="12">
        <f>IF(Verso!$B$17=Voies!$B1037,1,0)</f>
        <v>0</v>
      </c>
      <c r="BI1037" s="557">
        <f t="shared" si="117"/>
        <v>0</v>
      </c>
      <c r="BJ1037" s="196" t="str">
        <f t="shared" si="118"/>
        <v/>
      </c>
      <c r="BK1037" s="196" t="str">
        <f t="shared" si="119"/>
        <v/>
      </c>
      <c r="BL1037" s="295" t="str">
        <f t="shared" si="120"/>
        <v/>
      </c>
      <c r="BM1037" s="91"/>
    </row>
    <row r="1038" spans="1:65" s="196" customFormat="1" ht="47.25" customHeight="1" x14ac:dyDescent="0.25">
      <c r="A1038" s="162" t="str">
        <f>IF(AND(Réputation&gt;Voies!E1038-1,OR(C1038=TRUE,Calculs!$I$8&gt;0),Air&gt;Voies!J1038-1,Eau&gt;Voies!K1038-1,Feu&gt;Voies!L1038-1,Terre&gt;Voies!M1038-1,Vide&gt;Voies!N1038-1,Constitution&gt;Voies!O1038-1,Volonté&gt;Voies!P1038-1,Force&gt;Voies!Q1038-1,Perception&gt;Voies!R1038-1,Reflexes&gt;Voies!S1038-1,Agilité&gt;Voies!T1038-1,Intuition&gt;Voies!U1038-1,Intelligence&gt;Voies!V1038-1,Souillure&gt;Voies!W1038-1,Honneur&gt;X1038-1,Statut&gt;Y1038-1,Gloire&gt;Z1038-1,AV1038=TRUE),Voies!B1038,"")</f>
        <v/>
      </c>
      <c r="B1038" s="162" t="s">
        <v>8439</v>
      </c>
      <c r="C1038" s="162" t="b">
        <v>1</v>
      </c>
      <c r="D1038" s="387" t="s">
        <v>627</v>
      </c>
      <c r="E1038" s="199">
        <v>0</v>
      </c>
      <c r="F1038" s="199">
        <v>0</v>
      </c>
      <c r="G1038" s="199" t="s">
        <v>2048</v>
      </c>
      <c r="H1038" s="162" t="s">
        <v>8426</v>
      </c>
      <c r="I1038" s="129" t="s">
        <v>8433</v>
      </c>
      <c r="J1038" s="146">
        <v>0</v>
      </c>
      <c r="K1038" s="147">
        <v>0</v>
      </c>
      <c r="L1038" s="148">
        <v>0</v>
      </c>
      <c r="M1038" s="149">
        <v>0</v>
      </c>
      <c r="N1038" s="150">
        <v>0</v>
      </c>
      <c r="O1038" s="130">
        <v>0</v>
      </c>
      <c r="P1038" s="130">
        <v>0</v>
      </c>
      <c r="Q1038" s="130">
        <v>0</v>
      </c>
      <c r="R1038" s="130">
        <v>0</v>
      </c>
      <c r="S1038" s="130">
        <v>0</v>
      </c>
      <c r="T1038" s="130">
        <v>0</v>
      </c>
      <c r="U1038" s="130">
        <v>0</v>
      </c>
      <c r="V1038" s="130">
        <v>0</v>
      </c>
      <c r="W1038" s="130">
        <v>0</v>
      </c>
      <c r="X1038" s="130">
        <v>0</v>
      </c>
      <c r="Y1038" s="130">
        <v>0</v>
      </c>
      <c r="Z1038" s="130">
        <v>0</v>
      </c>
      <c r="AA1038" s="158" t="s">
        <v>8442</v>
      </c>
      <c r="AB1038" s="158" t="s">
        <v>3325</v>
      </c>
      <c r="AC1038" s="158" t="s">
        <v>3190</v>
      </c>
      <c r="AD1038" s="158">
        <v>5</v>
      </c>
      <c r="AE1038" s="158" t="b">
        <f>IF(AB1038="",TRUE,IF(IF(AC1038="",VLOOKUP(AB1038,Calculs!$A$19:$S$425,19,FALSE),VLOOKUP(AC1038,Calculs!$A$19:$S$425,19,FALSE))&gt;=AD1038,TRUE,FALSE))</f>
        <v>0</v>
      </c>
      <c r="AF1038" s="158" t="s">
        <v>3325</v>
      </c>
      <c r="AG1038" s="158" t="s">
        <v>3214</v>
      </c>
      <c r="AH1038" s="158">
        <v>5</v>
      </c>
      <c r="AI1038" s="158" t="b">
        <f>IF(AF1038="",TRUE,IF(IF(AG1038="",VLOOKUP(AF1038,Calculs!$A$19:$S$425,19,FALSE),VLOOKUP(AG1038,Calculs!$A$19:$S$425,19,FALSE))&gt;=AH1038,TRUE,FALSE))</f>
        <v>0</v>
      </c>
      <c r="AJ1038" s="158" t="s">
        <v>1260</v>
      </c>
      <c r="AK1038" s="158"/>
      <c r="AL1038" s="158">
        <v>7</v>
      </c>
      <c r="AM1038" s="158" t="b">
        <f>IF(AJ1038="",TRUE,IF(IF(AK1038="",VLOOKUP(AJ1038,Calculs!$A$19:$S$425,19,FALSE),VLOOKUP(AK1038,Calculs!$A$19:$S$425,19,FALSE))&gt;=AL1038,TRUE,FALSE))</f>
        <v>0</v>
      </c>
      <c r="AN1038" s="158"/>
      <c r="AO1038" s="158"/>
      <c r="AP1038" s="158"/>
      <c r="AQ1038" s="158" t="b">
        <f>IF(AN1038="",TRUE,IF(IF(AO1038="",VLOOKUP(AN1038,Calculs!$A$19:$S$425,19,FALSE),VLOOKUP(AO1038,Calculs!$A$19:$S$425,19,FALSE))&gt;=AP1038,TRUE,FALSE))</f>
        <v>1</v>
      </c>
      <c r="AR1038" s="158"/>
      <c r="AS1038" s="158" t="b">
        <f>IF(AR1038="",TRUE,IF(VLOOKUP(AR1038,Calculs!$A$427:$G$738,7,FALSE)&gt;0,TRUE,FALSE))</f>
        <v>1</v>
      </c>
      <c r="AT1038" s="158"/>
      <c r="AU1038" s="158" t="b">
        <f>IF(AT1038="",TRUE,IF(VLOOKUP(AT1038,Calculs!$A$740:$G$912,7,FALSE)&gt;0,TRUE,FALSE))</f>
        <v>1</v>
      </c>
      <c r="AV1038" s="158" t="b">
        <f t="shared" si="116"/>
        <v>0</v>
      </c>
      <c r="AW1038" s="158" t="s">
        <v>8443</v>
      </c>
      <c r="AX1038" s="162" t="s">
        <v>7759</v>
      </c>
      <c r="AY1038" s="15">
        <v>31</v>
      </c>
      <c r="AZ1038" s="555" t="s">
        <v>8445</v>
      </c>
      <c r="BA1038" s="559">
        <f>IF(Verso!$B$10=Voies!$B1038,1,0)</f>
        <v>0</v>
      </c>
      <c r="BB1038" s="12">
        <f>IF(Verso!$B$11=Voies!$B1038,1,0)</f>
        <v>0</v>
      </c>
      <c r="BC1038" s="12">
        <f>IF(Verso!$B$12=Voies!$B1038,1,0)</f>
        <v>0</v>
      </c>
      <c r="BD1038" s="12">
        <f>IF(Verso!$B$13=Voies!$B1038,1,0)</f>
        <v>0</v>
      </c>
      <c r="BE1038" s="12">
        <f>IF(Verso!$B$14=Voies!$B1038,1,0)</f>
        <v>0</v>
      </c>
      <c r="BF1038" s="12">
        <f>IF(Verso!$B$15=Voies!$B1038,1,0)</f>
        <v>0</v>
      </c>
      <c r="BG1038" s="12">
        <f>IF(Verso!$B$16=Voies!$B1038,1,0)</f>
        <v>0</v>
      </c>
      <c r="BH1038" s="12">
        <f>IF(Verso!$B$17=Voies!$B1038,1,0)</f>
        <v>0</v>
      </c>
      <c r="BI1038" s="557">
        <f t="shared" si="117"/>
        <v>0</v>
      </c>
      <c r="BJ1038" s="196" t="str">
        <f t="shared" si="118"/>
        <v/>
      </c>
      <c r="BK1038" s="196" t="str">
        <f t="shared" si="119"/>
        <v/>
      </c>
      <c r="BL1038" s="295" t="str">
        <f t="shared" si="120"/>
        <v/>
      </c>
      <c r="BM1038" s="91"/>
    </row>
    <row r="1039" spans="1:65" ht="47.25" customHeight="1" x14ac:dyDescent="0.25">
      <c r="A1039" s="162" t="str">
        <f>IF(AND(Réputation&gt;Voies!E1039-1,OR(C1039=TRUE,Calculs!$I$8&gt;0),Air&gt;Voies!J1039-1,Eau&gt;Voies!K1039-1,Feu&gt;Voies!L1039-1,Terre&gt;Voies!M1039-1,Vide&gt;Voies!N1039-1,Constitution&gt;Voies!O1039-1,Volonté&gt;Voies!P1039-1,Force&gt;Voies!Q1039-1,Perception&gt;Voies!R1039-1,Reflexes&gt;Voies!S1039-1,Agilité&gt;Voies!T1039-1,Intuition&gt;Voies!U1039-1,Intelligence&gt;Voies!V1039-1,Souillure&gt;Voies!W1039-1,Honneur&gt;X1039-1,Statut&gt;Y1039-1,Gloire&gt;Z1039-1,AV1039=TRUE),Voies!B1039,"")</f>
        <v/>
      </c>
      <c r="B1039" s="162" t="s">
        <v>3699</v>
      </c>
      <c r="C1039" s="162" t="b">
        <v>1</v>
      </c>
      <c r="D1039" s="387" t="s">
        <v>627</v>
      </c>
      <c r="E1039" s="13">
        <v>2</v>
      </c>
      <c r="F1039" s="199">
        <v>2</v>
      </c>
      <c r="G1039" s="157" t="s">
        <v>2078</v>
      </c>
      <c r="H1039" s="162" t="s">
        <v>546</v>
      </c>
      <c r="I1039" s="129" t="s">
        <v>3698</v>
      </c>
      <c r="J1039" s="146">
        <v>0</v>
      </c>
      <c r="K1039" s="147">
        <v>0</v>
      </c>
      <c r="L1039" s="148">
        <v>0</v>
      </c>
      <c r="M1039" s="149">
        <v>0</v>
      </c>
      <c r="N1039" s="150">
        <v>0</v>
      </c>
      <c r="O1039" s="130">
        <v>0</v>
      </c>
      <c r="P1039" s="130">
        <v>0</v>
      </c>
      <c r="Q1039" s="130">
        <v>4</v>
      </c>
      <c r="R1039" s="130">
        <v>0</v>
      </c>
      <c r="S1039" s="130">
        <v>0</v>
      </c>
      <c r="T1039" s="130">
        <v>5</v>
      </c>
      <c r="U1039" s="130">
        <v>0</v>
      </c>
      <c r="V1039" s="524">
        <v>0</v>
      </c>
      <c r="W1039" s="130">
        <v>0</v>
      </c>
      <c r="X1039" s="130">
        <v>0</v>
      </c>
      <c r="Y1039" s="130">
        <v>0</v>
      </c>
      <c r="Z1039" s="130">
        <v>0</v>
      </c>
      <c r="AA1039" s="158" t="s">
        <v>2078</v>
      </c>
      <c r="AB1039" s="158"/>
      <c r="AC1039" s="158"/>
      <c r="AD1039" s="158"/>
      <c r="AE1039" s="158" t="b">
        <f>IF(AB1039="",TRUE,IF(IF(AC1039="",VLOOKUP(AB1039,Calculs!$A$19:$S$425,19,FALSE),VLOOKUP(AC1039,Calculs!$A$19:$S$425,19,FALSE))&gt;=AD1039,TRUE,FALSE))</f>
        <v>1</v>
      </c>
      <c r="AF1039" s="158"/>
      <c r="AG1039" s="158"/>
      <c r="AH1039" s="158"/>
      <c r="AI1039" s="158" t="b">
        <f>IF(AF1039="",TRUE,IF(IF(AG1039="",VLOOKUP(AF1039,Calculs!$A$19:$S$425,19,FALSE),VLOOKUP(AG1039,Calculs!$A$19:$S$425,19,FALSE))&gt;=AH1039,TRUE,FALSE))</f>
        <v>1</v>
      </c>
      <c r="AJ1039" s="158"/>
      <c r="AK1039" s="158"/>
      <c r="AL1039" s="158"/>
      <c r="AM1039" s="158" t="b">
        <f>IF(AJ1039="",TRUE,IF(IF(AK1039="",VLOOKUP(AJ1039,Calculs!$A$19:$S$425,19,FALSE),VLOOKUP(AK1039,Calculs!$A$19:$S$425,19,FALSE))&gt;=AL1039,TRUE,FALSE))</f>
        <v>1</v>
      </c>
      <c r="AN1039" s="158"/>
      <c r="AO1039" s="158"/>
      <c r="AP1039" s="158"/>
      <c r="AQ1039" s="158" t="b">
        <f>IF(AN1039="",TRUE,IF(IF(AO1039="",VLOOKUP(AN1039,Calculs!$A$19:$S$425,19,FALSE),VLOOKUP(AO1039,Calculs!$A$19:$S$425,19,FALSE))&gt;=AP1039,TRUE,FALSE))</f>
        <v>1</v>
      </c>
      <c r="AR1039" s="158"/>
      <c r="AS1039" s="158" t="b">
        <f>IF(AR1039="",TRUE,IF(VLOOKUP(AR1039,Calculs!$A$427:$G$738,7,FALSE)&gt;0,TRUE,FALSE))</f>
        <v>1</v>
      </c>
      <c r="AT1039" s="158" t="s">
        <v>1012</v>
      </c>
      <c r="AU1039" s="158" t="b">
        <f>IF(AT1039="",TRUE,IF(VLOOKUP(AT1039,Calculs!$A$740:$G$912,7,FALSE)&gt;0,TRUE,FALSE))</f>
        <v>0</v>
      </c>
      <c r="AV1039" s="158" t="b">
        <f t="shared" si="116"/>
        <v>0</v>
      </c>
      <c r="AW1039" s="159" t="s">
        <v>6477</v>
      </c>
      <c r="AX1039" s="162" t="s">
        <v>2076</v>
      </c>
      <c r="AY1039" s="15">
        <v>127</v>
      </c>
      <c r="AZ1039" s="555" t="s">
        <v>3700</v>
      </c>
      <c r="BA1039" s="559">
        <f>IF(Verso!$B$10=Voies!$B1039,1,0)</f>
        <v>0</v>
      </c>
      <c r="BB1039" s="12">
        <f>IF(Verso!$B$11=Voies!$B1039,1,0)</f>
        <v>0</v>
      </c>
      <c r="BC1039" s="12">
        <f>IF(Verso!$B$12=Voies!$B1039,1,0)</f>
        <v>0</v>
      </c>
      <c r="BD1039" s="12">
        <f>IF(Verso!$B$13=Voies!$B1039,1,0)</f>
        <v>0</v>
      </c>
      <c r="BE1039" s="12">
        <f>IF(Verso!$B$14=Voies!$B1039,1,0)</f>
        <v>0</v>
      </c>
      <c r="BF1039" s="12">
        <f>IF(Verso!$B$15=Voies!$B1039,1,0)</f>
        <v>0</v>
      </c>
      <c r="BG1039" s="12">
        <f>IF(Verso!$B$16=Voies!$B1039,1,0)</f>
        <v>0</v>
      </c>
      <c r="BH1039" s="12">
        <f>IF(Verso!$B$17=Voies!$B1039,1,0)</f>
        <v>0</v>
      </c>
      <c r="BI1039" s="557">
        <f t="shared" si="117"/>
        <v>0</v>
      </c>
      <c r="BJ1039" s="196" t="str">
        <f t="shared" si="118"/>
        <v/>
      </c>
      <c r="BK1039" s="196" t="str">
        <f t="shared" si="119"/>
        <v/>
      </c>
      <c r="BL1039" s="295" t="str">
        <f t="shared" si="120"/>
        <v/>
      </c>
    </row>
    <row r="1040" spans="1:65" ht="47.25" customHeight="1" x14ac:dyDescent="0.25">
      <c r="A1040" s="162" t="str">
        <f>IF(AND(Réputation&gt;Voies!E1040-1,OR(C1040=TRUE,Calculs!$I$8&gt;0),Air&gt;Voies!J1040-1,Eau&gt;Voies!K1040-1,Feu&gt;Voies!L1040-1,Terre&gt;Voies!M1040-1,Vide&gt;Voies!N1040-1,Constitution&gt;Voies!O1040-1,Volonté&gt;Voies!P1040-1,Force&gt;Voies!Q1040-1,Perception&gt;Voies!R1040-1,Reflexes&gt;Voies!S1040-1,Agilité&gt;Voies!T1040-1,Intuition&gt;Voies!U1040-1,Intelligence&gt;Voies!V1040-1,Souillure&gt;Voies!W1040-1,Honneur&gt;X1040-1,Statut&gt;Y1040-1,Gloire&gt;Z1040-1,AV1040=TRUE),Voies!B1040,"")</f>
        <v/>
      </c>
      <c r="B1040" s="162" t="s">
        <v>3248</v>
      </c>
      <c r="C1040" s="162" t="b">
        <v>1</v>
      </c>
      <c r="D1040" s="387" t="s">
        <v>627</v>
      </c>
      <c r="E1040" s="13">
        <v>2</v>
      </c>
      <c r="F1040" s="199">
        <v>2</v>
      </c>
      <c r="G1040" s="157" t="s">
        <v>2078</v>
      </c>
      <c r="H1040" s="162" t="s">
        <v>552</v>
      </c>
      <c r="I1040" s="129" t="s">
        <v>3243</v>
      </c>
      <c r="J1040" s="146">
        <v>0</v>
      </c>
      <c r="K1040" s="147">
        <v>0</v>
      </c>
      <c r="L1040" s="148">
        <v>0</v>
      </c>
      <c r="M1040" s="149">
        <v>0</v>
      </c>
      <c r="N1040" s="150">
        <v>0</v>
      </c>
      <c r="O1040" s="130">
        <v>0</v>
      </c>
      <c r="P1040" s="130">
        <v>0</v>
      </c>
      <c r="Q1040" s="130">
        <v>0</v>
      </c>
      <c r="R1040" s="130">
        <v>0</v>
      </c>
      <c r="S1040" s="130">
        <v>0</v>
      </c>
      <c r="T1040" s="130">
        <v>0</v>
      </c>
      <c r="U1040" s="130">
        <v>0</v>
      </c>
      <c r="V1040" s="524">
        <v>0</v>
      </c>
      <c r="W1040" s="130">
        <v>0</v>
      </c>
      <c r="X1040" s="130">
        <v>0</v>
      </c>
      <c r="Y1040" s="130">
        <v>0</v>
      </c>
      <c r="Z1040" s="130">
        <v>0</v>
      </c>
      <c r="AA1040" s="159" t="s">
        <v>3252</v>
      </c>
      <c r="AE1040" s="158" t="b">
        <f>IF(AB1040="",TRUE,IF(IF(AC1040="",VLOOKUP(AB1040,Calculs!$A$19:$S$425,19,FALSE),VLOOKUP(AC1040,Calculs!$A$19:$S$425,19,FALSE))&gt;=AD1040,TRUE,FALSE))</f>
        <v>1</v>
      </c>
      <c r="AI1040" s="158" t="b">
        <f>IF(AF1040="",TRUE,IF(IF(AG1040="",VLOOKUP(AF1040,Calculs!$A$19:$S$425,19,FALSE),VLOOKUP(AG1040,Calculs!$A$19:$S$425,19,FALSE))&gt;=AH1040,TRUE,FALSE))</f>
        <v>1</v>
      </c>
      <c r="AM1040" s="158" t="b">
        <f>IF(AJ1040="",TRUE,IF(IF(AK1040="",VLOOKUP(AJ1040,Calculs!$A$19:$S$425,19,FALSE),VLOOKUP(AK1040,Calculs!$A$19:$S$425,19,FALSE))&gt;=AL1040,TRUE,FALSE))</f>
        <v>1</v>
      </c>
      <c r="AQ1040" s="158" t="b">
        <f>IF(AN1040="",TRUE,IF(IF(AO1040="",VLOOKUP(AN1040,Calculs!$A$19:$S$425,19,FALSE),VLOOKUP(AO1040,Calculs!$A$19:$S$425,19,FALSE))&gt;=AP1040,TRUE,FALSE))</f>
        <v>1</v>
      </c>
      <c r="AR1040" s="158"/>
      <c r="AS1040" s="158" t="b">
        <f>IF(AR1040="",TRUE,IF(VLOOKUP(AR1040,Calculs!$A$427:$G$738,7,FALSE)&gt;0,TRUE,FALSE))</f>
        <v>1</v>
      </c>
      <c r="AT1040" s="158"/>
      <c r="AU1040" s="158" t="b">
        <f>IF(AT1040="",TRUE,IF(VLOOKUP(AT1040,Calculs!$A$740:$G$912,7,FALSE)&gt;0,TRUE,FALSE))</f>
        <v>1</v>
      </c>
      <c r="AV1040" s="158" t="b">
        <f t="shared" si="116"/>
        <v>1</v>
      </c>
      <c r="AW1040" s="159" t="s">
        <v>3253</v>
      </c>
      <c r="AX1040" s="162" t="s">
        <v>3</v>
      </c>
      <c r="AY1040" s="15">
        <v>257</v>
      </c>
      <c r="AZ1040" s="555" t="s">
        <v>8771</v>
      </c>
      <c r="BA1040" s="559">
        <f>IF(Verso!$B$10=Voies!$B1040,1,0)</f>
        <v>0</v>
      </c>
      <c r="BB1040" s="12">
        <f>IF(Verso!$B$11=Voies!$B1040,1,0)</f>
        <v>0</v>
      </c>
      <c r="BC1040" s="12">
        <f>IF(Verso!$B$12=Voies!$B1040,1,0)</f>
        <v>0</v>
      </c>
      <c r="BD1040" s="12">
        <f>IF(Verso!$B$13=Voies!$B1040,1,0)</f>
        <v>0</v>
      </c>
      <c r="BE1040" s="12">
        <f>IF(Verso!$B$14=Voies!$B1040,1,0)</f>
        <v>0</v>
      </c>
      <c r="BF1040" s="12">
        <f>IF(Verso!$B$15=Voies!$B1040,1,0)</f>
        <v>0</v>
      </c>
      <c r="BG1040" s="12">
        <f>IF(Verso!$B$16=Voies!$B1040,1,0)</f>
        <v>0</v>
      </c>
      <c r="BH1040" s="12">
        <f>IF(Verso!$B$17=Voies!$B1040,1,0)</f>
        <v>0</v>
      </c>
      <c r="BI1040" s="557">
        <f t="shared" si="117"/>
        <v>0</v>
      </c>
      <c r="BJ1040" s="196" t="str">
        <f t="shared" si="118"/>
        <v/>
      </c>
      <c r="BK1040" s="196" t="str">
        <f t="shared" si="119"/>
        <v/>
      </c>
      <c r="BL1040" s="295" t="str">
        <f t="shared" si="120"/>
        <v/>
      </c>
    </row>
    <row r="1041" spans="1:65" ht="47.25" customHeight="1" x14ac:dyDescent="0.25">
      <c r="A1041" s="162" t="str">
        <f>IF(AND(Réputation&gt;Voies!E1041-1,OR(C1041=TRUE,Calculs!$I$8&gt;0),Air&gt;Voies!J1041-1,Eau&gt;Voies!K1041-1,Feu&gt;Voies!L1041-1,Terre&gt;Voies!M1041-1,Vide&gt;Voies!N1041-1,Constitution&gt;Voies!O1041-1,Volonté&gt;Voies!P1041-1,Force&gt;Voies!Q1041-1,Perception&gt;Voies!R1041-1,Reflexes&gt;Voies!S1041-1,Agilité&gt;Voies!T1041-1,Intuition&gt;Voies!U1041-1,Intelligence&gt;Voies!V1041-1,Souillure&gt;Voies!W1041-1,Honneur&gt;X1041-1,Statut&gt;Y1041-1,Gloire&gt;Z1041-1,AV1041=TRUE),Voies!B1041,"")</f>
        <v/>
      </c>
      <c r="B1041" s="162" t="s">
        <v>3249</v>
      </c>
      <c r="C1041" s="162" t="b">
        <v>1</v>
      </c>
      <c r="D1041" s="387" t="s">
        <v>627</v>
      </c>
      <c r="E1041" s="13">
        <v>2</v>
      </c>
      <c r="F1041" s="199">
        <v>2</v>
      </c>
      <c r="G1041" s="199" t="s">
        <v>2049</v>
      </c>
      <c r="H1041" s="162" t="s">
        <v>550</v>
      </c>
      <c r="I1041" s="129" t="s">
        <v>3242</v>
      </c>
      <c r="J1041" s="146">
        <v>0</v>
      </c>
      <c r="K1041" s="147">
        <v>0</v>
      </c>
      <c r="L1041" s="148">
        <v>0</v>
      </c>
      <c r="M1041" s="149">
        <v>0</v>
      </c>
      <c r="N1041" s="150">
        <v>0</v>
      </c>
      <c r="O1041" s="130">
        <v>0</v>
      </c>
      <c r="P1041" s="130">
        <v>0</v>
      </c>
      <c r="Q1041" s="130">
        <v>0</v>
      </c>
      <c r="R1041" s="130">
        <v>0</v>
      </c>
      <c r="S1041" s="130">
        <v>0</v>
      </c>
      <c r="T1041" s="130">
        <v>0</v>
      </c>
      <c r="U1041" s="130">
        <v>0</v>
      </c>
      <c r="V1041" s="524">
        <v>0</v>
      </c>
      <c r="W1041" s="130">
        <v>0</v>
      </c>
      <c r="X1041" s="130">
        <v>0</v>
      </c>
      <c r="Y1041" s="130">
        <v>0</v>
      </c>
      <c r="Z1041" s="130">
        <v>0</v>
      </c>
      <c r="AA1041" s="159" t="s">
        <v>3252</v>
      </c>
      <c r="AE1041" s="158" t="b">
        <f>IF(AB1041="",TRUE,IF(IF(AC1041="",VLOOKUP(AB1041,Calculs!$A$19:$S$425,19,FALSE),VLOOKUP(AC1041,Calculs!$A$19:$S$425,19,FALSE))&gt;=AD1041,TRUE,FALSE))</f>
        <v>1</v>
      </c>
      <c r="AI1041" s="158" t="b">
        <f>IF(AF1041="",TRUE,IF(IF(AG1041="",VLOOKUP(AF1041,Calculs!$A$19:$S$425,19,FALSE),VLOOKUP(AG1041,Calculs!$A$19:$S$425,19,FALSE))&gt;=AH1041,TRUE,FALSE))</f>
        <v>1</v>
      </c>
      <c r="AM1041" s="158" t="b">
        <f>IF(AJ1041="",TRUE,IF(IF(AK1041="",VLOOKUP(AJ1041,Calculs!$A$19:$S$425,19,FALSE),VLOOKUP(AK1041,Calculs!$A$19:$S$425,19,FALSE))&gt;=AL1041,TRUE,FALSE))</f>
        <v>1</v>
      </c>
      <c r="AQ1041" s="158" t="b">
        <f>IF(AN1041="",TRUE,IF(IF(AO1041="",VLOOKUP(AN1041,Calculs!$A$19:$S$425,19,FALSE),VLOOKUP(AO1041,Calculs!$A$19:$S$425,19,FALSE))&gt;=AP1041,TRUE,FALSE))</f>
        <v>1</v>
      </c>
      <c r="AR1041" s="158"/>
      <c r="AS1041" s="158" t="b">
        <f>IF(AR1041="",TRUE,IF(VLOOKUP(AR1041,Calculs!$A$427:$G$738,7,FALSE)&gt;0,TRUE,FALSE))</f>
        <v>1</v>
      </c>
      <c r="AT1041" s="158"/>
      <c r="AU1041" s="158" t="b">
        <f>IF(AT1041="",TRUE,IF(VLOOKUP(AT1041,Calculs!$A$740:$G$912,7,FALSE)&gt;0,TRUE,FALSE))</f>
        <v>1</v>
      </c>
      <c r="AV1041" s="158" t="b">
        <f t="shared" si="116"/>
        <v>1</v>
      </c>
      <c r="AW1041" s="159" t="s">
        <v>3253</v>
      </c>
      <c r="AX1041" s="162" t="s">
        <v>3</v>
      </c>
      <c r="AY1041" s="15">
        <v>257</v>
      </c>
      <c r="AZ1041" s="555" t="s">
        <v>8772</v>
      </c>
      <c r="BA1041" s="559">
        <f>IF(Verso!$B$10=Voies!$B1041,1,0)</f>
        <v>0</v>
      </c>
      <c r="BB1041" s="12">
        <f>IF(Verso!$B$11=Voies!$B1041,1,0)</f>
        <v>0</v>
      </c>
      <c r="BC1041" s="12">
        <f>IF(Verso!$B$12=Voies!$B1041,1,0)</f>
        <v>0</v>
      </c>
      <c r="BD1041" s="12">
        <f>IF(Verso!$B$13=Voies!$B1041,1,0)</f>
        <v>0</v>
      </c>
      <c r="BE1041" s="12">
        <f>IF(Verso!$B$14=Voies!$B1041,1,0)</f>
        <v>0</v>
      </c>
      <c r="BF1041" s="12">
        <f>IF(Verso!$B$15=Voies!$B1041,1,0)</f>
        <v>0</v>
      </c>
      <c r="BG1041" s="12">
        <f>IF(Verso!$B$16=Voies!$B1041,1,0)</f>
        <v>0</v>
      </c>
      <c r="BH1041" s="12">
        <f>IF(Verso!$B$17=Voies!$B1041,1,0)</f>
        <v>0</v>
      </c>
      <c r="BI1041" s="557">
        <f t="shared" si="117"/>
        <v>0</v>
      </c>
      <c r="BJ1041" s="196" t="str">
        <f t="shared" si="118"/>
        <v/>
      </c>
      <c r="BK1041" s="196" t="str">
        <f t="shared" si="119"/>
        <v/>
      </c>
      <c r="BL1041" s="295" t="str">
        <f t="shared" si="120"/>
        <v/>
      </c>
    </row>
    <row r="1042" spans="1:65" ht="47.25" customHeight="1" x14ac:dyDescent="0.25">
      <c r="A1042" s="162" t="str">
        <f>IF(AND(Réputation&gt;Voies!E1042-1,OR(C1042=TRUE,Calculs!$I$8&gt;0),Air&gt;Voies!J1042-1,Eau&gt;Voies!K1042-1,Feu&gt;Voies!L1042-1,Terre&gt;Voies!M1042-1,Vide&gt;Voies!N1042-1,Constitution&gt;Voies!O1042-1,Volonté&gt;Voies!P1042-1,Force&gt;Voies!Q1042-1,Perception&gt;Voies!R1042-1,Reflexes&gt;Voies!S1042-1,Agilité&gt;Voies!T1042-1,Intuition&gt;Voies!U1042-1,Intelligence&gt;Voies!V1042-1,Souillure&gt;Voies!W1042-1,Honneur&gt;X1042-1,Statut&gt;Y1042-1,Gloire&gt;Z1042-1,AV1042=TRUE),Voies!B1042,"")</f>
        <v/>
      </c>
      <c r="B1042" s="162" t="s">
        <v>8110</v>
      </c>
      <c r="C1042" s="162" t="b">
        <v>1</v>
      </c>
      <c r="D1042" s="387" t="s">
        <v>627</v>
      </c>
      <c r="E1042" s="13">
        <v>2</v>
      </c>
      <c r="F1042" s="199" t="s">
        <v>8111</v>
      </c>
      <c r="G1042" s="199" t="s">
        <v>2049</v>
      </c>
      <c r="H1042" s="162" t="s">
        <v>8112</v>
      </c>
      <c r="I1042" s="129" t="s">
        <v>8113</v>
      </c>
      <c r="J1042" s="146">
        <v>0</v>
      </c>
      <c r="K1042" s="147">
        <v>0</v>
      </c>
      <c r="L1042" s="148">
        <v>0</v>
      </c>
      <c r="M1042" s="149">
        <v>0</v>
      </c>
      <c r="N1042" s="150">
        <v>0</v>
      </c>
      <c r="O1042" s="130">
        <v>0</v>
      </c>
      <c r="P1042" s="130">
        <v>0</v>
      </c>
      <c r="Q1042" s="130">
        <v>0</v>
      </c>
      <c r="R1042" s="130">
        <v>0</v>
      </c>
      <c r="S1042" s="130">
        <v>3</v>
      </c>
      <c r="T1042" s="130">
        <v>3</v>
      </c>
      <c r="U1042" s="130">
        <v>0</v>
      </c>
      <c r="V1042" s="524">
        <v>0</v>
      </c>
      <c r="W1042" s="130">
        <v>0</v>
      </c>
      <c r="X1042" s="130">
        <v>0</v>
      </c>
      <c r="Y1042" s="130">
        <v>0</v>
      </c>
      <c r="Z1042" s="130">
        <v>0</v>
      </c>
      <c r="AA1042" s="158" t="s">
        <v>3586</v>
      </c>
      <c r="AB1042" s="158" t="s">
        <v>351</v>
      </c>
      <c r="AC1042" s="158"/>
      <c r="AD1042" s="158">
        <v>4</v>
      </c>
      <c r="AE1042" s="158" t="b">
        <f>IF(AB1042="",TRUE,IF(IF(AC1042="",VLOOKUP(AB1042,Calculs!$A$19:$S$425,19,FALSE),VLOOKUP(AC1042,Calculs!$A$19:$S$425,19,FALSE))&gt;=AD1042,TRUE,FALSE))</f>
        <v>0</v>
      </c>
      <c r="AF1042" s="158"/>
      <c r="AG1042" s="158"/>
      <c r="AH1042" s="158"/>
      <c r="AI1042" s="158" t="b">
        <f>IF(AF1042="",TRUE,IF(IF(AG1042="",VLOOKUP(AF1042,Calculs!$A$19:$S$425,19,FALSE),VLOOKUP(AG1042,Calculs!$A$19:$S$425,19,FALSE))&gt;=AH1042,TRUE,FALSE))</f>
        <v>1</v>
      </c>
      <c r="AJ1042" s="158"/>
      <c r="AK1042" s="158"/>
      <c r="AL1042" s="158"/>
      <c r="AM1042" s="158" t="b">
        <f>IF(AJ1042="",TRUE,IF(IF(AK1042="",VLOOKUP(AJ1042,Calculs!$A$19:$S$425,19,FALSE),VLOOKUP(AK1042,Calculs!$A$19:$S$425,19,FALSE))&gt;=AL1042,TRUE,FALSE))</f>
        <v>1</v>
      </c>
      <c r="AN1042" s="158"/>
      <c r="AO1042" s="158"/>
      <c r="AP1042" s="158"/>
      <c r="AQ1042" s="158" t="b">
        <f>IF(AN1042="",TRUE,IF(IF(AO1042="",VLOOKUP(AN1042,Calculs!$A$19:$S$425,19,FALSE),VLOOKUP(AO1042,Calculs!$A$19:$S$425,19,FALSE))&gt;=AP1042,TRUE,FALSE))</f>
        <v>1</v>
      </c>
      <c r="AR1042" s="158"/>
      <c r="AS1042" s="158" t="b">
        <f>IF(AR1042="",TRUE,IF(VLOOKUP(AR1042,Calculs!$A$427:$G$738,7,FALSE)&gt;0,TRUE,FALSE))</f>
        <v>1</v>
      </c>
      <c r="AT1042" s="158"/>
      <c r="AU1042" s="158" t="b">
        <f>IF(AT1042="",TRUE,IF(VLOOKUP(AT1042,Calculs!$A$740:$G$912,7,FALSE)&gt;0,TRUE,FALSE))</f>
        <v>1</v>
      </c>
      <c r="AV1042" s="158" t="b">
        <f t="shared" si="116"/>
        <v>0</v>
      </c>
      <c r="AW1042" s="158" t="s">
        <v>2078</v>
      </c>
      <c r="AX1042" s="162" t="s">
        <v>7226</v>
      </c>
      <c r="AY1042" s="15">
        <v>73</v>
      </c>
      <c r="AZ1042" s="555" t="s">
        <v>8773</v>
      </c>
      <c r="BA1042" s="559">
        <f>IF(Verso!$B$10=Voies!$B1042,1,0)</f>
        <v>0</v>
      </c>
      <c r="BB1042" s="12">
        <f>IF(Verso!$B$11=Voies!$B1042,1,0)</f>
        <v>0</v>
      </c>
      <c r="BC1042" s="12">
        <f>IF(Verso!$B$12=Voies!$B1042,1,0)</f>
        <v>0</v>
      </c>
      <c r="BD1042" s="12">
        <f>IF(Verso!$B$13=Voies!$B1042,1,0)</f>
        <v>0</v>
      </c>
      <c r="BE1042" s="12">
        <f>IF(Verso!$B$14=Voies!$B1042,1,0)</f>
        <v>0</v>
      </c>
      <c r="BF1042" s="12">
        <f>IF(Verso!$B$15=Voies!$B1042,1,0)</f>
        <v>0</v>
      </c>
      <c r="BG1042" s="12">
        <f>IF(Verso!$B$16=Voies!$B1042,1,0)</f>
        <v>0</v>
      </c>
      <c r="BH1042" s="12">
        <f>IF(Verso!$B$17=Voies!$B1042,1,0)</f>
        <v>0</v>
      </c>
      <c r="BI1042" s="557">
        <f t="shared" si="117"/>
        <v>0</v>
      </c>
      <c r="BJ1042" s="196" t="str">
        <f t="shared" si="118"/>
        <v/>
      </c>
      <c r="BK1042" s="196" t="str">
        <f t="shared" si="119"/>
        <v/>
      </c>
      <c r="BL1042" s="295" t="str">
        <f t="shared" si="120"/>
        <v/>
      </c>
    </row>
    <row r="1043" spans="1:65" s="196" customFormat="1" ht="47.25" customHeight="1" x14ac:dyDescent="0.25">
      <c r="A1043" s="162" t="str">
        <f>IF(AND(Réputation&gt;Voies!E1043-1,OR(C1043=TRUE,Calculs!$I$8&gt;0),Air&gt;Voies!J1043-1,Eau&gt;Voies!K1043-1,Feu&gt;Voies!L1043-1,Terre&gt;Voies!M1043-1,Vide&gt;Voies!N1043-1,Constitution&gt;Voies!O1043-1,Volonté&gt;Voies!P1043-1,Force&gt;Voies!Q1043-1,Perception&gt;Voies!R1043-1,Reflexes&gt;Voies!S1043-1,Agilité&gt;Voies!T1043-1,Intuition&gt;Voies!U1043-1,Intelligence&gt;Voies!V1043-1,Souillure&gt;Voies!W1043-1,Honneur&gt;X1043-1,Statut&gt;Y1043-1,Gloire&gt;Z1043-1,AV1043=TRUE),Voies!B1043,"")</f>
        <v/>
      </c>
      <c r="B1043" s="162" t="s">
        <v>3360</v>
      </c>
      <c r="C1043" s="162" t="b">
        <v>1</v>
      </c>
      <c r="D1043" s="387" t="s">
        <v>627</v>
      </c>
      <c r="E1043" s="199">
        <v>2</v>
      </c>
      <c r="F1043" s="199">
        <v>2</v>
      </c>
      <c r="G1043" s="199" t="s">
        <v>2048</v>
      </c>
      <c r="H1043" s="162" t="s">
        <v>514</v>
      </c>
      <c r="I1043" s="129" t="s">
        <v>3359</v>
      </c>
      <c r="J1043" s="146">
        <v>0</v>
      </c>
      <c r="K1043" s="147">
        <v>0</v>
      </c>
      <c r="L1043" s="148">
        <v>0</v>
      </c>
      <c r="M1043" s="149">
        <v>0</v>
      </c>
      <c r="N1043" s="150">
        <v>0</v>
      </c>
      <c r="O1043" s="130">
        <v>0</v>
      </c>
      <c r="P1043" s="130">
        <v>0</v>
      </c>
      <c r="Q1043" s="130">
        <v>0</v>
      </c>
      <c r="R1043" s="130">
        <v>0</v>
      </c>
      <c r="S1043" s="130">
        <v>0</v>
      </c>
      <c r="T1043" s="130">
        <v>0</v>
      </c>
      <c r="U1043" s="130">
        <v>0</v>
      </c>
      <c r="V1043" s="524">
        <v>0</v>
      </c>
      <c r="W1043" s="130">
        <v>0</v>
      </c>
      <c r="X1043" s="130">
        <v>0</v>
      </c>
      <c r="Y1043" s="130">
        <v>0</v>
      </c>
      <c r="Z1043" s="130">
        <v>0</v>
      </c>
      <c r="AA1043" s="158" t="s">
        <v>2078</v>
      </c>
      <c r="AB1043" s="158"/>
      <c r="AC1043" s="158"/>
      <c r="AD1043" s="158"/>
      <c r="AE1043" s="158" t="b">
        <f>IF(AB1043="",TRUE,IF(IF(AC1043="",VLOOKUP(AB1043,Calculs!$A$19:$S$425,19,FALSE),VLOOKUP(AC1043,Calculs!$A$19:$S$425,19,FALSE))&gt;=AD1043,TRUE,FALSE))</f>
        <v>1</v>
      </c>
      <c r="AF1043" s="158"/>
      <c r="AG1043" s="158"/>
      <c r="AH1043" s="158"/>
      <c r="AI1043" s="158" t="b">
        <f>IF(AF1043="",TRUE,IF(IF(AG1043="",VLOOKUP(AF1043,Calculs!$A$19:$S$425,19,FALSE),VLOOKUP(AG1043,Calculs!$A$19:$S$425,19,FALSE))&gt;=AH1043,TRUE,FALSE))</f>
        <v>1</v>
      </c>
      <c r="AJ1043" s="158"/>
      <c r="AK1043" s="158"/>
      <c r="AL1043" s="158"/>
      <c r="AM1043" s="158" t="b">
        <f>IF(AJ1043="",TRUE,IF(IF(AK1043="",VLOOKUP(AJ1043,Calculs!$A$19:$S$425,19,FALSE),VLOOKUP(AK1043,Calculs!$A$19:$S$425,19,FALSE))&gt;=AL1043,TRUE,FALSE))</f>
        <v>1</v>
      </c>
      <c r="AN1043" s="158"/>
      <c r="AO1043" s="158"/>
      <c r="AP1043" s="158"/>
      <c r="AQ1043" s="158" t="b">
        <f>IF(AN1043="",TRUE,IF(IF(AO1043="",VLOOKUP(AN1043,Calculs!$A$19:$S$425,19,FALSE),VLOOKUP(AO1043,Calculs!$A$19:$S$425,19,FALSE))&gt;=AP1043,TRUE,FALSE))</f>
        <v>1</v>
      </c>
      <c r="AR1043" s="158"/>
      <c r="AS1043" s="158" t="b">
        <f>IF(AR1043="",TRUE,IF(VLOOKUP(AR1043,Calculs!$A$427:$G$738,7,FALSE)&gt;0,TRUE,FALSE))</f>
        <v>1</v>
      </c>
      <c r="AT1043" s="158"/>
      <c r="AU1043" s="158" t="b">
        <f>IF(AT1043="",TRUE,IF(VLOOKUP(AT1043,Calculs!$A$740:$G$912,7,FALSE)&gt;0,TRUE,FALSE))</f>
        <v>1</v>
      </c>
      <c r="AV1043" s="158" t="b">
        <f t="shared" si="116"/>
        <v>1</v>
      </c>
      <c r="AW1043" s="158" t="s">
        <v>2078</v>
      </c>
      <c r="AX1043" s="162" t="s">
        <v>118</v>
      </c>
      <c r="AY1043" s="15">
        <v>182</v>
      </c>
      <c r="AZ1043" s="555" t="s">
        <v>8041</v>
      </c>
      <c r="BA1043" s="559">
        <f>IF(Verso!$B$10=Voies!$B1043,1,0)</f>
        <v>0</v>
      </c>
      <c r="BB1043" s="12">
        <f>IF(Verso!$B$11=Voies!$B1043,1,0)</f>
        <v>0</v>
      </c>
      <c r="BC1043" s="12">
        <f>IF(Verso!$B$12=Voies!$B1043,1,0)</f>
        <v>0</v>
      </c>
      <c r="BD1043" s="12">
        <f>IF(Verso!$B$13=Voies!$B1043,1,0)</f>
        <v>0</v>
      </c>
      <c r="BE1043" s="12">
        <f>IF(Verso!$B$14=Voies!$B1043,1,0)</f>
        <v>0</v>
      </c>
      <c r="BF1043" s="12">
        <f>IF(Verso!$B$15=Voies!$B1043,1,0)</f>
        <v>0</v>
      </c>
      <c r="BG1043" s="12">
        <f>IF(Verso!$B$16=Voies!$B1043,1,0)</f>
        <v>0</v>
      </c>
      <c r="BH1043" s="12">
        <f>IF(Verso!$B$17=Voies!$B1043,1,0)</f>
        <v>0</v>
      </c>
      <c r="BI1043" s="557">
        <f t="shared" si="117"/>
        <v>0</v>
      </c>
      <c r="BJ1043" s="196" t="str">
        <f t="shared" si="118"/>
        <v/>
      </c>
      <c r="BK1043" s="196" t="str">
        <f t="shared" si="119"/>
        <v/>
      </c>
      <c r="BL1043" s="295" t="str">
        <f t="shared" si="120"/>
        <v/>
      </c>
      <c r="BM1043" s="91"/>
    </row>
    <row r="1044" spans="1:65" s="196" customFormat="1" ht="47.25" customHeight="1" x14ac:dyDescent="0.25">
      <c r="A1044" s="162" t="str">
        <f>IF(AND(Réputation&gt;Voies!E1044-1,OR(C1044=TRUE,Calculs!$I$8&gt;0),Air&gt;Voies!J1044-1,Eau&gt;Voies!K1044-1,Feu&gt;Voies!L1044-1,Terre&gt;Voies!M1044-1,Vide&gt;Voies!N1044-1,Constitution&gt;Voies!O1044-1,Volonté&gt;Voies!P1044-1,Force&gt;Voies!Q1044-1,Perception&gt;Voies!R1044-1,Reflexes&gt;Voies!S1044-1,Agilité&gt;Voies!T1044-1,Intuition&gt;Voies!U1044-1,Intelligence&gt;Voies!V1044-1,Souillure&gt;Voies!W1044-1,Honneur&gt;X1044-1,Statut&gt;Y1044-1,Gloire&gt;Z1044-1,AV1044=TRUE),Voies!B1044,"")</f>
        <v/>
      </c>
      <c r="B1044" s="162" t="s">
        <v>3714</v>
      </c>
      <c r="C1044" s="162" t="b">
        <v>1</v>
      </c>
      <c r="D1044" s="387" t="s">
        <v>627</v>
      </c>
      <c r="E1044" s="199">
        <v>3</v>
      </c>
      <c r="F1044" s="199" t="s">
        <v>625</v>
      </c>
      <c r="G1044" s="157" t="s">
        <v>2078</v>
      </c>
      <c r="H1044" s="162" t="s">
        <v>575</v>
      </c>
      <c r="I1044" s="129" t="s">
        <v>3712</v>
      </c>
      <c r="J1044" s="146">
        <v>0</v>
      </c>
      <c r="K1044" s="147">
        <v>0</v>
      </c>
      <c r="L1044" s="148">
        <v>0</v>
      </c>
      <c r="M1044" s="149">
        <v>0</v>
      </c>
      <c r="N1044" s="150">
        <v>0</v>
      </c>
      <c r="O1044" s="130">
        <v>0</v>
      </c>
      <c r="P1044" s="130">
        <v>0</v>
      </c>
      <c r="Q1044" s="130">
        <v>0</v>
      </c>
      <c r="R1044" s="130">
        <v>0</v>
      </c>
      <c r="S1044" s="130">
        <v>0</v>
      </c>
      <c r="T1044" s="130">
        <v>0</v>
      </c>
      <c r="U1044" s="130">
        <v>0</v>
      </c>
      <c r="V1044" s="524">
        <v>0</v>
      </c>
      <c r="W1044" s="130">
        <v>0</v>
      </c>
      <c r="X1044" s="130">
        <v>0</v>
      </c>
      <c r="Y1044" s="130">
        <v>0</v>
      </c>
      <c r="Z1044" s="130">
        <v>0</v>
      </c>
      <c r="AA1044" s="159" t="s">
        <v>3713</v>
      </c>
      <c r="AB1044" s="159" t="s">
        <v>1269</v>
      </c>
      <c r="AC1044" s="159"/>
      <c r="AD1044" s="159">
        <v>3</v>
      </c>
      <c r="AE1044" s="158" t="b">
        <f>IF(AB1044="",TRUE,IF(IF(AC1044="",VLOOKUP(AB1044,Calculs!$A$19:$S$425,19,FALSE),VLOOKUP(AC1044,Calculs!$A$19:$S$425,19,FALSE))&gt;=AD1044,TRUE,FALSE))</f>
        <v>0</v>
      </c>
      <c r="AF1044" s="159" t="s">
        <v>3216</v>
      </c>
      <c r="AG1044" s="159" t="s">
        <v>53</v>
      </c>
      <c r="AH1044" s="159">
        <v>3</v>
      </c>
      <c r="AI1044" s="158" t="b">
        <f>IF(AF1044="",TRUE,IF(IF(AG1044="",VLOOKUP(AF1044,Calculs!$A$19:$S$425,19,FALSE),VLOOKUP(AG1044,Calculs!$A$19:$S$425,19,FALSE))&gt;=AH1044,TRUE,FALSE))</f>
        <v>0</v>
      </c>
      <c r="AJ1044" s="159"/>
      <c r="AK1044" s="159"/>
      <c r="AL1044" s="159"/>
      <c r="AM1044" s="158" t="b">
        <f>IF(AJ1044="",TRUE,IF(IF(AK1044="",VLOOKUP(AJ1044,Calculs!$A$19:$S$425,19,FALSE),VLOOKUP(AK1044,Calculs!$A$19:$S$425,19,FALSE))&gt;=AL1044,TRUE,FALSE))</f>
        <v>1</v>
      </c>
      <c r="AN1044" s="159"/>
      <c r="AO1044" s="159"/>
      <c r="AP1044" s="159"/>
      <c r="AQ1044" s="158" t="b">
        <f>IF(AN1044="",TRUE,IF(IF(AO1044="",VLOOKUP(AN1044,Calculs!$A$19:$S$425,19,FALSE),VLOOKUP(AO1044,Calculs!$A$19:$S$425,19,FALSE))&gt;=AP1044,TRUE,FALSE))</f>
        <v>1</v>
      </c>
      <c r="AR1044" s="158"/>
      <c r="AS1044" s="158" t="b">
        <f>IF(AR1044="",TRUE,IF(VLOOKUP(AR1044,Calculs!$A$427:$G$738,7,FALSE)&gt;0,TRUE,FALSE))</f>
        <v>1</v>
      </c>
      <c r="AT1044" s="158"/>
      <c r="AU1044" s="158" t="b">
        <f>IF(AT1044="",TRUE,IF(VLOOKUP(AT1044,Calculs!$A$740:$G$912,7,FALSE)&gt;0,TRUE,FALSE))</f>
        <v>1</v>
      </c>
      <c r="AV1044" s="158" t="b">
        <f t="shared" si="116"/>
        <v>0</v>
      </c>
      <c r="AW1044" s="158" t="s">
        <v>2078</v>
      </c>
      <c r="AX1044" s="162" t="s">
        <v>2076</v>
      </c>
      <c r="AY1044" s="15">
        <v>287</v>
      </c>
      <c r="AZ1044" s="555" t="s">
        <v>3715</v>
      </c>
      <c r="BA1044" s="559">
        <f>IF(Verso!$B$10=Voies!$B1044,1,0)</f>
        <v>0</v>
      </c>
      <c r="BB1044" s="12">
        <f>IF(Verso!$B$11=Voies!$B1044,1,0)</f>
        <v>0</v>
      </c>
      <c r="BC1044" s="12">
        <f>IF(Verso!$B$12=Voies!$B1044,1,0)</f>
        <v>0</v>
      </c>
      <c r="BD1044" s="12">
        <f>IF(Verso!$B$13=Voies!$B1044,1,0)</f>
        <v>0</v>
      </c>
      <c r="BE1044" s="12">
        <f>IF(Verso!$B$14=Voies!$B1044,1,0)</f>
        <v>0</v>
      </c>
      <c r="BF1044" s="12">
        <f>IF(Verso!$B$15=Voies!$B1044,1,0)</f>
        <v>0</v>
      </c>
      <c r="BG1044" s="12">
        <f>IF(Verso!$B$16=Voies!$B1044,1,0)</f>
        <v>0</v>
      </c>
      <c r="BH1044" s="12">
        <f>IF(Verso!$B$17=Voies!$B1044,1,0)</f>
        <v>0</v>
      </c>
      <c r="BI1044" s="557">
        <f t="shared" si="117"/>
        <v>0</v>
      </c>
      <c r="BJ1044" s="196" t="str">
        <f t="shared" si="118"/>
        <v/>
      </c>
      <c r="BK1044" s="196" t="str">
        <f t="shared" si="119"/>
        <v/>
      </c>
      <c r="BL1044" s="295" t="str">
        <f t="shared" si="120"/>
        <v/>
      </c>
      <c r="BM1044" s="91"/>
    </row>
    <row r="1045" spans="1:65" ht="47.25" customHeight="1" x14ac:dyDescent="0.25">
      <c r="A1045" s="162" t="str">
        <f>IF(AND(Réputation&gt;Voies!E1045-1,OR(C1045=TRUE,Calculs!$I$8&gt;0),Air&gt;Voies!J1045-1,Eau&gt;Voies!K1045-1,Feu&gt;Voies!L1045-1,Terre&gt;Voies!M1045-1,Vide&gt;Voies!N1045-1,Constitution&gt;Voies!O1045-1,Volonté&gt;Voies!P1045-1,Force&gt;Voies!Q1045-1,Perception&gt;Voies!R1045-1,Reflexes&gt;Voies!S1045-1,Agilité&gt;Voies!T1045-1,Intuition&gt;Voies!U1045-1,Intelligence&gt;Voies!V1045-1,Souillure&gt;Voies!W1045-1,Honneur&gt;X1045-1,Statut&gt;Y1045-1,Gloire&gt;Z1045-1,AV1045=TRUE),Voies!B1045,"")</f>
        <v/>
      </c>
      <c r="B1045" s="162" t="s">
        <v>8450</v>
      </c>
      <c r="C1045" s="162" t="b">
        <v>1</v>
      </c>
      <c r="D1045" s="387" t="s">
        <v>627</v>
      </c>
      <c r="E1045" s="13">
        <v>3</v>
      </c>
      <c r="F1045" s="199" t="s">
        <v>625</v>
      </c>
      <c r="G1045" s="199" t="s">
        <v>2049</v>
      </c>
      <c r="H1045" s="162" t="s">
        <v>8447</v>
      </c>
      <c r="I1045" s="129" t="s">
        <v>8448</v>
      </c>
      <c r="J1045" s="146">
        <v>0</v>
      </c>
      <c r="K1045" s="147">
        <v>0</v>
      </c>
      <c r="L1045" s="148">
        <v>0</v>
      </c>
      <c r="M1045" s="149">
        <v>0</v>
      </c>
      <c r="N1045" s="150">
        <v>0</v>
      </c>
      <c r="O1045" s="130">
        <v>0</v>
      </c>
      <c r="P1045" s="130">
        <v>0</v>
      </c>
      <c r="Q1045" s="130">
        <v>0</v>
      </c>
      <c r="R1045" s="130">
        <v>0</v>
      </c>
      <c r="S1045" s="130">
        <v>0</v>
      </c>
      <c r="T1045" s="130">
        <v>0</v>
      </c>
      <c r="U1045" s="130">
        <v>0</v>
      </c>
      <c r="V1045" s="524">
        <v>0</v>
      </c>
      <c r="W1045" s="130">
        <v>0</v>
      </c>
      <c r="X1045" s="130">
        <v>0</v>
      </c>
      <c r="Y1045" s="130">
        <v>0</v>
      </c>
      <c r="Z1045" s="130">
        <v>0</v>
      </c>
      <c r="AA1045" s="158" t="s">
        <v>8449</v>
      </c>
      <c r="AB1045" s="158"/>
      <c r="AC1045" s="158"/>
      <c r="AD1045" s="158"/>
      <c r="AE1045" s="158" t="b">
        <f>IF(AB1045="",TRUE,IF(IF(AC1045="",VLOOKUP(AB1045,Calculs!$A$19:$S$425,19,FALSE),VLOOKUP(AC1045,Calculs!$A$19:$S$425,19,FALSE))&gt;=AD1045,TRUE,FALSE))</f>
        <v>1</v>
      </c>
      <c r="AF1045" s="158"/>
      <c r="AG1045" s="158"/>
      <c r="AH1045" s="158"/>
      <c r="AI1045" s="158" t="b">
        <f>IF(AF1045="",TRUE,IF(IF(AG1045="",VLOOKUP(AF1045,Calculs!$A$19:$S$425,19,FALSE),VLOOKUP(AG1045,Calculs!$A$19:$S$425,19,FALSE))&gt;=AH1045,TRUE,FALSE))</f>
        <v>1</v>
      </c>
      <c r="AJ1045" s="158"/>
      <c r="AK1045" s="158"/>
      <c r="AL1045" s="158"/>
      <c r="AM1045" s="158" t="b">
        <f>IF(AJ1045="",TRUE,IF(IF(AK1045="",VLOOKUP(AJ1045,Calculs!$A$19:$S$425,19,FALSE),VLOOKUP(AK1045,Calculs!$A$19:$S$425,19,FALSE))&gt;=AL1045,TRUE,FALSE))</f>
        <v>1</v>
      </c>
      <c r="AN1045" s="158"/>
      <c r="AO1045" s="158"/>
      <c r="AP1045" s="158"/>
      <c r="AQ1045" s="158" t="b">
        <f>IF(AN1045="",TRUE,IF(IF(AO1045="",VLOOKUP(AN1045,Calculs!$A$19:$S$425,19,FALSE),VLOOKUP(AO1045,Calculs!$A$19:$S$425,19,FALSE))&gt;=AP1045,TRUE,FALSE))</f>
        <v>1</v>
      </c>
      <c r="AR1045" s="158"/>
      <c r="AS1045" s="158" t="b">
        <f>IF(AR1045="",TRUE,IF(VLOOKUP(AR1045,Calculs!$A$427:$G$738,7,FALSE)&gt;0,TRUE,FALSE))</f>
        <v>1</v>
      </c>
      <c r="AT1045" s="158"/>
      <c r="AU1045" s="158" t="b">
        <f>IF(AT1045="",TRUE,IF(VLOOKUP(AT1045,Calculs!$A$740:$G$912,7,FALSE)&gt;0,TRUE,FALSE))</f>
        <v>1</v>
      </c>
      <c r="AV1045" s="158" t="b">
        <f t="shared" si="116"/>
        <v>1</v>
      </c>
      <c r="AW1045" s="158" t="s">
        <v>8452</v>
      </c>
      <c r="AX1045" s="162" t="s">
        <v>7759</v>
      </c>
      <c r="AY1045" s="15">
        <v>30</v>
      </c>
      <c r="AZ1045" s="555" t="s">
        <v>8451</v>
      </c>
      <c r="BA1045" s="559">
        <f>IF(Verso!$B$10=Voies!$B1045,1,0)</f>
        <v>0</v>
      </c>
      <c r="BB1045" s="12">
        <f>IF(Verso!$B$11=Voies!$B1045,1,0)</f>
        <v>0</v>
      </c>
      <c r="BC1045" s="12">
        <f>IF(Verso!$B$12=Voies!$B1045,1,0)</f>
        <v>0</v>
      </c>
      <c r="BD1045" s="12">
        <f>IF(Verso!$B$13=Voies!$B1045,1,0)</f>
        <v>0</v>
      </c>
      <c r="BE1045" s="12">
        <f>IF(Verso!$B$14=Voies!$B1045,1,0)</f>
        <v>0</v>
      </c>
      <c r="BF1045" s="12">
        <f>IF(Verso!$B$15=Voies!$B1045,1,0)</f>
        <v>0</v>
      </c>
      <c r="BG1045" s="12">
        <f>IF(Verso!$B$16=Voies!$B1045,1,0)</f>
        <v>0</v>
      </c>
      <c r="BH1045" s="12">
        <f>IF(Verso!$B$17=Voies!$B1045,1,0)</f>
        <v>0</v>
      </c>
      <c r="BI1045" s="557">
        <f t="shared" si="117"/>
        <v>0</v>
      </c>
      <c r="BJ1045" s="196" t="str">
        <f t="shared" si="118"/>
        <v/>
      </c>
      <c r="BK1045" s="196" t="str">
        <f t="shared" si="119"/>
        <v/>
      </c>
      <c r="BL1045" s="295" t="str">
        <f t="shared" si="120"/>
        <v/>
      </c>
    </row>
    <row r="1046" spans="1:65" ht="47.25" customHeight="1" x14ac:dyDescent="0.25">
      <c r="A1046" s="162" t="str">
        <f>IF(AND(Réputation&gt;Voies!E1046-1,OR(C1046=TRUE,Calculs!$I$8&gt;0),Air&gt;Voies!J1046-1,Eau&gt;Voies!K1046-1,Feu&gt;Voies!L1046-1,Terre&gt;Voies!M1046-1,Vide&gt;Voies!N1046-1,Constitution&gt;Voies!O1046-1,Volonté&gt;Voies!P1046-1,Force&gt;Voies!Q1046-1,Perception&gt;Voies!R1046-1,Reflexes&gt;Voies!S1046-1,Agilité&gt;Voies!T1046-1,Intuition&gt;Voies!U1046-1,Intelligence&gt;Voies!V1046-1,Souillure&gt;Voies!W1046-1,Honneur&gt;X1046-1,Statut&gt;Y1046-1,Gloire&gt;Z1046-1,AV1046=TRUE),Voies!B1046,"")</f>
        <v/>
      </c>
      <c r="B1046" s="162" t="s">
        <v>3250</v>
      </c>
      <c r="C1046" s="162" t="b">
        <v>1</v>
      </c>
      <c r="D1046" s="387" t="s">
        <v>627</v>
      </c>
      <c r="E1046" s="13">
        <v>4</v>
      </c>
      <c r="F1046" s="199">
        <v>4</v>
      </c>
      <c r="G1046" s="157" t="s">
        <v>2078</v>
      </c>
      <c r="H1046" s="162" t="s">
        <v>553</v>
      </c>
      <c r="I1046" s="129" t="s">
        <v>3244</v>
      </c>
      <c r="J1046" s="146">
        <v>0</v>
      </c>
      <c r="K1046" s="147">
        <v>0</v>
      </c>
      <c r="L1046" s="148">
        <v>0</v>
      </c>
      <c r="M1046" s="149">
        <v>0</v>
      </c>
      <c r="N1046" s="150">
        <v>0</v>
      </c>
      <c r="O1046" s="130">
        <v>0</v>
      </c>
      <c r="P1046" s="130">
        <v>0</v>
      </c>
      <c r="Q1046" s="130">
        <v>0</v>
      </c>
      <c r="R1046" s="130">
        <v>0</v>
      </c>
      <c r="S1046" s="130">
        <v>0</v>
      </c>
      <c r="T1046" s="130">
        <v>0</v>
      </c>
      <c r="U1046" s="130">
        <v>0</v>
      </c>
      <c r="V1046" s="524">
        <v>0</v>
      </c>
      <c r="W1046" s="130">
        <v>0</v>
      </c>
      <c r="X1046" s="130">
        <v>0</v>
      </c>
      <c r="Y1046" s="130">
        <v>0</v>
      </c>
      <c r="Z1046" s="130">
        <v>0</v>
      </c>
      <c r="AA1046" s="159" t="s">
        <v>6393</v>
      </c>
      <c r="AB1046" s="159" t="s">
        <v>1260</v>
      </c>
      <c r="AD1046" s="159">
        <v>3</v>
      </c>
      <c r="AE1046" s="158" t="b">
        <f>IF(AB1046="",TRUE,IF(IF(AC1046="",VLOOKUP(AB1046,Calculs!$A$19:$S$425,19,FALSE),VLOOKUP(AC1046,Calculs!$A$19:$S$425,19,FALSE))&gt;=AD1046,TRUE,FALSE))</f>
        <v>0</v>
      </c>
      <c r="AF1046" s="159" t="s">
        <v>3325</v>
      </c>
      <c r="AG1046" s="159" t="s">
        <v>3189</v>
      </c>
      <c r="AH1046" s="159">
        <v>3</v>
      </c>
      <c r="AI1046" s="158" t="b">
        <f>IF(AF1046="",TRUE,IF(IF(AG1046="",VLOOKUP(AF1046,Calculs!$A$19:$S$425,19,FALSE),VLOOKUP(AG1046,Calculs!$A$19:$S$425,19,FALSE))&gt;=AH1046,TRUE,FALSE))</f>
        <v>0</v>
      </c>
      <c r="AM1046" s="158" t="b">
        <f>IF(AJ1046="",TRUE,IF(IF(AK1046="",VLOOKUP(AJ1046,Calculs!$A$19:$S$425,19,FALSE),VLOOKUP(AK1046,Calculs!$A$19:$S$425,19,FALSE))&gt;=AL1046,TRUE,FALSE))</f>
        <v>1</v>
      </c>
      <c r="AQ1046" s="158" t="b">
        <f>IF(AN1046="",TRUE,IF(IF(AO1046="",VLOOKUP(AN1046,Calculs!$A$19:$S$425,19,FALSE),VLOOKUP(AO1046,Calculs!$A$19:$S$425,19,FALSE))&gt;=AP1046,TRUE,FALSE))</f>
        <v>1</v>
      </c>
      <c r="AR1046" s="158"/>
      <c r="AS1046" s="158" t="b">
        <f>IF(AR1046="",TRUE,IF(VLOOKUP(AR1046,Calculs!$A$427:$G$738,7,FALSE)&gt;0,TRUE,FALSE))</f>
        <v>1</v>
      </c>
      <c r="AT1046" s="158"/>
      <c r="AU1046" s="158" t="b">
        <f>IF(AT1046="",TRUE,IF(VLOOKUP(AT1046,Calculs!$A$740:$G$912,7,FALSE)&gt;0,TRUE,FALSE))</f>
        <v>1</v>
      </c>
      <c r="AV1046" s="158" t="b">
        <f t="shared" si="116"/>
        <v>0</v>
      </c>
      <c r="AW1046" s="159" t="s">
        <v>3253</v>
      </c>
      <c r="AX1046" s="162" t="s">
        <v>3</v>
      </c>
      <c r="AY1046" s="15">
        <v>257</v>
      </c>
      <c r="AZ1046" s="555" t="s">
        <v>3255</v>
      </c>
      <c r="BA1046" s="559">
        <f>IF(Verso!$B$10=Voies!$B1046,1,0)</f>
        <v>0</v>
      </c>
      <c r="BB1046" s="12">
        <f>IF(Verso!$B$11=Voies!$B1046,1,0)</f>
        <v>0</v>
      </c>
      <c r="BC1046" s="12">
        <f>IF(Verso!$B$12=Voies!$B1046,1,0)</f>
        <v>0</v>
      </c>
      <c r="BD1046" s="12">
        <f>IF(Verso!$B$13=Voies!$B1046,1,0)</f>
        <v>0</v>
      </c>
      <c r="BE1046" s="12">
        <f>IF(Verso!$B$14=Voies!$B1046,1,0)</f>
        <v>0</v>
      </c>
      <c r="BF1046" s="12">
        <f>IF(Verso!$B$15=Voies!$B1046,1,0)</f>
        <v>0</v>
      </c>
      <c r="BG1046" s="12">
        <f>IF(Verso!$B$16=Voies!$B1046,1,0)</f>
        <v>0</v>
      </c>
      <c r="BH1046" s="12">
        <f>IF(Verso!$B$17=Voies!$B1046,1,0)</f>
        <v>0</v>
      </c>
      <c r="BI1046" s="557">
        <f t="shared" si="117"/>
        <v>0</v>
      </c>
      <c r="BJ1046" s="196" t="str">
        <f t="shared" si="118"/>
        <v/>
      </c>
      <c r="BK1046" s="196" t="str">
        <f t="shared" si="119"/>
        <v/>
      </c>
      <c r="BL1046" s="295" t="str">
        <f t="shared" si="120"/>
        <v/>
      </c>
    </row>
    <row r="1047" spans="1:65" ht="47.25" customHeight="1" x14ac:dyDescent="0.25">
      <c r="A1047" s="162" t="str">
        <f>IF(AND(Réputation&gt;Voies!E1047-1,OR(C1047=TRUE,Calculs!$I$8&gt;0),Air&gt;Voies!J1047-1,Eau&gt;Voies!K1047-1,Feu&gt;Voies!L1047-1,Terre&gt;Voies!M1047-1,Vide&gt;Voies!N1047-1,Constitution&gt;Voies!O1047-1,Volonté&gt;Voies!P1047-1,Force&gt;Voies!Q1047-1,Perception&gt;Voies!R1047-1,Reflexes&gt;Voies!S1047-1,Agilité&gt;Voies!T1047-1,Intuition&gt;Voies!U1047-1,Intelligence&gt;Voies!V1047-1,Souillure&gt;Voies!W1047-1,Honneur&gt;X1047-1,Statut&gt;Y1047-1,Gloire&gt;Z1047-1,AV1047=TRUE),Voies!B1047,"")</f>
        <v/>
      </c>
      <c r="B1047" s="162" t="s">
        <v>3251</v>
      </c>
      <c r="C1047" s="162" t="b">
        <v>1</v>
      </c>
      <c r="D1047" s="387" t="s">
        <v>627</v>
      </c>
      <c r="E1047" s="13">
        <v>4</v>
      </c>
      <c r="F1047" s="199">
        <v>4</v>
      </c>
      <c r="G1047" s="157" t="s">
        <v>2078</v>
      </c>
      <c r="H1047" s="162" t="s">
        <v>548</v>
      </c>
      <c r="I1047" s="129" t="s">
        <v>3245</v>
      </c>
      <c r="J1047" s="146">
        <v>0</v>
      </c>
      <c r="K1047" s="147">
        <v>0</v>
      </c>
      <c r="L1047" s="148">
        <v>0</v>
      </c>
      <c r="M1047" s="149">
        <v>0</v>
      </c>
      <c r="N1047" s="150">
        <v>0</v>
      </c>
      <c r="O1047" s="130">
        <v>0</v>
      </c>
      <c r="P1047" s="130">
        <v>0</v>
      </c>
      <c r="Q1047" s="130">
        <v>0</v>
      </c>
      <c r="R1047" s="130">
        <v>0</v>
      </c>
      <c r="S1047" s="130">
        <v>0</v>
      </c>
      <c r="T1047" s="130">
        <v>0</v>
      </c>
      <c r="U1047" s="130">
        <v>0</v>
      </c>
      <c r="V1047" s="524">
        <v>0</v>
      </c>
      <c r="W1047" s="130">
        <v>0</v>
      </c>
      <c r="X1047" s="130">
        <v>0</v>
      </c>
      <c r="Y1047" s="130">
        <v>0</v>
      </c>
      <c r="Z1047" s="130">
        <v>0</v>
      </c>
      <c r="AA1047" s="159" t="s">
        <v>6351</v>
      </c>
      <c r="AB1047" s="159" t="s">
        <v>3325</v>
      </c>
      <c r="AC1047" s="159" t="s">
        <v>3189</v>
      </c>
      <c r="AD1047" s="159">
        <v>3</v>
      </c>
      <c r="AE1047" s="158" t="b">
        <f>IF(AB1047="",TRUE,IF(IF(AC1047="",VLOOKUP(AB1047,Calculs!$A$19:$S$425,19,FALSE),VLOOKUP(AC1047,Calculs!$A$19:$S$425,19,FALSE))&gt;=AD1047,TRUE,FALSE))</f>
        <v>0</v>
      </c>
      <c r="AF1047" s="159" t="s">
        <v>1263</v>
      </c>
      <c r="AH1047" s="159">
        <v>3</v>
      </c>
      <c r="AI1047" s="158" t="b">
        <f>IF(AF1047="",TRUE,IF(IF(AG1047="",VLOOKUP(AF1047,Calculs!$A$19:$S$425,19,FALSE),VLOOKUP(AG1047,Calculs!$A$19:$S$425,19,FALSE))&gt;=AH1047,TRUE,FALSE))</f>
        <v>0</v>
      </c>
      <c r="AM1047" s="158" t="b">
        <f>IF(AJ1047="",TRUE,IF(IF(AK1047="",VLOOKUP(AJ1047,Calculs!$A$19:$S$425,19,FALSE),VLOOKUP(AK1047,Calculs!$A$19:$S$425,19,FALSE))&gt;=AL1047,TRUE,FALSE))</f>
        <v>1</v>
      </c>
      <c r="AQ1047" s="158" t="b">
        <f>IF(AN1047="",TRUE,IF(IF(AO1047="",VLOOKUP(AN1047,Calculs!$A$19:$S$425,19,FALSE),VLOOKUP(AO1047,Calculs!$A$19:$S$425,19,FALSE))&gt;=AP1047,TRUE,FALSE))</f>
        <v>1</v>
      </c>
      <c r="AR1047" s="158"/>
      <c r="AS1047" s="158" t="b">
        <f>IF(AR1047="",TRUE,IF(VLOOKUP(AR1047,Calculs!$A$427:$G$738,7,FALSE)&gt;0,TRUE,FALSE))</f>
        <v>1</v>
      </c>
      <c r="AT1047" s="158"/>
      <c r="AU1047" s="158" t="b">
        <f>IF(AT1047="",TRUE,IF(VLOOKUP(AT1047,Calculs!$A$740:$G$912,7,FALSE)&gt;0,TRUE,FALSE))</f>
        <v>1</v>
      </c>
      <c r="AV1047" s="158" t="b">
        <f t="shared" si="116"/>
        <v>0</v>
      </c>
      <c r="AW1047" s="159" t="s">
        <v>3253</v>
      </c>
      <c r="AX1047" s="162" t="s">
        <v>3</v>
      </c>
      <c r="AY1047" s="15">
        <v>257</v>
      </c>
      <c r="AZ1047" s="555" t="str">
        <f>CONCATENATE("+",ROUNDUP(Honneur/2,0)," en Réduction. Cumulable avec tout autre effet de Réduction y compris l'armure.")</f>
        <v>+0 en Réduction. Cumulable avec tout autre effet de Réduction y compris l'armure.</v>
      </c>
      <c r="BA1047" s="559">
        <f>IF(Verso!$B$10=Voies!$B1047,1,0)</f>
        <v>0</v>
      </c>
      <c r="BB1047" s="12">
        <f>IF(Verso!$B$11=Voies!$B1047,1,0)</f>
        <v>0</v>
      </c>
      <c r="BC1047" s="12">
        <f>IF(Verso!$B$12=Voies!$B1047,1,0)</f>
        <v>0</v>
      </c>
      <c r="BD1047" s="12">
        <f>IF(Verso!$B$13=Voies!$B1047,1,0)</f>
        <v>0</v>
      </c>
      <c r="BE1047" s="12">
        <f>IF(Verso!$B$14=Voies!$B1047,1,0)</f>
        <v>0</v>
      </c>
      <c r="BF1047" s="12">
        <f>IF(Verso!$B$15=Voies!$B1047,1,0)</f>
        <v>0</v>
      </c>
      <c r="BG1047" s="12">
        <f>IF(Verso!$B$16=Voies!$B1047,1,0)</f>
        <v>0</v>
      </c>
      <c r="BH1047" s="12">
        <f>IF(Verso!$B$17=Voies!$B1047,1,0)</f>
        <v>0</v>
      </c>
      <c r="BI1047" s="557">
        <f t="shared" si="117"/>
        <v>0</v>
      </c>
      <c r="BJ1047" s="196" t="str">
        <f t="shared" si="118"/>
        <v/>
      </c>
      <c r="BK1047" s="196" t="str">
        <f t="shared" si="119"/>
        <v/>
      </c>
      <c r="BL1047" s="295" t="str">
        <f t="shared" si="120"/>
        <v/>
      </c>
    </row>
    <row r="1048" spans="1:65" s="196" customFormat="1" ht="47.25" customHeight="1" x14ac:dyDescent="0.25">
      <c r="A1048" s="162" t="str">
        <f>IF(AND(Réputation&gt;Voies!E1048-1,OR(C1048=TRUE,Calculs!$I$8&gt;0),Air&gt;Voies!J1048-1,Eau&gt;Voies!K1048-1,Feu&gt;Voies!L1048-1,Terre&gt;Voies!M1048-1,Vide&gt;Voies!N1048-1,Constitution&gt;Voies!O1048-1,Volonté&gt;Voies!P1048-1,Force&gt;Voies!Q1048-1,Perception&gt;Voies!R1048-1,Reflexes&gt;Voies!S1048-1,Agilité&gt;Voies!T1048-1,Intuition&gt;Voies!U1048-1,Intelligence&gt;Voies!V1048-1,Souillure&gt;Voies!W1048-1,Honneur&gt;X1048-1,Statut&gt;Y1048-1,Gloire&gt;Z1048-1,AV1048=TRUE),Voies!B1048,"")</f>
        <v/>
      </c>
      <c r="B1048" s="162" t="s">
        <v>3696</v>
      </c>
      <c r="C1048" s="162" t="b">
        <v>1</v>
      </c>
      <c r="D1048" s="387" t="s">
        <v>627</v>
      </c>
      <c r="E1048" s="199">
        <v>4</v>
      </c>
      <c r="F1048" s="199">
        <v>4</v>
      </c>
      <c r="G1048" s="199" t="s">
        <v>2049</v>
      </c>
      <c r="H1048" s="162" t="s">
        <v>3694</v>
      </c>
      <c r="I1048" s="129" t="s">
        <v>3650</v>
      </c>
      <c r="J1048" s="146">
        <v>0</v>
      </c>
      <c r="K1048" s="147">
        <v>0</v>
      </c>
      <c r="L1048" s="148">
        <v>0</v>
      </c>
      <c r="M1048" s="149">
        <v>0</v>
      </c>
      <c r="N1048" s="150">
        <v>0</v>
      </c>
      <c r="O1048" s="130">
        <v>0</v>
      </c>
      <c r="P1048" s="130">
        <v>0</v>
      </c>
      <c r="Q1048" s="130">
        <v>0</v>
      </c>
      <c r="R1048" s="130">
        <v>0</v>
      </c>
      <c r="S1048" s="130">
        <v>0</v>
      </c>
      <c r="T1048" s="130">
        <v>0</v>
      </c>
      <c r="U1048" s="130">
        <v>0</v>
      </c>
      <c r="V1048" s="524">
        <v>0</v>
      </c>
      <c r="W1048" s="130">
        <v>0</v>
      </c>
      <c r="X1048" s="130">
        <v>0</v>
      </c>
      <c r="Y1048" s="130">
        <v>0</v>
      </c>
      <c r="Z1048" s="130">
        <v>0</v>
      </c>
      <c r="AA1048" s="158" t="s">
        <v>2078</v>
      </c>
      <c r="AB1048" s="158"/>
      <c r="AC1048" s="158"/>
      <c r="AD1048" s="158"/>
      <c r="AE1048" s="158" t="b">
        <f>IF(AB1048="",TRUE,IF(IF(AC1048="",VLOOKUP(AB1048,Calculs!$A$19:$S$425,19,FALSE),VLOOKUP(AC1048,Calculs!$A$19:$S$425,19,FALSE))&gt;=AD1048,TRUE,FALSE))</f>
        <v>1</v>
      </c>
      <c r="AF1048" s="158"/>
      <c r="AG1048" s="158"/>
      <c r="AH1048" s="158"/>
      <c r="AI1048" s="158" t="b">
        <f>IF(AF1048="",TRUE,IF(IF(AG1048="",VLOOKUP(AF1048,Calculs!$A$19:$S$425,19,FALSE),VLOOKUP(AG1048,Calculs!$A$19:$S$425,19,FALSE))&gt;=AH1048,TRUE,FALSE))</f>
        <v>1</v>
      </c>
      <c r="AJ1048" s="158"/>
      <c r="AK1048" s="158"/>
      <c r="AL1048" s="158"/>
      <c r="AM1048" s="158" t="b">
        <f>IF(AJ1048="",TRUE,IF(IF(AK1048="",VLOOKUP(AJ1048,Calculs!$A$19:$S$425,19,FALSE),VLOOKUP(AK1048,Calculs!$A$19:$S$425,19,FALSE))&gt;=AL1048,TRUE,FALSE))</f>
        <v>1</v>
      </c>
      <c r="AN1048" s="158"/>
      <c r="AO1048" s="158"/>
      <c r="AP1048" s="158"/>
      <c r="AQ1048" s="158" t="b">
        <f>IF(AN1048="",TRUE,IF(IF(AO1048="",VLOOKUP(AN1048,Calculs!$A$19:$S$425,19,FALSE),VLOOKUP(AO1048,Calculs!$A$19:$S$425,19,FALSE))&gt;=AP1048,TRUE,FALSE))</f>
        <v>1</v>
      </c>
      <c r="AR1048" s="158"/>
      <c r="AS1048" s="158" t="b">
        <f>IF(AR1048="",TRUE,IF(VLOOKUP(AR1048,Calculs!$A$427:$G$738,7,FALSE)&gt;0,TRUE,FALSE))</f>
        <v>1</v>
      </c>
      <c r="AT1048" s="158"/>
      <c r="AU1048" s="158" t="b">
        <f>IF(AT1048="",TRUE,IF(VLOOKUP(AT1048,Calculs!$A$740:$G$912,7,FALSE)&gt;0,TRUE,FALSE))</f>
        <v>1</v>
      </c>
      <c r="AV1048" s="158" t="b">
        <f t="shared" si="116"/>
        <v>1</v>
      </c>
      <c r="AW1048" s="159" t="s">
        <v>3695</v>
      </c>
      <c r="AX1048" s="162" t="s">
        <v>2076</v>
      </c>
      <c r="AY1048" s="15">
        <v>127</v>
      </c>
      <c r="AZ1048" s="555" t="s">
        <v>3697</v>
      </c>
      <c r="BA1048" s="559">
        <f>IF(Verso!$B$10=Voies!$B1048,1,0)</f>
        <v>0</v>
      </c>
      <c r="BB1048" s="12">
        <f>IF(Verso!$B$11=Voies!$B1048,1,0)</f>
        <v>0</v>
      </c>
      <c r="BC1048" s="12">
        <f>IF(Verso!$B$12=Voies!$B1048,1,0)</f>
        <v>0</v>
      </c>
      <c r="BD1048" s="12">
        <f>IF(Verso!$B$13=Voies!$B1048,1,0)</f>
        <v>0</v>
      </c>
      <c r="BE1048" s="12">
        <f>IF(Verso!$B$14=Voies!$B1048,1,0)</f>
        <v>0</v>
      </c>
      <c r="BF1048" s="12">
        <f>IF(Verso!$B$15=Voies!$B1048,1,0)</f>
        <v>0</v>
      </c>
      <c r="BG1048" s="12">
        <f>IF(Verso!$B$16=Voies!$B1048,1,0)</f>
        <v>0</v>
      </c>
      <c r="BH1048" s="12">
        <f>IF(Verso!$B$17=Voies!$B1048,1,0)</f>
        <v>0</v>
      </c>
      <c r="BI1048" s="557">
        <f t="shared" si="117"/>
        <v>0</v>
      </c>
      <c r="BJ1048" s="196" t="str">
        <f t="shared" si="118"/>
        <v/>
      </c>
      <c r="BK1048" s="196" t="str">
        <f t="shared" si="119"/>
        <v/>
      </c>
      <c r="BL1048" s="295" t="str">
        <f t="shared" si="120"/>
        <v/>
      </c>
      <c r="BM1048" s="91"/>
    </row>
    <row r="1049" spans="1:65" ht="47.25" customHeight="1" x14ac:dyDescent="0.25">
      <c r="A1049" s="162" t="str">
        <f>IF(AND(Réputation&gt;Voies!E1049-1,OR(C1049=TRUE,Calculs!$I$8&gt;0),Air&gt;Voies!J1049-1,Eau&gt;Voies!K1049-1,Feu&gt;Voies!L1049-1,Terre&gt;Voies!M1049-1,Vide&gt;Voies!N1049-1,Constitution&gt;Voies!O1049-1,Volonté&gt;Voies!P1049-1,Force&gt;Voies!Q1049-1,Perception&gt;Voies!R1049-1,Reflexes&gt;Voies!S1049-1,Agilité&gt;Voies!T1049-1,Intuition&gt;Voies!U1049-1,Intelligence&gt;Voies!V1049-1,Souillure&gt;Voies!W1049-1,Honneur&gt;X1049-1,Statut&gt;Y1049-1,Gloire&gt;Z1049-1,AV1049=TRUE),Voies!B1049,"")</f>
        <v/>
      </c>
      <c r="B1049" s="162" t="s">
        <v>3749</v>
      </c>
      <c r="C1049" s="162" t="b">
        <v>1</v>
      </c>
      <c r="D1049" s="387" t="s">
        <v>627</v>
      </c>
      <c r="E1049" s="199">
        <v>4</v>
      </c>
      <c r="F1049" s="199">
        <v>4</v>
      </c>
      <c r="G1049" s="199" t="s">
        <v>2049</v>
      </c>
      <c r="H1049" s="162" t="s">
        <v>149</v>
      </c>
      <c r="I1049" s="129" t="s">
        <v>3746</v>
      </c>
      <c r="J1049" s="146">
        <v>0</v>
      </c>
      <c r="K1049" s="147">
        <v>0</v>
      </c>
      <c r="L1049" s="148">
        <v>0</v>
      </c>
      <c r="M1049" s="149">
        <v>0</v>
      </c>
      <c r="N1049" s="150">
        <v>0</v>
      </c>
      <c r="O1049" s="130">
        <v>0</v>
      </c>
      <c r="P1049" s="130">
        <v>0</v>
      </c>
      <c r="Q1049" s="130">
        <v>0</v>
      </c>
      <c r="R1049" s="130">
        <v>0</v>
      </c>
      <c r="S1049" s="130">
        <v>0</v>
      </c>
      <c r="T1049" s="130">
        <v>0</v>
      </c>
      <c r="U1049" s="130">
        <v>0</v>
      </c>
      <c r="V1049" s="524">
        <v>0</v>
      </c>
      <c r="W1049" s="130">
        <v>0</v>
      </c>
      <c r="X1049" s="130">
        <v>0</v>
      </c>
      <c r="Y1049" s="130">
        <v>0</v>
      </c>
      <c r="Z1049" s="130">
        <v>0</v>
      </c>
      <c r="AA1049" s="158" t="s">
        <v>2078</v>
      </c>
      <c r="AB1049" s="158"/>
      <c r="AC1049" s="158"/>
      <c r="AD1049" s="158"/>
      <c r="AE1049" s="158" t="b">
        <f>IF(AB1049="",TRUE,IF(IF(AC1049="",VLOOKUP(AB1049,Calculs!$A$19:$S$425,19,FALSE),VLOOKUP(AC1049,Calculs!$A$19:$S$425,19,FALSE))&gt;=AD1049,TRUE,FALSE))</f>
        <v>1</v>
      </c>
      <c r="AF1049" s="158"/>
      <c r="AG1049" s="158"/>
      <c r="AH1049" s="158"/>
      <c r="AI1049" s="158" t="b">
        <f>IF(AF1049="",TRUE,IF(IF(AG1049="",VLOOKUP(AF1049,Calculs!$A$19:$S$425,19,FALSE),VLOOKUP(AG1049,Calculs!$A$19:$S$425,19,FALSE))&gt;=AH1049,TRUE,FALSE))</f>
        <v>1</v>
      </c>
      <c r="AJ1049" s="158"/>
      <c r="AK1049" s="158"/>
      <c r="AL1049" s="158"/>
      <c r="AM1049" s="158" t="b">
        <f>IF(AJ1049="",TRUE,IF(IF(AK1049="",VLOOKUP(AJ1049,Calculs!$A$19:$S$425,19,FALSE),VLOOKUP(AK1049,Calculs!$A$19:$S$425,19,FALSE))&gt;=AL1049,TRUE,FALSE))</f>
        <v>1</v>
      </c>
      <c r="AN1049" s="158"/>
      <c r="AO1049" s="158"/>
      <c r="AP1049" s="158"/>
      <c r="AQ1049" s="158" t="b">
        <f>IF(AN1049="",TRUE,IF(IF(AO1049="",VLOOKUP(AN1049,Calculs!$A$19:$S$425,19,FALSE),VLOOKUP(AO1049,Calculs!$A$19:$S$425,19,FALSE))&gt;=AP1049,TRUE,FALSE))</f>
        <v>1</v>
      </c>
      <c r="AR1049" s="158"/>
      <c r="AS1049" s="158" t="b">
        <f>IF(AR1049="",TRUE,IF(VLOOKUP(AR1049,Calculs!$A$427:$G$738,7,FALSE)&gt;0,TRUE,FALSE))</f>
        <v>1</v>
      </c>
      <c r="AT1049" s="158"/>
      <c r="AU1049" s="158" t="b">
        <f>IF(AT1049="",TRUE,IF(VLOOKUP(AT1049,Calculs!$A$740:$G$912,7,FALSE)&gt;0,TRUE,FALSE))</f>
        <v>1</v>
      </c>
      <c r="AV1049" s="158" t="b">
        <f t="shared" si="116"/>
        <v>1</v>
      </c>
      <c r="AW1049" s="158" t="s">
        <v>2078</v>
      </c>
      <c r="AX1049" s="162" t="s">
        <v>2921</v>
      </c>
      <c r="AY1049" s="15">
        <v>103</v>
      </c>
      <c r="AZ1049" s="555" t="s">
        <v>8774</v>
      </c>
      <c r="BA1049" s="559">
        <f>IF(Verso!$B$10=Voies!$B1049,1,0)</f>
        <v>0</v>
      </c>
      <c r="BB1049" s="12">
        <f>IF(Verso!$B$11=Voies!$B1049,1,0)</f>
        <v>0</v>
      </c>
      <c r="BC1049" s="12">
        <f>IF(Verso!$B$12=Voies!$B1049,1,0)</f>
        <v>0</v>
      </c>
      <c r="BD1049" s="12">
        <f>IF(Verso!$B$13=Voies!$B1049,1,0)</f>
        <v>0</v>
      </c>
      <c r="BE1049" s="12">
        <f>IF(Verso!$B$14=Voies!$B1049,1,0)</f>
        <v>0</v>
      </c>
      <c r="BF1049" s="12">
        <f>IF(Verso!$B$15=Voies!$B1049,1,0)</f>
        <v>0</v>
      </c>
      <c r="BG1049" s="12">
        <f>IF(Verso!$B$16=Voies!$B1049,1,0)</f>
        <v>0</v>
      </c>
      <c r="BH1049" s="12">
        <f>IF(Verso!$B$17=Voies!$B1049,1,0)</f>
        <v>0</v>
      </c>
      <c r="BI1049" s="557">
        <f t="shared" si="117"/>
        <v>0</v>
      </c>
      <c r="BJ1049" s="196" t="str">
        <f t="shared" si="118"/>
        <v/>
      </c>
      <c r="BK1049" s="196" t="str">
        <f t="shared" si="119"/>
        <v/>
      </c>
      <c r="BL1049" s="295" t="str">
        <f t="shared" si="120"/>
        <v/>
      </c>
    </row>
    <row r="1050" spans="1:65" ht="47.25" customHeight="1" x14ac:dyDescent="0.25">
      <c r="A1050" s="162" t="str">
        <f>IF(AND(Réputation&gt;Voies!E1050-1,OR(C1050=TRUE,Calculs!$I$8&gt;0),Air&gt;Voies!J1050-1,Eau&gt;Voies!K1050-1,Feu&gt;Voies!L1050-1,Terre&gt;Voies!M1050-1,Vide&gt;Voies!N1050-1,Constitution&gt;Voies!O1050-1,Volonté&gt;Voies!P1050-1,Force&gt;Voies!Q1050-1,Perception&gt;Voies!R1050-1,Reflexes&gt;Voies!S1050-1,Agilité&gt;Voies!T1050-1,Intuition&gt;Voies!U1050-1,Intelligence&gt;Voies!V1050-1,Souillure&gt;Voies!W1050-1,Honneur&gt;X1050-1,Statut&gt;Y1050-1,Gloire&gt;Z1050-1,AV1050=TRUE),Voies!B1050,"")</f>
        <v/>
      </c>
      <c r="B1050" s="162" t="s">
        <v>7821</v>
      </c>
      <c r="C1050" s="162" t="b">
        <v>1</v>
      </c>
      <c r="D1050" s="387" t="s">
        <v>627</v>
      </c>
      <c r="E1050" s="13">
        <v>5</v>
      </c>
      <c r="F1050" s="199">
        <v>5</v>
      </c>
      <c r="G1050" s="157" t="s">
        <v>2048</v>
      </c>
      <c r="H1050" s="162" t="s">
        <v>7821</v>
      </c>
      <c r="I1050" s="129" t="s">
        <v>7822</v>
      </c>
      <c r="J1050" s="146">
        <v>0</v>
      </c>
      <c r="K1050" s="147">
        <v>0</v>
      </c>
      <c r="L1050" s="148">
        <v>0</v>
      </c>
      <c r="M1050" s="149">
        <v>0</v>
      </c>
      <c r="N1050" s="150">
        <v>0</v>
      </c>
      <c r="O1050" s="130">
        <v>0</v>
      </c>
      <c r="P1050" s="130">
        <v>0</v>
      </c>
      <c r="Q1050" s="130">
        <v>0</v>
      </c>
      <c r="R1050" s="130">
        <v>0</v>
      </c>
      <c r="S1050" s="130">
        <v>0</v>
      </c>
      <c r="T1050" s="130">
        <v>0</v>
      </c>
      <c r="U1050" s="130">
        <v>0</v>
      </c>
      <c r="V1050" s="524">
        <v>0</v>
      </c>
      <c r="W1050" s="130">
        <v>0</v>
      </c>
      <c r="X1050" s="130">
        <v>0</v>
      </c>
      <c r="Y1050" s="130">
        <v>0</v>
      </c>
      <c r="Z1050" s="130">
        <v>0</v>
      </c>
      <c r="AA1050" s="158" t="s">
        <v>7823</v>
      </c>
      <c r="AB1050" s="158" t="s">
        <v>3325</v>
      </c>
      <c r="AC1050" s="158" t="s">
        <v>3190</v>
      </c>
      <c r="AD1050" s="158">
        <v>4</v>
      </c>
      <c r="AE1050" s="158" t="b">
        <f>IF(AB1050="",TRUE,IF(IF(AC1050="",VLOOKUP(AB1050,Calculs!$A$19:$S$425,19,FALSE),VLOOKUP(AC1050,Calculs!$A$19:$S$425,19,FALSE))&gt;=AD1050,TRUE,FALSE))</f>
        <v>0</v>
      </c>
      <c r="AF1050" s="158"/>
      <c r="AG1050" s="158"/>
      <c r="AH1050" s="158"/>
      <c r="AI1050" s="158" t="b">
        <f>IF(AF1050="",TRUE,IF(IF(AG1050="",VLOOKUP(AF1050,Calculs!$A$19:$S$425,19,FALSE),VLOOKUP(AG1050,Calculs!$A$19:$S$425,19,FALSE))&gt;=AH1050,TRUE,FALSE))</f>
        <v>1</v>
      </c>
      <c r="AJ1050" s="158"/>
      <c r="AK1050" s="158"/>
      <c r="AL1050" s="158"/>
      <c r="AM1050" s="158" t="b">
        <f>IF(AJ1050="",TRUE,IF(IF(AK1050="",VLOOKUP(AJ1050,Calculs!$A$19:$S$425,19,FALSE),VLOOKUP(AK1050,Calculs!$A$19:$S$425,19,FALSE))&gt;=AL1050,TRUE,FALSE))</f>
        <v>1</v>
      </c>
      <c r="AN1050" s="158"/>
      <c r="AO1050" s="158"/>
      <c r="AP1050" s="158"/>
      <c r="AQ1050" s="158" t="b">
        <f>IF(AN1050="",TRUE,IF(IF(AO1050="",VLOOKUP(AN1050,Calculs!$A$19:$S$425,19,FALSE),VLOOKUP(AO1050,Calculs!$A$19:$S$425,19,FALSE))&gt;=AP1050,TRUE,FALSE))</f>
        <v>1</v>
      </c>
      <c r="AR1050" s="158"/>
      <c r="AS1050" s="158" t="b">
        <f>IF(AR1050="",TRUE,IF(VLOOKUP(AR1050,Calculs!$A$427:$G$738,7,FALSE)&gt;0,TRUE,FALSE))</f>
        <v>1</v>
      </c>
      <c r="AT1050" s="158"/>
      <c r="AU1050" s="158" t="b">
        <f>IF(AT1050="",TRUE,IF(VLOOKUP(AT1050,Calculs!$A$740:$G$912,7,FALSE)&gt;0,TRUE,FALSE))</f>
        <v>1</v>
      </c>
      <c r="AV1050" s="158" t="b">
        <f t="shared" si="116"/>
        <v>0</v>
      </c>
      <c r="AW1050" s="158" t="s">
        <v>2078</v>
      </c>
      <c r="AX1050" s="162" t="s">
        <v>7226</v>
      </c>
      <c r="AY1050" s="151">
        <v>73</v>
      </c>
      <c r="AZ1050" s="555" t="s">
        <v>7824</v>
      </c>
      <c r="BA1050" s="559">
        <f>IF(Verso!$B$10=Voies!$B1050,1,0)</f>
        <v>0</v>
      </c>
      <c r="BB1050" s="12">
        <f>IF(Verso!$B$11=Voies!$B1050,1,0)</f>
        <v>0</v>
      </c>
      <c r="BC1050" s="12">
        <f>IF(Verso!$B$12=Voies!$B1050,1,0)</f>
        <v>0</v>
      </c>
      <c r="BD1050" s="12">
        <f>IF(Verso!$B$13=Voies!$B1050,1,0)</f>
        <v>0</v>
      </c>
      <c r="BE1050" s="12">
        <f>IF(Verso!$B$14=Voies!$B1050,1,0)</f>
        <v>0</v>
      </c>
      <c r="BF1050" s="12">
        <f>IF(Verso!$B$15=Voies!$B1050,1,0)</f>
        <v>0</v>
      </c>
      <c r="BG1050" s="12">
        <f>IF(Verso!$B$16=Voies!$B1050,1,0)</f>
        <v>0</v>
      </c>
      <c r="BH1050" s="12">
        <f>IF(Verso!$B$17=Voies!$B1050,1,0)</f>
        <v>0</v>
      </c>
      <c r="BI1050" s="557">
        <f t="shared" si="117"/>
        <v>0</v>
      </c>
      <c r="BJ1050" s="196" t="str">
        <f t="shared" si="118"/>
        <v/>
      </c>
      <c r="BK1050" s="196" t="str">
        <f t="shared" si="119"/>
        <v/>
      </c>
      <c r="BL1050" s="295" t="str">
        <f t="shared" si="120"/>
        <v/>
      </c>
    </row>
    <row r="1051" spans="1:65" ht="47.25" customHeight="1" x14ac:dyDescent="0.25">
      <c r="A1051" s="162" t="str">
        <f>IF(AND(Réputation&gt;Voies!E1051-1,OR(C1051=TRUE,Calculs!$I$8&gt;0),Air&gt;Voies!J1051-1,Eau&gt;Voies!K1051-1,Feu&gt;Voies!L1051-1,Terre&gt;Voies!M1051-1,Vide&gt;Voies!N1051-1,Constitution&gt;Voies!O1051-1,Volonté&gt;Voies!P1051-1,Force&gt;Voies!Q1051-1,Perception&gt;Voies!R1051-1,Reflexes&gt;Voies!S1051-1,Agilité&gt;Voies!T1051-1,Intuition&gt;Voies!U1051-1,Intelligence&gt;Voies!V1051-1,Souillure&gt;Voies!W1051-1,Honneur&gt;X1051-1,Statut&gt;Y1051-1,Gloire&gt;Z1051-1,AV1051=TRUE),Voies!B1051,"")</f>
        <v/>
      </c>
      <c r="B1051" s="162" t="s">
        <v>6217</v>
      </c>
      <c r="C1051" s="162" t="b">
        <v>1</v>
      </c>
      <c r="D1051" s="387" t="s">
        <v>627</v>
      </c>
      <c r="E1051" s="199">
        <v>6</v>
      </c>
      <c r="F1051" s="199">
        <v>6</v>
      </c>
      <c r="G1051" s="199" t="s">
        <v>2048</v>
      </c>
      <c r="H1051" s="162" t="s">
        <v>6218</v>
      </c>
      <c r="I1051" s="129" t="s">
        <v>6215</v>
      </c>
      <c r="J1051" s="146">
        <v>0</v>
      </c>
      <c r="K1051" s="147">
        <v>0</v>
      </c>
      <c r="L1051" s="148">
        <v>0</v>
      </c>
      <c r="M1051" s="149">
        <v>0</v>
      </c>
      <c r="N1051" s="150">
        <v>0</v>
      </c>
      <c r="O1051" s="130">
        <v>0</v>
      </c>
      <c r="P1051" s="130">
        <v>0</v>
      </c>
      <c r="Q1051" s="130">
        <v>0</v>
      </c>
      <c r="R1051" s="130">
        <v>0</v>
      </c>
      <c r="S1051" s="130">
        <v>0</v>
      </c>
      <c r="T1051" s="130">
        <v>0</v>
      </c>
      <c r="U1051" s="130">
        <v>0</v>
      </c>
      <c r="V1051" s="524">
        <v>0</v>
      </c>
      <c r="W1051" s="130">
        <v>0</v>
      </c>
      <c r="X1051" s="130">
        <v>0</v>
      </c>
      <c r="Y1051" s="130">
        <v>0</v>
      </c>
      <c r="Z1051" s="130">
        <v>0</v>
      </c>
      <c r="AA1051" s="158" t="s">
        <v>6352</v>
      </c>
      <c r="AB1051" s="159" t="s">
        <v>1260</v>
      </c>
      <c r="AD1051" s="158">
        <v>5</v>
      </c>
      <c r="AE1051" s="158" t="b">
        <f>IF(AB1051="",TRUE,IF(IF(AC1051="",VLOOKUP(AB1051,Calculs!$A$19:$S$425,19,FALSE),VLOOKUP(AC1051,Calculs!$A$19:$S$425,19,FALSE))&gt;=AD1051,TRUE,FALSE))</f>
        <v>0</v>
      </c>
      <c r="AF1051" s="158" t="s">
        <v>3325</v>
      </c>
      <c r="AG1051" s="158" t="s">
        <v>3214</v>
      </c>
      <c r="AH1051" s="158">
        <v>5</v>
      </c>
      <c r="AI1051" s="158" t="b">
        <f>IF(AF1051="",TRUE,IF(IF(AG1051="",VLOOKUP(AF1051,Calculs!$A$19:$S$425,19,FALSE),VLOOKUP(AG1051,Calculs!$A$19:$S$425,19,FALSE))&gt;=AH1051,TRUE,FALSE))</f>
        <v>0</v>
      </c>
      <c r="AJ1051" s="158" t="s">
        <v>1265</v>
      </c>
      <c r="AK1051" s="158"/>
      <c r="AL1051" s="158">
        <v>5</v>
      </c>
      <c r="AM1051" s="158" t="b">
        <f>IF(AJ1051="",TRUE,IF(IF(AK1051="",VLOOKUP(AJ1051,Calculs!$A$19:$S$425,19,FALSE),VLOOKUP(AK1051,Calculs!$A$19:$S$425,19,FALSE))&gt;=AL1051,TRUE,FALSE))</f>
        <v>0</v>
      </c>
      <c r="AN1051" s="158"/>
      <c r="AO1051" s="158"/>
      <c r="AP1051" s="158"/>
      <c r="AQ1051" s="158" t="b">
        <f>IF(AN1051="",TRUE,IF(IF(AO1051="",VLOOKUP(AN1051,Calculs!$A$19:$S$425,19,FALSE),VLOOKUP(AO1051,Calculs!$A$19:$S$425,19,FALSE))&gt;=AP1051,TRUE,FALSE))</f>
        <v>1</v>
      </c>
      <c r="AR1051" s="158"/>
      <c r="AS1051" s="158" t="b">
        <f>IF(AR1051="",TRUE,IF(VLOOKUP(AR1051,Calculs!$A$427:$G$738,7,FALSE)&gt;0,TRUE,FALSE))</f>
        <v>1</v>
      </c>
      <c r="AT1051" s="158"/>
      <c r="AU1051" s="158" t="b">
        <f>IF(AT1051="",TRUE,IF(VLOOKUP(AT1051,Calculs!$A$740:$G$912,7,FALSE)&gt;0,TRUE,FALSE))</f>
        <v>1</v>
      </c>
      <c r="AV1051" s="158" t="b">
        <f t="shared" si="116"/>
        <v>0</v>
      </c>
      <c r="AW1051" s="159" t="s">
        <v>6216</v>
      </c>
      <c r="AX1051" s="162" t="s">
        <v>6192</v>
      </c>
      <c r="AY1051" s="15">
        <v>184</v>
      </c>
      <c r="AZ1051" s="555" t="s">
        <v>8775</v>
      </c>
      <c r="BA1051" s="559">
        <f>IF(Verso!$B$10=Voies!$B1051,1,0)</f>
        <v>0</v>
      </c>
      <c r="BB1051" s="12">
        <f>IF(Verso!$B$11=Voies!$B1051,1,0)</f>
        <v>0</v>
      </c>
      <c r="BC1051" s="12">
        <f>IF(Verso!$B$12=Voies!$B1051,1,0)</f>
        <v>0</v>
      </c>
      <c r="BD1051" s="12">
        <f>IF(Verso!$B$13=Voies!$B1051,1,0)</f>
        <v>0</v>
      </c>
      <c r="BE1051" s="12">
        <f>IF(Verso!$B$14=Voies!$B1051,1,0)</f>
        <v>0</v>
      </c>
      <c r="BF1051" s="12">
        <f>IF(Verso!$B$15=Voies!$B1051,1,0)</f>
        <v>0</v>
      </c>
      <c r="BG1051" s="12">
        <f>IF(Verso!$B$16=Voies!$B1051,1,0)</f>
        <v>0</v>
      </c>
      <c r="BH1051" s="12">
        <f>IF(Verso!$B$17=Voies!$B1051,1,0)</f>
        <v>0</v>
      </c>
      <c r="BI1051" s="557">
        <f t="shared" si="117"/>
        <v>0</v>
      </c>
      <c r="BJ1051" s="196" t="str">
        <f t="shared" si="118"/>
        <v/>
      </c>
      <c r="BK1051" s="196" t="str">
        <f t="shared" si="119"/>
        <v/>
      </c>
      <c r="BL1051" s="295" t="str">
        <f t="shared" si="120"/>
        <v/>
      </c>
    </row>
    <row r="1052" spans="1:65" s="196" customFormat="1" ht="47.25" customHeight="1" x14ac:dyDescent="0.25">
      <c r="A1052" s="162" t="str">
        <f>IF(AND(Réputation&gt;Voies!E1052-1,OR(C1052=TRUE,Calculs!$I$8&gt;0),Air&gt;Voies!J1052-1,Eau&gt;Voies!K1052-1,Feu&gt;Voies!L1052-1,Terre&gt;Voies!M1052-1,Vide&gt;Voies!N1052-1,Constitution&gt;Voies!O1052-1,Volonté&gt;Voies!P1052-1,Force&gt;Voies!Q1052-1,Perception&gt;Voies!R1052-1,Reflexes&gt;Voies!S1052-1,Agilité&gt;Voies!T1052-1,Intuition&gt;Voies!U1052-1,Intelligence&gt;Voies!V1052-1,Souillure&gt;Voies!W1052-1,Honneur&gt;X1052-1,Statut&gt;Y1052-1,Gloire&gt;Z1052-1,AV1052=TRUE),Voies!B1052,"")</f>
        <v/>
      </c>
      <c r="B1052" s="162" t="s">
        <v>7293</v>
      </c>
      <c r="C1052" s="162" t="b">
        <f>IF(Clan=Voies!D1052,TRUE,FALSE)</f>
        <v>0</v>
      </c>
      <c r="D1052" s="387" t="s">
        <v>7287</v>
      </c>
      <c r="E1052" s="199">
        <v>1</v>
      </c>
      <c r="F1052" s="199">
        <v>1</v>
      </c>
      <c r="G1052" s="199" t="s">
        <v>2048</v>
      </c>
      <c r="H1052" s="162" t="s">
        <v>7289</v>
      </c>
      <c r="I1052" s="129" t="s">
        <v>3370</v>
      </c>
      <c r="J1052" s="146">
        <v>0</v>
      </c>
      <c r="K1052" s="147">
        <v>0</v>
      </c>
      <c r="L1052" s="148">
        <v>0</v>
      </c>
      <c r="M1052" s="149">
        <v>0</v>
      </c>
      <c r="N1052" s="150">
        <v>0</v>
      </c>
      <c r="O1052" s="130">
        <v>0</v>
      </c>
      <c r="P1052" s="130">
        <v>0</v>
      </c>
      <c r="Q1052" s="130">
        <v>0</v>
      </c>
      <c r="R1052" s="130">
        <v>0</v>
      </c>
      <c r="S1052" s="130">
        <v>0</v>
      </c>
      <c r="T1052" s="130">
        <v>0</v>
      </c>
      <c r="U1052" s="130">
        <v>0</v>
      </c>
      <c r="V1052" s="524">
        <v>0</v>
      </c>
      <c r="W1052" s="130">
        <v>0</v>
      </c>
      <c r="X1052" s="130">
        <v>0</v>
      </c>
      <c r="Y1052" s="130">
        <v>0</v>
      </c>
      <c r="Z1052" s="130">
        <v>0</v>
      </c>
      <c r="AA1052" s="158" t="s">
        <v>2078</v>
      </c>
      <c r="AB1052" s="158"/>
      <c r="AC1052" s="158"/>
      <c r="AD1052" s="158"/>
      <c r="AE1052" s="158" t="b">
        <f>IF(AB1052="",TRUE,IF(IF(AC1052="",VLOOKUP(AB1052,Calculs!$A$19:$S$425,19,FALSE),VLOOKUP(AC1052,Calculs!$A$19:$S$425,19,FALSE))&gt;=AD1052,TRUE,FALSE))</f>
        <v>1</v>
      </c>
      <c r="AF1052" s="158"/>
      <c r="AG1052" s="158"/>
      <c r="AH1052" s="158"/>
      <c r="AI1052" s="158" t="b">
        <f>IF(AF1052="",TRUE,IF(IF(AG1052="",VLOOKUP(AF1052,Calculs!$A$19:$S$425,19,FALSE),VLOOKUP(AG1052,Calculs!$A$19:$S$425,19,FALSE))&gt;=AH1052,TRUE,FALSE))</f>
        <v>1</v>
      </c>
      <c r="AJ1052" s="158"/>
      <c r="AK1052" s="158"/>
      <c r="AL1052" s="158"/>
      <c r="AM1052" s="158" t="b">
        <f>IF(AJ1052="",TRUE,IF(IF(AK1052="",VLOOKUP(AJ1052,Calculs!$A$19:$S$425,19,FALSE),VLOOKUP(AK1052,Calculs!$A$19:$S$425,19,FALSE))&gt;=AL1052,TRUE,FALSE))</f>
        <v>1</v>
      </c>
      <c r="AN1052" s="158"/>
      <c r="AO1052" s="158"/>
      <c r="AP1052" s="158"/>
      <c r="AQ1052" s="158" t="b">
        <f>IF(AN1052="",TRUE,IF(IF(AO1052="",VLOOKUP(AN1052,Calculs!$A$19:$S$425,19,FALSE),VLOOKUP(AO1052,Calculs!$A$19:$S$425,19,FALSE))&gt;=AP1052,TRUE,FALSE))</f>
        <v>1</v>
      </c>
      <c r="AR1052" s="158"/>
      <c r="AS1052" s="158" t="b">
        <f>IF(AR1052="",TRUE,IF(VLOOKUP(AR1052,Calculs!$A$427:$G$738,7,FALSE)&gt;0,TRUE,FALSE))</f>
        <v>1</v>
      </c>
      <c r="AT1052" s="158"/>
      <c r="AU1052" s="158" t="b">
        <f>IF(AT1052="",TRUE,IF(VLOOKUP(AT1052,Calculs!$A$740:$G$912,7,FALSE)&gt;0,TRUE,FALSE))</f>
        <v>1</v>
      </c>
      <c r="AV1052" s="158" t="b">
        <f t="shared" si="116"/>
        <v>1</v>
      </c>
      <c r="AW1052" s="158" t="s">
        <v>2078</v>
      </c>
      <c r="AX1052" s="162" t="s">
        <v>6816</v>
      </c>
      <c r="AY1052" s="15">
        <v>114</v>
      </c>
      <c r="AZ1052" s="555" t="str">
        <f>CONCATENATE("Dépensez un Pvide en AC pour augmenter de 1g1 les dégâts de vos sorts d'Eau ou d'Air jusqu'à la fin de votre tour OU pour lancer une boule de glace qui fait ",ROUNDUP(Air/2,0),"g",ROUNDUP(Air/2,0)," dégâts")</f>
        <v>Dépensez un Pvide en AC pour augmenter de 1g1 les dégâts de vos sorts d'Eau ou d'Air jusqu'à la fin de votre tour OU pour lancer une boule de glace qui fait 1g1 dégâts</v>
      </c>
      <c r="BA1052" s="559">
        <f>IF(Verso!$B$10=Voies!$B1052,1,0)</f>
        <v>0</v>
      </c>
      <c r="BB1052" s="12">
        <f>IF(Verso!$B$11=Voies!$B1052,1,0)</f>
        <v>0</v>
      </c>
      <c r="BC1052" s="12">
        <f>IF(Verso!$B$12=Voies!$B1052,1,0)</f>
        <v>0</v>
      </c>
      <c r="BD1052" s="12">
        <f>IF(Verso!$B$13=Voies!$B1052,1,0)</f>
        <v>0</v>
      </c>
      <c r="BE1052" s="12">
        <f>IF(Verso!$B$14=Voies!$B1052,1,0)</f>
        <v>0</v>
      </c>
      <c r="BF1052" s="12">
        <f>IF(Verso!$B$15=Voies!$B1052,1,0)</f>
        <v>0</v>
      </c>
      <c r="BG1052" s="12">
        <f>IF(Verso!$B$16=Voies!$B1052,1,0)</f>
        <v>0</v>
      </c>
      <c r="BH1052" s="12">
        <f>IF(Verso!$B$17=Voies!$B1052,1,0)</f>
        <v>0</v>
      </c>
      <c r="BI1052" s="557">
        <f t="shared" si="117"/>
        <v>0</v>
      </c>
      <c r="BJ1052" s="196" t="str">
        <f t="shared" si="118"/>
        <v/>
      </c>
      <c r="BK1052" s="196" t="str">
        <f t="shared" si="119"/>
        <v/>
      </c>
      <c r="BL1052" s="295" t="str">
        <f t="shared" si="120"/>
        <v/>
      </c>
      <c r="BM1052" s="91"/>
    </row>
    <row r="1053" spans="1:65" s="196" customFormat="1" ht="47.25" customHeight="1" x14ac:dyDescent="0.25">
      <c r="A1053" s="162" t="str">
        <f>IF(AND(Réputation&gt;Voies!E1053-1,OR(C1053=TRUE,Calculs!$I$8&gt;0),Air&gt;Voies!J1053-1,Eau&gt;Voies!K1053-1,Feu&gt;Voies!L1053-1,Terre&gt;Voies!M1053-1,Vide&gt;Voies!N1053-1,Constitution&gt;Voies!O1053-1,Volonté&gt;Voies!P1053-1,Force&gt;Voies!Q1053-1,Perception&gt;Voies!R1053-1,Reflexes&gt;Voies!S1053-1,Agilité&gt;Voies!T1053-1,Intuition&gt;Voies!U1053-1,Intelligence&gt;Voies!V1053-1,Souillure&gt;Voies!W1053-1,Honneur&gt;X1053-1,Statut&gt;Y1053-1,Gloire&gt;Z1053-1,AV1053=TRUE),Voies!B1053,"")</f>
        <v/>
      </c>
      <c r="B1053" s="162" t="s">
        <v>7200</v>
      </c>
      <c r="C1053" s="162" t="b">
        <f>IF(Clan=Voies!D1053,TRUE,FALSE)</f>
        <v>0</v>
      </c>
      <c r="D1053" s="387" t="s">
        <v>6804</v>
      </c>
      <c r="E1053" s="199">
        <v>1</v>
      </c>
      <c r="F1053" s="199">
        <v>1</v>
      </c>
      <c r="G1053" s="199" t="s">
        <v>2050</v>
      </c>
      <c r="H1053" s="162" t="s">
        <v>7197</v>
      </c>
      <c r="I1053" s="129" t="s">
        <v>3370</v>
      </c>
      <c r="J1053" s="146">
        <v>0</v>
      </c>
      <c r="K1053" s="147">
        <v>0</v>
      </c>
      <c r="L1053" s="148">
        <v>0</v>
      </c>
      <c r="M1053" s="149">
        <v>0</v>
      </c>
      <c r="N1053" s="150">
        <v>0</v>
      </c>
      <c r="O1053" s="130">
        <v>0</v>
      </c>
      <c r="P1053" s="130">
        <v>0</v>
      </c>
      <c r="Q1053" s="130">
        <v>0</v>
      </c>
      <c r="R1053" s="130">
        <v>0</v>
      </c>
      <c r="S1053" s="130">
        <v>0</v>
      </c>
      <c r="T1053" s="130">
        <v>0</v>
      </c>
      <c r="U1053" s="130">
        <v>0</v>
      </c>
      <c r="V1053" s="524">
        <v>0</v>
      </c>
      <c r="W1053" s="130">
        <v>0</v>
      </c>
      <c r="X1053" s="130">
        <v>0</v>
      </c>
      <c r="Y1053" s="130">
        <v>0</v>
      </c>
      <c r="Z1053" s="130">
        <v>0</v>
      </c>
      <c r="AA1053" s="158" t="s">
        <v>2078</v>
      </c>
      <c r="AB1053" s="158"/>
      <c r="AC1053" s="158"/>
      <c r="AD1053" s="158"/>
      <c r="AE1053" s="158" t="b">
        <f>IF(AB1053="",TRUE,IF(IF(AC1053="",VLOOKUP(AB1053,Calculs!$A$19:$S$425,19,FALSE),VLOOKUP(AC1053,Calculs!$A$19:$S$425,19,FALSE))&gt;=AD1053,TRUE,FALSE))</f>
        <v>1</v>
      </c>
      <c r="AF1053" s="158"/>
      <c r="AG1053" s="158"/>
      <c r="AH1053" s="158"/>
      <c r="AI1053" s="158" t="b">
        <f>IF(AF1053="",TRUE,IF(IF(AG1053="",VLOOKUP(AF1053,Calculs!$A$19:$S$425,19,FALSE),VLOOKUP(AG1053,Calculs!$A$19:$S$425,19,FALSE))&gt;=AH1053,TRUE,FALSE))</f>
        <v>1</v>
      </c>
      <c r="AJ1053" s="158"/>
      <c r="AK1053" s="158"/>
      <c r="AL1053" s="158"/>
      <c r="AM1053" s="158" t="b">
        <f>IF(AJ1053="",TRUE,IF(IF(AK1053="",VLOOKUP(AJ1053,Calculs!$A$19:$S$425,19,FALSE),VLOOKUP(AK1053,Calculs!$A$19:$S$425,19,FALSE))&gt;=AL1053,TRUE,FALSE))</f>
        <v>1</v>
      </c>
      <c r="AN1053" s="158"/>
      <c r="AO1053" s="158"/>
      <c r="AP1053" s="158"/>
      <c r="AQ1053" s="158" t="b">
        <f>IF(AN1053="",TRUE,IF(IF(AO1053="",VLOOKUP(AN1053,Calculs!$A$19:$S$425,19,FALSE),VLOOKUP(AO1053,Calculs!$A$19:$S$425,19,FALSE))&gt;=AP1053,TRUE,FALSE))</f>
        <v>1</v>
      </c>
      <c r="AR1053" s="158"/>
      <c r="AS1053" s="158" t="b">
        <f>IF(AR1053="",TRUE,IF(VLOOKUP(AR1053,Calculs!$A$427:$G$738,7,FALSE)&gt;0,TRUE,FALSE))</f>
        <v>1</v>
      </c>
      <c r="AT1053" s="158"/>
      <c r="AU1053" s="158" t="b">
        <f>IF(AT1053="",TRUE,IF(VLOOKUP(AT1053,Calculs!$A$740:$G$912,7,FALSE)&gt;0,TRUE,FALSE))</f>
        <v>1</v>
      </c>
      <c r="AV1053" s="158" t="b">
        <f t="shared" si="116"/>
        <v>1</v>
      </c>
      <c r="AW1053" s="158" t="s">
        <v>2078</v>
      </c>
      <c r="AX1053" s="162" t="s">
        <v>6816</v>
      </c>
      <c r="AY1053" s="15">
        <v>131</v>
      </c>
      <c r="AZ1053" s="555" t="s">
        <v>8776</v>
      </c>
      <c r="BA1053" s="559">
        <f>IF(Verso!$B$10=Voies!$B1053,1,0)</f>
        <v>0</v>
      </c>
      <c r="BB1053" s="12">
        <f>IF(Verso!$B$11=Voies!$B1053,1,0)</f>
        <v>0</v>
      </c>
      <c r="BC1053" s="12">
        <f>IF(Verso!$B$12=Voies!$B1053,1,0)</f>
        <v>0</v>
      </c>
      <c r="BD1053" s="12">
        <f>IF(Verso!$B$13=Voies!$B1053,1,0)</f>
        <v>0</v>
      </c>
      <c r="BE1053" s="12">
        <f>IF(Verso!$B$14=Voies!$B1053,1,0)</f>
        <v>0</v>
      </c>
      <c r="BF1053" s="12">
        <f>IF(Verso!$B$15=Voies!$B1053,1,0)</f>
        <v>0</v>
      </c>
      <c r="BG1053" s="12">
        <f>IF(Verso!$B$16=Voies!$B1053,1,0)</f>
        <v>0</v>
      </c>
      <c r="BH1053" s="12">
        <f>IF(Verso!$B$17=Voies!$B1053,1,0)</f>
        <v>0</v>
      </c>
      <c r="BI1053" s="557">
        <f t="shared" si="117"/>
        <v>0</v>
      </c>
      <c r="BJ1053" s="196" t="str">
        <f t="shared" si="118"/>
        <v/>
      </c>
      <c r="BK1053" s="196" t="str">
        <f t="shared" si="119"/>
        <v/>
      </c>
      <c r="BL1053" s="295" t="str">
        <f t="shared" si="120"/>
        <v/>
      </c>
      <c r="BM1053" s="91"/>
    </row>
    <row r="1054" spans="1:65" s="196" customFormat="1" ht="47.25" customHeight="1" x14ac:dyDescent="0.25">
      <c r="A1054" s="162" t="str">
        <f>IF(AND(Réputation&gt;Voies!E1054-1,OR(C1054=TRUE,Calculs!$I$8&gt;0),Air&gt;Voies!J1054-1,Eau&gt;Voies!K1054-1,Feu&gt;Voies!L1054-1,Terre&gt;Voies!M1054-1,Vide&gt;Voies!N1054-1,Constitution&gt;Voies!O1054-1,Volonté&gt;Voies!P1054-1,Force&gt;Voies!Q1054-1,Perception&gt;Voies!R1054-1,Reflexes&gt;Voies!S1054-1,Agilité&gt;Voies!T1054-1,Intuition&gt;Voies!U1054-1,Intelligence&gt;Voies!V1054-1,Souillure&gt;Voies!W1054-1,Honneur&gt;X1054-1,Statut&gt;Y1054-1,Gloire&gt;Z1054-1,AV1054=TRUE),Voies!B1054,"")</f>
        <v/>
      </c>
      <c r="B1054" s="162" t="s">
        <v>7201</v>
      </c>
      <c r="C1054" s="162" t="b">
        <f>IF(Clan=Voies!D1054,TRUE,FALSE)</f>
        <v>0</v>
      </c>
      <c r="D1054" s="387" t="s">
        <v>6804</v>
      </c>
      <c r="E1054" s="199">
        <v>2</v>
      </c>
      <c r="F1054" s="199" t="s">
        <v>626</v>
      </c>
      <c r="G1054" s="199" t="s">
        <v>2052</v>
      </c>
      <c r="H1054" s="162" t="s">
        <v>7199</v>
      </c>
      <c r="I1054" s="129" t="s">
        <v>7198</v>
      </c>
      <c r="J1054" s="146">
        <v>0</v>
      </c>
      <c r="K1054" s="147">
        <v>0</v>
      </c>
      <c r="L1054" s="148">
        <v>0</v>
      </c>
      <c r="M1054" s="149">
        <v>0</v>
      </c>
      <c r="N1054" s="150">
        <v>0</v>
      </c>
      <c r="O1054" s="130">
        <v>0</v>
      </c>
      <c r="P1054" s="130">
        <v>0</v>
      </c>
      <c r="Q1054" s="130">
        <v>0</v>
      </c>
      <c r="R1054" s="130">
        <v>0</v>
      </c>
      <c r="S1054" s="130">
        <v>0</v>
      </c>
      <c r="T1054" s="130">
        <v>0</v>
      </c>
      <c r="U1054" s="130">
        <v>0</v>
      </c>
      <c r="V1054" s="524">
        <v>0</v>
      </c>
      <c r="W1054" s="130">
        <v>0</v>
      </c>
      <c r="X1054" s="130">
        <v>0</v>
      </c>
      <c r="Y1054" s="130">
        <v>0</v>
      </c>
      <c r="Z1054" s="130">
        <v>0</v>
      </c>
      <c r="AA1054" s="158" t="s">
        <v>7202</v>
      </c>
      <c r="AB1054" s="158" t="s">
        <v>3327</v>
      </c>
      <c r="AC1054" s="158" t="s">
        <v>3283</v>
      </c>
      <c r="AD1054" s="158">
        <v>3</v>
      </c>
      <c r="AE1054" s="158" t="b">
        <f>IF(AB1054="",TRUE,IF(IF(AC1054="",VLOOKUP(AB1054,Calculs!$A$19:$S$425,19,FALSE),VLOOKUP(AC1054,Calculs!$A$19:$S$425,19,FALSE))&gt;=AD1054,TRUE,FALSE))</f>
        <v>0</v>
      </c>
      <c r="AF1054" s="158" t="s">
        <v>1283</v>
      </c>
      <c r="AG1054" s="158"/>
      <c r="AH1054" s="158">
        <v>3</v>
      </c>
      <c r="AI1054" s="158" t="b">
        <f>IF(AF1054="",TRUE,IF(IF(AG1054="",VLOOKUP(AF1054,Calculs!$A$19:$S$425,19,FALSE),VLOOKUP(AG1054,Calculs!$A$19:$S$425,19,FALSE))&gt;=AH1054,TRUE,FALSE))</f>
        <v>0</v>
      </c>
      <c r="AJ1054" s="158"/>
      <c r="AK1054" s="158"/>
      <c r="AL1054" s="158"/>
      <c r="AM1054" s="158" t="b">
        <f>IF(AJ1054="",TRUE,IF(IF(AK1054="",VLOOKUP(AJ1054,Calculs!$A$19:$S$425,19,FALSE),VLOOKUP(AK1054,Calculs!$A$19:$S$425,19,FALSE))&gt;=AL1054,TRUE,FALSE))</f>
        <v>1</v>
      </c>
      <c r="AN1054" s="158"/>
      <c r="AO1054" s="158"/>
      <c r="AP1054" s="158"/>
      <c r="AQ1054" s="158" t="b">
        <f>IF(AN1054="",TRUE,IF(IF(AO1054="",VLOOKUP(AN1054,Calculs!$A$19:$S$425,19,FALSE),VLOOKUP(AO1054,Calculs!$A$19:$S$425,19,FALSE))&gt;=AP1054,TRUE,FALSE))</f>
        <v>1</v>
      </c>
      <c r="AR1054" s="158"/>
      <c r="AS1054" s="158" t="b">
        <f>IF(AR1054="",TRUE,IF(VLOOKUP(AR1054,Calculs!$A$427:$G$738,7,FALSE)&gt;0,TRUE,FALSE))</f>
        <v>1</v>
      </c>
      <c r="AT1054" s="158"/>
      <c r="AU1054" s="158" t="b">
        <f>IF(AT1054="",TRUE,IF(VLOOKUP(AT1054,Calculs!$A$740:$G$912,7,FALSE)&gt;0,TRUE,FALSE))</f>
        <v>1</v>
      </c>
      <c r="AV1054" s="158" t="b">
        <f t="shared" si="116"/>
        <v>0</v>
      </c>
      <c r="AW1054" s="158" t="s">
        <v>2078</v>
      </c>
      <c r="AX1054" s="162" t="s">
        <v>6816</v>
      </c>
      <c r="AY1054" s="15">
        <v>131</v>
      </c>
      <c r="AZ1054" s="555" t="s">
        <v>7203</v>
      </c>
      <c r="BA1054" s="559">
        <f>IF(Verso!$B$10=Voies!$B1054,1,0)</f>
        <v>0</v>
      </c>
      <c r="BB1054" s="12">
        <f>IF(Verso!$B$11=Voies!$B1054,1,0)</f>
        <v>0</v>
      </c>
      <c r="BC1054" s="12">
        <f>IF(Verso!$B$12=Voies!$B1054,1,0)</f>
        <v>0</v>
      </c>
      <c r="BD1054" s="12">
        <f>IF(Verso!$B$13=Voies!$B1054,1,0)</f>
        <v>0</v>
      </c>
      <c r="BE1054" s="12">
        <f>IF(Verso!$B$14=Voies!$B1054,1,0)</f>
        <v>0</v>
      </c>
      <c r="BF1054" s="12">
        <f>IF(Verso!$B$15=Voies!$B1054,1,0)</f>
        <v>0</v>
      </c>
      <c r="BG1054" s="12">
        <f>IF(Verso!$B$16=Voies!$B1054,1,0)</f>
        <v>0</v>
      </c>
      <c r="BH1054" s="12">
        <f>IF(Verso!$B$17=Voies!$B1054,1,0)</f>
        <v>0</v>
      </c>
      <c r="BI1054" s="557">
        <f t="shared" si="117"/>
        <v>0</v>
      </c>
      <c r="BJ1054" s="196" t="str">
        <f t="shared" si="118"/>
        <v/>
      </c>
      <c r="BK1054" s="196" t="str">
        <f t="shared" si="119"/>
        <v/>
      </c>
      <c r="BL1054" s="295" t="str">
        <f t="shared" si="120"/>
        <v/>
      </c>
      <c r="BM1054" s="91"/>
    </row>
    <row r="1055" spans="1:65" ht="47.25" customHeight="1" x14ac:dyDescent="0.25">
      <c r="A1055" s="162" t="str">
        <f>IF(AND(Réputation&gt;Voies!E1055-1,OR(C1055=TRUE,Calculs!$I$8&gt;0),Air&gt;Voies!J1055-1,Eau&gt;Voies!K1055-1,Feu&gt;Voies!L1055-1,Terre&gt;Voies!M1055-1,Vide&gt;Voies!N1055-1,Constitution&gt;Voies!O1055-1,Volonté&gt;Voies!P1055-1,Force&gt;Voies!Q1055-1,Perception&gt;Voies!R1055-1,Reflexes&gt;Voies!S1055-1,Agilité&gt;Voies!T1055-1,Intuition&gt;Voies!U1055-1,Intelligence&gt;Voies!V1055-1,Souillure&gt;Voies!W1055-1,Honneur&gt;X1055-1,Statut&gt;Y1055-1,Gloire&gt;Z1055-1,AV1055=TRUE),Voies!B1055,"")</f>
        <v/>
      </c>
      <c r="B1055" s="162" t="s">
        <v>2980</v>
      </c>
      <c r="C1055" s="162" t="b">
        <f>IF(Clan=Voies!D1055,TRUE,FALSE)</f>
        <v>0</v>
      </c>
      <c r="D1055" s="388" t="s">
        <v>393</v>
      </c>
      <c r="E1055" s="13">
        <v>1</v>
      </c>
      <c r="F1055" s="199">
        <v>1</v>
      </c>
      <c r="G1055" s="13" t="s">
        <v>2049</v>
      </c>
      <c r="H1055" s="162" t="s">
        <v>409</v>
      </c>
      <c r="I1055" s="129" t="str">
        <f t="shared" ref="I1055:I1061" si="121">IF(B1055="","","Rien")</f>
        <v>Rien</v>
      </c>
      <c r="J1055" s="146">
        <v>0</v>
      </c>
      <c r="K1055" s="147">
        <v>0</v>
      </c>
      <c r="L1055" s="148">
        <v>0</v>
      </c>
      <c r="M1055" s="149">
        <v>0</v>
      </c>
      <c r="N1055" s="150">
        <v>0</v>
      </c>
      <c r="O1055" s="130">
        <v>0</v>
      </c>
      <c r="P1055" s="130">
        <v>0</v>
      </c>
      <c r="Q1055" s="130">
        <v>0</v>
      </c>
      <c r="R1055" s="130">
        <v>0</v>
      </c>
      <c r="S1055" s="130">
        <v>0</v>
      </c>
      <c r="T1055" s="130">
        <v>0</v>
      </c>
      <c r="U1055" s="130">
        <v>0</v>
      </c>
      <c r="V1055" s="524">
        <v>0</v>
      </c>
      <c r="W1055" s="130">
        <v>0</v>
      </c>
      <c r="X1055" s="130">
        <v>0</v>
      </c>
      <c r="Y1055" s="130">
        <v>0</v>
      </c>
      <c r="Z1055" s="130">
        <v>0</v>
      </c>
      <c r="AA1055" s="158" t="s">
        <v>2078</v>
      </c>
      <c r="AB1055" s="158"/>
      <c r="AC1055" s="158"/>
      <c r="AD1055" s="158"/>
      <c r="AE1055" s="158" t="b">
        <f>IF(AB1055="",TRUE,IF(IF(AC1055="",VLOOKUP(AB1055,Calculs!$A$19:$S$425,19,FALSE),VLOOKUP(AC1055,Calculs!$A$19:$S$425,19,FALSE))&gt;=AD1055,TRUE,FALSE))</f>
        <v>1</v>
      </c>
      <c r="AF1055" s="158"/>
      <c r="AG1055" s="158"/>
      <c r="AH1055" s="158"/>
      <c r="AI1055" s="158" t="b">
        <f>IF(AF1055="",TRUE,IF(IF(AG1055="",VLOOKUP(AF1055,Calculs!$A$19:$S$425,19,FALSE),VLOOKUP(AG1055,Calculs!$A$19:$S$425,19,FALSE))&gt;=AH1055,TRUE,FALSE))</f>
        <v>1</v>
      </c>
      <c r="AJ1055" s="158"/>
      <c r="AK1055" s="158"/>
      <c r="AL1055" s="158"/>
      <c r="AM1055" s="158" t="b">
        <f>IF(AJ1055="",TRUE,IF(IF(AK1055="",VLOOKUP(AJ1055,Calculs!$A$19:$S$425,19,FALSE),VLOOKUP(AK1055,Calculs!$A$19:$S$425,19,FALSE))&gt;=AL1055,TRUE,FALSE))</f>
        <v>1</v>
      </c>
      <c r="AN1055" s="158"/>
      <c r="AO1055" s="158"/>
      <c r="AP1055" s="158"/>
      <c r="AQ1055" s="158" t="b">
        <f>IF(AN1055="",TRUE,IF(IF(AO1055="",VLOOKUP(AN1055,Calculs!$A$19:$S$425,19,FALSE),VLOOKUP(AO1055,Calculs!$A$19:$S$425,19,FALSE))&gt;=AP1055,TRUE,FALSE))</f>
        <v>1</v>
      </c>
      <c r="AR1055" s="158"/>
      <c r="AS1055" s="158" t="b">
        <f>IF(AR1055="",TRUE,IF(VLOOKUP(AR1055,Calculs!$A$427:$G$738,7,FALSE)&gt;0,TRUE,FALSE))</f>
        <v>1</v>
      </c>
      <c r="AT1055" s="158"/>
      <c r="AU1055" s="158" t="b">
        <f>IF(AT1055="",TRUE,IF(VLOOKUP(AT1055,Calculs!$A$740:$G$912,7,FALSE)&gt;0,TRUE,FALSE))</f>
        <v>1</v>
      </c>
      <c r="AV1055" s="158" t="b">
        <f t="shared" si="116"/>
        <v>1</v>
      </c>
      <c r="AW1055" s="158" t="s">
        <v>2078</v>
      </c>
      <c r="AX1055" s="162" t="s">
        <v>2077</v>
      </c>
      <c r="AY1055" s="15">
        <v>276</v>
      </c>
      <c r="AZ1055" s="555" t="s">
        <v>8777</v>
      </c>
      <c r="BA1055" s="559">
        <f>IF(Verso!$B$10=Voies!$B1055,1,0)</f>
        <v>0</v>
      </c>
      <c r="BB1055" s="12">
        <f>IF(Verso!$B$11=Voies!$B1055,1,0)</f>
        <v>0</v>
      </c>
      <c r="BC1055" s="12">
        <f>IF(Verso!$B$12=Voies!$B1055,1,0)</f>
        <v>0</v>
      </c>
      <c r="BD1055" s="12">
        <f>IF(Verso!$B$13=Voies!$B1055,1,0)</f>
        <v>0</v>
      </c>
      <c r="BE1055" s="12">
        <f>IF(Verso!$B$14=Voies!$B1055,1,0)</f>
        <v>0</v>
      </c>
      <c r="BF1055" s="12">
        <f>IF(Verso!$B$15=Voies!$B1055,1,0)</f>
        <v>0</v>
      </c>
      <c r="BG1055" s="12">
        <f>IF(Verso!$B$16=Voies!$B1055,1,0)</f>
        <v>0</v>
      </c>
      <c r="BH1055" s="12">
        <f>IF(Verso!$B$17=Voies!$B1055,1,0)</f>
        <v>0</v>
      </c>
      <c r="BI1055" s="557">
        <f t="shared" si="117"/>
        <v>0</v>
      </c>
      <c r="BJ1055" s="196" t="str">
        <f t="shared" si="118"/>
        <v/>
      </c>
      <c r="BK1055" s="196" t="str">
        <f t="shared" si="119"/>
        <v/>
      </c>
      <c r="BL1055" s="295" t="str">
        <f t="shared" si="120"/>
        <v/>
      </c>
    </row>
    <row r="1056" spans="1:65" ht="47.25" customHeight="1" x14ac:dyDescent="0.25">
      <c r="A1056" s="162" t="str">
        <f>IF(AND(Réputation&gt;Voies!E1056-1,OR(C1056=TRUE,Calculs!$I$8&gt;0),Air&gt;Voies!J1056-1,Eau&gt;Voies!K1056-1,Feu&gt;Voies!L1056-1,Terre&gt;Voies!M1056-1,Vide&gt;Voies!N1056-1,Constitution&gt;Voies!O1056-1,Volonté&gt;Voies!P1056-1,Force&gt;Voies!Q1056-1,Perception&gt;Voies!R1056-1,Reflexes&gt;Voies!S1056-1,Agilité&gt;Voies!T1056-1,Intuition&gt;Voies!U1056-1,Intelligence&gt;Voies!V1056-1,Souillure&gt;Voies!W1056-1,Honneur&gt;X1056-1,Statut&gt;Y1056-1,Gloire&gt;Z1056-1,AV1056=TRUE),Voies!B1056,"")</f>
        <v/>
      </c>
      <c r="B1056" s="162" t="s">
        <v>2981</v>
      </c>
      <c r="C1056" s="162" t="b">
        <f>IF(Clan=Voies!D1056,TRUE,FALSE)</f>
        <v>0</v>
      </c>
      <c r="D1056" s="388" t="s">
        <v>393</v>
      </c>
      <c r="E1056" s="13">
        <v>2</v>
      </c>
      <c r="F1056" s="199">
        <v>2</v>
      </c>
      <c r="G1056" s="13" t="s">
        <v>2049</v>
      </c>
      <c r="H1056" s="162" t="s">
        <v>409</v>
      </c>
      <c r="I1056" s="129" t="str">
        <f t="shared" si="121"/>
        <v>Rien</v>
      </c>
      <c r="J1056" s="146">
        <v>0</v>
      </c>
      <c r="K1056" s="147">
        <v>0</v>
      </c>
      <c r="L1056" s="148">
        <v>0</v>
      </c>
      <c r="M1056" s="149">
        <v>0</v>
      </c>
      <c r="N1056" s="150">
        <v>0</v>
      </c>
      <c r="O1056" s="130">
        <v>0</v>
      </c>
      <c r="P1056" s="130">
        <v>0</v>
      </c>
      <c r="Q1056" s="130">
        <v>0</v>
      </c>
      <c r="R1056" s="130">
        <v>0</v>
      </c>
      <c r="S1056" s="130">
        <v>0</v>
      </c>
      <c r="T1056" s="130">
        <v>0</v>
      </c>
      <c r="U1056" s="130">
        <v>0</v>
      </c>
      <c r="V1056" s="524">
        <v>0</v>
      </c>
      <c r="W1056" s="130">
        <v>0</v>
      </c>
      <c r="X1056" s="130">
        <v>0</v>
      </c>
      <c r="Y1056" s="130">
        <v>0</v>
      </c>
      <c r="Z1056" s="130">
        <v>0</v>
      </c>
      <c r="AA1056" s="158" t="s">
        <v>2078</v>
      </c>
      <c r="AB1056" s="158"/>
      <c r="AC1056" s="158"/>
      <c r="AD1056" s="158"/>
      <c r="AE1056" s="158" t="b">
        <f>IF(AB1056="",TRUE,IF(IF(AC1056="",VLOOKUP(AB1056,Calculs!$A$19:$S$425,19,FALSE),VLOOKUP(AC1056,Calculs!$A$19:$S$425,19,FALSE))&gt;=AD1056,TRUE,FALSE))</f>
        <v>1</v>
      </c>
      <c r="AF1056" s="158"/>
      <c r="AG1056" s="158"/>
      <c r="AH1056" s="158"/>
      <c r="AI1056" s="158" t="b">
        <f>IF(AF1056="",TRUE,IF(IF(AG1056="",VLOOKUP(AF1056,Calculs!$A$19:$S$425,19,FALSE),VLOOKUP(AG1056,Calculs!$A$19:$S$425,19,FALSE))&gt;=AH1056,TRUE,FALSE))</f>
        <v>1</v>
      </c>
      <c r="AJ1056" s="158"/>
      <c r="AK1056" s="158"/>
      <c r="AL1056" s="158"/>
      <c r="AM1056" s="158" t="b">
        <f>IF(AJ1056="",TRUE,IF(IF(AK1056="",VLOOKUP(AJ1056,Calculs!$A$19:$S$425,19,FALSE),VLOOKUP(AK1056,Calculs!$A$19:$S$425,19,FALSE))&gt;=AL1056,TRUE,FALSE))</f>
        <v>1</v>
      </c>
      <c r="AN1056" s="158"/>
      <c r="AO1056" s="158"/>
      <c r="AP1056" s="158"/>
      <c r="AQ1056" s="158" t="b">
        <f>IF(AN1056="",TRUE,IF(IF(AO1056="",VLOOKUP(AN1056,Calculs!$A$19:$S$425,19,FALSE),VLOOKUP(AO1056,Calculs!$A$19:$S$425,19,FALSE))&gt;=AP1056,TRUE,FALSE))</f>
        <v>1</v>
      </c>
      <c r="AR1056" s="158"/>
      <c r="AS1056" s="158" t="b">
        <f>IF(AR1056="",TRUE,IF(VLOOKUP(AR1056,Calculs!$A$427:$G$738,7,FALSE)&gt;0,TRUE,FALSE))</f>
        <v>1</v>
      </c>
      <c r="AT1056" s="158"/>
      <c r="AU1056" s="158" t="b">
        <f>IF(AT1056="",TRUE,IF(VLOOKUP(AT1056,Calculs!$A$740:$G$912,7,FALSE)&gt;0,TRUE,FALSE))</f>
        <v>1</v>
      </c>
      <c r="AV1056" s="158" t="b">
        <f t="shared" si="116"/>
        <v>1</v>
      </c>
      <c r="AW1056" s="158" t="s">
        <v>2078</v>
      </c>
      <c r="AX1056" s="162" t="s">
        <v>2077</v>
      </c>
      <c r="AY1056" s="15">
        <v>276</v>
      </c>
      <c r="AZ1056" s="555" t="s">
        <v>2982</v>
      </c>
      <c r="BA1056" s="559">
        <f>IF(Verso!$B$10=Voies!$B1056,1,0)</f>
        <v>0</v>
      </c>
      <c r="BB1056" s="12">
        <f>IF(Verso!$B$11=Voies!$B1056,1,0)</f>
        <v>0</v>
      </c>
      <c r="BC1056" s="12">
        <f>IF(Verso!$B$12=Voies!$B1056,1,0)</f>
        <v>0</v>
      </c>
      <c r="BD1056" s="12">
        <f>IF(Verso!$B$13=Voies!$B1056,1,0)</f>
        <v>0</v>
      </c>
      <c r="BE1056" s="12">
        <f>IF(Verso!$B$14=Voies!$B1056,1,0)</f>
        <v>0</v>
      </c>
      <c r="BF1056" s="12">
        <f>IF(Verso!$B$15=Voies!$B1056,1,0)</f>
        <v>0</v>
      </c>
      <c r="BG1056" s="12">
        <f>IF(Verso!$B$16=Voies!$B1056,1,0)</f>
        <v>0</v>
      </c>
      <c r="BH1056" s="12">
        <f>IF(Verso!$B$17=Voies!$B1056,1,0)</f>
        <v>0</v>
      </c>
      <c r="BI1056" s="557">
        <f t="shared" si="117"/>
        <v>0</v>
      </c>
      <c r="BJ1056" s="196" t="str">
        <f t="shared" si="118"/>
        <v/>
      </c>
      <c r="BK1056" s="196" t="str">
        <f t="shared" si="119"/>
        <v/>
      </c>
      <c r="BL1056" s="295" t="str">
        <f t="shared" si="120"/>
        <v/>
      </c>
    </row>
    <row r="1057" spans="1:64" ht="47.25" customHeight="1" x14ac:dyDescent="0.25">
      <c r="A1057" s="162" t="str">
        <f>IF(AND(Réputation&gt;Voies!E1057-1,OR(C1057=TRUE,Calculs!$I$8&gt;0),Air&gt;Voies!J1057-1,Eau&gt;Voies!K1057-1,Feu&gt;Voies!L1057-1,Terre&gt;Voies!M1057-1,Vide&gt;Voies!N1057-1,Constitution&gt;Voies!O1057-1,Volonté&gt;Voies!P1057-1,Force&gt;Voies!Q1057-1,Perception&gt;Voies!R1057-1,Reflexes&gt;Voies!S1057-1,Agilité&gt;Voies!T1057-1,Intuition&gt;Voies!U1057-1,Intelligence&gt;Voies!V1057-1,Souillure&gt;Voies!W1057-1,Honneur&gt;X1057-1,Statut&gt;Y1057-1,Gloire&gt;Z1057-1,AV1057=TRUE),Voies!B1057,"")</f>
        <v/>
      </c>
      <c r="B1057" s="162" t="s">
        <v>2983</v>
      </c>
      <c r="C1057" s="162" t="b">
        <f>IF(Clan=Voies!D1057,TRUE,FALSE)</f>
        <v>0</v>
      </c>
      <c r="D1057" s="388" t="s">
        <v>393</v>
      </c>
      <c r="E1057" s="13">
        <v>3</v>
      </c>
      <c r="F1057" s="199">
        <v>3</v>
      </c>
      <c r="G1057" s="13" t="s">
        <v>2049</v>
      </c>
      <c r="H1057" s="162" t="s">
        <v>409</v>
      </c>
      <c r="I1057" s="129" t="str">
        <f t="shared" si="121"/>
        <v>Rien</v>
      </c>
      <c r="J1057" s="146">
        <v>0</v>
      </c>
      <c r="K1057" s="147">
        <v>0</v>
      </c>
      <c r="L1057" s="148">
        <v>0</v>
      </c>
      <c r="M1057" s="149">
        <v>0</v>
      </c>
      <c r="N1057" s="150">
        <v>0</v>
      </c>
      <c r="O1057" s="130">
        <v>0</v>
      </c>
      <c r="P1057" s="130">
        <v>0</v>
      </c>
      <c r="Q1057" s="130">
        <v>0</v>
      </c>
      <c r="R1057" s="130">
        <v>0</v>
      </c>
      <c r="S1057" s="130">
        <v>0</v>
      </c>
      <c r="T1057" s="130">
        <v>0</v>
      </c>
      <c r="U1057" s="130">
        <v>0</v>
      </c>
      <c r="V1057" s="524">
        <v>0</v>
      </c>
      <c r="W1057" s="130">
        <v>0</v>
      </c>
      <c r="X1057" s="130">
        <v>0</v>
      </c>
      <c r="Y1057" s="130">
        <v>0</v>
      </c>
      <c r="Z1057" s="130">
        <v>0</v>
      </c>
      <c r="AA1057" s="158" t="s">
        <v>2078</v>
      </c>
      <c r="AB1057" s="158"/>
      <c r="AC1057" s="158"/>
      <c r="AD1057" s="158"/>
      <c r="AE1057" s="158" t="b">
        <f>IF(AB1057="",TRUE,IF(IF(AC1057="",VLOOKUP(AB1057,Calculs!$A$19:$S$425,19,FALSE),VLOOKUP(AC1057,Calculs!$A$19:$S$425,19,FALSE))&gt;=AD1057,TRUE,FALSE))</f>
        <v>1</v>
      </c>
      <c r="AF1057" s="158"/>
      <c r="AG1057" s="158"/>
      <c r="AH1057" s="158"/>
      <c r="AI1057" s="158" t="b">
        <f>IF(AF1057="",TRUE,IF(IF(AG1057="",VLOOKUP(AF1057,Calculs!$A$19:$S$425,19,FALSE),VLOOKUP(AG1057,Calculs!$A$19:$S$425,19,FALSE))&gt;=AH1057,TRUE,FALSE))</f>
        <v>1</v>
      </c>
      <c r="AJ1057" s="158"/>
      <c r="AK1057" s="158"/>
      <c r="AL1057" s="158"/>
      <c r="AM1057" s="158" t="b">
        <f>IF(AJ1057="",TRUE,IF(IF(AK1057="",VLOOKUP(AJ1057,Calculs!$A$19:$S$425,19,FALSE),VLOOKUP(AK1057,Calculs!$A$19:$S$425,19,FALSE))&gt;=AL1057,TRUE,FALSE))</f>
        <v>1</v>
      </c>
      <c r="AN1057" s="158"/>
      <c r="AO1057" s="158"/>
      <c r="AP1057" s="158"/>
      <c r="AQ1057" s="158" t="b">
        <f>IF(AN1057="",TRUE,IF(IF(AO1057="",VLOOKUP(AN1057,Calculs!$A$19:$S$425,19,FALSE),VLOOKUP(AO1057,Calculs!$A$19:$S$425,19,FALSE))&gt;=AP1057,TRUE,FALSE))</f>
        <v>1</v>
      </c>
      <c r="AR1057" s="158"/>
      <c r="AS1057" s="158" t="b">
        <f>IF(AR1057="",TRUE,IF(VLOOKUP(AR1057,Calculs!$A$427:$G$738,7,FALSE)&gt;0,TRUE,FALSE))</f>
        <v>1</v>
      </c>
      <c r="AT1057" s="158"/>
      <c r="AU1057" s="158" t="b">
        <f>IF(AT1057="",TRUE,IF(VLOOKUP(AT1057,Calculs!$A$740:$G$912,7,FALSE)&gt;0,TRUE,FALSE))</f>
        <v>1</v>
      </c>
      <c r="AV1057" s="158" t="b">
        <f t="shared" si="116"/>
        <v>1</v>
      </c>
      <c r="AW1057" s="158" t="s">
        <v>2078</v>
      </c>
      <c r="AX1057" s="162" t="s">
        <v>2077</v>
      </c>
      <c r="AY1057" s="15">
        <v>276</v>
      </c>
      <c r="AZ1057" s="555" t="s">
        <v>2987</v>
      </c>
      <c r="BA1057" s="559">
        <f>IF(Verso!$B$10=Voies!$B1057,1,0)</f>
        <v>0</v>
      </c>
      <c r="BB1057" s="12">
        <f>IF(Verso!$B$11=Voies!$B1057,1,0)</f>
        <v>0</v>
      </c>
      <c r="BC1057" s="12">
        <f>IF(Verso!$B$12=Voies!$B1057,1,0)</f>
        <v>0</v>
      </c>
      <c r="BD1057" s="12">
        <f>IF(Verso!$B$13=Voies!$B1057,1,0)</f>
        <v>0</v>
      </c>
      <c r="BE1057" s="12">
        <f>IF(Verso!$B$14=Voies!$B1057,1,0)</f>
        <v>0</v>
      </c>
      <c r="BF1057" s="12">
        <f>IF(Verso!$B$15=Voies!$B1057,1,0)</f>
        <v>0</v>
      </c>
      <c r="BG1057" s="12">
        <f>IF(Verso!$B$16=Voies!$B1057,1,0)</f>
        <v>0</v>
      </c>
      <c r="BH1057" s="12">
        <f>IF(Verso!$B$17=Voies!$B1057,1,0)</f>
        <v>0</v>
      </c>
      <c r="BI1057" s="557">
        <f t="shared" si="117"/>
        <v>0</v>
      </c>
      <c r="BJ1057" s="196" t="str">
        <f t="shared" si="118"/>
        <v/>
      </c>
      <c r="BK1057" s="196" t="str">
        <f t="shared" si="119"/>
        <v/>
      </c>
      <c r="BL1057" s="295" t="str">
        <f t="shared" si="120"/>
        <v/>
      </c>
    </row>
    <row r="1058" spans="1:64" ht="47.25" customHeight="1" x14ac:dyDescent="0.25">
      <c r="A1058" s="162" t="str">
        <f>IF(AND(Réputation&gt;Voies!E1058-1,OR(C1058=TRUE,Calculs!$I$8&gt;0),Air&gt;Voies!J1058-1,Eau&gt;Voies!K1058-1,Feu&gt;Voies!L1058-1,Terre&gt;Voies!M1058-1,Vide&gt;Voies!N1058-1,Constitution&gt;Voies!O1058-1,Volonté&gt;Voies!P1058-1,Force&gt;Voies!Q1058-1,Perception&gt;Voies!R1058-1,Reflexes&gt;Voies!S1058-1,Agilité&gt;Voies!T1058-1,Intuition&gt;Voies!U1058-1,Intelligence&gt;Voies!V1058-1,Souillure&gt;Voies!W1058-1,Honneur&gt;X1058-1,Statut&gt;Y1058-1,Gloire&gt;Z1058-1,AV1058=TRUE),Voies!B1058,"")</f>
        <v/>
      </c>
      <c r="B1058" s="162" t="s">
        <v>2984</v>
      </c>
      <c r="C1058" s="162" t="b">
        <f>IF(Clan=Voies!D1058,TRUE,FALSE)</f>
        <v>0</v>
      </c>
      <c r="D1058" s="388" t="s">
        <v>393</v>
      </c>
      <c r="E1058" s="13">
        <v>4</v>
      </c>
      <c r="F1058" s="199">
        <v>4</v>
      </c>
      <c r="G1058" s="13" t="s">
        <v>2049</v>
      </c>
      <c r="H1058" s="162" t="s">
        <v>409</v>
      </c>
      <c r="I1058" s="129" t="str">
        <f t="shared" si="121"/>
        <v>Rien</v>
      </c>
      <c r="J1058" s="146">
        <v>0</v>
      </c>
      <c r="K1058" s="147">
        <v>0</v>
      </c>
      <c r="L1058" s="148">
        <v>0</v>
      </c>
      <c r="M1058" s="149">
        <v>0</v>
      </c>
      <c r="N1058" s="150">
        <v>0</v>
      </c>
      <c r="O1058" s="130">
        <v>0</v>
      </c>
      <c r="P1058" s="130">
        <v>0</v>
      </c>
      <c r="Q1058" s="130">
        <v>0</v>
      </c>
      <c r="R1058" s="130">
        <v>0</v>
      </c>
      <c r="S1058" s="130">
        <v>0</v>
      </c>
      <c r="T1058" s="130">
        <v>0</v>
      </c>
      <c r="U1058" s="130">
        <v>0</v>
      </c>
      <c r="V1058" s="524">
        <v>0</v>
      </c>
      <c r="W1058" s="130">
        <v>0</v>
      </c>
      <c r="X1058" s="130">
        <v>0</v>
      </c>
      <c r="Y1058" s="130">
        <v>0</v>
      </c>
      <c r="Z1058" s="130">
        <v>0</v>
      </c>
      <c r="AA1058" s="158" t="s">
        <v>2078</v>
      </c>
      <c r="AB1058" s="158"/>
      <c r="AC1058" s="158"/>
      <c r="AD1058" s="158"/>
      <c r="AE1058" s="158" t="b">
        <f>IF(AB1058="",TRUE,IF(IF(AC1058="",VLOOKUP(AB1058,Calculs!$A$19:$S$425,19,FALSE),VLOOKUP(AC1058,Calculs!$A$19:$S$425,19,FALSE))&gt;=AD1058,TRUE,FALSE))</f>
        <v>1</v>
      </c>
      <c r="AF1058" s="158"/>
      <c r="AG1058" s="158"/>
      <c r="AH1058" s="158"/>
      <c r="AI1058" s="158" t="b">
        <f>IF(AF1058="",TRUE,IF(IF(AG1058="",VLOOKUP(AF1058,Calculs!$A$19:$S$425,19,FALSE),VLOOKUP(AG1058,Calculs!$A$19:$S$425,19,FALSE))&gt;=AH1058,TRUE,FALSE))</f>
        <v>1</v>
      </c>
      <c r="AJ1058" s="158"/>
      <c r="AK1058" s="158"/>
      <c r="AL1058" s="158"/>
      <c r="AM1058" s="158" t="b">
        <f>IF(AJ1058="",TRUE,IF(IF(AK1058="",VLOOKUP(AJ1058,Calculs!$A$19:$S$425,19,FALSE),VLOOKUP(AK1058,Calculs!$A$19:$S$425,19,FALSE))&gt;=AL1058,TRUE,FALSE))</f>
        <v>1</v>
      </c>
      <c r="AN1058" s="158"/>
      <c r="AO1058" s="158"/>
      <c r="AP1058" s="158"/>
      <c r="AQ1058" s="158" t="b">
        <f>IF(AN1058="",TRUE,IF(IF(AO1058="",VLOOKUP(AN1058,Calculs!$A$19:$S$425,19,FALSE),VLOOKUP(AO1058,Calculs!$A$19:$S$425,19,FALSE))&gt;=AP1058,TRUE,FALSE))</f>
        <v>1</v>
      </c>
      <c r="AR1058" s="158"/>
      <c r="AS1058" s="158" t="b">
        <f>IF(AR1058="",TRUE,IF(VLOOKUP(AR1058,Calculs!$A$427:$G$738,7,FALSE)&gt;0,TRUE,FALSE))</f>
        <v>1</v>
      </c>
      <c r="AT1058" s="158"/>
      <c r="AU1058" s="158" t="b">
        <f>IF(AT1058="",TRUE,IF(VLOOKUP(AT1058,Calculs!$A$740:$G$912,7,FALSE)&gt;0,TRUE,FALSE))</f>
        <v>1</v>
      </c>
      <c r="AV1058" s="158" t="b">
        <f t="shared" si="116"/>
        <v>1</v>
      </c>
      <c r="AW1058" s="158" t="s">
        <v>2078</v>
      </c>
      <c r="AX1058" s="162" t="s">
        <v>2077</v>
      </c>
      <c r="AY1058" s="15">
        <v>276</v>
      </c>
      <c r="AZ1058" s="555" t="s">
        <v>8778</v>
      </c>
      <c r="BA1058" s="559">
        <f>IF(Verso!$B$10=Voies!$B1058,1,0)</f>
        <v>0</v>
      </c>
      <c r="BB1058" s="12">
        <f>IF(Verso!$B$11=Voies!$B1058,1,0)</f>
        <v>0</v>
      </c>
      <c r="BC1058" s="12">
        <f>IF(Verso!$B$12=Voies!$B1058,1,0)</f>
        <v>0</v>
      </c>
      <c r="BD1058" s="12">
        <f>IF(Verso!$B$13=Voies!$B1058,1,0)</f>
        <v>0</v>
      </c>
      <c r="BE1058" s="12">
        <f>IF(Verso!$B$14=Voies!$B1058,1,0)</f>
        <v>0</v>
      </c>
      <c r="BF1058" s="12">
        <f>IF(Verso!$B$15=Voies!$B1058,1,0)</f>
        <v>0</v>
      </c>
      <c r="BG1058" s="12">
        <f>IF(Verso!$B$16=Voies!$B1058,1,0)</f>
        <v>0</v>
      </c>
      <c r="BH1058" s="12">
        <f>IF(Verso!$B$17=Voies!$B1058,1,0)</f>
        <v>0</v>
      </c>
      <c r="BI1058" s="557">
        <f t="shared" si="117"/>
        <v>0</v>
      </c>
      <c r="BJ1058" s="196" t="str">
        <f t="shared" si="118"/>
        <v/>
      </c>
      <c r="BK1058" s="196" t="str">
        <f t="shared" si="119"/>
        <v/>
      </c>
      <c r="BL1058" s="295" t="str">
        <f t="shared" si="120"/>
        <v/>
      </c>
    </row>
    <row r="1059" spans="1:64" ht="47.25" customHeight="1" x14ac:dyDescent="0.25">
      <c r="A1059" s="162" t="str">
        <f>IF(AND(Réputation&gt;Voies!E1059-1,OR(C1059=TRUE,Calculs!$I$8&gt;0),Air&gt;Voies!J1059-1,Eau&gt;Voies!K1059-1,Feu&gt;Voies!L1059-1,Terre&gt;Voies!M1059-1,Vide&gt;Voies!N1059-1,Constitution&gt;Voies!O1059-1,Volonté&gt;Voies!P1059-1,Force&gt;Voies!Q1059-1,Perception&gt;Voies!R1059-1,Reflexes&gt;Voies!S1059-1,Agilité&gt;Voies!T1059-1,Intuition&gt;Voies!U1059-1,Intelligence&gt;Voies!V1059-1,Souillure&gt;Voies!W1059-1,Honneur&gt;X1059-1,Statut&gt;Y1059-1,Gloire&gt;Z1059-1,AV1059=TRUE),Voies!B1059,"")</f>
        <v/>
      </c>
      <c r="B1059" s="162" t="s">
        <v>2985</v>
      </c>
      <c r="C1059" s="162" t="b">
        <f>IF(Clan=Voies!D1059,TRUE,FALSE)</f>
        <v>0</v>
      </c>
      <c r="D1059" s="388" t="s">
        <v>393</v>
      </c>
      <c r="E1059" s="13">
        <v>5</v>
      </c>
      <c r="F1059" s="199">
        <v>5</v>
      </c>
      <c r="G1059" s="13" t="s">
        <v>2049</v>
      </c>
      <c r="H1059" s="162" t="s">
        <v>409</v>
      </c>
      <c r="I1059" s="129" t="str">
        <f t="shared" si="121"/>
        <v>Rien</v>
      </c>
      <c r="J1059" s="146">
        <v>0</v>
      </c>
      <c r="K1059" s="147">
        <v>0</v>
      </c>
      <c r="L1059" s="148">
        <v>0</v>
      </c>
      <c r="M1059" s="149">
        <v>0</v>
      </c>
      <c r="N1059" s="150">
        <v>0</v>
      </c>
      <c r="O1059" s="130">
        <v>0</v>
      </c>
      <c r="P1059" s="130">
        <v>0</v>
      </c>
      <c r="Q1059" s="130">
        <v>0</v>
      </c>
      <c r="R1059" s="130">
        <v>0</v>
      </c>
      <c r="S1059" s="130">
        <v>0</v>
      </c>
      <c r="T1059" s="130">
        <v>0</v>
      </c>
      <c r="U1059" s="130">
        <v>0</v>
      </c>
      <c r="V1059" s="524">
        <v>0</v>
      </c>
      <c r="W1059" s="130">
        <v>0</v>
      </c>
      <c r="X1059" s="130">
        <v>0</v>
      </c>
      <c r="Y1059" s="130">
        <v>0</v>
      </c>
      <c r="Z1059" s="130">
        <v>0</v>
      </c>
      <c r="AA1059" s="158" t="s">
        <v>2078</v>
      </c>
      <c r="AB1059" s="158"/>
      <c r="AC1059" s="158"/>
      <c r="AD1059" s="158"/>
      <c r="AE1059" s="158" t="b">
        <f>IF(AB1059="",TRUE,IF(IF(AC1059="",VLOOKUP(AB1059,Calculs!$A$19:$S$425,19,FALSE),VLOOKUP(AC1059,Calculs!$A$19:$S$425,19,FALSE))&gt;=AD1059,TRUE,FALSE))</f>
        <v>1</v>
      </c>
      <c r="AF1059" s="158"/>
      <c r="AG1059" s="158"/>
      <c r="AH1059" s="158"/>
      <c r="AI1059" s="158" t="b">
        <f>IF(AF1059="",TRUE,IF(IF(AG1059="",VLOOKUP(AF1059,Calculs!$A$19:$S$425,19,FALSE),VLOOKUP(AG1059,Calculs!$A$19:$S$425,19,FALSE))&gt;=AH1059,TRUE,FALSE))</f>
        <v>1</v>
      </c>
      <c r="AJ1059" s="158"/>
      <c r="AK1059" s="158"/>
      <c r="AL1059" s="158"/>
      <c r="AM1059" s="158" t="b">
        <f>IF(AJ1059="",TRUE,IF(IF(AK1059="",VLOOKUP(AJ1059,Calculs!$A$19:$S$425,19,FALSE),VLOOKUP(AK1059,Calculs!$A$19:$S$425,19,FALSE))&gt;=AL1059,TRUE,FALSE))</f>
        <v>1</v>
      </c>
      <c r="AN1059" s="158"/>
      <c r="AO1059" s="158"/>
      <c r="AP1059" s="158"/>
      <c r="AQ1059" s="158" t="b">
        <f>IF(AN1059="",TRUE,IF(IF(AO1059="",VLOOKUP(AN1059,Calculs!$A$19:$S$425,19,FALSE),VLOOKUP(AO1059,Calculs!$A$19:$S$425,19,FALSE))&gt;=AP1059,TRUE,FALSE))</f>
        <v>1</v>
      </c>
      <c r="AR1059" s="158"/>
      <c r="AS1059" s="158" t="b">
        <f>IF(AR1059="",TRUE,IF(VLOOKUP(AR1059,Calculs!$A$427:$G$738,7,FALSE)&gt;0,TRUE,FALSE))</f>
        <v>1</v>
      </c>
      <c r="AT1059" s="158"/>
      <c r="AU1059" s="158" t="b">
        <f>IF(AT1059="",TRUE,IF(VLOOKUP(AT1059,Calculs!$A$740:$G$912,7,FALSE)&gt;0,TRUE,FALSE))</f>
        <v>1</v>
      </c>
      <c r="AV1059" s="158" t="b">
        <f t="shared" si="116"/>
        <v>1</v>
      </c>
      <c r="AW1059" s="158" t="s">
        <v>2078</v>
      </c>
      <c r="AX1059" s="162" t="s">
        <v>2077</v>
      </c>
      <c r="AY1059" s="15">
        <v>276</v>
      </c>
      <c r="AZ1059" s="555" t="s">
        <v>2988</v>
      </c>
      <c r="BA1059" s="559">
        <f>IF(Verso!$B$10=Voies!$B1059,1,0)</f>
        <v>0</v>
      </c>
      <c r="BB1059" s="12">
        <f>IF(Verso!$B$11=Voies!$B1059,1,0)</f>
        <v>0</v>
      </c>
      <c r="BC1059" s="12">
        <f>IF(Verso!$B$12=Voies!$B1059,1,0)</f>
        <v>0</v>
      </c>
      <c r="BD1059" s="12">
        <f>IF(Verso!$B$13=Voies!$B1059,1,0)</f>
        <v>0</v>
      </c>
      <c r="BE1059" s="12">
        <f>IF(Verso!$B$14=Voies!$B1059,1,0)</f>
        <v>0</v>
      </c>
      <c r="BF1059" s="12">
        <f>IF(Verso!$B$15=Voies!$B1059,1,0)</f>
        <v>0</v>
      </c>
      <c r="BG1059" s="12">
        <f>IF(Verso!$B$16=Voies!$B1059,1,0)</f>
        <v>0</v>
      </c>
      <c r="BH1059" s="12">
        <f>IF(Verso!$B$17=Voies!$B1059,1,0)</f>
        <v>0</v>
      </c>
      <c r="BI1059" s="557">
        <f t="shared" si="117"/>
        <v>0</v>
      </c>
      <c r="BJ1059" s="196" t="str">
        <f t="shared" si="118"/>
        <v/>
      </c>
      <c r="BK1059" s="196" t="str">
        <f t="shared" si="119"/>
        <v/>
      </c>
      <c r="BL1059" s="295" t="str">
        <f t="shared" si="120"/>
        <v/>
      </c>
    </row>
    <row r="1060" spans="1:64" ht="47.25" customHeight="1" x14ac:dyDescent="0.25">
      <c r="A1060" s="162" t="str">
        <f>IF(AND(Réputation&gt;Voies!E1060-1,OR(C1060=TRUE,Calculs!$I$8&gt;0),Air&gt;Voies!J1060-1,Eau&gt;Voies!K1060-1,Feu&gt;Voies!L1060-1,Terre&gt;Voies!M1060-1,Vide&gt;Voies!N1060-1,Constitution&gt;Voies!O1060-1,Volonté&gt;Voies!P1060-1,Force&gt;Voies!Q1060-1,Perception&gt;Voies!R1060-1,Reflexes&gt;Voies!S1060-1,Agilité&gt;Voies!T1060-1,Intuition&gt;Voies!U1060-1,Intelligence&gt;Voies!V1060-1,Souillure&gt;Voies!W1060-1,Honneur&gt;X1060-1,Statut&gt;Y1060-1,Gloire&gt;Z1060-1,AV1060=TRUE),Voies!B1060,"")</f>
        <v/>
      </c>
      <c r="B1060" s="162" t="s">
        <v>2202</v>
      </c>
      <c r="C1060" s="162" t="b">
        <f>IF(Clan=Voies!D1060,TRUE,FALSE)</f>
        <v>0</v>
      </c>
      <c r="D1060" s="388" t="s">
        <v>340</v>
      </c>
      <c r="E1060" s="199">
        <v>1</v>
      </c>
      <c r="F1060" s="199">
        <v>1</v>
      </c>
      <c r="G1060" s="13" t="s">
        <v>2052</v>
      </c>
      <c r="H1060" s="162" t="s">
        <v>410</v>
      </c>
      <c r="I1060" s="129" t="str">
        <f t="shared" si="121"/>
        <v>Rien</v>
      </c>
      <c r="J1060" s="146">
        <v>0</v>
      </c>
      <c r="K1060" s="147">
        <v>0</v>
      </c>
      <c r="L1060" s="148">
        <v>0</v>
      </c>
      <c r="M1060" s="149">
        <v>0</v>
      </c>
      <c r="N1060" s="150">
        <v>0</v>
      </c>
      <c r="O1060" s="130">
        <v>0</v>
      </c>
      <c r="P1060" s="130">
        <v>0</v>
      </c>
      <c r="Q1060" s="130">
        <v>0</v>
      </c>
      <c r="R1060" s="130">
        <v>0</v>
      </c>
      <c r="S1060" s="130">
        <v>0</v>
      </c>
      <c r="T1060" s="130">
        <v>0</v>
      </c>
      <c r="U1060" s="130">
        <v>0</v>
      </c>
      <c r="V1060" s="524">
        <v>0</v>
      </c>
      <c r="W1060" s="130">
        <v>0</v>
      </c>
      <c r="X1060" s="130">
        <v>0</v>
      </c>
      <c r="Y1060" s="130">
        <v>0</v>
      </c>
      <c r="Z1060" s="130">
        <v>0</v>
      </c>
      <c r="AA1060" s="158" t="s">
        <v>2078</v>
      </c>
      <c r="AB1060" s="158"/>
      <c r="AC1060" s="158"/>
      <c r="AD1060" s="158"/>
      <c r="AE1060" s="158" t="b">
        <f>IF(AB1060="",TRUE,IF(IF(AC1060="",VLOOKUP(AB1060,Calculs!$A$19:$S$425,19,FALSE),VLOOKUP(AC1060,Calculs!$A$19:$S$425,19,FALSE))&gt;=AD1060,TRUE,FALSE))</f>
        <v>1</v>
      </c>
      <c r="AF1060" s="158"/>
      <c r="AG1060" s="158"/>
      <c r="AH1060" s="158"/>
      <c r="AI1060" s="158" t="b">
        <f>IF(AF1060="",TRUE,IF(IF(AG1060="",VLOOKUP(AF1060,Calculs!$A$19:$S$425,19,FALSE),VLOOKUP(AG1060,Calculs!$A$19:$S$425,19,FALSE))&gt;=AH1060,TRUE,FALSE))</f>
        <v>1</v>
      </c>
      <c r="AJ1060" s="158"/>
      <c r="AK1060" s="158"/>
      <c r="AL1060" s="158"/>
      <c r="AM1060" s="158" t="b">
        <f>IF(AJ1060="",TRUE,IF(IF(AK1060="",VLOOKUP(AJ1060,Calculs!$A$19:$S$425,19,FALSE),VLOOKUP(AK1060,Calculs!$A$19:$S$425,19,FALSE))&gt;=AL1060,TRUE,FALSE))</f>
        <v>1</v>
      </c>
      <c r="AN1060" s="158"/>
      <c r="AO1060" s="158"/>
      <c r="AP1060" s="158"/>
      <c r="AQ1060" s="158" t="b">
        <f>IF(AN1060="",TRUE,IF(IF(AO1060="",VLOOKUP(AN1060,Calculs!$A$19:$S$425,19,FALSE),VLOOKUP(AO1060,Calculs!$A$19:$S$425,19,FALSE))&gt;=AP1060,TRUE,FALSE))</f>
        <v>1</v>
      </c>
      <c r="AR1060" s="158"/>
      <c r="AS1060" s="158" t="b">
        <f>IF(AR1060="",TRUE,IF(VLOOKUP(AR1060,Calculs!$A$427:$G$738,7,FALSE)&gt;0,TRUE,FALSE))</f>
        <v>1</v>
      </c>
      <c r="AT1060" s="158"/>
      <c r="AU1060" s="158" t="b">
        <f>IF(AT1060="",TRUE,IF(VLOOKUP(AT1060,Calculs!$A$740:$G$912,7,FALSE)&gt;0,TRUE,FALSE))</f>
        <v>1</v>
      </c>
      <c r="AV1060" s="158" t="b">
        <f t="shared" si="116"/>
        <v>1</v>
      </c>
      <c r="AW1060" s="158" t="s">
        <v>2078</v>
      </c>
      <c r="AX1060" s="162" t="s">
        <v>3</v>
      </c>
      <c r="AY1060" s="15">
        <v>227</v>
      </c>
      <c r="AZ1060" s="555" t="s">
        <v>8779</v>
      </c>
      <c r="BA1060" s="559">
        <f>IF(Verso!$B$10=Voies!$B1060,1,0)</f>
        <v>0</v>
      </c>
      <c r="BB1060" s="12">
        <f>IF(Verso!$B$11=Voies!$B1060,1,0)</f>
        <v>0</v>
      </c>
      <c r="BC1060" s="12">
        <f>IF(Verso!$B$12=Voies!$B1060,1,0)</f>
        <v>0</v>
      </c>
      <c r="BD1060" s="12">
        <f>IF(Verso!$B$13=Voies!$B1060,1,0)</f>
        <v>0</v>
      </c>
      <c r="BE1060" s="12">
        <f>IF(Verso!$B$14=Voies!$B1060,1,0)</f>
        <v>0</v>
      </c>
      <c r="BF1060" s="12">
        <f>IF(Verso!$B$15=Voies!$B1060,1,0)</f>
        <v>0</v>
      </c>
      <c r="BG1060" s="12">
        <f>IF(Verso!$B$16=Voies!$B1060,1,0)</f>
        <v>0</v>
      </c>
      <c r="BH1060" s="12">
        <f>IF(Verso!$B$17=Voies!$B1060,1,0)</f>
        <v>0</v>
      </c>
      <c r="BI1060" s="557">
        <f t="shared" si="117"/>
        <v>0</v>
      </c>
      <c r="BJ1060" s="196" t="str">
        <f t="shared" si="118"/>
        <v/>
      </c>
      <c r="BK1060" s="196" t="str">
        <f t="shared" si="119"/>
        <v/>
      </c>
      <c r="BL1060" s="295" t="str">
        <f t="shared" si="120"/>
        <v/>
      </c>
    </row>
    <row r="1061" spans="1:64" ht="47.25" customHeight="1" x14ac:dyDescent="0.25">
      <c r="A1061" s="162" t="str">
        <f>IF(AND(Réputation&gt;Voies!E1061-1,OR(C1061=TRUE,Calculs!$I$8&gt;0),Air&gt;Voies!J1061-1,Eau&gt;Voies!K1061-1,Feu&gt;Voies!L1061-1,Terre&gt;Voies!M1061-1,Vide&gt;Voies!N1061-1,Constitution&gt;Voies!O1061-1,Volonté&gt;Voies!P1061-1,Force&gt;Voies!Q1061-1,Perception&gt;Voies!R1061-1,Reflexes&gt;Voies!S1061-1,Agilité&gt;Voies!T1061-1,Intuition&gt;Voies!U1061-1,Intelligence&gt;Voies!V1061-1,Souillure&gt;Voies!W1061-1,Honneur&gt;X1061-1,Statut&gt;Y1061-1,Gloire&gt;Z1061-1,AV1061=TRUE),Voies!B1061,"")</f>
        <v/>
      </c>
      <c r="B1061" s="162" t="s">
        <v>2203</v>
      </c>
      <c r="C1061" s="162" t="b">
        <f>IF(Clan=Voies!D1061,TRUE,FALSE)</f>
        <v>0</v>
      </c>
      <c r="D1061" s="388" t="s">
        <v>340</v>
      </c>
      <c r="E1061" s="199">
        <v>2</v>
      </c>
      <c r="F1061" s="199">
        <v>2</v>
      </c>
      <c r="G1061" s="13" t="s">
        <v>2052</v>
      </c>
      <c r="H1061" s="162" t="s">
        <v>410</v>
      </c>
      <c r="I1061" s="129" t="str">
        <f t="shared" si="121"/>
        <v>Rien</v>
      </c>
      <c r="J1061" s="146">
        <v>0</v>
      </c>
      <c r="K1061" s="147">
        <v>0</v>
      </c>
      <c r="L1061" s="148">
        <v>0</v>
      </c>
      <c r="M1061" s="149">
        <v>0</v>
      </c>
      <c r="N1061" s="150">
        <v>0</v>
      </c>
      <c r="O1061" s="130">
        <v>0</v>
      </c>
      <c r="P1061" s="130">
        <v>0</v>
      </c>
      <c r="Q1061" s="130">
        <v>0</v>
      </c>
      <c r="R1061" s="130">
        <v>0</v>
      </c>
      <c r="S1061" s="130">
        <v>0</v>
      </c>
      <c r="T1061" s="130">
        <v>0</v>
      </c>
      <c r="U1061" s="130">
        <v>0</v>
      </c>
      <c r="V1061" s="524">
        <v>0</v>
      </c>
      <c r="W1061" s="130">
        <v>0</v>
      </c>
      <c r="X1061" s="130">
        <v>0</v>
      </c>
      <c r="Y1061" s="130">
        <v>0</v>
      </c>
      <c r="Z1061" s="130">
        <v>0</v>
      </c>
      <c r="AA1061" s="158" t="s">
        <v>2078</v>
      </c>
      <c r="AB1061" s="158"/>
      <c r="AC1061" s="158"/>
      <c r="AD1061" s="158"/>
      <c r="AE1061" s="158" t="b">
        <f>IF(AB1061="",TRUE,IF(IF(AC1061="",VLOOKUP(AB1061,Calculs!$A$19:$S$425,19,FALSE),VLOOKUP(AC1061,Calculs!$A$19:$S$425,19,FALSE))&gt;=AD1061,TRUE,FALSE))</f>
        <v>1</v>
      </c>
      <c r="AF1061" s="158"/>
      <c r="AG1061" s="158"/>
      <c r="AH1061" s="158"/>
      <c r="AI1061" s="158" t="b">
        <f>IF(AF1061="",TRUE,IF(IF(AG1061="",VLOOKUP(AF1061,Calculs!$A$19:$S$425,19,FALSE),VLOOKUP(AG1061,Calculs!$A$19:$S$425,19,FALSE))&gt;=AH1061,TRUE,FALSE))</f>
        <v>1</v>
      </c>
      <c r="AJ1061" s="158"/>
      <c r="AK1061" s="158"/>
      <c r="AL1061" s="158"/>
      <c r="AM1061" s="158" t="b">
        <f>IF(AJ1061="",TRUE,IF(IF(AK1061="",VLOOKUP(AJ1061,Calculs!$A$19:$S$425,19,FALSE),VLOOKUP(AK1061,Calculs!$A$19:$S$425,19,FALSE))&gt;=AL1061,TRUE,FALSE))</f>
        <v>1</v>
      </c>
      <c r="AN1061" s="158"/>
      <c r="AO1061" s="158"/>
      <c r="AP1061" s="158"/>
      <c r="AQ1061" s="158" t="b">
        <f>IF(AN1061="",TRUE,IF(IF(AO1061="",VLOOKUP(AN1061,Calculs!$A$19:$S$425,19,FALSE),VLOOKUP(AO1061,Calculs!$A$19:$S$425,19,FALSE))&gt;=AP1061,TRUE,FALSE))</f>
        <v>1</v>
      </c>
      <c r="AR1061" s="158"/>
      <c r="AS1061" s="158" t="b">
        <f>IF(AR1061="",TRUE,IF(VLOOKUP(AR1061,Calculs!$A$427:$G$738,7,FALSE)&gt;0,TRUE,FALSE))</f>
        <v>1</v>
      </c>
      <c r="AT1061" s="158"/>
      <c r="AU1061" s="158" t="b">
        <f>IF(AT1061="",TRUE,IF(VLOOKUP(AT1061,Calculs!$A$740:$G$912,7,FALSE)&gt;0,TRUE,FALSE))</f>
        <v>1</v>
      </c>
      <c r="AV1061" s="158" t="b">
        <f t="shared" si="116"/>
        <v>1</v>
      </c>
      <c r="AW1061" s="158" t="s">
        <v>2078</v>
      </c>
      <c r="AX1061" s="162" t="s">
        <v>3</v>
      </c>
      <c r="AY1061" s="15">
        <v>227</v>
      </c>
      <c r="AZ1061" s="555" t="s">
        <v>2206</v>
      </c>
      <c r="BA1061" s="559">
        <f>IF(Verso!$B$10=Voies!$B1061,1,0)</f>
        <v>0</v>
      </c>
      <c r="BB1061" s="12">
        <f>IF(Verso!$B$11=Voies!$B1061,1,0)</f>
        <v>0</v>
      </c>
      <c r="BC1061" s="12">
        <f>IF(Verso!$B$12=Voies!$B1061,1,0)</f>
        <v>0</v>
      </c>
      <c r="BD1061" s="12">
        <f>IF(Verso!$B$13=Voies!$B1061,1,0)</f>
        <v>0</v>
      </c>
      <c r="BE1061" s="12">
        <f>IF(Verso!$B$14=Voies!$B1061,1,0)</f>
        <v>0</v>
      </c>
      <c r="BF1061" s="12">
        <f>IF(Verso!$B$15=Voies!$B1061,1,0)</f>
        <v>0</v>
      </c>
      <c r="BG1061" s="12">
        <f>IF(Verso!$B$16=Voies!$B1061,1,0)</f>
        <v>0</v>
      </c>
      <c r="BH1061" s="12">
        <f>IF(Verso!$B$17=Voies!$B1061,1,0)</f>
        <v>0</v>
      </c>
      <c r="BI1061" s="557">
        <f t="shared" si="117"/>
        <v>0</v>
      </c>
      <c r="BJ1061" s="196" t="str">
        <f t="shared" si="118"/>
        <v/>
      </c>
      <c r="BK1061" s="196" t="str">
        <f t="shared" si="119"/>
        <v/>
      </c>
      <c r="BL1061" s="295" t="str">
        <f t="shared" si="120"/>
        <v/>
      </c>
    </row>
    <row r="1062" spans="1:64" ht="47.25" customHeight="1" x14ac:dyDescent="0.25">
      <c r="A1062" s="162" t="str">
        <f>IF(AND(Réputation&gt;Voies!E1062-1,OR(C1062=TRUE,Calculs!$I$8&gt;0),Air&gt;Voies!J1062-1,Eau&gt;Voies!K1062-1,Feu&gt;Voies!L1062-1,Terre&gt;Voies!M1062-1,Vide&gt;Voies!N1062-1,Constitution&gt;Voies!O1062-1,Volonté&gt;Voies!P1062-1,Force&gt;Voies!Q1062-1,Perception&gt;Voies!R1062-1,Reflexes&gt;Voies!S1062-1,Agilité&gt;Voies!T1062-1,Intuition&gt;Voies!U1062-1,Intelligence&gt;Voies!V1062-1,Souillure&gt;Voies!W1062-1,Honneur&gt;X1062-1,Statut&gt;Y1062-1,Gloire&gt;Z1062-1,AV1062=TRUE),Voies!B1062,"")</f>
        <v/>
      </c>
      <c r="B1062" s="162" t="s">
        <v>3770</v>
      </c>
      <c r="C1062" s="162" t="b">
        <f>IF(Clan=Voies!D1062,TRUE,FALSE)</f>
        <v>0</v>
      </c>
      <c r="D1062" s="388" t="s">
        <v>340</v>
      </c>
      <c r="E1062" s="199">
        <v>3</v>
      </c>
      <c r="F1062" s="199">
        <v>3</v>
      </c>
      <c r="G1062" s="13" t="s">
        <v>2049</v>
      </c>
      <c r="H1062" s="162" t="s">
        <v>471</v>
      </c>
      <c r="I1062" s="128" t="s">
        <v>3768</v>
      </c>
      <c r="J1062" s="146">
        <v>0</v>
      </c>
      <c r="K1062" s="147">
        <v>0</v>
      </c>
      <c r="L1062" s="148">
        <v>0</v>
      </c>
      <c r="M1062" s="149">
        <v>0</v>
      </c>
      <c r="N1062" s="150">
        <v>0</v>
      </c>
      <c r="O1062" s="130">
        <v>0</v>
      </c>
      <c r="P1062" s="130">
        <v>0</v>
      </c>
      <c r="Q1062" s="130">
        <v>0</v>
      </c>
      <c r="R1062" s="130">
        <v>0</v>
      </c>
      <c r="S1062" s="130">
        <v>0</v>
      </c>
      <c r="T1062" s="130">
        <v>4</v>
      </c>
      <c r="U1062" s="130">
        <v>0</v>
      </c>
      <c r="V1062" s="524">
        <v>0</v>
      </c>
      <c r="W1062" s="130">
        <v>0</v>
      </c>
      <c r="X1062" s="130">
        <v>0</v>
      </c>
      <c r="Y1062" s="130">
        <v>0</v>
      </c>
      <c r="Z1062" s="130">
        <v>0</v>
      </c>
      <c r="AA1062" s="159" t="s">
        <v>3769</v>
      </c>
      <c r="AB1062" s="159" t="s">
        <v>1282</v>
      </c>
      <c r="AD1062" s="159">
        <v>3</v>
      </c>
      <c r="AE1062" s="158" t="b">
        <f>IF(AB1062="",TRUE,IF(IF(AC1062="",VLOOKUP(AB1062,Calculs!$A$19:$S$425,19,FALSE),VLOOKUP(AC1062,Calculs!$A$19:$S$425,19,FALSE))&gt;=AD1062,TRUE,FALSE))</f>
        <v>0</v>
      </c>
      <c r="AI1062" s="158" t="b">
        <f>IF(AF1062="",TRUE,IF(IF(AG1062="",VLOOKUP(AF1062,Calculs!$A$19:$S$425,19,FALSE),VLOOKUP(AG1062,Calculs!$A$19:$S$425,19,FALSE))&gt;=AH1062,TRUE,FALSE))</f>
        <v>1</v>
      </c>
      <c r="AM1062" s="158" t="b">
        <f>IF(AJ1062="",TRUE,IF(IF(AK1062="",VLOOKUP(AJ1062,Calculs!$A$19:$S$425,19,FALSE),VLOOKUP(AK1062,Calculs!$A$19:$S$425,19,FALSE))&gt;=AL1062,TRUE,FALSE))</f>
        <v>1</v>
      </c>
      <c r="AQ1062" s="158" t="b">
        <f>IF(AN1062="",TRUE,IF(IF(AO1062="",VLOOKUP(AN1062,Calculs!$A$19:$S$425,19,FALSE),VLOOKUP(AO1062,Calculs!$A$19:$S$425,19,FALSE))&gt;=AP1062,TRUE,FALSE))</f>
        <v>1</v>
      </c>
      <c r="AR1062" s="158"/>
      <c r="AS1062" s="158" t="b">
        <f>IF(AR1062="",TRUE,IF(VLOOKUP(AR1062,Calculs!$A$427:$G$738,7,FALSE)&gt;0,TRUE,FALSE))</f>
        <v>1</v>
      </c>
      <c r="AT1062" s="158"/>
      <c r="AU1062" s="158" t="b">
        <f>IF(AT1062="",TRUE,IF(VLOOKUP(AT1062,Calculs!$A$740:$G$912,7,FALSE)&gt;0,TRUE,FALSE))</f>
        <v>1</v>
      </c>
      <c r="AV1062" s="158" t="b">
        <f t="shared" si="116"/>
        <v>0</v>
      </c>
      <c r="AW1062" s="158" t="s">
        <v>2078</v>
      </c>
      <c r="AX1062" s="162" t="s">
        <v>2080</v>
      </c>
      <c r="AY1062" s="15">
        <v>239</v>
      </c>
      <c r="AZ1062" s="555" t="str">
        <f>CONCATENATE("Une fois par adversaire par combat, en faisant un jet d'attaque, dépensez des PVide pr que vos A pour les dommages donnent +1g1 plutôt que +1g0 aux Dommages. Vous ne pouvez pas déclarer plus de ",Vide," augmentations avec cette technique")</f>
        <v>Une fois par adversaire par combat, en faisant un jet d'attaque, dépensez des PVide pr que vos A pour les dommages donnent +1g1 plutôt que +1g0 aux Dommages. Vous ne pouvez pas déclarer plus de 2 augmentations avec cette technique</v>
      </c>
      <c r="BA1062" s="559">
        <f>IF(Verso!$B$10=Voies!$B1062,1,0)</f>
        <v>0</v>
      </c>
      <c r="BB1062" s="12">
        <f>IF(Verso!$B$11=Voies!$B1062,1,0)</f>
        <v>0</v>
      </c>
      <c r="BC1062" s="12">
        <f>IF(Verso!$B$12=Voies!$B1062,1,0)</f>
        <v>0</v>
      </c>
      <c r="BD1062" s="12">
        <f>IF(Verso!$B$13=Voies!$B1062,1,0)</f>
        <v>0</v>
      </c>
      <c r="BE1062" s="12">
        <f>IF(Verso!$B$14=Voies!$B1062,1,0)</f>
        <v>0</v>
      </c>
      <c r="BF1062" s="12">
        <f>IF(Verso!$B$15=Voies!$B1062,1,0)</f>
        <v>0</v>
      </c>
      <c r="BG1062" s="12">
        <f>IF(Verso!$B$16=Voies!$B1062,1,0)</f>
        <v>0</v>
      </c>
      <c r="BH1062" s="12">
        <f>IF(Verso!$B$17=Voies!$B1062,1,0)</f>
        <v>0</v>
      </c>
      <c r="BI1062" s="557">
        <f t="shared" si="117"/>
        <v>0</v>
      </c>
      <c r="BJ1062" s="196" t="str">
        <f t="shared" si="118"/>
        <v/>
      </c>
      <c r="BK1062" s="196" t="str">
        <f t="shared" si="119"/>
        <v/>
      </c>
      <c r="BL1062" s="295" t="str">
        <f t="shared" si="120"/>
        <v/>
      </c>
    </row>
    <row r="1063" spans="1:64" ht="47.25" customHeight="1" x14ac:dyDescent="0.25">
      <c r="A1063" s="162" t="str">
        <f>IF(AND(Réputation&gt;Voies!E1063-1,OR(C1063=TRUE,Calculs!$I$8&gt;0),Air&gt;Voies!J1063-1,Eau&gt;Voies!K1063-1,Feu&gt;Voies!L1063-1,Terre&gt;Voies!M1063-1,Vide&gt;Voies!N1063-1,Constitution&gt;Voies!O1063-1,Volonté&gt;Voies!P1063-1,Force&gt;Voies!Q1063-1,Perception&gt;Voies!R1063-1,Reflexes&gt;Voies!S1063-1,Agilité&gt;Voies!T1063-1,Intuition&gt;Voies!U1063-1,Intelligence&gt;Voies!V1063-1,Souillure&gt;Voies!W1063-1,Honneur&gt;X1063-1,Statut&gt;Y1063-1,Gloire&gt;Z1063-1,AV1063=TRUE),Voies!B1063,"")</f>
        <v/>
      </c>
      <c r="B1063" s="162" t="s">
        <v>5875</v>
      </c>
      <c r="C1063" s="162" t="b">
        <f>IF(Clan=Voies!D1063,TRUE,FALSE)</f>
        <v>0</v>
      </c>
      <c r="D1063" s="388" t="s">
        <v>340</v>
      </c>
      <c r="E1063" s="199">
        <v>3</v>
      </c>
      <c r="F1063" s="199">
        <v>3</v>
      </c>
      <c r="G1063" s="13" t="s">
        <v>2052</v>
      </c>
      <c r="H1063" s="162" t="s">
        <v>410</v>
      </c>
      <c r="I1063" s="129" t="str">
        <f>IF(B1063="","","Rien")</f>
        <v>Rien</v>
      </c>
      <c r="J1063" s="146">
        <v>0</v>
      </c>
      <c r="K1063" s="147">
        <v>0</v>
      </c>
      <c r="L1063" s="148">
        <v>0</v>
      </c>
      <c r="M1063" s="149">
        <v>0</v>
      </c>
      <c r="N1063" s="150">
        <v>0</v>
      </c>
      <c r="O1063" s="130">
        <v>0</v>
      </c>
      <c r="P1063" s="130">
        <v>0</v>
      </c>
      <c r="Q1063" s="130">
        <v>0</v>
      </c>
      <c r="R1063" s="130">
        <v>0</v>
      </c>
      <c r="S1063" s="130">
        <v>0</v>
      </c>
      <c r="T1063" s="130">
        <v>0</v>
      </c>
      <c r="U1063" s="130">
        <v>0</v>
      </c>
      <c r="V1063" s="524">
        <v>0</v>
      </c>
      <c r="W1063" s="130">
        <v>0</v>
      </c>
      <c r="X1063" s="130">
        <v>0</v>
      </c>
      <c r="Y1063" s="130">
        <v>0</v>
      </c>
      <c r="Z1063" s="130">
        <v>0</v>
      </c>
      <c r="AA1063" s="158" t="s">
        <v>2078</v>
      </c>
      <c r="AB1063" s="158"/>
      <c r="AC1063" s="158"/>
      <c r="AD1063" s="158"/>
      <c r="AE1063" s="158" t="b">
        <f>IF(AB1063="",TRUE,IF(IF(AC1063="",VLOOKUP(AB1063,Calculs!$A$19:$S$425,19,FALSE),VLOOKUP(AC1063,Calculs!$A$19:$S$425,19,FALSE))&gt;=AD1063,TRUE,FALSE))</f>
        <v>1</v>
      </c>
      <c r="AF1063" s="158"/>
      <c r="AG1063" s="158"/>
      <c r="AH1063" s="158"/>
      <c r="AI1063" s="158" t="b">
        <f>IF(AF1063="",TRUE,IF(IF(AG1063="",VLOOKUP(AF1063,Calculs!$A$19:$S$425,19,FALSE),VLOOKUP(AG1063,Calculs!$A$19:$S$425,19,FALSE))&gt;=AH1063,TRUE,FALSE))</f>
        <v>1</v>
      </c>
      <c r="AJ1063" s="158"/>
      <c r="AK1063" s="158"/>
      <c r="AL1063" s="158"/>
      <c r="AM1063" s="158" t="b">
        <f>IF(AJ1063="",TRUE,IF(IF(AK1063="",VLOOKUP(AJ1063,Calculs!$A$19:$S$425,19,FALSE),VLOOKUP(AK1063,Calculs!$A$19:$S$425,19,FALSE))&gt;=AL1063,TRUE,FALSE))</f>
        <v>1</v>
      </c>
      <c r="AN1063" s="158"/>
      <c r="AO1063" s="158"/>
      <c r="AP1063" s="158"/>
      <c r="AQ1063" s="158" t="b">
        <f>IF(AN1063="",TRUE,IF(IF(AO1063="",VLOOKUP(AN1063,Calculs!$A$19:$S$425,19,FALSE),VLOOKUP(AO1063,Calculs!$A$19:$S$425,19,FALSE))&gt;=AP1063,TRUE,FALSE))</f>
        <v>1</v>
      </c>
      <c r="AR1063" s="158"/>
      <c r="AS1063" s="158" t="b">
        <f>IF(AR1063="",TRUE,IF(VLOOKUP(AR1063,Calculs!$A$427:$G$738,7,FALSE)&gt;0,TRUE,FALSE))</f>
        <v>1</v>
      </c>
      <c r="AT1063" s="158"/>
      <c r="AU1063" s="158" t="b">
        <f>IF(AT1063="",TRUE,IF(VLOOKUP(AT1063,Calculs!$A$740:$G$912,7,FALSE)&gt;0,TRUE,FALSE))</f>
        <v>1</v>
      </c>
      <c r="AV1063" s="158" t="b">
        <f t="shared" si="116"/>
        <v>1</v>
      </c>
      <c r="AW1063" s="158" t="s">
        <v>2078</v>
      </c>
      <c r="AX1063" s="162" t="s">
        <v>3</v>
      </c>
      <c r="AY1063" s="15">
        <v>227</v>
      </c>
      <c r="AZ1063" s="566" t="s">
        <v>2207</v>
      </c>
      <c r="BA1063" s="559">
        <f>IF(Verso!$B$10=Voies!$B1063,1,0)</f>
        <v>0</v>
      </c>
      <c r="BB1063" s="12">
        <f>IF(Verso!$B$11=Voies!$B1063,1,0)</f>
        <v>0</v>
      </c>
      <c r="BC1063" s="12">
        <f>IF(Verso!$B$12=Voies!$B1063,1,0)</f>
        <v>0</v>
      </c>
      <c r="BD1063" s="12">
        <f>IF(Verso!$B$13=Voies!$B1063,1,0)</f>
        <v>0</v>
      </c>
      <c r="BE1063" s="12">
        <f>IF(Verso!$B$14=Voies!$B1063,1,0)</f>
        <v>0</v>
      </c>
      <c r="BF1063" s="12">
        <f>IF(Verso!$B$15=Voies!$B1063,1,0)</f>
        <v>0</v>
      </c>
      <c r="BG1063" s="12">
        <f>IF(Verso!$B$16=Voies!$B1063,1,0)</f>
        <v>0</v>
      </c>
      <c r="BH1063" s="12">
        <f>IF(Verso!$B$17=Voies!$B1063,1,0)</f>
        <v>0</v>
      </c>
      <c r="BI1063" s="557">
        <f t="shared" si="117"/>
        <v>0</v>
      </c>
      <c r="BJ1063" s="196" t="str">
        <f t="shared" si="118"/>
        <v/>
      </c>
      <c r="BK1063" s="196" t="str">
        <f t="shared" si="119"/>
        <v/>
      </c>
      <c r="BL1063" s="295" t="str">
        <f t="shared" si="120"/>
        <v/>
      </c>
    </row>
    <row r="1064" spans="1:64" ht="47.25" customHeight="1" x14ac:dyDescent="0.25">
      <c r="A1064" s="162" t="str">
        <f>IF(AND(Réputation&gt;Voies!E1064-1,OR(C1064=TRUE,Calculs!$I$8&gt;0),Air&gt;Voies!J1064-1,Eau&gt;Voies!K1064-1,Feu&gt;Voies!L1064-1,Terre&gt;Voies!M1064-1,Vide&gt;Voies!N1064-1,Constitution&gt;Voies!O1064-1,Volonté&gt;Voies!P1064-1,Force&gt;Voies!Q1064-1,Perception&gt;Voies!R1064-1,Reflexes&gt;Voies!S1064-1,Agilité&gt;Voies!T1064-1,Intuition&gt;Voies!U1064-1,Intelligence&gt;Voies!V1064-1,Souillure&gt;Voies!W1064-1,Honneur&gt;X1064-1,Statut&gt;Y1064-1,Gloire&gt;Z1064-1,AV1064=TRUE),Voies!B1064,"")</f>
        <v/>
      </c>
      <c r="B1064" s="162" t="s">
        <v>3669</v>
      </c>
      <c r="C1064" s="162" t="b">
        <f>IF(Clan=Voies!D1064,TRUE,FALSE)</f>
        <v>0</v>
      </c>
      <c r="D1064" s="388" t="s">
        <v>340</v>
      </c>
      <c r="E1064" s="13">
        <v>4</v>
      </c>
      <c r="F1064" s="199">
        <v>4</v>
      </c>
      <c r="G1064" s="13" t="s">
        <v>2049</v>
      </c>
      <c r="H1064" s="162" t="s">
        <v>470</v>
      </c>
      <c r="I1064" s="129" t="s">
        <v>3667</v>
      </c>
      <c r="J1064" s="146">
        <v>0</v>
      </c>
      <c r="K1064" s="147">
        <v>0</v>
      </c>
      <c r="L1064" s="148">
        <v>0</v>
      </c>
      <c r="M1064" s="149">
        <v>0</v>
      </c>
      <c r="N1064" s="150">
        <v>0</v>
      </c>
      <c r="O1064" s="130">
        <v>0</v>
      </c>
      <c r="P1064" s="130">
        <v>0</v>
      </c>
      <c r="Q1064" s="130">
        <v>3</v>
      </c>
      <c r="R1064" s="130">
        <v>0</v>
      </c>
      <c r="S1064" s="130">
        <v>0</v>
      </c>
      <c r="T1064" s="130">
        <v>0</v>
      </c>
      <c r="U1064" s="130">
        <v>0</v>
      </c>
      <c r="V1064" s="524">
        <v>0</v>
      </c>
      <c r="W1064" s="130">
        <v>0</v>
      </c>
      <c r="X1064" s="130">
        <v>0</v>
      </c>
      <c r="Y1064" s="130">
        <v>0</v>
      </c>
      <c r="Z1064" s="130">
        <v>0</v>
      </c>
      <c r="AA1064" s="159" t="s">
        <v>3668</v>
      </c>
      <c r="AE1064" s="158" t="b">
        <f>IF(AB1064="",TRUE,IF(IF(AC1064="",VLOOKUP(AB1064,Calculs!$A$19:$S$425,19,FALSE),VLOOKUP(AC1064,Calculs!$A$19:$S$425,19,FALSE))&gt;=AD1064,TRUE,FALSE))</f>
        <v>1</v>
      </c>
      <c r="AI1064" s="158" t="b">
        <f>IF(AF1064="",TRUE,IF(IF(AG1064="",VLOOKUP(AF1064,Calculs!$A$19:$S$425,19,FALSE),VLOOKUP(AG1064,Calculs!$A$19:$S$425,19,FALSE))&gt;=AH1064,TRUE,FALSE))</f>
        <v>1</v>
      </c>
      <c r="AM1064" s="158" t="b">
        <f>IF(AJ1064="",TRUE,IF(IF(AK1064="",VLOOKUP(AJ1064,Calculs!$A$19:$S$425,19,FALSE),VLOOKUP(AK1064,Calculs!$A$19:$S$425,19,FALSE))&gt;=AL1064,TRUE,FALSE))</f>
        <v>1</v>
      </c>
      <c r="AQ1064" s="158" t="b">
        <f>IF(AN1064="",TRUE,IF(IF(AO1064="",VLOOKUP(AN1064,Calculs!$A$19:$S$425,19,FALSE),VLOOKUP(AO1064,Calculs!$A$19:$S$425,19,FALSE))&gt;=AP1064,TRUE,FALSE))</f>
        <v>1</v>
      </c>
      <c r="AR1064" s="158"/>
      <c r="AS1064" s="158" t="b">
        <f>IF(AR1064="",TRUE,IF(VLOOKUP(AR1064,Calculs!$A$427:$G$738,7,FALSE)&gt;0,TRUE,FALSE))</f>
        <v>1</v>
      </c>
      <c r="AT1064" s="158"/>
      <c r="AU1064" s="158" t="b">
        <f>IF(AT1064="",TRUE,IF(VLOOKUP(AT1064,Calculs!$A$740:$G$912,7,FALSE)&gt;0,TRUE,FALSE))</f>
        <v>1</v>
      </c>
      <c r="AV1064" s="158" t="b">
        <f t="shared" si="116"/>
        <v>1</v>
      </c>
      <c r="AW1064" s="158" t="s">
        <v>2078</v>
      </c>
      <c r="AX1064" s="162" t="s">
        <v>2077</v>
      </c>
      <c r="AY1064" s="15">
        <v>97</v>
      </c>
      <c r="AZ1064" s="555" t="s">
        <v>3670</v>
      </c>
      <c r="BA1064" s="559">
        <f>IF(Verso!$B$10=Voies!$B1064,1,0)</f>
        <v>0</v>
      </c>
      <c r="BB1064" s="12">
        <f>IF(Verso!$B$11=Voies!$B1064,1,0)</f>
        <v>0</v>
      </c>
      <c r="BC1064" s="12">
        <f>IF(Verso!$B$12=Voies!$B1064,1,0)</f>
        <v>0</v>
      </c>
      <c r="BD1064" s="12">
        <f>IF(Verso!$B$13=Voies!$B1064,1,0)</f>
        <v>0</v>
      </c>
      <c r="BE1064" s="12">
        <f>IF(Verso!$B$14=Voies!$B1064,1,0)</f>
        <v>0</v>
      </c>
      <c r="BF1064" s="12">
        <f>IF(Verso!$B$15=Voies!$B1064,1,0)</f>
        <v>0</v>
      </c>
      <c r="BG1064" s="12">
        <f>IF(Verso!$B$16=Voies!$B1064,1,0)</f>
        <v>0</v>
      </c>
      <c r="BH1064" s="12">
        <f>IF(Verso!$B$17=Voies!$B1064,1,0)</f>
        <v>0</v>
      </c>
      <c r="BI1064" s="557">
        <f t="shared" si="117"/>
        <v>0</v>
      </c>
      <c r="BJ1064" s="196" t="str">
        <f t="shared" si="118"/>
        <v/>
      </c>
      <c r="BK1064" s="196" t="str">
        <f t="shared" si="119"/>
        <v/>
      </c>
      <c r="BL1064" s="295" t="str">
        <f t="shared" si="120"/>
        <v/>
      </c>
    </row>
    <row r="1065" spans="1:64" ht="47.25" customHeight="1" x14ac:dyDescent="0.25">
      <c r="A1065" s="162" t="str">
        <f>IF(AND(Réputation&gt;Voies!E1065-1,OR(C1065=TRUE,Calculs!$I$8&gt;0),Air&gt;Voies!J1065-1,Eau&gt;Voies!K1065-1,Feu&gt;Voies!L1065-1,Terre&gt;Voies!M1065-1,Vide&gt;Voies!N1065-1,Constitution&gt;Voies!O1065-1,Volonté&gt;Voies!P1065-1,Force&gt;Voies!Q1065-1,Perception&gt;Voies!R1065-1,Reflexes&gt;Voies!S1065-1,Agilité&gt;Voies!T1065-1,Intuition&gt;Voies!U1065-1,Intelligence&gt;Voies!V1065-1,Souillure&gt;Voies!W1065-1,Honneur&gt;X1065-1,Statut&gt;Y1065-1,Gloire&gt;Z1065-1,AV1065=TRUE),Voies!B1065,"")</f>
        <v/>
      </c>
      <c r="B1065" s="162" t="s">
        <v>2204</v>
      </c>
      <c r="C1065" s="162" t="b">
        <f>IF(Clan=Voies!D1065,TRUE,FALSE)</f>
        <v>0</v>
      </c>
      <c r="D1065" s="388" t="s">
        <v>340</v>
      </c>
      <c r="E1065" s="13">
        <v>4</v>
      </c>
      <c r="F1065" s="199">
        <v>4</v>
      </c>
      <c r="G1065" s="13" t="s">
        <v>2052</v>
      </c>
      <c r="H1065" s="162" t="s">
        <v>410</v>
      </c>
      <c r="I1065" s="129" t="str">
        <f t="shared" ref="I1065:I1072" si="122">IF(B1065="","","Rien")</f>
        <v>Rien</v>
      </c>
      <c r="J1065" s="146">
        <v>0</v>
      </c>
      <c r="K1065" s="147">
        <v>0</v>
      </c>
      <c r="L1065" s="148">
        <v>0</v>
      </c>
      <c r="M1065" s="149">
        <v>0</v>
      </c>
      <c r="N1065" s="150">
        <v>0</v>
      </c>
      <c r="O1065" s="130">
        <v>0</v>
      </c>
      <c r="P1065" s="130">
        <v>0</v>
      </c>
      <c r="Q1065" s="130">
        <v>0</v>
      </c>
      <c r="R1065" s="130">
        <v>0</v>
      </c>
      <c r="S1065" s="130">
        <v>0</v>
      </c>
      <c r="T1065" s="130">
        <v>0</v>
      </c>
      <c r="U1065" s="130">
        <v>0</v>
      </c>
      <c r="V1065" s="524">
        <v>0</v>
      </c>
      <c r="W1065" s="130">
        <v>0</v>
      </c>
      <c r="X1065" s="130">
        <v>0</v>
      </c>
      <c r="Y1065" s="130">
        <v>0</v>
      </c>
      <c r="Z1065" s="130">
        <v>0</v>
      </c>
      <c r="AA1065" s="158" t="s">
        <v>2078</v>
      </c>
      <c r="AB1065" s="158"/>
      <c r="AC1065" s="158"/>
      <c r="AD1065" s="158"/>
      <c r="AE1065" s="158" t="b">
        <f>IF(AB1065="",TRUE,IF(IF(AC1065="",VLOOKUP(AB1065,Calculs!$A$19:$S$425,19,FALSE),VLOOKUP(AC1065,Calculs!$A$19:$S$425,19,FALSE))&gt;=AD1065,TRUE,FALSE))</f>
        <v>1</v>
      </c>
      <c r="AF1065" s="158"/>
      <c r="AG1065" s="158"/>
      <c r="AH1065" s="158"/>
      <c r="AI1065" s="158" t="b">
        <f>IF(AF1065="",TRUE,IF(IF(AG1065="",VLOOKUP(AF1065,Calculs!$A$19:$S$425,19,FALSE),VLOOKUP(AG1065,Calculs!$A$19:$S$425,19,FALSE))&gt;=AH1065,TRUE,FALSE))</f>
        <v>1</v>
      </c>
      <c r="AJ1065" s="158"/>
      <c r="AK1065" s="158"/>
      <c r="AL1065" s="158"/>
      <c r="AM1065" s="158" t="b">
        <f>IF(AJ1065="",TRUE,IF(IF(AK1065="",VLOOKUP(AJ1065,Calculs!$A$19:$S$425,19,FALSE),VLOOKUP(AK1065,Calculs!$A$19:$S$425,19,FALSE))&gt;=AL1065,TRUE,FALSE))</f>
        <v>1</v>
      </c>
      <c r="AN1065" s="158"/>
      <c r="AO1065" s="158"/>
      <c r="AP1065" s="158"/>
      <c r="AQ1065" s="158" t="b">
        <f>IF(AN1065="",TRUE,IF(IF(AO1065="",VLOOKUP(AN1065,Calculs!$A$19:$S$425,19,FALSE),VLOOKUP(AO1065,Calculs!$A$19:$S$425,19,FALSE))&gt;=AP1065,TRUE,FALSE))</f>
        <v>1</v>
      </c>
      <c r="AR1065" s="158"/>
      <c r="AS1065" s="158" t="b">
        <f>IF(AR1065="",TRUE,IF(VLOOKUP(AR1065,Calculs!$A$427:$G$738,7,FALSE)&gt;0,TRUE,FALSE))</f>
        <v>1</v>
      </c>
      <c r="AT1065" s="158"/>
      <c r="AU1065" s="158" t="b">
        <f>IF(AT1065="",TRUE,IF(VLOOKUP(AT1065,Calculs!$A$740:$G$912,7,FALSE)&gt;0,TRUE,FALSE))</f>
        <v>1</v>
      </c>
      <c r="AV1065" s="158" t="b">
        <f t="shared" si="116"/>
        <v>1</v>
      </c>
      <c r="AW1065" s="158" t="s">
        <v>2078</v>
      </c>
      <c r="AX1065" s="162" t="s">
        <v>3</v>
      </c>
      <c r="AY1065" s="15">
        <v>227</v>
      </c>
      <c r="AZ1065" s="566" t="s">
        <v>2208</v>
      </c>
      <c r="BA1065" s="559">
        <f>IF(Verso!$B$10=Voies!$B1065,1,0)</f>
        <v>0</v>
      </c>
      <c r="BB1065" s="12">
        <f>IF(Verso!$B$11=Voies!$B1065,1,0)</f>
        <v>0</v>
      </c>
      <c r="BC1065" s="12">
        <f>IF(Verso!$B$12=Voies!$B1065,1,0)</f>
        <v>0</v>
      </c>
      <c r="BD1065" s="12">
        <f>IF(Verso!$B$13=Voies!$B1065,1,0)</f>
        <v>0</v>
      </c>
      <c r="BE1065" s="12">
        <f>IF(Verso!$B$14=Voies!$B1065,1,0)</f>
        <v>0</v>
      </c>
      <c r="BF1065" s="12">
        <f>IF(Verso!$B$15=Voies!$B1065,1,0)</f>
        <v>0</v>
      </c>
      <c r="BG1065" s="12">
        <f>IF(Verso!$B$16=Voies!$B1065,1,0)</f>
        <v>0</v>
      </c>
      <c r="BH1065" s="12">
        <f>IF(Verso!$B$17=Voies!$B1065,1,0)</f>
        <v>0</v>
      </c>
      <c r="BI1065" s="557">
        <f t="shared" si="117"/>
        <v>0</v>
      </c>
      <c r="BJ1065" s="196" t="str">
        <f t="shared" si="118"/>
        <v/>
      </c>
      <c r="BK1065" s="196" t="str">
        <f t="shared" si="119"/>
        <v/>
      </c>
      <c r="BL1065" s="295" t="str">
        <f t="shared" si="120"/>
        <v/>
      </c>
    </row>
    <row r="1066" spans="1:64" ht="47.25" customHeight="1" x14ac:dyDescent="0.25">
      <c r="A1066" s="162" t="str">
        <f>IF(AND(Réputation&gt;Voies!E1066-1,OR(C1066=TRUE,Calculs!$I$8&gt;0),Air&gt;Voies!J1066-1,Eau&gt;Voies!K1066-1,Feu&gt;Voies!L1066-1,Terre&gt;Voies!M1066-1,Vide&gt;Voies!N1066-1,Constitution&gt;Voies!O1066-1,Volonté&gt;Voies!P1066-1,Force&gt;Voies!Q1066-1,Perception&gt;Voies!R1066-1,Reflexes&gt;Voies!S1066-1,Agilité&gt;Voies!T1066-1,Intuition&gt;Voies!U1066-1,Intelligence&gt;Voies!V1066-1,Souillure&gt;Voies!W1066-1,Honneur&gt;X1066-1,Statut&gt;Y1066-1,Gloire&gt;Z1066-1,AV1066=TRUE),Voies!B1066,"")</f>
        <v/>
      </c>
      <c r="B1066" s="162" t="s">
        <v>2205</v>
      </c>
      <c r="C1066" s="162" t="b">
        <f>IF(Clan=Voies!D1066,TRUE,FALSE)</f>
        <v>0</v>
      </c>
      <c r="D1066" s="388" t="s">
        <v>340</v>
      </c>
      <c r="E1066" s="13">
        <v>5</v>
      </c>
      <c r="F1066" s="199">
        <v>5</v>
      </c>
      <c r="G1066" s="13" t="s">
        <v>2052</v>
      </c>
      <c r="H1066" s="162" t="s">
        <v>410</v>
      </c>
      <c r="I1066" s="129" t="str">
        <f t="shared" si="122"/>
        <v>Rien</v>
      </c>
      <c r="J1066" s="146">
        <v>0</v>
      </c>
      <c r="K1066" s="147">
        <v>0</v>
      </c>
      <c r="L1066" s="148">
        <v>0</v>
      </c>
      <c r="M1066" s="149">
        <v>0</v>
      </c>
      <c r="N1066" s="150">
        <v>0</v>
      </c>
      <c r="O1066" s="130">
        <v>0</v>
      </c>
      <c r="P1066" s="130">
        <v>0</v>
      </c>
      <c r="Q1066" s="130">
        <v>0</v>
      </c>
      <c r="R1066" s="130">
        <v>0</v>
      </c>
      <c r="S1066" s="130">
        <v>0</v>
      </c>
      <c r="T1066" s="130">
        <v>0</v>
      </c>
      <c r="U1066" s="130">
        <v>0</v>
      </c>
      <c r="V1066" s="524">
        <v>0</v>
      </c>
      <c r="W1066" s="130">
        <v>0</v>
      </c>
      <c r="X1066" s="130">
        <v>0</v>
      </c>
      <c r="Y1066" s="130">
        <v>0</v>
      </c>
      <c r="Z1066" s="130">
        <v>0</v>
      </c>
      <c r="AA1066" s="158" t="s">
        <v>2078</v>
      </c>
      <c r="AB1066" s="158"/>
      <c r="AC1066" s="158"/>
      <c r="AD1066" s="158"/>
      <c r="AE1066" s="158" t="b">
        <f>IF(AB1066="",TRUE,IF(IF(AC1066="",VLOOKUP(AB1066,Calculs!$A$19:$S$425,19,FALSE),VLOOKUP(AC1066,Calculs!$A$19:$S$425,19,FALSE))&gt;=AD1066,TRUE,FALSE))</f>
        <v>1</v>
      </c>
      <c r="AF1066" s="158"/>
      <c r="AG1066" s="158"/>
      <c r="AH1066" s="158"/>
      <c r="AI1066" s="158" t="b">
        <f>IF(AF1066="",TRUE,IF(IF(AG1066="",VLOOKUP(AF1066,Calculs!$A$19:$S$425,19,FALSE),VLOOKUP(AG1066,Calculs!$A$19:$S$425,19,FALSE))&gt;=AH1066,TRUE,FALSE))</f>
        <v>1</v>
      </c>
      <c r="AJ1066" s="158"/>
      <c r="AK1066" s="158"/>
      <c r="AL1066" s="158"/>
      <c r="AM1066" s="158" t="b">
        <f>IF(AJ1066="",TRUE,IF(IF(AK1066="",VLOOKUP(AJ1066,Calculs!$A$19:$S$425,19,FALSE),VLOOKUP(AK1066,Calculs!$A$19:$S$425,19,FALSE))&gt;=AL1066,TRUE,FALSE))</f>
        <v>1</v>
      </c>
      <c r="AN1066" s="158"/>
      <c r="AO1066" s="158"/>
      <c r="AP1066" s="158"/>
      <c r="AQ1066" s="158" t="b">
        <f>IF(AN1066="",TRUE,IF(IF(AO1066="",VLOOKUP(AN1066,Calculs!$A$19:$S$425,19,FALSE),VLOOKUP(AO1066,Calculs!$A$19:$S$425,19,FALSE))&gt;=AP1066,TRUE,FALSE))</f>
        <v>1</v>
      </c>
      <c r="AR1066" s="158"/>
      <c r="AS1066" s="158" t="b">
        <f>IF(AR1066="",TRUE,IF(VLOOKUP(AR1066,Calculs!$A$427:$G$738,7,FALSE)&gt;0,TRUE,FALSE))</f>
        <v>1</v>
      </c>
      <c r="AT1066" s="158"/>
      <c r="AU1066" s="158" t="b">
        <f>IF(AT1066="",TRUE,IF(VLOOKUP(AT1066,Calculs!$A$740:$G$912,7,FALSE)&gt;0,TRUE,FALSE))</f>
        <v>1</v>
      </c>
      <c r="AV1066" s="158" t="b">
        <f t="shared" si="116"/>
        <v>1</v>
      </c>
      <c r="AW1066" s="158" t="s">
        <v>2078</v>
      </c>
      <c r="AX1066" s="162" t="s">
        <v>3</v>
      </c>
      <c r="AY1066" s="15">
        <v>227</v>
      </c>
      <c r="AZ1066" s="555" t="str">
        <f>CONCATENATE("Vos bonus aux 7 compétences de cette Ecole ne sont plus limités par votre Vide. ",Vide," fois par session, vous pouvez gagner +5g0 à un test pour l'une de ces 7 compétences")</f>
        <v>Vos bonus aux 7 compétences de cette Ecole ne sont plus limités par votre Vide. 2 fois par session, vous pouvez gagner +5g0 à un test pour l'une de ces 7 compétences</v>
      </c>
      <c r="BA1066" s="559">
        <f>IF(Verso!$B$10=Voies!$B1066,1,0)</f>
        <v>0</v>
      </c>
      <c r="BB1066" s="12">
        <f>IF(Verso!$B$11=Voies!$B1066,1,0)</f>
        <v>0</v>
      </c>
      <c r="BC1066" s="12">
        <f>IF(Verso!$B$12=Voies!$B1066,1,0)</f>
        <v>0</v>
      </c>
      <c r="BD1066" s="12">
        <f>IF(Verso!$B$13=Voies!$B1066,1,0)</f>
        <v>0</v>
      </c>
      <c r="BE1066" s="12">
        <f>IF(Verso!$B$14=Voies!$B1066,1,0)</f>
        <v>0</v>
      </c>
      <c r="BF1066" s="12">
        <f>IF(Verso!$B$15=Voies!$B1066,1,0)</f>
        <v>0</v>
      </c>
      <c r="BG1066" s="12">
        <f>IF(Verso!$B$16=Voies!$B1066,1,0)</f>
        <v>0</v>
      </c>
      <c r="BH1066" s="12">
        <f>IF(Verso!$B$17=Voies!$B1066,1,0)</f>
        <v>0</v>
      </c>
      <c r="BI1066" s="557">
        <f t="shared" si="117"/>
        <v>0</v>
      </c>
      <c r="BJ1066" s="196" t="str">
        <f t="shared" si="118"/>
        <v/>
      </c>
      <c r="BK1066" s="196" t="str">
        <f t="shared" si="119"/>
        <v/>
      </c>
      <c r="BL1066" s="295" t="str">
        <f t="shared" si="120"/>
        <v/>
      </c>
    </row>
    <row r="1067" spans="1:64" ht="47.25" customHeight="1" x14ac:dyDescent="0.25">
      <c r="A1067" s="162" t="str">
        <f>IF(AND(Réputation&gt;Voies!E1067-1,OR(C1067=TRUE,Calculs!$I$8&gt;0),Air&gt;Voies!J1067-1,Eau&gt;Voies!K1067-1,Feu&gt;Voies!L1067-1,Terre&gt;Voies!M1067-1,Vide&gt;Voies!N1067-1,Constitution&gt;Voies!O1067-1,Volonté&gt;Voies!P1067-1,Force&gt;Voies!Q1067-1,Perception&gt;Voies!R1067-1,Reflexes&gt;Voies!S1067-1,Agilité&gt;Voies!T1067-1,Intuition&gt;Voies!U1067-1,Intelligence&gt;Voies!V1067-1,Souillure&gt;Voies!W1067-1,Honneur&gt;X1067-1,Statut&gt;Y1067-1,Gloire&gt;Z1067-1,AV1067=TRUE),Voies!B1067,"")</f>
        <v/>
      </c>
      <c r="B1067" s="162" t="s">
        <v>3072</v>
      </c>
      <c r="C1067" s="162" t="b">
        <f>IF(Clan=Voies!D1067,TRUE,FALSE)</f>
        <v>0</v>
      </c>
      <c r="D1067" s="388" t="s">
        <v>1941</v>
      </c>
      <c r="E1067" s="13">
        <v>1</v>
      </c>
      <c r="F1067" s="199">
        <v>1</v>
      </c>
      <c r="G1067" s="13" t="s">
        <v>2049</v>
      </c>
      <c r="H1067" s="162" t="s">
        <v>301</v>
      </c>
      <c r="I1067" s="129" t="str">
        <f t="shared" si="122"/>
        <v>Rien</v>
      </c>
      <c r="J1067" s="146">
        <v>0</v>
      </c>
      <c r="K1067" s="147">
        <v>0</v>
      </c>
      <c r="L1067" s="148">
        <v>0</v>
      </c>
      <c r="M1067" s="149">
        <v>0</v>
      </c>
      <c r="N1067" s="150">
        <v>0</v>
      </c>
      <c r="O1067" s="130">
        <v>0</v>
      </c>
      <c r="P1067" s="130">
        <v>0</v>
      </c>
      <c r="Q1067" s="130">
        <v>0</v>
      </c>
      <c r="R1067" s="130">
        <v>0</v>
      </c>
      <c r="S1067" s="130">
        <v>0</v>
      </c>
      <c r="T1067" s="130">
        <v>0</v>
      </c>
      <c r="U1067" s="130">
        <v>0</v>
      </c>
      <c r="V1067" s="524">
        <v>0</v>
      </c>
      <c r="W1067" s="130">
        <v>0</v>
      </c>
      <c r="X1067" s="130">
        <v>0</v>
      </c>
      <c r="Y1067" s="130">
        <v>0</v>
      </c>
      <c r="Z1067" s="130">
        <v>0</v>
      </c>
      <c r="AA1067" s="158" t="s">
        <v>2078</v>
      </c>
      <c r="AB1067" s="158"/>
      <c r="AC1067" s="158"/>
      <c r="AD1067" s="158"/>
      <c r="AE1067" s="158" t="b">
        <f>IF(AB1067="",TRUE,IF(IF(AC1067="",VLOOKUP(AB1067,Calculs!$A$19:$S$425,19,FALSE),VLOOKUP(AC1067,Calculs!$A$19:$S$425,19,FALSE))&gt;=AD1067,TRUE,FALSE))</f>
        <v>1</v>
      </c>
      <c r="AF1067" s="158"/>
      <c r="AG1067" s="158"/>
      <c r="AH1067" s="158"/>
      <c r="AI1067" s="158" t="b">
        <f>IF(AF1067="",TRUE,IF(IF(AG1067="",VLOOKUP(AF1067,Calculs!$A$19:$S$425,19,FALSE),VLOOKUP(AG1067,Calculs!$A$19:$S$425,19,FALSE))&gt;=AH1067,TRUE,FALSE))</f>
        <v>1</v>
      </c>
      <c r="AJ1067" s="158"/>
      <c r="AK1067" s="158"/>
      <c r="AL1067" s="158"/>
      <c r="AM1067" s="158" t="b">
        <f>IF(AJ1067="",TRUE,IF(IF(AK1067="",VLOOKUP(AJ1067,Calculs!$A$19:$S$425,19,FALSE),VLOOKUP(AK1067,Calculs!$A$19:$S$425,19,FALSE))&gt;=AL1067,TRUE,FALSE))</f>
        <v>1</v>
      </c>
      <c r="AN1067" s="158"/>
      <c r="AO1067" s="158"/>
      <c r="AP1067" s="158"/>
      <c r="AQ1067" s="158" t="b">
        <f>IF(AN1067="",TRUE,IF(IF(AO1067="",VLOOKUP(AN1067,Calculs!$A$19:$S$425,19,FALSE),VLOOKUP(AO1067,Calculs!$A$19:$S$425,19,FALSE))&gt;=AP1067,TRUE,FALSE))</f>
        <v>1</v>
      </c>
      <c r="AR1067" s="158"/>
      <c r="AS1067" s="158" t="b">
        <f>IF(AR1067="",TRUE,IF(VLOOKUP(AR1067,Calculs!$A$427:$G$738,7,FALSE)&gt;0,TRUE,FALSE))</f>
        <v>1</v>
      </c>
      <c r="AT1067" s="158"/>
      <c r="AU1067" s="158" t="b">
        <f>IF(AT1067="",TRUE,IF(VLOOKUP(AT1067,Calculs!$A$740:$G$912,7,FALSE)&gt;0,TRUE,FALSE))</f>
        <v>1</v>
      </c>
      <c r="AV1067" s="158" t="b">
        <f t="shared" si="116"/>
        <v>1</v>
      </c>
      <c r="AW1067" s="158" t="s">
        <v>2078</v>
      </c>
      <c r="AX1067" s="162" t="s">
        <v>2075</v>
      </c>
      <c r="AY1067" s="15">
        <v>189</v>
      </c>
      <c r="AZ1067" s="555" t="s">
        <v>8781</v>
      </c>
      <c r="BA1067" s="559">
        <f>IF(Verso!$B$10=Voies!$B1067,1,0)</f>
        <v>0</v>
      </c>
      <c r="BB1067" s="12">
        <f>IF(Verso!$B$11=Voies!$B1067,1,0)</f>
        <v>0</v>
      </c>
      <c r="BC1067" s="12">
        <f>IF(Verso!$B$12=Voies!$B1067,1,0)</f>
        <v>0</v>
      </c>
      <c r="BD1067" s="12">
        <f>IF(Verso!$B$13=Voies!$B1067,1,0)</f>
        <v>0</v>
      </c>
      <c r="BE1067" s="12">
        <f>IF(Verso!$B$14=Voies!$B1067,1,0)</f>
        <v>0</v>
      </c>
      <c r="BF1067" s="12">
        <f>IF(Verso!$B$15=Voies!$B1067,1,0)</f>
        <v>0</v>
      </c>
      <c r="BG1067" s="12">
        <f>IF(Verso!$B$16=Voies!$B1067,1,0)</f>
        <v>0</v>
      </c>
      <c r="BH1067" s="12">
        <f>IF(Verso!$B$17=Voies!$B1067,1,0)</f>
        <v>0</v>
      </c>
      <c r="BI1067" s="557">
        <f t="shared" si="117"/>
        <v>0</v>
      </c>
      <c r="BJ1067" s="196" t="str">
        <f t="shared" si="118"/>
        <v/>
      </c>
      <c r="BK1067" s="196" t="str">
        <f t="shared" si="119"/>
        <v/>
      </c>
      <c r="BL1067" s="295" t="str">
        <f t="shared" si="120"/>
        <v/>
      </c>
    </row>
    <row r="1068" spans="1:64" ht="47.25" customHeight="1" x14ac:dyDescent="0.25">
      <c r="A1068" s="162" t="str">
        <f>IF(AND(Réputation&gt;Voies!E1068-1,OR(C1068=TRUE,Calculs!$I$8&gt;0),Air&gt;Voies!J1068-1,Eau&gt;Voies!K1068-1,Feu&gt;Voies!L1068-1,Terre&gt;Voies!M1068-1,Vide&gt;Voies!N1068-1,Constitution&gt;Voies!O1068-1,Volonté&gt;Voies!P1068-1,Force&gt;Voies!Q1068-1,Perception&gt;Voies!R1068-1,Reflexes&gt;Voies!S1068-1,Agilité&gt;Voies!T1068-1,Intuition&gt;Voies!U1068-1,Intelligence&gt;Voies!V1068-1,Souillure&gt;Voies!W1068-1,Honneur&gt;X1068-1,Statut&gt;Y1068-1,Gloire&gt;Z1068-1,AV1068=TRUE),Voies!B1068,"")</f>
        <v/>
      </c>
      <c r="B1068" s="162" t="s">
        <v>3081</v>
      </c>
      <c r="C1068" s="162" t="b">
        <f>IF(Clan=Voies!D1068,TRUE,FALSE)</f>
        <v>0</v>
      </c>
      <c r="D1068" s="388" t="s">
        <v>1941</v>
      </c>
      <c r="E1068" s="13">
        <v>1</v>
      </c>
      <c r="F1068" s="199">
        <v>1</v>
      </c>
      <c r="G1068" s="13" t="s">
        <v>2048</v>
      </c>
      <c r="H1068" s="162" t="s">
        <v>586</v>
      </c>
      <c r="I1068" s="129" t="str">
        <f t="shared" si="122"/>
        <v>Rien</v>
      </c>
      <c r="J1068" s="146">
        <v>0</v>
      </c>
      <c r="K1068" s="147">
        <v>0</v>
      </c>
      <c r="L1068" s="148">
        <v>0</v>
      </c>
      <c r="M1068" s="149">
        <v>0</v>
      </c>
      <c r="N1068" s="150">
        <v>0</v>
      </c>
      <c r="O1068" s="130">
        <v>0</v>
      </c>
      <c r="P1068" s="130">
        <v>0</v>
      </c>
      <c r="Q1068" s="130">
        <v>0</v>
      </c>
      <c r="R1068" s="130">
        <v>0</v>
      </c>
      <c r="S1068" s="130">
        <v>0</v>
      </c>
      <c r="T1068" s="130">
        <v>0</v>
      </c>
      <c r="U1068" s="130">
        <v>0</v>
      </c>
      <c r="V1068" s="524">
        <v>0</v>
      </c>
      <c r="W1068" s="130">
        <v>0</v>
      </c>
      <c r="X1068" s="130">
        <v>0</v>
      </c>
      <c r="Y1068" s="130">
        <v>0</v>
      </c>
      <c r="Z1068" s="130">
        <v>0</v>
      </c>
      <c r="AA1068" s="158" t="s">
        <v>2078</v>
      </c>
      <c r="AB1068" s="158"/>
      <c r="AC1068" s="158"/>
      <c r="AD1068" s="158"/>
      <c r="AE1068" s="158" t="b">
        <f>IF(AB1068="",TRUE,IF(IF(AC1068="",VLOOKUP(AB1068,Calculs!$A$19:$S$425,19,FALSE),VLOOKUP(AC1068,Calculs!$A$19:$S$425,19,FALSE))&gt;=AD1068,TRUE,FALSE))</f>
        <v>1</v>
      </c>
      <c r="AF1068" s="158"/>
      <c r="AG1068" s="158"/>
      <c r="AH1068" s="158"/>
      <c r="AI1068" s="158" t="b">
        <f>IF(AF1068="",TRUE,IF(IF(AG1068="",VLOOKUP(AF1068,Calculs!$A$19:$S$425,19,FALSE),VLOOKUP(AG1068,Calculs!$A$19:$S$425,19,FALSE))&gt;=AH1068,TRUE,FALSE))</f>
        <v>1</v>
      </c>
      <c r="AJ1068" s="158"/>
      <c r="AK1068" s="158"/>
      <c r="AL1068" s="158"/>
      <c r="AM1068" s="158" t="b">
        <f>IF(AJ1068="",TRUE,IF(IF(AK1068="",VLOOKUP(AJ1068,Calculs!$A$19:$S$425,19,FALSE),VLOOKUP(AK1068,Calculs!$A$19:$S$425,19,FALSE))&gt;=AL1068,TRUE,FALSE))</f>
        <v>1</v>
      </c>
      <c r="AN1068" s="158"/>
      <c r="AO1068" s="158"/>
      <c r="AP1068" s="158"/>
      <c r="AQ1068" s="158" t="b">
        <f>IF(AN1068="",TRUE,IF(IF(AO1068="",VLOOKUP(AN1068,Calculs!$A$19:$S$425,19,FALSE),VLOOKUP(AO1068,Calculs!$A$19:$S$425,19,FALSE))&gt;=AP1068,TRUE,FALSE))</f>
        <v>1</v>
      </c>
      <c r="AR1068" s="158"/>
      <c r="AS1068" s="158" t="b">
        <f>IF(AR1068="",TRUE,IF(VLOOKUP(AR1068,Calculs!$A$427:$G$738,7,FALSE)&gt;0,TRUE,FALSE))</f>
        <v>1</v>
      </c>
      <c r="AT1068" s="158"/>
      <c r="AU1068" s="158" t="b">
        <f>IF(AT1068="",TRUE,IF(VLOOKUP(AT1068,Calculs!$A$740:$G$912,7,FALSE)&gt;0,TRUE,FALSE))</f>
        <v>1</v>
      </c>
      <c r="AV1068" s="158" t="b">
        <f t="shared" si="116"/>
        <v>1</v>
      </c>
      <c r="AW1068" s="158" t="s">
        <v>2078</v>
      </c>
      <c r="AX1068" s="162" t="s">
        <v>2075</v>
      </c>
      <c r="AY1068" s="15">
        <v>190</v>
      </c>
      <c r="AZ1068" s="555" t="s">
        <v>8782</v>
      </c>
      <c r="BA1068" s="559">
        <f>IF(Verso!$B$10=Voies!$B1068,1,0)</f>
        <v>0</v>
      </c>
      <c r="BB1068" s="12">
        <f>IF(Verso!$B$11=Voies!$B1068,1,0)</f>
        <v>0</v>
      </c>
      <c r="BC1068" s="12">
        <f>IF(Verso!$B$12=Voies!$B1068,1,0)</f>
        <v>0</v>
      </c>
      <c r="BD1068" s="12">
        <f>IF(Verso!$B$13=Voies!$B1068,1,0)</f>
        <v>0</v>
      </c>
      <c r="BE1068" s="12">
        <f>IF(Verso!$B$14=Voies!$B1068,1,0)</f>
        <v>0</v>
      </c>
      <c r="BF1068" s="12">
        <f>IF(Verso!$B$15=Voies!$B1068,1,0)</f>
        <v>0</v>
      </c>
      <c r="BG1068" s="12">
        <f>IF(Verso!$B$16=Voies!$B1068,1,0)</f>
        <v>0</v>
      </c>
      <c r="BH1068" s="12">
        <f>IF(Verso!$B$17=Voies!$B1068,1,0)</f>
        <v>0</v>
      </c>
      <c r="BI1068" s="557">
        <f t="shared" si="117"/>
        <v>0</v>
      </c>
      <c r="BJ1068" s="196" t="str">
        <f t="shared" si="118"/>
        <v/>
      </c>
      <c r="BK1068" s="196" t="str">
        <f t="shared" si="119"/>
        <v/>
      </c>
      <c r="BL1068" s="295" t="str">
        <f t="shared" si="120"/>
        <v/>
      </c>
    </row>
    <row r="1069" spans="1:64" ht="47.25" customHeight="1" x14ac:dyDescent="0.25">
      <c r="A1069" s="162" t="str">
        <f>IF(AND(Réputation&gt;Voies!E1069-1,OR(C1069=TRUE,Calculs!$I$8&gt;0),Air&gt;Voies!J1069-1,Eau&gt;Voies!K1069-1,Feu&gt;Voies!L1069-1,Terre&gt;Voies!M1069-1,Vide&gt;Voies!N1069-1,Constitution&gt;Voies!O1069-1,Volonté&gt;Voies!P1069-1,Force&gt;Voies!Q1069-1,Perception&gt;Voies!R1069-1,Reflexes&gt;Voies!S1069-1,Agilité&gt;Voies!T1069-1,Intuition&gt;Voies!U1069-1,Intelligence&gt;Voies!V1069-1,Souillure&gt;Voies!W1069-1,Honneur&gt;X1069-1,Statut&gt;Y1069-1,Gloire&gt;Z1069-1,AV1069=TRUE),Voies!B1069,"")</f>
        <v/>
      </c>
      <c r="B1069" s="162" t="s">
        <v>3073</v>
      </c>
      <c r="C1069" s="162" t="b">
        <f>IF(Clan=Voies!D1069,TRUE,FALSE)</f>
        <v>0</v>
      </c>
      <c r="D1069" s="388" t="s">
        <v>1941</v>
      </c>
      <c r="E1069" s="199">
        <v>2</v>
      </c>
      <c r="F1069" s="199">
        <v>2</v>
      </c>
      <c r="G1069" s="199" t="s">
        <v>2049</v>
      </c>
      <c r="H1069" s="162" t="s">
        <v>301</v>
      </c>
      <c r="I1069" s="129" t="str">
        <f t="shared" si="122"/>
        <v>Rien</v>
      </c>
      <c r="J1069" s="146">
        <v>0</v>
      </c>
      <c r="K1069" s="147">
        <v>0</v>
      </c>
      <c r="L1069" s="148">
        <v>0</v>
      </c>
      <c r="M1069" s="149">
        <v>0</v>
      </c>
      <c r="N1069" s="150">
        <v>0</v>
      </c>
      <c r="O1069" s="130">
        <v>0</v>
      </c>
      <c r="P1069" s="130">
        <v>0</v>
      </c>
      <c r="Q1069" s="130">
        <v>0</v>
      </c>
      <c r="R1069" s="130">
        <v>0</v>
      </c>
      <c r="S1069" s="130">
        <v>0</v>
      </c>
      <c r="T1069" s="130">
        <v>0</v>
      </c>
      <c r="U1069" s="130">
        <v>0</v>
      </c>
      <c r="V1069" s="524">
        <v>0</v>
      </c>
      <c r="W1069" s="130">
        <v>0</v>
      </c>
      <c r="X1069" s="130">
        <v>0</v>
      </c>
      <c r="Y1069" s="130">
        <v>0</v>
      </c>
      <c r="Z1069" s="130">
        <v>0</v>
      </c>
      <c r="AA1069" s="158" t="s">
        <v>2078</v>
      </c>
      <c r="AB1069" s="158"/>
      <c r="AC1069" s="158"/>
      <c r="AD1069" s="158"/>
      <c r="AE1069" s="158" t="b">
        <f>IF(AB1069="",TRUE,IF(IF(AC1069="",VLOOKUP(AB1069,Calculs!$A$19:$S$425,19,FALSE),VLOOKUP(AC1069,Calculs!$A$19:$S$425,19,FALSE))&gt;=AD1069,TRUE,FALSE))</f>
        <v>1</v>
      </c>
      <c r="AF1069" s="158"/>
      <c r="AG1069" s="158"/>
      <c r="AH1069" s="158"/>
      <c r="AI1069" s="158" t="b">
        <f>IF(AF1069="",TRUE,IF(IF(AG1069="",VLOOKUP(AF1069,Calculs!$A$19:$S$425,19,FALSE),VLOOKUP(AG1069,Calculs!$A$19:$S$425,19,FALSE))&gt;=AH1069,TRUE,FALSE))</f>
        <v>1</v>
      </c>
      <c r="AJ1069" s="158"/>
      <c r="AK1069" s="158"/>
      <c r="AL1069" s="158"/>
      <c r="AM1069" s="158" t="b">
        <f>IF(AJ1069="",TRUE,IF(IF(AK1069="",VLOOKUP(AJ1069,Calculs!$A$19:$S$425,19,FALSE),VLOOKUP(AK1069,Calculs!$A$19:$S$425,19,FALSE))&gt;=AL1069,TRUE,FALSE))</f>
        <v>1</v>
      </c>
      <c r="AN1069" s="158"/>
      <c r="AO1069" s="158"/>
      <c r="AP1069" s="158"/>
      <c r="AQ1069" s="158" t="b">
        <f>IF(AN1069="",TRUE,IF(IF(AO1069="",VLOOKUP(AN1069,Calculs!$A$19:$S$425,19,FALSE),VLOOKUP(AO1069,Calculs!$A$19:$S$425,19,FALSE))&gt;=AP1069,TRUE,FALSE))</f>
        <v>1</v>
      </c>
      <c r="AR1069" s="158"/>
      <c r="AS1069" s="158" t="b">
        <f>IF(AR1069="",TRUE,IF(VLOOKUP(AR1069,Calculs!$A$427:$G$738,7,FALSE)&gt;0,TRUE,FALSE))</f>
        <v>1</v>
      </c>
      <c r="AT1069" s="158"/>
      <c r="AU1069" s="158" t="b">
        <f>IF(AT1069="",TRUE,IF(VLOOKUP(AT1069,Calculs!$A$740:$G$912,7,FALSE)&gt;0,TRUE,FALSE))</f>
        <v>1</v>
      </c>
      <c r="AV1069" s="158" t="b">
        <f t="shared" si="116"/>
        <v>1</v>
      </c>
      <c r="AW1069" s="158" t="s">
        <v>2078</v>
      </c>
      <c r="AX1069" s="162" t="s">
        <v>2075</v>
      </c>
      <c r="AY1069" s="15">
        <v>189</v>
      </c>
      <c r="AZ1069" s="555" t="s">
        <v>8783</v>
      </c>
      <c r="BA1069" s="559">
        <f>IF(Verso!$B$10=Voies!$B1069,1,0)</f>
        <v>0</v>
      </c>
      <c r="BB1069" s="12">
        <f>IF(Verso!$B$11=Voies!$B1069,1,0)</f>
        <v>0</v>
      </c>
      <c r="BC1069" s="12">
        <f>IF(Verso!$B$12=Voies!$B1069,1,0)</f>
        <v>0</v>
      </c>
      <c r="BD1069" s="12">
        <f>IF(Verso!$B$13=Voies!$B1069,1,0)</f>
        <v>0</v>
      </c>
      <c r="BE1069" s="12">
        <f>IF(Verso!$B$14=Voies!$B1069,1,0)</f>
        <v>0</v>
      </c>
      <c r="BF1069" s="12">
        <f>IF(Verso!$B$15=Voies!$B1069,1,0)</f>
        <v>0</v>
      </c>
      <c r="BG1069" s="12">
        <f>IF(Verso!$B$16=Voies!$B1069,1,0)</f>
        <v>0</v>
      </c>
      <c r="BH1069" s="12">
        <f>IF(Verso!$B$17=Voies!$B1069,1,0)</f>
        <v>0</v>
      </c>
      <c r="BI1069" s="557">
        <f t="shared" si="117"/>
        <v>0</v>
      </c>
      <c r="BJ1069" s="196" t="str">
        <f t="shared" si="118"/>
        <v/>
      </c>
      <c r="BK1069" s="196" t="str">
        <f t="shared" si="119"/>
        <v/>
      </c>
      <c r="BL1069" s="295" t="str">
        <f t="shared" si="120"/>
        <v/>
      </c>
    </row>
    <row r="1070" spans="1:64" ht="47.25" customHeight="1" x14ac:dyDescent="0.25">
      <c r="A1070" s="162" t="str">
        <f>IF(AND(Réputation&gt;Voies!E1070-1,OR(C1070=TRUE,Calculs!$I$8&gt;0),Air&gt;Voies!J1070-1,Eau&gt;Voies!K1070-1,Feu&gt;Voies!L1070-1,Terre&gt;Voies!M1070-1,Vide&gt;Voies!N1070-1,Constitution&gt;Voies!O1070-1,Volonté&gt;Voies!P1070-1,Force&gt;Voies!Q1070-1,Perception&gt;Voies!R1070-1,Reflexes&gt;Voies!S1070-1,Agilité&gt;Voies!T1070-1,Intuition&gt;Voies!U1070-1,Intelligence&gt;Voies!V1070-1,Souillure&gt;Voies!W1070-1,Honneur&gt;X1070-1,Statut&gt;Y1070-1,Gloire&gt;Z1070-1,AV1070=TRUE),Voies!B1070,"")</f>
        <v/>
      </c>
      <c r="B1070" s="162" t="s">
        <v>3074</v>
      </c>
      <c r="C1070" s="162" t="b">
        <f>IF(Clan=Voies!D1070,TRUE,FALSE)</f>
        <v>0</v>
      </c>
      <c r="D1070" s="388" t="s">
        <v>1941</v>
      </c>
      <c r="E1070" s="199">
        <v>3</v>
      </c>
      <c r="F1070" s="199">
        <v>3</v>
      </c>
      <c r="G1070" s="13" t="s">
        <v>2049</v>
      </c>
      <c r="H1070" s="162" t="s">
        <v>301</v>
      </c>
      <c r="I1070" s="129" t="str">
        <f t="shared" si="122"/>
        <v>Rien</v>
      </c>
      <c r="J1070" s="146">
        <v>0</v>
      </c>
      <c r="K1070" s="147">
        <v>0</v>
      </c>
      <c r="L1070" s="148">
        <v>0</v>
      </c>
      <c r="M1070" s="149">
        <v>0</v>
      </c>
      <c r="N1070" s="150">
        <v>0</v>
      </c>
      <c r="O1070" s="130">
        <v>0</v>
      </c>
      <c r="P1070" s="130">
        <v>0</v>
      </c>
      <c r="Q1070" s="130">
        <v>0</v>
      </c>
      <c r="R1070" s="130">
        <v>0</v>
      </c>
      <c r="S1070" s="130">
        <v>0</v>
      </c>
      <c r="T1070" s="130">
        <v>0</v>
      </c>
      <c r="U1070" s="130">
        <v>0</v>
      </c>
      <c r="V1070" s="524">
        <v>0</v>
      </c>
      <c r="W1070" s="130">
        <v>0</v>
      </c>
      <c r="X1070" s="130">
        <v>0</v>
      </c>
      <c r="Y1070" s="130">
        <v>0</v>
      </c>
      <c r="Z1070" s="130">
        <v>0</v>
      </c>
      <c r="AA1070" s="158" t="s">
        <v>2078</v>
      </c>
      <c r="AB1070" s="158"/>
      <c r="AC1070" s="158"/>
      <c r="AD1070" s="158"/>
      <c r="AE1070" s="158" t="b">
        <f>IF(AB1070="",TRUE,IF(IF(AC1070="",VLOOKUP(AB1070,Calculs!$A$19:$S$425,19,FALSE),VLOOKUP(AC1070,Calculs!$A$19:$S$425,19,FALSE))&gt;=AD1070,TRUE,FALSE))</f>
        <v>1</v>
      </c>
      <c r="AF1070" s="158"/>
      <c r="AG1070" s="158"/>
      <c r="AH1070" s="158"/>
      <c r="AI1070" s="158" t="b">
        <f>IF(AF1070="",TRUE,IF(IF(AG1070="",VLOOKUP(AF1070,Calculs!$A$19:$S$425,19,FALSE),VLOOKUP(AG1070,Calculs!$A$19:$S$425,19,FALSE))&gt;=AH1070,TRUE,FALSE))</f>
        <v>1</v>
      </c>
      <c r="AJ1070" s="158"/>
      <c r="AK1070" s="158"/>
      <c r="AL1070" s="158"/>
      <c r="AM1070" s="158" t="b">
        <f>IF(AJ1070="",TRUE,IF(IF(AK1070="",VLOOKUP(AJ1070,Calculs!$A$19:$S$425,19,FALSE),VLOOKUP(AK1070,Calculs!$A$19:$S$425,19,FALSE))&gt;=AL1070,TRUE,FALSE))</f>
        <v>1</v>
      </c>
      <c r="AN1070" s="158"/>
      <c r="AO1070" s="158"/>
      <c r="AP1070" s="158"/>
      <c r="AQ1070" s="158" t="b">
        <f>IF(AN1070="",TRUE,IF(IF(AO1070="",VLOOKUP(AN1070,Calculs!$A$19:$S$425,19,FALSE),VLOOKUP(AO1070,Calculs!$A$19:$S$425,19,FALSE))&gt;=AP1070,TRUE,FALSE))</f>
        <v>1</v>
      </c>
      <c r="AR1070" s="158"/>
      <c r="AS1070" s="158" t="b">
        <f>IF(AR1070="",TRUE,IF(VLOOKUP(AR1070,Calculs!$A$427:$G$738,7,FALSE)&gt;0,TRUE,FALSE))</f>
        <v>1</v>
      </c>
      <c r="AT1070" s="158"/>
      <c r="AU1070" s="158" t="b">
        <f>IF(AT1070="",TRUE,IF(VLOOKUP(AT1070,Calculs!$A$740:$G$912,7,FALSE)&gt;0,TRUE,FALSE))</f>
        <v>1</v>
      </c>
      <c r="AV1070" s="158" t="b">
        <f t="shared" si="116"/>
        <v>1</v>
      </c>
      <c r="AW1070" s="158" t="s">
        <v>2078</v>
      </c>
      <c r="AX1070" s="162" t="s">
        <v>2075</v>
      </c>
      <c r="AY1070" s="15">
        <v>189</v>
      </c>
      <c r="AZ1070" s="555" t="s">
        <v>2682</v>
      </c>
      <c r="BA1070" s="559">
        <f>IF(Verso!$B$10=Voies!$B1070,1,0)</f>
        <v>0</v>
      </c>
      <c r="BB1070" s="12">
        <f>IF(Verso!$B$11=Voies!$B1070,1,0)</f>
        <v>0</v>
      </c>
      <c r="BC1070" s="12">
        <f>IF(Verso!$B$12=Voies!$B1070,1,0)</f>
        <v>0</v>
      </c>
      <c r="BD1070" s="12">
        <f>IF(Verso!$B$13=Voies!$B1070,1,0)</f>
        <v>0</v>
      </c>
      <c r="BE1070" s="12">
        <f>IF(Verso!$B$14=Voies!$B1070,1,0)</f>
        <v>0</v>
      </c>
      <c r="BF1070" s="12">
        <f>IF(Verso!$B$15=Voies!$B1070,1,0)</f>
        <v>0</v>
      </c>
      <c r="BG1070" s="12">
        <f>IF(Verso!$B$16=Voies!$B1070,1,0)</f>
        <v>0</v>
      </c>
      <c r="BH1070" s="12">
        <f>IF(Verso!$B$17=Voies!$B1070,1,0)</f>
        <v>0</v>
      </c>
      <c r="BI1070" s="557">
        <f t="shared" si="117"/>
        <v>0</v>
      </c>
      <c r="BJ1070" s="196" t="str">
        <f t="shared" si="118"/>
        <v/>
      </c>
      <c r="BK1070" s="196" t="str">
        <f t="shared" si="119"/>
        <v/>
      </c>
      <c r="BL1070" s="295" t="str">
        <f t="shared" si="120"/>
        <v/>
      </c>
    </row>
    <row r="1071" spans="1:64" ht="47.25" customHeight="1" x14ac:dyDescent="0.25">
      <c r="A1071" s="162" t="str">
        <f>IF(AND(Réputation&gt;Voies!E1071-1,OR(C1071=TRUE,Calculs!$I$8&gt;0),Air&gt;Voies!J1071-1,Eau&gt;Voies!K1071-1,Feu&gt;Voies!L1071-1,Terre&gt;Voies!M1071-1,Vide&gt;Voies!N1071-1,Constitution&gt;Voies!O1071-1,Volonté&gt;Voies!P1071-1,Force&gt;Voies!Q1071-1,Perception&gt;Voies!R1071-1,Reflexes&gt;Voies!S1071-1,Agilité&gt;Voies!T1071-1,Intuition&gt;Voies!U1071-1,Intelligence&gt;Voies!V1071-1,Souillure&gt;Voies!W1071-1,Honneur&gt;X1071-1,Statut&gt;Y1071-1,Gloire&gt;Z1071-1,AV1071=TRUE),Voies!B1071,"")</f>
        <v/>
      </c>
      <c r="B1071" s="162" t="s">
        <v>3075</v>
      </c>
      <c r="C1071" s="162" t="b">
        <f>IF(Clan=Voies!D1071,TRUE,FALSE)</f>
        <v>0</v>
      </c>
      <c r="D1071" s="388" t="s">
        <v>1941</v>
      </c>
      <c r="E1071" s="199">
        <v>4</v>
      </c>
      <c r="F1071" s="199">
        <v>4</v>
      </c>
      <c r="G1071" s="199" t="s">
        <v>2049</v>
      </c>
      <c r="H1071" s="162" t="s">
        <v>301</v>
      </c>
      <c r="I1071" s="129" t="str">
        <f t="shared" si="122"/>
        <v>Rien</v>
      </c>
      <c r="J1071" s="146">
        <v>0</v>
      </c>
      <c r="K1071" s="147">
        <v>0</v>
      </c>
      <c r="L1071" s="148">
        <v>0</v>
      </c>
      <c r="M1071" s="149">
        <v>0</v>
      </c>
      <c r="N1071" s="150">
        <v>0</v>
      </c>
      <c r="O1071" s="130">
        <v>0</v>
      </c>
      <c r="P1071" s="130">
        <v>0</v>
      </c>
      <c r="Q1071" s="130">
        <v>0</v>
      </c>
      <c r="R1071" s="130">
        <v>0</v>
      </c>
      <c r="S1071" s="130">
        <v>0</v>
      </c>
      <c r="T1071" s="130">
        <v>0</v>
      </c>
      <c r="U1071" s="130">
        <v>0</v>
      </c>
      <c r="V1071" s="524">
        <v>0</v>
      </c>
      <c r="W1071" s="130">
        <v>0</v>
      </c>
      <c r="X1071" s="130">
        <v>0</v>
      </c>
      <c r="Y1071" s="130">
        <v>0</v>
      </c>
      <c r="Z1071" s="130">
        <v>0</v>
      </c>
      <c r="AA1071" s="158" t="s">
        <v>2078</v>
      </c>
      <c r="AB1071" s="158"/>
      <c r="AC1071" s="158"/>
      <c r="AD1071" s="158"/>
      <c r="AE1071" s="158" t="b">
        <f>IF(AB1071="",TRUE,IF(IF(AC1071="",VLOOKUP(AB1071,Calculs!$A$19:$S$425,19,FALSE),VLOOKUP(AC1071,Calculs!$A$19:$S$425,19,FALSE))&gt;=AD1071,TRUE,FALSE))</f>
        <v>1</v>
      </c>
      <c r="AF1071" s="158"/>
      <c r="AG1071" s="158"/>
      <c r="AH1071" s="158"/>
      <c r="AI1071" s="158" t="b">
        <f>IF(AF1071="",TRUE,IF(IF(AG1071="",VLOOKUP(AF1071,Calculs!$A$19:$S$425,19,FALSE),VLOOKUP(AG1071,Calculs!$A$19:$S$425,19,FALSE))&gt;=AH1071,TRUE,FALSE))</f>
        <v>1</v>
      </c>
      <c r="AJ1071" s="158"/>
      <c r="AK1071" s="158"/>
      <c r="AL1071" s="158"/>
      <c r="AM1071" s="158" t="b">
        <f>IF(AJ1071="",TRUE,IF(IF(AK1071="",VLOOKUP(AJ1071,Calculs!$A$19:$S$425,19,FALSE),VLOOKUP(AK1071,Calculs!$A$19:$S$425,19,FALSE))&gt;=AL1071,TRUE,FALSE))</f>
        <v>1</v>
      </c>
      <c r="AN1071" s="158"/>
      <c r="AO1071" s="158"/>
      <c r="AP1071" s="158"/>
      <c r="AQ1071" s="158" t="b">
        <f>IF(AN1071="",TRUE,IF(IF(AO1071="",VLOOKUP(AN1071,Calculs!$A$19:$S$425,19,FALSE),VLOOKUP(AO1071,Calculs!$A$19:$S$425,19,FALSE))&gt;=AP1071,TRUE,FALSE))</f>
        <v>1</v>
      </c>
      <c r="AR1071" s="158"/>
      <c r="AS1071" s="158" t="b">
        <f>IF(AR1071="",TRUE,IF(VLOOKUP(AR1071,Calculs!$A$427:$G$738,7,FALSE)&gt;0,TRUE,FALSE))</f>
        <v>1</v>
      </c>
      <c r="AT1071" s="158"/>
      <c r="AU1071" s="158" t="b">
        <f>IF(AT1071="",TRUE,IF(VLOOKUP(AT1071,Calculs!$A$740:$G$912,7,FALSE)&gt;0,TRUE,FALSE))</f>
        <v>1</v>
      </c>
      <c r="AV1071" s="158" t="b">
        <f t="shared" si="116"/>
        <v>1</v>
      </c>
      <c r="AW1071" s="158" t="s">
        <v>2078</v>
      </c>
      <c r="AX1071" s="162" t="s">
        <v>2075</v>
      </c>
      <c r="AY1071" s="15">
        <v>189</v>
      </c>
      <c r="AZ1071" s="555" t="s">
        <v>8784</v>
      </c>
      <c r="BA1071" s="559">
        <f>IF(Verso!$B$10=Voies!$B1071,1,0)</f>
        <v>0</v>
      </c>
      <c r="BB1071" s="12">
        <f>IF(Verso!$B$11=Voies!$B1071,1,0)</f>
        <v>0</v>
      </c>
      <c r="BC1071" s="12">
        <f>IF(Verso!$B$12=Voies!$B1071,1,0)</f>
        <v>0</v>
      </c>
      <c r="BD1071" s="12">
        <f>IF(Verso!$B$13=Voies!$B1071,1,0)</f>
        <v>0</v>
      </c>
      <c r="BE1071" s="12">
        <f>IF(Verso!$B$14=Voies!$B1071,1,0)</f>
        <v>0</v>
      </c>
      <c r="BF1071" s="12">
        <f>IF(Verso!$B$15=Voies!$B1071,1,0)</f>
        <v>0</v>
      </c>
      <c r="BG1071" s="12">
        <f>IF(Verso!$B$16=Voies!$B1071,1,0)</f>
        <v>0</v>
      </c>
      <c r="BH1071" s="12">
        <f>IF(Verso!$B$17=Voies!$B1071,1,0)</f>
        <v>0</v>
      </c>
      <c r="BI1071" s="557">
        <f t="shared" si="117"/>
        <v>0</v>
      </c>
      <c r="BJ1071" s="196" t="str">
        <f t="shared" si="118"/>
        <v/>
      </c>
      <c r="BK1071" s="196" t="str">
        <f t="shared" si="119"/>
        <v/>
      </c>
      <c r="BL1071" s="295" t="str">
        <f t="shared" si="120"/>
        <v/>
      </c>
    </row>
    <row r="1072" spans="1:64" ht="47.25" customHeight="1" x14ac:dyDescent="0.25">
      <c r="A1072" s="162" t="str">
        <f>IF(AND(Réputation&gt;Voies!E1072-1,OR(C1072=TRUE,Calculs!$I$8&gt;0),Air&gt;Voies!J1072-1,Eau&gt;Voies!K1072-1,Feu&gt;Voies!L1072-1,Terre&gt;Voies!M1072-1,Vide&gt;Voies!N1072-1,Constitution&gt;Voies!O1072-1,Volonté&gt;Voies!P1072-1,Force&gt;Voies!Q1072-1,Perception&gt;Voies!R1072-1,Reflexes&gt;Voies!S1072-1,Agilité&gt;Voies!T1072-1,Intuition&gt;Voies!U1072-1,Intelligence&gt;Voies!V1072-1,Souillure&gt;Voies!W1072-1,Honneur&gt;X1072-1,Statut&gt;Y1072-1,Gloire&gt;Z1072-1,AV1072=TRUE),Voies!B1072,"")</f>
        <v/>
      </c>
      <c r="B1072" s="162" t="s">
        <v>3076</v>
      </c>
      <c r="C1072" s="162" t="b">
        <f>IF(Clan=Voies!D1072,TRUE,FALSE)</f>
        <v>0</v>
      </c>
      <c r="D1072" s="388" t="s">
        <v>1941</v>
      </c>
      <c r="E1072" s="199">
        <v>5</v>
      </c>
      <c r="F1072" s="199">
        <v>5</v>
      </c>
      <c r="G1072" s="199" t="s">
        <v>2049</v>
      </c>
      <c r="H1072" s="162" t="s">
        <v>301</v>
      </c>
      <c r="I1072" s="129" t="str">
        <f t="shared" si="122"/>
        <v>Rien</v>
      </c>
      <c r="J1072" s="146">
        <v>0</v>
      </c>
      <c r="K1072" s="147">
        <v>0</v>
      </c>
      <c r="L1072" s="148">
        <v>0</v>
      </c>
      <c r="M1072" s="149">
        <v>0</v>
      </c>
      <c r="N1072" s="150">
        <v>0</v>
      </c>
      <c r="O1072" s="130">
        <v>0</v>
      </c>
      <c r="P1072" s="130">
        <v>0</v>
      </c>
      <c r="Q1072" s="130">
        <v>0</v>
      </c>
      <c r="R1072" s="130">
        <v>0</v>
      </c>
      <c r="S1072" s="130">
        <v>0</v>
      </c>
      <c r="T1072" s="130">
        <v>0</v>
      </c>
      <c r="U1072" s="130">
        <v>0</v>
      </c>
      <c r="V1072" s="524">
        <v>0</v>
      </c>
      <c r="W1072" s="130">
        <v>0</v>
      </c>
      <c r="X1072" s="130">
        <v>0</v>
      </c>
      <c r="Y1072" s="130">
        <v>0</v>
      </c>
      <c r="Z1072" s="130">
        <v>0</v>
      </c>
      <c r="AA1072" s="158" t="s">
        <v>2078</v>
      </c>
      <c r="AB1072" s="158"/>
      <c r="AC1072" s="158"/>
      <c r="AD1072" s="158"/>
      <c r="AE1072" s="158" t="b">
        <f>IF(AB1072="",TRUE,IF(IF(AC1072="",VLOOKUP(AB1072,Calculs!$A$19:$S$425,19,FALSE),VLOOKUP(AC1072,Calculs!$A$19:$S$425,19,FALSE))&gt;=AD1072,TRUE,FALSE))</f>
        <v>1</v>
      </c>
      <c r="AF1072" s="158"/>
      <c r="AG1072" s="158"/>
      <c r="AH1072" s="158"/>
      <c r="AI1072" s="158" t="b">
        <f>IF(AF1072="",TRUE,IF(IF(AG1072="",VLOOKUP(AF1072,Calculs!$A$19:$S$425,19,FALSE),VLOOKUP(AG1072,Calculs!$A$19:$S$425,19,FALSE))&gt;=AH1072,TRUE,FALSE))</f>
        <v>1</v>
      </c>
      <c r="AJ1072" s="158"/>
      <c r="AK1072" s="158"/>
      <c r="AL1072" s="158"/>
      <c r="AM1072" s="158" t="b">
        <f>IF(AJ1072="",TRUE,IF(IF(AK1072="",VLOOKUP(AJ1072,Calculs!$A$19:$S$425,19,FALSE),VLOOKUP(AK1072,Calculs!$A$19:$S$425,19,FALSE))&gt;=AL1072,TRUE,FALSE))</f>
        <v>1</v>
      </c>
      <c r="AN1072" s="158"/>
      <c r="AO1072" s="158"/>
      <c r="AP1072" s="158"/>
      <c r="AQ1072" s="158" t="b">
        <f>IF(AN1072="",TRUE,IF(IF(AO1072="",VLOOKUP(AN1072,Calculs!$A$19:$S$425,19,FALSE),VLOOKUP(AO1072,Calculs!$A$19:$S$425,19,FALSE))&gt;=AP1072,TRUE,FALSE))</f>
        <v>1</v>
      </c>
      <c r="AR1072" s="158"/>
      <c r="AS1072" s="158" t="b">
        <f>IF(AR1072="",TRUE,IF(VLOOKUP(AR1072,Calculs!$A$427:$G$738,7,FALSE)&gt;0,TRUE,FALSE))</f>
        <v>1</v>
      </c>
      <c r="AT1072" s="158"/>
      <c r="AU1072" s="158" t="b">
        <f>IF(AT1072="",TRUE,IF(VLOOKUP(AT1072,Calculs!$A$740:$G$912,7,FALSE)&gt;0,TRUE,FALSE))</f>
        <v>1</v>
      </c>
      <c r="AV1072" s="158" t="b">
        <f t="shared" si="116"/>
        <v>1</v>
      </c>
      <c r="AW1072" s="158" t="s">
        <v>2078</v>
      </c>
      <c r="AX1072" s="162" t="s">
        <v>2075</v>
      </c>
      <c r="AY1072" s="15">
        <v>189</v>
      </c>
      <c r="AZ1072" s="555" t="s">
        <v>8785</v>
      </c>
      <c r="BA1072" s="559">
        <f>IF(Verso!$B$10=Voies!$B1072,1,0)</f>
        <v>0</v>
      </c>
      <c r="BB1072" s="12">
        <f>IF(Verso!$B$11=Voies!$B1072,1,0)</f>
        <v>0</v>
      </c>
      <c r="BC1072" s="12">
        <f>IF(Verso!$B$12=Voies!$B1072,1,0)</f>
        <v>0</v>
      </c>
      <c r="BD1072" s="12">
        <f>IF(Verso!$B$13=Voies!$B1072,1,0)</f>
        <v>0</v>
      </c>
      <c r="BE1072" s="12">
        <f>IF(Verso!$B$14=Voies!$B1072,1,0)</f>
        <v>0</v>
      </c>
      <c r="BF1072" s="12">
        <f>IF(Verso!$B$15=Voies!$B1072,1,0)</f>
        <v>0</v>
      </c>
      <c r="BG1072" s="12">
        <f>IF(Verso!$B$16=Voies!$B1072,1,0)</f>
        <v>0</v>
      </c>
      <c r="BH1072" s="12">
        <f>IF(Verso!$B$17=Voies!$B1072,1,0)</f>
        <v>0</v>
      </c>
      <c r="BI1072" s="557">
        <f t="shared" si="117"/>
        <v>0</v>
      </c>
      <c r="BJ1072" s="196" t="str">
        <f t="shared" si="118"/>
        <v/>
      </c>
      <c r="BK1072" s="196" t="str">
        <f t="shared" si="119"/>
        <v/>
      </c>
      <c r="BL1072" s="295" t="str">
        <f t="shared" si="120"/>
        <v/>
      </c>
    </row>
  </sheetData>
  <sheetProtection selectLockedCells="1" selectUnlockedCells="1"/>
  <sortState xmlns:xlrd2="http://schemas.microsoft.com/office/spreadsheetml/2017/richdata2" ref="B3:BI1072">
    <sortCondition ref="D3:D1072"/>
    <sortCondition ref="E3:E1072"/>
    <sortCondition ref="G3:G1072"/>
  </sortState>
  <mergeCells count="40">
    <mergeCell ref="A1:A2"/>
    <mergeCell ref="AY1:AY2"/>
    <mergeCell ref="AQ1:AQ2"/>
    <mergeCell ref="AV1:AV2"/>
    <mergeCell ref="AO1:AO2"/>
    <mergeCell ref="AN1:AN2"/>
    <mergeCell ref="G1:G2"/>
    <mergeCell ref="E1:E2"/>
    <mergeCell ref="D1:D2"/>
    <mergeCell ref="J1:N1"/>
    <mergeCell ref="O1:V1"/>
    <mergeCell ref="X1:Z1"/>
    <mergeCell ref="AM1:AM2"/>
    <mergeCell ref="AA1:AA2"/>
    <mergeCell ref="AB1:AB2"/>
    <mergeCell ref="AD1:AD2"/>
    <mergeCell ref="AZ1:AZ2"/>
    <mergeCell ref="AW1:AW2"/>
    <mergeCell ref="AP1:AP2"/>
    <mergeCell ref="AX1:AX2"/>
    <mergeCell ref="AR1:AR2"/>
    <mergeCell ref="AU1:AU2"/>
    <mergeCell ref="AT1:AT2"/>
    <mergeCell ref="AS1:AS2"/>
    <mergeCell ref="BJ1:BL1"/>
    <mergeCell ref="BA1:BI1"/>
    <mergeCell ref="B1:B2"/>
    <mergeCell ref="F1:F2"/>
    <mergeCell ref="I1:I2"/>
    <mergeCell ref="H1:H2"/>
    <mergeCell ref="AK1:AK2"/>
    <mergeCell ref="AG1:AG2"/>
    <mergeCell ref="AE1:AE2"/>
    <mergeCell ref="AI1:AI2"/>
    <mergeCell ref="C1:C2"/>
    <mergeCell ref="AF1:AF2"/>
    <mergeCell ref="AH1:AH2"/>
    <mergeCell ref="AJ1:AJ2"/>
    <mergeCell ref="AL1:AL2"/>
    <mergeCell ref="AC1:AC2"/>
  </mergeCells>
  <phoneticPr fontId="20" type="noConversion"/>
  <dataValidations disablePrompts="1" count="4">
    <dataValidation type="list" allowBlank="1" showInputMessage="1" showErrorMessage="1" sqref="AB827:AB1048576 AF3:AF217 AF219:AF1048576 AB3:AB825 AJ3:AJ1048576 AN3:AN1048576" xr:uid="{00000000-0002-0000-0800-000000000000}">
      <formula1>Compétences</formula1>
    </dataValidation>
    <dataValidation type="whole" allowBlank="1" showInputMessage="1" showErrorMessage="1" sqref="AD827:AD1048576 AH3:AH217 AD381:AD825 AH219:AH1048576 AL3:AL1048576 AP3:AP1048576 AD3:AD379" xr:uid="{00000000-0002-0000-0800-000001000000}">
      <formula1>1</formula1>
      <formula2>9</formula2>
    </dataValidation>
    <dataValidation type="list" allowBlank="1" showInputMessage="1" showErrorMessage="1" sqref="AR1:AR1048576" xr:uid="{00000000-0002-0000-0800-000002000000}">
      <formula1>Avantages</formula1>
    </dataValidation>
    <dataValidation type="list" allowBlank="1" showInputMessage="1" showErrorMessage="1" sqref="AT1:AT1048576" xr:uid="{00000000-0002-0000-0800-000003000000}">
      <formula1>Désavantages</formula1>
    </dataValidation>
  </dataValidations>
  <hyperlinks>
    <hyperlink ref="AX36" r:id="rId1" display="http://www.voixrokugan.org/Forum/viewtopic.php?t=2801" xr:uid="{00000000-0004-0000-0800-000000000000}"/>
    <hyperlink ref="AX44" r:id="rId2" display="http://www.voixrokugan.org/Forum/viewtopic.php?t=2801" xr:uid="{00000000-0004-0000-0800-000001000000}"/>
    <hyperlink ref="AX49" r:id="rId3" display="http://www.voixrokugan.org/Forum/viewtopic.php?t=2801" xr:uid="{00000000-0004-0000-0800-000002000000}"/>
    <hyperlink ref="AX56" r:id="rId4" display="http://www.voixrokugan.org/Forum/viewtopic.php?t=2801" xr:uid="{00000000-0004-0000-0800-000003000000}"/>
    <hyperlink ref="AX62" r:id="rId5" display="http://www.voixrokugan.org/Forum/viewtopic.php?t=2801" xr:uid="{00000000-0004-0000-0800-000004000000}"/>
  </hyperlinks>
  <pageMargins left="0.15748031496062992" right="0.15748031496062992" top="0.15748031496062992" bottom="0.15748031496062992" header="0.31496062992125984" footer="0.31496062992125984"/>
  <pageSetup firstPageNumber="0" orientation="landscape" horizontalDpi="300" verticalDpi="300" r:id="rId6"/>
  <headerFooter alignWithMargins="0">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130</vt:i4>
      </vt:variant>
    </vt:vector>
  </HeadingPairs>
  <TitlesOfParts>
    <vt:vector size="150" baseType="lpstr">
      <vt:lpstr>Recto</vt:lpstr>
      <vt:lpstr>Verso</vt:lpstr>
      <vt:lpstr>Recto2</vt:lpstr>
      <vt:lpstr>Verso2</vt:lpstr>
      <vt:lpstr>Vaisseau</vt:lpstr>
      <vt:lpstr>Systèmes de vaisseau</vt:lpstr>
      <vt:lpstr>Familles</vt:lpstr>
      <vt:lpstr>Ecoles</vt:lpstr>
      <vt:lpstr>Voies</vt:lpstr>
      <vt:lpstr>Avantages</vt:lpstr>
      <vt:lpstr>Désavantages</vt:lpstr>
      <vt:lpstr>Sorts, Kihos, Katas, Bâtons</vt:lpstr>
      <vt:lpstr>Outremonde</vt:lpstr>
      <vt:lpstr>Ancêtres</vt:lpstr>
      <vt:lpstr>Tatouages</vt:lpstr>
      <vt:lpstr>Compétences</vt:lpstr>
      <vt:lpstr>Objets</vt:lpstr>
      <vt:lpstr>Règles</vt:lpstr>
      <vt:lpstr>Tableaux</vt:lpstr>
      <vt:lpstr>Calculs</vt:lpstr>
      <vt:lpstr>A</vt:lpstr>
      <vt:lpstr>Affreteur</vt:lpstr>
      <vt:lpstr>Ages</vt:lpstr>
      <vt:lpstr>Agilité</vt:lpstr>
      <vt:lpstr>Air</vt:lpstr>
      <vt:lpstr>Ancêtre</vt:lpstr>
      <vt:lpstr>Anneaux</vt:lpstr>
      <vt:lpstr>Armes</vt:lpstr>
      <vt:lpstr>ArmesVaisseau</vt:lpstr>
      <vt:lpstr>Ascète</vt:lpstr>
      <vt:lpstr>Avantages</vt:lpstr>
      <vt:lpstr>B</vt:lpstr>
      <vt:lpstr>Bâtons</vt:lpstr>
      <vt:lpstr>Boucliers</vt:lpstr>
      <vt:lpstr>Chant2</vt:lpstr>
      <vt:lpstr>Chantage</vt:lpstr>
      <vt:lpstr>Cheveu</vt:lpstr>
      <vt:lpstr>Clan</vt:lpstr>
      <vt:lpstr>Clans</vt:lpstr>
      <vt:lpstr>Compétences</vt:lpstr>
      <vt:lpstr>Constitution</vt:lpstr>
      <vt:lpstr>Contexte</vt:lpstr>
      <vt:lpstr>Contexte_jeu</vt:lpstr>
      <vt:lpstr>ct</vt:lpstr>
      <vt:lpstr>d</vt:lpstr>
      <vt:lpstr>Ddame</vt:lpstr>
      <vt:lpstr>Désavantages</vt:lpstr>
      <vt:lpstr>Dessin_supérieur</vt:lpstr>
      <vt:lpstr>Eau</vt:lpstr>
      <vt:lpstr>Ecole</vt:lpstr>
      <vt:lpstr>Endroit</vt:lpstr>
      <vt:lpstr>Estropié_Aveugle_Amputé</vt:lpstr>
      <vt:lpstr>ex</vt:lpstr>
      <vt:lpstr>Excellente_mémoire</vt:lpstr>
      <vt:lpstr>f</vt:lpstr>
      <vt:lpstr>Famille</vt:lpstr>
      <vt:lpstr>Familles</vt:lpstr>
      <vt:lpstr>Faveur_élémentaire</vt:lpstr>
      <vt:lpstr>Feu</vt:lpstr>
      <vt:lpstr>Force</vt:lpstr>
      <vt:lpstr>g</vt:lpstr>
      <vt:lpstr>Gauche_Droite</vt:lpstr>
      <vt:lpstr>Gloire</vt:lpstr>
      <vt:lpstr>Gouverneur?</vt:lpstr>
      <vt:lpstr>GrandVoyageur</vt:lpstr>
      <vt:lpstr>h</vt:lpstr>
      <vt:lpstr>Haine_au_coeur</vt:lpstr>
      <vt:lpstr>Héros_populaire</vt:lpstr>
      <vt:lpstr>Honneur</vt:lpstr>
      <vt:lpstr>i</vt:lpstr>
      <vt:lpstr>Impétueux</vt:lpstr>
      <vt:lpstr>Influence</vt:lpstr>
      <vt:lpstr>Ingénieux</vt:lpstr>
      <vt:lpstr>Intelligence</vt:lpstr>
      <vt:lpstr>Intuition</vt:lpstr>
      <vt:lpstr>Ishiken_do</vt:lpstr>
      <vt:lpstr>Jeune_Prodige</vt:lpstr>
      <vt:lpstr>k</vt:lpstr>
      <vt:lpstr>Kata</vt:lpstr>
      <vt:lpstr>Kiho</vt:lpstr>
      <vt:lpstr>Leader_né</vt:lpstr>
      <vt:lpstr>Loup</vt:lpstr>
      <vt:lpstr>m</vt:lpstr>
      <vt:lpstr>Maho</vt:lpstr>
      <vt:lpstr>Maitrise</vt:lpstr>
      <vt:lpstr>Mariage</vt:lpstr>
      <vt:lpstr>MauditYomi</vt:lpstr>
      <vt:lpstr>n</vt:lpstr>
      <vt:lpstr>Noms</vt:lpstr>
      <vt:lpstr>Numéros</vt:lpstr>
      <vt:lpstr>o</vt:lpstr>
      <vt:lpstr>Obligation</vt:lpstr>
      <vt:lpstr>Omnibilé</vt:lpstr>
      <vt:lpstr>Origine</vt:lpstr>
      <vt:lpstr>Outremonde</vt:lpstr>
      <vt:lpstr>p</vt:lpstr>
      <vt:lpstr>Parangon</vt:lpstr>
      <vt:lpstr>Parangon_du_Bushido?</vt:lpstr>
      <vt:lpstr>Perception</vt:lpstr>
      <vt:lpstr>Perle</vt:lpstr>
      <vt:lpstr>Poids</vt:lpstr>
      <vt:lpstr>Présomptueux</vt:lpstr>
      <vt:lpstr>q</vt:lpstr>
      <vt:lpstr>Reflexes</vt:lpstr>
      <vt:lpstr>Relations</vt:lpstr>
      <vt:lpstr>Réputation</vt:lpstr>
      <vt:lpstr>Riche</vt:lpstr>
      <vt:lpstr>s</vt:lpstr>
      <vt:lpstr>Sans_Peur</vt:lpstr>
      <vt:lpstr>SavoirInterditGozoku</vt:lpstr>
      <vt:lpstr>Sexe</vt:lpstr>
      <vt:lpstr>Sombre</vt:lpstr>
      <vt:lpstr>Sombre_secret</vt:lpstr>
      <vt:lpstr>Sort</vt:lpstr>
      <vt:lpstr>Sorts</vt:lpstr>
      <vt:lpstr>Souillure</vt:lpstr>
      <vt:lpstr>Spécialisations</vt:lpstr>
      <vt:lpstr>Statut</vt:lpstr>
      <vt:lpstr>Systèmes</vt:lpstr>
      <vt:lpstr>t</vt:lpstr>
      <vt:lpstr>Ta</vt:lpstr>
      <vt:lpstr>Taillevaisseau</vt:lpstr>
      <vt:lpstr>Tatouages</vt:lpstr>
      <vt:lpstr>Terre</vt:lpstr>
      <vt:lpstr>Traits</vt:lpstr>
      <vt:lpstr>typ_ar</vt:lpstr>
      <vt:lpstr>Type_magie</vt:lpstr>
      <vt:lpstr>Types_de_flèches</vt:lpstr>
      <vt:lpstr>types_eq</vt:lpstr>
      <vt:lpstr>u</vt:lpstr>
      <vt:lpstr>v</vt:lpstr>
      <vt:lpstr>Vide</vt:lpstr>
      <vt:lpstr>Virtuose</vt:lpstr>
      <vt:lpstr>Voie</vt:lpstr>
      <vt:lpstr>Volonté</vt:lpstr>
      <vt:lpstr>w</vt:lpstr>
      <vt:lpstr>x</vt:lpstr>
      <vt:lpstr>XO</vt:lpstr>
      <vt:lpstr>y</vt:lpstr>
      <vt:lpstr>Yeux</vt:lpstr>
      <vt:lpstr>z</vt:lpstr>
      <vt:lpstr>Ancêtres!Zone_d_impression</vt:lpstr>
      <vt:lpstr>Ecoles!Zone_d_impression</vt:lpstr>
      <vt:lpstr>Outremonde!Zone_d_impression</vt:lpstr>
      <vt:lpstr>Recto!Zone_d_impression</vt:lpstr>
      <vt:lpstr>Recto2!Zone_d_impression</vt:lpstr>
      <vt:lpstr>'Sorts, Kihos, Katas, Bâtons'!Zone_d_impression</vt:lpstr>
      <vt:lpstr>Verso!Zone_d_impression</vt:lpstr>
      <vt:lpstr>Verso2!Zone_d_impression</vt:lpstr>
      <vt:lpstr>Voies!Zone_d_impression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Sylvain Brasseur</dc:creator>
  <cp:lastModifiedBy>Utilisateur</cp:lastModifiedBy>
  <cp:lastPrinted>2018-09-05T05:35:13Z</cp:lastPrinted>
  <dcterms:created xsi:type="dcterms:W3CDTF">2012-08-08T09:51:30Z</dcterms:created>
  <dcterms:modified xsi:type="dcterms:W3CDTF">2020-09-27T14:47:25Z</dcterms:modified>
</cp:coreProperties>
</file>